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<sst xmlns="http://schemas.openxmlformats.org/spreadsheetml/2006/main" count="27534" uniqueCount="27534">
  <si>
    <t>en</t>
  </si>
  <si>
    <t>mt</t>
  </si>
  <si>
    <t>July</t>
  </si>
  <si>
    <t>widespread agitation for constitutional reform</t>
  </si>
  <si>
    <t>When did Warsaw become the center of the Congress Poland?</t>
  </si>
  <si>
    <t>Other than New York where did Tesla conduct experiments?</t>
  </si>
  <si>
    <t>What happened to the Apollo 13 crew to force them to use the LM as a "life boat" as it had been designed?</t>
  </si>
  <si>
    <t>What profession did Martin's father want his son to pursue?</t>
  </si>
  <si>
    <t>What helped the Lama determine to be reborn?</t>
  </si>
  <si>
    <t>John Mayow died in what year?</t>
  </si>
  <si>
    <t>The Art Deco style of glassware is represented by which artist?</t>
  </si>
  <si>
    <t>immunological memory</t>
  </si>
  <si>
    <t>Leukocytes</t>
  </si>
  <si>
    <t>What did he think was everywhere in the universe?</t>
  </si>
  <si>
    <t>Mansfeld</t>
  </si>
  <si>
    <t>Annual Conference Cabinet</t>
  </si>
  <si>
    <t>higher aggregate utility</t>
  </si>
  <si>
    <t>What vote on a bill takes place in Stage 3?</t>
  </si>
  <si>
    <t>What is Kenya known for?</t>
  </si>
  <si>
    <t>Most of the Rhine's current course was not under the ice during the last Ice Age; although, its source must still have been a glacier. A tundra, with Ice Age flora and fauna, stretched across middle Europe, from Asia to the Atlantic Ocean. Such was the case during the Last Glacial Maximum, ca. 22,000–14,000 yr BP, when ice-sheets covered Scandinavia, the Baltics, Scotland and the Alps, but left the space between as open tundra. The loess or wind-blown dust over that tundra, settled in and around the Rhine Valley, contributing to its current agricultural usefulness.</t>
  </si>
  <si>
    <t>Amazoneregenwoud</t>
  </si>
  <si>
    <t>Warner tried with mixed success to adapt some of its most successful films as ABC television series, and showcase these adaptations as part of the wheel series Warner Bros. Presents. Airing during the 1955–56 season, it showcased television adaptations of the 1942 films Kings Row and Casablanca; Cheyenne (adapted from the 1947 film Wyoming Kid); Sugarfoot (a remake of the 1954 film The Boy from Oklahoma); and Maverick. However, the most iconic of ABC's relationships with Hollywood producers was its agreement with Walt Disney; after the start of the network's bond with the Disney studio, James Lewis Baughman, who worked as a columnist at that time, observed that "at ABC's headquarters in New York, the secretaries [were now] wearing hats with Mickey Mouse ears".</t>
  </si>
  <si>
    <t>What was Old Briton's response to Celeron?</t>
  </si>
  <si>
    <t>Wojciech Bogusławski Theatre</t>
  </si>
  <si>
    <t>Schedule 5</t>
  </si>
  <si>
    <t>What can curtail the risk of occupational injuries in the construction industry?</t>
  </si>
  <si>
    <t xml:space="preserve">Why was he unable to enroll at the university? </t>
  </si>
  <si>
    <t>Acessing the Amazon rainforest was restricted before what era?</t>
  </si>
  <si>
    <t>NP-complete problems</t>
  </si>
  <si>
    <t>Who is taught at teacher's colleges?</t>
  </si>
  <si>
    <t>the founding of new Protestant churches in Catholic-controlled regions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</si>
  <si>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</si>
  <si>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the force of gravity on an object</t>
  </si>
  <si>
    <t>South</t>
  </si>
  <si>
    <t>School for Naval Architects</t>
  </si>
  <si>
    <t>best teachers</t>
  </si>
  <si>
    <t>Who recorded "Walking in Fresno?"</t>
  </si>
  <si>
    <t>historical fluke</t>
  </si>
  <si>
    <t>45-minute</t>
  </si>
  <si>
    <t>Which outbreak was associated with troops in the thirty years war?</t>
  </si>
  <si>
    <t>prima scriptura</t>
  </si>
  <si>
    <t>What is the name of the area past the border that the megaregion extends into?</t>
  </si>
  <si>
    <t>country</t>
  </si>
  <si>
    <t>When did Honda, Toyota and Nissan open US assembly plants?</t>
  </si>
  <si>
    <t>complicated</t>
  </si>
  <si>
    <t>Evidence indicates that Cydippids are not what?</t>
  </si>
  <si>
    <t>Grainger Town area</t>
  </si>
  <si>
    <t>biogeochemical</t>
  </si>
  <si>
    <t>What does  oxygen therapy promote the body to take up?</t>
  </si>
  <si>
    <t>What was the recorded length of the first spark?</t>
  </si>
  <si>
    <t>Construction projects can suffer from preventable financial problems. Underbids happen when builders ask for too little money to complete the project. Cash flow problems exist when the present amount of funding cannot cover the current costs for labour and materials, and because they are a matter of having sufficient funds at a specific time, can arise even when the overall total is enough. Fraud is a problem in many fields, but is notoriously prevalent in the construction field. Financial planning for the project is intended to ensure that a solid plan with adequate safeguards and contingency plans are in place before the project is started and is required to ensure that the plan is properly executed over the life of the project.</t>
  </si>
  <si>
    <t>final</t>
  </si>
  <si>
    <t>color confinement</t>
  </si>
  <si>
    <t>AC and NC are complexity classes typically associated with what type of circuit?</t>
  </si>
  <si>
    <t>Lunar Module Pilot</t>
  </si>
  <si>
    <t>1050s</t>
  </si>
  <si>
    <t>What position did Tesla accept at the exchange?</t>
  </si>
  <si>
    <t>Antigens bind to what in order to elicit a response of the immune system?</t>
  </si>
  <si>
    <t>What was the goal of John Sheepshanks considerable bequest to the museum?</t>
  </si>
  <si>
    <t>successfully preventing it from being cut down</t>
  </si>
  <si>
    <t>Who did Josel of Rosheim blame for the condition of Jews in Saxony?</t>
  </si>
  <si>
    <t>What rainforest covers the majority of the Amazon basin in South America?</t>
  </si>
  <si>
    <t>What are two factors that directly effect how powerful a Turing machine may or may not be?</t>
  </si>
  <si>
    <t>Norman Foster</t>
  </si>
  <si>
    <t>stimulating the growth of local seed production</t>
  </si>
  <si>
    <t>What caused Luther to write hymns?</t>
  </si>
  <si>
    <t>Stan Lebar</t>
  </si>
  <si>
    <t>an educational process</t>
  </si>
  <si>
    <t>folk-rock</t>
  </si>
  <si>
    <t>How much can Ctenophores eat in one day?</t>
  </si>
  <si>
    <t>How many people belong to the university's Board of Trustees?</t>
  </si>
  <si>
    <t>oxygen atmosphere</t>
  </si>
  <si>
    <t>throughout its North American provinces</t>
  </si>
  <si>
    <t>What was Abu Hamaz al-Masri charged with when he was arrested?</t>
  </si>
  <si>
    <t>Who is eligible to toss their name in the hat to be First Minister?</t>
  </si>
  <si>
    <t>Monterey</t>
  </si>
  <si>
    <t>What percentage of prime-time TV viewership did the three big networks represent in 1980?</t>
  </si>
  <si>
    <t>While a child was in school</t>
  </si>
  <si>
    <t>lower temperatures</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</si>
  <si>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</si>
  <si>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silt up the lake</t>
  </si>
  <si>
    <t>proprietary suite of networking protocols</t>
  </si>
  <si>
    <t>In which year was the Salting Bequest?</t>
  </si>
  <si>
    <t>What do rules about conflict of interest involving doctors diagnosing patients resemble?</t>
  </si>
  <si>
    <t>OAPEC proclaimed the embargo that curbed exports to various countries and blocked all oil deliveries to the US as a "principal hostile country</t>
  </si>
  <si>
    <t>Professional and labor organizations</t>
  </si>
  <si>
    <t>expanded</t>
  </si>
  <si>
    <t>Somalia and Ethiopia</t>
  </si>
  <si>
    <t>non-violent</t>
  </si>
  <si>
    <t>Who wrote The Mutants?</t>
  </si>
  <si>
    <t>possess more financial assets than the lowest 48 nations combined.</t>
  </si>
  <si>
    <t>How much of the European population did the black death kill?</t>
  </si>
  <si>
    <t>about 11 million members in nearly 42,000 congregations</t>
  </si>
  <si>
    <t>When was the color crimson adopted at Harvard as official color?</t>
  </si>
  <si>
    <t>rest</t>
  </si>
  <si>
    <t>easier and more efficient</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</si>
  <si>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</si>
  <si>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spread of diseases from Europe</t>
  </si>
  <si>
    <t>Hobson argued that imperialism was an international what?</t>
  </si>
  <si>
    <t>What degree did Martin Luther receive on 19 October, 1512?</t>
  </si>
  <si>
    <t>MSPs</t>
  </si>
  <si>
    <t>norm gets smaller</t>
  </si>
  <si>
    <t>peer tuitions</t>
  </si>
  <si>
    <t>Roman Catholic Church</t>
  </si>
  <si>
    <t>Who were Temüjin's three full brothers?</t>
  </si>
  <si>
    <t>Published comments on Kenya's Capital FM website by Liu Guangyuan, China's ambassador to Kenya, at the time of President Kenyatta's 2013 trip to Beijing, said, "Chinese investment in Kenya ... reached $474 million, representing Kenya's largest source of foreign direct investment, and ... bilateral trade ... reached $2.84 billion" in 2012. Kenyatta was "[a]ccompanied by 60 Kenyan business people [and hoped to] ... gain support from China for a planned $2.5 billion railway from the southern Kenyan port of Mombasa to neighboring Uganda, as well as a nearly $1.8 billion dam", according to a statement from the president's office also at the time of the trip. Base Titanium, a subsidiary of Base resources of Australia, shipped its first major consignment of minerals to China. About 25,000 tonnes of ilmenite was flagged off the Kenyan coastal town of Kilifi. The first shipment was expected to earn Kenya about Shs15 – Shs20 Billion in earnings. China has been causing environmental and social problems that include the recent suspension of the railway project.</t>
  </si>
  <si>
    <t>They focused on Bible study, methodical study of scripture and living a holy life</t>
  </si>
  <si>
    <t>What was the first true engine that was commercially successful?</t>
  </si>
  <si>
    <t>additional port</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</si>
  <si>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</si>
  <si>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Manning</t>
  </si>
  <si>
    <t>Who was chairman of the House Science Committee?</t>
  </si>
  <si>
    <t>What kind of amino acids are overrepresented in epitope regions?</t>
  </si>
  <si>
    <t>February 2011</t>
  </si>
  <si>
    <t>doomed to perdition.</t>
  </si>
  <si>
    <t>What team did the Denver Broncos play in  Super Bowl XXXIII?</t>
  </si>
  <si>
    <t>after he had noticed damaged film in his laboratory in previous experiments</t>
  </si>
  <si>
    <t>Along with poppet valve gears, what type of gears utilized separate admission and exhaust valves to give ideal events?</t>
  </si>
  <si>
    <t>The Tyneside flat was the dominant housing form constructed at the time when the industrial centres on Tyneside were growing most rapidly. They can still be found in areas such as South Heaton in Newcastle but once dominated the streetscape on both sides of the Tyne. Tyneside flats were built as terraces, one of each pair of doors led to an upstairs flat while the other led into the ground-floor flat, each of two or three rooms. A new development in the Ouseburn valley has recreated them; Architects Cany Ash and Robert Sakula were attracted by the possibilities of high density without building high and getting rid of common areas.</t>
  </si>
  <si>
    <t>San Francisco</t>
  </si>
  <si>
    <t>in the kingdom</t>
  </si>
  <si>
    <t>What is th elast name of the player who was the Super Bowl 50 winner's leading rusher?</t>
  </si>
  <si>
    <t>Where is British English usually used?</t>
  </si>
  <si>
    <t>Liao, Jin, and Song</t>
  </si>
  <si>
    <t>What yard marker on the field was painted gold?</t>
  </si>
  <si>
    <t>the Bible in vernacular languages</t>
  </si>
  <si>
    <t>Houston Street lab</t>
  </si>
  <si>
    <t>Which section of the Rhine is most factories found?</t>
  </si>
  <si>
    <t>Secular Arab nationalism was blamed for both the defeat of Arab troops as well as what type of stagnation?</t>
  </si>
  <si>
    <t>Fort Duquesne.</t>
  </si>
  <si>
    <t xml:space="preserve">What is the Bassin de compensation de Plobsheim in Alsace? </t>
  </si>
  <si>
    <t>What year was Casimir Pulaski born in Warsaw?</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</si>
  <si>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</si>
  <si>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a better relevant income</t>
  </si>
  <si>
    <t>4:51</t>
  </si>
  <si>
    <t>What force acts between electric charges?</t>
  </si>
  <si>
    <t>using sickles to deflate one of the large domes</t>
  </si>
  <si>
    <t>Specialty pharmacies supply high cost injectable, oral, infused, or inhaled medications that are used for chronic and complex disease states such as cancer, hepatitis, and rheumatoid arthritis. Unlike a traditional community pharmacy where prescriptions for any common medication can be brought in and filled, specialty pharmacies carry novel medications that need to be properly stored, administered, carefully monitored, and clinically managed. In addition to supplying these drugs, specialty pharmacies also provide lab monitoring, adherence counseling, and assist patients with cost-containment strategies needed to obtain their expensive specialty drugs. It is currently the fastest growing sector of the pharmaceutical industry with 19 of 28 newly FDA approved medications in 2013 being specialty drugs.</t>
  </si>
  <si>
    <t>the constituting General Conference in Dallas, Texas.</t>
  </si>
  <si>
    <t>The last glacial ran from ~74,000 (BP = Before Present), until the end of the Pleistocene (~11,600 BP). In northwest Europe, it saw two very cold phases, peaking around 70,000 BP and around 29,000–24,000 BP. The last phase slightly predates the global last ice age maximum (Last Glacial Maximum). During this time, the lower Rhine flowed roughly west through the Netherlands and extended to the southwest, through the English Channel and finally, to the Atlantic Ocean. The English Channel, the Irish Channel and most of the North Sea were dry land, mainly because sea level was approximately 120 m (390 ft) lower than today.</t>
  </si>
  <si>
    <t>9000 BP</t>
  </si>
  <si>
    <t>from the 16th and 17th centuries</t>
  </si>
  <si>
    <t>oxides</t>
  </si>
  <si>
    <t>How many gold medals did Kenya win during the Beijing Olympics?</t>
  </si>
  <si>
    <t>member state courts</t>
  </si>
  <si>
    <t>After the Oligocene period, under what period did the amazon rainforest begin to expand?</t>
  </si>
  <si>
    <t>What was the Yuan's Persian ally?</t>
  </si>
  <si>
    <t>Deforestation is the conversion of forested areas to non-forested areas. The main sources of deforestation in the Amazon are human settlement and development of the land. Prior to the early 1960s, access to the forest's interior was highly restricted, and the forest remained basically intact. Farms established during the 1960s were based on crop cultivation and the slash and burn method. However, the colonists were unable to manage their fields and the crops because of the loss of soil fertility and weed invasion. The soils in the Amazon are productive for just a short period of time, so farmers are constantly moving to new areas and clearing more land. These farming practices led to deforestation and caused extensive environmental damage. Deforestation is considerable, and areas cleared of forest are visible to the naked eye from outer space.</t>
  </si>
  <si>
    <t>St John the Baptist</t>
  </si>
  <si>
    <t>What first prompted the regeneration concept?</t>
  </si>
  <si>
    <t>a number of books and articles</t>
  </si>
  <si>
    <t>property tax policy</t>
  </si>
  <si>
    <t>When did Prime Minister Wilson commit to some form of devolved legislature?</t>
  </si>
  <si>
    <t>The Neighbors</t>
  </si>
  <si>
    <t>moist tropical vegetation cover</t>
  </si>
  <si>
    <t>The S-IVB orbital workshop was the only one of these plans to make it off the drawing board. Dubbed Skylab, it was constructed complete on the ground rather than in space, and launched in 1973 using the two lower stages of a Saturn V. It was equipped with an Apollo Telescope Mount, the solar telescope that would have been used on the Apollo Telescope Missions. Skylab's last crew departed the station on February 8, 1974, and the station itself re-entered the atmosphere in 1979, by which time it had become the oldest operational Apollo-Saturn component.</t>
  </si>
  <si>
    <t>Where was Edison Machine Works located?</t>
  </si>
  <si>
    <t>to increase the chloroplast's surface area for cross-membrane transport</t>
  </si>
  <si>
    <t>40 km</t>
  </si>
  <si>
    <t>stay</t>
  </si>
  <si>
    <t>What is the name of the turf used in Levi's Stadium for the Super Bowl?</t>
  </si>
  <si>
    <t>in October 2016</t>
  </si>
  <si>
    <t>Currently, how many votes out of the 352 total votes are needed for a majority?</t>
  </si>
  <si>
    <t>electrostatic force (due to the electric field) and the magnetic force</t>
  </si>
  <si>
    <t>"pull"</t>
  </si>
  <si>
    <t>assigned them to the company in lieu of stock</t>
  </si>
  <si>
    <t>The Swahili built Mombasa into a major port city and established trade links with other nearby city-states, as well as commercial centres in Persia, Arabia, and even India. By the 15th-century, Portuguese voyager Duarte Barbosa claimed that "Mombasa is a place of great traffic and has a good harbour in which there are always moored small craft of many kinds and also great ships, both of which are bound from Sofala and others which come from Cambay and Melinde and others which sail to the island of Zanzibar."</t>
  </si>
  <si>
    <t>phowa and siddhi</t>
  </si>
  <si>
    <t>What was Loudoun's plans for 1757?</t>
  </si>
  <si>
    <t>lactobacilli</t>
  </si>
  <si>
    <t>How long since it's been that geoglyphs were first discovered on deforested land?</t>
  </si>
  <si>
    <t>Confucian propriety and ancestor veneration</t>
  </si>
  <si>
    <t>What library contains the Selmur Productions catalogue?</t>
  </si>
  <si>
    <t>Marconi successfully transmitted the letter S from England to Newfoundland</t>
  </si>
  <si>
    <t>Inspired by Shelley what was the name of Gandhi's doctrine?</t>
  </si>
  <si>
    <t>silent</t>
  </si>
  <si>
    <t xml:space="preserve">Of what was the Diet of Worms an assembly? </t>
  </si>
  <si>
    <t>Soho Square</t>
  </si>
  <si>
    <t>Subject Committees</t>
  </si>
  <si>
    <t>Who said, "Here I stand. I can do no other"?</t>
  </si>
  <si>
    <t>According to Wilson's theorem, what factorial must be divisible by p if some integer p &gt; 1 is to be considered prime?</t>
  </si>
  <si>
    <t>What is the name of the university's summer festival?</t>
  </si>
  <si>
    <t>transplastomic</t>
  </si>
  <si>
    <t>Australian Government</t>
  </si>
  <si>
    <t>In 2012-13, ABC debuted a comedy Last Man Standing starring who?</t>
  </si>
  <si>
    <t>the 50 fund</t>
  </si>
  <si>
    <t>On what day were images of the moon's surface transmitted to Earth via television images?</t>
  </si>
  <si>
    <t>Who used the church to unify themselves?</t>
  </si>
  <si>
    <t>What do redistribution mechanisms lead to?</t>
  </si>
  <si>
    <t>What type of disability would a teacher help a student with?</t>
  </si>
  <si>
    <t>railway locomotives</t>
  </si>
  <si>
    <t>empires</t>
  </si>
  <si>
    <t>singing of German hymns</t>
  </si>
  <si>
    <t>reordering</t>
  </si>
  <si>
    <t>Long-lived memory cells can remember previous encounters with what?</t>
  </si>
  <si>
    <t>Adolf Hitler's rise to power</t>
  </si>
  <si>
    <t>second stage</t>
  </si>
  <si>
    <t>What was Julian Hawthorne's relation to Tesla?</t>
  </si>
  <si>
    <t>the assassination of John F. Kennedy</t>
  </si>
  <si>
    <t>Vice President Agnew</t>
  </si>
  <si>
    <t>live</t>
  </si>
  <si>
    <t>England's best-looking city</t>
  </si>
  <si>
    <t>oxygen gas</t>
  </si>
  <si>
    <t>metals</t>
  </si>
  <si>
    <t>the most efficient algorithm solving a given problem</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</si>
  <si>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</si>
  <si>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When did the Cretaceous-Paleogene extinction happen?</t>
  </si>
  <si>
    <t>Malik Jackson</t>
  </si>
  <si>
    <t>Sky+ PVR</t>
  </si>
  <si>
    <t>Southern Border Region</t>
  </si>
  <si>
    <t>How many study contracts were awarded on October 25th?</t>
  </si>
  <si>
    <t>22,000–14,000 yr BP</t>
  </si>
  <si>
    <t>algorithms have been written</t>
  </si>
  <si>
    <t>a painting</t>
  </si>
  <si>
    <t>Festival of Britain</t>
  </si>
  <si>
    <t>1724 to 1725</t>
  </si>
  <si>
    <t>Jon Corzine</t>
  </si>
  <si>
    <t>What element is found in most organic organisms?</t>
  </si>
  <si>
    <t>loss of biodiversity</t>
  </si>
  <si>
    <t>What is stratigraphy?</t>
  </si>
  <si>
    <t>armed jihad</t>
  </si>
  <si>
    <t>a half-penny sales tax</t>
  </si>
  <si>
    <t>flattened circular</t>
  </si>
  <si>
    <t>light energy</t>
  </si>
  <si>
    <t>It has been argued that the term "civil disobedience" has always suffered from ambiguity and in modern times, become utterly debased. Marshall Cohen notes, "It has been used to describe everything from bringing a test-case in the federal courts to taking aim at a federal official. Indeed, for Vice President Agnew it has become a code-word describing the activities of muggers, arsonists, draft evaders, campaign hecklers, campus militants, anti-war demonstrators, juvenile delinquents and political assassins."</t>
  </si>
  <si>
    <t>Necessity-based</t>
  </si>
  <si>
    <t>over any terrestrial distance</t>
  </si>
  <si>
    <t>When did ABC premier the Flintstones?</t>
  </si>
  <si>
    <t>1654</t>
  </si>
  <si>
    <t>carbohydrates</t>
  </si>
  <si>
    <t>experimentation</t>
  </si>
  <si>
    <t>What shows us lost chloroplasts?</t>
  </si>
  <si>
    <t>college</t>
  </si>
  <si>
    <t>Eero Saarinen</t>
  </si>
  <si>
    <t>What prohibition agent was also an alumni at the university?</t>
  </si>
  <si>
    <t>What shape are pyrenoids?</t>
  </si>
  <si>
    <t>The Arrow</t>
  </si>
  <si>
    <t>the Panthers</t>
  </si>
  <si>
    <t>Edict of Nantes</t>
  </si>
  <si>
    <t>Madera</t>
  </si>
  <si>
    <t>direct effect or indirect effect</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</si>
  <si>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</si>
  <si>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weak policies, corruption, inadequate health workers, weak management and poor leadership</t>
  </si>
  <si>
    <t>in action-reaction pairs</t>
  </si>
  <si>
    <t>no jail time</t>
  </si>
  <si>
    <t>the Paleoproterozoic eon</t>
  </si>
  <si>
    <t>What is the term used to identify a deterministic Turing machine that has additional random bits?</t>
  </si>
  <si>
    <t>congregation was founded in 1767,</t>
  </si>
  <si>
    <t>unwilling to risk large convoys to aid the limited forces it had in New France</t>
  </si>
  <si>
    <t>taking on debt</t>
  </si>
  <si>
    <t>Immunological memory can take what two forms?</t>
  </si>
  <si>
    <t>Who served his dinner?</t>
  </si>
  <si>
    <t>How many yards was the McManus field goal?</t>
  </si>
  <si>
    <t>one of the worst mistakes Luther made,</t>
  </si>
  <si>
    <t>What molecule does the Sun have in higher proportion than Earth?</t>
  </si>
  <si>
    <t>What is another name to describe the science of teaching?</t>
  </si>
  <si>
    <t>Like sponges and cnidarians, ctenophores have two main layers of cells that sandwich a middle layer of jelly-like material, which is called the mesoglea in cnidarians and ctenophores; more complex animals have three main cell layers and no intermediate jelly-like layer. Hence ctenophores and cnidarians have traditionally been labelled diploblastic, along with sponges. Both ctenophores and cnidarians have a type of muscle that, in more complex animals, arises from the middle cell layer, and as a result some recent text books classify ctenophores as triploblastic, while others still regard them as diploblastic.</t>
  </si>
  <si>
    <t>weather-related fluctuations</t>
  </si>
  <si>
    <t>usually humans</t>
  </si>
  <si>
    <t>to "exterminate" all non-Dalek beings</t>
  </si>
  <si>
    <t>Thomas Commerford Martin</t>
  </si>
  <si>
    <t>additional membranes</t>
  </si>
  <si>
    <t>What does the acronym LEM stand for?</t>
  </si>
  <si>
    <t>When was Zhu Shijie born?</t>
  </si>
  <si>
    <t>What countries are the Doctor Who DVDs available to purchase?</t>
  </si>
  <si>
    <t>What year were the first Doctor Who stories available on CD?</t>
  </si>
  <si>
    <t>disadvantage low-income and under-represented minority applicants</t>
  </si>
  <si>
    <t>through sponsors</t>
  </si>
  <si>
    <t>prime crew</t>
  </si>
  <si>
    <t>What type of behavior in primes is it possible to determine?</t>
  </si>
  <si>
    <t>around 17 nm</t>
  </si>
  <si>
    <t>Kenya is active in several sports, among them cricket, rallying, football, rugby union and boxing. The country is known chiefly for its dominance in middle-distance and long-distance athletics, having consistently produced Olympic and Commonwealth Games champions in various distance events, especially in 800 m, 1,500 m, 3,000 m steeplechase, 5,000 m, 10,000 m and the marathon. Kenyan athletes (particularly Kalenjin) continue to dominate the world of distance running, although competition from Morocco and Ethiopia has reduced this supremacy. Kenya's best-known athletes included the four-time women's Boston Marathon winner and two-time world champion Catherine Ndereba, 800m world record holder David Rudisha, former Marathon world record-holder Paul Tergat, and John Ngugi.</t>
  </si>
  <si>
    <t>he arrived too late to enroll at Charles-Ferdinand University; he never studied Greek, a required subject; and he was illiterate in Czech</t>
  </si>
  <si>
    <t>In what city is Rangi Ruru Girls' School?</t>
  </si>
  <si>
    <t>Which Doctor Who-related song reached Number One in the UK?</t>
  </si>
  <si>
    <t>By justification certain racial and geographical theories, Europe thought of itself as what?</t>
  </si>
  <si>
    <t>1979</t>
  </si>
  <si>
    <t>What forced the cancellations of three future landings?</t>
  </si>
  <si>
    <t>Justifying Grace</t>
  </si>
  <si>
    <t>Lower Paleolithic period</t>
  </si>
  <si>
    <t>What elements from the rift system in the Alpine orogeny in Southwest Germany?</t>
  </si>
  <si>
    <t>Which company owns ABC?</t>
  </si>
  <si>
    <t>many elderly people are now taking numerous medications but continue to live outside of institutional settings</t>
  </si>
  <si>
    <t>Father, the Son, or the Holy Spirit.</t>
  </si>
  <si>
    <t>What were the two Huguenot neighborhoods created in Berlin?</t>
  </si>
  <si>
    <t>There are many concepts of teachers in Islam, ranging from mullahs (the teachers at madrassas) to ulemas, who teach of the laws of Islam for the proper way of Islamic living according to the Sunnah and Ahadith, and can render legal verdicts upon matters of Islamic law in accordance with the teaching of one of the Four Schools of Jurisprudence. 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t>
  </si>
  <si>
    <t>What church money collector said that the sould would spring from purgatory through monetary donations?</t>
  </si>
  <si>
    <t>How do some scholars view the Nazi use of Luther's work?</t>
  </si>
  <si>
    <t>What are the anitmicrobial peptides secreted by the skin called?</t>
  </si>
  <si>
    <t>turning the whole climate science assessment process into a moderated "living" Wikipedia-IPCC</t>
  </si>
  <si>
    <t>Where are these animals mostly located?</t>
  </si>
  <si>
    <t>toward the end of his life</t>
  </si>
  <si>
    <t>UK's biggest national collection of material about live performance in the UK</t>
  </si>
  <si>
    <t>What production company produced the animated series The Flintstones for ABC?</t>
  </si>
  <si>
    <t>What was the title given to the major project to redesign all the galleries in the museum?</t>
  </si>
  <si>
    <t>Archduke Sigismund</t>
  </si>
  <si>
    <t>quick-release</t>
  </si>
  <si>
    <t>Daniel arap Moi</t>
  </si>
  <si>
    <t>British occupation</t>
  </si>
  <si>
    <t>What are the exchanged particles predicted by the standard Model?</t>
  </si>
  <si>
    <t>What city, raided by clans and dukes, preceded the founding of Warszowa?</t>
  </si>
  <si>
    <t>Former IPCC chairman Robert Watson has said "The mistakes all appear to have gone in the direction of making it seem like climate change is more serious by overstating the impact. That is worrying. The IPCC needs to look at this trend in the errors and ask why it happened". Martin Parry, a climate expert who had been co-chair of the IPCC working group II, said that "What began with a single unfortunate error over Himalayan glaciers has become a clamour without substance" and the IPCC had investigated the other alleged mistakes, which were "generally unfounded and also marginal to the assessment".</t>
  </si>
  <si>
    <t>What is a type of disobedience against the federal government?</t>
  </si>
  <si>
    <t>ambiguous</t>
  </si>
  <si>
    <t>What ethnicity was Shi Tianze?</t>
  </si>
  <si>
    <t>Why is shine-dalgarno sequence recognition important?</t>
  </si>
  <si>
    <t>Which provinces in Canada limit the rights of pharmacists in prescribing?</t>
  </si>
  <si>
    <t>ABC on Demand</t>
  </si>
  <si>
    <t>Neutrophils</t>
  </si>
  <si>
    <t>massive financial commitment</t>
  </si>
  <si>
    <t>Astra 2A</t>
  </si>
  <si>
    <t>What is the final effect of adding more and more idea strings to a load?</t>
  </si>
  <si>
    <t>What was the name of BSkyB's digital service launched under?</t>
  </si>
  <si>
    <t>self</t>
  </si>
  <si>
    <t>Eldon Square Shopping Centre,</t>
  </si>
  <si>
    <t xml:space="preserve">What did Warner Sinback decide </t>
  </si>
  <si>
    <t>forming a 'A National Gallery of British Art'</t>
  </si>
  <si>
    <t>a year</t>
  </si>
  <si>
    <t>The Central Region</t>
  </si>
  <si>
    <t>months after it happened</t>
  </si>
  <si>
    <t>500</t>
  </si>
  <si>
    <t>What British TV network will carry the Super Bowl?</t>
  </si>
  <si>
    <t>legalize importation of medications</t>
  </si>
  <si>
    <t>15 miles</t>
  </si>
  <si>
    <t>higher than teachers who didn't show much enthusiasm</t>
  </si>
  <si>
    <t>Who did the keelmen live with in a tight-knight community east of Newcastle?</t>
  </si>
  <si>
    <t>382 kg</t>
  </si>
  <si>
    <t>In at least some species, juveniles are capable of reproduction before reaching the adult size</t>
  </si>
  <si>
    <t>What chloroplast structure is similar to the inner mitochondria membrane?</t>
  </si>
  <si>
    <t>1562 to 1598</t>
  </si>
  <si>
    <t>Happy Days</t>
  </si>
  <si>
    <t>Children in Need</t>
  </si>
  <si>
    <t>Where was Victoria first set to be located in Australia?</t>
  </si>
  <si>
    <t>What kind of contract is given when the contractor is given a performance specification and must undertake the project from design to construction, while adhering to the performance specifications?</t>
  </si>
  <si>
    <t>autoimmune</t>
  </si>
  <si>
    <t>break their vows without sin,</t>
  </si>
  <si>
    <t>How many people were estimated to go to the different game-themed events during the week prior to Super Bowl 50 in the city it was held in?</t>
  </si>
  <si>
    <t>former party leader</t>
  </si>
  <si>
    <t>because of their animosity toward each other</t>
  </si>
  <si>
    <t>Construction takes place on location for who?</t>
  </si>
  <si>
    <t>Getty Oil's</t>
  </si>
  <si>
    <t>Down to how many laws did Tesla believe the fundamental laws could be reduced?</t>
  </si>
  <si>
    <t>What is notable about the Amazon forest when it is seen from space?</t>
  </si>
  <si>
    <t>object started with a non-zero velocity</t>
  </si>
  <si>
    <t>KOA (850 AM) and KRFX (103.5 FM)</t>
  </si>
  <si>
    <t>What did the Ominde Commission do?</t>
  </si>
  <si>
    <t>elites</t>
  </si>
  <si>
    <t>adenosine triphosphate</t>
  </si>
  <si>
    <t>Originating as the Jama'at al-Tawhid wal-Jihad in 1999, it pledged allegiance to al-Qaeda in 2004, participated in the Iraqi insurgency that followed the March 2003 invasion of Iraq by Western forces, joined the fight in the Syrian Civil War beginning in March 2011, and was expelled from al-Qaeda in early 2014, (which complained of its failure to consult and "notorious intransigence"). The group gained prominence after it drove Iraqi government forces out of key cities in western Iraq in a 2014 offensive. The group is adept at social media, posting Internet videos of beheadings of soldiers, civilians, journalists and aid workers, and is known for its destruction of cultural heritage sites. The United Nations has held ISIL responsible for human rights abuses and war crimes, and Amnesty International has reported ethnic cleansing by the group on a "historic scale". The group has been designated a terrorist organisation by the United Nations, the European Union and member states, the United States, India, Indonesia, Turkey, Saudi Arabia, Syria and other countries.</t>
  </si>
  <si>
    <t>What profession are Cany Ash and Robert Sakula?</t>
  </si>
  <si>
    <t>h International Criminal Court trial dates in 2013 for both President Kenyatta and Deputy President William Ruto</t>
  </si>
  <si>
    <t>The fundamental theorem of arithmetic</t>
  </si>
  <si>
    <t>1820</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</si>
  <si>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</si>
  <si>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What Yuan policies did Muslims dislike?</t>
  </si>
  <si>
    <t>Where is the George W. Bush Presidential library?</t>
  </si>
  <si>
    <t>AAUW study</t>
  </si>
  <si>
    <t>produce better academic results</t>
  </si>
  <si>
    <t>To ensure safety of future space missions Oxygen was used at _____ of the normal pressure.</t>
  </si>
  <si>
    <t>Notable faculty in physics have included the speed of light calculator A. A. Michelson, elementary charge calculator Robert A. Millikan, discoverer of the Compton Effect Arthur H. Compton, the creator of the first nuclear reactor Enrico Fermi, "the father of the hydrogen bomb" Edward Teller, "one of the most brilliant and productive experimental physicists of the twentieth century" Luis Walter Alvarez, Murray Gell-Mann who introduced the quark, second female Nobel laureate Maria Goeppert-Mayer, the youngest American winner of the Nobel Prize Tsung-Dao Lee, and astrophysicist Subrahmanyan Chandrasekhar.</t>
  </si>
  <si>
    <t>American Medical Association (AMA)</t>
  </si>
  <si>
    <t>distract Montcalm</t>
  </si>
  <si>
    <t>secular leanings</t>
  </si>
  <si>
    <t>Where is the most successful agricultural prodcution regions?</t>
  </si>
  <si>
    <t>What was the name of Watt's partner?</t>
  </si>
  <si>
    <t>direct</t>
  </si>
  <si>
    <t xml:space="preserve">How did the Rhine extend watershed southward? </t>
  </si>
  <si>
    <t>a board of trustees</t>
  </si>
  <si>
    <t>What does pushing and pulling perceptions provide for describing forces?</t>
  </si>
  <si>
    <t>How did Tesla attend the university?</t>
  </si>
  <si>
    <t>sacrament of the Lord's Supper</t>
  </si>
  <si>
    <t>gentrification of older neighbourhoods</t>
  </si>
  <si>
    <t>Who designed the "50"?</t>
  </si>
  <si>
    <t>What version of the English translation of the Bible did Luther's translation affect?</t>
  </si>
  <si>
    <t>10 million</t>
  </si>
  <si>
    <t>What did the conflict galvanize Muslims around the world to do?</t>
  </si>
  <si>
    <t>Who would have been the lowest-ranked class?</t>
  </si>
  <si>
    <t>weak policies, corruption, inadequate health workers, weak management and poor leadership in the public health sector</t>
  </si>
  <si>
    <t>What was another use for the weapon?</t>
  </si>
  <si>
    <t>a glass case</t>
  </si>
  <si>
    <t>New broadcast regulations from the FCC in 1968 allowed companies to own a maximum of how many radio stations?</t>
  </si>
  <si>
    <t>From 2006 Garda vetting has been introduced for new entrants to the teaching profession. These procedures apply to teaching and also to non-teaching posts and those who refuse vetting "cannot be appointed or engaged by the school in any capacity including in a voluntary role". Existing staff will be vetted on a phased basis.</t>
  </si>
  <si>
    <t>Newcastle upon Tyne (RP: i/ˌnjuːkɑːsəl əˌpɒn ˈtaɪn/; Locally: i/njuːˌkæsəl əˌpən ˈtaɪn/), commonly known as Newcastle, is a city in Tyne and Wear, North East England, 103 miles (166 km) south of Edinburgh and 277 miles (446 km) north of London on the northern bank of the River Tyne, 8.5 mi (13.7 km) from the North Sea. Newcastle is the most populous city in the North East and Tyneside the eighth most populous conurbation in the United Kingdom. Newcastle is a member of the English Core Cities Group and is a member of the Eurocities network of European cities. Newcastle was part of the county of Northumberland until 1400, when it became a county itself, a status it retained until becoming part of Tyne and Wear in 1974.[not in citation given] The regional nickname and dialect for people from Newcastle and the surrounding area is Geordie.</t>
  </si>
  <si>
    <t>Newton</t>
  </si>
  <si>
    <t>Chinese and Japanese ceramics.</t>
  </si>
  <si>
    <t>effective planning</t>
  </si>
  <si>
    <t>Disney–ABC Television Group</t>
  </si>
  <si>
    <t>Gothic</t>
  </si>
  <si>
    <t>In 2006, a toxic waste spill off the coast of Côte d'Ivoire, from a European ship, prompted the Commission to look into legislation against toxic waste. Environment Commissioner Stavros Dimas stated that "Such highly toxic waste should never have left the European Union". With countries such as Spain not even having a crime against shipping toxic waste, Franco Frattini, the Justice, Freedom and Security Commissioner, proposed with Dimas to create criminal sentences for "ecological crimes". The competence for the Union to do this was contested in 2005 at the Court of Justice resulting in a victory for the Commission. That ruling set a precedent that the Commission, on a supranational basis, may legislate in criminal law – something never done before. So far, the only other proposal has been the draft intellectual property rights directive. Motions were tabled in the European Parliament against that legislation on the basis that criminal law should not be an EU competence, but was rejected at vote. However, in October 2007, the Court of Justice ruled that the Commission could not propose what the criminal sanctions could be, only that there must be some.</t>
  </si>
  <si>
    <t>The number of new Huguenot colonists declined after what year?</t>
  </si>
  <si>
    <t>When did Luther write Wir glauben all an einen Gott?</t>
  </si>
  <si>
    <t>traditional visor helmet</t>
  </si>
  <si>
    <t>What is the name of contemporary Mongolian currency?</t>
  </si>
  <si>
    <t>Velamen parallelum</t>
  </si>
  <si>
    <t>first but, first and, first if, but first period</t>
  </si>
  <si>
    <t>lost</t>
  </si>
  <si>
    <t>Which TV network broadcasted Super Bowl 50 in Spanish?</t>
  </si>
  <si>
    <t>open to all irrespective of age, literacy level</t>
  </si>
  <si>
    <t>What implication can be derived for P and NP if P and co-NP are established to be unequal?</t>
  </si>
  <si>
    <t>on the BBC's mainstream BBC One channel</t>
  </si>
  <si>
    <t>ciliary groove</t>
  </si>
  <si>
    <t>What do chloroplasts in mesophyll cells specialized use to make ATP?</t>
  </si>
  <si>
    <t>What was the incident over taxes at Ballarat called?</t>
  </si>
  <si>
    <t>service to the neighbor in the common, daily vocations of this perishing world</t>
  </si>
  <si>
    <t>1.4 times</t>
  </si>
  <si>
    <t>What does  mnemiopsis eat?</t>
  </si>
  <si>
    <t>Who did Denver beat in the 2015 AFC Championship game?</t>
  </si>
  <si>
    <t>A dollar spent by a poor person is likely to provide what for them?</t>
  </si>
  <si>
    <t>The Ninety-Five Theses</t>
  </si>
  <si>
    <t>secular and sacred</t>
  </si>
  <si>
    <t>What type of cascade results when complement proteins bind to microbes and activate their protease activity?</t>
  </si>
  <si>
    <t>Why is majority rule used?</t>
  </si>
  <si>
    <t>What is the Almannic dialect to describe the islands outside in Austria?</t>
  </si>
  <si>
    <t>When did Obama finally visit Kenya?</t>
  </si>
  <si>
    <t>How many variants is the new ABC logo currently displayed in?</t>
  </si>
  <si>
    <t>poverty and were ill treated</t>
  </si>
  <si>
    <t>1788</t>
  </si>
  <si>
    <t>What was East and Central Africa's economy boosted by?</t>
  </si>
  <si>
    <t>What theory accounted for the Mercury problem?</t>
  </si>
  <si>
    <t>three-dimensional objects</t>
  </si>
  <si>
    <t>What year was the ECSC agreement established?</t>
  </si>
  <si>
    <t>"belt animals"</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</si>
  <si>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</si>
  <si>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Koori</t>
  </si>
  <si>
    <t>After al-Nimeiry was overthrown in 1985 the party did poorly in national elections, but in 1989 it was able to overthrow the elected post-al-Nimeiry government with the help of the military. Turabi was noted for proclaiming his support for the democratic process and a liberal government before coming to power, but strict application of sharia law, torture and mass imprisonment of the opposition, and an intensification of the long-running war in southern Sudan, once in power. The NIF regime also harbored Osama bin Laden for a time (before 9/11), and worked to unify Islamist opposition to the American attack on Iraq in the 1991 Gulf War.</t>
  </si>
  <si>
    <t>between November 2006 and May 2008</t>
  </si>
  <si>
    <t>1580</t>
  </si>
  <si>
    <t>What does the Museum of the Polish Army portray the history of?</t>
  </si>
  <si>
    <t>a more assertive and confrontational style</t>
  </si>
  <si>
    <t>We are beggars</t>
  </si>
  <si>
    <t>increasing emphasis on entertainment and leisure</t>
  </si>
  <si>
    <t>Because of certain statements what was the believed state of his religious views?</t>
  </si>
  <si>
    <t>left foot.</t>
  </si>
  <si>
    <t>British Superintendent for Indian Affairs in the New York region and beyond</t>
  </si>
  <si>
    <t>the John Madejski Garden</t>
  </si>
  <si>
    <t>Rhine-Ruhr</t>
  </si>
  <si>
    <t>During which season did ABC first take the lead spot in television rating?</t>
  </si>
  <si>
    <t>Who was given the highlights of most of the matches?</t>
  </si>
  <si>
    <t>What career does Joseph Stiglitz have?</t>
  </si>
  <si>
    <t>In what year was a set of significant rule changes introduced including the forward pass?</t>
  </si>
  <si>
    <t>not recorded in witness accounts</t>
  </si>
  <si>
    <t>How long did Ms Kucukdeveci work for Swedex Gmbh &amp; Co KG before she was dismissed?</t>
  </si>
  <si>
    <t>When was gold found near Ballarat?</t>
  </si>
  <si>
    <t>On June 4, 2014</t>
  </si>
  <si>
    <t>How many tackles did Von Miller accomlish by himself in the game?</t>
  </si>
  <si>
    <t>What are the independant components of a vector sum that has been determined by scalar addition of individual vectors?</t>
  </si>
  <si>
    <t>sponges and cnidarians, ctenophores</t>
  </si>
  <si>
    <t>How did the BBC get audio versions of the lost episodes?</t>
  </si>
  <si>
    <t>According to scholars Walter Krämer, Götz Trenkler, Gerhard Ritter, and Gerhard Prause, the story of the posting on the door, even though it has settled as one of the pillars of history, has little foundation in truth. The story is based on comments made by Philipp Melanchthon, though it is thought that he was not in Wittenberg at the time.</t>
  </si>
  <si>
    <t>How long ago did primates inhabit Kenya?</t>
  </si>
  <si>
    <t>Goldman Sachs</t>
  </si>
  <si>
    <t>Capital Cities/ABC, Inc.</t>
  </si>
  <si>
    <t>What increases student's motivation to learn?</t>
  </si>
  <si>
    <t>Among whom was Genghis Khan's empire split after his death?</t>
  </si>
  <si>
    <t>the United States Census Bureau</t>
  </si>
  <si>
    <t>1 July 1851</t>
  </si>
  <si>
    <t>When did the league go from 15 to 16 games in the regular season?</t>
  </si>
  <si>
    <t>new form</t>
  </si>
  <si>
    <t>Living from 973–1048 CE he was one of the earliest Persian geologists, what was his name?</t>
  </si>
  <si>
    <t>San Fernando Valley</t>
  </si>
  <si>
    <t>What is the name of the two-tentacled cydippid that feedsentirely on salps called?</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</si>
  <si>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</si>
  <si>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Who did Philip I want to marry?</t>
  </si>
  <si>
    <t>it has trouble crossing membranes to get to where it is needed</t>
  </si>
  <si>
    <t>During the mid-Eocene</t>
  </si>
  <si>
    <t>What health company was a Super Bowl sponsor?</t>
  </si>
  <si>
    <t>primality</t>
  </si>
  <si>
    <t>How old was Katharina when she married Luther?</t>
  </si>
  <si>
    <t>covalent double bond</t>
  </si>
  <si>
    <t>How is the plaster replica of Verrocchio's David displayed in the Cast Courts?</t>
  </si>
  <si>
    <t>9.81 meters per second</t>
  </si>
  <si>
    <t>In what episode does the "Fall of the Eleventh" happen?</t>
  </si>
  <si>
    <t>Was the school officially associated with any denomination?</t>
  </si>
  <si>
    <t>When can oxygen gas produce a toxic condition?</t>
  </si>
  <si>
    <t>What is the name of the region that is not defined by the eight or 10 county definitions?</t>
  </si>
  <si>
    <t>1806-07</t>
  </si>
  <si>
    <t>multiple revisions</t>
  </si>
  <si>
    <t>the wool trade</t>
  </si>
  <si>
    <t>What are frets?</t>
  </si>
  <si>
    <t>What types of schools are most ergänzungsschulen?</t>
  </si>
  <si>
    <t>What channels were removed from the network in March of 2007?</t>
  </si>
  <si>
    <t>AS-501</t>
  </si>
  <si>
    <t>up to a thousand times</t>
  </si>
  <si>
    <t>Laszlo Babai and Eugene Luks</t>
  </si>
  <si>
    <t>summit of Finsteraarhorn</t>
  </si>
  <si>
    <t>biogeochemical cycle</t>
  </si>
  <si>
    <t>100,000</t>
  </si>
  <si>
    <t>What kind of cell identifies pathogens when the antibodies on its surface complex with a specific foreign antigen?</t>
  </si>
  <si>
    <t>The Christmas Invasion</t>
  </si>
  <si>
    <t>the world's water bodies</t>
  </si>
  <si>
    <t>prevent growth</t>
  </si>
  <si>
    <t>What was Nikola Tesla's ethnicity?</t>
  </si>
  <si>
    <t>deselected as official party candidates during future elections</t>
  </si>
  <si>
    <t>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t>
  </si>
  <si>
    <t>union government</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</si>
  <si>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</si>
  <si>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Where and when did the investigation of the plague pathogen begin?</t>
  </si>
  <si>
    <t>the All India Muslim League</t>
  </si>
  <si>
    <t>default emission factors</t>
  </si>
  <si>
    <t>BSkyB launched its HDTV service, Sky+ HD, on 22 May 2006. Prior to its launch, BSkyB claimed that 40,000 people had registered to receive the HD service. In the week before the launch, rumours started to surface that BSkyB was having supply issues with its set top box (STB) from manufacturer Thomson. On Thursday 18 May 2006, and continuing through the weekend before launch, people were reporting that BSkyB had either cancelled or rescheduled its installation. Finally, the BBC reported that 17,000 customers had yet to receive the service due to failed deliveries. On 31 March 2012, Sky announced the total number of homes with Sky+HD was 4,222,000.</t>
  </si>
  <si>
    <t>What engines were used throughout most of the 20th century to propel ships?</t>
  </si>
  <si>
    <t>magnitude</t>
  </si>
  <si>
    <t>What does pharmacy legislation mandate?</t>
  </si>
  <si>
    <t>Cadeby stone</t>
  </si>
  <si>
    <t>What did Luther try to avoid in setting up his church?</t>
  </si>
  <si>
    <t>strong response</t>
  </si>
  <si>
    <t>fear of betrayal</t>
  </si>
  <si>
    <t>260</t>
  </si>
  <si>
    <t>service firms</t>
  </si>
  <si>
    <t>In what year did Harvey Martin die?</t>
  </si>
  <si>
    <t>In what year was Irene Elizabeth Stroud convicted in a church trial?</t>
  </si>
  <si>
    <t>Cobham–Edmonds thesis</t>
  </si>
  <si>
    <t>socialism</t>
  </si>
  <si>
    <t>low</t>
  </si>
  <si>
    <t>a ribosome</t>
  </si>
  <si>
    <t>What did article 65 of the ECSC ban?</t>
  </si>
  <si>
    <t>Immediately after Decision Time</t>
  </si>
  <si>
    <t>The mechanisms used to evade the adaptive immune system are more complicated. The simplest approach is to rapidly change non-essential epitopes (amino acids and/or sugars) on the surface of the pathogen, while keeping essential epitopes concealed. This is called antigenic variation. An example is HIV, which mutates rapidly, so the proteins on its viral envelope that are essential for entry into its host target cell are constantly changing. These frequent changes in antigens may explain the failures of vaccines directed at this virus. The parasite Trypanosoma brucei uses a similar strategy, constantly switching one type of surface protein for another, allowing it to stay one step ahead of the antibody response. Masking antigens with host molecules is another common strategy for avoiding detection by the immune system. In HIV, the envelope that covers the virion is formed from the outermost membrane of the host cell; such "self-cloaked" viruses make it difficult for the immune system to identify them as "non-self" structures.</t>
  </si>
  <si>
    <t>October 2016</t>
  </si>
  <si>
    <t>Besides baptism, what shows the future of heaven to Christians?</t>
  </si>
  <si>
    <t>What may cause "motivational embellishment"?</t>
  </si>
  <si>
    <t>decline of organized labor</t>
  </si>
  <si>
    <t>What will the output be for a member of the language of a decision problem?</t>
  </si>
  <si>
    <t>an Australian public X.25 network operated by Telstra</t>
  </si>
  <si>
    <t>Which of Genghis Khan's mentors practiced Christianity?</t>
  </si>
  <si>
    <t>Who wrote a pamphlet outlining the radical ideas of the extremists?</t>
  </si>
  <si>
    <t>trust in Christ be stronger,</t>
  </si>
  <si>
    <t>What is the goal of the capabilities approach?</t>
  </si>
  <si>
    <t>comedies and family-oriented</t>
  </si>
  <si>
    <t>a frontier market or occasionally an emerging market</t>
  </si>
  <si>
    <t>Cells of the site of an infection in a plant undergo what process to prevent spread of the disease?</t>
  </si>
  <si>
    <t>In what area of the United States did Tesla move to?</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</si>
  <si>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</si>
  <si>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What was a Happy Days spinoff that debuted in the 1980s on ABC?</t>
  </si>
  <si>
    <t>Midsummer’s Night</t>
  </si>
  <si>
    <t>What did Pegasus satellites measure to propose the safety of the environment in space and on the moon?</t>
  </si>
  <si>
    <t>What type of space in Warsaw are the Botanic Garden and University Library garden?</t>
  </si>
  <si>
    <t>May 1888</t>
  </si>
  <si>
    <t>blueprint</t>
  </si>
  <si>
    <t>the Singing Revolution</t>
  </si>
  <si>
    <t>Doctor in Bible</t>
  </si>
  <si>
    <t>Geology</t>
  </si>
  <si>
    <t>The IPCC receives funding through the IPCC Trust Fund, established in 1989 by the United Nations Environment Programme (UNEP) and the World Meteorological Organization (WMO), Costs of the Secretary and of housing the secretariat are provided by the WMO, while UNEP meets the cost of the Depute Secretary. Annual cash contributions to the Trust Fund are made by the WMO, by UNEP, and by IPCC Members; the scale of payments is determined by the IPCC Panel, which is also responsible for considering and adopting by consensus the annual budget. The organisation is required to comply with the Financial Regulations and Rules of the WMO.</t>
  </si>
  <si>
    <t>lipids and proteins</t>
  </si>
  <si>
    <t>the Danube</t>
  </si>
  <si>
    <t>at the end of the 19th century</t>
  </si>
  <si>
    <t>German citizens when Hitler's secret police demanded to know if they were hiding a Jew in their house</t>
  </si>
  <si>
    <t>this as well</t>
  </si>
  <si>
    <t>over 90 destinations</t>
  </si>
  <si>
    <t>In what year did Lost first debut?</t>
  </si>
  <si>
    <t>OAPEC proclaimed the embargo that curbed exports to various countries</t>
  </si>
  <si>
    <t>18-karat gold</t>
  </si>
  <si>
    <t>pattern recognition receptors</t>
  </si>
  <si>
    <t>What is the name of the European Union agency for external border security?</t>
  </si>
  <si>
    <t>Who thought that applied force caused movement of an object regardless of non-zero velocity?</t>
  </si>
  <si>
    <t>yin-yang and wuxing philosophy</t>
  </si>
  <si>
    <t>What principle highlights the significance of primes in number theory</t>
  </si>
  <si>
    <t>Missing self desribes cells that only have small amounts of what cell-surface marker?</t>
  </si>
  <si>
    <t>What did Maududi believe Muslim society could not be Islamic in the absence of?</t>
  </si>
  <si>
    <t>the courtyard</t>
  </si>
  <si>
    <t>graph isomorphism</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</si>
  <si>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</si>
  <si>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installed electrical arc light based illumination systems designed by Tesla and also had designs for dynamo electric machine commutators</t>
  </si>
  <si>
    <t>the Pax Mongolica (Mongol Peace)</t>
  </si>
  <si>
    <t>Who do gurus control?</t>
  </si>
  <si>
    <t>There have been major changes in Amazon rainforest vegetation over the last how many years?</t>
  </si>
  <si>
    <t>Who may be a spiritual teacher in the LDS Church?</t>
  </si>
  <si>
    <t>François, Duc d'Alençon</t>
  </si>
  <si>
    <t>What city did the Grand Canal reach during the Yuan?</t>
  </si>
  <si>
    <t>Where might a teacher teach that is not inside a building?</t>
  </si>
  <si>
    <t>the spin</t>
  </si>
  <si>
    <t>How many teachers were found to have felt occupational stress in a 2000 study?</t>
  </si>
  <si>
    <t>How soon after the cabin fire incident did NASA create its accident review board?</t>
  </si>
  <si>
    <t>other herbs</t>
  </si>
  <si>
    <t>40 km wide</t>
  </si>
  <si>
    <t>environmental degradation</t>
  </si>
  <si>
    <t>What is the weight of a bushel of coal in pounds?</t>
  </si>
  <si>
    <t>What can construction projects suffer from?</t>
  </si>
  <si>
    <t>theatres.</t>
  </si>
  <si>
    <t>John F. Kennedy's</t>
  </si>
  <si>
    <t>Norman architecture typically stands out as a new stage in the architectural history of the regions they subdued. They spread a unique Romanesque idiom to England and Italy, and the encastellation of these regions with keeps in their north French style fundamentally altered the military landscape. Their style was characterised by rounded arches, particularly over windows and doorways, and massive proportions.</t>
  </si>
  <si>
    <t>What is an example of major civil disobedience in South Africa?</t>
  </si>
  <si>
    <t>the Van de Graaff generator</t>
  </si>
  <si>
    <t>reaching the highest-post in the government</t>
  </si>
  <si>
    <t>How long would the invasion of the Middle East have to last in order to develop renewable resources?</t>
  </si>
  <si>
    <t>When was the last episode of the original series?</t>
  </si>
  <si>
    <t>First, if a Directive's deadline for implementation is not met, the member state cannot enforce conflicting laws, and a citizen may rely on the Directive in such an action (so called "vertical"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"not rely, as against individuals, on its own failure to perform the obligations which the Directive entails."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"general principle" of EU law, it can be invoked between private non-state parties before its deadline for implementation. This follows from Kücükdeveci v Swedex GmbH &amp; Co KG where the German Civil Code §622 stated that the years people worked under the age of 25 would not count towards the increasing statutory notice before dismissal. Ms Kücükdeveci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t>
  </si>
  <si>
    <t>Chinese and Japanese ceramics</t>
  </si>
  <si>
    <t>Where did the Jin emporer relocate his capital after Genghis Khan overran the norther part of his empire?</t>
  </si>
  <si>
    <t>Who is currently the President of the Council?</t>
  </si>
  <si>
    <t>The Board of Trustees</t>
  </si>
  <si>
    <t>What is one example of what a clinical pharmacist's duties entail?</t>
  </si>
  <si>
    <t>Super Bowl XXVIII</t>
  </si>
  <si>
    <t>When did Blackburne make his argument about Luther and souls?</t>
  </si>
  <si>
    <t>265.7</t>
  </si>
  <si>
    <t>The Edge of Night</t>
  </si>
  <si>
    <t>What type of medicine did Mongol shamans use?</t>
  </si>
  <si>
    <t>the desire to prevent things that are indisputably bad</t>
  </si>
  <si>
    <t>imperialism often divides countries by using which technique?</t>
  </si>
  <si>
    <t>What story has little foundation in truth?</t>
  </si>
  <si>
    <t>What famous conductor went to Harvard?</t>
  </si>
  <si>
    <t>solution</t>
  </si>
  <si>
    <t>What type of commutative ring does the Lasker–Noether theorem express every ideal as an intersection of primary ideals in?</t>
  </si>
  <si>
    <t>capability deprivation</t>
  </si>
  <si>
    <t>In a steam turbine, what are rotors mounted on?</t>
  </si>
  <si>
    <t>On what date did Luther die?</t>
  </si>
  <si>
    <t>1995–96</t>
  </si>
  <si>
    <t>How high is the highest point in Warsaw?</t>
  </si>
  <si>
    <t>destroy invading microbes</t>
  </si>
  <si>
    <t>late antiquity</t>
  </si>
  <si>
    <t>3,60</t>
  </si>
  <si>
    <t>South American</t>
  </si>
  <si>
    <t>Which rail line operates in Melbourne?</t>
  </si>
  <si>
    <t>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t>
  </si>
  <si>
    <t>South Pacific</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</si>
  <si>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γδ T cells that recognize intact antigens that are not bound to MHC receptors.</t>
  </si>
  <si>
    <t>How many degrees south did the Amazon rainforest reach from 66-34 Mya?</t>
  </si>
  <si>
    <t>a citizen may rely on the Directive in such an action (so called "vertical" direct effect)</t>
  </si>
  <si>
    <t>informed Céloron that they owned the Ohio Country and that they would trade with the British regardless of the French</t>
  </si>
  <si>
    <t>internal fertilization and keep the eggs in brood chambers until they hatch.</t>
  </si>
  <si>
    <t>What is the duration of Harvard Academic year?</t>
  </si>
  <si>
    <t>What does the ciliary rosettes do to decease bulk and increase density?</t>
  </si>
  <si>
    <t>historical political divisions</t>
  </si>
  <si>
    <t>May 2000</t>
  </si>
  <si>
    <t>essentials</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</si>
  <si>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</si>
  <si>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What success did Abercrombie gain out of the defeat at Carillon?</t>
  </si>
  <si>
    <t>Van Nuys Airport</t>
  </si>
  <si>
    <t>1817</t>
  </si>
  <si>
    <t>lower-pressure boiler feed water</t>
  </si>
  <si>
    <t>What organization is devoted to Jihad against Israel?</t>
  </si>
  <si>
    <t>antiparallel spins</t>
  </si>
  <si>
    <t>rote learning</t>
  </si>
  <si>
    <t>symbols</t>
  </si>
  <si>
    <t>Jacksonville is in the First Coast region of northeast Florida and is centered on the banks of the St. Johns River, about 25 miles (40 km) south of the Georgia state line and about 340 miles (550 km)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 a year after the United States gained Florida from Spain; it was named after Andrew Jackson, the first military governor of the Florida Territory and seventh President of the United States.</t>
  </si>
  <si>
    <t>1965–66 season</t>
  </si>
  <si>
    <t>remaining in black and white,</t>
  </si>
  <si>
    <t>extended</t>
  </si>
  <si>
    <t>in granules found in the periplastid space</t>
  </si>
  <si>
    <t>the creation of modern Balkan and Middle Eastern states</t>
  </si>
  <si>
    <t>What do some community pharmacies do?</t>
  </si>
  <si>
    <t>Only a little time</t>
  </si>
  <si>
    <t>thousands of years</t>
  </si>
  <si>
    <t>circle logo</t>
  </si>
  <si>
    <t>magma</t>
  </si>
  <si>
    <t>As of 2010[update], there were 366,273 households out of which 11.8% were vacant. 23.9% of households had children under the age of 18 living with them, 43.8% were married couples, 15.2% had a female householder with no husband present, and 36.4% were non-families. 29.7% of all households were made up of individuals and 7.9% had someone living alone who was 65 years of age or older. The average household size was 2.55 and the average family size was 3.21. In the city, the population was spread out with 23.9% under the age of 18, 10.5% from 18 to 24, 28.5% from 25 to 44, 26.2% from 45 to 64, and 10.9% who were 65 years of age or older. The median age was 35.5 years. For every 100 females there were 94.1 males. For every 100 females age 18 and over, there were 91.3 males.</t>
  </si>
  <si>
    <t xml:space="preserve">When was Tesla's innovative motor patented? </t>
  </si>
  <si>
    <t>much higher</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</si>
  <si>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</si>
  <si>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When was St. John's Cathedral constructed?</t>
  </si>
  <si>
    <t>Who lived in a tree to prevent it from being cut down as a form of civil disobedience?</t>
  </si>
  <si>
    <t>Rhine-kilometers"</t>
  </si>
  <si>
    <t>Matthew 5:38-39</t>
  </si>
  <si>
    <t>a somewhat larger number</t>
  </si>
  <si>
    <t>Mark I Type 40 TARDIS</t>
  </si>
  <si>
    <t>it focuses attention on the threat of punishment and not the moral reasons to follow this law</t>
  </si>
  <si>
    <t>Who was Bill Aiken's adopted mother?</t>
  </si>
  <si>
    <t>What did Luther call  the consecrated bread and wine?</t>
  </si>
  <si>
    <t>1234</t>
  </si>
  <si>
    <t>What is the Royal Castle the most interesting example of?</t>
  </si>
  <si>
    <t>Creon, the current King of Thebes, who is trying to stop her from giving her brother Polynices a proper burial</t>
  </si>
  <si>
    <t>Who was the Broncos' leading rusher for the 2015 season?</t>
  </si>
  <si>
    <t>Ctenophores, cnidarians and what other group are labelled diploblastic?</t>
  </si>
  <si>
    <t>Marquis de la Jonquière</t>
  </si>
  <si>
    <t>arbitrary</t>
  </si>
  <si>
    <t>judicial branch</t>
  </si>
  <si>
    <t>When did Great Britain lose its colonies in North America?</t>
  </si>
  <si>
    <t>On 17 December 1941, seven Protestant regional church confederations issued a statement agreeing with the policy of forcing Jews to wear the yellow badge, "since after his bitter experience Luther had already suggested preventive measures against the Jews and their expulsion from German territory." According to Daniel Goldhagen, Bishop Martin Sasse, a leading Protestant churchman, published a compendium of Luther's writings shortly after Kristallnacht, for which Diarmaid MacCulloch, Professor of the History of the Church in the University of Oxford argued that Luther's writing was a "blueprint." Sasse applauded the burning of the synagogues and the coincidence of the day, writing in the introduction, "On 10 November 1938, on Luther's birthday, the synagogues are burning in Germany." The German people, he urged, ought to heed these words "of the greatest antisemite of his time, the warner of his people against the Jews."</t>
  </si>
  <si>
    <t>One of the great treasures in the library is the Codex Forster, some of Leonardo da Vinci's note books. The Codex consists of three parchment-bound manuscripts, Forster I, Forster II, and Forster III, quite small in size, dated between 1490 and 1505. Their contents include a large collection of sketches and references to the equestrian sculpture commissioned by the Duke of Milan Ludovico Sforza to commemorate his father Francesco Sforza. These were bequeathed with over 18,000 books to the museum in 1876 by John Forster. The Reverend Alexander Dyce was another benefactor of the library, leaving over 14,000 books to the museum in 1869. Amongst the books he collected are early editions in Greek and Latin of the poets and playwrights Aeschylus, Aristotle, Homer, Livy, Ovid, Pindar, Sophocles and Virgil. More recent authors include Giovanni Boccaccio, Dante, Racine, Rabelais and Molière.</t>
  </si>
  <si>
    <t>a Cairns replication intermediate</t>
  </si>
  <si>
    <t>Which sized cars were the least demanded cars in the crisis?</t>
  </si>
  <si>
    <t>What is the church's theological orientation?</t>
  </si>
  <si>
    <t>Industry and manufacturing</t>
  </si>
  <si>
    <t>King of Thebes</t>
  </si>
  <si>
    <t>Sonderungsverbot</t>
  </si>
  <si>
    <t>What does the phrase "taking coals to Newcastle" mean?</t>
  </si>
  <si>
    <t>the Theatre Royal</t>
  </si>
  <si>
    <t>light</t>
  </si>
  <si>
    <t>Robert Maynard Hutchins de-emphasized varsity athletics</t>
  </si>
  <si>
    <t>one-quarter of the population</t>
  </si>
  <si>
    <t>On July 18, 2006</t>
  </si>
  <si>
    <t>2 million</t>
  </si>
  <si>
    <t>Private schools generally prefer to be called independent schools, because of their freedom to operate outside of government and local government control. Some of these are also known as public schools. Preparatory schools in the UK prepare pupils aged up to 13 years old to enter public schools. The name "public school" is based on the fact that the schools were open to pupils from anywhere, and not merely to those from a certain locality, and of any religion or occupation. According to The Good Schools Guide approximately 9 per cent of children being educated in the UK are doing so at fee-paying schools at GSCE level and 13 per cent at A-level.[citation needed] Many independent schools are single-sex (though this is becoming less common). Fees range from under £3,000 to £21,000 and above per year for day pupils, rising to £27,000+ per year for boarders. For details in Scotland, see "Meeting the Cost".</t>
  </si>
  <si>
    <t>What is a notable application of injectors today?</t>
  </si>
  <si>
    <t>23</t>
  </si>
  <si>
    <t>T cells</t>
  </si>
  <si>
    <t>What is that power that enables us to love?</t>
  </si>
  <si>
    <t>What is retrograde signaling?</t>
  </si>
  <si>
    <t>between September and November 1946</t>
  </si>
  <si>
    <t>about 5 nanometers across</t>
  </si>
  <si>
    <t>In 1981, the Presidential Working Party on the Second University was commissioned to look at both the possibilities of setting up a second university in Kenya as well as the reforming of the entire education system. The committee recommended that the 7–4–2–3 system be changed to an 8–4–4 system (eight years in primary, four years in secondary, and four years in university education). The table under Present-day education in Kenya below shows the structure of the 8–4–4 system. Although the 7–4–2–3 system theoretically ended with the introduction of the new 8–4–4 system in 1985, the last batch of students from the former system graduated from Kenyan Universities in 1992.</t>
  </si>
  <si>
    <t>In what state were the original launching facilities for missions?</t>
  </si>
  <si>
    <t>glucose monomers in the chloroplast can be linked together</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</si>
  <si>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</si>
  <si>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Battle of Sainte-Foy</t>
  </si>
  <si>
    <t>their disciples</t>
  </si>
  <si>
    <t>What kind of problems are one of the main topics studied in computational complexity theory?</t>
  </si>
  <si>
    <t>How much did Levi's Stadium cost?</t>
  </si>
  <si>
    <t>How much did Westinghouse pay for Tesla's patents in order to escape its financial problems?</t>
  </si>
  <si>
    <t>20–18,</t>
  </si>
  <si>
    <t>late 1920s</t>
  </si>
  <si>
    <t>world classic of epoch-making oratory</t>
  </si>
  <si>
    <t>connect two PDP-11 minicomputers</t>
  </si>
  <si>
    <t>Thomas Coke</t>
  </si>
  <si>
    <t>In 1501, at the age of 19, he entered the University of Erfurt, which he later described as a beerhouse and whorehouse. He was made to wake at four every morning for what has been described as "a day of rote learning and often wearying spiritual exercises." He received his master's degree in 1505.</t>
  </si>
  <si>
    <t>Bethencourt</t>
  </si>
  <si>
    <t>Rhodoplasts have a double membrane with an intermembrane space and phycobilin pigments organized into phycobilisomes on the thylakoid membranes, preventing their thylakoids from stacking. Some contain pyrenoids. Rhodoplasts have chlorophyll a and phycobilins for photosynthetic pigments; the phycobilin phycoerytherin is responsible for giving many red algae their distinctive red color. However, since they also contain the blue-green chlorophyll a and other pigments, many are reddish to purple from the combination. The red phycoerytherin pigment is an adaptation to help red algae catch more sunlight in deep water—as such, some red algae that live in shallow water have less phycoerytherin in their rhodoplasts, and can appear more greenish. Rhodoplasts synthesize a form of starch called floridean, which collects into granules outside the rhodoplast, in the cytoplasm of the red alga.</t>
  </si>
  <si>
    <t>Turkish forces</t>
  </si>
  <si>
    <t>waves in plasmas</t>
  </si>
  <si>
    <t>What makes static friction go up or down in responce to contact characteristics between an object and the surface it is on?</t>
  </si>
  <si>
    <t>her weight.</t>
  </si>
  <si>
    <t>volleyball</t>
  </si>
  <si>
    <t>function of market price of skill</t>
  </si>
  <si>
    <t>What year was Jamukha surrendered to Temüjin?</t>
  </si>
  <si>
    <t>greatest common divisor is one</t>
  </si>
  <si>
    <t>When did Tesla discover the possibility of wireless connectivity?</t>
  </si>
  <si>
    <t>may no longer exist</t>
  </si>
  <si>
    <t>not have any standing forces</t>
  </si>
  <si>
    <t>What is the moniker that is being used to describe the region's diversified technology?</t>
  </si>
  <si>
    <t>In addition to climate assessment reports, the IPCC is publishing Special Reports on specific topics. The preparation and approval process for all IPCC Special Reports follows the same procedures as for IPCC Assessment Reports. In the year 2011 two IPCC Special Report were finalized, the Special Report on Renewable Energy Sources and Climate Change Mitigation (SRREN) and the Special Report on Managing Risks of Extreme Events and Disasters to Advance Climate Change Adaptation (SREX). Both Special Reports were requested by governments.</t>
  </si>
  <si>
    <t>When did papal nuncio Karl von Miltitz get Luther to make concessions ?</t>
  </si>
  <si>
    <t>campaign for a free India</t>
  </si>
  <si>
    <t>80 million adherents</t>
  </si>
  <si>
    <t>In the effort of maintaining a level of abstraction, what choice is typically left independent?</t>
  </si>
  <si>
    <t>their own 24</t>
  </si>
  <si>
    <t>What town in upstate New York was settled by Huguenots?</t>
  </si>
  <si>
    <t>What was the source of the mistake?</t>
  </si>
  <si>
    <t>What were high court proceedings being held about?</t>
  </si>
  <si>
    <t>hash tables</t>
  </si>
  <si>
    <t>How did Luther's writings sound as he became less healthy?</t>
  </si>
  <si>
    <t>Which team had the first kickoff?</t>
  </si>
  <si>
    <t>American Broadcasting Companies</t>
  </si>
  <si>
    <t>dominance in middle-distance and long-distance athletics</t>
  </si>
  <si>
    <t>theologian Albert C. Outler</t>
  </si>
  <si>
    <t>more dramatic form</t>
  </si>
  <si>
    <t>On what yard line did Carolina begin with 4:51 left in the game?</t>
  </si>
  <si>
    <t>late 14th-century</t>
  </si>
  <si>
    <t>Normandy</t>
  </si>
  <si>
    <t>What effect does rubisco's flaw have?</t>
  </si>
  <si>
    <t>the Scots</t>
  </si>
  <si>
    <t>Who wrote "Walking in Fresno?"</t>
  </si>
  <si>
    <t>Bucks Point</t>
  </si>
  <si>
    <t>the municipal building inspector</t>
  </si>
  <si>
    <t>a construction manager, design engineer, construction engineer or project manager</t>
  </si>
  <si>
    <t>What is the role of teachers in education?</t>
  </si>
  <si>
    <t>within a few hundred feet of each other</t>
  </si>
  <si>
    <t>Commission v Edith Cresson</t>
  </si>
  <si>
    <t>What is the former name of the V&amp;A Theatre &amp; Performance galleries?</t>
  </si>
  <si>
    <t>spring reaction</t>
  </si>
  <si>
    <t>lysozyme</t>
  </si>
  <si>
    <t>singularly</t>
  </si>
  <si>
    <t>shopping</t>
  </si>
  <si>
    <t xml:space="preserve">What happened during the plugs-out test during the delay for the spacesuit odor? </t>
  </si>
  <si>
    <t>almost all biomolecules that are important to (or generated by) life</t>
  </si>
  <si>
    <t>Who is Antigone's father in the play?</t>
  </si>
  <si>
    <t>The city still contains many theatres. The largest, the Theatre Royal on Grey Street, first opened in 1837, designed by John and Benjamin Green. It has hosted a season of performances from the Royal Shakespeare Company for over 25 years, as well as touring productions of West End musicals. The Mill Volvo Tyne Theatre hosts smaller touring productions, whilst other venues feature local talent. Northern Stage, formally known as the Newcastle Playhouse and Gulbenkian Studio, hosts various local, national and international productions in addition to those produced by the Northern Stage company. Other theatres in the city include the Live Theatre, the People's Theatre and the Jubilee Theatre. NewcastleGateshead was voted in 2006 as the arts capital of the UK in a survey conducted by the Artsworld TV channel.</t>
  </si>
  <si>
    <t>special training to ensure that ignition sources are minimized</t>
  </si>
  <si>
    <t>his observation of fossil animal shells</t>
  </si>
  <si>
    <t>many elements</t>
  </si>
  <si>
    <t>16th century</t>
  </si>
  <si>
    <t>Which two treaties provided more formal institutions of the European Union?</t>
  </si>
  <si>
    <t>army of Germania Inferior</t>
  </si>
  <si>
    <t>Who was the President of ABC television in 1976?</t>
  </si>
  <si>
    <t>Newcastle Student Radio</t>
  </si>
  <si>
    <t>What amount of the worlds carbon is stored in the Amazon forest?</t>
  </si>
  <si>
    <t>fight against apartheid</t>
  </si>
  <si>
    <t>an estimated $200,000 in licenses and royalties</t>
  </si>
  <si>
    <t>prime elements</t>
  </si>
  <si>
    <t>Approximately how many British drawings are included in the V&amp;A collection?</t>
  </si>
  <si>
    <t>Tension, compression, and drag are what kind of forces?</t>
  </si>
  <si>
    <t>What process attributes new wealth to those that already have it?</t>
  </si>
  <si>
    <t>When was Geegen the emperor?</t>
  </si>
  <si>
    <t>incompetent, inefficient, or neglectful governments</t>
  </si>
  <si>
    <t>What index is an indicator of the effects of taxes applied to social spending?</t>
  </si>
  <si>
    <t>What pope as a native of Poland?</t>
  </si>
  <si>
    <t>What sort of engines utilized the Yarrow-Schlick-Tweedy balancing system?</t>
  </si>
  <si>
    <t>What is the civil disobedience called where people refuse to be released?</t>
  </si>
  <si>
    <t>connected via dial-up connections or dedicated async connections</t>
  </si>
  <si>
    <t>X Games</t>
  </si>
  <si>
    <t>the UMC</t>
  </si>
  <si>
    <t>There are eleven LEA-funded 11 to 18 schools and seven independent schools with sixth forms in Newcastle. There are a number of successful state schools, including Walker Technology College, Gosforth High School, Heaton Manor School, St Cuthbert's High School, St. Mary's Catholic Comprehensive School, Kenton School, George Stephenson High School, Sacred Heart and Benfield School. The largest co-ed independent school is the Royal Grammar School. The largest girls' independent school is Newcastle High School for Girls. Both schools are located on the same street in Jesmond. Newcastle School for Boys is the only independent boys' only school in the city and is situated in Gosforth. Newcastle College is the largest general further education college in the North East and is a beacon status college; there are two smaller colleges in the Newcastle area. St Cuthbert's High School and Sacred Heart are the two primary state-Catholic run high schools, and are both achieving results on par with the independent schools in Newcastle.</t>
  </si>
  <si>
    <t>Following the Peterloo massacre of 1819, poet Percy Shelley wrote the political poem The Mask of Anarchy later that year, that begins with the images of what he thought to be the unjust forms of authority of his time—and then imagines the stirrings of a new form of social action. It is perhaps the first modern[vague] statement of the principle of nonviolent protest. A version was taken up by the author Henry David Thoreau in his essay Civil Disobedience, and later by Gandhi in his doctrine of Satyagraha. Gandhi's Satyagraha was partially influenced and inspired by Shelley's nonviolence in protest and political action. In particular, it is known that Gandhi would often quote Shelley's Masque of Anarchy to vast audiences during the campaign for a free India.</t>
  </si>
  <si>
    <t>identifying goals of therapy</t>
  </si>
  <si>
    <t>What measurement of time is used in polynomial time reduction?</t>
  </si>
  <si>
    <t>How many people died in the outbreak of 1471?</t>
  </si>
  <si>
    <t>What was the goal of Braddock's expedition?</t>
  </si>
  <si>
    <t>1864</t>
  </si>
  <si>
    <t>political power</t>
  </si>
  <si>
    <t>between September and November 1946,</t>
  </si>
  <si>
    <t>the European Council</t>
  </si>
  <si>
    <t>When did Subutai's army return to Mongolia?</t>
  </si>
  <si>
    <t>Of what hollywood film company was UPT a subsidiary of when it merged with ABC?</t>
  </si>
  <si>
    <t>Lake Constance separates the German state Bavaria from what other one?</t>
  </si>
  <si>
    <t>idolatry</t>
  </si>
  <si>
    <t>Supreme Court of the United Kingdom</t>
  </si>
  <si>
    <t>different subject specialists</t>
  </si>
  <si>
    <t>courts of member states and the Court of Justice of the European Union</t>
  </si>
  <si>
    <t>€25,000</t>
  </si>
  <si>
    <t>NP-intermediate problems</t>
  </si>
  <si>
    <t>Ming-Tan</t>
  </si>
  <si>
    <t>Kibaki closed the gap and then overtook his opponent by a substantial margin after votes from his stronghold arrived later</t>
  </si>
  <si>
    <t>English Premier League Football</t>
  </si>
  <si>
    <t>bishop has read the appointments at the session of the Annual Conference</t>
  </si>
  <si>
    <t>How did Huguenots evolve their religious beliefs in the New World?</t>
  </si>
  <si>
    <t>If NP is not equal to P, viewed through this lens, what type of problems can also be considered intractable?</t>
  </si>
  <si>
    <t>gas turbines</t>
  </si>
  <si>
    <t>antichrist</t>
  </si>
  <si>
    <t>the Victoria Constitution Act 1855</t>
  </si>
  <si>
    <t>What did Genghis Khan expect from his generals alongside the autonomy he granted them?</t>
  </si>
  <si>
    <t>action-reaction</t>
  </si>
  <si>
    <t>What does Colonia Agrippina's original name translate into?</t>
  </si>
  <si>
    <t>They viewed the economic value of the Caribbean islands' sugar cane to be greater</t>
  </si>
  <si>
    <t>Who played the Master in the 1996 TV movie?</t>
  </si>
  <si>
    <t>Kent, particularly Sandwich, Faversham and Maidstone</t>
  </si>
  <si>
    <t>Hashimoto's thyroiditis</t>
  </si>
  <si>
    <t>Pattern recognition receptors recognize components present in broad groups of what?</t>
  </si>
  <si>
    <t>How many granal thylakoids are usually in each granum?</t>
  </si>
  <si>
    <t>What areas are pharmacy informatics prepared to work in?</t>
  </si>
  <si>
    <t>Capitol Hill, Washington, D.C.</t>
  </si>
  <si>
    <t>Why is it preferred that civil disobedience is non violent?</t>
  </si>
  <si>
    <t>incorporate their prey's nematocysts (stinging cells) into their own tentacles instead of colloblasts</t>
  </si>
  <si>
    <t>The development of Terra Preta allowed for what to happen in the Amazon Forest?</t>
  </si>
  <si>
    <t>toxic waste</t>
  </si>
  <si>
    <t>In 2008, Japan Aerospace Exploration Agency's SELENE probe observed evidence of the halo surrounding the Apollo 15 Lunar Module blast crater while orbiting above the lunar surface. In 2009, NASA's robotic Lunar Reconnaissance Orbiter, while orbiting 50 kilometers (31 mi) above the Moon, began photographing the remnants of the Apollo program left on the lunar surface, and photographed each site where manned Apollo flights landed. All of the U. S. flags left on the Moon during the Apollo missions were found to still be standing, with the exception of the one left during the Apollo 11 mission, which was blown over during that mission's lift-off from the lunar surface and return to the mission Command Module in lunar orbit; the degree to which these flags retain their original colors remains unknown.</t>
  </si>
  <si>
    <t>What are other major fatality causes?</t>
  </si>
  <si>
    <t>A language solved in quadratic time implies the use of what type of Turing machine?</t>
  </si>
  <si>
    <t>to ensure that the prescription is valid</t>
  </si>
  <si>
    <t>13 years</t>
  </si>
  <si>
    <t>at 89 Liberty Street</t>
  </si>
  <si>
    <t>collective bargaining, political influence, or corruption</t>
  </si>
  <si>
    <t>Structural geologists use microscopic analysis of oriented thin sections of geologic samples to observe the fabric within the rocks which gives information about strain within the crystalline structure of the rocks. They also plot and combine measurements of geological structures in order to better understand the orientations of faults and folds in order to reconstruct the history of rock deformation in the area. In addition, they perform analog and numerical experiments of rock deformation in large and small settings.</t>
  </si>
  <si>
    <t>reason</t>
  </si>
  <si>
    <t>How many Pro Bowlers were on the Panthers offense?</t>
  </si>
  <si>
    <t>over $20 billion</t>
  </si>
  <si>
    <t>When did it retract to a inland formation?</t>
  </si>
  <si>
    <t>Hamas</t>
  </si>
  <si>
    <t>definitions</t>
  </si>
  <si>
    <t>holy priesthood</t>
  </si>
  <si>
    <t>What is Kenya a founding member of?</t>
  </si>
  <si>
    <t>Home Improvement</t>
  </si>
  <si>
    <t>The innate immune system responds in a generic way, meaning it is what?</t>
  </si>
  <si>
    <t>the laws of physics are the same in every inertial frame of reference</t>
  </si>
  <si>
    <t>What theory best explains gravity?</t>
  </si>
  <si>
    <t>teleautomaton</t>
  </si>
  <si>
    <t>Where was the Khwarezmid capital moved after Genghis Khan's forces prevailed in Samarkand?</t>
  </si>
  <si>
    <t>oxygen</t>
  </si>
  <si>
    <t>When is the Evolution Festival hosted?</t>
  </si>
  <si>
    <t>What program that aired between Last Man Standing and Shark Tank was cancelled by ABC in 2013?</t>
  </si>
  <si>
    <t>What was an additional projected effect of the attempted reform?</t>
  </si>
  <si>
    <t>Who did Noble acquire the rights to the American Broadcasting Company name from?</t>
  </si>
  <si>
    <t>Arthur H. Compton</t>
  </si>
  <si>
    <t>Salaries for Nursery, Primary and Secondary School teachers ranged from £20,133 to £41,004 in September 2007, although some salaries can go much higher depending on experience and extra responsibilities. Preschool teachers may earn £20,980 annually.[citation needed] Teachers in state schools must have at least a bachelor's degree, complete an approved teacher education program, and be licensed.</t>
  </si>
  <si>
    <t>In 1870, Tesla moved to Karlovac, to attend school at the Higher Real Gymnasium, where he was profoundly influenced by a math teacher Martin Sekulić.:32 The classes were held in German, as it was a school within the Austro-Hungarian Military Frontier. Tesla was able to perform integral calculus in his head, which prompted his teachers to believe that he was cheating. He finished a four-year term in three years, graduating in 1873.:33</t>
  </si>
  <si>
    <t>Who appoints the board of the European Central Bank?</t>
  </si>
  <si>
    <t>air</t>
  </si>
  <si>
    <t>weather-related</t>
  </si>
  <si>
    <t>What responsibilities were pharmacy technicians formerly limited to?</t>
  </si>
  <si>
    <t>Müntzer's execution,</t>
  </si>
  <si>
    <t>Where are the gonads located?</t>
  </si>
  <si>
    <t>When did BSkyB end their analogue service?</t>
  </si>
  <si>
    <t>Pax Mongolica (Mongol Peace)</t>
  </si>
  <si>
    <t>the separate condenser</t>
  </si>
  <si>
    <t>At the beginning of 1893 Westinghouse engineer Benjamin Lamme had made great progress developing an efficient version of Tesla's induction motor and Westinghouse Electric started branding their complete polyphase phase AC system as the "Tesla Polyphase System", noting how they believed Tesla's patents gave them patent priority over other AC systems.</t>
  </si>
  <si>
    <t>What is a common punishment in the UK and Ireland?</t>
  </si>
  <si>
    <t>What was the average budget for ABC Movie of the Week films?</t>
  </si>
  <si>
    <t>Who was the creator of the theme for the 50th Anniversary special?</t>
  </si>
  <si>
    <t>Who did play-by-play for the WBT broadcast?</t>
  </si>
  <si>
    <t>Rhine-kilometers</t>
  </si>
  <si>
    <t>The rapid Anglo-Norman conquest proved more important than it seemed. The island occupied a key strategic position on the maritime lanes to the Holy Land, whose occupation by the Christians could not continue without support from the sea. Shortly after the conquest, Cyprus was sold to the Knights Templar and it was subsequently acquired, in 1192, by Guy de Lusignan and became a stable feudal kingdom. It was only in 1489 that the Venetians acquired full control of the island, which remained a Christian stronghold until the fall of Famagusta in 1571.</t>
  </si>
  <si>
    <t>What was the idealized value of imperialism?</t>
  </si>
  <si>
    <t>90° to each other</t>
  </si>
  <si>
    <t>a recurring decimal</t>
  </si>
  <si>
    <t>4,404.5 people</t>
  </si>
  <si>
    <t>The freedom to provide services under TFEU article 56 applies to who?</t>
  </si>
  <si>
    <t>The lithosphere moves over which mantle n the theory of plate tectonics?</t>
  </si>
  <si>
    <t>major part of the Internet backbone</t>
  </si>
  <si>
    <t>Timucua people</t>
  </si>
  <si>
    <t>Los Angeles International Airport</t>
  </si>
  <si>
    <t>Who was the main proponent of the cellular theory of immunity?</t>
  </si>
  <si>
    <t>When was the Rhine measurement corrected back to the original?</t>
  </si>
  <si>
    <t>What was the very first television station to broadcast in Fresno?</t>
  </si>
  <si>
    <t>The UMC supports federal funding for research on embryos created for what purpose?</t>
  </si>
  <si>
    <t>What is the festival of food and drink known as?</t>
  </si>
  <si>
    <t>a presidential representative democratic republic</t>
  </si>
  <si>
    <t>"push"</t>
  </si>
  <si>
    <t>Georgia</t>
  </si>
  <si>
    <t>a restaurant</t>
  </si>
  <si>
    <t>Through experimentation</t>
  </si>
  <si>
    <t>need for alliances.</t>
  </si>
  <si>
    <t>constituency seats</t>
  </si>
  <si>
    <t>UNESCO World Heritage Site.</t>
  </si>
  <si>
    <t>a supposed mild euphoric</t>
  </si>
  <si>
    <t>Digital Spy</t>
  </si>
  <si>
    <t>prophecy</t>
  </si>
  <si>
    <t>Augustinian friars</t>
  </si>
  <si>
    <t>What did European chemists make that could be used in warfare?</t>
  </si>
  <si>
    <t>US Library of Congress</t>
  </si>
  <si>
    <t>cabin depressurization</t>
  </si>
  <si>
    <t>communicating with patients</t>
  </si>
  <si>
    <t>pulmonary fibrosis</t>
  </si>
  <si>
    <t>What minimalist composer is also a university graduate?</t>
  </si>
  <si>
    <t>How many times a year does The Council meet?</t>
  </si>
  <si>
    <t>increasing crime and poverty in the Hyde Park neighborhood</t>
  </si>
  <si>
    <t>In what area of this British colony were Huguenot land grants?</t>
  </si>
  <si>
    <t>Who was the number two draft pick for 2011?</t>
  </si>
  <si>
    <t>What crew sent the first ever live images of the Earth and Moon to earth?</t>
  </si>
  <si>
    <t>Who did the Ottoman empire ally with in WW I?</t>
  </si>
  <si>
    <t>Where is Newcastle's horse racing course located?</t>
  </si>
  <si>
    <t>What does Newcastle still contain many of?</t>
  </si>
  <si>
    <t>phagocytic vacuole</t>
  </si>
  <si>
    <t>Davis</t>
  </si>
  <si>
    <t>1279</t>
  </si>
  <si>
    <t>mainline Protestant denomination</t>
  </si>
  <si>
    <t>in the wider community</t>
  </si>
  <si>
    <t>xenoliths</t>
  </si>
  <si>
    <t>the North Sea in the Netherlands</t>
  </si>
  <si>
    <t>continental European</t>
  </si>
  <si>
    <t>Aveo</t>
  </si>
  <si>
    <t>Evangelical Lutheran Church</t>
  </si>
  <si>
    <t>Andre Caldwell</t>
  </si>
  <si>
    <t>Sweyn Forkbeard</t>
  </si>
  <si>
    <t>'Bucks Point'</t>
  </si>
  <si>
    <t>flattened</t>
  </si>
  <si>
    <t>What type of intervention would changing the work environment be?</t>
  </si>
  <si>
    <t>What will V&amp;A Dundee focus on?</t>
  </si>
  <si>
    <t>prime ideals</t>
  </si>
  <si>
    <t>MLB</t>
  </si>
  <si>
    <t>a co-chair of TAR WGI</t>
  </si>
  <si>
    <t>first</t>
  </si>
  <si>
    <t>40,000 pounds</t>
  </si>
  <si>
    <t>printing press.</t>
  </si>
  <si>
    <t>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t>
  </si>
  <si>
    <t>domestic social reforms</t>
  </si>
  <si>
    <t>Fulton Mall</t>
  </si>
  <si>
    <t>On what did Tesla blame for the loss of the initial money?</t>
  </si>
  <si>
    <t>law</t>
  </si>
  <si>
    <t>When was the IPCC Third Assessment Report published?</t>
  </si>
  <si>
    <t>Khitan rulers,</t>
  </si>
  <si>
    <t>What are the molecular outputs for photosynthesis?</t>
  </si>
  <si>
    <t>late 1980s</t>
  </si>
  <si>
    <t>wilderness of the Maine district and down the Chaudière River</t>
  </si>
  <si>
    <t>decentralized network with multiple paths between any two points</t>
  </si>
  <si>
    <t xml:space="preserve">What was the goal of the system </t>
  </si>
  <si>
    <t>Maxwell</t>
  </si>
  <si>
    <t>Students exposed to an enthusiastic teacher usually did what more often outside class?</t>
  </si>
  <si>
    <t>Edict of Potsdam</t>
  </si>
  <si>
    <t>floor function</t>
  </si>
  <si>
    <t>different view</t>
  </si>
  <si>
    <t>What Comic Book series did ABC debut in 2013-14?</t>
  </si>
  <si>
    <t>orientalism</t>
  </si>
  <si>
    <t>When is the oldest recorded incident of civil disobedience?</t>
  </si>
  <si>
    <t>What did the reforms cause?</t>
  </si>
  <si>
    <t>greater tendency to take on debts</t>
  </si>
  <si>
    <t>Tolui</t>
  </si>
  <si>
    <t>What concept did philosophers in antiquity use to study simple machines?</t>
  </si>
  <si>
    <t>What entities are included in the federal health care system?</t>
  </si>
  <si>
    <t>2013</t>
  </si>
  <si>
    <t>In an adjustable spring-loaded valve, what needs to be broken to allow an operator to tamper with it?</t>
  </si>
  <si>
    <t>How many seats does the amphitheatre at Woodward park have?</t>
  </si>
  <si>
    <t xml:space="preserve">What religion did the French spread along with their imperialism? </t>
  </si>
  <si>
    <t>Aristotle's</t>
  </si>
  <si>
    <t>theta intermediary form</t>
  </si>
  <si>
    <t>How early did Luther say he had to awaken every day?</t>
  </si>
  <si>
    <t>how much time the best algorithm requires to solve the problem</t>
  </si>
  <si>
    <t>How did Luther smuggle 12 nuns out of a convent during the rebellion?</t>
  </si>
  <si>
    <t>multi-stage centrifugal</t>
  </si>
  <si>
    <t>American delegation from the Paris Peace Conference</t>
  </si>
  <si>
    <t>Book of Exodus</t>
  </si>
  <si>
    <t>How accurate did Guo make the reformed lunisolar calendar?</t>
  </si>
  <si>
    <t>What's the name of the United Kingdom's sole remaining news cinema?</t>
  </si>
  <si>
    <t>Granite is made up largely of what chemical compound?</t>
  </si>
  <si>
    <t>compresses the most recent era</t>
  </si>
  <si>
    <t>the Commission and Council</t>
  </si>
  <si>
    <t>poverty</t>
  </si>
  <si>
    <t>What is the repulsive force of close range atom interaction?</t>
  </si>
  <si>
    <t>What type of status did the UMC vote to seek in the National Association of Evangelicals?</t>
  </si>
  <si>
    <t>What is the benefit of red algae being red?</t>
  </si>
  <si>
    <t>at least four</t>
  </si>
  <si>
    <t>John 8:7.</t>
  </si>
  <si>
    <t>skill</t>
  </si>
  <si>
    <t>Ardabil Carpet</t>
  </si>
  <si>
    <t>Dürer</t>
  </si>
  <si>
    <t>What government department did Buyantu shut down?</t>
  </si>
  <si>
    <t>How is Luther commemorated on the Lutheran, Episcopal, and  Church of England  calendars?</t>
  </si>
  <si>
    <t>Capital City and ABC sold the WXYZ-TV and WFTS-TV stations to what company?</t>
  </si>
  <si>
    <t>90°</t>
  </si>
  <si>
    <t>Andrew Jackson</t>
  </si>
  <si>
    <t>economic or financial factors</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</si>
  <si>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</si>
  <si>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</si>
  <si>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Elie Metchnikoff</t>
  </si>
  <si>
    <t>United Nations Environment Programme</t>
  </si>
  <si>
    <t>Who was the ally of his father that Genghis Khan fell out as time passed?</t>
  </si>
  <si>
    <t>What is the common coastal pleurobrachia called?</t>
  </si>
  <si>
    <t>John Fox</t>
  </si>
  <si>
    <t>wide sidewalks</t>
  </si>
  <si>
    <t>Working versions of 3D-printing building technology are already printing how much building material per hour?</t>
  </si>
  <si>
    <t>Agostino Carlini</t>
  </si>
  <si>
    <t>Doctor Who books have been published from the mid-sixties through to the present day. From 1965 to 1991 the books published were primarily novelised adaptations of broadcast episodes; beginning in 1991 an extensive line of original fiction was launched, the Virgin New Adventures and Virgin Missing Adventures. Since the relaunch of the programme in 2005, a new range of novels have been published by BBC Books. Numerous non-fiction books about the series, including guidebooks and critical studies, have also been published, and a dedicated Doctor Who Magazine with newsstand circulation has been published regularly since 1979. This is published by Panini, as is the Doctor Who Adventures magazine for younger fans.</t>
  </si>
  <si>
    <t>Because everyday clothing from previous eras has not generally survived</t>
  </si>
  <si>
    <t>tolerance</t>
  </si>
  <si>
    <t>due to a malfunction in the chameleon circuit</t>
  </si>
  <si>
    <t>educational process or da'wah</t>
  </si>
  <si>
    <t>Later in life, Tesla made claims concerning a "teleforce" weapon after studying the Van de Graaff generator. The press variably referred to it as a "peace ray" or death ray. Tesla described the weapon as capable of being used against ground-based infantry or for anti-aircraft purposes.</t>
  </si>
  <si>
    <t>What did Luther gradually see as hopeless in the Reformation?</t>
  </si>
  <si>
    <t>What function is used by algorithms to define measurements like time or space?</t>
  </si>
  <si>
    <t>Which organisms have chloroplasts?</t>
  </si>
  <si>
    <t>Saddam Hussein</t>
  </si>
  <si>
    <t>The first recorded settlement in what is now Newcastle was Pons Aelius, a Roman fort and bridge across the River Tyne. It was given the family name of the Roman Emperor Hadrian, who founded it in the 2nd century AD. This rare honour suggests that Hadrian may have visited the site and instituted the bridge on his tour of Britain. The population of Pons Aelius at this period was estimated at 2,000. Fragments of Hadrian's Wall are still visible in parts of Newcastle, particularly along the West Road. The course of the "Roman Wall" can be traced eastwards to the Segedunum Roman fort in Wallsend—the "wall's end"—and to the supply fort Arbeia in South Shields. The extent of Hadrian's Wall was 73 miles (117 km), spanning the width of Britain; the Wall incorporated the Vallum, a large rearward ditch with parallel mounds, and was constructed primarily for defence, to prevent unwanted immigration and the incursion of Pictish tribes from the north, not as a fighting line for a major invasion.</t>
  </si>
  <si>
    <t>Norway</t>
  </si>
  <si>
    <t>Newcastle International Airport is located approximately 6 miles (9.7 km) from the city centre on the northern outskirts of the city near Ponteland and is the larger of the two main airports serving the North East. It is connected to the city via the Metro Light Rail system and a journey into Newcastle city centre takes approximately 20 minutes. The airport handles over five million passengers per year, and is the tenth largest, and the fastest growing regional airport in the UK, expecting to reach 10 million passengers by 2016, and 15 million by 2030. As of 2007[update], over 90 destinations are available worldwide.</t>
  </si>
  <si>
    <t>The results of the Haensch study have since been confirmed and amended. Based on genetic evidence derived from Black Death victims in the East Smithfield burial site in England, Schuenemann et al. concluded in 2011 "that the Black Death in medieval Europe was caused by a variant of Y. pestis that may no longer exist." A study published in Nature in October 2011 sequenced the genome of Y. pestis from plague victims and indicated that the strain that caused the Black Death is ancestral to most modern strains of the disease.</t>
  </si>
  <si>
    <t>president of NBC</t>
  </si>
  <si>
    <t>1903</t>
  </si>
  <si>
    <t>Coronation Street</t>
  </si>
  <si>
    <t>Bilateria</t>
  </si>
  <si>
    <t>Since the Peace of Westphalia, the Upper Rhine formed a contentious border between France and Germany. Establishing "natural borders" on the Rhine was a long-term goal of French foreign policy, since the Middle Ages, though the language border was – and is –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t>
  </si>
  <si>
    <t>Kenneth Swezey</t>
  </si>
  <si>
    <t>3.7%</t>
  </si>
  <si>
    <t>Mind Award</t>
  </si>
  <si>
    <t>What year was the Treaty of Amsterdam created?</t>
  </si>
  <si>
    <t>In 2013-14, NBC finished in first place in the 18-49 demographic for the first time since when?</t>
  </si>
  <si>
    <t>First</t>
  </si>
  <si>
    <t>In 2000, ABC launched a web-based promotional campaign focused around its circle logo, also called "the dot", in which comic book character Little Dot prompted visitors to "download the dot", a program which would cause the ABC logo to fly around the screen and settle in the bottom-right corner. The network hired the Troika Design Group to design and produce its 2001–02 identity, which continued using the black-and-yellow coloring of the logo and featured dots and stripes in various promotional and identification spots.</t>
  </si>
  <si>
    <t>the Mughal state</t>
  </si>
  <si>
    <t>immunoglobulins</t>
  </si>
  <si>
    <t>What do the Treaties generally limit?</t>
  </si>
  <si>
    <t>The UMC is also a member of the Wesleyan Holiness Consortium, which seeks to reconceive and promote Biblical holiness in today's Church. It is also active in the World Methodist Council, an interdenominational group composed of various churches in the tradition of John Wesley to promote the Gospel throughout the world. On July 18, 2006, delegates to the World Methodist Council voted unanimously to adopt the "Joint Declaration on the Doctrine of Justification", which was approved in 1999 by the Vatican and the Lutheran World Federation.</t>
  </si>
  <si>
    <t>IVF</t>
  </si>
  <si>
    <t>In 1874, Tesla evaded being drafted into the Austro-Hungarian Army in Smiljan by running away to Tomingaj, near Gračac. There, he explored the mountains in hunter's garb. Tesla said that this contact with nature made him stronger, both physically and mentally. He read many books while in Tomingaj, and later said that Mark Twain's works had helped him to miraculously recover from his earlier illness.</t>
  </si>
  <si>
    <t>chloroplast</t>
  </si>
  <si>
    <t>What is the general term used to describe the output to any given input in a problem instance?</t>
  </si>
  <si>
    <t>According to Oxfam, the 85 richest people have wealth equal to how many average people?</t>
  </si>
  <si>
    <t>G. H. Hardy</t>
  </si>
  <si>
    <t>Tesla was born on 10 July [O.S. 28 June] 1856 into a Serb family in the village of Smiljan, Austrian Empire (modern-day Croatia). His father, Milutin Tesla, was a Serbian Orthodox priest. Tesla's mother, Đuka Tesla (née Mandić), whose father was also an Orthodox priest,:10 had a talent for making home craft tools, mechanical appliances, and the ability to memorize Serbian epic poems. Đuka had never received a formal education. Nikola credited his eidetic memory and creative abilities to his mother's genetics and influence. Tesla's progenitors were from western Serbia, near Montenegro.:12</t>
  </si>
  <si>
    <t>Fort Presque Isle</t>
  </si>
  <si>
    <t>tall palm trees</t>
  </si>
  <si>
    <t>In 1983, for the 40th anniversary of the network's founding, ID sequences had the logo appear in a gold CGI design on a blue background, accompanied by the slogan "That Special Feeling" in a script font. Ten years later, in 1993, the "ABC Circle" logo reverted to its classic white-on-black color scheme, but with gloss effects on both the circle and the letters, and a bronze border surrounding the circle. The ABC logo first appeared as a on-screen bug in the 1993–94 season, appearing initially only for 60 seconds at the beginning of an act or segment, before appearing throughout programs (except during commercial breaks) beginning in the 1995–96 season; the respective iterations of the translucent logo bug were also incorporated within program promotions until the 2011–12 season.</t>
  </si>
  <si>
    <t>teacher</t>
  </si>
  <si>
    <t>one at a time they stepped across the "line" and were immediately arrested</t>
  </si>
  <si>
    <t>in 1886</t>
  </si>
  <si>
    <t>a nervous breakdown</t>
  </si>
  <si>
    <t>When did the Shah kingdom start to collapse?</t>
  </si>
  <si>
    <t>dispatched six regiments to New France under the command of Baron Dieskau in 1755.</t>
  </si>
  <si>
    <t>cytotoxic natural killer cells and CTLs (cytotoxic T lymphocytes)</t>
  </si>
  <si>
    <t>1000 and 1900</t>
  </si>
  <si>
    <t>political</t>
  </si>
  <si>
    <t>What is the Rhine Gorge listed as?</t>
  </si>
  <si>
    <t>What time framd does the Seven Years War cover?</t>
  </si>
  <si>
    <t>The Calvin cycle</t>
  </si>
  <si>
    <t>principal role</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</si>
  <si>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</si>
  <si>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Who gave a negative connotation to civil disobedience in recent history?</t>
  </si>
  <si>
    <t>What is unique about  simultaneous hermaphrodites?</t>
  </si>
  <si>
    <t>democratic changes</t>
  </si>
  <si>
    <t>When did this leader publish a French language Bible?</t>
  </si>
  <si>
    <t>magazines and journals</t>
  </si>
  <si>
    <t>Where was William Iron Arm's castle located?</t>
  </si>
  <si>
    <t>the chalcogen group</t>
  </si>
  <si>
    <t>Pikes Peak to Paris</t>
  </si>
  <si>
    <t>What is the function of the TARDIS?</t>
  </si>
  <si>
    <t>As a member of the Scottish Parliamentary Corporate Body, the Presiding Officer is responsible for ensuring that the Parliament functions effectively and has the staff, property and resources it requires to operate. Convening the Parliamentary Bureau, which allocates time and sets the work agenda in the chamber, is another of the roles of the Presiding Officer. Under the Standing Orders of the Parliament the Bureau consists of the Presiding Officer and one representative from each political parties with five or more seats in the Parliament. Amongst the duties of the Bureau are to agree the timetable of business in the chamber, establish the number, remit and membership of parliamentary committees and regulate the passage of legislation (bills) through the Parliament. The Presiding Officer also represents the Scottish Parliament at home and abroad in an official capacity.</t>
  </si>
  <si>
    <t>What root problem can cause starch buildup?</t>
  </si>
  <si>
    <t>BQP and QMA are examples of complexity classes most commonly associated with what type of Turing machine?</t>
  </si>
  <si>
    <t>L'Église française à la Nouvelle-Amsterdam</t>
  </si>
  <si>
    <t>Mission Council</t>
  </si>
  <si>
    <t>Policies which try to control unemployment support economic growth because they reduce what?</t>
  </si>
  <si>
    <t>What Chinese-style name did Rinchinbal use?</t>
  </si>
  <si>
    <t>New Orangery</t>
  </si>
  <si>
    <t>What was another term used for the oil crisis?</t>
  </si>
  <si>
    <t>Luther was a prolific hymn-writer, authoring hymns such as "Ein feste Burg ist unser Gott" ("A Mighty Fortress Is Our God"), based on Psalm 46, and "Vom Himmel hoch, da komm ich her" ("From Heaven Above to Earth I Come"), based on Luke 2:11–12. Luther connected high art and folk music, also all classes, clergy and laity, men, women and children. His tool of choice for this connection was the singing of German hymns in connection with worship, school, home, and the public arena. He often accompanied the sung hymns with a lute, later recreated as the waldzither that became a national instrument of Germany in the 20th century.</t>
  </si>
  <si>
    <t>storage</t>
  </si>
  <si>
    <t>the growth of mass production</t>
  </si>
  <si>
    <t>What year was Setanta Sports awarded Primeier Leage rights to broadcast?</t>
  </si>
  <si>
    <t>behavioral and demographic</t>
  </si>
  <si>
    <t>What did Philip I wish to do around 1539?</t>
  </si>
  <si>
    <t>Which set of countries have higher economic mobility than the United States?</t>
  </si>
  <si>
    <t>What mechanism can be used to make oxygen?</t>
  </si>
  <si>
    <t>Bell Northern Research</t>
  </si>
  <si>
    <t>1555</t>
  </si>
  <si>
    <t>What is featured on the city of Fresno's city flag?</t>
  </si>
  <si>
    <t>E. W. Scripps Company</t>
  </si>
  <si>
    <t>2 metres (6 ft 7 in)</t>
  </si>
  <si>
    <t>Maxime Faget</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</si>
  <si>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</si>
  <si>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What is the start of the salary year?</t>
  </si>
  <si>
    <t>On which corner is the shopping center located?</t>
  </si>
  <si>
    <t>one way</t>
  </si>
  <si>
    <t>What president of the university transformed it into a modern research university?</t>
  </si>
  <si>
    <t>allowed very young students to attend college</t>
  </si>
  <si>
    <t>Nevertheless, The United Methodist Church "implore[s] families and churches not to reject or condemn lesbian and gay members and friends" and commits itself to be in ministry with all persons, affirming that God's grace, love, and forgiveness is available to all. Additionally, many organizations, conferences, and congregations have recently called for broader acceptance of the LGBT community within the UMC. For example, the Connectional Table, a governing committee, has voted in favor of a proposal that calls for a localized option, which would permit ministers to officiate same-sex weddings, and it would allow conferences to ordain gay clergy. Moreover, many conferences have taken a position by voting in favor of same-gender marriages with resolutions.</t>
  </si>
  <si>
    <t>But even after NASA reached internal agreement, it was far from smooth sailing. Kennedy's science advisor Jerome Wiesner, who had expressed his opposition to manned spaceflight to Kennedy before the President took office, and had opposed the decision to land men on the Moon, hired Golovin, who had left NASA, to chair his own "Space Vehicle Panel", ostensibly to monitor, but actually to second-guess NASA's decisions on the Saturn V launch vehicle and LOR by forcing Shea, Seamans, and even Webb to defend themselves, delaying its formal announcement to the press on July 11, 1962, and forcing Webb to still hedge the decision as "tentative".</t>
  </si>
  <si>
    <t>Orange Counties</t>
  </si>
  <si>
    <t>atmospheric electricity</t>
  </si>
  <si>
    <t>How many points did the Broncos score in the final three minutes of the Pittsburgh game?</t>
  </si>
  <si>
    <t>deportation of the French-speaking Acadian population from the area</t>
  </si>
  <si>
    <t>What ethnic group located in Jacksonville is ranked tenth largest?</t>
  </si>
  <si>
    <t>application of electricity to the brain</t>
  </si>
  <si>
    <t>President Grover Cleveland</t>
  </si>
  <si>
    <t>What is the translation of Oude Maas?</t>
  </si>
  <si>
    <t>Front Islamique de Salut</t>
  </si>
  <si>
    <t>nitroaereus</t>
  </si>
  <si>
    <t>The French population numbered about 75,000 and was heavily concentrated along the St. Lawrence River valley, with some also in Acadia (present-day New Brunswick and parts of Nova Scotia, including Île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</si>
  <si>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Which British monarch appears above the frame around the arches and entrance?</t>
  </si>
  <si>
    <t>a historical fluke</t>
  </si>
  <si>
    <t>29.7%</t>
  </si>
  <si>
    <t>Where do scientists think all of the plagues originated from?</t>
  </si>
  <si>
    <t>What part of France were the Normans located?</t>
  </si>
  <si>
    <t>Also part of the library is the aforementioned Selznick library, the Cinerama Productions/Palomar theatrical library and the Selmur Productions catalog that the network acquired some years back, and the in-house productions it continues to produce (such as America's Funniest Home Videos, General Hospital, and ABC News productions), although Disney–ABC Domestic Television (formerly known as Buena Vista Television) handles domestic television distribution, while Disney–ABC International Television (formerly known as Buena Vista International Television) handles international television distribution.</t>
  </si>
  <si>
    <t>his work was published first</t>
  </si>
  <si>
    <t>What is the hypersensitive response of a plant immune system?</t>
  </si>
  <si>
    <t>Southern California is home to many major business districts. Central business districts (CBD) include Downtown Los Angeles, Downtown San Diego, Downtown San Bernardino, Downtown Bakersfield, South Coast Metro and Downtown Riverside.</t>
  </si>
  <si>
    <t>by store and forward switching</t>
  </si>
  <si>
    <t>What are chloroplasts in mesophyll cells specialized for?</t>
  </si>
  <si>
    <t>What are BSkyB's standard definition broadcasts compliant with?</t>
  </si>
  <si>
    <t>some pre-planning and Christian burials</t>
  </si>
  <si>
    <t>2006</t>
  </si>
  <si>
    <t>When did John Wesley provide a revised version of The Book of Common Prayer?</t>
  </si>
  <si>
    <t>the neuroimmune system</t>
  </si>
  <si>
    <t>stem cells</t>
  </si>
  <si>
    <t>Is fertilization  internal or exeternal in most species?</t>
  </si>
  <si>
    <t>What do critics think the cause of problems with modern schooling is?</t>
  </si>
  <si>
    <t>Body of Proof</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</si>
  <si>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</si>
  <si>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J. F. D. Shrewsbury</t>
  </si>
  <si>
    <t>9.8 million</t>
  </si>
  <si>
    <t>boats</t>
  </si>
  <si>
    <t>How many different TV networks are considered to be the principal partners, when it comes to broadcasting NFL events?</t>
  </si>
  <si>
    <t>arranged in grana</t>
  </si>
  <si>
    <t>executed every soldier</t>
  </si>
  <si>
    <t>an induction motor</t>
  </si>
  <si>
    <t>What developmental network was discontinued after the shutdown of ABC1?</t>
  </si>
  <si>
    <t>What can sympathetic Jurors in cases with civil disobedients?</t>
  </si>
  <si>
    <t>What criticism in NY times article that impacts the quality of Education at Harvard?</t>
  </si>
  <si>
    <t>declined significantly</t>
  </si>
  <si>
    <t>one way streets</t>
  </si>
  <si>
    <t>Roman</t>
  </si>
  <si>
    <t>What historical figure was Jacksonville named after?</t>
  </si>
  <si>
    <t>they design phase 2</t>
  </si>
  <si>
    <t>Of what form do Fermat numbers take?</t>
  </si>
  <si>
    <t>DTIME(f(n))</t>
  </si>
  <si>
    <t>300 km long</t>
  </si>
  <si>
    <t>filaments</t>
  </si>
  <si>
    <t>Sarah Jane Smith</t>
  </si>
  <si>
    <t>along the upper Tana River</t>
  </si>
  <si>
    <t>1,000</t>
  </si>
  <si>
    <t>What were the first local stations to offer streams of their programming on WATCH ABC?</t>
  </si>
  <si>
    <t>time complexity</t>
  </si>
  <si>
    <t>Thailand</t>
  </si>
  <si>
    <t>additional warming of the Earth's surface</t>
  </si>
  <si>
    <t>meeting in Albany in December 1755</t>
  </si>
  <si>
    <t>What eventually happened to the Block I program after the incident?</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</si>
  <si>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René Goulaine de Laudonnière launched a second voyage to build a colony; he established Fort Caroline in what is now Jacksonville, Florida. War at home again precluded a resupply mission, and the colony struggled. In 1565 the Spanish decided to enforce their claim to La Florida, and sent Pedro Menéndez de Avilés, who established the settlement of St. Augustine near Fort Caroline. Menéndez' forces routed the French and executed most of the Protestant captives.</t>
  </si>
  <si>
    <t>What served as a justification for imposing imperialistic policies on certain peoples or regions?</t>
  </si>
  <si>
    <t>What southern city did the Huguenots settle near?</t>
  </si>
  <si>
    <t>Despite the Presburger problem, and in view of intractability, what has been done to establish solutions in reasonable periods of time?</t>
  </si>
  <si>
    <t>How long was Warsaw occupied by Germany?</t>
  </si>
  <si>
    <t>a doctor</t>
  </si>
  <si>
    <t>During the 1970s and sometimes later, Western and pro-Western governments often supported sometimes fledgling Islamists and Islamist groups that later came to be seen as dangerous enemies. Islamists were considered by Western governments bulwarks against—what were thought to be at the time—more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</si>
  <si>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What century did the Normans first gain their separate identity?</t>
  </si>
  <si>
    <t>less than a year</t>
  </si>
  <si>
    <t>What kind of protists are Euglenophytes?</t>
  </si>
  <si>
    <t>What encoding decision needs to be made in order to determine an exact definition of the formal language?</t>
  </si>
  <si>
    <t>What lineage is Karenia in?</t>
  </si>
  <si>
    <t>Common Core</t>
  </si>
  <si>
    <t>Prudential Insurance Company of America</t>
  </si>
  <si>
    <t>$40,000</t>
  </si>
  <si>
    <t>John Elway</t>
  </si>
  <si>
    <t>What was redesigned during the Apollo program being grounded during 1970?</t>
  </si>
  <si>
    <t>$2.50 per AC horsepower</t>
  </si>
  <si>
    <t>clerical</t>
  </si>
  <si>
    <t>Which type of law concerns the EU's governance structure?</t>
  </si>
  <si>
    <t>how long did Tesla spend redesigning the motor and generators?</t>
  </si>
  <si>
    <t>Off-Off Campus</t>
  </si>
  <si>
    <t>arranged marriages</t>
  </si>
  <si>
    <t>pressure terms</t>
  </si>
  <si>
    <t>At this time, none of the tribal confederations of Mongolia were united politically, and arranged marriages were often used to solidify temporary alliances. Temüjin grew up observing the tough political climate of Mongolia, which included tribal warfare, thievery, raids, corruption, and continual acts of revenge carried out between the various confederations, all compounded by interference from foreign forces such as the Chinese dynasties to the south. Temüjin's mother Hoelun taught him many lessons about the unstable political climate of Mongolia, especially the need for alliances.</t>
  </si>
  <si>
    <t>forbidden</t>
  </si>
  <si>
    <t>Dr. George E. Mueller</t>
  </si>
  <si>
    <t>destruction of the forest</t>
  </si>
  <si>
    <t>What happened with the rate of flow in the Rhine with the straightening program?</t>
  </si>
  <si>
    <t>in the Brompton district of the Royal Borough of Kensington and Chelsea</t>
  </si>
  <si>
    <t>75,000</t>
  </si>
  <si>
    <t>What did Tesla do in December 1878?</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</si>
  <si>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樞密院)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Külüg Khan or Emperor Wuzong), but was usually abandoned shortly afterwards.</t>
  </si>
  <si>
    <t>the defeat of Napoleon</t>
  </si>
  <si>
    <t>When did Good Morning America begin airing?</t>
  </si>
  <si>
    <t>captive import</t>
  </si>
  <si>
    <t>Sunday Times University of the Year award</t>
  </si>
  <si>
    <t>What does it mean when a harmonic series diverges?</t>
  </si>
  <si>
    <t>British colonists would not be safe</t>
  </si>
  <si>
    <t>as better</t>
  </si>
  <si>
    <t>&gt; 3.</t>
  </si>
  <si>
    <t>undermining the communist ideology</t>
  </si>
  <si>
    <t>Bishop Martin Sasse</t>
  </si>
  <si>
    <t>What crime drama debuted on ABC in September 1994?</t>
  </si>
  <si>
    <t>What was Edison's reply as to what Tesla didn't understand when Tesla asked for payment?</t>
  </si>
  <si>
    <t>Who was delegated command of the Mongol forces against the Jin dynasty?</t>
  </si>
  <si>
    <t>200,000.</t>
  </si>
  <si>
    <t>For which Doctor did Keff McCulloch provide the theme?</t>
  </si>
  <si>
    <t>Where was the ball recovered?</t>
  </si>
  <si>
    <t>When do bathyctena chuni, euplokamis stationis and eurhamphaea vexilligera  excrete secretions?</t>
  </si>
  <si>
    <t>whiteness</t>
  </si>
  <si>
    <t>How many naval bases are located in Jacksonville?</t>
  </si>
  <si>
    <t>Who tipped Peyton's pass for an interception?</t>
  </si>
  <si>
    <t>According to Fermat's theorem, what period does 1/p always have assuming p is prime that is not 2 or 5?</t>
  </si>
  <si>
    <t>What plant cells have chloroplasts in them?</t>
  </si>
  <si>
    <t>non-French linguistic origins</t>
  </si>
  <si>
    <t>What is the immune system?</t>
  </si>
  <si>
    <t>Which organization released a California Earthquake forecast?</t>
  </si>
  <si>
    <t>Macroeconomic</t>
  </si>
  <si>
    <t>the Newcastle Eagles</t>
  </si>
  <si>
    <t>How many teams have been in the Super Bowl eight times?</t>
  </si>
  <si>
    <t>sediment deposits</t>
  </si>
  <si>
    <t xml:space="preserve">What is the name of another algorithm useful for conveniently testing the primality of large numbers? </t>
  </si>
  <si>
    <t>it voted to seek observer status</t>
  </si>
  <si>
    <t>David G. Booth</t>
  </si>
  <si>
    <t>What did Luther devise to teach  Christianity to the congregation?</t>
  </si>
  <si>
    <t>How did the rocks on the moon compare to those on Earth?</t>
  </si>
  <si>
    <t>WTVG</t>
  </si>
  <si>
    <t>21 January 1788</t>
  </si>
  <si>
    <t>James Gamble</t>
  </si>
  <si>
    <t>incapacitation</t>
  </si>
  <si>
    <t>through various associations</t>
  </si>
  <si>
    <t>northern and southern</t>
  </si>
  <si>
    <t>Most went to Cuba,</t>
  </si>
  <si>
    <t>What city is tied with Miami for hosting the Super Bowl?</t>
  </si>
  <si>
    <t>Grissom, White, and Chaffee decided to name their flight Apollo 1 as a motivational focus on the first manned flight. They trained and conducted tests of their spacecraft at North American, and in the altitude chamber at the Kennedy Space Center. A "plugs-out" test was planned for January, which would simulate a launch countdown on LC-34 with the spacecraft transferring from pad-supplied to internal power. If successful, this would be followed by a more rigorous countdown simulation test closer to the February 21 launch, with both spacecraft and launch vehicle fueled.</t>
  </si>
  <si>
    <t>Michael P. Millardi</t>
  </si>
  <si>
    <t>hypersensitive response of plants against pathogen attack</t>
  </si>
  <si>
    <t>red algal derived chloroplast</t>
  </si>
  <si>
    <t>What are the points of algebro-geometric objects?</t>
  </si>
  <si>
    <t>semi-deserts</t>
  </si>
  <si>
    <t>What kind of people attend the IPCC meetings?</t>
  </si>
  <si>
    <t>normal faulting</t>
  </si>
  <si>
    <t>cyclic photophosphorylation</t>
  </si>
  <si>
    <t>How was Sadat rewarded by the Islamists for his attempts to bring Egypt into modern times and civilization?</t>
  </si>
  <si>
    <t>Frontiers from between Nova Scotia and Acadia in the north, to the Ohio Country in the south, were claimed by both sides.</t>
  </si>
  <si>
    <t>What equates to a squared integer according to polynomial time reduction?</t>
  </si>
  <si>
    <t>How much older was Manning than Newton during Super Bowl 50?</t>
  </si>
  <si>
    <t>university and military academy</t>
  </si>
  <si>
    <t>Shirley and Johnson.</t>
  </si>
  <si>
    <t>October 1512,</t>
  </si>
  <si>
    <t>When did the origins of magnetic and electric fields occur?</t>
  </si>
  <si>
    <t>What would the local council of Newcastle like to link their local bike networks to?</t>
  </si>
  <si>
    <t>Fort Duquesne</t>
  </si>
  <si>
    <t>Muhammad Khan</t>
  </si>
  <si>
    <t>What is an example of a problem that rests within the NP complexity class?</t>
  </si>
  <si>
    <t>protective radiation shield</t>
  </si>
  <si>
    <t>11.4 million</t>
  </si>
  <si>
    <t>What is the key accomplishment of Genghis Khan that modern Mongolians celebrate?</t>
  </si>
  <si>
    <t>Sony</t>
  </si>
  <si>
    <t>behind the foot of the mast of a moving ship</t>
  </si>
  <si>
    <t>receivers</t>
  </si>
  <si>
    <t>Newcomen's</t>
  </si>
  <si>
    <t>What group killed thousands of Huguenots?</t>
  </si>
  <si>
    <t>Han and Jurchen</t>
  </si>
  <si>
    <t>How many horsepower was Watt's engine?</t>
  </si>
  <si>
    <t>Luther and his colleagues introduced the new order of worship during their visitation of the Electorate of Saxony, which began in 1527. They also assessed the standard of pastoral care and Christian education in the territory. "Merciful God, what misery I have seen," Luther wrote, "the common people knowing nothing at all of Christian doctrine ... and unfortunately many pastors are well-nigh unskilled and incapable of teaching."</t>
  </si>
  <si>
    <t>proposing that action be taken</t>
  </si>
  <si>
    <t>fossil animal shells</t>
  </si>
  <si>
    <t>How many people was the CM designed to carry in the end?</t>
  </si>
  <si>
    <t>What site is located in the San Francisco Bay Area?</t>
  </si>
  <si>
    <t>Where can the Treatise be found?</t>
  </si>
  <si>
    <t>What is the name of the basin that was created from a enclosed lake?</t>
  </si>
  <si>
    <t>spring of 1329</t>
  </si>
  <si>
    <t>Saint Nicolas</t>
  </si>
  <si>
    <t>ease with which people, youth in particular, can obtain controlled substances</t>
  </si>
  <si>
    <t>When did the world's population finally recover from the black death?</t>
  </si>
  <si>
    <t>Aristotle</t>
  </si>
  <si>
    <t>wide variety of industries</t>
  </si>
  <si>
    <t>What did Genghis Khan do to the Tangut imperial family after their surrender?</t>
  </si>
  <si>
    <t>lower bounds</t>
  </si>
  <si>
    <t>satellite television</t>
  </si>
  <si>
    <t>near the mouth to the opposite end</t>
  </si>
  <si>
    <t>orientation is decidedly Wesleyan</t>
  </si>
  <si>
    <t>Is it easier or harder to change EU law than stay the same?</t>
  </si>
  <si>
    <t>over 400</t>
  </si>
  <si>
    <t>How many weeks each year does the food and drink festival run?</t>
  </si>
  <si>
    <t>What festival is held in October in Newcastle?</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</si>
  <si>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</si>
  <si>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Pittsburgh, Pennsylvania</t>
  </si>
  <si>
    <t>Academy Awards</t>
  </si>
  <si>
    <t>What types of responsibilities might a pharmacy technician have?</t>
  </si>
  <si>
    <t>1215</t>
  </si>
  <si>
    <t>glucose monomers</t>
  </si>
  <si>
    <t>uncivilized people</t>
  </si>
  <si>
    <t>At what point does oxygen toxicity begin to happen?</t>
  </si>
  <si>
    <t>1953</t>
  </si>
  <si>
    <t>Other than surf, what other culture is southern California home to?</t>
  </si>
  <si>
    <t>CBSSports.com</t>
  </si>
  <si>
    <t>branching</t>
  </si>
  <si>
    <t>What are cestida called?</t>
  </si>
  <si>
    <t>a citizen or company can invoke a Directive, not just in a dispute with a public authority, but in a dispute with another citizen or company</t>
  </si>
  <si>
    <t>John M. Grunsfeld</t>
  </si>
  <si>
    <t>None</t>
  </si>
  <si>
    <t>Whose relics reside in the Becket Casket?</t>
  </si>
  <si>
    <t>The largest single sensory feature is the aboral organ (at the opposite end from the mouth). Its main component is a statocyst, a balance sensor consisting of a statolith, a solid particle supported on four bundles of cilia, called "balancers", that sense its orientation. The statocyst is protected by a transparent dome made of long, immobile cilia. A ctenophore does not automatically try to keep the statolith resting equally on all the balancers. Instead its response is determined by the animal's "mood", in other words the overall state of the nervous system. For example, if a ctenophore with trailing tentacles captures prey, it will often put some comb rows into reverse, spinning the mouth towards the prey.</t>
  </si>
  <si>
    <t>"Reducibility Among Combinatorial Problems"</t>
  </si>
  <si>
    <t>the European Court of Justice</t>
  </si>
  <si>
    <t>Zhongtong</t>
  </si>
  <si>
    <t>What Aaron Sorkin created show did ABC debut in 1998?</t>
  </si>
  <si>
    <t>aristocracy</t>
  </si>
  <si>
    <t>12–4</t>
  </si>
  <si>
    <t>the Saracens</t>
  </si>
  <si>
    <t>computer programs</t>
  </si>
  <si>
    <t>private confession</t>
  </si>
  <si>
    <t>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"the Romantic Rhine", with more than 40 castles and fortresses from the Middle Ages and many quaint and lovely country villages.</t>
  </si>
  <si>
    <t>What is responsible for constraining P according to the time hierarchy theorem?</t>
  </si>
  <si>
    <t>How did Hobson argue to rid the world of imperialism?</t>
  </si>
  <si>
    <t>22,338,618 decimal digits</t>
  </si>
  <si>
    <t>German Nazi</t>
  </si>
  <si>
    <t>internal combustion engines or electric motors</t>
  </si>
  <si>
    <t>How was Temüjin kept imprisoned by the Tayichi'ud?</t>
  </si>
  <si>
    <t>WHat do x.25 and Frame Relay both require</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</si>
  <si>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</si>
  <si>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New South Wales</t>
  </si>
  <si>
    <t>512-bit</t>
  </si>
  <si>
    <t>Nun komm, der Heiden Heiland</t>
  </si>
  <si>
    <t>Tesla was offered the task of completely redesigning the Edison Company's direct current generators. In 1885, he said that he could redesign Edison's inefficient motor and generators, making an improvement in both service and economy. According to Tesla, Edison remarked, "There's fifty thousand dollars in it for you—if you can do it.":54–57 :64 This has been noted as an odd statement from an Edison whose company was stingy with pay and who did not have that sort of cash on hand. After months of work, Tesla fulfilled the task and inquired about payment. Edison, saying that he was only joking, replied, "Tesla, you don't understand our American humor.":64  Instead, Edison offered a US$10 a week raise over Tesla's US$18 per week salary; Tesla refused the offer and immediately resigned.</t>
  </si>
  <si>
    <t>phlogiston</t>
  </si>
  <si>
    <t>27.7 million tons</t>
  </si>
  <si>
    <t>a system of many biological structures and processes within an organism that protects against disease</t>
  </si>
  <si>
    <t>automatically assigned addresses, updated the distributed namespace, and configured any required inter-network routing</t>
  </si>
  <si>
    <t>attend school at the Higher Real Gymnasium</t>
  </si>
  <si>
    <t>In 1972, did Norway end up joining the European Union?</t>
  </si>
  <si>
    <t>Who was the defensive coordinator for the Broncos in 2015?</t>
  </si>
  <si>
    <t xml:space="preserve">What were the years two Regulations that conflicted with an Italian law originate in the Simmenthal SpA case? </t>
  </si>
  <si>
    <t>What was given to high schools where former students went on to play or coach in a Super Bowl?</t>
  </si>
  <si>
    <t>A new song we raise</t>
  </si>
  <si>
    <t>Which young general did Genghis Khan send to conquer Qara Khitai?</t>
  </si>
  <si>
    <t>Who has the record of being the oldest quarter back in any Super Bowl game?</t>
  </si>
  <si>
    <t>popularly based authority</t>
  </si>
  <si>
    <t>Greeks</t>
  </si>
  <si>
    <t>Broncos</t>
  </si>
  <si>
    <t>1526</t>
  </si>
  <si>
    <t>negative</t>
  </si>
  <si>
    <t>How was it determined how many from each camp would be appointed?</t>
  </si>
  <si>
    <t>When was the congregation at St. George's founded?</t>
  </si>
  <si>
    <t>Delüün Boldog,</t>
  </si>
  <si>
    <t>National Party of Australia</t>
  </si>
  <si>
    <t>before World War I</t>
  </si>
  <si>
    <t>Fresno</t>
  </si>
  <si>
    <t>Where can ctenophores be found in large amounts?</t>
  </si>
  <si>
    <t>redistribution mechanisms</t>
  </si>
  <si>
    <t>Where are some physicians permitted to prescribe and give out medications within their practices?</t>
  </si>
  <si>
    <t>photographic</t>
  </si>
  <si>
    <t>Edict of Alès</t>
  </si>
  <si>
    <t>the Last Glacial Maximum (LGM) and subsequent deglaciation</t>
  </si>
  <si>
    <t>stacked in groups of three</t>
  </si>
  <si>
    <t>47°39′N 9°19′E﻿ / ﻿47.650°N 9.317°E﻿ / 47.650; 9.317</t>
  </si>
  <si>
    <t>Who did Genghis Khan assign as his successor?</t>
  </si>
  <si>
    <t>the university's School of Social Service Administration</t>
  </si>
  <si>
    <t>Cestida</t>
  </si>
  <si>
    <t>What area did the Westwood One broadcast cover?</t>
  </si>
  <si>
    <t>Finsteraarhorn, t</t>
  </si>
  <si>
    <t>granules</t>
  </si>
  <si>
    <t>dimensional constant</t>
  </si>
  <si>
    <t>Andrés Marzal De Sax</t>
  </si>
  <si>
    <t>Onggirat tribe</t>
  </si>
  <si>
    <t>Italian Plague</t>
  </si>
  <si>
    <t>Under the Mongols</t>
  </si>
  <si>
    <t>What can scales and spring balances measure between two forces by using static equilibrium?</t>
  </si>
  <si>
    <t>charter</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</si>
  <si>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</si>
  <si>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What does the beroe do when pursuing prey?</t>
  </si>
  <si>
    <t>Fort Le Boeuf</t>
  </si>
  <si>
    <t>What is the lower canal regulation of the Rhine?</t>
  </si>
  <si>
    <t>What was the Yuan dynasty called in Mongolian?</t>
  </si>
  <si>
    <t>What was the Harvard endowment total in 2011?</t>
  </si>
  <si>
    <t>Who translated this version of the scriptures?</t>
  </si>
  <si>
    <t>Treaties apply as soon as they enter into force, unless stated otherwise</t>
  </si>
  <si>
    <t>division and administration of the newly conquered territory</t>
  </si>
  <si>
    <t>biomass</t>
  </si>
  <si>
    <t>In 1975, Season 11 of the series won a Writers' Guild of Great Britain award for Best Writing in a Children's Serial. In 1996, BBC television held the "Auntie Awards" as the culmination of their "TV60" series, celebrating 60 years of BBC television broadcasting, where Doctor Who was voted as the "Best Popular Drama" the corporation had ever produced, ahead of such ratings heavyweights as EastEnders and Casualty. In 2000, Doctor Who was ranked third in a list of the 100 Greatest British Television Programmes of the 20th century, produced by the British Film Institute and voted on by industry professionals. In 2005, the series came first in a survey by SFX magazine of "The Greatest UK Science Fiction and Fantasy Television Series Ever". Also, in the 100 Greatest Kids' TV shows (a Channel 4 countdown in 2001), the 1963–1989 run was placed at number eight.</t>
  </si>
  <si>
    <t>the internal thylakoid system</t>
  </si>
  <si>
    <t>1271</t>
  </si>
  <si>
    <t>his health deteriorated</t>
  </si>
  <si>
    <t>with money from foreign Islamist banking systems</t>
  </si>
  <si>
    <t>How would one create an empire by means of Imperialism?</t>
  </si>
  <si>
    <t>34%</t>
  </si>
  <si>
    <t>Southern California had a population of 22,680,010 according to the census from which year?</t>
  </si>
  <si>
    <t>Richard (Dick) Geary</t>
  </si>
  <si>
    <t>Why do people chose civil disobedience to protest?</t>
  </si>
  <si>
    <t>British Gas plc</t>
  </si>
  <si>
    <t>legalize importation of medications from Canada and other countries</t>
  </si>
  <si>
    <t>Robert Koch and Emil von Behring,</t>
  </si>
  <si>
    <t>Where does the cold water mix with Lake Constance?</t>
  </si>
  <si>
    <t>What is a term for schools that receive government assistance?</t>
  </si>
  <si>
    <t>Where was Parliament's temporary home whilst the permanent building was being built?</t>
  </si>
  <si>
    <t>Edsen Khoroo</t>
  </si>
  <si>
    <t>placebo</t>
  </si>
  <si>
    <t>Sinclair</t>
  </si>
  <si>
    <t>What date did Tesla begin his Colorado Springs experiments?</t>
  </si>
  <si>
    <t>What type of steam engine produces most electricity in the world today?</t>
  </si>
  <si>
    <t>UHF tuning</t>
  </si>
  <si>
    <t>"A Machine to End War"</t>
  </si>
  <si>
    <t>Where did the Normans and Byzantines sign the peace treaty?</t>
  </si>
  <si>
    <t>Lowry Digital f</t>
  </si>
  <si>
    <t>small-business proprietors</t>
  </si>
  <si>
    <t>easterly</t>
  </si>
  <si>
    <t>Yersinia pestis</t>
  </si>
  <si>
    <t>Reduction essentially takes one problem and converts into what?</t>
  </si>
  <si>
    <t>How many representatives does each electorate have?</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</si>
  <si>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1919–20 in the old Tsarist Empire in areas its forces occupied in Eastern Europe. The Soviet Union and the People’s Republic of China supported post–World War II communist movements in foreign nations and colonies to advance their own interests, but were not always successful.</t>
  </si>
  <si>
    <t>What is the name of the area that the main campus is centered in Cambridge?</t>
  </si>
  <si>
    <t>Chivas USA</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</si>
  <si>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</si>
  <si>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When could V&amp;A Dundee?</t>
  </si>
  <si>
    <t>1872</t>
  </si>
  <si>
    <t>Battlestar Galactica and Bionic Woman</t>
  </si>
  <si>
    <t>Throughout the 18th century, Enlightenment ideas of the power of reason and free will became widespread among Congregationalist ministers, putting those ministers and their congregations in tension with more traditionalist, Calvinist parties.:1–4 When the Hollis Professor of Divinity David Tappan died in 1803 and the president of Harvard Joseph Willard died a year later, in 1804, a struggle broke out over their replacements. Henry Ware was elected to the chair in 1805, and the liberal Samuel Webber was appointed to the presidency of Harvard two years later, which signaled the changing of the tide from the dominance of traditional ideas at Harvard to the dominance of liberal, Arminian ideas (defined by traditionalists as Unitarian ideas).:4–5:24</t>
  </si>
  <si>
    <t>the Ancient Greeks</t>
  </si>
  <si>
    <t>How many pages was the Kalven Report statement?</t>
  </si>
  <si>
    <t>Most antibiotics target bacteria and don't affect what class of organisms?</t>
  </si>
  <si>
    <t>Who discovered that magnetic and electric could self-generate?</t>
  </si>
  <si>
    <t>1840</t>
  </si>
  <si>
    <t>Who threw gold into the Rhine, according to legend?</t>
  </si>
  <si>
    <t>simultaneous</t>
  </si>
  <si>
    <t>In particular, this norm gets smaller when a number is multiplied by p, in sharp contrast to the usual absolute value (also referred to as the infinite prime). While completing Q (roughly, filling the gaps) with respect to the absolute value yields the field of real numbers, completing with respect to the p-adic norm |−|p yields the field of p-adic numbers. These are essentially all possible ways to complete Q, by Ostrowski's theorem. Certain arithmetic questions related to Q or more general global fields may be transferred back and forth to the completed (or local) fields. This local-global principle again underlines the importance of primes to number theory.</t>
  </si>
  <si>
    <t>for not having a residence permit.</t>
  </si>
  <si>
    <t>over 14,000 outfits</t>
  </si>
  <si>
    <t>Who did Peyton Manning play for as a rookie?</t>
  </si>
  <si>
    <t>A Turing machine</t>
  </si>
  <si>
    <t>a seal</t>
  </si>
  <si>
    <t>What function does ozone perform for the planet?</t>
  </si>
  <si>
    <t>ABC created what company as a production company in response to fin-syn rules?</t>
  </si>
  <si>
    <t>the relevant cross-sectional area for the volume for which the stress-tensor is being calculated</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</si>
  <si>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</si>
  <si>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How many of the survey respondents considered Doctor Who very unsuitable for family viewing?</t>
  </si>
  <si>
    <t>How many troops were defeated for British in BAttle of Carillon?</t>
  </si>
  <si>
    <t>radar</t>
  </si>
  <si>
    <t>a global sense</t>
  </si>
  <si>
    <t>What does high levels of inequality do to growth in poor countries?</t>
  </si>
  <si>
    <t>Along with Canada and the United Kingdom, what country generally doesn't refer to universities as private schools?</t>
  </si>
  <si>
    <t>What probiotic flora is found in unpasteurized yogurt?</t>
  </si>
  <si>
    <t>in the early 11th century</t>
  </si>
  <si>
    <t>What types of engines are steam engines?</t>
  </si>
  <si>
    <t>Which town's massacre did Genghis Khan order in retribution for the treatment of his envoys?</t>
  </si>
  <si>
    <t>tectonic subsidence</t>
  </si>
  <si>
    <t>What day of the week does the Time for Reflection take place?</t>
  </si>
  <si>
    <t>When was the last time San Francisco hosted a Super Bowl?</t>
  </si>
  <si>
    <t>The early Cambrian sessile frond-like fossil Stromatoveris, from China's Chengjiang lagerstätte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"aunt" of ctenophores, and that ctenophores originated from sessile animals whose descendants became swimmers and changed the cilia from a feeding mechanism to a propulsion system.</t>
  </si>
  <si>
    <t>When rock formations are found on top of a fault that have not been cut, then they must be older or younger than the fault?</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</si>
  <si>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</si>
  <si>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in sync</t>
  </si>
  <si>
    <t>ectrical fire</t>
  </si>
  <si>
    <t>What major Newcastle road stretches from Edinburgh to London?</t>
  </si>
  <si>
    <t>channels through which inequality may affect economic growth</t>
  </si>
  <si>
    <t>mistreatment</t>
  </si>
  <si>
    <t>Mayor W. Haydon Burns</t>
  </si>
  <si>
    <t>When did Luther broaden his attacks to include core Church doctrines?</t>
  </si>
  <si>
    <t>successfully cut off the French frontier forts</t>
  </si>
  <si>
    <t>all war</t>
  </si>
  <si>
    <t>Peroxides, nitrates and dichromates are examples of what type of compounds?</t>
  </si>
  <si>
    <t>Red Turban rebels</t>
  </si>
  <si>
    <t>private research university</t>
  </si>
  <si>
    <t>3,000 miles</t>
  </si>
  <si>
    <t>What expression is generally used to convey upper or lower bounds?</t>
  </si>
  <si>
    <t>What will have a direct impact of inequality in a system that uses a progressive tax?</t>
  </si>
  <si>
    <t>Who was determined to expose Luther at this time?</t>
  </si>
  <si>
    <t>What did Tesla first receive after starting his company?</t>
  </si>
  <si>
    <t>industry</t>
  </si>
  <si>
    <t>What did Luther not mean for the new mass to replace?</t>
  </si>
  <si>
    <t>ABC currently holds the broadcast rights to the Academy Awards, Emmy Awards (which are rotated across all four major networks on a year-to-year basis), American Music Awards, Disney Parks Christmas Day Parade, Tournament of Roses Parade, Country Music Association Awards and the CMA Music Festival. Since 2000, ABC has also owned the television rights to most of the Peanuts television specials, having acquired the broadcast rights from CBS, which originated the specials in 1965 with the debut of A Charlie Brown Christmas (other Peanuts specials broadcast annually by ABC, including A Charlie Brown Christmas, include It's the Great Pumpkin, Charlie Brown and A Charlie Brown Thanksgiving).</t>
  </si>
  <si>
    <t>modern cryptographic systems</t>
  </si>
  <si>
    <t>pre-allocates dedicated network bandwidth specifically for each communication session</t>
  </si>
  <si>
    <t>Mission Impossible</t>
  </si>
  <si>
    <t>On what river does Warsaw stand?</t>
  </si>
  <si>
    <t>In what year was the Commission on Pan Methodist Cooperation and Union formed?</t>
  </si>
  <si>
    <t>Who may introduce new laws or amendments to laws already on the books as a bill?</t>
  </si>
  <si>
    <t>both the army and the populace</t>
  </si>
  <si>
    <t>posting on the door</t>
  </si>
  <si>
    <t>the Mi'kmaq and the Abenaki</t>
  </si>
  <si>
    <t>Who allegedly haunted the gate?</t>
  </si>
  <si>
    <t>Scottish or Irish describe the type of what people in Newcastle have?</t>
  </si>
  <si>
    <t>What is the basic pay for a teacher, in Euros?</t>
  </si>
  <si>
    <t>Łazienki</t>
  </si>
  <si>
    <t>George Frampton</t>
  </si>
  <si>
    <t>Chinggis Khaan</t>
  </si>
  <si>
    <t>women retire at age 60 and men at 65</t>
  </si>
  <si>
    <t>Lots of tumor cells have fewer of what type of molecule on their surface?</t>
  </si>
  <si>
    <t>What is a main tributary to the Rhine that goes through Northeastern France and part of Belgium?</t>
  </si>
  <si>
    <t>Tricia Marwick</t>
  </si>
  <si>
    <t>the science schools</t>
  </si>
  <si>
    <t>Sunni Arabs</t>
  </si>
  <si>
    <t>one week</t>
  </si>
  <si>
    <t>For certain physical scenarios, it is impossible to model forces as being due to gradient of potentials. This is often due to macrophysical considerations that yield forces as arising from a macroscopic statistical average of microstates. For example, friction is caused by the gradients of numerous electrostatic potentials between the atoms, but manifests as a force model that is independent of any macroscale position vector. Nonconservative forces other than friction include other contact forces, tension, compression, and drag. However, for any sufficiently detailed description, all these forces are the results of conservative ones since each of these macroscopic forces are the net results of the gradients of microscopic potentials.</t>
  </si>
  <si>
    <t>What is the first model of education, in the Australian system?</t>
  </si>
  <si>
    <t>Open</t>
  </si>
  <si>
    <t>XLVII</t>
  </si>
  <si>
    <t>May 2013</t>
  </si>
  <si>
    <t>Pittsburgh</t>
  </si>
  <si>
    <t>power blackouts</t>
  </si>
  <si>
    <t>What have some plants repurposed the peptidoglycan layer genes for?</t>
  </si>
  <si>
    <t>intense light</t>
  </si>
  <si>
    <t>excommunication</t>
  </si>
  <si>
    <t>Oirads</t>
  </si>
  <si>
    <t>What is the famous rock near Sanke Goarshausen?</t>
  </si>
  <si>
    <t>What did Astor expect the money be used for?</t>
  </si>
  <si>
    <t>Where was the measurment for the standard gravity on Earth taken?</t>
  </si>
  <si>
    <t>by everyone</t>
  </si>
  <si>
    <t>Which type of climate may have allowed the rainforest to spread across the continent?</t>
  </si>
  <si>
    <t>When did these rebellions take place?</t>
  </si>
  <si>
    <t>practical limitations of working in the rainforest mean that data sampling is biased away from the center of the Amazon basin</t>
  </si>
  <si>
    <t>pseudorandom number generators</t>
  </si>
  <si>
    <t>several hundred</t>
  </si>
  <si>
    <t>Two thirds</t>
  </si>
  <si>
    <t>until the 19th century</t>
  </si>
  <si>
    <t>What position does Tucker play for with the Ravens?</t>
  </si>
  <si>
    <t>being around their students</t>
  </si>
  <si>
    <t>The system limited the price of "old oil"</t>
  </si>
  <si>
    <t>Who first showed that Newton's Theory of Gravity was not as correct as another theory?</t>
  </si>
  <si>
    <t>What surrounds Plastoglobuli?</t>
  </si>
  <si>
    <t>increase in tea drinking</t>
  </si>
  <si>
    <t>parabolic path</t>
  </si>
  <si>
    <t>its safaris, diverse climate and geography, and expansive wildlife reserves and national parks</t>
  </si>
  <si>
    <t>Holy Roman Empire</t>
  </si>
  <si>
    <t>In the 19th century, shipbuilding and heavy engineering were central to the city's prosperity; and the city was a powerhouse of the Industrial Revolution. This revolution resulted in the urbanization of the city. In 1817 the Maling company, at one time the largest pottery company in the world, moved to the city. The Victorian industrial revolution brought industrial structures that included the 2 1⁄2-mile (4.0 km) Victoria Tunnelling, built in 1842, which provided underground wagon ways to the staithes. On 3 February 1879, Mosley Street in the city, was the first public road in the world to be lit up by the incandescent lightbulb. Newcastle was one of the first cities in the world to be lit up by electric lighting. Innovations in Newcastle and surrounding areas included the development of safety lamps, Stephenson's Rocket, Lord Armstrong's artillery, Be-Ro flour, Joseph Swan's electric light bulbs, and Charles Parsons' invention of the steam turbine, which led to the revolution of marine propulsion and the production of cheap electricity. In 1882, Newcastle became the seat of an Anglican diocese, with St. Nicholas' Church becoming its cathedral.</t>
  </si>
  <si>
    <t>What causes rock extension?</t>
  </si>
  <si>
    <t>contractor identified change orders or project changes that increased costs</t>
  </si>
  <si>
    <t>The Book of Discipline of the United Methodist Church</t>
  </si>
  <si>
    <t>literature, cartography, geography, and scientific education</t>
  </si>
  <si>
    <t>20.8%</t>
  </si>
  <si>
    <t>Falls</t>
  </si>
  <si>
    <t>What did electromagnetic theory  finally lead to?</t>
  </si>
  <si>
    <t>the Compromise of 1850</t>
  </si>
  <si>
    <t>In which year was Möllendorff Dinner Service designed?</t>
  </si>
  <si>
    <t>anti-democratic Islamist movements inspired by Maududi and Sayyid Qutb</t>
  </si>
  <si>
    <t>Twelve actors have headlined the series as the Doctor. The transition from one actor to another is written into the plot of the show, as well as the differing approach to the role that each brings, under the concept of regeneration into a new incarnation. The show's premise is that this is a life process of Time Lords through which the character of the Doctor takes on a new body and, to some extent, new personality, which occurs after sustaining an injury which would be fatal to most other species. Each actor's portrayal differs, but they are all intended to be aspects of the same character and form part of the same storyline. The time-travelling nature of the plot means that, on occasion, different Doctors have met each other. Peter Capaldi took on the role after Matt Smith's exit in the 2013 Christmas special "The Time of the Doctor".</t>
  </si>
  <si>
    <t>Jamukha, and his protector, Toghrul Khan of the Keraite tribe</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</si>
  <si>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</si>
  <si>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Irena Bajerska</t>
  </si>
  <si>
    <t>museum exhibits</t>
  </si>
  <si>
    <t>In 1888, the editor of Electrical World magazine, Thomas Commerford Martin (a friend and publicist), arranged for Tesla to demonstrate his alternating current system, including his induction motor, at the American Institute of Electrical Engineers (now IEEE). Engineers working for the Westinghouse Electric &amp; Manufacturing Company reported to George Westinghouse that Tesla had a viable AC motor and related power system — something for which Westinghouse had been trying to secure patents. Westinghouse looked into getting a patent on a similar commutator-less, rotating magnetic field-based induction motor presented in a paper in March 1888 by the Italian physicist Galileo Ferraris, but decided Tesla's patent would probably control the market.</t>
  </si>
  <si>
    <t>the Grainger Town area</t>
  </si>
  <si>
    <t xml:space="preserve">What was Zia-ul-Haq accused of using Islamization to legitimize? </t>
  </si>
  <si>
    <t>What was Elway's final game as the Denver quarterback?</t>
  </si>
  <si>
    <t>How many French people were lost to plague between 1628-31?</t>
  </si>
  <si>
    <t xml:space="preserve">Petrologists identify rock samples in the field and where else? </t>
  </si>
  <si>
    <t xml:space="preserve">What did this concept contradict </t>
  </si>
  <si>
    <t>David Graeber</t>
  </si>
  <si>
    <t>In addition to Watt, Boulton and Smeaton, whose engine was an atmosphere design?</t>
  </si>
  <si>
    <t>a simple majority</t>
  </si>
  <si>
    <t>Where do cacti have chloroplasts?</t>
  </si>
  <si>
    <t>NBC Blue</t>
  </si>
  <si>
    <t>Who opened the new Parliament building on October 9, 2004?</t>
  </si>
  <si>
    <t>Peninsular Ranges</t>
  </si>
  <si>
    <t>Which two governing bodies have legislative veto power?</t>
  </si>
  <si>
    <t>What was the style of Luther's salute at the end of his speech?</t>
  </si>
  <si>
    <t>polynomial-time</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</si>
  <si>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</si>
  <si>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What stadium did Super Bowl 50 take place in?</t>
  </si>
  <si>
    <t>Co-teaching</t>
  </si>
  <si>
    <t>Percy Shelley</t>
  </si>
  <si>
    <t>In his theses and disputations against the antinomians, Luther reviews and reaffirms, on the one hand, what has been called the "second use of the law," that is, the law as the Holy Spirit's tool to work sorrow over sin in man's heart, thus preparing him for Christ's fulfillment of the law offered in the gospel. Luther states that everything that is used to work sorrow over sin is called the law, even if it is Christ's life, Christ's death for sin, or God's goodness experienced in creation. Simply refusing to preach the Ten Commandments among Christians – thereby, as it were, removing the three letters l-a-w from the church – does not eliminate the accusing law. Claiming that the law – in any form – should not be preached to Christians anymore would be tantamount to asserting that Christians are no longer sinners in themselves and that the church consists only of essentially holy people.</t>
  </si>
  <si>
    <t>an equality</t>
  </si>
  <si>
    <t>Daewoo</t>
  </si>
  <si>
    <t>1629</t>
  </si>
  <si>
    <t>The All-Channel Receiver Act mandated the support of what kind of tuning?</t>
  </si>
  <si>
    <t>What is QED short for?</t>
  </si>
  <si>
    <t>What is the oxygen partial pressure of space suits?</t>
  </si>
  <si>
    <t>scorpion</t>
  </si>
  <si>
    <t>7 Lincoln Square</t>
  </si>
  <si>
    <t>a citizen's relation to the state and its laws,</t>
  </si>
  <si>
    <t>Where does heat rejection occur in the Rankine cycle?</t>
  </si>
  <si>
    <t>Ominde Commission</t>
  </si>
  <si>
    <t>older</t>
  </si>
  <si>
    <t>What was their first plan that was launched?</t>
  </si>
  <si>
    <t>subtropical</t>
  </si>
  <si>
    <t>Water (H2O) and carbon dioxide (CO2)</t>
  </si>
  <si>
    <t>Several procedures</t>
  </si>
  <si>
    <t>dragons rock</t>
  </si>
  <si>
    <t>What group of people performed revolutionary civil disobedience toward the Austrian government?</t>
  </si>
  <si>
    <t>In 2009</t>
  </si>
  <si>
    <t>7:00 to 9:00 a.m.</t>
  </si>
  <si>
    <t>What is the only story of the original series where Doctor Who travels alone?</t>
  </si>
  <si>
    <t>Who funded the new jewelry gallery that opened in 2008?</t>
  </si>
  <si>
    <t>In what year was the Victoria and Albert Museum founded?</t>
  </si>
  <si>
    <t>Indians fought on both sides of the conflict</t>
  </si>
  <si>
    <t>Religious and spiritual teachers, such as gurus, mullahs, rabbis, pastors/youth pastors and lamas, may teach religious texts such as the Quran, Torah or Bible.</t>
  </si>
  <si>
    <t>around 20 hours</t>
  </si>
  <si>
    <t>What is expected with the continuous input of sediment into the Dornbirner Ach?</t>
  </si>
  <si>
    <t>Which single did Beyoncé and Coldplay collaborate on?</t>
  </si>
  <si>
    <t>much land and housing</t>
  </si>
  <si>
    <t>What are teachers considered to be in Germany?</t>
  </si>
  <si>
    <t>Dillon, Read &amp; Co.</t>
  </si>
  <si>
    <t>acupuncture, moxibustion, pulse diagnosis, and various herbal drugs</t>
  </si>
  <si>
    <t>What may be presented to Parliament in various ways?</t>
  </si>
  <si>
    <t>What London neighborhood attracted Huguenot refugees?</t>
  </si>
  <si>
    <t>Tuesday</t>
  </si>
  <si>
    <t>Who might be responsible for student discipline?</t>
  </si>
  <si>
    <t>curving parabolic path</t>
  </si>
  <si>
    <t>The specific devolved matters are all subjects which are not explicitly stated in Schedule 5 to the Scotland Act as reserved matters. All matters that are not specifically reserved are automatically devolved to the Scottish Parliament. Most importantly, this includes agriculture, fisheries and forestry, economic development, education, environment, food standards, health, home affairs, Scots law – courts, police and fire services, local government, sport and the arts, transport, training, tourism, research and statistics and social work. The Scottish Parliament has the ability to alter income tax in Scotland by up to 3 pence in the pound. The 2012 Act conferred further fiscal devolution including borrowing powers and some other unconnected matters such as setting speed limits and control of air guns.</t>
  </si>
  <si>
    <t>What part of the Teaching Council Act requires registration?</t>
  </si>
  <si>
    <t>All humans are sinners by nature, he explained, and God's grace (which cannot be earned) alone can make them just.</t>
  </si>
  <si>
    <t>71</t>
  </si>
  <si>
    <t>physical pain</t>
  </si>
  <si>
    <t>Which month is the first in the year Parliament takes a two week vacation?</t>
  </si>
  <si>
    <t>lives of their disciples</t>
  </si>
  <si>
    <t>God's wrath to Christians.</t>
  </si>
  <si>
    <t>BBC Radio Newcastle</t>
  </si>
  <si>
    <t>11 July 1934</t>
  </si>
  <si>
    <t>What signer of the Articles of Confederation was descended from Huguenots?</t>
  </si>
  <si>
    <t>75th birthday</t>
  </si>
  <si>
    <t>when the immune system is less active than normal</t>
  </si>
  <si>
    <t>February 2015</t>
  </si>
  <si>
    <t>What is the name of Harvard's primary recreational sports facility?</t>
  </si>
  <si>
    <t>February 8, 1974,</t>
  </si>
  <si>
    <t>Radio Corporation of America</t>
  </si>
  <si>
    <t>Who had established the Russian empire to its former glory prior to 1921?</t>
  </si>
  <si>
    <t>What replaced the Sky+Box?</t>
  </si>
  <si>
    <t>What kind of sending technology is being used to protect tribal lands in the Amazon?</t>
  </si>
  <si>
    <t>5,984</t>
  </si>
  <si>
    <t>last week of February 1974,</t>
  </si>
  <si>
    <t>Episcopal Areas,</t>
  </si>
  <si>
    <t>People of what nationality invented the steam turbine?</t>
  </si>
  <si>
    <t>padlocking the gates</t>
  </si>
  <si>
    <t>military</t>
  </si>
  <si>
    <t>What team had the best start ever in the NFL?</t>
  </si>
  <si>
    <t>upper bound</t>
  </si>
  <si>
    <t>Kuchlug</t>
  </si>
  <si>
    <t>one-fifth</t>
  </si>
  <si>
    <t>October 1529</t>
  </si>
  <si>
    <t>What is the common term for the loss of key members of French society to Huguenot emigration?</t>
  </si>
  <si>
    <t>How many astronauts was the LM intended to take from orbit of the moon to the surface of the moon?</t>
  </si>
  <si>
    <t>What famous musician starred in Stormy Monday?</t>
  </si>
  <si>
    <t>southern Suriname</t>
  </si>
  <si>
    <t>apoptosis</t>
  </si>
  <si>
    <t>BSkyB does not carry any control</t>
  </si>
  <si>
    <t>Muslims in the semu class</t>
  </si>
  <si>
    <t>arrows, swords, and leather shields</t>
  </si>
  <si>
    <t>the temperate zone</t>
  </si>
  <si>
    <t>When was the Ottoman empire at its height?</t>
  </si>
  <si>
    <t xml:space="preserve">Where did the Meuse flow before the flood? </t>
  </si>
  <si>
    <t>Which member state declined to sign the Social Charter?</t>
  </si>
  <si>
    <t>2005</t>
  </si>
  <si>
    <t>Saturday Night Football</t>
  </si>
  <si>
    <t>Paramount Pictures</t>
  </si>
  <si>
    <t>three years before</t>
  </si>
  <si>
    <t>John Myhill</t>
  </si>
  <si>
    <t>On 30 July 1891</t>
  </si>
  <si>
    <t>in his lab</t>
  </si>
  <si>
    <t>1879</t>
  </si>
  <si>
    <t>What is the subsystem that protects the human brain?</t>
  </si>
  <si>
    <t>The innate immune</t>
  </si>
  <si>
    <t>The practice of occupying and looting Huguenot homes was called?</t>
  </si>
  <si>
    <t>96,660 and 128,843</t>
  </si>
  <si>
    <t>The Newcastle Beer Festival</t>
  </si>
  <si>
    <t>Pole Mokotowskie</t>
  </si>
  <si>
    <t>What Han Chinese leader defected to the Mongols?</t>
  </si>
  <si>
    <t>How long does it take for the effects to manifest as changes to economic growth?</t>
  </si>
  <si>
    <t>What has to accounted for that causes no net force being the cause of constant velocity motion?</t>
  </si>
  <si>
    <t>When did Gerhard Lessing reach his conclusions about Luther?</t>
  </si>
  <si>
    <t>What did Jews refuse to accept that caused Luther to call them blasphemers and liars?</t>
  </si>
  <si>
    <t>What resource was mined in the Newcastle area?</t>
  </si>
  <si>
    <t>Statues of British artists adorn which part of the tower above the main entrance?</t>
  </si>
  <si>
    <t>How long did Phillips manage the Apollo missions?</t>
  </si>
  <si>
    <t>When will Roman numerals be used again to denote the Super Bowl number?</t>
  </si>
  <si>
    <t>Meredith Vieira</t>
  </si>
  <si>
    <t>three-stage Saturn V</t>
  </si>
  <si>
    <t>On the Freedom of a Christian.</t>
  </si>
  <si>
    <t>What is formed when a phagosome fuses with a lysosome?</t>
  </si>
  <si>
    <t>When did BSkyB launch it's HDTV service?</t>
  </si>
  <si>
    <t>What type of festival is The Northern Rock Cyclone?</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</si>
  <si>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</si>
  <si>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Bendigo</t>
  </si>
  <si>
    <t>debating chamber</t>
  </si>
  <si>
    <t>How many of the Pitt's planned expeditions were successful?</t>
  </si>
  <si>
    <t>A growing cause of concern</t>
  </si>
  <si>
    <t>seven-eighths</t>
  </si>
  <si>
    <t>Which network began airing the TGIF comedy Family Matters for the 1997-98 season?</t>
  </si>
  <si>
    <t>How many receptors on a helper T cell must be bound to a MHC:antigen complex in order for the cell to be activated?</t>
  </si>
  <si>
    <t>Where did ABC construct it's transmitter for its affiliate station in San Francisco?</t>
  </si>
  <si>
    <t>What is the universal band that digital recievers will receive free to air channels on?</t>
  </si>
  <si>
    <t>In 1934, Mutual filed a complaint with the Federal Communications Commission (FCC) regarding its difficulties in establishing new stations, in a radio market that was already being saturated by NBC and CBS. In 1938, the FCC began a series of investigations into the practices of radio networks and published its report on the broadcasting of network radio programs in 1940. The report recommended that RCA give up control of either NBC Red or NBC Blue. At that time, the NBC Red Network was the principal radio network in the United States and, according to the FCC, RCA was using NBC Blue to eliminate any hint of competition. Having no power over the networks themselves, the FCC established a regulation forbidding licenses to be issued for radio stations if they were affiliated with a network which already owned multiple networks that provided content of public interest.</t>
  </si>
  <si>
    <t>Who did the Broncos beat tp become the AFC champions?</t>
  </si>
  <si>
    <t>African Growth and Opportunity Act</t>
  </si>
  <si>
    <t>fish larvae and organisms</t>
  </si>
  <si>
    <t>a different view</t>
  </si>
  <si>
    <t>All the incidental music for the 2005 revived series has been composed by Murray Gold and Ben Foster and has been performed by the BBC National Orchestra of Wales from the 2005 Christmas episode "The Christmas Invasion" onwards. A concert featuring the orchestra performing music from the first two series took place on 19 November 2006 to raise money for Children in Need. David Tennant hosted the event, introducing the different sections of the concert. Murray Gold and Russell T Davies answered questions during the interval and Daleks and Cybermen appeared whilst music from their stories was played. The concert aired on BBCi on Christmas Day 2006. A Doctor Who Prom was celebrated on 27 July 2008 in the Royal Albert Hall as part of the annual BBC Proms. The BBC Philharmonic and the London Philharmonic Choir performed Murray Gold's compositions for the series, conducted by Ben Foster, as well as a selection of classics based on the theme of space and time. The event was presented by Freema Agyeman and guest-presented by various other stars of the show with numerous monsters participating in the proceedings. It also featured the specially filmed mini-episode "Music of the Spheres", written by Russell T Davies and starring David Tennant.</t>
  </si>
  <si>
    <t>Roman Empire</t>
  </si>
  <si>
    <t>Consultant pharmacy practice focuses more on medication regimen review (i.e. "cognitive services") than on actual dispensing of drugs. Consultant pharmacists most typically work in nursing homes, but are increasingly branching into other institutions and non-institutional settings. Traditionally consultant pharmacists were usually independent business owners, though in the United States many now work for several large pharmacy management companies (primarily Omnicare, Kindred Healthcare and PharMerica). This trend may be gradually reversing as consultant pharmacists begin to work directly with patients, primarily because many elderly people are now taking numerous medications but continue to live outside of institutional settings. Some community pharmacies employ consultant pharmacists and/or provide consulting services.</t>
  </si>
  <si>
    <t>because it has survived many wars, conflicts and invasions throughout its long history</t>
  </si>
  <si>
    <t>Aston Webb</t>
  </si>
  <si>
    <t>August 1914</t>
  </si>
  <si>
    <t>What is an example of a steam-powered automobile?</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</si>
  <si>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</si>
  <si>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How long did it take Johnson to respond to Kennedy?</t>
  </si>
  <si>
    <t>avionics, telecommunications, and computers.</t>
  </si>
  <si>
    <t>Manors</t>
  </si>
  <si>
    <t>How many general principles does the Social Charter declare?</t>
  </si>
  <si>
    <t>Great North Road</t>
  </si>
  <si>
    <t>Which Family Guy episodes contain Doctor Who references?</t>
  </si>
  <si>
    <t>Sentences by Peter Lombard</t>
  </si>
  <si>
    <t>What was the cost for a half minute ad?</t>
  </si>
  <si>
    <t>become lighter</t>
  </si>
  <si>
    <t>What chess grandmaster is also a university alumni?</t>
  </si>
  <si>
    <t>Charlesfort</t>
  </si>
  <si>
    <t xml:space="preserve">What is the boundary between the High and Upper Rhine? </t>
  </si>
  <si>
    <t>Ctenophora</t>
  </si>
  <si>
    <t>co-chair of the IPCC working group II</t>
  </si>
  <si>
    <t>Émile Girardeau</t>
  </si>
  <si>
    <t>MCA Inc</t>
  </si>
  <si>
    <t>22 miles</t>
  </si>
  <si>
    <t>Which airport is home to the busiest single runway in the world?</t>
  </si>
  <si>
    <t>mainly in southwestern France</t>
  </si>
  <si>
    <t>infrastructure</t>
  </si>
  <si>
    <t>after their second year</t>
  </si>
  <si>
    <t>What changed the Rhine's Delta?</t>
  </si>
  <si>
    <t>the NP-complete Boolean satisfiability problem</t>
  </si>
  <si>
    <t>surface condensers</t>
  </si>
  <si>
    <t>Christian doctrine</t>
  </si>
  <si>
    <t>Why was CBS unable to broadcast the coronation of Queen Elizabeth II?</t>
  </si>
  <si>
    <t>HT does not engage in armed jihad or work for a democratic system, but works to take power through "ideological struggle" to change Muslim public opinion, and in particular through elites who will "facilitate" a "change of the government," i.e., launch a "bloodless" coup. It allegedly attempted and failed such coups in 1968 and 1969 in Jordan, and in 1974 in Egypt, and is now banned in both countries. But many HT members have gone on to join terrorist groups and many jihadi terrorists have cited HT as their key influence.</t>
  </si>
  <si>
    <t>gradient of potentials.</t>
  </si>
  <si>
    <t>When was the Rhine first discovered?</t>
  </si>
  <si>
    <t>dozens</t>
  </si>
  <si>
    <t>What Revolutionary War midnight rider was a Huguenot descendant?</t>
  </si>
  <si>
    <t>132 million</t>
  </si>
  <si>
    <t>Whose principles were the principle of faunal succession built upon?</t>
  </si>
  <si>
    <t>Who responded to Lindzen's criticisms?</t>
  </si>
  <si>
    <t>cannot be written as a product of two ring elements that are not units</t>
  </si>
  <si>
    <t>Who did the Broncos beat in the divisional game?</t>
  </si>
  <si>
    <t>In which century were the four Devonshire Hunting Tapestries woven?</t>
  </si>
  <si>
    <t>make a defiant speech, or a speech explaining their actions,</t>
  </si>
  <si>
    <t>When did the Plos Pathogens paper come out?</t>
  </si>
  <si>
    <t>Nikita Khrushchev</t>
  </si>
  <si>
    <t>fast forwarding</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</si>
  <si>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</si>
  <si>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Luther's hymns inspired composers to write music. 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Wär Gott nicht mit uns diese Zeit, BWV 14.</t>
  </si>
  <si>
    <t xml:space="preserve">In the layered model of the Earth there are seismic discontinuities in which layer? </t>
  </si>
  <si>
    <t>my poverty for the riches of Croesus.</t>
  </si>
  <si>
    <t>What is another country that permits physicians to give out drugs from within their practice?</t>
  </si>
  <si>
    <t>Bernard A. Schriever</t>
  </si>
  <si>
    <t>gain information about past climate</t>
  </si>
  <si>
    <t>Where did Huguenots and Walloons settle in England?</t>
  </si>
  <si>
    <t>What have the Treaties sought to enable since its foundation?</t>
  </si>
  <si>
    <t>Turner Broadcasting System</t>
  </si>
  <si>
    <t>Who was considered to be the first choice in the NFL draft of 1998?</t>
  </si>
  <si>
    <t>was increased</t>
  </si>
  <si>
    <t>Where do chloroplasts pump hydrogen?</t>
  </si>
  <si>
    <t>18% higher</t>
  </si>
  <si>
    <t>in Graz, Austria</t>
  </si>
  <si>
    <t>1624</t>
  </si>
  <si>
    <t>What differs about secondary chloroplasts' membranes?</t>
  </si>
  <si>
    <t>911</t>
  </si>
  <si>
    <t>Immunodeficiencies</t>
  </si>
  <si>
    <t>The Very high-speed Backbone Network Service</t>
  </si>
  <si>
    <t>decline in hormone levels</t>
  </si>
  <si>
    <t>8.8</t>
  </si>
  <si>
    <t>1546</t>
  </si>
  <si>
    <t>The Mongols' conquest, even by their own standards, was brutal. After the capital Samarkand fell, the capital was moved to Bukhara by the remaining men, while Genghis Khan ordered two of his generals and their forces to completely destroy the remnants of the Khwarezmid Empire, including not only royal buildings, but entire towns, populations, and even vast swaths of farmland. According to legend, Genghis Khan even went so far as to divert a river through the Khwarezmid emperor's birthplace, erasing it from the map.[citation needed]</t>
  </si>
  <si>
    <t>Hospital pharmacies can often be found within the premises of the hospital. Hospital pharmacies usually stock a larger range of medications, including more specialized medications, than would be feasible in the community setting. Most hospital medications are unit-dose, or a single dose of medicine. Hospital pharmacists and trained pharmacy technicians compound sterile products for patients including total parenteral nutrition (TPN), and other medications given intravenously. This is a complex process that requires adequate training of personnel, quality assurance of products, and adequate facilities. Several hospital pharmacies have decided to outsource high risk preparations and some other compounding functions to companies who specialize in compounding. The high cost of medications and drug-related technology, combined with the potential impact of medications and pharmacy services on patient-care outcomes and patient safety, make it imperative that hospital pharmacies perform at the highest level possible.</t>
  </si>
  <si>
    <t>beerhouse and whorehouse</t>
  </si>
  <si>
    <t>The United Methodist Church (UMC) is a mainline Protestant Methodist denomination. In the 19th century its main predecessor was a leader in Evangelicalism. Founded in 1968 by the union of the Methodist Church (USA) and the Evangelical United Brethren Church, the UMC traces its roots back to the revival movement of John and Charles Wesley in England as well as the Great Awakening in the United States. As such, the church's theological orientation is decidedly Wesleyan. It embraces both liturgical and evangelical elements.</t>
  </si>
  <si>
    <t>for not having a residence permit</t>
  </si>
  <si>
    <t>Monday</t>
  </si>
  <si>
    <t>introductory stage of the bill</t>
  </si>
  <si>
    <t>the discrete logarithm problem</t>
  </si>
  <si>
    <t>satisfaction and happiness</t>
  </si>
  <si>
    <t>What type of exercise does research show receives a boost in performance from oxygen?</t>
  </si>
  <si>
    <t>repeated episodes</t>
  </si>
  <si>
    <t>The Soulages collection of Italian and French Renaissance objects was acquired between 1859 and 1865, and includes several cassone. The John Jones Collection of French 18th-century art and furnishings was left to the museum in 1882, then valued at £250,000. One of the most important pieces in this collection is a marquetry commode by the ébéniste Jean Henri Riesener dated c1780. Other signed pieces of furniture in the collection include a bureau by Jean-François Oeben, a pair of pedestals with inlaid brass work by André Charles Boulle, a commode by Bernard Vanrisamburgh and a work-table by Martin Carlin. Other 18th-century ébénistes represented in the Museum collection include Adam Weisweiler, David Roentgen, Gilles Joubert &amp; Pierre Langlois. In 1901, Sir George Donaldson donated several pieces of art Nouveau furniture to the museum, which he had acquired the previous year at the Paris Exposition Universelle. This was criticized at the time, with the result that the museum ceased to collect contemporary items and did not do so again until the 1960s. In 1986 the Lady Abingdon collection of French Empire furniture was bequeathed by Mrs T. R. P. Hole.</t>
  </si>
  <si>
    <t>Do adults or juveniles secretions luminesce brighter?</t>
  </si>
  <si>
    <t>recurring and life-threatening infections.</t>
  </si>
  <si>
    <t xml:space="preserve">What would create a conflict between a problem X and problem C within the context of reduction? </t>
  </si>
  <si>
    <t>What did John Mayow  name the part of air that caused combustion?</t>
  </si>
  <si>
    <t>unidirectional force</t>
  </si>
  <si>
    <t>social and political action</t>
  </si>
  <si>
    <t>What did Luther insist was present in the bread and wine?</t>
  </si>
  <si>
    <t>LA Galaxy</t>
  </si>
  <si>
    <t>The Upper Rhine region was changed significantly by a Rhine straightening program in the 19th Century. The rate of flow was increased and the ground water level fell significantly. Dead branches dried up and the amount of forests on the flood plains decreased sharply. On the French side, the Grand Canal d'Alsace was dug, which carries a significant part of the river water, and all of the traffic. In some places, there are large compensation pools, for example the huge Bassin de compensation de Plobsheim in Alsace.</t>
  </si>
  <si>
    <t>January 27, 1967</t>
  </si>
  <si>
    <t>shortening the cutoff</t>
  </si>
  <si>
    <t>threat of war</t>
  </si>
  <si>
    <t>Mars</t>
  </si>
  <si>
    <t>What type of compounds such as acetone,contain oxygen?</t>
  </si>
  <si>
    <t>What type of treatment do civil disobedients usually receive?</t>
  </si>
  <si>
    <t>provide connection-oriented operations</t>
  </si>
  <si>
    <t>A growing number of new forms of procurement involves what?</t>
  </si>
  <si>
    <t>influence</t>
  </si>
  <si>
    <t>deficit</t>
  </si>
  <si>
    <t>bourgeois</t>
  </si>
  <si>
    <t>Past faculty have also included Egyptologist James Henry Breasted, mathematician Alberto Calderón, Nobel prize winning economist and classical liberalism defender Friedrich Hayek, meteorologist Ted Fujita, chemists Glenn T. Seaborg, the developer of the actinide concept and Nobel Prize winner Yuan T. Lee, Nobel Prize winning novelist Saul Bellow, political philosopher and author Allan Bloom, cancer researchers Charles Brenton Huggins and Janet Rowley, astronomer Gerard Kuiper, one of the most important figures in the early development of the discipline of linguistics Edward Sapir, and the founder of McKinsey &amp; Co., James O. McKinsey.</t>
  </si>
  <si>
    <t>the IPCC from the WWF report</t>
  </si>
  <si>
    <t>What was the capital of the Ottoman empire?</t>
  </si>
  <si>
    <t xml:space="preserve">What did vBNS do </t>
  </si>
  <si>
    <t>rococo</t>
  </si>
  <si>
    <t>three pads</t>
  </si>
  <si>
    <t>It's the Great Pumpkin, Charlie Brown</t>
  </si>
  <si>
    <t>Mao Zedong</t>
  </si>
  <si>
    <t>over 90</t>
  </si>
  <si>
    <t>uncertain</t>
  </si>
  <si>
    <t>1,320 kilometres</t>
  </si>
  <si>
    <t>Überseering BV v Nordic Construction GmbH</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</si>
  <si>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</si>
  <si>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outer core and inner core</t>
  </si>
  <si>
    <t>What does the currently flooded terrace still have visible?</t>
  </si>
  <si>
    <t>a citizen may rely on the Directive in such an action</t>
  </si>
  <si>
    <t>the Fermat primality test,</t>
  </si>
  <si>
    <t>How near to his death was the work published?</t>
  </si>
  <si>
    <t>the Monarch</t>
  </si>
  <si>
    <t>April</t>
  </si>
  <si>
    <t>The Kuznets curve says with economic development, inequality will decrease after what?</t>
  </si>
  <si>
    <t>In 1891 Scottish chemist James Dewar was able to produce enough liquid oxygen to study. The first commercially viable process for producing liquid oxygen was independently developed in 1895 by German engineer Carl von Linde and British engineer William Hampson. Both men lowered the temperature of air until it liquefied and then distilled the component gases by boiling them off one at a time and capturing them. Later, in 1901, oxyacetylene welding was demonstrated for the first time by burning a mixture of acetylene and compressed O
2. This method of welding and cutting metal later became common.</t>
  </si>
  <si>
    <t>Governor Vaudreuil</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</si>
  <si>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</si>
  <si>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an estimated 25 million</t>
  </si>
  <si>
    <t>What do some believe about this pronunciation?</t>
  </si>
  <si>
    <t>What civilization was the first known to clearly study prime numbers?</t>
  </si>
  <si>
    <t>on the 50-yard line</t>
  </si>
  <si>
    <t>Who wrote that it is difficult to produce an all inclusive definition of civil disobedience?</t>
  </si>
  <si>
    <t>What two artists came out with Coldplay during the half-time show?</t>
  </si>
  <si>
    <t>second and third run movies</t>
  </si>
  <si>
    <t>£250,000</t>
  </si>
  <si>
    <t>Why was the student group called "the Methodists?"</t>
  </si>
  <si>
    <t>New York</t>
  </si>
  <si>
    <t xml:space="preserve">Did the rainforest managed to thrive during the glacial periods? </t>
  </si>
  <si>
    <t>common prayer of the dying.</t>
  </si>
  <si>
    <t>. The Book of Discipline</t>
  </si>
  <si>
    <t>bioluminescence</t>
  </si>
  <si>
    <t>guerrilla warfare</t>
  </si>
  <si>
    <t>In 1949, UPT was forced to become an independent entity by whom?</t>
  </si>
  <si>
    <t>salvation or redemption is a gift of God's grace, attainable only through faith in Jesus as the Messiah</t>
  </si>
  <si>
    <t>Is the Pope's confessor a Bishop?</t>
  </si>
  <si>
    <t>comedies and family-oriented series</t>
  </si>
  <si>
    <t>487</t>
  </si>
  <si>
    <t>municipal building inspector</t>
  </si>
  <si>
    <t>What was one of Tesla's books where articles can be read?</t>
  </si>
  <si>
    <t>village of Warszowa</t>
  </si>
  <si>
    <t>to reduce costs and maximize profits</t>
  </si>
  <si>
    <t>Wales</t>
  </si>
  <si>
    <t>What did Luther consider Christ's life?</t>
  </si>
  <si>
    <t>bacteriophages</t>
  </si>
  <si>
    <t>Which company provided streetcar connections between downtown and the hospital?</t>
  </si>
  <si>
    <t>Who may seek changes or exemptions in the law that governs the land where the building will be built?</t>
  </si>
  <si>
    <t>Revolutionary</t>
  </si>
  <si>
    <t>20% to 25%</t>
  </si>
  <si>
    <t>murder of Christ</t>
  </si>
  <si>
    <t>Since 1999, Big Finish Productions has released several different series of Doctor Who audios on CD. The earliest of these featured the Fifth, Sixth and Seventh Doctors, with Paul McGann's Eight Doctor joining the line in 2001. Tom Baker's Fourth Doctor began appearing for Big Finish in 2012. Along with the main range, adventures of the First, Second and Third Doctors have been produced in both limited cast and full cast formats, as well as audiobooks. The 2013 series Destiny of the Doctor, produced as part of the series' 50th Anniversary celebrations, marked the first time Big Finish created stories (in this case audiobooks) featuring the Doctors from the revived show.</t>
  </si>
  <si>
    <t>How do private schools in Ireland differ from most?</t>
  </si>
  <si>
    <t>Monte Gargano</t>
  </si>
  <si>
    <t>Basel,</t>
  </si>
  <si>
    <t>more capital</t>
  </si>
  <si>
    <t>participating in cell division, protein routing, and even disease resistance</t>
  </si>
  <si>
    <t>a lipid monolayer</t>
  </si>
  <si>
    <t>How many academic units make up the school?</t>
  </si>
  <si>
    <t>Suleiman the Magnificent,</t>
  </si>
  <si>
    <t>Vulcan</t>
  </si>
  <si>
    <t>Mersenne</t>
  </si>
  <si>
    <t>What country showed all three episodes of Silver Nemesis before the BBC did?</t>
  </si>
  <si>
    <t>What seldom used term of a unit of force equal to 1000 pound s of force?</t>
  </si>
  <si>
    <t>What is consultant pharmacy mainly concerned with?</t>
  </si>
  <si>
    <t>Who was the creator of NYPD Blue?</t>
  </si>
  <si>
    <t>What did Donald Davies Develop</t>
  </si>
  <si>
    <t>Who suffered a broken arm in the NFC Championship Game?</t>
  </si>
  <si>
    <t>cells</t>
  </si>
  <si>
    <t>motorcycles or mopeds pulling trailers</t>
  </si>
  <si>
    <t>treatment</t>
  </si>
  <si>
    <t>The most common dinophyte chloroplast is the peridinin-type chloroplast, characterized by the carotenoid pigment peridinin in their chloroplasts, along with chlorophyll a and chlorophyll c2. Peridinin is not found in any other group of chloroplasts. The peridinin chloroplast is bounded by three membranes (occasionally two), having lost the red algal endosymbiont's original cell membrane. The outermost membrane is not connected to the endoplasmic reticulum. They contain a pyrenoid, and have triplet-stacked thylakoids. Starch is found outside the chloroplast An important feature of these chloroplasts is that their chloroplast DNA is highly reduced and fragmented into many small circles. Most of the genome has migrated to the nucleus, and only critical photosynthesis-related genes remain in the chloroplast.</t>
  </si>
  <si>
    <t>ether</t>
  </si>
  <si>
    <t>What did Luther explain about acquiring God's grace?</t>
  </si>
  <si>
    <t>meritocratic</t>
  </si>
  <si>
    <t>half of Naples' 300,000 inhabitants</t>
  </si>
  <si>
    <t>Daniel Andrews</t>
  </si>
  <si>
    <t>communist governments</t>
  </si>
  <si>
    <t>Renmin University</t>
  </si>
  <si>
    <t>Vistula Valley</t>
  </si>
  <si>
    <t>XXXVIII</t>
  </si>
  <si>
    <t>What jersey did the Broncos wear for Super Bowl 50?</t>
  </si>
  <si>
    <t>two hymns</t>
  </si>
  <si>
    <t>When was the Skylab launched?</t>
  </si>
  <si>
    <t>political activity caused exploitation</t>
  </si>
  <si>
    <t>mostly Christian</t>
  </si>
  <si>
    <t>Are juiveniles capable of reproduction?</t>
  </si>
  <si>
    <t>When did the Siege of Antioch take place?</t>
  </si>
  <si>
    <t>electrical effects</t>
  </si>
  <si>
    <t>private ownership of the means of production</t>
  </si>
  <si>
    <t>Who was Westinghouse's chief rival?</t>
  </si>
  <si>
    <t>Who defines what constitutes a patient-doctor relationship?</t>
  </si>
  <si>
    <t>Gibraltar and the Åland islands</t>
  </si>
  <si>
    <t>What is the minimum percent of alcohol content a German law requires all spirits and liqueurs to have?</t>
  </si>
  <si>
    <t>Most of the productions in the TGIF lineup were produced by what production company?</t>
  </si>
  <si>
    <t>avionics, telecommunications, and computers</t>
  </si>
  <si>
    <t>10 o'clock tea (chai ya saa nne) and 4 pm tea</t>
  </si>
  <si>
    <t>What happened to Tesla's belongings?</t>
  </si>
  <si>
    <t>99.4.</t>
  </si>
  <si>
    <t>sea-level rise had dropped</t>
  </si>
  <si>
    <t>technique</t>
  </si>
  <si>
    <t>What did the Mongol elites wish Buyantu didn't do?</t>
  </si>
  <si>
    <t>Upon what chemical characteristic is oxygen's solubility dependent?</t>
  </si>
  <si>
    <t>365.2425 days of the year</t>
  </si>
  <si>
    <t>Who is the city supervisor of San Francisco?</t>
  </si>
  <si>
    <t>How long is the Rhine?</t>
  </si>
  <si>
    <t>Deke Slayton,</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</si>
  <si>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</si>
  <si>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Where do plenary meetings take place?</t>
  </si>
  <si>
    <t>Śródmieście</t>
  </si>
  <si>
    <t>Along with Dan Fouts, who served as a color analyst for the radio broadcast?</t>
  </si>
  <si>
    <t>How many households has kids under the age of 18 living in them?</t>
  </si>
  <si>
    <t>What happened to the ground water in the Rhine during the Rhine straightening program?</t>
  </si>
  <si>
    <t>Along with nuclear, geothermal and internal combustion engine waste heat, what sort of energy might supply the heat for a steam engine?</t>
  </si>
  <si>
    <t>deforestation and ecocide</t>
  </si>
  <si>
    <t>Which two generals raided the Caucasas and Kievan Rus' for Genghis Khan?</t>
  </si>
  <si>
    <t>One of the main functions of the chloroplast is its role in photosynthesis, the process by which light is transformed into chemical energy, to subsequently produce food in the form of sugars. Water (H2O) and carbon dioxide (CO2) are used in photosynthesis, and sugar and oxygen (O2) is made, using light energy. Photosynthesis is divided into two stages—the light reactions, where water is split to produce oxygen, and the dark reactions, or Calvin cycle, which builds sugar molecules from carbon dioxide. The two phases are linked by the energy carriers adenosine triphosphate (ATP) and nicotinamide adenine dinucleotide phosphate (NADP+).</t>
  </si>
  <si>
    <t>When did the UMC enter into full communion with several churches?</t>
  </si>
  <si>
    <t>How is Newport's airport connected to the city?</t>
  </si>
  <si>
    <t>826 Doctor Who instalments have been televised since 1963, ranging between 25-minute episodes (the most common format), 45-minute episodes (for Resurrection of the Daleks in the 1984 series, a single season in 1985, and the revival), two feature-length productions (1983's The Five Doctors and the 1996 television film), eight Christmas specials (most of 60 minutes' duration, one of 72 minutes), and four additional specials ranging from 60 to 75 minutes in 2009, 2010 and 2013. Four mini-episodes, running about eight minutes each, were also produced for the 1993, 2005 and 2007 Children in Need charity appeals, while another mini-episode was produced in 2008 for a Doctor Who-themed edition of The Proms. The 1993 2-part story, entitled Dimensions in Time, was made in collaboration with the cast of the BBC soap-opera EastEnders and was filmed partly on the EastEnders set. A two-part mini-episode was also produced for the 2011 edition of Comic Relief. Starting with the 2009 special "Planet of the Dead", the series was filmed in 1080i for HDTV, and broadcast simultaneously on BBC One and BBC HD.</t>
  </si>
  <si>
    <t>What do progressive moderates of Islam seek to separate?</t>
  </si>
  <si>
    <t>When did the Normans attack Dyrrachium?</t>
  </si>
  <si>
    <t>possibly another 25</t>
  </si>
  <si>
    <t>distinctive flared base</t>
  </si>
  <si>
    <t>What is one function that prime numbers have that 1 does not?</t>
  </si>
  <si>
    <t>one-quarter</t>
  </si>
  <si>
    <t>few</t>
  </si>
  <si>
    <t>How often does Doctor Who travel by himself?</t>
  </si>
  <si>
    <t>an assembly center</t>
  </si>
  <si>
    <t>because of tensions over slavery and the power of bishops in the denomination.</t>
  </si>
  <si>
    <t>After the negotiations were done what did Luther experience?</t>
  </si>
  <si>
    <t>Who made Temüjin khan of the Mongols?</t>
  </si>
  <si>
    <t>Who licensed Tesla's induction motor?</t>
  </si>
  <si>
    <t>inequality</t>
  </si>
  <si>
    <t>How were leaders back in Europe feeling about news from Celeron expedition?</t>
  </si>
  <si>
    <t>In the centre of Basel, the first major city in the course of the stream, is located the "Rhine knee";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t>
  </si>
  <si>
    <t>"Formal imperialism"</t>
  </si>
  <si>
    <t>Emmy Awards</t>
  </si>
  <si>
    <t>What was the fort that was being built to be named?</t>
  </si>
  <si>
    <t>How far apart are some of the neighborhood's features?</t>
  </si>
  <si>
    <t>Who normally instructs members how to vote?</t>
  </si>
  <si>
    <t>Along with the CISCE and NENBSE, what is a notable Examination Board in multiple Indian states?</t>
  </si>
  <si>
    <t>fish larvae and organisms that would otherwise have fed the fish</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</si>
  <si>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state’s survival while Mackinder supported Britain’s imperial expansion; these two arguments dominated the discipline for decades.</t>
  </si>
  <si>
    <t>The first fortified settlements on the site of today's Warsaw were located in Bródno (9th/10th century) and Jazdów (12th/13th century). After Jazdów was raided by nearby clans and dukes, a new similar settlement was established on the site of a small fishing village called Warszowa. The Prince of Płock, Bolesław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</si>
  <si>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fee per unit of information transmitted</t>
  </si>
  <si>
    <t>Who was the inventor of the atmospheric engine?</t>
  </si>
  <si>
    <t>Besides 1,3 and 7, what other number must all primes greater than 5 end with?</t>
  </si>
  <si>
    <t>In the United States the UMC ranks as the largest what?</t>
  </si>
  <si>
    <t>What nuclear forces only act at short distances?</t>
  </si>
  <si>
    <t>In 2004 the Orange revolution occurred in what country?</t>
  </si>
  <si>
    <t>2½</t>
  </si>
  <si>
    <t>finite</t>
  </si>
  <si>
    <t>How did the education during the high school education movement differ from the subsequent high school education?</t>
  </si>
  <si>
    <t>they were accepted and allowed to worship freely</t>
  </si>
  <si>
    <t>newer satellite data</t>
  </si>
  <si>
    <t>gold rush</t>
  </si>
  <si>
    <t>Amtrak San Joaquins</t>
  </si>
  <si>
    <t>Vinogradov's theorem</t>
  </si>
  <si>
    <t>1,230 km (760 mi)</t>
  </si>
  <si>
    <t>Who registered the most sacks on the team this season?</t>
  </si>
  <si>
    <t>the 16th</t>
  </si>
  <si>
    <t>What happens if a member doesn't vote the party line?</t>
  </si>
  <si>
    <t>false assurances</t>
  </si>
  <si>
    <t>metamorphic processes</t>
  </si>
  <si>
    <t>unsuccessful</t>
  </si>
  <si>
    <t>Because of the danger inherent in concentrated oxygen, what is a concern about keeping it?</t>
  </si>
  <si>
    <t xml:space="preserve">Which Super Bowl was hosted in San Diego in 2003? </t>
  </si>
  <si>
    <t xml:space="preserve">Which century was there a program to straighten the Rhine? </t>
  </si>
  <si>
    <t>Because he published his findings first</t>
  </si>
  <si>
    <t>communications problems</t>
  </si>
  <si>
    <t>How many times has Polonia won the cup?</t>
  </si>
  <si>
    <t>surrogate</t>
  </si>
  <si>
    <t>What do radical Islamist organizations reject entirely?</t>
  </si>
  <si>
    <t>What did John Paul II's visits in 1979 and 1983 encourage?</t>
  </si>
  <si>
    <t>directly elected Scottish Assembly</t>
  </si>
  <si>
    <t>What do the Animal Locomotion photographs capture?</t>
  </si>
  <si>
    <t>Why did Warsaw gain the title of the "Phoenix City"?</t>
  </si>
  <si>
    <t>Informal learning</t>
  </si>
  <si>
    <t>Peace of Westphalia</t>
  </si>
  <si>
    <t>the Battle of Bạch Đằng</t>
  </si>
  <si>
    <t>Several University of Chicago professors</t>
  </si>
  <si>
    <t>Fears of being labelled a pedophile</t>
  </si>
  <si>
    <t>human reason</t>
  </si>
  <si>
    <t>How many membranes does the haptophyte chloroplast have?</t>
  </si>
  <si>
    <t>Madison Square Garden</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</si>
  <si>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</si>
  <si>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Cretaceous–Paleogene extinction event</t>
  </si>
  <si>
    <t>What is the expression used to represent a complexity class of counting problems?</t>
  </si>
  <si>
    <t>the deterministic sorting algorithm quicksort</t>
  </si>
  <si>
    <t>design-build, partnering and construction management</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</si>
  <si>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</si>
  <si>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Luther wrote about the Jews throughout his career, though only a few of his works dealt with them directly. Luther rarely encountered Jews during his life, but his attitudes reflected a theological and cultural tradition which saw Jews as a rejected people guilty of the murder of Christ, and he lived within a local community that had expelled Jews some ninety years earlier. He considered the Jews blasphemers and liars because they rejected the divinity of Jesus, whereas Christians believed Jesus was the Messiah. But Luther believed that all human beings who set themselves against God were equally guilty. As early as 1516, he wrote that many people "are proud with marvelous stupidity when they call the Jews dogs, evildoers, or whatever they like, while they too, and equally, do not realize who or what they are in the sight of God". In 1523, Luther advised kindness toward the Jews in That Jesus Christ was Born a Jew and also aimed to convert them to Christianity. When his efforts at conversion failed, he grew increasingly bitter toward them. In his 2010 book Bonhoeffer: Pastor, Martyr, Prophet, Spy, Christian author Eric Metaxas claimed that Luther's attitude towards Jews "unraveled along with his health."</t>
  </si>
  <si>
    <t>Nobel Prize</t>
  </si>
  <si>
    <t>What is the polish word for wreaths?</t>
  </si>
  <si>
    <t>In 2014, work was completed on the stations historic entrance. Glazing was placed over the historic arches and the Victorian architecture was enhanced; transforming the 19th century public portico. The station is one of only six Grade One listed railway stations in the UK. Opened in 1850 by Queen Victoria, it was the first covered railway station in the world and was much copied across the UK. It has a neoclassical façade, originally designed by the architect John Dobson, and was constructed in collaboration with Robert Stephenson. The station sightlines towards the Castle Keep, whilst showcasing the curvature of the station’s arched roof. The first services were operated by the North Eastern Railway company. The city's other mainline station, Manors, is to the east of the city centre.</t>
  </si>
  <si>
    <t>the Golden Gate Bridge</t>
  </si>
  <si>
    <t>What type of geologists give information about strain within the crystalline structure of the rocks?</t>
  </si>
  <si>
    <t>condemned as idolatry</t>
  </si>
  <si>
    <t>Following the Nice Treaty</t>
  </si>
  <si>
    <t>"one-stop shopping"</t>
  </si>
  <si>
    <t>Black_Death</t>
  </si>
  <si>
    <t>small islands by precipitating sediments</t>
  </si>
  <si>
    <t>Treaties apply as soon as they enter into force</t>
  </si>
  <si>
    <t>What kind of light is important for chloroplasts to divide?</t>
  </si>
  <si>
    <t>VHF channel 7</t>
  </si>
  <si>
    <t>Kumbum Monastery or Ta'er Shi near Xining</t>
  </si>
  <si>
    <t>a new playing surface</t>
  </si>
  <si>
    <t>chromoplasts</t>
  </si>
  <si>
    <t xml:space="preserve">What did Tesla's design not need? </t>
  </si>
  <si>
    <t>over $2,000,</t>
  </si>
  <si>
    <t>since the 1950s</t>
  </si>
  <si>
    <t>moral</t>
  </si>
  <si>
    <t>Hypersensitivity</t>
  </si>
  <si>
    <t>harsher</t>
  </si>
  <si>
    <t>What word is the word pharmacy taken from?</t>
  </si>
  <si>
    <t>Philip Webb and William Morris</t>
  </si>
  <si>
    <t>Conservative</t>
  </si>
  <si>
    <t>How many seconds were left in the game when the Patriots failed their 2-point conversion?</t>
  </si>
  <si>
    <t>9.1 million</t>
  </si>
  <si>
    <t>the member state cannot enforce conflicting laws</t>
  </si>
  <si>
    <t>Puente Hills</t>
  </si>
  <si>
    <t>force-free magnetic fields</t>
  </si>
  <si>
    <t>When did the Sarah Jane series begin?</t>
  </si>
  <si>
    <t>ultraviolet radiation impacting oxygen-containing molecules</t>
  </si>
  <si>
    <t>Higher Real Gymnasium</t>
  </si>
  <si>
    <t>Who is the governor of India's central bank?</t>
  </si>
  <si>
    <t>What directly correlates with the country's economic performance and wealth distribution?</t>
  </si>
  <si>
    <t>What political response was convening in June/July 1754?</t>
  </si>
  <si>
    <t>Who came up with the theory of relativity?</t>
  </si>
  <si>
    <t>Ed Asner</t>
  </si>
  <si>
    <t>What do the services given by pharmacists provide?</t>
  </si>
  <si>
    <t>How many touchdowns did Manning have at the end of the game?</t>
  </si>
  <si>
    <t>a supporting function</t>
  </si>
  <si>
    <t>191.766 billion PLN</t>
  </si>
  <si>
    <t>Whose goals often still oppose the IPCC?</t>
  </si>
  <si>
    <t>When was the City of Malindi established?</t>
  </si>
  <si>
    <t>In what country was the Doctor Who film not successful enough to spawn a series?</t>
  </si>
  <si>
    <t>lace</t>
  </si>
  <si>
    <t>What was thought to decide a person's behavior?</t>
  </si>
  <si>
    <t>Marshall Space Flight Center</t>
  </si>
  <si>
    <t>to punish Christians</t>
  </si>
  <si>
    <t>at least the mid-14th century</t>
  </si>
  <si>
    <t>Where were the Kikuyu people located?</t>
  </si>
  <si>
    <t>Who was a big star that ABC was able to attract because of Magnetophon technology?</t>
  </si>
  <si>
    <t>developing youth-oriented programming</t>
  </si>
  <si>
    <t>the mujahideen Muslim Afghanistan</t>
  </si>
  <si>
    <t>special training</t>
  </si>
  <si>
    <t>ships</t>
  </si>
  <si>
    <t>photolysis</t>
  </si>
  <si>
    <t>liquid</t>
  </si>
  <si>
    <t>The church emphasizes the need to be in supportive ministry of what group?</t>
  </si>
  <si>
    <t>What is Europe's largest inland port?</t>
  </si>
  <si>
    <t>fire-in-the-hole</t>
  </si>
  <si>
    <t>What is the first major city in the stream of the Rhine?</t>
  </si>
  <si>
    <t>8 tonnes</t>
  </si>
  <si>
    <t>since the Lower Paleolithic period</t>
  </si>
  <si>
    <t>Within southern California are two major cities, Los Angeles and San Diego, as well as three of the country's largest metropolitan areas. With a population of 3,792,621, Los Angeles is the most populous city in California and the second most populous in the United States. To the south and with a population of 1,307,402 is San Diego, the second most populous city in the state and the eighth most populous in the nation.</t>
  </si>
  <si>
    <t>What was done to the Trajan's Column replica to fit it under the ceiling?</t>
  </si>
  <si>
    <t>allowing the lander spacecraft to be used as a "lifeboat"</t>
  </si>
  <si>
    <t>In 2009 what was the total of Grants awarded from Harvard?</t>
  </si>
  <si>
    <t>Dutch</t>
  </si>
  <si>
    <t>end of the current Parliament</t>
  </si>
  <si>
    <t>signals from the chloroplast that regulate gene expression</t>
  </si>
  <si>
    <t>What provided for the creation of new orders known as "provisional elder?"</t>
  </si>
  <si>
    <t>1650</t>
  </si>
  <si>
    <t>Torah</t>
  </si>
  <si>
    <t>Joseph Shea</t>
  </si>
  <si>
    <t>Kuznets curve</t>
  </si>
  <si>
    <t>rich and well</t>
  </si>
  <si>
    <t>Swiss canton</t>
  </si>
  <si>
    <t>Which Panthers RB scored 6 TDs in the 13 games leading up to Super Bowl 50?</t>
  </si>
  <si>
    <t>they can take shelter behind each other</t>
  </si>
  <si>
    <t>27.7 million</t>
  </si>
  <si>
    <t>In May 2002, where would you go to address the Parliament?</t>
  </si>
  <si>
    <t>mediaeval</t>
  </si>
  <si>
    <t>nonconservative forces</t>
  </si>
  <si>
    <t>How many bodies of water makes up Lake Constance?</t>
  </si>
  <si>
    <t>Martin</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</si>
  <si>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</si>
  <si>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commutator</t>
  </si>
  <si>
    <t>Queen Victoria and Prince Albert</t>
  </si>
  <si>
    <t>quotient</t>
  </si>
  <si>
    <t>What did Melanchthon call the marriage?</t>
  </si>
  <si>
    <t>To accept jail penitently as an accession to 'the rules' is to switch suddenly to a spirit of subservience</t>
  </si>
  <si>
    <t>Duisburg</t>
  </si>
  <si>
    <t>they are ‘directly applicable in all Member States’</t>
  </si>
  <si>
    <t>What did the Edict do for Huguenots in France?</t>
  </si>
  <si>
    <t>Who presided over the assembly?</t>
  </si>
  <si>
    <t>destructive</t>
  </si>
  <si>
    <t>Under what instances can individuals rely on primary law in the Court of Justice of European Union?</t>
  </si>
  <si>
    <t>What is a mechanism that can help plants block virus replication?</t>
  </si>
  <si>
    <t>515 million years</t>
  </si>
  <si>
    <t>Which Super Bowl did Roger Goodell speak about?</t>
  </si>
  <si>
    <t>are neither making maximum effort nor achieving results necessary</t>
  </si>
  <si>
    <t>What is the modern term for the Mongolian policies supporting trade and communication?</t>
  </si>
  <si>
    <t>storage conditions, compulsory texts, equipment, etc.</t>
  </si>
  <si>
    <t xml:space="preserve">What does the name The Rhine come from? </t>
  </si>
  <si>
    <t>rebellion is much more destructive</t>
  </si>
  <si>
    <t>To which century is the glass beaker called Luck of Edenhall dated?</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</si>
  <si>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</si>
  <si>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role in spreading awareness of, and access to, national networking and was a major milestone on the path to development of the global Internet</t>
  </si>
  <si>
    <t>When was the great plague of London?</t>
  </si>
  <si>
    <t>By the 6th century, the Rhine was within the borders of Francia. In the 9th, it formed part of the border between Middle and Western Francia, but in the 10th century, it was fully within the Holy Roman Empire, flowing through Swabia, Franconia and Lower Lorraine. The mouths of the Rhine, in the county of Holland, fell to the Burgundian Netherlands in the 15th century; Holland remained contentious territory throughout the European wars of religion and the eventual collapse of the Holy Roman Empire, when the length of the Rhine fell to the First French Empire and its client states. The Alsace on the left banks of the Upper Rhine was sold to Burgundy by Archduke Sigismund of Austria in 1469 and eventually fell to France in the Thirty Years' War. The numerous historic castles in Rhineland-Palatinate attest to the importance of the river as a commercial route.</t>
  </si>
  <si>
    <t>What is another name for the west side of Fresno?</t>
  </si>
  <si>
    <t>August 10, 1948</t>
  </si>
  <si>
    <t>by the available data</t>
  </si>
  <si>
    <t>CrossCountry</t>
  </si>
  <si>
    <t>Whose likeness is on the larger denominations of Mongolian currency?</t>
  </si>
  <si>
    <t>The sculpture collection at the V&amp;A is the most comprehensive holding of post-classical European sculpture in the world. There are approximately 22,000 objects in the collection that cover the period from about 400 AD to 1914. This covers among other periods Byzantine and Anglo Saxon ivory sculptures, British, French and Spanish medieval statues and carvings, the Renaissance, Baroque, Neo-Classical, Victorian and Art Nouveau periods. All uses of sculpture are represented, from tomb and memorial, to portrait, allegorical, religious, mythical, statues for gardens including fountains, as well as architectural decorations. Materials used include, marble, alabaster, stone, terracotta, wood (history of wood carving), ivory, gesso, plaster, bronze, lead and ceramics.</t>
  </si>
  <si>
    <t>How many points did the Panthers defense surrender?</t>
  </si>
  <si>
    <t>Lead fusible plugs</t>
  </si>
  <si>
    <t>In ring theory, the notion of number is generally replaced with that of ideal. Prime ideals, which generalize prime elements in the sense that the principal ideal generated by a prime element is a prime ideal, are an important tool and object of study in commutative algebra, algebraic number theory and algebraic geometry. The prime ideals of the ring of integers are the ideals (0), (2), (3), (5), (7), (11), … The fundamental theorem of arithmetic generalizes to the Lasker–Noether theorem, which expresses every ideal in a Noetherian commutative ring as an intersection of primary ideals, which are the appropriate generalizations of prime powers.</t>
  </si>
  <si>
    <t>of continental art 1600–1800</t>
  </si>
  <si>
    <t>(~11,600 BP</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</si>
  <si>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</si>
  <si>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Presbyterian</t>
  </si>
  <si>
    <t>What talk show followed immediately after Super Bowl 50 on CBS?</t>
  </si>
  <si>
    <t>photosynthesis</t>
  </si>
  <si>
    <t>Tyneside</t>
  </si>
  <si>
    <t>to use the proceedings as a forum</t>
  </si>
  <si>
    <t>What company was chosen to build an AC distribution system at Niagara Falls?</t>
  </si>
  <si>
    <t>Who is the trophy featured on the logo named for?</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</si>
  <si>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2O(√(n log(n))) for graphs with n vertices.</t>
  </si>
  <si>
    <t>1, 2, and n</t>
  </si>
  <si>
    <t>What does the steam generated by a nuclear power plant drive?</t>
  </si>
  <si>
    <t>How high are Victoria's alpine regions?</t>
  </si>
  <si>
    <t>When was amnesty granted to those responsible for the massacre?</t>
  </si>
  <si>
    <t>Ming and Qing</t>
  </si>
  <si>
    <t>maid Alice Monaghan</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</si>
  <si>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</si>
  <si>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children who served as messengers and frontline troops in the Warsaw Uprising</t>
  </si>
  <si>
    <t>the world's economy</t>
  </si>
  <si>
    <t>picture thinking</t>
  </si>
  <si>
    <t>How many courses must undergraduates maintain for full time status?</t>
  </si>
  <si>
    <t>Some Chinese considered the Yuan a legitimate dynasty, but what did other Chinese think it was?</t>
  </si>
  <si>
    <t>How could human inequality be addressed without resulting in an increase of environmental damage?</t>
  </si>
  <si>
    <t>What year did a Super Bowl play in the bay area around San Francisco, prior to Super Bowl 50?</t>
  </si>
  <si>
    <t>adapted quickly and often married outside their immediate French communities</t>
  </si>
  <si>
    <t>symbolic</t>
  </si>
  <si>
    <t>About 0.9%</t>
  </si>
  <si>
    <t>Who said that writing a good description of civil disobedience is hard?</t>
  </si>
  <si>
    <t>What is violating a law which is not the goal of the protest called?</t>
  </si>
  <si>
    <t>caused lasting damage</t>
  </si>
  <si>
    <t>Where do nucleomorph genes transfer to?</t>
  </si>
  <si>
    <t>ash leaf</t>
  </si>
  <si>
    <t>global regulation based on the Montreal Protocol</t>
  </si>
  <si>
    <t>What Florida stadium was considered for Super Bowl 50?</t>
  </si>
  <si>
    <t>What year did the Khwarezmian Empire fall to Genghis Khan?</t>
  </si>
  <si>
    <t>general and complete disarmament</t>
  </si>
  <si>
    <t>NP</t>
  </si>
  <si>
    <t>Who founded McKinsey &amp; Company?</t>
  </si>
  <si>
    <t>When was the United Methodist Church created?</t>
  </si>
  <si>
    <t>What is a turbine's theoretical Carnot efficiency?</t>
  </si>
  <si>
    <t>Where is 97% of the population located?</t>
  </si>
  <si>
    <t>What did Stephen Kemble guide the Theatre Royal through?</t>
  </si>
  <si>
    <t>Who did the Panthers play to advance to the Super Bowl?</t>
  </si>
  <si>
    <t>There are infinitely many primes, as demonstrated by Euclid around 300 BC. There is no known simple formula that separates prime numbers from composite numbers. However, the distribution of primes, that is to say, the statistical behaviour of primes in the large, can be modelled. The first result in that direction is the prime number theorem, proven at the end of the 19th century, which says that the probability that a given, randomly chosen number n is prime is inversely proportional to its number of digits, or to the logarithm of n.</t>
  </si>
  <si>
    <t>Who donated property to the University of Chicago?</t>
  </si>
  <si>
    <t>What is one issue that adds to the complexity of a pharmacist's job?</t>
  </si>
  <si>
    <t>few drops</t>
  </si>
  <si>
    <t>What does the Presiding Officer try to achieve a balance of between speakers?</t>
  </si>
  <si>
    <t>national courts</t>
  </si>
  <si>
    <t>What damaged the color TV camera that Apollo 12 had taken into space?</t>
  </si>
  <si>
    <t>Vince Lombardi</t>
  </si>
  <si>
    <t>three study contracts</t>
  </si>
  <si>
    <t>1773</t>
  </si>
  <si>
    <t>misguided agitation</t>
  </si>
  <si>
    <t>The Times newspaper</t>
  </si>
  <si>
    <t>760 mm (2 ft 6 in) narrow gauge lines</t>
  </si>
  <si>
    <t>The Musical Instruments gallery closed 25 February 2010, a decision which was highly controversial. An online petition of over 5,100 names on the Parliamentary website led to Chris Smith asking Parliament about the future of the collection. The answer, from Bryan Davies was that the museum intended to preserve and care for the collection and keep it available to the public, with items being redistributed to the British Galleries, the Medieval &amp; Renaissance Galleries, and the planned new galleries for Furniture and Europe 1600–1800, and that the Horniman Museum and other institutions were possible candidates for loans of material to ensure that the instruments remained publicly viewable. The Horniman went on to host a joint exhibition with the V&amp;A of musical instruments, and has the loan of 35 instruments from the museum.</t>
  </si>
  <si>
    <t>374</t>
  </si>
  <si>
    <t>heat or a spark</t>
  </si>
  <si>
    <t>When did BSkyB discontinue the Sky+ Box?</t>
  </si>
  <si>
    <t>What is the area called near the Rhine Gorge with castles from the middle ages?</t>
  </si>
  <si>
    <t>, make it more difficult for a system to function</t>
  </si>
  <si>
    <t>Who formed the government in Kenya?</t>
  </si>
  <si>
    <t>Section 30</t>
  </si>
  <si>
    <t>The Writers Guild of America</t>
  </si>
  <si>
    <t>sons and grandsons</t>
  </si>
  <si>
    <t>What opened on January 30th at the Justin Herman plaza?</t>
  </si>
  <si>
    <t>the Butcher Market</t>
  </si>
  <si>
    <t>The battle ended inconclusively</t>
  </si>
  <si>
    <t>How is Genghis Khan spelled in Turkic?</t>
  </si>
  <si>
    <t>one another</t>
  </si>
  <si>
    <t>invasion of Britain, to draw British resources away from North America and the European mainland</t>
  </si>
  <si>
    <t>formalize a unified front in trade and negotiations with various Indians</t>
  </si>
  <si>
    <t>last 7000 years</t>
  </si>
  <si>
    <t>successful</t>
  </si>
  <si>
    <t>1,142.9</t>
  </si>
  <si>
    <t>Ten Commandments</t>
  </si>
  <si>
    <t>a proper hierarchy on the classes defined</t>
  </si>
  <si>
    <t>What is the force between nucleons?</t>
  </si>
  <si>
    <t>1.7 million</t>
  </si>
  <si>
    <t>passive immunity</t>
  </si>
  <si>
    <t>How many combinatory and graph theoretical problems, formerly believed to be plagued by intractability, did Karp's paper address?</t>
  </si>
  <si>
    <t>How many people could Apollo be projected to hold?</t>
  </si>
  <si>
    <t>What body constitutes the supreme legislature of Scotland?</t>
  </si>
  <si>
    <t>What campaigh did the Scottish National Party (SNP) run?</t>
  </si>
  <si>
    <t>lamprey and hagfish</t>
  </si>
  <si>
    <t>What class of T cells recognizes intact antigens that are not associated with MHC receptors?</t>
  </si>
  <si>
    <t>plant health status</t>
  </si>
  <si>
    <t>Polignac's conjecture</t>
  </si>
  <si>
    <t>over 19,000</t>
  </si>
  <si>
    <t>store and forward switching</t>
  </si>
  <si>
    <t>unambiguously demonstrates that Y. pestis was the causative agent of the epidemic plague</t>
  </si>
  <si>
    <t>music from the 2008–2010 specials</t>
  </si>
  <si>
    <t>emissions per person</t>
  </si>
  <si>
    <t>Who ends up getting more of the teacher's resources in this scenario?</t>
  </si>
  <si>
    <t>made a grade of A for all four years, and on any other graduate who took twelve weeks additional study at the University of Chicago</t>
  </si>
  <si>
    <t>merchant ships</t>
  </si>
  <si>
    <t>During what type of climate is oxygen 18 in seawater at higher levels?</t>
  </si>
  <si>
    <t>When did Temur rule?</t>
  </si>
  <si>
    <t>stationary waves</t>
  </si>
  <si>
    <t>What changes macroscopic closed system energies?</t>
  </si>
  <si>
    <t xml:space="preserve">What were X.25 and Frame relay used for </t>
  </si>
  <si>
    <t>the UK</t>
  </si>
  <si>
    <t>When was his lab destroyed?</t>
  </si>
  <si>
    <t>government and the National Assembly and the Senate</t>
  </si>
  <si>
    <t>Where has there been very well-known cases of teacher misconduct?</t>
  </si>
  <si>
    <t>On September 3, 1958, the Disneyland anthology series was retitled Walt Disney Presents as it became disassociated with the theme park of the same name. The movement in westerns, which ABC is credited for having started, represented a fifth of all primetime series on American television in January 1959, at which point detective shows were beginning to rise in popularity as well. ABC requested additional productions from Disney. In late 1958, Desilu Productions pitched its detective series The Untouchables to CBS; after that network rejected the show because of its use of violence, Desilu then presented it to ABC, which agreed to pick up the show, and debuted The Untouchables in April 1959. The series went on to quickly become "immensely popular".</t>
  </si>
  <si>
    <t>What did frozen subsoil and expanded alpine glaciers begin to do?</t>
  </si>
  <si>
    <t>What is a quarter of Warsaw filled with?</t>
  </si>
  <si>
    <t>a Muslim state</t>
  </si>
  <si>
    <t>Apicoplasts have lost all photosynthetic function, and contain no photosynthetic pigments or true thylakoids. They are bounded by four membranes, but the membranes are not connected to the endoplasmic reticulum. The fact that apicomplexans still keep their nonphotosynthetic chloroplast around demonstrates how the chloroplast carries out important functions other than photosynthesis. Plant chloroplasts provide plant cells with many important things besides sugar, and apicoplasts are no different—they synthesize fatty acids, isopentenyl pyrophosphate, iron-sulfur clusters, and carry out part of the heme pathway. This makes the apicoplast an attractive target for drugs to cure apicomplexan-related diseases. The most important apicoplast function is isopentenyl pyrophosphate synthesis—in fact, apicomplexans die when something interferes with this apicoplast function, and when apicomplexans are grown in an isopentenyl pyrophosphate-rich medium, they dump the organelle.</t>
  </si>
  <si>
    <t>How does adaptive/acquired immunity help in the future?</t>
  </si>
  <si>
    <t>What famous writer was Tesla's good friend?</t>
  </si>
  <si>
    <t>the mortar and pestle and the ℞ (recipere) character</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</si>
  <si>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</si>
  <si>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the California State Automobile Association</t>
  </si>
  <si>
    <t>one-half mile</t>
  </si>
  <si>
    <t>The Black Death ravaged much of the Islamic world. Plague was present in at least one location in the Islamic world virtually every year between 1500 and 1850. Plague repeatedly struck the cities of North Africa. Algiers lost 30 to 50 thousand inhabitants to it in 1620–21, and again in 1654–57, 1665, 1691, and 1740–42. Plague remained a major event in Ottoman society until the second quarter of the 19th century. Between 1701 and 1750, thirty-seven larger and smaller epidemics were recorded in Constantinople, and an additional thirty-one between 1751 and 1800. Baghdad has suffered severely from visitations of the plague, and sometimes two-thirds of its population has been wiped out.</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</si>
  <si>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</si>
  <si>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30 July 1891</t>
  </si>
  <si>
    <t>tögrög</t>
  </si>
  <si>
    <t>1288</t>
  </si>
  <si>
    <t>In what year was Rose Mary Denman defrocked for openly living with a same-sex partner?</t>
  </si>
  <si>
    <t>appear to become lighter</t>
  </si>
  <si>
    <t>Kuznets curve hypothesis</t>
  </si>
  <si>
    <t>Pneumatica was written by what Greek writer?</t>
  </si>
  <si>
    <t>Who sequenced the first plastome?</t>
  </si>
  <si>
    <t>the chlorophyll in them</t>
  </si>
  <si>
    <t>inherited</t>
  </si>
  <si>
    <t>Sam Chisholm</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</si>
  <si>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</si>
  <si>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Coptic Cathedral</t>
  </si>
  <si>
    <t>sharia</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</si>
  <si>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</si>
  <si>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Who is called by God, affirmed by the church and ordained by a bishop?</t>
  </si>
  <si>
    <t>Pollution of water by nitrates and phosphates will encourage the growth of what?</t>
  </si>
  <si>
    <t>incompatible</t>
  </si>
  <si>
    <t>wheel series</t>
  </si>
  <si>
    <t>four classes</t>
  </si>
  <si>
    <t>What is Southern California often abbreviated as?</t>
  </si>
  <si>
    <t>How much more land does the school own in Allston than Cambridge?</t>
  </si>
  <si>
    <t>130 million cubic foot</t>
  </si>
  <si>
    <t>toughest rallies in the world</t>
  </si>
  <si>
    <t>discipline problems</t>
  </si>
  <si>
    <t>ITV</t>
  </si>
  <si>
    <t>The connection between macroscopic nonconservative forces and microscopic conservative forces is described by detailed treatment with statistical mechanics. In macroscopic closed systems, nonconservative forces act to change the internal energies of the system, and are often associated with the transfer of heat. According to the Second law of thermodynamics, nonconservative forces necessarily result in energy transformations within closed systems from ordered to more random conditions as entropy increases.</t>
  </si>
  <si>
    <t>central Europe</t>
  </si>
  <si>
    <t>League of Nations</t>
  </si>
  <si>
    <t>Life</t>
  </si>
  <si>
    <t>In what year was Roger II made king?</t>
  </si>
  <si>
    <t>KMBC-TV and KQTV</t>
  </si>
  <si>
    <t>Under conditions such as high atmospheric CO2 concentrations</t>
  </si>
  <si>
    <t>What planet did the reporters decide the signals were from?</t>
  </si>
  <si>
    <t>When was an extended episode of Doctor Who shown?</t>
  </si>
  <si>
    <t>What type of revolution did Maududi advocate?</t>
  </si>
  <si>
    <t>electric lighting</t>
  </si>
  <si>
    <t>What do bathyctena chuni, euplokamis stationis and eurhamphaea vexilligera have in common?</t>
  </si>
  <si>
    <t>Where have herbivorous fishes been seen feeding on gelatinous zooplankton?</t>
  </si>
  <si>
    <t>Which company won a contest to have their ad shown for free during Super Bowl 50?</t>
  </si>
  <si>
    <t>How did Luther view the Ottoman Turks?</t>
  </si>
  <si>
    <t>Marion Dorn</t>
  </si>
  <si>
    <t>What problems did the Yuan dynasty have near its end?</t>
  </si>
  <si>
    <t>two to a hundred</t>
  </si>
  <si>
    <t>New Orleans' Mercedes-Benz Superdome, Miami's Sun Life Stadium, and the San Francisco Bay Area's Levi's Stadium.</t>
  </si>
  <si>
    <t>How did Tesla lose his tuition money?</t>
  </si>
  <si>
    <t>What are two basic primary resources used to guage complexity?</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</si>
  <si>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</si>
  <si>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Natural killer cells recognize cells that should be targeted by a condition known as what?</t>
  </si>
  <si>
    <t>October 19, 2005</t>
  </si>
  <si>
    <t>By what document did the Huguenots confess their faith to the Portuguese in Brazil?</t>
  </si>
  <si>
    <t>Imperialism is responsible for the rapid spread of what?</t>
  </si>
  <si>
    <t>Some theories argue that civil disobedience is justified in regard to?</t>
  </si>
  <si>
    <t>the leaves</t>
  </si>
  <si>
    <t>The Toshiba gallery of Japanese art opened in December 1986. The majority of exhibits date from 1550 to 1900, but one of the oldest pieces displayed is the 13th-century sculpture of Amida Nyorai. Examples of classic Japanese armour from the mid-19th century, steel sword blades (Katana), Inrō, lacquerware including the Mazarin Chest dated c1640 is one of the finest surviving pieces from Kyoto, porcelain including Imari, Netsuke, woodblock prints including the work of Ando Hiroshige, graphic works include printed books, as well as a few paintings, scrolls and screens, textiles and dress including kimonos are some of the objects on display. One of the finest objects displayed is Suzuki Chokichi's bronze incense burner (koro) dated 1875, standing at over 2.25 metres high and 1.25 metres in diameter it is also one of the largest examples made. The museum also holds some cloisonné pieces from the Japanese art production company, Ando Cloisonné.</t>
  </si>
  <si>
    <t>Martin Luther was born to Hans Luder (or Ludher, later Luther) and his wife Margarethe (née Lindemann) on 10 November 1483 in Eisleben, Saxony, then part of the Holy Roman Empire. He was baptized as a Catholic the next morning on the feast day of St. Martin of Tours. His family moved to Mansfeld in 1484, where his father was a leaseholder of copper mines and smelters and served as one of four citizen representatives on the local council. The religious scholar Martin Marty describes Luther's mother as a hard-working woman of "trading-class stock and middling means" and notes that Luther's enemies later wrongly described her as a whore and bath attendant. He had several brothers and sisters, and is known to have been close to one of them, Jacob. Hans Luther was ambitious for himself and his family, and he was determined to see Martin, his eldest son, become a lawyer. He sent Martin to Latin schools in Mansfeld, then Magdeburg in 1497, where he attended a school operated by a lay group called the Brethren of the Common Life, and Eisenach in 1498. The three schools focused on the so-called "trivium": grammar, rhetoric, and logic. Luther later compared his education there to purgatory and hell.</t>
  </si>
  <si>
    <t>When had the plague reached Alexandria?</t>
  </si>
  <si>
    <t>Who got a touchdown making the score 10-7?</t>
  </si>
  <si>
    <t>Who managed the original Theatre Royal in Newcastle?</t>
  </si>
  <si>
    <t>the Red Turban Rebellion</t>
  </si>
  <si>
    <t>What do most online pharmacies do?</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</si>
  <si>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</si>
  <si>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Harvard Library</t>
  </si>
  <si>
    <t>uniting warring tribes</t>
  </si>
  <si>
    <t>Mediterranean geography</t>
  </si>
  <si>
    <t>In what field were double and triple expansion engines common?</t>
  </si>
  <si>
    <t>affiliated with other Protestant denominations with more numerous members</t>
  </si>
  <si>
    <t>Any subcontractor has a direct contractual relationship with who?</t>
  </si>
  <si>
    <t>Luther spoke out against the Jews in Saxony, Brandenburg, and Silesia. Josel of Rosheim, the Jewish spokesman who tried to help the Jews of Saxony in 1537, later blamed their plight on "that priest whose name was Martin Luther—may his body and soul be bound up in hell!—who wrote and issued many heretical books in which he said that whoever would help the Jews was doomed to perdition." Josel asked the city of Strasbourg to forbid the sale of Luther's anti-Jewish works: they refused initially, but did so when a Lutheran pastor in Hochfelden used a sermon to urge his parishioners to murder Jews. Luther's influence persisted after his death. Throughout the 1580s, riots led to the expulsion of Jews from several German Lutheran states.</t>
  </si>
  <si>
    <t>a major part of the Internet backbone</t>
  </si>
  <si>
    <t>"jiggle TV"</t>
  </si>
  <si>
    <t>starch</t>
  </si>
  <si>
    <t>What does stong force act upon?</t>
  </si>
  <si>
    <t>east</t>
  </si>
  <si>
    <t>Many famous potters, such as Josiah Wedgwood, William De Morgan and Bernard Leach as well as Mintons &amp; Royal Doulton are represented in the collection. There is an extensive collection of Delftware produced in both Britain and Holland, which includes a circa 1695 flower pyramid over a metre in height. Bernard Palissy has several examples of his work in the collection including dishes, jugs and candlesticks. The largest objects in the collection are a series of elaborately ornamented ceramic stoves from the 16th and 17th centuries, made in Germany and Switzerland. There is an unrivalled collection of Italian maiolica and lustreware from Spain. The collection of Iznik pottery from Turkey is the largest in the world.</t>
  </si>
  <si>
    <t>after dropping to the sea-floor</t>
  </si>
  <si>
    <t>red-algal</t>
  </si>
  <si>
    <t>What was the name of the 2010 Christmas special?</t>
  </si>
  <si>
    <t>What relationship with Israel is Sadat for?</t>
  </si>
  <si>
    <t>Where did he begin teaching?</t>
  </si>
  <si>
    <t>What UN secretary went to Harvard?</t>
  </si>
  <si>
    <t>25m people</t>
  </si>
  <si>
    <t>What was the main radio network in the 1940s in America?</t>
  </si>
  <si>
    <t>What department did Kublai create to train doctors?</t>
  </si>
  <si>
    <t>northern</t>
  </si>
  <si>
    <t>What percent of untreated victims of the plague die within 8 days?</t>
  </si>
  <si>
    <t>What is often misunderstood as the cause of matter rigidity?</t>
  </si>
  <si>
    <t>trespassing at a nuclear-missile installation</t>
  </si>
  <si>
    <t>The Far Eastern collections include more than 70,000 works of art from the countries of East Asia: China, Japan and Korea. The T. T. Tsui Gallery of Chinese art opened in 1991, displaying a representative collection of the V&amp;As approximately 16,000 objects from China, dating from the 4th millennium BC to the present day. Though the majority of art works on display date from the Ming and Qing dynasties, there are exquisite examples of objects dating from the Tang dynasty and earlier periods. Notably, a metre-high bronze head of the Buddha dated to c.750 AD and one of the oldest items a 2,000-year-old jade horse head from a burial, other sculptures include life-size tomb guardians. Classic examples of Chinese manufacturing are displayed that include lacquer, silk, porcelain, jade and cloisonné enamel. Two large ancestor portraits of a husband and wife painted in watercolour on silk date from the 18th century. There is a unique Chinese lacquerware table, made in the imperial workshops during the reign of the Xuande Emperor in the Ming dynasty. Examples of clothing are also displayed. One of the largest objects is a bed from the mid-17th century. The work of contemporary Chinese designers is also displayed.</t>
  </si>
  <si>
    <t>a problem</t>
  </si>
  <si>
    <t>What kind of gradients does cpDNA have?</t>
  </si>
  <si>
    <t>1529</t>
  </si>
  <si>
    <t>Since Luther believed that the Turks were sent by God, what was their purpose?</t>
  </si>
  <si>
    <t>When did the General Conference go on record in support of the work of the Religious Coalition for Reproductive Choice?</t>
  </si>
  <si>
    <t>visitation of the Electorate</t>
  </si>
  <si>
    <t>What is another way of referring to stators?</t>
  </si>
  <si>
    <t>the 50</t>
  </si>
  <si>
    <t>What is ABC's traditional VOD service currently named?</t>
  </si>
  <si>
    <t>through WatchESPN</t>
  </si>
  <si>
    <t xml:space="preserve">When was a third visit to Mnafeld scheduled? </t>
  </si>
  <si>
    <t>Tehachapis</t>
  </si>
  <si>
    <t>Santa Clara, California</t>
  </si>
  <si>
    <t>What did Luther state as a means of discouraging mistreatment of Jews?</t>
  </si>
  <si>
    <t>Jean-Claude Juncker</t>
  </si>
  <si>
    <t>From what Bible book did the crew of Apollo 8 read from during this stream of images?</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</si>
  <si>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</si>
  <si>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destroy</t>
  </si>
  <si>
    <t>May 2012</t>
  </si>
  <si>
    <t>The Book of Common Prayer</t>
  </si>
  <si>
    <t>What happened to the things inside the lab after it was torn down?</t>
  </si>
  <si>
    <t>What was Ronnie Hillman's average yards per carry in 2015?</t>
  </si>
  <si>
    <t>What party had a victory in the 2015 UK election?</t>
  </si>
  <si>
    <t>heavily impacted</t>
  </si>
  <si>
    <t>rules</t>
  </si>
  <si>
    <t>"golden anniversary</t>
  </si>
  <si>
    <t>14th century</t>
  </si>
  <si>
    <t>The earthquake forecast models what features of earthquakes in California?</t>
  </si>
  <si>
    <t>adopt mainstream Chinese culture</t>
  </si>
  <si>
    <t>What is the weakest main interaction?</t>
  </si>
  <si>
    <t>colonizing empires</t>
  </si>
  <si>
    <t>a US$10 a week raise</t>
  </si>
  <si>
    <t>What Irish cities had Huguenot mayors in the 1600s and 1700s?</t>
  </si>
  <si>
    <t>Pawiak</t>
  </si>
  <si>
    <t>What production company pitched The Untouchables to CBS in 1958?</t>
  </si>
  <si>
    <t>1888 to about 1926</t>
  </si>
  <si>
    <t>What does the bathocyroe and ocyropsis do to escape danger?</t>
  </si>
  <si>
    <t>Who was the leader who established the colony at Florida?</t>
  </si>
  <si>
    <t>they were nomads</t>
  </si>
  <si>
    <t>enzyme called rubisco</t>
  </si>
  <si>
    <t>What changes the mineral content of a rock?</t>
  </si>
  <si>
    <t>the revocation of the Edict of Nantes</t>
  </si>
  <si>
    <t>extend networking benefits</t>
  </si>
  <si>
    <t>orphans from the conquered tribe</t>
  </si>
  <si>
    <t>to emphasize academics over athletics,</t>
  </si>
  <si>
    <t>William H. Maxwell</t>
  </si>
  <si>
    <t>232</t>
  </si>
  <si>
    <t>What was a non-religious reason for the massacre?</t>
  </si>
  <si>
    <t>less than $1.25 a day</t>
  </si>
  <si>
    <t>In most jurisdictions (such as the United States), pharmacists are regulated separately from physicians. These jurisdictions also usually specify that only pharmacists may supply scheduled pharmaceuticals to the public, and that pharmacists cannot form business partnerships with physicians or give them "kickback" payments. However, the American Medical Association (AMA) Code of Ethics provides that physicians may dispense drugs within their office practices as long as there is no patient exploitation and patients have the right to a written prescription that can be filled elsewhere. 7 to 10 percent of American physicians practices reportedly dispense drugs on their own.</t>
  </si>
  <si>
    <t>In what episode does the Eleventh Doctor first acknowledge his number?</t>
  </si>
  <si>
    <t>Who helped develop the first man-made self-sustaining nuclear reaction?</t>
  </si>
  <si>
    <t>What was Zia-ul-Haq's official state ideology?</t>
  </si>
  <si>
    <t>Who was famous for disobedience against a tax collector?</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</si>
  <si>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</si>
  <si>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Fourth Intercolonial War and the Great War for the Empire</t>
  </si>
  <si>
    <t>a setup phase in each involved node</t>
  </si>
  <si>
    <t>What topic do private bills typically have?</t>
  </si>
  <si>
    <t>January 1985</t>
  </si>
  <si>
    <t>only justified against governmental entities</t>
  </si>
  <si>
    <t>Along with non-governmental and nonstate schools, what is another name for private schools?</t>
  </si>
  <si>
    <t>On 7 January 1900</t>
  </si>
  <si>
    <t>When was the Britain Can Make It exhibition held?</t>
  </si>
  <si>
    <t>What did Biraben say about the plague in Europe?</t>
  </si>
  <si>
    <t>Other than the San Diego metropolitan area, what other area are the communities along Interstates 15 and 215 connected with?</t>
  </si>
  <si>
    <t>frail Catholic saints</t>
  </si>
  <si>
    <t xml:space="preserve">What form of death did Jamukha hope Temüjin would allow him? </t>
  </si>
  <si>
    <t>The John W. Weeks Bridge</t>
  </si>
  <si>
    <t>the oil shock</t>
  </si>
  <si>
    <t>equal in magnitude</t>
  </si>
  <si>
    <t>In 1466, perhaps 40,000 people died of the plague in Paris. During the 16th and 17th centuries, the plague was present in Paris around 30 per cent of the time. The Black Death ravaged Europe for three years before it continued on into Russia, where the disease was present somewhere in the country 25 times between 1350 to 1490. Plague epidemics ravaged London in 1563, 1593, 1603, 1625, 1636, and 1665, reducing its population by 10 to 30% during those years. Over 10% of Amsterdam's population died in 1623–25, and again in 1635–36, 1655, and 1664. Plague occurred in Venice 22 times between 1361 and 1528. The plague of 1576–77 killed 50,000 in Venice, almost a third of the population. Late outbreaks in central Europe included the Italian Plague of 1629–1631, which is associated with troop movements during the Thirty Years' War, and the Great Plague of Vienna in 1679. Over 60% of Norway's population died in 1348–50. The last plague outbreak ravaged Oslo in 1654.</t>
  </si>
  <si>
    <t>What was the belief that maintaining motion required force?</t>
  </si>
  <si>
    <t>believed to disadvantage low-income and under-represented minority applicants</t>
  </si>
  <si>
    <t>in amylopectin starch granules that are located in their cytoplasm</t>
  </si>
  <si>
    <t>inherited by each daughter cell during cell division</t>
  </si>
  <si>
    <t>What chemical element was the cause of the Apollo 1 disastrous outcome?</t>
  </si>
  <si>
    <t>privately in the principal's office</t>
  </si>
  <si>
    <t>What else contributes to Jacksonville's summer storms other than land heating beside the water?</t>
  </si>
  <si>
    <t>What is a complex net of contracts and other legal obligations?</t>
  </si>
  <si>
    <t>How many Muslims are in Greater London?</t>
  </si>
  <si>
    <t>His translation of the Bible into the vernacular (instead of Latin) made it more accessible, which had a tremendous impact on the church and German culture. It fostered the development of a standard version of the German language, added several principles to the art of translation, and influenced the writing of an English translation, the Tyndale Bible. His hymns influenced the development of singing in churches. His marriage to Katharina von Bora set a model for the practice of clerical marriage, allowing Protestant clergy to marry.</t>
  </si>
  <si>
    <t>Luther's Last Battles: Politics and Polemics 1531–46</t>
  </si>
  <si>
    <t>What award was given to Tesla?</t>
  </si>
  <si>
    <t>scoil phríobháideach</t>
  </si>
  <si>
    <t>God</t>
  </si>
  <si>
    <t>Rugby</t>
  </si>
  <si>
    <t>provide high-speed interconnection between NSF-sponsored supercomputing centers and select access points in the United States</t>
  </si>
  <si>
    <t>chloroplasts and other plastids</t>
  </si>
  <si>
    <t>Marburg Colloquy</t>
  </si>
  <si>
    <t>Newcastle and Northumbria Universities</t>
  </si>
  <si>
    <t>Which principle is based on the appearance of fossils in sedimentary rocks?</t>
  </si>
  <si>
    <t>To whom was the Large Catechism directed?</t>
  </si>
  <si>
    <t>semantical problems and grammatical niceties</t>
  </si>
  <si>
    <t>Where do a majority of consultant pharmacists tend to work?</t>
  </si>
  <si>
    <t>Following the success of the 2005 series produced by Russell T Davies, the BBC commissioned Davies to produce a 13-part spin-off series titled Torchwood (an anagram of "Doctor Who"), set in modern-day Cardiff and investigating alien activities and crime. The series debuted on BBC Three on 22 October 2006. John Barrowman reprised his role of Jack Harkness from the 2005 series of Doctor Who. Two other actresses who appeared in Doctor Who also star in the series; Eve Myles as Gwen Cooper, who also played the similarly named servant girl Gwyneth in the 2005 Doctor Who episode "The Unquiet Dead", and Naoko Mori who reprised her role as Toshiko Sato first seen in "Aliens of London". A second series of Torchwood aired in 2008; for three episodes, the cast was joined by Freema Agyeman reprising her Doctor Who role of Martha Jones. A third series was broadcast from 6 to 10 July 2009, and consisted of a single five-part story called Children of Earth which was set largely in London. A fourth series, Torchwood: Miracle Day jointly produced by BBC Wales, BBC Worldwide and the American entertainment company Starz debuted in 2011. The series was predominantly set in the United States, though Wales remained part of the show's setting.</t>
  </si>
  <si>
    <t>The common pattern comes from John Wesley, who wrote that "there is no Liturgy in the world, either in ancient or modern language, which breathes more of a solid, scriptural, rational piety, than the Common Prayer of the Church of England." When the Methodists in America were separated from the Church of England, John Wesley himself provided a revised version of The Book of Common Prayer called the Sunday Service of the Methodists in North America. Wesley's Sunday Service has shaped the official liturgies of the Methodists ever since.</t>
  </si>
  <si>
    <t>How high in miles did the first block, AS-201, reach when launched?</t>
  </si>
  <si>
    <t>Department for Culture, Media and Sport</t>
  </si>
  <si>
    <t>Polignac's</t>
  </si>
  <si>
    <t>from 1892 to 1894</t>
  </si>
  <si>
    <t>The Broncos' defense ranked first in the NFL yards allowed (4,530) for the first time in franchise history, and fourth in points allowed (296). Defensive ends Derek Wolfe and Malik Jackson each had 5½ sacks. Pro Bowl linebacker Von Miller led the team with 11 sacks, forced four fumbles, and recovered three. Linebacker DeMarcus Ware was selected to play in the Pro Bowl for the ninth time in his career, ranking second on the team with 7½ sacks. Linebacker Brandon Marshall led the team in total tackles with 109, while Danny Trevathan ranked second with 102. Cornerbacks Aqib Talib (three interceptions) and Chris Harris, Jr. (two interceptions) were the other two Pro Bowl selections from the defense.</t>
  </si>
  <si>
    <t>Buyantu Khan</t>
  </si>
  <si>
    <t>clerical marriage.</t>
  </si>
  <si>
    <t>Bart Starr</t>
  </si>
  <si>
    <t>In southern Europe, the stage was set in the Triassic Period of the Mesozoic Era, with the opening of the Tethys Ocean, between the Eurasian and African tectonic plates, between about 240 MBP and 220 MBP (million years before present). The present Mediterranean Sea descends from this somewhat larger Tethys sea. At about 180 MBP, in the Jurassic Period, the two plates reversed direction and began to compress the Tethys floor, causing it to be subducted under Eurasia and pushing up the edge of the latter plate in the Alpine Orogeny of the Oligocene and Miocene Periods. Several microplates were caught in the squeeze and rotated or were pushed laterally, generating the individual features of Mediterranean geography: Iberia pushed up the Pyrenees; Italy, the Alps, and Anatolia, moving west, the mountains of Greece and the islands. The compression and orogeny continue today, as shown by the ongoing raising of the mountains a small amount each year and the active volcanoes.</t>
  </si>
  <si>
    <t>5–8 μm in diameter</t>
  </si>
  <si>
    <t>What was the importance of the congress?</t>
  </si>
  <si>
    <t>Baltimore</t>
  </si>
  <si>
    <t>How many people were registered to receive the HD service prior to launch?</t>
  </si>
  <si>
    <t>What is a course of study called?</t>
  </si>
  <si>
    <t>Sky Q Silver</t>
  </si>
  <si>
    <t>in agriculture</t>
  </si>
  <si>
    <t>Where did French fur trappers travel?</t>
  </si>
  <si>
    <t>private sector</t>
  </si>
  <si>
    <t>What occurs when traveling across a surface at a constant velocity with regard to friction?</t>
  </si>
  <si>
    <t>When was OPEC production of oil being surpassed?</t>
  </si>
  <si>
    <t>Although the famous Mughal emperors were proud descendants of Genghis Khan and particularly Timur, they clearly distanced themselves from the Mongol atrocities committed against the Khwarizim Shahs, Turks, Persians, the citizens of Baghdad and Damascus, Nishapur, Bukhara and historical figures such as Attar of Nishapur and many other notable Muslims. However, Mughal Emperors directly patronized the legacies of Genghis Khan and Timur; together their names were synonymous with the names of other distinguished personalities particularly among the Muslim populations of South Asia.</t>
  </si>
  <si>
    <t>When did Tesla come to the US?</t>
  </si>
  <si>
    <t>61</t>
  </si>
  <si>
    <t>What is Kenya's HDI?</t>
  </si>
  <si>
    <t>What is the atmosphere in a school using popularly based authority?</t>
  </si>
  <si>
    <t>Charles River</t>
  </si>
  <si>
    <t>What is a maze of membranous tubes?</t>
  </si>
  <si>
    <t>complexity class P</t>
  </si>
  <si>
    <t>public PAD service Telepad</t>
  </si>
  <si>
    <t>the sculptor</t>
  </si>
  <si>
    <t>Who first sent radio waves across the Atlantic?</t>
  </si>
  <si>
    <t>Who is in control of legislative power?</t>
  </si>
  <si>
    <t>project coordinator</t>
  </si>
  <si>
    <t>sponsors</t>
  </si>
  <si>
    <t>Who shared sideline reporting duties with Mark Malone?</t>
  </si>
  <si>
    <t>Each sitting day, normally at 5 pm, MSPs decide on all the motions and amendments that have been moved that day. This "Decision Time"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"Are we all agreed?", to which the chamber first votes orally. If there is audible dissent, the Presiding Officer announces "There will be a division" and members vote by means of electronic consoles on their desks. Each MSP has a unique access card with a microchip which, when inserted into the console, identifies them and allows them to vote. As a result, the outcome of each division is known in seconds.</t>
  </si>
  <si>
    <t>To avoid interference with existing VHF television stations</t>
  </si>
  <si>
    <t>What does the acronym FIS stand for?</t>
  </si>
  <si>
    <t>incapable of teaching</t>
  </si>
  <si>
    <t>Education in Australia is primarily the responsibility of the individual states and territories. Generally, education in Australia follows the three-tier model which includes primary education (primary schools), followed by secondary education (secondary schools/high schools) and tertiary education (universities and/or TAFE colleges).</t>
  </si>
  <si>
    <t>demand for higher quality housing increased</t>
  </si>
  <si>
    <t>Which authority figure is designated to schedule and set the work of the EU?</t>
  </si>
  <si>
    <t>Newtonian equations.</t>
  </si>
  <si>
    <t>Unsurprisingly, the mujahideen's victory against the Soviets in the 1980s failed to produce what?</t>
  </si>
  <si>
    <t>Citizenship of the EU</t>
  </si>
  <si>
    <t>The British Parliament</t>
  </si>
  <si>
    <t>Brookhaven</t>
  </si>
  <si>
    <t>How many yards did the Broncos' defense give up?</t>
  </si>
  <si>
    <t>increasingly substitute capital equipment for labor inputs</t>
  </si>
  <si>
    <t>.</t>
  </si>
  <si>
    <t>1303</t>
  </si>
  <si>
    <t>In which year did the museum started charging free admission fees?</t>
  </si>
  <si>
    <t>limited coercion</t>
  </si>
  <si>
    <t>What was diverted and now flows parallel to the Rhine?</t>
  </si>
  <si>
    <t>steam turbines with reduction gearing</t>
  </si>
  <si>
    <t>repulsion of like charges under the influence of the electromagnetic force</t>
  </si>
  <si>
    <t>University of California</t>
  </si>
  <si>
    <t>Western governments considered Islamists to be the lesser of two evils when compared to whom?</t>
  </si>
  <si>
    <t>What are members who have been baptized as an infant or child but who have not subsequently professed their own faith?</t>
  </si>
  <si>
    <t>OneDrive for Business</t>
  </si>
  <si>
    <t>How much did the statement predict global surface temperature would increase by 2100?</t>
  </si>
  <si>
    <t>What is terra preta called?</t>
  </si>
  <si>
    <t>The Book of Discipline</t>
  </si>
  <si>
    <t>June</t>
  </si>
  <si>
    <t>Many locals and tourists frequent the southern California coast for its popular beaches, and the desert city of Palm Springs is popular for its resort feel and nearby open spaces.</t>
  </si>
  <si>
    <t>combination of hermaphroditism and early reproduction</t>
  </si>
  <si>
    <t>Rollo</t>
  </si>
  <si>
    <t>Where did this pro-reform leader teach?</t>
  </si>
  <si>
    <t>Who was the Most Valuable Player of Super Bowl II?</t>
  </si>
  <si>
    <t>The Ottoman empire controlled territory on three continents, Africa, Asia and which other?</t>
  </si>
  <si>
    <t>What was redesigned to allow better maneuverability in the LRV?</t>
  </si>
  <si>
    <t>around 300</t>
  </si>
  <si>
    <t>What shape are Plastoglobuli?</t>
  </si>
  <si>
    <t xml:space="preserve">Which parts of the Earth are included in the lithosphere? </t>
  </si>
  <si>
    <t>divergent boundaries</t>
  </si>
  <si>
    <t>Khuruldai</t>
  </si>
  <si>
    <t>How many students were enrolled in public schools in Victoria?</t>
  </si>
  <si>
    <t>Chivas</t>
  </si>
  <si>
    <t>to go home and change her dress</t>
  </si>
  <si>
    <t>to "ensure that in the interpretation and application of the Treaties the law is observed"</t>
  </si>
  <si>
    <t>Who were the defending Super Bowl champions?</t>
  </si>
  <si>
    <t>1992</t>
  </si>
  <si>
    <t>achievement-oriented motivations ("pull")</t>
  </si>
  <si>
    <t>blockade French ports, sent out their fleet in February 1755</t>
  </si>
  <si>
    <t>London Exhibition</t>
  </si>
  <si>
    <t>What type of film were excerpts from the show film on?</t>
  </si>
  <si>
    <t>to power the city's streetcars.</t>
  </si>
  <si>
    <t>bachelor's degree</t>
  </si>
  <si>
    <t>What did Tesla work on in 1888?</t>
  </si>
  <si>
    <t>12th to 16th</t>
  </si>
  <si>
    <t>increased by about 70%.</t>
  </si>
  <si>
    <t>Hindu and Buddhist sculptures</t>
  </si>
  <si>
    <t>technological superiority</t>
  </si>
  <si>
    <t>Emperor</t>
  </si>
  <si>
    <t>What have the Dinophysis chloroplasts lost?</t>
  </si>
  <si>
    <t>When did Henry issue the Edict of Nantes?</t>
  </si>
  <si>
    <t>lengthening rubbing surfaces of the valve</t>
  </si>
  <si>
    <t>Josh Norman</t>
  </si>
  <si>
    <t>children</t>
  </si>
  <si>
    <t>Euclid</t>
  </si>
  <si>
    <t>In Schmidberger v Austria, the Court of Justice came to the conclusion that Austria didn't infringe upon article 34 by failing to ban a what?</t>
  </si>
  <si>
    <t>What is set aside for question periods in the debating chamber?</t>
  </si>
  <si>
    <t>"Donkey")</t>
  </si>
  <si>
    <t>Electorate of Saxony</t>
  </si>
  <si>
    <t>Commissioners</t>
  </si>
  <si>
    <t>travel literature, cartography, geography, and scientific education</t>
  </si>
  <si>
    <t>Who helped discover the Turkana Boy?</t>
  </si>
  <si>
    <t>the posting on the door</t>
  </si>
  <si>
    <t>Guanabara Confession of Faith</t>
  </si>
  <si>
    <t>dispensing substandard products</t>
  </si>
  <si>
    <t>1604</t>
  </si>
  <si>
    <t>Who originally hosted Who Wants to Be a Millionaire for ABC?</t>
  </si>
  <si>
    <t>the Old Town Hall,</t>
  </si>
  <si>
    <t>What monastery did the Saint-Evroul monks establish in Italy?</t>
  </si>
  <si>
    <t>If a force is pointing horizontally to the northeast, how many forces can you split the force into?</t>
  </si>
  <si>
    <t>AC</t>
  </si>
  <si>
    <t>Large-scale construction requires collaboration across multiple disciplines. An architect normally manages the job, and a construction manager, design engineer, construction engineer or project manager supervises it. For the successful execution of a project, effective planning is essential. Those involved with the design and execution of the infrastructure in question must consider zoning requirements, the environmental impact of the job, the successful scheduling, budgeting, construction-site safety, availability and transportation of building materials, logistics, inconvenience to the public caused by construction delays and bidding, etc. The largest construction projects are referred to as megaprojects.</t>
  </si>
  <si>
    <t>The Tower District is centered around which historic theatre?</t>
  </si>
  <si>
    <t>Wang Zhen</t>
  </si>
  <si>
    <t>Levi's Stadium in the San Francisco Bay Area at Santa Clara, California.</t>
  </si>
  <si>
    <t>A job where there are many workers willing to work a large amount of time (high supply) competing for a job that few require (low demand) will result in a low wage for that job. This is because competition between workers drives down the wage. An example of this would be jobs such as dish-washing or customer service. Competition amongst workers tends to drive down wages due to the expendable nature of the worker in relation to his or her particular job. A job where there are few able or willing workers (low supply), but a large need for the positions (high demand), will result in high wages for that job. This is because competition between employers for employees will drive up the wage. Examples of this would include jobs that require highly developed skills, rare abilities, or a high level of risk. Competition amongst employers tends to drive up wages due to the nature of the job, since there is a relative shortage of workers for the particular position. Professional and labor organizations may limit the supply of workers which results in higher demand and greater incomes for members. Members may also receive higher wages through collective bargaining, political influence, or corruption.</t>
  </si>
  <si>
    <t>What was an example of a type of warship that required high speed?</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</si>
  <si>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大元) in the style of a traditional Chinese dynasty. The name of the dynasty originated from the I Ching and describes the "origin of the universe" or a "primal force". Kublai proclaimed Khanbaliq the "Great Capital" or Daidu (Dadu, Chinese: 大都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</si>
  <si>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achieving crime control</t>
  </si>
  <si>
    <t>As a result of a compromise, about how many Chinese schools became National Type schools?</t>
  </si>
  <si>
    <t>San Diego Chargers</t>
  </si>
  <si>
    <t>Two days later, the FBI ordered the Alien Property Custodian to seize Tesla's belongings, even though Tesla was an American citizen. Tesla's entire estate from the Hotel New Yorker and other New York City hotels was transported to the Manhattan Storage and Warehouse Company under the Office of Alien Property (OAP) seal. John G. Trump, a professor at M.I.T. and a well-known electrical engineer serving as a technical aide to the National Defense Research Committee, was called in to analyze the Tesla items in OAP custody. After a three-day investigation, Trump's report concluded that there was nothing which would constitute a hazard in unfriendly hands, stating:</t>
  </si>
  <si>
    <t>€53,423</t>
  </si>
  <si>
    <t>Ersatzschulen</t>
  </si>
  <si>
    <t>What do pharmacy technicians depend on more and more?</t>
  </si>
  <si>
    <t>Melatonin during sleep can actively counteract the production of what?</t>
  </si>
  <si>
    <t>The uniflow engine is an attempt to fix an issue that arises in what cycle?</t>
  </si>
  <si>
    <t>three-carbon molecules called 3-phosphoglyceric acid, or 3-PGA</t>
  </si>
  <si>
    <t>King Malcolm III</t>
  </si>
  <si>
    <t>two main classes</t>
  </si>
  <si>
    <t>What conditions must be met for a prescription for a controlled substance to be valid?</t>
  </si>
  <si>
    <t>Those involved with the design and execution of the infrastructure</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</si>
  <si>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</si>
  <si>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How many people work for Kunskapsskolan schools?</t>
  </si>
  <si>
    <t>suspended planktonic prey</t>
  </si>
  <si>
    <t>forces</t>
  </si>
  <si>
    <t>arm</t>
  </si>
  <si>
    <t>What else was publically questioned?</t>
  </si>
  <si>
    <t>Geordie</t>
  </si>
  <si>
    <t>1964 and 1965</t>
  </si>
  <si>
    <t>suburban communities and use of automobiles and highways</t>
  </si>
  <si>
    <t>What religion is St Cuthbert's High School dominated by?</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</si>
  <si>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Rély, was printed in Paris in 1487.</t>
  </si>
  <si>
    <t>How many times did Newcastle fight off the Scots during the 14th century?</t>
  </si>
  <si>
    <t>antigenic variation</t>
  </si>
  <si>
    <t>Where are pyrenoids found?</t>
  </si>
  <si>
    <t>What Egyptologist was also apart of the university's faculty?</t>
  </si>
  <si>
    <t>the chao</t>
  </si>
  <si>
    <t>How many sources of European Union law are there?</t>
  </si>
  <si>
    <t>1% of the population</t>
  </si>
  <si>
    <t>the Great Dividing Range</t>
  </si>
  <si>
    <t>Which tree species is planted in the two corners by the north facade?</t>
  </si>
  <si>
    <t>$1,000,000</t>
  </si>
  <si>
    <t>1018</t>
  </si>
  <si>
    <t>In what century did missionaries notably establish church schools in South Africa?</t>
  </si>
  <si>
    <t>Inventions, Researches and Writings of Nikola Tesla.</t>
  </si>
  <si>
    <t>Dignity</t>
  </si>
  <si>
    <t>electric lamps wirelessly</t>
  </si>
  <si>
    <t>The Intergovernmental Panel on Climate Change (IPCC) is a scientific intergovernmental body under the auspices of the United Nations, set up at the request of member governments. It was first established in 1988 by two United Nations organizations, the World Meteorological Organization (WMO) and the United Nations Environment Programme (UNEP), and later endorsed by the United Nations General Assembly through Resolution 43/53. Membership of the IPCC is open to all members of the WMO and UNEP. The IPCC produces reports that support the United Nations Framework Convention on Climate Change (UNFCCC), which is the main international treaty on climate change. The ultimate objective of the UNFCCC is to "stabilize greenhouse gas concentrations in the atmosphere at a level that would prevent dangerous anthropogenic [i.e., human-induced] interference with the climate system". IPCC reports cover "the scientific, technical and socio-economic information relevant to understanding the scientific basis of risk of human-induced climate change, its potential impacts and options for adaptation and mitigation."</t>
  </si>
  <si>
    <t>Camp Mercury nuclear test site</t>
  </si>
  <si>
    <t>With what body must a pharmacy technician register?</t>
  </si>
  <si>
    <t>How much is the sieve method of gas production used?</t>
  </si>
  <si>
    <t>$3.5 billion and $118 for each of ABC's shares as well as a guarantee of 10% (or $3) for a total of $121 per share</t>
  </si>
  <si>
    <t>Beijing</t>
  </si>
  <si>
    <t>What is the type of oxygen production for emergency oxygen in airlines?</t>
  </si>
  <si>
    <t>A. A. Michelson</t>
  </si>
  <si>
    <t>stoking</t>
  </si>
  <si>
    <t>chronic pain</t>
  </si>
  <si>
    <t>What is the revised version of The Book of Common Prayer called?</t>
  </si>
  <si>
    <t>In what calcium containing body part is oxygen a part?</t>
  </si>
  <si>
    <t>after the end of the Mexican War.</t>
  </si>
  <si>
    <t>negotiated between endpoints</t>
  </si>
  <si>
    <t>sugar and oxygen (O2)</t>
  </si>
  <si>
    <t>When did British begin to build fort under William Trent?</t>
  </si>
  <si>
    <t>Mexican</t>
  </si>
  <si>
    <t>private sector, businesses and sponsors</t>
  </si>
  <si>
    <t>would be the most reliable and that there was a Westinghouse system to light incandescent bulbs using two-phase alternating current</t>
  </si>
  <si>
    <t>Wianki</t>
  </si>
  <si>
    <t>an ignition event, such as heat or a spark</t>
  </si>
  <si>
    <t>When did the three Advocate Generals argue that Directives should create rights and duties for all citizens?</t>
  </si>
  <si>
    <t>What trading company helped settle Huguenots near the Cape?</t>
  </si>
  <si>
    <t>What are injectors used to supply?</t>
  </si>
  <si>
    <t>likelihood of repeating her illegal actions</t>
  </si>
  <si>
    <t>What was the population density in 2000?</t>
  </si>
  <si>
    <t>the environment in which they lived</t>
  </si>
  <si>
    <t>On 24 March 1879</t>
  </si>
  <si>
    <t>the bishop has read the appointments at the session of the Annual Conference</t>
  </si>
  <si>
    <t>Boomer Esiason</t>
  </si>
  <si>
    <t>very low tuition fees</t>
  </si>
  <si>
    <t>What is the longest time that a teaching certificate is good for?</t>
  </si>
  <si>
    <t>Vampire bats</t>
  </si>
  <si>
    <t>Was this footage compatible or incompatible with live broadcast TV formats?</t>
  </si>
  <si>
    <t>What term do Islamists think should be applied to them?</t>
  </si>
  <si>
    <t>What is another term for Tesla's visualization ability?</t>
  </si>
  <si>
    <t>What anniversary of the Pokémon franchise was celebrated during the Super Bowl?</t>
  </si>
  <si>
    <t>What is the name of the CBS affiliate in Fresno?</t>
  </si>
  <si>
    <t>the Soviet Union</t>
  </si>
  <si>
    <t>tax base dissipated</t>
  </si>
  <si>
    <t>What compiles and reports on data about the size of design and construction companies?</t>
  </si>
  <si>
    <t>What is the name of the university's core curriculum?</t>
  </si>
  <si>
    <t>staying home</t>
  </si>
  <si>
    <t>Project Mercury and Gemini</t>
  </si>
  <si>
    <t>C. J. Anderson</t>
  </si>
  <si>
    <t>the old "Great North Road"</t>
  </si>
  <si>
    <t>Great Mongol State</t>
  </si>
  <si>
    <t>Germania</t>
  </si>
  <si>
    <t>From which country did the Rococo Augustus Rex Bureau Cabinet come from?</t>
  </si>
  <si>
    <t>because Dutch law said only people established in the Netherlands could give legal advice</t>
  </si>
  <si>
    <t>What was Disney-ABC Domestic Television previously known as?</t>
  </si>
  <si>
    <t>late 2008</t>
  </si>
  <si>
    <t>ministers or party leaders</t>
  </si>
  <si>
    <t>the Teaching Council</t>
  </si>
  <si>
    <t>What icons were reintroduced in series 2 of the revival show?</t>
  </si>
  <si>
    <t>Who were the sculpture galleries that opened in 2006 named after?</t>
  </si>
  <si>
    <t>yin-yang and wuxing</t>
  </si>
  <si>
    <t>the energy of sunlight</t>
  </si>
  <si>
    <t>Of what form are Mersenne primes?</t>
  </si>
  <si>
    <t>Life Savers candy</t>
  </si>
  <si>
    <t>427,652</t>
  </si>
  <si>
    <t>highlighting the usage of cycling</t>
  </si>
  <si>
    <t>water-cooled</t>
  </si>
  <si>
    <t>six series of theses against Agricola</t>
  </si>
  <si>
    <t>Who departed as president of Capital Cities/ABC in 1994?</t>
  </si>
  <si>
    <t>Where did the Panthers practice for the Super Bowl?</t>
  </si>
  <si>
    <t>Before dinner what were Tesla's working hours?</t>
  </si>
  <si>
    <t>compounds of oxygen with a high oxidative</t>
  </si>
  <si>
    <t>fewer than 10 employees</t>
  </si>
  <si>
    <t>"ABC" enclosed in a circular shield surmounted by the bald eagle</t>
  </si>
  <si>
    <t>Where was the  Continental Edison Company located?</t>
  </si>
  <si>
    <t>What did Joseph Haas say in his email?</t>
  </si>
  <si>
    <t>After its re-opening, which types of movies did the Tower Theatre show?</t>
  </si>
  <si>
    <t>Who was Chairman of the Subcommittee on Oversight and Investigations?</t>
  </si>
  <si>
    <t>Why did Tesla sever ties with his family?</t>
  </si>
  <si>
    <t>Who asserted Russia's right to "self-determination?"</t>
  </si>
  <si>
    <t>"Start Here"</t>
  </si>
  <si>
    <t>environmental and social problems</t>
  </si>
  <si>
    <t>finances</t>
  </si>
  <si>
    <t>Which French kind issued this declaration?</t>
  </si>
  <si>
    <t>What French City was New Rochelle named after?</t>
  </si>
  <si>
    <t>Aside from BBC Radio 5, what radio station will broadcast the game?</t>
  </si>
  <si>
    <t>reduction</t>
  </si>
  <si>
    <t>to elect and appoint bishops</t>
  </si>
  <si>
    <t>What proportion did detached homes rise in 2010?</t>
  </si>
  <si>
    <t>devolved competencies</t>
  </si>
  <si>
    <t>colonization, use of military force, or other</t>
  </si>
  <si>
    <t>tenfold</t>
  </si>
  <si>
    <t>What song did Coldplay and Beyoncé collaborate on for the Super Bowl 50 halftime show?</t>
  </si>
  <si>
    <t>condensers</t>
  </si>
  <si>
    <t>half-hourly</t>
  </si>
  <si>
    <t>one of the toughest rallies in the world</t>
  </si>
  <si>
    <t>Which NASA faction came around first to support the LOR?</t>
  </si>
  <si>
    <t>What tradition were the Saint-Evroul monks known for?</t>
  </si>
  <si>
    <t>Kings Canyon Avenue and Clovis Avenue</t>
  </si>
  <si>
    <t>the state and its laws</t>
  </si>
  <si>
    <t>14,000</t>
  </si>
  <si>
    <t>Any member</t>
  </si>
  <si>
    <t>Pierre-Auguste Renoir</t>
  </si>
  <si>
    <t>four variants</t>
  </si>
  <si>
    <t>In terms of housing stock, the authority is one of few authorities to see the proportion of detached homes rise in the 2010 Census (to 7.8%), in this instance this was coupled with a similar rise in flats and waterside apartments to 25.6%, and the proportion of converted or shared houses in 2011 renders this dwelling type within the highest of the five colour-coded brackets at 5.9%, and on a par with Oxford and Reading, greater than Manchester and Liverpool and below a handful of historic densely occupied, arguably overinflated markets in the local authorities: Harrogate, Cheltenham, Bath, inner London, Hastings, Brighton and Tunbridge Wells.</t>
  </si>
  <si>
    <t>ministers in departments that are selected for questioning that sitting day</t>
  </si>
  <si>
    <t>x-rays</t>
  </si>
  <si>
    <t>Oireachtas</t>
  </si>
  <si>
    <t>What was the value of the John Jones Collection when it was left to the museum?</t>
  </si>
  <si>
    <t>cytokines</t>
  </si>
  <si>
    <t>24</t>
  </si>
  <si>
    <t>Apollo 1 backup crew.</t>
  </si>
  <si>
    <t>at rest</t>
  </si>
  <si>
    <t>closed Augustinian cloister</t>
  </si>
  <si>
    <t>What website are teachers using to sell their lesson plans?</t>
  </si>
  <si>
    <t>public order</t>
  </si>
  <si>
    <t>Who lost to the Broncos in the AFC Championship?</t>
  </si>
  <si>
    <t>Allan Bloom</t>
  </si>
  <si>
    <t>Sasse</t>
  </si>
  <si>
    <t>Which country did Japan force into an alliance?</t>
  </si>
  <si>
    <t>How many auricles do most species have?</t>
  </si>
  <si>
    <t>25-foot</t>
  </si>
  <si>
    <t>its unpaired electrons</t>
  </si>
  <si>
    <t>eleven</t>
  </si>
  <si>
    <t>Conservatives</t>
  </si>
  <si>
    <t>1275</t>
  </si>
  <si>
    <t>railroad</t>
  </si>
  <si>
    <t>What was the memoir entitled which was submitted to the American Philosophical Society?</t>
  </si>
  <si>
    <t>Tesla was a good friend of Francis Marion Crawford, Robert Underwood Johnson, Stanford White, Fritz Lowenstein, George Scherff, and Kenneth Swezey. In middle age, Tesla became a close friend of Mark Twain; they spent a lot of time together in his lab and elsewhere. Twain notably described Tesla's induction motor invention as "the most valuable patent since the telephone." In the late 1920s, Tesla also befriended George Sylvester Viereck, a poet, writer, mystic, and later, a Nazi propagandist. Tesla occasionally attended dinner parties held by Viereck and his wife.</t>
  </si>
  <si>
    <t>indoor complex</t>
  </si>
  <si>
    <t>Who mapped the St. Johns River in 1562?</t>
  </si>
  <si>
    <t>al-Gama'a al-Islamiyya</t>
  </si>
  <si>
    <t>stereoscopic</t>
  </si>
  <si>
    <t>Despite waiving longtime running back DeAngelo Williams and losing top wide receiver Kelvin Benjamin to a torn ACL in the preseason, the Carolina Panthers had their best regular season in franchise history, becoming the seventh team to win at least 15 regular season games since the league expanded to a 16-game schedule in 1978. Carolina started the season 14–0, not only setting franchise records for the best start and the longest single-season winning streak, but also posting the best start to a season by an NFC team in NFL history, breaking the 13–0 record previously shared with the 2009 New Orleans Saints and the 2011 Green Bay Packers. With their NFC-best 15–1 regular season record, the Panthers clinched home-field advantage throughout the NFC playoffs for the first time in franchise history. Ten players were selected to the Pro Bowl (the most in franchise history) along with eight All-Pro selections.</t>
  </si>
  <si>
    <t>When was Martin Luther ordained as a priest?</t>
  </si>
  <si>
    <t>Pacific Ocean</t>
  </si>
  <si>
    <t>How many cases of malaria did Kenya report in 2006?</t>
  </si>
  <si>
    <t>What were chao made out of?</t>
  </si>
  <si>
    <t>captive import policy</t>
  </si>
  <si>
    <t>1262</t>
  </si>
  <si>
    <t>What did Luther use to celebrate worship?</t>
  </si>
  <si>
    <t>local-global</t>
  </si>
  <si>
    <t>Where do ctenophores be found in large numbers?</t>
  </si>
  <si>
    <t>Western Xia</t>
  </si>
  <si>
    <t>np≡n (mod p)</t>
  </si>
  <si>
    <t>What modern company has been notably working on a steam engine using modern materials?</t>
  </si>
  <si>
    <t>MHC I</t>
  </si>
  <si>
    <t>What is the least number of members a board of trustees can have?</t>
  </si>
  <si>
    <t>establishing relationships with other necessary participants through the design-build process</t>
  </si>
  <si>
    <t>What was one thing that was specifically tested on the Apollo 4 test launch regarding the CM?</t>
  </si>
  <si>
    <t>What was the name of Westinghouse's company?</t>
  </si>
  <si>
    <t>Not a maritime power, and not a nation-state, as it would eventually become, Germany’s participation in Western imperialism was negligible until the late 19th century. The participation of Austria was primarily as a result of Habsburg control of the First Empire, the Spanish throne, and other royal houses.[further explanation needed] After the defeat of Napoleon, who caused the dissolution of that Holy Roman Empire, Prussia and the German states continued to stand aloof from imperialism, preferring to manipulate the European system through the Concert of Europe. After Prussia unified the other states into the second German Empire after the Franco-German War, its long-time Chancellor, Otto von Bismarck (1862–90), long opposed colonial acquisitions, arguing that the burden of obtaining, maintaining, and defending such possessions would outweigh any potential benefits. He felt that colonies did not pay for themselves, that the German bureaucratic system would not work well in the tropics and the diplomatic disputes over colonies would distract Germany from its central interest, Europe itself.</t>
  </si>
  <si>
    <t>£20,980</t>
  </si>
  <si>
    <t>Who were exempt from the Ministry of Justice?</t>
  </si>
  <si>
    <t>What can chloroplasts change into?</t>
  </si>
  <si>
    <t>On what railroad was Salamanca used?</t>
  </si>
  <si>
    <t>(a type of "blood poisoning"</t>
  </si>
  <si>
    <t>What reason is given that you should also protest public companies?</t>
  </si>
  <si>
    <t>books, films, radio, TV, music, live theater, comics and video games</t>
  </si>
  <si>
    <t>demographics and economic</t>
  </si>
  <si>
    <t>What was extent of Celeron's expedition?</t>
  </si>
  <si>
    <t>as an auditor</t>
  </si>
  <si>
    <t>What concept is frequently used to define complexity classes?</t>
  </si>
  <si>
    <t>average teacher salaries</t>
  </si>
  <si>
    <t>those who feel that only doctors can reliably assess contraindications, risk/benefit ratios, and an individual's overall suitability for use of a medication</t>
  </si>
  <si>
    <t>European Court of Human Rights</t>
  </si>
  <si>
    <t>How large are granal thylakoids?</t>
  </si>
  <si>
    <t>binary alphabet</t>
  </si>
  <si>
    <t>Very high-speed Backbone Network Service</t>
  </si>
  <si>
    <t>Grissom</t>
  </si>
  <si>
    <t>Cork City</t>
  </si>
  <si>
    <t>What is a twin prime?</t>
  </si>
  <si>
    <t>July 1960</t>
  </si>
  <si>
    <t>satellites</t>
  </si>
  <si>
    <t>The 2005 version</t>
  </si>
  <si>
    <t>To fix carbon dioxide into sugar molecules in the process of photosynthesis, chloroplasts use an enzyme called rubisco. Rubisco has a problem—it has trouble distinguishing between carbon dioxide and oxygen, so at high oxygen concentrations, rubisco starts accidentally adding oxygen to sugar precursors. This has the end result of ATP energy being wasted and CO2 being released, all with no sugar being produced. This is a big problem, since O2 is produced by the initial light reactions of photosynthesis, causing issues down the line in the Calvin cycle which uses rubisco.</t>
  </si>
  <si>
    <t>discarded</t>
  </si>
  <si>
    <t>What is included along with gravitational acceration, and mass of the Earth in a formula about rotation about the Earth?</t>
  </si>
  <si>
    <t>to 7.8%</t>
  </si>
  <si>
    <t>Who was the opposing party in the Runyon case?</t>
  </si>
  <si>
    <t>residential and non-residential</t>
  </si>
  <si>
    <t>conflicting territorial claims</t>
  </si>
  <si>
    <t>Normans</t>
  </si>
  <si>
    <t>John and Benjamin Green</t>
  </si>
  <si>
    <t>UMC</t>
  </si>
  <si>
    <t>TeachersPayTeachers.com</t>
  </si>
  <si>
    <t>professionals</t>
  </si>
  <si>
    <t>Lovely Lane Methodist Church,</t>
  </si>
  <si>
    <t>What type of flower is sought on Midsummer's Eve?</t>
  </si>
  <si>
    <t>Of what is ozone a reactive part of oxygen?</t>
  </si>
  <si>
    <t>they are judged "wrong" by an individual conscience</t>
  </si>
  <si>
    <t>Dale Chihuly</t>
  </si>
  <si>
    <t>chemically</t>
  </si>
  <si>
    <t>When did the FCC freeze incoming applications for new stations?</t>
  </si>
  <si>
    <t>How much support is there for the US approach to economic development?</t>
  </si>
  <si>
    <t>Inflammation occurs during sleep times because of the presence of what molecule?</t>
  </si>
  <si>
    <t>15–1</t>
  </si>
  <si>
    <t>personal presence</t>
  </si>
  <si>
    <t>Apollo 7</t>
  </si>
  <si>
    <t>What feature of the Amazon made people believe it couldn't have many inhabitants?</t>
  </si>
  <si>
    <t>Eight original series serials</t>
  </si>
  <si>
    <t>Southern California Megaregion</t>
  </si>
  <si>
    <t>Finsteraarhorn</t>
  </si>
  <si>
    <t>the Corliss steam engine</t>
  </si>
  <si>
    <t>What geometric shape is used in equations to determine net force?</t>
  </si>
  <si>
    <t>disease</t>
  </si>
  <si>
    <t>When were the finalists announced?</t>
  </si>
  <si>
    <t>from Dinwiddie demanding an immediate French withdrawal from the Ohio Country</t>
  </si>
  <si>
    <t>What do government's run that affects teachers?</t>
  </si>
  <si>
    <t>Queer as Folk</t>
  </si>
  <si>
    <t>Where did Maududi exert the most impact?</t>
  </si>
  <si>
    <t>How large are Plastoglobuli?</t>
  </si>
  <si>
    <t>significantly milder than some other locations</t>
  </si>
  <si>
    <t>A fundamental error</t>
  </si>
  <si>
    <t>as itinerant farmers</t>
  </si>
  <si>
    <t>the Little Horn</t>
  </si>
  <si>
    <t>in peacekeeping missions around the world</t>
  </si>
  <si>
    <t>increase its bulk and decrease its density</t>
  </si>
  <si>
    <t>"An Account of Further Discoveries in Air" was published by who in 1775?</t>
  </si>
  <si>
    <t>$41 trillion</t>
  </si>
  <si>
    <t>Who were two of the founders of the United Methodist Church?</t>
  </si>
  <si>
    <t>11 million</t>
  </si>
  <si>
    <t>long lasting detrimental</t>
  </si>
  <si>
    <t>Not designed to fly through the Earth's atmosphere or return to Earth</t>
  </si>
  <si>
    <t>heavy/highway, heavy civil or heavy engineering</t>
  </si>
  <si>
    <t>ballistic trajectory</t>
  </si>
  <si>
    <t>civil, military, and censorial offices</t>
  </si>
  <si>
    <t>Where is Doctor Who the record holder for most successful science fiction series of all time?</t>
  </si>
  <si>
    <t>Who did Tesla call in the middle of the night?</t>
  </si>
  <si>
    <t>breaches of law in protest against international organizations and foreign governments</t>
  </si>
  <si>
    <t>In what language were the classes given?</t>
  </si>
  <si>
    <t>Fresno and B streets</t>
  </si>
  <si>
    <t>Corona Mark II</t>
  </si>
  <si>
    <t>What popular phrase is associated with the Doctor Who series?</t>
  </si>
  <si>
    <t>entrepreneurship rates</t>
  </si>
  <si>
    <t>a shortage of affordable housing</t>
  </si>
  <si>
    <t>1927</t>
  </si>
  <si>
    <t>a personal concept</t>
  </si>
  <si>
    <t>former flooded terraces</t>
  </si>
  <si>
    <t>the network was enhanced</t>
  </si>
  <si>
    <t>US$1,000,000</t>
  </si>
  <si>
    <t>What can orthogonal forces be when there are three components with two at right angles to each other?</t>
  </si>
  <si>
    <t>A decade after the 1973</t>
  </si>
  <si>
    <t>three hundred sixty</t>
  </si>
  <si>
    <t>What was the date of Tesla's death?</t>
  </si>
  <si>
    <t>What month and day did Kennedy message his vice president about the status of the program?</t>
  </si>
  <si>
    <t>23.63%</t>
  </si>
  <si>
    <t>Electorate</t>
  </si>
  <si>
    <t>what was Fresno's population in 2010?</t>
  </si>
  <si>
    <t>Kong Duancao</t>
  </si>
  <si>
    <t>"The Time of the Doctor"</t>
  </si>
  <si>
    <t>How many awards has Doctor Who won?</t>
  </si>
  <si>
    <t>15 May 1525</t>
  </si>
  <si>
    <t>time and memory consumption</t>
  </si>
  <si>
    <t>17 years</t>
  </si>
  <si>
    <t>What is the current main judicial body of the EU?</t>
  </si>
  <si>
    <t>What does the current high level of population have a large impact on?</t>
  </si>
  <si>
    <t>against disease</t>
  </si>
  <si>
    <t>Robert R. Gilruth's</t>
  </si>
  <si>
    <t>religion from politics</t>
  </si>
  <si>
    <t>Meuse</t>
  </si>
  <si>
    <t>When did Kenya become an independent country?</t>
  </si>
  <si>
    <t>his father's former allies, the Tayichi'ud</t>
  </si>
  <si>
    <t>19th</t>
  </si>
  <si>
    <t>11–13th century AD</t>
  </si>
  <si>
    <t>Regenstein Library</t>
  </si>
  <si>
    <t>must be supported by scientific evidence</t>
  </si>
  <si>
    <t>Sunday Times University of the Year</t>
  </si>
  <si>
    <t>eliminate the position of Prime Minister</t>
  </si>
  <si>
    <t>What is involved in a review of prescribed medications?</t>
  </si>
  <si>
    <t>the relationship between teachers and children</t>
  </si>
  <si>
    <t>4.7</t>
  </si>
  <si>
    <t>MHC antigens on normal body cells are recognized by what receptor on NK cells?</t>
  </si>
  <si>
    <t>What did the Taliban want to subject the entire country to?</t>
  </si>
  <si>
    <t>the Master</t>
  </si>
  <si>
    <t>everyday clothing from previous eras has not generally survived</t>
  </si>
  <si>
    <t>66–34</t>
  </si>
  <si>
    <t>modern hatred of the Jews</t>
  </si>
  <si>
    <t>their bright colors sometimes override the chlorophyll green</t>
  </si>
  <si>
    <t>Who besides Woodrow Wilson himself had the idea for the inquiry?</t>
  </si>
  <si>
    <t>What did France offer that was rare by imperial standards?</t>
  </si>
  <si>
    <t xml:space="preserve">The business allowed for private companies to do what </t>
  </si>
  <si>
    <t>sodium carbonate and potassium carbonate</t>
  </si>
  <si>
    <t>how many permanent objects are located there?</t>
  </si>
  <si>
    <t>What working fluid is used in a mercury vapor turbine?</t>
  </si>
  <si>
    <t>NASA's</t>
  </si>
  <si>
    <t>A constitutional change was considered that would eliminate the position of Prime Minister and simultaneously reduce the powers of the President. A referendum to vote on the proposed constitution was held on 4 August 2010, and the new constitution passed by a wide margin. Among other things, the new constitution delegates more power to local governments and gives Kenyans a bill of rights. It was promulgated on 27 August 2010 at a euphoric ceremony in Nairobi's Uhuru Park, accompanied by a 21-gun salute. The event was attended by various African leaders and praised by the international community. As of that day, the new constitution heralding the Second Republic came into force.</t>
  </si>
  <si>
    <t>Jerusalem</t>
  </si>
  <si>
    <t>a single MHC:antigen molecule</t>
  </si>
  <si>
    <t>c1110</t>
  </si>
  <si>
    <t>Which country in 1985 signed a treaty to give it special status?</t>
  </si>
  <si>
    <t>Ulaanbaatar</t>
  </si>
  <si>
    <t>the 1940s</t>
  </si>
  <si>
    <t>Two of the expeditions were successful, with Fort Duquesne and Louisbourg</t>
  </si>
  <si>
    <t>Of what did da Vinci think a part  was consumed during combustion?</t>
  </si>
  <si>
    <t>HD channels and Video On Demand</t>
  </si>
  <si>
    <t>What denomination operates St Joseph's College?</t>
  </si>
  <si>
    <t>50–140 cm</t>
  </si>
  <si>
    <t>What gained ground when Arab nationalism suffered?</t>
  </si>
  <si>
    <t>How are the votes weighted to ensure that smaller states aren't dominated by larger ones?</t>
  </si>
  <si>
    <t>What organization was led by Hasan al-Hudaybi?</t>
  </si>
  <si>
    <t>What do ctenophores have that no other animals have?</t>
  </si>
  <si>
    <t>Shopping Centre</t>
  </si>
  <si>
    <t>In past times, corporal punishment (spanking or paddling or caning or strapping or birching the student in order to cause physical pain) was one of the most common forms of school discipline throughout much of the world. Most Western countries, and some others, have now banned it, but it remains lawful in the United States following a US Supreme Court decision in 1977 which held that paddling did not violate the US Constitution.</t>
  </si>
  <si>
    <t>In what year did the Tenth Doctor appear in the Sarah Jane series?</t>
  </si>
  <si>
    <t>There is a public database of epitopes for pathogens known to be recognizable by what cells?</t>
  </si>
  <si>
    <t>refusing to make a commitment</t>
  </si>
  <si>
    <t>25 minutes</t>
  </si>
  <si>
    <t>encourage consensus amongst elected members</t>
  </si>
  <si>
    <t>Jumonville Glen</t>
  </si>
  <si>
    <t>Which committee has the exclusive power to set pastors' salaries?</t>
  </si>
  <si>
    <t>photolysis of ozone by light of short wavelength</t>
  </si>
  <si>
    <t>April 1970</t>
  </si>
  <si>
    <t>What was one example of a non-French painting was included in the Jones bequest of 1882?</t>
  </si>
  <si>
    <t>Which lunar probe was near the Apollo 12 crew's landing site?</t>
  </si>
  <si>
    <t>Cosgrove Hall</t>
  </si>
  <si>
    <t>November 28, 1995</t>
  </si>
  <si>
    <t>What was the first spacecraft to orbit another celestial body?</t>
  </si>
  <si>
    <t>By what name were the "supposedly reformed" known?</t>
  </si>
  <si>
    <t>What book is revised after every General Conference?</t>
  </si>
  <si>
    <t>Which parish church in Newcastle is typically agreed to be the oldest one in town?</t>
  </si>
  <si>
    <t>yellow fever virus</t>
  </si>
  <si>
    <t>establish, equip, manage and maintain national and public libraries in the country</t>
  </si>
  <si>
    <t xml:space="preserve">When did Pope Leo X  excommunicate Luther? </t>
  </si>
  <si>
    <t>What did Luther think that faith could not be understood by?</t>
  </si>
  <si>
    <t>In the spring of 1753, Paul Marin de la Malgue was given command of a 2,000-man force of Troupes de la Marine and Indians. His orders were to protect the King's land in the Ohio Valley from the British. Marin followed the route that Céloron had mapped out four years earlier, but where Céloron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</si>
  <si>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Who did Martin Luther say was the lone granter of forgiveness?</t>
  </si>
  <si>
    <t>How did Celeron handle business on trip?</t>
  </si>
  <si>
    <t>n = 4</t>
  </si>
  <si>
    <t>the American delegation from the Paris Peace Conference</t>
  </si>
  <si>
    <t>Which city is the most populous in California?</t>
  </si>
  <si>
    <t>Who got a 61-yard return when players thought he called for a fair catch but did not?</t>
  </si>
  <si>
    <t>How much had Westinghouse paid to Tesla, Brown and Peck?</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</si>
  <si>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</si>
  <si>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the ease with which people, youth in particular, can obtain controlled substances</t>
  </si>
  <si>
    <t>$680 billion</t>
  </si>
  <si>
    <t>injector</t>
  </si>
  <si>
    <t>Isiah Bowman</t>
  </si>
  <si>
    <t>What was Tesla's device called?</t>
  </si>
  <si>
    <t>Which empire was the last one Genghis Khan conquered before he died?</t>
  </si>
  <si>
    <t>What was the purpose of Loudoun's troops at Fort Henry?</t>
  </si>
  <si>
    <t>3 million followers</t>
  </si>
  <si>
    <t>What company did Worldvision sell a portion of it's catalogue to in 1990?</t>
  </si>
  <si>
    <t>Kawann Short</t>
  </si>
  <si>
    <t>ranked above</t>
  </si>
  <si>
    <t>What did the last few of the boilerplate CSM launches carry with them?</t>
  </si>
  <si>
    <t>United States Air Force</t>
  </si>
  <si>
    <t>What school did both Hank Marvin and Bruce Welch attend?</t>
  </si>
  <si>
    <t>What strategy did Jebe's army use against Kuchlug and his supporters?</t>
  </si>
  <si>
    <t>What was one of theories as to what caused Tesla's father's unspecified illness?</t>
  </si>
  <si>
    <t>24%</t>
  </si>
  <si>
    <t>At the beginning of the 20th century, important advancement in geological science was facilitated by the ability to obtain accurate absolute dates to geologic events using radioactive isotopes and other methods. This changed the understanding of geologic time. Previously, geologists could only use fossils and stratigraphic correlation to date sections of rock relative to one another. With isotopic dates it became possible to assign absolute ages to rock units, and these absolute dates could be applied to fossil sequences in which there was datable material, converting the old relative ages into new absolute ages.</t>
  </si>
  <si>
    <t>a new form</t>
  </si>
  <si>
    <t>How many people attended the 2003 IPCC meeting?</t>
  </si>
  <si>
    <t>Lothar de Maizière</t>
  </si>
  <si>
    <t>seclude himself with his work</t>
  </si>
  <si>
    <t>Lehramtstudien</t>
  </si>
  <si>
    <t>565</t>
  </si>
  <si>
    <t>the checks and balances system of the U.S. and many other governments.</t>
  </si>
  <si>
    <t>430 BC.</t>
  </si>
  <si>
    <t>The LOC included Launch Complex 39, a Launch Control Center, and a 130 million cubic foot (3.7 million cubic meter) Vertical Assembly Building (VAB) in which the space vehicle (launch vehicle and spacecraft) would be assembled on a Mobile Launcher Platform and then moved by a transporter to one of several launch pads. Although at least three pads were planned, only two, designated A and B, were completed in October 1965. The LOC also included an Operations and Checkout Building (OCB) to which Gemini and Apollo spacecraft were initially received prior to being mated to their launch vehicles. The Apollo spacecraft could be tested in two vacuum chambers capable of simulating atmospheric pressure at altitudes up to 250,000 feet (76 km), which is nearly a vacuum.</t>
  </si>
  <si>
    <t>a pharmacy practice residency</t>
  </si>
  <si>
    <t>Among the most important classes of organic compounds that contain oxygen are (where "R" is an organic group): alcohols (R-OH); ethers (R-O-R); ketones (R-CO-R); aldehydes (R-CO-H); carboxylic acids (R-COOH); esters (R-COO-R); acid anhydrides (R-CO-O-CO-R); and amides (R-C(O)-NR
2). There are many important organic solvents that contain oxygen, including: acetone, methanol, ethanol, isopropanol, furan, THF, diethyl ether, dioxane, ethyl acetate, DMF, DMSO, acetic acid, and formic acid. Acetone ((CH
3)
2CO) and phenol (C
6H
5OH) are used as feeder materials in the synthesis of many different substances. Other important organic compounds that contain oxygen are: glycerol, formaldehyde, glutaraldehyde, citric acid, acetic anhydride, and acetamide. Epoxides are ethers in which the oxygen atom is part of a ring of three atoms.</t>
  </si>
  <si>
    <t>In what year did the first European travel the entire length of the Amazon River?</t>
  </si>
  <si>
    <t>a former monastery</t>
  </si>
  <si>
    <t>Since what year did the university offer a doctorate in Cinema &amp; Media studies?</t>
  </si>
  <si>
    <t>What year did the Carolina Panthers form?</t>
  </si>
  <si>
    <t>Jean-Marc Bosman</t>
  </si>
  <si>
    <t>Spike Milligan</t>
  </si>
  <si>
    <t>use of force and violence and refusal to submit to arrest</t>
  </si>
  <si>
    <t>radio network</t>
  </si>
  <si>
    <t>What is the force equivalent of torque compared to angular momentum?</t>
  </si>
  <si>
    <t>August 15, 1971</t>
  </si>
  <si>
    <t>in the Palace of Culture and Science</t>
  </si>
  <si>
    <t>tea, horticultural produce, and coffee</t>
  </si>
  <si>
    <t>The Beroida, also known as Nuda, have no feeding appendages, but their large pharynx, just inside the large mouth and filling most of the saclike body, bears "macrocilia" at the oral end. These fused bundles of several thousand large cilia are able to "bite" off pieces of prey that are too large to swallow whole – almost always other ctenophores. In front of the field of macrocilia, on the mouth "lips" in some species of Beroe, is a pair of narrow strips of adhesive epithelial cells on the stomach wall that "zip" the mouth shut when the animal is not feeding, by forming intercellular connections with the opposite adhesive strip. This tight closure streamlines the front of the animal when it is pursuing prey.</t>
  </si>
  <si>
    <t>What happens to the norm when a number is multiplied by p?</t>
  </si>
  <si>
    <t>Why did Kublai's successors lose control of the rest of the Mongol empire?</t>
  </si>
  <si>
    <t>July 23, 1963,</t>
  </si>
  <si>
    <t>What is the expression used to denote a worst case complexity as expressed by time taken?</t>
  </si>
  <si>
    <t>What country does the Moselle take the Rhine to?</t>
  </si>
  <si>
    <t>How long did Project Apollo run?</t>
  </si>
  <si>
    <t>What did Mote think the Yuan class system really represented?</t>
  </si>
  <si>
    <t>Netherlands</t>
  </si>
  <si>
    <t>power outage</t>
  </si>
  <si>
    <t>idealized point particles rather than three-dimensional objects</t>
  </si>
  <si>
    <t>Luther's education</t>
  </si>
  <si>
    <t>Where did Tesla move in 1881?</t>
  </si>
  <si>
    <t>Robert Guiscard</t>
  </si>
  <si>
    <t>returned to Earth.</t>
  </si>
  <si>
    <t>the grace that "goes before" us</t>
  </si>
  <si>
    <t>the Kenyan Coast</t>
  </si>
  <si>
    <t>What is the major tributary of the Rhine?</t>
  </si>
  <si>
    <t>all spheres</t>
  </si>
  <si>
    <t>San Jose State practice facility</t>
  </si>
  <si>
    <t>lectured on the Psalms</t>
  </si>
  <si>
    <t>obtaining cost-effective medication</t>
  </si>
  <si>
    <t>What animals did Tesla care for?</t>
  </si>
  <si>
    <t>51,300 pounds</t>
  </si>
  <si>
    <t>What did the Merwede-Oude Maas form with Waal and Lek?</t>
  </si>
  <si>
    <t>one Commissioner for each of the 28 member states</t>
  </si>
  <si>
    <t>Edward the Confessor</t>
  </si>
  <si>
    <t>maze of semantical problems and grammatical niceties</t>
  </si>
  <si>
    <t>What is the term for a mathematical model that theoretically represents a general computing machine?</t>
  </si>
  <si>
    <t>Maine</t>
  </si>
  <si>
    <t>Since the election riots, the government and civil society organisations started programmes to avoid similar disasters in the future, said Agnes R. M. Aboum – executive director of TAABCO Research and Development Consultants in Nairobi – in the magazine D+C Development and Cooperation. For example, the Truth, Justice and Reconciliation Commission initiated community dialogues, the Evangelical Lutheran Church in Kenya started peace meetings and the Kenya National Dialogue and Reconciliation process was started.</t>
  </si>
  <si>
    <t>Which Germans could understand the language Luther used?</t>
  </si>
  <si>
    <t>Road complex</t>
  </si>
  <si>
    <t>vast areas</t>
  </si>
  <si>
    <t>What is one type of public key cryptography algorithm?</t>
  </si>
  <si>
    <t>Stock</t>
  </si>
  <si>
    <t>Where did Johnson stop?</t>
  </si>
  <si>
    <t>Where did Tesla work in Budapest?</t>
  </si>
  <si>
    <t>The Walt Disney Company</t>
  </si>
  <si>
    <t>death and divine judgment,</t>
  </si>
  <si>
    <t>What was the name of du Pont's gunpowder operation?</t>
  </si>
  <si>
    <t>What is an object's mass proportional to at the surface of the Earth?</t>
  </si>
  <si>
    <t>January 2010</t>
  </si>
  <si>
    <t>Which newspaper's parent company could not evade tax by shifting its residence to the Netherlands?</t>
  </si>
  <si>
    <t>around 5 million</t>
  </si>
  <si>
    <t>Along with admission, exhaust and compression, what is an event in the engine cycle?</t>
  </si>
  <si>
    <t>In the years after these rumors, neither Tesla nor Edison won the prize (although Edison did receive one of 38 possible bids in 1915 and Tesla did receive one of 38 possible bids in 1937).</t>
  </si>
  <si>
    <t>Electrolysis of what can be used to produce oxygen and hydrogen?</t>
  </si>
  <si>
    <t>Joseph Shea,</t>
  </si>
  <si>
    <t>What does most of the HD material use as a standard?</t>
  </si>
  <si>
    <t>In which year did the gallery devoted to Chinese art open?</t>
  </si>
  <si>
    <t>Ralph Woodward</t>
  </si>
  <si>
    <t>Youngstown</t>
  </si>
  <si>
    <t>Since when was the Rhine part of the areal of Hallstatt culture?</t>
  </si>
  <si>
    <t>In 1937, at a luncheon in his honor concerning the death ray, Tesla stated, "But it is not an experiment ... I have built, demonstrated and used it. Only a little time will pass before I can give it to the world." His records indicate that the device is based on a narrow stream of small tungsten pellets that are accelerated via high voltage (by means akin to his magnifying transformer).</t>
  </si>
  <si>
    <t>11,000 years</t>
  </si>
  <si>
    <t>Who produces a list of requirements for a project, giving an overall view of the project's goals?</t>
  </si>
  <si>
    <t>bacteriophage T4</t>
  </si>
  <si>
    <t>What ABC station in South Bend, Indiana maintains digital simulcasts on a subchannel?</t>
  </si>
  <si>
    <t>The material in the V&amp;A theatre collection is available for which use?</t>
  </si>
  <si>
    <t>Teachers in Wales can be registered members of trade unions such as ATL, NUT or NASUWT and reports in recent years suggest that the average age of teachers in Wales is falling with teachers being younger than in previous years. A growing cause of concern are that attacks on teachers in Welsh schools which reached an all-time high between 2005 and 2010.</t>
  </si>
  <si>
    <t>Torchwood</t>
  </si>
  <si>
    <t>tea or porridge with bread, chapati, mahamri, boiled sweet potatoes or yams</t>
  </si>
  <si>
    <t>allied groups from Central Asia and the western end of the empire</t>
  </si>
  <si>
    <t>What kind of cell did cynaobacteria enter long ago?</t>
  </si>
  <si>
    <t>Well represented in the collection is Meissen porcelain, from the first factory in Europe to discover the Chinese method of making porcelain. Among the finest examples are the Meissen Vulture from 1731 and the Möllendorff Dinner Service, designed in 1762 by Frederick II the Great. Ceramics from the Manufacture nationale de Sèvres are extensive, especially from the 18th and 19th centuries. The collection of 18th-century British porcelain is the largest and finest in the world. Examples from every factory are represented, the collections of Chelsea porcelain and Worcester Porcelain being especially fine. All the major 19th-century British factories are also represented. A major boost to the collections was the Salting Bequest made in 1909, which enriched the museum's stock of Chinese and Japanese ceramics. This bequest forms part of the finest collection of East Asian pottery and porcelain in the world, including Kakiemon ware.</t>
  </si>
  <si>
    <t>against Prussia and its allies in the European theatre of the war.</t>
  </si>
  <si>
    <t>rainforest was reduced</t>
  </si>
  <si>
    <t>struggle, famine, and bitterness</t>
  </si>
  <si>
    <t>successfully cut off the French frontier forts further to the west and south</t>
  </si>
  <si>
    <t>Singing Revolution to bring independence to the Baltic countries</t>
  </si>
  <si>
    <t>What are one of the key cell types of the adaptive immune system?</t>
  </si>
  <si>
    <t>kill Luther</t>
  </si>
  <si>
    <t>What company took over Edison Machine Works?</t>
  </si>
  <si>
    <t>photooxidative damage</t>
  </si>
  <si>
    <t>format incompatible with broadcast TV</t>
  </si>
  <si>
    <t>What layers of a leaf have chloroplasts?</t>
  </si>
  <si>
    <t>What shape are some of the buildings in the Parliament complex?</t>
  </si>
  <si>
    <t>blue</t>
  </si>
  <si>
    <t>While Qutb's ideas became increasingly radical during his imprisonment prior to his execution in 1966, the leadership of the Brotherhood, led by Hasan al-Hudaybi, remained moderate and interested in political negotiation and activism. Fringe or splinter movements inspired by the final writings of Qutb in the mid-1960s (particularly the manifesto Milestones, a.k.a. Ma'alim fi-l-Tariq) did, however, develop and they pursued a more radical direction. By the 1970s, the Brotherhood had renounced violence as a means of achieving its goals.</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</si>
  <si>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Temür suddenly dismissed him for fear of betrayal. This resulted in Toghun Temür's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Míng dynasty (1368–1644),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</si>
  <si>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The relationship of ctenophores to the rest of Metazoa is very important to our understanding of the early evolution of animals and the origin of multicellularity. It has been the focus of debate for many years. Ctenophores have been purported to be the sister lineage to the Bilateria, sister to the Cnidaria, sister to Cnidaria, Placozoa and Bilateria, and sister to all other animal phyla. A series of studies that looked at the presence and absence of members of gene families and signalling pathways (e.g., homeoboxes, nuclear receptors, the Wnt signaling pathway, and sodium channels) showed evidence congruent with the latter two scenarios, that ctenophores are either sister to Cnidaria, Placozoa and Bilateria or sister to all other animal phyla. Several more recent studies comparing complete sequenced genomes of ctenophores with other sequenced animal genomes have also supported ctenophores as the sister lineage to all other animals. This position would suggest that neural and muscle cell types were either lost in major animal lineages (e.g., Porifera) or that they evolved independently in the ctenophore lineage. However, other researchers have argued that the placement of Ctenophora as sister to all other animals is a statistical anomaly caused by the high rate of evolution in ctenophore genomes, and that Porifera (sponges) is the earliest-diverging animal phylum instead. Ctenophores and sponges are also the only known animal phyla that lack any true hox genes.</t>
  </si>
  <si>
    <t>1887</t>
  </si>
  <si>
    <t>What was the final score of Super Bowl XXXIII?</t>
  </si>
  <si>
    <t>the Conservative</t>
  </si>
  <si>
    <t>Because oil was priced in dollars, oil producers' real income decreased.</t>
  </si>
  <si>
    <t>In 1873, Tesla returned to his birthtown, Smiljan. Shortly after he arrived, Tesla contracted cholera; he was bedridden for nine months and was near death multiple times. Tesla's father, in a moment of despair, promised to send him to the best engineering school if he recovered from the illness (his father had originally wanted him to enter the priesthood).</t>
  </si>
  <si>
    <t>When was al-Nimeiry overthrown?</t>
  </si>
  <si>
    <t xml:space="preserve">Le Grande also wrote that defining the term civil disobedience so difficult it could be described as? </t>
  </si>
  <si>
    <t>What was the proportion of Huguenots to Catholics at their peak?</t>
  </si>
  <si>
    <t>co-operation</t>
  </si>
  <si>
    <t>healthy living</t>
  </si>
  <si>
    <t>When did Tesla graduate?</t>
  </si>
  <si>
    <t>circuit switching</t>
  </si>
  <si>
    <t>What does Piketty feel was the biggest factors in reducing inequality between 1914 to 1945?</t>
  </si>
  <si>
    <t>1550</t>
  </si>
  <si>
    <t>RSA</t>
  </si>
  <si>
    <t>What type of boundaries help to define the way kids behave?</t>
  </si>
  <si>
    <t>a computational problem</t>
  </si>
  <si>
    <t>shut down host defenses</t>
  </si>
  <si>
    <t>Saracens</t>
  </si>
  <si>
    <t>25-minute</t>
  </si>
  <si>
    <t>What television specials did ABC acquire the rights to in 2000?</t>
  </si>
  <si>
    <t>How many academic majors does the university grant in total?</t>
  </si>
  <si>
    <t>referendum in France and the referendum in the Netherlands</t>
  </si>
  <si>
    <t>primarily along the frontiers between New France and the British colonies</t>
  </si>
  <si>
    <t>How many points did the Broncos defense allow their opponents to get?</t>
  </si>
  <si>
    <t>Museum of the Moving Image</t>
  </si>
  <si>
    <t>inventor of keyed Northumbrian smallpipes</t>
  </si>
  <si>
    <t>Khwarezmid Empire</t>
  </si>
  <si>
    <t>What genus has self-fertilization been seen?</t>
  </si>
  <si>
    <t>the Church of England.</t>
  </si>
  <si>
    <t>Which city is planned to be a part of the California High Speed Rail?</t>
  </si>
  <si>
    <t>Roeding Park</t>
  </si>
  <si>
    <t>What was ABC's viewership share in 1993?</t>
  </si>
  <si>
    <t>nomadic tribes of Northeast Asia</t>
  </si>
  <si>
    <t>50 kilopascals</t>
  </si>
  <si>
    <t>Service Module</t>
  </si>
  <si>
    <t>What does the bolinopsis generally eat?</t>
  </si>
  <si>
    <t>What weapons were the Zulus using during the Anglo-Zulu War of 1879?</t>
  </si>
  <si>
    <t>third place</t>
  </si>
  <si>
    <t>common flagellated</t>
  </si>
  <si>
    <t>dummy upper stages filled with water</t>
  </si>
  <si>
    <t>varying regional cost-benefit analysis and burden-sharing conflicts with regard to the distribution of emission reductions</t>
  </si>
  <si>
    <t>Who began publishing Doctor Who novels in 2005?</t>
  </si>
  <si>
    <t>about 3.5 billion years ago</t>
  </si>
  <si>
    <t>white, blue, pink, rainbow neon and glittering</t>
  </si>
  <si>
    <t>likelihood of repeating</t>
  </si>
  <si>
    <t>Which famous Dutch artist who painted The Night Watch is represented in the drawings collection of the V&amp;A?</t>
  </si>
  <si>
    <t>What was the Italian title of Polo's book?</t>
  </si>
  <si>
    <t>flax</t>
  </si>
  <si>
    <t>What's the nickname for Newcastle's A167?</t>
  </si>
  <si>
    <t>the role of Yersinia pestis in the Black Death</t>
  </si>
  <si>
    <t>In what areas does most of the learning take place?</t>
  </si>
  <si>
    <t>What kind of affect did Luther often use in his discourses?</t>
  </si>
  <si>
    <t>What two areas in the Republic were first to grant rights to the Huguenots?</t>
  </si>
  <si>
    <t>construction of the $1.2 billion Allston Science Complex</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</si>
  <si>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</si>
  <si>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What was the name of the first self-sustained man-made nuclear reaction?</t>
  </si>
  <si>
    <t>interventive</t>
  </si>
  <si>
    <t>What is the youngest student a teacher might have?</t>
  </si>
  <si>
    <t>community-based conservation</t>
  </si>
  <si>
    <t>influential</t>
  </si>
  <si>
    <t>The city has two universities — Newcastle University and Northumbria University. Newcastle University has its origins in the School of Medicine and Surgery, established in 1834 and became independent from Durham University on 1 August 1963 to form the University of Newcastle upon Tyne. Newcastle University is now one of the UK's leading international universities. It won the coveted Sunday Times University of the Year award in 2000. Northumbria University has its origins in the Newcastle Polytechnic, established in 1969 and became the University of Northumbria at Newcastle in 1992 as part of the UK-wide process in which polytechnics became new universities. Northumbria University was voted 'Best New University' by The Times Good University Guide 2005 and also won a much coveted company award of the "Most IT enabled organisation" (in the UK), by the IT industry magazine Computing.</t>
  </si>
  <si>
    <t>When were some of Luther's best-known works published?</t>
  </si>
  <si>
    <t>On 24 March 1879, Tesla was returned to Gospić under police guard for not having a residence permit. On 17 April 1879, Milutin Tesla died at the age of 60 after contracting an unspecified illness (although some sources say that he died of a stroke). During that year, Tesla taught a large class of students in his old school, Higher Real Gymnasium, in Gospić.</t>
  </si>
  <si>
    <t>Montpellier</t>
  </si>
  <si>
    <t>groups of three</t>
  </si>
  <si>
    <t>How many miles from the north Sea is Newcastle?</t>
  </si>
  <si>
    <t>Three additional putative species</t>
  </si>
  <si>
    <t>René-Robert Cavelier, Sieur de La Salle had explored the Ohio Country</t>
  </si>
  <si>
    <t>English</t>
  </si>
  <si>
    <t>What is Thomas B. Edsall's profession?</t>
  </si>
  <si>
    <t>bassett focuses on what to illustrate his idea?</t>
  </si>
  <si>
    <t>wider community</t>
  </si>
  <si>
    <t>Who was Boleslaw II of Masovia?</t>
  </si>
  <si>
    <t>since the Sui and Tang dynasties</t>
  </si>
  <si>
    <t>1937</t>
  </si>
  <si>
    <t>1970s</t>
  </si>
  <si>
    <t>prototype for confederation</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</si>
  <si>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</si>
  <si>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whether it would do more harm than good</t>
  </si>
  <si>
    <t>What denomination is associated with Saint Kentigern College?</t>
  </si>
  <si>
    <t>Better Jacksonville Plan</t>
  </si>
  <si>
    <t>bacteriophage</t>
  </si>
  <si>
    <t>Sculptors both British and Europeans who were based in Britain and whose work is in the collection include Nicholas Stone, Caius Gabriel Cibber, Grinling Gibbons, John Michael Rysbrack, Louis-François Roubiliac, Peter Scheemakers, Sir Henry Cheere, Agostino Carlini, Thomas Banks, Joseph Nollekens, Joseph Wilton, John Flaxman, Sir Francis Chantrey, John Gibson, Edward Hodges Baily, Lord Leighton, Alfred Stevens, Thomas Brock, Alfred Gilbert, George Frampton, and Eric Gill. A sample of some of these sculptors' work is on display in the British Galleries.</t>
  </si>
  <si>
    <t>Demographically</t>
  </si>
  <si>
    <t>Who does Edward Said say is being attacked by US imperialism?</t>
  </si>
  <si>
    <t>When was the last time California hosted a Super Bowl?</t>
  </si>
  <si>
    <t>What characteristic identifies the French ancestry of some South Africans?</t>
  </si>
  <si>
    <t>Turing machines</t>
  </si>
  <si>
    <t>In 1900, Tesla was granted patents for a "system of transmitting electrical energy" and "an electrical transmitter." When Guglielmo Marconi made his famous first-ever transatlantic radio transmission in 1901, Tesla quipped that it was done with 17 Tesla patents, though there is little to support this claim. This was the beginning of years of patent battles over radio with Tesla's patents being upheld in 1903, followed by a reverse decision in favor of Marconi in 1904. In 1943, a Supreme Court of the United States decision restored the prior patents of Tesla, Oliver Lodge, and John Stone. The court declared that their decision had no bearing on Marconi's claim as the first to achieve radio transmission, just that since Marconi's claim to certain patents were questionable, he could not claim infringement on those same patents (there are claims the high court was trying to nullify a World War I claim against the U.S. government by the Marconi Company via simply restoring Tesla's prior patent).</t>
  </si>
  <si>
    <t>What type of sentences were the protesters given?</t>
  </si>
  <si>
    <t>Christ Church Hall</t>
  </si>
  <si>
    <t>What was the name of the approved measure that helped cover the cost of major city projects?</t>
  </si>
  <si>
    <t>Who did Luther view to be the Antichrist?</t>
  </si>
  <si>
    <t>soft power</t>
  </si>
  <si>
    <t>bubonic plague</t>
  </si>
  <si>
    <t>What year did BSkyB and Virgin Media have a dispute over the carriage of Sky Channels on cable TV?</t>
  </si>
  <si>
    <t>Ronnie Hillman</t>
  </si>
  <si>
    <t>German</t>
  </si>
  <si>
    <t>What army did Warsaw successfully defend itself against?</t>
  </si>
  <si>
    <t>sparking and the high maintenance of constantly servicing and replacing mechanical brushes</t>
  </si>
  <si>
    <t>88%</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</si>
  <si>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</si>
  <si>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The British Empire</t>
  </si>
  <si>
    <t>What are private schools that charge no tuition called?</t>
  </si>
  <si>
    <t>What years did the original Doctor Who series run?</t>
  </si>
  <si>
    <t>it is impossible</t>
  </si>
  <si>
    <t>What does Untersee mean?</t>
  </si>
  <si>
    <t>in the Earth's biosphere, air, sea and land</t>
  </si>
  <si>
    <t>What did Luther's opponents think that it meant about God's presence?</t>
  </si>
  <si>
    <t>Prudential Insurance Company of America.</t>
  </si>
  <si>
    <t>Russell T Davies</t>
  </si>
  <si>
    <t>dendritic cells</t>
  </si>
  <si>
    <t>How much percentage of Victoria's land is taken up by farms?</t>
  </si>
  <si>
    <t>Carmichael numbers</t>
  </si>
  <si>
    <t>What late Gothic architectural sculptural feature is found on the tower above the main entrance?</t>
  </si>
  <si>
    <t>a violation of criminal law that does not infringe the rights of others</t>
  </si>
  <si>
    <t>the United Kingdom, Australia, Canada and the United States</t>
  </si>
  <si>
    <t>submit to the punishment</t>
  </si>
  <si>
    <t>2,000 m</t>
  </si>
  <si>
    <t>with common rules for coal and steel, and then atomic energy</t>
  </si>
  <si>
    <t>The war was fought primarily along the frontiers between New France and the British colonies, from Virginia in the South to Nova Scotia in the North. It began with a dispute over control of the confluence of the Allegheny and Monongahela rivers, called the Forks of the Ohio, and the site of the French Fort Duquesne and present-day Pittsburgh, Pennsylvania. The dispute erupted into violence in the Battle of Jumonville Glen in May 1754, during which Virginia militiamen under the command of 22-year-old George Washington ambushed a French patrol.</t>
  </si>
  <si>
    <t>non-native Chinese people</t>
  </si>
  <si>
    <t>When was Europe's last major epidemic?</t>
  </si>
  <si>
    <t>A problem set that that is hard for the expression NP can also be stated how?</t>
  </si>
  <si>
    <t>In which year was the Musical Instruments gallery closed?</t>
  </si>
  <si>
    <t>economist</t>
  </si>
  <si>
    <t>Which channel did the 5 applications request for broadcast?</t>
  </si>
  <si>
    <t>Where was the Rhine regulated with an upper canal?</t>
  </si>
  <si>
    <t>What did Luther speak out about in Saxony?</t>
  </si>
  <si>
    <t>internal fertilization</t>
  </si>
  <si>
    <t>What Doctor Who actress was nominated for an award in 2016?</t>
  </si>
  <si>
    <t>clerical marriage</t>
  </si>
  <si>
    <t>The "freedom to provide services" under TFEU article 56 applies to people who give services "for remuneration", especially commercial or professional activity. For example, in Van Binsbergen v Bestuur van de Bedrijfvereniging voor de Metaalnijverheid a Dutch lawyer moved to Belgium while advising a client in a social security case, and was told he could not continue because Dutch law said only people established in the Netherlands could give legal advice. The Court of Justice held that the freedom to provide services applied, it was directly effective, and the rule was probably unjustified: having an address in the member state would be enough to pursue the legitimate aim of good administration of justice. The Court of Justice has held that secondary education falls outside the scope of article 56, because usually the state funds it, though higher education does not. Health care generally counts as a service. In Geraets-Smits v Stichting Ziekenfonds Mrs Geraets-Smits claimed she should be reimbursed by Dutch social insurance for costs of receiving treatment in Germany. The Dutch health authorities regarded the treatment unnecessary, so she argued this restricted the freedom (of the German health clinic) to provide services. Several governments submitted that hospital services should not be regarded as economic, and should not fall within article 56. But the Court of Justice held health was a "service" even though the government (rather than the service recipient) paid for the service. National authorities could be justified in refusing to reimburse patients for medical services abroad if the health care received at home was without undue delay, and it followed "international medical science" on which treatments counted as normal and necessary. The Court requires that the individual circumstances of a patient justify waiting lists, and this is also true in the context of the UK's National Health Service. Aside from public services, another sensitive field of services are those classified as illegal. Josemans v Burgemeester van Maastricht held that the Netherlands' regulation of cannabis consumption, including the prohibitions by some municipalities on tourists (but not Dutch nationals) going to coffee shops, fell outside article 56 altogether. The Court of Justice reasoned that narcotic drugs were controlled in all member states, and so this differed from other cases where prostitution or other quasi-legal activity was subject to restriction. If an activity does fall within article 56, a restriction can be justified under article 52 or overriding requirements developed by the Court of Justice. In Alpine Investments BV v Minister van Financiën a business that sold commodities futures (with Merrill Lynch and another banking firms) attempted to challenge a Dutch law that prohibiting cold calling customers. The Court of Justice held the Dutch prohibition pursued a legitimate aim to prevent "undesirable developments in securities trading" including protecting the consumer from aggressive sales tactics, thus maintaining confidence in the Dutch markets. In Omega Spielhallen GmbH v Bonn a "laserdrome" business was banned by the Bonn council. It bought fake laser gun services from a UK firm called Pulsar Ltd, but residents had protested against "playing at killing" entertainment. The Court of Justice held that the German constitutional value of human dignity, which underpinned the ban, did count as a justified restriction on freedom to provide services. In Liga Portuguesa de Futebol v Santa Casa da Misericórdia de Lisboa the Court of Justice also held that the state monopoly on gambling, and a penalty for a Gibraltar firm that had sold internet gambling services, was justified to prevent fraud and gambling where people's views were highly divergent. The ban was proportionate as this was an appropriate and necessary way to tackle the serious problems of fraud that arise over the internet. In the Services Directive a group of justifications were codified in article 16 that the case law has developed.</t>
  </si>
  <si>
    <t>What do high levels of inequality  prevent beyond economic prosperity?</t>
  </si>
  <si>
    <t>the formation of starch-storing amyloplasts</t>
  </si>
  <si>
    <t>Kuchlug, the deposed Khan of the Naiman confederation that Temüjin defeated and folded into his Mongol Empire, fled west and usurped the khanate of Qara Khitai (also known as the Western Liao, as it was originally established as remnants of the Liao dynasty). Genghis Khan decided to conquer the Qara Khitai and defeat Kuchlug, possibly to take him out of power. By this time the Mongol army was exhausted from ten years of continuous campaigning in China against the Western Xia and Jin dynasty. Therefore, Genghis sent only two tumen (20,000 soldiers) against Kuchlug, under his younger general, Jebe, known as "The Arrow".</t>
  </si>
  <si>
    <t>Where did Tesla begin a new job at in 1882?</t>
  </si>
  <si>
    <t>What was the estimated population of Pons Aelius around the 2nd century?</t>
  </si>
  <si>
    <t>Sentences</t>
  </si>
  <si>
    <t>Jerome Schurf</t>
  </si>
  <si>
    <t>"golden anniversary"</t>
  </si>
  <si>
    <t>an inauspicious typhoon</t>
  </si>
  <si>
    <t>1899</t>
  </si>
  <si>
    <t>1993–94</t>
  </si>
  <si>
    <t>There were many Mongols with what unexpected status?</t>
  </si>
  <si>
    <t>various academic disciplines</t>
  </si>
  <si>
    <t>17th</t>
  </si>
  <si>
    <t>the Korean King</t>
  </si>
  <si>
    <t>1975</t>
  </si>
  <si>
    <t>religious and in no respect racial</t>
  </si>
  <si>
    <t>growth and investment</t>
  </si>
  <si>
    <t>near the Black Sea</t>
  </si>
  <si>
    <t>On what television station could an American viewer watch the game?</t>
  </si>
  <si>
    <t>What language were classes held in at Tesla's school?</t>
  </si>
  <si>
    <t>What type of studies explored student motivation?</t>
  </si>
  <si>
    <t>What period did plates reverse directions to compress the Tethys floor?</t>
  </si>
  <si>
    <t>Tesla Coil</t>
  </si>
  <si>
    <t>Who did Emma Marry?</t>
  </si>
  <si>
    <t>contemporary accounts were exaggerations</t>
  </si>
  <si>
    <t>depopulation and permanent change in both economic and social structures</t>
  </si>
  <si>
    <t>first century AD</t>
  </si>
  <si>
    <t>oxide compounds</t>
  </si>
  <si>
    <t>What can it sometimes take up to 14 years to get permission to build on?</t>
  </si>
  <si>
    <t>What type of mixture was created to replace the pure oxygen atmosphere inside the cabin?</t>
  </si>
  <si>
    <t>What event was blamed on the introduction of mnemiopsis into The Black Sea?</t>
  </si>
  <si>
    <t>Abercrombie was recalled and replaced by Jeffery Amherst,</t>
  </si>
  <si>
    <t>general number field sieve</t>
  </si>
  <si>
    <t>What year did Tesla enroll at an engineering school?</t>
  </si>
  <si>
    <t>Episcopal</t>
  </si>
  <si>
    <t>In what month is the university's scavenger hunt?</t>
  </si>
  <si>
    <t>at night</t>
  </si>
  <si>
    <t>What type of architecture is represented in the majestic churches?</t>
  </si>
  <si>
    <t>60%</t>
  </si>
  <si>
    <t>What fields have increased in influence on pharmacy in the United States?</t>
  </si>
  <si>
    <t>eight General Education categories</t>
  </si>
  <si>
    <t>Even before Washington returned, Dinwiddie had sent a company of 40 men under William Trent to that point, where in the early months of 1754 they began construction of a small stockaded fort. Governor Duquesne sent additional French forces under Claude-Pierre Pecaudy de Contrecœur to relieve Saint-Pierre during the same period, and Contrecœur led 500 men south from Fort Venango on April 5, 1754. When these forces arrived at the fort on April 16, Contrecœur generously allowed Trent's small company to withdraw. He purchased their construction tools to continue building what became Fort Duquesne.</t>
  </si>
  <si>
    <t>The Master</t>
  </si>
  <si>
    <t>What are the hairs on ctenophores called?</t>
  </si>
  <si>
    <t>On 10 January 1943, New York City mayor Fiorello La Guardia read a eulogy written by Slovene-American author Louis Adamic live over the WNYC radio while violin pieces "Ave Maria" and "Tamo daleko" were played in the background. On 12 January, two thousand people attended a state funeral for Tesla at the Cathedral of Saint John the Divine. After the funeral, Tesla's body was taken to the Ferncliff Cemetery in Ardsley, New York, where it was later cremated. The following day, a second service was conducted by prominent priests in the Trinity Chapel (today's Serbian Orthodox Cathedral of Saint Sava) in New York City.</t>
  </si>
  <si>
    <t>What is the lower house of the Victorian parliament called?</t>
  </si>
  <si>
    <t>proposed to build a nationwide network in the UK</t>
  </si>
  <si>
    <t>Great Exhibition of 1851</t>
  </si>
  <si>
    <t>Isaac Newton (astronomy</t>
  </si>
  <si>
    <t>Where did water on the eastern side of the amazon basin travel after the split?</t>
  </si>
  <si>
    <t>Why did he want to make the language accessible to people?</t>
  </si>
  <si>
    <t>Where did British resettle many Acadians?</t>
  </si>
  <si>
    <t>until 1796</t>
  </si>
  <si>
    <t>Berger</t>
  </si>
  <si>
    <t>n = 2 · 1017</t>
  </si>
  <si>
    <t>When was he elected by Nixon?</t>
  </si>
  <si>
    <t>offices and board room</t>
  </si>
  <si>
    <t>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"The Bill for this Act of the Scottish Parliament was passed by the Parliament on [Date] and received royal assent on [Date]".</t>
  </si>
  <si>
    <t>Denmark, Iceland and Norway</t>
  </si>
  <si>
    <t>What is the title for a seminary graduate who serves a two-three-year term in full-time appointment after being commissioned?</t>
  </si>
  <si>
    <t>187 feet (57 m)</t>
  </si>
  <si>
    <t>How are the forces derived from fields treated similarly to?</t>
  </si>
  <si>
    <t>quick and decisive defeat</t>
  </si>
  <si>
    <t>Light has been shown to be a requirement for chloroplast division. Chloroplasts can grow and progress through some of the constriction stages under poor quality green light, but are slow to complete division—they require exposure to bright white light to complete division. Spinach leaves grown under green light have been observed to contain many large dumbbell-shaped chloroplasts. Exposure to white light can stimulate these chloroplasts to divide and reduce the population of dumbbell-shaped chloroplasts.</t>
  </si>
  <si>
    <t>immediate</t>
  </si>
  <si>
    <t>The principle of faunal succession</t>
  </si>
  <si>
    <t>What program was created to carry out these projects and missions?</t>
  </si>
  <si>
    <t>helicosproidia</t>
  </si>
  <si>
    <t>25 million</t>
  </si>
  <si>
    <t>What act set out the Parliament's powers as a devolved legislature?</t>
  </si>
  <si>
    <t>significant new evidence or events that change our understanding</t>
  </si>
  <si>
    <t>the basis of the methodology used</t>
  </si>
  <si>
    <t>by erosion</t>
  </si>
  <si>
    <t>UDP</t>
  </si>
  <si>
    <t>The west side of Fresno is the center of which ethnic community?</t>
  </si>
  <si>
    <t>Other than Universal and Warner Brothers, what other company runs a major record company?</t>
  </si>
  <si>
    <t>The neighborhood features restaurants, live theater and nightclubs, as well as several independent shops and bookstores, currently operating on or near Olive Avenue, and all within a few hundred feet of each other. Since renewal, the Tower District has become an attractive area for restaurant and other local businesses. Today, the Tower District is also known as the center of Fresno's LGBT and hipster Communities.; Additionally, Tower District is also known as the center of Fresno's local punk/goth/deathrock and heavy metal community.[citation needed]</t>
  </si>
  <si>
    <t>How many homes did the Alta Vista Tract have five years after Billings &amp; Meyering acquired it?</t>
  </si>
  <si>
    <t>Who approved of this plan?</t>
  </si>
  <si>
    <t>What percentage of Victorians are Christian?</t>
  </si>
  <si>
    <t>parallel to the canalized Rhine into the lake.</t>
  </si>
  <si>
    <t>The 2013 series</t>
  </si>
  <si>
    <t>last statement</t>
  </si>
  <si>
    <t>1421 to 1904</t>
  </si>
  <si>
    <t>Temujin's mother</t>
  </si>
  <si>
    <t>Oriental Institute</t>
  </si>
  <si>
    <t>From what distance could the artificial thunder be heard.</t>
  </si>
  <si>
    <t>lower price models</t>
  </si>
  <si>
    <t>What was the programming philosophy pioneered by ABC and Goldenson?</t>
  </si>
  <si>
    <t xml:space="preserve"> When was the Single European Act made?</t>
  </si>
  <si>
    <t>meaning that all who are truly believers in every age belong to the holy Church invisible</t>
  </si>
  <si>
    <t>Newcastle.</t>
  </si>
  <si>
    <t>a customs union, and the principle of non-discrimination</t>
  </si>
  <si>
    <t>What was the name of the first Huguenot church in the New World?</t>
  </si>
  <si>
    <t>On June 4, 2014, the NFL announced that the practice of branding Super Bowl games with Roman numerals, a practice established at Super Bowl V, would be temporarily suspended, and that the game would be named using Arabic numerals as Super Bowl 50 as opposed to Super Bowl L. The use of Roman numerals will be reinstated for Super Bowl LI. Jaime Weston, the league's vice president of brand and creative, explained that a primary reason for the change was the difficulty of designing an aesthetically pleasing logo with the letter "L" using the standardized logo template introduced at Super Bowl XLV. The logo also deviates from the template by featuring large numerals, colored in gold, behind the Vince Lombardi Trophy, instead of underneath and in silver as in the standard logo.</t>
  </si>
  <si>
    <t>Royal Ujazdów</t>
  </si>
  <si>
    <t>1622</t>
  </si>
  <si>
    <t>Besides viniculture, what's a dominant economic sector of the Middle Rhine?</t>
  </si>
  <si>
    <t>What phenomenon has led to criticism?</t>
  </si>
  <si>
    <t>The Better Jacksonville Plan</t>
  </si>
  <si>
    <t>Pauli exclusion principle</t>
  </si>
  <si>
    <t>stream capture</t>
  </si>
  <si>
    <t>evaluates learning levels in rural India</t>
  </si>
  <si>
    <t>About how much did a New York City day school cost annually in 2012?</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</si>
  <si>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</si>
  <si>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primary law, secondary law and supplementary law</t>
  </si>
  <si>
    <t>a variety of different illegal acts</t>
  </si>
  <si>
    <t>Who are the un-elected subordinates of member state governments?</t>
  </si>
  <si>
    <t>highly diversified</t>
  </si>
  <si>
    <t>Who did George Westinghouse beat out to light the World's Columbian Exposition?</t>
  </si>
  <si>
    <t>Who wrote that imperialism is the highest stage of capitalism?</t>
  </si>
  <si>
    <t>When did Galor and Zeria show new information about inequality?</t>
  </si>
  <si>
    <t>The Rhine redistributes into the Ijssel and what other body?</t>
  </si>
  <si>
    <t>1013</t>
  </si>
  <si>
    <t>the qu</t>
  </si>
  <si>
    <t>Seljuk Turks</t>
  </si>
  <si>
    <t>green algal</t>
  </si>
  <si>
    <t>Clergy usually serve as what in local congregations?</t>
  </si>
  <si>
    <t>high school</t>
  </si>
  <si>
    <t>After the merger between ABC and Capital Cities, who became the vice president of ABC broadcasting?</t>
  </si>
  <si>
    <t>What is Warsaw's name in the Polish language?</t>
  </si>
  <si>
    <t>Diatomic oxygen</t>
  </si>
  <si>
    <t>shipbuilding</t>
  </si>
  <si>
    <t xml:space="preserve">When did Levi's stadium open to the public? </t>
  </si>
  <si>
    <t>long, slender tentacles</t>
  </si>
  <si>
    <t>more than $45,000</t>
  </si>
  <si>
    <t>the lack of a Parliament of Scotland</t>
  </si>
  <si>
    <t>ocean liners</t>
  </si>
  <si>
    <t>Super_Bowl_50</t>
  </si>
  <si>
    <t>College sports are also popular in southern California. The UCLA Bruins and the USC Trojans both field teams in NCAA Division I in the Pac-12 Conference, and there is a longtime rivalry between the schools.</t>
  </si>
  <si>
    <t>recent anthropological</t>
  </si>
  <si>
    <t>EXPTIME</t>
  </si>
  <si>
    <t>What year marked the lowest ratings for the drama Lost?</t>
  </si>
  <si>
    <t>ITV Digital</t>
  </si>
  <si>
    <t>combs</t>
  </si>
  <si>
    <t>self-starting</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</si>
  <si>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</si>
  <si>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The region is home to about 2.5 million insect species, tens of thousands of plants, and some 2,000 birds and mammals. To date, at least 40,000 plant species, 2,200 fishes, 1,294 birds, 427 mammals, 428 amphibians, and 378 reptiles have been scientifically classified in the region. One in five of all the bird species in the world live in the rainforests of the Amazon, and one in five of the fish species live in Amazonian rivers and streams. Scientists have described between 96,660 and 128,843 invertebrate species in Brazil alone.</t>
  </si>
  <si>
    <t>Who was responsible for the decorations of the Grill Room?</t>
  </si>
  <si>
    <t>left Graz</t>
  </si>
  <si>
    <t>What was the name of the 3D system effect in Dimension in Time?</t>
  </si>
  <si>
    <t>cryptomonads</t>
  </si>
  <si>
    <t>Who scolded Luther about his rudeness?</t>
  </si>
  <si>
    <t>bad publicity</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</si>
  <si>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</si>
  <si>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If the apparant force of two fermions is attractive, what is the spin function?</t>
  </si>
  <si>
    <t>1938</t>
  </si>
  <si>
    <t>Research shows that student motivation and attitudes towards school are closely linked to student-teacher relationships. Enthusiastic teachers are particularly good at creating beneficial relations with their students. Their ability to create effective learning environments that foster student achievement depends on the kind of relationship they build with their students. Useful teacher-to-student interactions are crucial in linking academic success with personal achievement. Here, personal success is a student's internal goal of improving himself, whereas academic success includes the goals he receives from his superior. A teacher must guide his student in aligning his personal goals with his academic goals. Students who receive this positive influence show stronger self-confidence and greater personal and academic success than those without these teacher interactions.</t>
  </si>
  <si>
    <t>The phrase "Hiding behind (or 'watching from behind') the sofa" entered British pop culture, signifying in humour the stereotypical early-series behaviour of children who wanted to avoid seeing frightening parts of a television programme while remaining in the room to watch the remainder of it. The phrase retains this association with Doctor Who, to the point that in 1991 the Museum of the Moving Image in London named their exhibition celebrating the programme "Behind the Sofa". The electronic theme music too was perceived as eerie, novel, and frightening, at the time. A 2012 article placed this childhood juxtaposition of fear and thrill "at the center of many people's relationship with the show", and a 2011 online vote at Digital Spy deemed the series the "scariest TV show of all time".</t>
  </si>
  <si>
    <t>What was the most notable publication of Tugh's academy?</t>
  </si>
  <si>
    <t>ascetic life of the medieval religious orders</t>
  </si>
  <si>
    <t>Lunar Reconnaissance Orbiter</t>
  </si>
  <si>
    <t>achievement-oriented motivations</t>
  </si>
  <si>
    <t>What are the antimicrobial peptides that are the main form of invertebrate systemic immunity called?</t>
  </si>
  <si>
    <t>the urbanization of the city</t>
  </si>
  <si>
    <t>Messiaen says that composition with prime numbers was inspired by what?</t>
  </si>
  <si>
    <t>the Treaty on European Union (TEU) and the Treaty on the Functioning of the European Union (TFEU)</t>
  </si>
  <si>
    <t>the Financial Regulations and Rules of the WMO</t>
  </si>
  <si>
    <t>Associate Membership</t>
  </si>
  <si>
    <t>How did the revocation restrict Huguenot travel?</t>
  </si>
  <si>
    <t>14</t>
  </si>
  <si>
    <t>Cambrian period.</t>
  </si>
  <si>
    <t>What property of the harmonic series 1 + 1/2 + 1/3 + 1/4 + ... shows that there is an infinite number of primes?</t>
  </si>
  <si>
    <t>one (or more) of the departments (or ministries) of the Scottish Government</t>
  </si>
  <si>
    <t>How often must local lay servant reapply?</t>
  </si>
  <si>
    <t>What was Tesla's father's name?</t>
  </si>
  <si>
    <t>wars and "violent economic and political shocks"</t>
  </si>
  <si>
    <t>2014.</t>
  </si>
  <si>
    <t>the Anglo-Saxons</t>
  </si>
  <si>
    <t>Miller-Rabin</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</si>
  <si>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</si>
  <si>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Who was the 4th to rule the Yuan dynasty?</t>
  </si>
  <si>
    <t>Where were French North Americans settled?</t>
  </si>
  <si>
    <t>11 million customers</t>
  </si>
  <si>
    <t>What position does Jerricho Cotchery play?</t>
  </si>
  <si>
    <t>When Sky Digital was launched in 1998 the new service used the Astra 2A satellite which was located at the 28.5°E orbital position, unlike the analogue service which was broadcast from 19.2°E. This was subsequently followed by more Astra satellites as well as Eutelsat's Eurobird 1 (now Eutelsat 33C) at 28.5°E), enabled the company to launch a new all-digital service, Sky, with the potential to carry hundreds of television and radio channels. The old position was shared with broadcasters from several European countries, while the new position at 28.5°E came to be used almost exclusively for channels that broadcast to the United Kingdom.</t>
  </si>
  <si>
    <t>Leopold Kronenberg Palace</t>
  </si>
  <si>
    <t>substantially increasing the atmospheric concentrations</t>
  </si>
  <si>
    <t>Matthew Murray</t>
  </si>
  <si>
    <t>Cybermen</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</si>
  <si>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</si>
  <si>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Two fundamental differences involved the division of functions and tasks between the hosts at the edge of the network and the network core</t>
  </si>
  <si>
    <t>Britain gained control of French Canada and Acadia, colonies containing approximately 80,000 primarily French-speaking Roman Catholic residents. The deportation of Acadians beginning in 1755 resulted in land made available to migrants from Europe and the colonies further south. The British resettled many Acadians throughout its North American provinces, but many went to France, and some went to New Orleans, which they had expected to remain French. Some were sent to colonize places as diverse as French Guiana and the Falkland Islands; these latter efforts were unsuccessful. Others migrated to places like Saint-Domingue, and fled to New Orleans after the Haitian Revolution. The Louisiana population contributed to the founding of the modern Cajun population. (The French word "Acadien" evolved to "Cadien", then to "Cajun".)</t>
  </si>
  <si>
    <t>furnished two new regiments of his army</t>
  </si>
  <si>
    <t>Serbian</t>
  </si>
  <si>
    <t>read it without hindrance</t>
  </si>
  <si>
    <t>What was the museum originally called?</t>
  </si>
  <si>
    <t xml:space="preserve">Which archaeologist proposed the idea that the Amazon rainforest couldn't sustain large populations? </t>
  </si>
  <si>
    <t>student populations</t>
  </si>
  <si>
    <t>In Latin America what is the most revered skin color?</t>
  </si>
  <si>
    <t>Joseph Black</t>
  </si>
  <si>
    <t>What did Sasse proclaim Luther to be?</t>
  </si>
  <si>
    <t>framework</t>
  </si>
  <si>
    <t>substitution of capital equipment for labor</t>
  </si>
  <si>
    <t>Which year resulted in the suspension of one of the two soccer teams?</t>
  </si>
  <si>
    <t>survivable communications networks</t>
  </si>
  <si>
    <t>What publication printed that the wealthiest 1% have more money than those in the bottom 90%?</t>
  </si>
  <si>
    <t>San Jose State</t>
  </si>
  <si>
    <t>What year did Doctor Who win a Peabody award?</t>
  </si>
  <si>
    <t>melanocytes</t>
  </si>
  <si>
    <t>1962</t>
  </si>
  <si>
    <t>the Festival of Britain</t>
  </si>
  <si>
    <t>experience and extra responsibilities</t>
  </si>
  <si>
    <t>Fresno Street and Thorne Ave</t>
  </si>
  <si>
    <t>The National Art Library (also called Word and Image Department) at the Victoria and Albert Museum collection catalog used to be kept in different formats including printed exhibit catalogs, and card catalogs. A computer system called MODES cataloging system was used from the 1980s to the 1990s, but those electronic files were not available to the library users. All of the archival material at the National Art Library is using Encoded Archival Description (EAD). The Victoria and Albert Museum has a computer system but most of the items in the collection, unless those were newly accessioned into the collection, probably do not show up in the computer system. There is a feature on the Victoria and Albert Museum web-site called "Search the Collections," but not everything is listed there.</t>
  </si>
  <si>
    <t>Salaries for primary teachers in Ireland depend mainly on seniority (i.e. holding the position of principal, deputy principal or assistant principal), experience and qualifications. Extra pay is also given for teaching through the Irish language, in a Gaeltacht area or on an island. The basic pay for a starting teacher is €27,814 p.a., rising incrementally to €53,423 for a teacher with 25 years service. A principal of a large school with many years experience and several qualifications (M.A., H.Dip., etc.) could earn over €90,000.</t>
  </si>
  <si>
    <t>a glass case suspended from the lid</t>
  </si>
  <si>
    <t>What natives were displaced by British takeover in Florida?</t>
  </si>
  <si>
    <t>What did Tesla Electric Light &amp; Manufacturing do?</t>
  </si>
  <si>
    <t>In 1962, who was responsible for the authorship of a paper published on real time-computations?</t>
  </si>
  <si>
    <t xml:space="preserve">What is the French name for the Rhine? </t>
  </si>
  <si>
    <t>How were enemy prisoners used tactically by Mongol armies?</t>
  </si>
  <si>
    <t>carboxysome</t>
  </si>
  <si>
    <t>Zwickau prophets</t>
  </si>
  <si>
    <t>A forced trade agreement between two countries would be an example of what?</t>
  </si>
  <si>
    <t>What do electrostatic gradiient potentials create?</t>
  </si>
  <si>
    <t>What project put the first Americans into space?</t>
  </si>
  <si>
    <t>What was Norman Cantor's theory about the plague?</t>
  </si>
  <si>
    <t>granted the Protestants equality with Catholics under the throne and a degree of religious and political freedom within their domains</t>
  </si>
  <si>
    <t>Art Library</t>
  </si>
  <si>
    <t>Scottish Government</t>
  </si>
  <si>
    <t>the study of rocks</t>
  </si>
  <si>
    <t>What would a parent have to pay to send their child to a boarding school in 2012?</t>
  </si>
  <si>
    <t>What might offering bonuses help reduce?</t>
  </si>
  <si>
    <t>John Schmitt and Ben Zipperer (2006) of the CEPR point to economic liberalism and the reduction of business regulation along with the decline of union membership as one of the causes of economic inequality. In an analysis of the effects of intensive Anglo-American liberal policies in comparison to continental European liberalism, where unions have remained strong, they concluded "The U.S.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U.S.-style labor-market flexibility dramatically improves labor-market outcomes. Despite popular prejudices to the contrary, the U.S. economy consistently affords a lower level of economic mobility than all the continental European countries for which data is available."</t>
  </si>
  <si>
    <t>Ogedei</t>
  </si>
  <si>
    <t>What process is responsible for the planet's oxygen content?</t>
  </si>
  <si>
    <t>Tesla's demonstration of his induction motor and Westinghouse's subsequent licensing of the patent, both in 1888, put Tesla firmly on the "AC" side of the so-called "War of Currents," an electrical distribution battle being waged between Thomas Edison and George Westinghouse that had been simmering since Westinghouse's first AC system in 1886 and had reached the point of all-out warfare by 1888. This started out as a competition between rival lighting systems with Edison holding all the patents for DC and the incandescent light and Westinghouse using his own patented AC system to power arc lights as well as incandescent lamps of a slightly different design to get around the Edison patent. The acquisition of a feasible AC motor gave Westinghouse a key patent in building a completely integrated AC system, but the financial strain of buying up patents and hiring the engineers needed to build it meant development of Tesla's motor had to be put on hold for a while. The competition resulted in Edison Machine Works pursuing AC development in 1890 and by 1892 Thomas Edison was no longer in control of his own company, which was consolidated into the conglomerate General Electric and converting to an AC delivery system at that point.</t>
  </si>
  <si>
    <t>national foreign policy</t>
  </si>
  <si>
    <t>Central Secretariat</t>
  </si>
  <si>
    <t>Who was Jacksonville's mayor at the time of the consolidation?</t>
  </si>
  <si>
    <t>1806-07.</t>
  </si>
  <si>
    <t xml:space="preserve">How long is the Rhine? </t>
  </si>
  <si>
    <t>Where did the genoese traders bring the plague?</t>
  </si>
  <si>
    <t>twice the thrust</t>
  </si>
  <si>
    <t>How many Huguenots were killed in Toulouse?</t>
  </si>
  <si>
    <t>Where is a teacher most likely to be teaching at?</t>
  </si>
  <si>
    <t>in no way</t>
  </si>
  <si>
    <t>Breast milk</t>
  </si>
  <si>
    <t>Doctor Who</t>
  </si>
  <si>
    <t>Catholicism</t>
  </si>
  <si>
    <t>divergence problem</t>
  </si>
  <si>
    <t>Houston, Texas</t>
  </si>
  <si>
    <t>I feel I did the right thing by violating this particular law</t>
  </si>
  <si>
    <t>Palace of Culture and Science</t>
  </si>
  <si>
    <t>What player did the field problem at Levi's stadium affect for a field goal in week six of the regular season?</t>
  </si>
  <si>
    <t>What was the average cost of a 30-second commercial?</t>
  </si>
  <si>
    <t>In what districts are the registration numbers for cars all of the same type?</t>
  </si>
  <si>
    <t>How many types of thylakoids are there?</t>
  </si>
  <si>
    <t>new and enlarged bridges, a shuttle service and/or a tram.</t>
  </si>
  <si>
    <t>What was the hymn based on?</t>
  </si>
  <si>
    <t>in the 16th century</t>
  </si>
  <si>
    <t>wages</t>
  </si>
  <si>
    <t>Which French composer wrote ametrical music using prime numbers?</t>
  </si>
  <si>
    <t>What complexity class is commonly characterized by unknown algorithms to enhance solvability?</t>
  </si>
  <si>
    <t>killer cell immunoglobulin</t>
  </si>
  <si>
    <t>through phowa and siddhi</t>
  </si>
  <si>
    <t>What term referred to middle class citizens leaving the suburbs?</t>
  </si>
  <si>
    <t>What does the Discovery Museum draw attention to?</t>
  </si>
  <si>
    <t>Who conducted the 2011 online vote?</t>
  </si>
  <si>
    <t>Civil_disobedience</t>
  </si>
  <si>
    <t>Who would decide on the curricula that is consistent and standard?</t>
  </si>
  <si>
    <t>When was Time Warner cable forced to restore ABC stations to affected markets?</t>
  </si>
  <si>
    <t>What two other rulers had their graves hidden under a river?</t>
  </si>
  <si>
    <t>How was the fate of Luther decided?</t>
  </si>
  <si>
    <t>prime</t>
  </si>
  <si>
    <t>Who destroyed the most valuable relics in the mausoleum during the Cultural Revolution?</t>
  </si>
  <si>
    <t>Which direction did Romans use to drift through the Rhine?</t>
  </si>
  <si>
    <t>Dublin, Cork, Portarlington, Lisburn, Waterford and Youghal</t>
  </si>
  <si>
    <t>Apollo 5 (AS-204) was the first unmanned test flight of LM in Earth orbit, launched from pad 37 on January 22, 1968, by the Saturn IB that would have been used for Apollo 1. The LM engines were successfully test-fired and restarted, despite a computer programming error which cut short the first descent stage firing. The ascent engine was fired in abort mode, known as a "fire-in-the-hole" test, where it was lit simultaneously with jettison of the descent stage. Although Grumman wanted a second unmanned test, George Low decided the next LM flight would be manned.</t>
  </si>
  <si>
    <t>up to 2% higher</t>
  </si>
  <si>
    <t>four stories high</t>
  </si>
  <si>
    <t>Supplies from Jacksonville were in support of which faction in the Civil War?</t>
  </si>
  <si>
    <t>Nonverbal expressions resulted in what kind of levels of motivation to learn?</t>
  </si>
  <si>
    <t>2.5 billion years ago during the Great Oxygenation Event</t>
  </si>
  <si>
    <t>What often affects or facilitates ease of analysis in computational problems?</t>
  </si>
  <si>
    <t>Marshall Field</t>
  </si>
  <si>
    <t>7 million</t>
  </si>
  <si>
    <t>self-study and problem solving</t>
  </si>
  <si>
    <t>In what year did Harvard and Radcliffe admissions merge?</t>
  </si>
  <si>
    <t>What would Mongol armies divert in order to cut off the resources of cities they were attacking?</t>
  </si>
  <si>
    <t>What is a statocyst?</t>
  </si>
  <si>
    <t>Americans</t>
  </si>
  <si>
    <t>Australian Greens</t>
  </si>
  <si>
    <t>conquering the other state's lands</t>
  </si>
  <si>
    <t>Which party is strongest in Victoria's northwestern and eastern regions?</t>
  </si>
  <si>
    <t>further corrosion</t>
  </si>
  <si>
    <t>What is Norman art's most well known piece?</t>
  </si>
  <si>
    <t>the twin prime conjecture</t>
  </si>
  <si>
    <t>black earth</t>
  </si>
  <si>
    <t xml:space="preserve">What did Saudi Arabia try to repress to compensate for its loss of stature? </t>
  </si>
  <si>
    <t>free</t>
  </si>
  <si>
    <t>cannot be earned</t>
  </si>
  <si>
    <t>Crash the Super Bowl</t>
  </si>
  <si>
    <t>Louis XIII</t>
  </si>
  <si>
    <t>When did he first mention wireless communication?</t>
  </si>
  <si>
    <t>Who is responsible for education in the country of Australia?</t>
  </si>
  <si>
    <t>What is the only district in the CBD to not have "downtown" in it's name?</t>
  </si>
  <si>
    <t>What is gravitational acceleration proportional to?</t>
  </si>
  <si>
    <t>Apollo 1</t>
  </si>
  <si>
    <t>distributive efficiency</t>
  </si>
  <si>
    <t>larger fortunes</t>
  </si>
  <si>
    <t>elect and appoint bishops</t>
  </si>
  <si>
    <t>splashdown</t>
  </si>
  <si>
    <t>25</t>
  </si>
  <si>
    <t>northeast</t>
  </si>
  <si>
    <t>Cisco Systems company</t>
  </si>
  <si>
    <t>horrible wars</t>
  </si>
  <si>
    <t>What alumni member also write the bestseller Before I Fall?</t>
  </si>
  <si>
    <t>Austria to the East.</t>
  </si>
  <si>
    <t>What is a fundamentalist interpretation of Islam called?</t>
  </si>
  <si>
    <t>Brandon Marshall</t>
  </si>
  <si>
    <t>90.20 K (−182.95 °C, −297.31 °F)</t>
  </si>
  <si>
    <t>Reconstruction and the Gilded Age</t>
  </si>
  <si>
    <t>RNA interference pathway</t>
  </si>
  <si>
    <t>the instance</t>
  </si>
  <si>
    <t>intuition</t>
  </si>
  <si>
    <t>In Gebhard v Consiglio...Milano, the requirements to be registered in Milan before being able to practice law would be allowed under what conditions?</t>
  </si>
  <si>
    <t>nine months</t>
  </si>
  <si>
    <t>Who became the first African Americans ordained by the Methodist Church?</t>
  </si>
  <si>
    <t>Which descendants of Genghis Khan tried to dissociate themselves from the Mongol massacres in the Middle East?</t>
  </si>
  <si>
    <t>Who analyzed Tesla's belongings?</t>
  </si>
  <si>
    <t>Although some Acadians went to France and other destiantions, what North American city did many move to?</t>
  </si>
  <si>
    <t>Warsaw City Council</t>
  </si>
  <si>
    <t>Epoxides</t>
  </si>
  <si>
    <t>Which famous Germain Renaissance painter and printmaker is represented in the drawings collection of the V&amp;A?</t>
  </si>
  <si>
    <t>unbalanced centripetal force</t>
  </si>
  <si>
    <t>The plague theory was first significantly challenged by the work of British bacteriologist J. F. D. Shrewsbury in 1970, who noted that the reported rates of mortality in rural areas during the 14th-century pandemic were inconsistent with the modern bubonic plague, leading him to conclude that contemporary accounts were exaggerations. In 1984 zoologist Graham Twigg produced the first major work to challenge the bubonic plague theory directly, and his doubts about the identity of the Black Death have been taken up by a number of authors, including Samuel K. Cohn, Jr. (2002), David Herlihy (1997), and Susan Scott and Christopher Duncan (2001).</t>
  </si>
  <si>
    <t>Williamite</t>
  </si>
  <si>
    <t>The earliest known movie featuring some exterior scenes filmed in the city is On the Night of the Fire (1939), though by and large the action is studio-bound. Later came The Clouded Yellow (1951) and Payroll (1961), both of which feature more extensive scenes filmed in the city. The 1971 film Get Carter was shot on location in and around Newcastle and offers an opportunity to see what Newcastle looked like in the 1960s and early 1970s. The city was also backdrop to another gangster film, the 1988 film noir thriller Stormy Monday, directed by Mike Figgis and starring Tommy Lee Jones, Melanie Griffith, Sting and Sean Bean.</t>
  </si>
  <si>
    <t>What is the name of a teacher in Tibetan Buddhism?</t>
  </si>
  <si>
    <t>How long does it take to know the outcome of a division?</t>
  </si>
  <si>
    <t>rediscovery of "Christ and His salvation"</t>
  </si>
  <si>
    <t>on indulgences for the living</t>
  </si>
  <si>
    <t>December 28, 2015</t>
  </si>
  <si>
    <t>not benefitting Scotland as much as they should</t>
  </si>
  <si>
    <t>360-degree</t>
  </si>
  <si>
    <t>James Wolfe</t>
  </si>
  <si>
    <t>Who was a prominent Huguenot in Holland?</t>
  </si>
  <si>
    <t>graph isomorphism problem, the discrete logarithm problem and the integer factorization problem</t>
  </si>
  <si>
    <t>stagnant</t>
  </si>
  <si>
    <t>early 1950s</t>
  </si>
  <si>
    <t>the same</t>
  </si>
  <si>
    <t>some debate that there is a correlation between capitalism, imperialism, and what?</t>
  </si>
  <si>
    <t>from January 1964, until it achieved the first manned landing in July 1969</t>
  </si>
  <si>
    <t>1 or 0</t>
  </si>
  <si>
    <t>A computational problem</t>
  </si>
  <si>
    <t>Agassiz's approach to science combined observation and what?</t>
  </si>
  <si>
    <t>the Charter of Fundamental Rights of the European Union of 7</t>
  </si>
  <si>
    <t>procedural consequence</t>
  </si>
  <si>
    <t>Dallas</t>
  </si>
  <si>
    <t>a DC traction motor</t>
  </si>
  <si>
    <t>arrived too late</t>
  </si>
  <si>
    <t>Who else did Luther use violent rhetoric towards?</t>
  </si>
  <si>
    <t>What are there no longer limitations on since 1990?</t>
  </si>
  <si>
    <t>authoring hymns</t>
  </si>
  <si>
    <t>What country is this statistic for?</t>
  </si>
  <si>
    <t>single-tape Turing machines</t>
  </si>
  <si>
    <t>Judiciary</t>
  </si>
  <si>
    <t>What shape of space did Tesla consider a "false conception"?</t>
  </si>
  <si>
    <t>specific catechism questions</t>
  </si>
  <si>
    <t>These studies were widely presented as demonstrating that the current warming period is exceptional in comparison to temperatures between 1000 and 1900, and the MBH99 based graph featured in publicity. Even at the draft stage, this finding was disputed by contrarians: in May 2000 Fred Singer's Science and Environmental Policy Project held a press event on Capitol Hill, Washington, D.C., featuring comments on the graph Wibjörn Karlén and Singer argued against the graph at a United States Senate Committee on Commerce, Science and Transportation hearing on 18 July 2000. Contrarian John Lawrence Daly featured a modified version of the IPCC 1990 schematic, which he mis-identified as appearing in the IPCC 1995 report, and argued that "Overturning its own previous view in the 1995 report, the IPCC presented the 'Hockey Stick' as the new orthodoxy with hardly an apology or explanation for the abrupt U-turn since its 1995 report". Criticism of the MBH99 reconstruction in a review paper, which was quickly discredited in the Soon and Baliunas controversy, was picked up by the Bush administration, and a Senate speech by US Republican senator James Inhofe alleged that "manmade global warming is the greatest hoax ever perpetrated on the American people". The data and methodology used to produce the "hockey stick graph" was criticized in papers by Stephen McIntyre and Ross McKitrick, and in turn the criticisms in these papers were examined by other studies and comprehensively refuted by Wahl &amp; Ammann 2007, which showed errors in the methods used by McIntyre and McKitrick.</t>
  </si>
  <si>
    <t>0.5–1.4 m [50–140 cm]</t>
  </si>
  <si>
    <t>What is Psalm 31:5?</t>
  </si>
  <si>
    <t>Charles</t>
  </si>
  <si>
    <t>Where is the chloroplast polypeptide synthesized?</t>
  </si>
  <si>
    <t>Like mitochondria, chloroplasts use the potential energy stored in an H+, or hydrogen ion gradient to generate ATP energy. The two photosystems capture light energy to energize electrons taken from water, and release them down an electron transport chain. The molecules between the photosystems harness the electrons' energy to pump hydrogen ions into the thylakoid space, creating a concentration gradient, with more hydrogen ions (up to a thousand times as many) inside the thylakoid system than in the stroma. The hydrogen ions in the thylakoid space then diffuse back down their concentration gradient, flowing back out into the stroma through ATP synthase. ATP synthase uses the energy from the flowing hydrogen ions to phosphorylate adenosine diphosphate into adenosine triphosphate, or ATP. Because chloroplast ATP synthase projects out into the stroma, the ATP is synthesized there, in position to be used in the dark reactions.</t>
  </si>
  <si>
    <t>antisymmetric</t>
  </si>
  <si>
    <t>What was the occupation of Doctor Who's other (non-related) companions?</t>
  </si>
  <si>
    <t>Medium Term Plan</t>
  </si>
  <si>
    <t>through the port of Marseille around November 1347</t>
  </si>
  <si>
    <t>piranha</t>
  </si>
  <si>
    <t>In what year were two Block I CSMs launched?</t>
  </si>
  <si>
    <t>Planet of Giants</t>
  </si>
  <si>
    <t>What is St. John's Cathedral an example of, stylistically?</t>
  </si>
  <si>
    <t>connection id</t>
  </si>
  <si>
    <t>In 1500 AD how many people were believed to have lived in the Amazon region?</t>
  </si>
  <si>
    <t>several regional colleges and universities</t>
  </si>
  <si>
    <t>Super Bowl XLVII</t>
  </si>
  <si>
    <t>Metropolitan Statistical Areas</t>
  </si>
  <si>
    <t>What began in 1527 when Luther introdued the new order of worship?</t>
  </si>
  <si>
    <t>New Testament</t>
  </si>
  <si>
    <t>additional membranes outside of the original two</t>
  </si>
  <si>
    <t>360</t>
  </si>
  <si>
    <t>Costiff</t>
  </si>
  <si>
    <t>The UMC teaches that pornography is about what?</t>
  </si>
  <si>
    <t>all in his mind</t>
  </si>
  <si>
    <t>difference</t>
  </si>
  <si>
    <t>feeder materials</t>
  </si>
  <si>
    <t>The fucoxanthin dinophyte lineages (including Karlodinium and Karenia) lost their original red algal derived chloroplast, and replaced it with a new chloroplast derived from a haptophyte endosymbiont. Karlodinium and Karenia probably took up different heterokontophytes. Because the haptophyte chloroplast has four membranes, tertiary endosymbiosis would be expected to create a six membraned chloroplast, adding the haptophyte's cell membrane and the dinophyte's phagosomal vacuole. However, the haptophyte was heavily reduced, stripped of a few membranes and its nucleus, leaving only its chloroplast (with its original double membrane), and possibly one or two additional membranes around it.</t>
  </si>
  <si>
    <t>Bishop Reuben H. Mueller</t>
  </si>
  <si>
    <t>strange odor</t>
  </si>
  <si>
    <t>What kind of diseases do drugs target apicoplasts for?</t>
  </si>
  <si>
    <t>What were the first two stations to carry ABC's programming?</t>
  </si>
  <si>
    <t>In some rural areas in the United Kingdom</t>
  </si>
  <si>
    <t>Newcomen's and Watt's</t>
  </si>
  <si>
    <t>How many rows of combs are there?</t>
  </si>
  <si>
    <t>types of reductions</t>
  </si>
  <si>
    <t>algae</t>
  </si>
  <si>
    <t>prokaryotes</t>
  </si>
  <si>
    <t>1 million</t>
  </si>
  <si>
    <t>What group is Newcastle native Andy Taylor the former lead guitarist of?</t>
  </si>
  <si>
    <t>Who were the Semuren?</t>
  </si>
  <si>
    <t>Lorentz's Law</t>
  </si>
  <si>
    <t>also called "ctenes" or "comb plates</t>
  </si>
  <si>
    <t>The high cost of medications and drug-related technology</t>
  </si>
  <si>
    <t>between the modern Baden and Württemberg</t>
  </si>
  <si>
    <t>Who handled the play-by-play for WBT?</t>
  </si>
  <si>
    <t>glass case</t>
  </si>
  <si>
    <t>Who did Luther banish?</t>
  </si>
  <si>
    <t>Deacons serve a term of how many years as provisional deacons?</t>
  </si>
  <si>
    <t>many places</t>
  </si>
  <si>
    <t>1862</t>
  </si>
  <si>
    <t>a hemicycle</t>
  </si>
  <si>
    <t>at the right bank of the Vistula, by the eastern border of Warsaw</t>
  </si>
  <si>
    <t>compensation pools</t>
  </si>
  <si>
    <t>Where was the Rhine regulated with a lower canal?</t>
  </si>
  <si>
    <t>William P. Bell</t>
  </si>
  <si>
    <t>another photosynthesis-depressing factor</t>
  </si>
  <si>
    <t>What level of economic mobility does the U.S. economy have compared to European countries?</t>
  </si>
  <si>
    <t>12 television stations</t>
  </si>
  <si>
    <t>What was the first public building to be lit by electric light in Newcastle?</t>
  </si>
  <si>
    <t>all who are truly believers in every age belong to the holy Church invisible, while the United Methodist Church is a branch of the Church visible,</t>
  </si>
  <si>
    <t>a finite value</t>
  </si>
  <si>
    <t>Jackson</t>
  </si>
  <si>
    <t>What is one of the first responses the immune system has to infection?</t>
  </si>
  <si>
    <t>In the fall of 1937, after midnight one night, Tesla left the Hotel New Yorker to make his regular commute to the cathedral and the library to feed the pigeons. While crossing a street a couple of blocks from the hotel, Tesla was unable to dodge a moving taxicab and was thrown heavily to the ground. Tesla's back was severely wrenched and three of his ribs were broken in the accident (the full extent of his injuries will never be known; Tesla refused to consult a doctor—an almost lifelong custom). Tesla didn't raise any question as to who was at fault and refused medical aid, only asking to be taken to his hotel via cab. Tesla was bedridden for some months and was unable to continue feeding pigeons from his window; soon, they failed to come. In early 1938, Tesla was able to get up. He at once resumed the pigeon-feeding walks on a much more limited scale, but frequently had a messenger act for him.</t>
  </si>
  <si>
    <t>Port of San Diego</t>
  </si>
  <si>
    <t>Christianity and French culture</t>
  </si>
  <si>
    <t>Who had mathmatical insite?</t>
  </si>
  <si>
    <t>The hydrography of the current delta is characterized by the delta's main arms, disconnected arms (Hollandse IJssel, Linge, Vecht, etc.) and smaller rivers and streams. Many rivers have been closed ("dammed")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t>
  </si>
  <si>
    <t>Book of Common Prayer</t>
  </si>
  <si>
    <t>"ctenes" or "comb plates"</t>
  </si>
  <si>
    <t>Chevrolet Bel Air</t>
  </si>
  <si>
    <t>The invasions of Baghdad, Samarkand, Urgench, Kiev, Vladimir among others caused mass murders, such as when portions of southern Khuzestan were completely destroyed. His descendant Hulagu Khan destroyed much of Iran's northern part and sacked Baghdad although his forces were halted by the Mamluks of Egypt, but Hulagu's descendant Ghazan Khan would return to beat the Egyptian Mamluks right out of Levant, Palestine and even Gaza. According to the works of the Persian historian Rashid-al-Din Hamadani, the Mongols killed more than 70,000 people in Merv and more than 190,000 in Nishapur. In 1237 Batu Khan, a grandson of Genghis Khan, launched an invasion into Kievan Rus'. Over the course of three years, the Mongols destroyed and annihilated all of the major cities of Eastern Europe with the exceptions of Novgorod and Pskov.</t>
  </si>
  <si>
    <t>Where did the ABC New York flagship stations move their facilities to in 1953?</t>
  </si>
  <si>
    <t>How many seats does Victoria have in the Australian House of Representatives?</t>
  </si>
  <si>
    <t>violent Sunni extremist groups such as Al-Qaeda and the Taliban</t>
  </si>
  <si>
    <t>How long was he bedridden with cholera?</t>
  </si>
  <si>
    <t>Who used imperialism during their rule of the Mongol Empire?</t>
  </si>
  <si>
    <t>How long did Tesla hold this position?</t>
  </si>
  <si>
    <t>What is the speed limit set to reduce consumption?</t>
  </si>
  <si>
    <t>What was the Seven Years War?</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</si>
  <si>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</si>
  <si>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theology and philosophy</t>
  </si>
  <si>
    <t>Slave craton in northwestern Canada</t>
  </si>
  <si>
    <t>Nationals</t>
  </si>
  <si>
    <t>Shiphrah and Puah</t>
  </si>
  <si>
    <t>sequence of mission types</t>
  </si>
  <si>
    <t>the Mojave Desert</t>
  </si>
  <si>
    <t>translation</t>
  </si>
  <si>
    <t>With International Criminal Court trial dates in 2013 for both President Kenyatta and Deputy President William Ruto related to the 2007 election aftermath, US President Barack Obama chose not to visit the country during his mid-2013 African trip. Later in the summer, Kenyatta visited China at the invitation of President Xi Jinping after a stop in Russia and not having visited the United States as president. In July 2015 Obama visited Kenya, as the first American president to visit the country while in office.</t>
  </si>
  <si>
    <t>What yard line did the Broncos stop the Panthers on in their first offensive drive of Super Bowl 50?</t>
  </si>
  <si>
    <t>carrots, turnips, new varieties of lemons, eggplants, and melons, high-quality granulated sugar, and cotton</t>
  </si>
  <si>
    <t>617 ft (</t>
  </si>
  <si>
    <t>actions-oriented</t>
  </si>
  <si>
    <t>What is another piece created by Olivier Messiaen?</t>
  </si>
  <si>
    <t>Which region invented the machine gun?</t>
  </si>
  <si>
    <t>Many construction companies are now placing more emphasis on what?</t>
  </si>
  <si>
    <t>2.5 million</t>
  </si>
  <si>
    <t>Why does the Rhine water fall into depths at the Rheinbrech?</t>
  </si>
  <si>
    <t>distinction</t>
  </si>
  <si>
    <t>Luther's disappearance</t>
  </si>
  <si>
    <t>supplant it.</t>
  </si>
  <si>
    <t>the difference in potential energy</t>
  </si>
  <si>
    <t>school</t>
  </si>
  <si>
    <t>scientific evidence</t>
  </si>
  <si>
    <t>Guglielmo Marconi</t>
  </si>
  <si>
    <t>relatively little work is required to drive the pump,</t>
  </si>
  <si>
    <t>United Paramount Theatres (UPT)</t>
  </si>
  <si>
    <t>What country has the most illiterate adults in the world?</t>
  </si>
  <si>
    <t>What denomination is the Diocesan School for Girls in Auckland affiliated with?</t>
  </si>
  <si>
    <t>thermodynamic</t>
  </si>
  <si>
    <t>a war erupted</t>
  </si>
  <si>
    <t>Santa Clara Marriott</t>
  </si>
  <si>
    <t>Advanced Steam</t>
  </si>
  <si>
    <t>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
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t>
  </si>
  <si>
    <t>2012 Act</t>
  </si>
  <si>
    <t>buildings, infrastructure and industrial</t>
  </si>
  <si>
    <t>The African Great Lakes region, which Kenya is a part of, has been inhabited by humans since the Lower Paleolithic period. By the first millennium AD, the Bantu expansion had reached the area from West-Central Africa. The borders of the modern state consequently comprise the crossroads of the Niger-Congo, Nilo-Saharan and Afroasiatic areas of the continent, representing most major ethnolinguistic groups found in Africa. Bantu and Nilotic populations together constitute around 97% of the nation's residents. European and Arab presence in coastal Mombasa dates to the Early Modern period; European exploration of the interior began in the 19th century. The British Empire established the East Africa Protectorate in 1895, which starting in 1920 gave way to the Kenya Colony. Kenya obtained independence in December 1963. Following a referendum in August 2010 and adoption of a new constitution, Kenya is now divided into 47 semi-autonomous counties, governed by elected governors.</t>
  </si>
  <si>
    <t>Dorothy and Michael Hintze</t>
  </si>
  <si>
    <t>Tibetan Buddhism</t>
  </si>
  <si>
    <t>William of Orange</t>
  </si>
  <si>
    <t>What did the acronym AAP stand for?</t>
  </si>
  <si>
    <t>What company owned NBC in the 1930s?</t>
  </si>
  <si>
    <t>What was developed from Watt's measurements on a model steam engine?</t>
  </si>
  <si>
    <t>In addition to recirculating water, what do condensers do?</t>
  </si>
  <si>
    <t>The Apollo program succeeded in achieving its goal of manned lunar landing, despite the major setback of a 1967 Apollo 1 cabin fire that killed the entire crew during a prelaunch test. After the first landing, sufficient flight hardware remained for nine follow-on landings with a plan for extended lunar geological and astrophysical exploration. Budget cuts forced the cancellation of three of these. Five of the remaining six missions achieved successful landings, but the Apollo 13 landing was prevented by an oxygen tank explosion in transit to the Moon, which disabled the command spacecraft's propulsion and life support. The crew returned to Earth safely by using the Lunar Module as a "lifeboat" for these functions.</t>
  </si>
  <si>
    <t>What was formed to introduce changes that would reflect the nation's sovereignty?</t>
  </si>
  <si>
    <t>cytokine TGF-β</t>
  </si>
  <si>
    <t>About how many of the Asian population was Hmong?</t>
  </si>
  <si>
    <t>Colts</t>
  </si>
  <si>
    <t>member states</t>
  </si>
  <si>
    <t>grace</t>
  </si>
  <si>
    <t>Article 17(3)</t>
  </si>
  <si>
    <t>What type of mentorship does the LDS Church focus on?</t>
  </si>
  <si>
    <t>a protective radiation shield</t>
  </si>
  <si>
    <t>What type of hermaphrodite produces egg and sperm at different times?</t>
  </si>
  <si>
    <t>charter schools</t>
  </si>
  <si>
    <t>somewhat strong "colonial" coloration</t>
  </si>
  <si>
    <t>Mnemiopsis leidyi</t>
  </si>
  <si>
    <t>Throughout the history of education the most common form of school discipline was corporal punishment. While a child was in school, a teacher was expected to act as a substitute parent, with all the normal forms of parental discipline open to them.</t>
  </si>
  <si>
    <t>Formed in November 1990 by the equal merger of Sky Television and British Satellite Broadcasting, BSkyB became the UK's largest digital subscription television company. Following BSkyB's 2014 acquisition of Sky Italia and a majority 90.04% interest in Sky Deutschland in November 2014, its holding company British Sky Broadcasting Group plc changed its name to Sky plc. The United Kingdom operations also changed the company name from British Sky Broadcasting Limited to Sky UK Limited, still trading as Sky.</t>
  </si>
  <si>
    <t>What tribes were the Romans fearful would invade from the North?</t>
  </si>
  <si>
    <t>What can be used to model tension forces?</t>
  </si>
  <si>
    <t>major business</t>
  </si>
  <si>
    <t>each stage of photosynthesis</t>
  </si>
  <si>
    <t>the 16th and 17th centuries</t>
  </si>
  <si>
    <t>sovereign branches of government</t>
  </si>
  <si>
    <t>Who was the Karluk Kara-Khanid ruler ranked above?</t>
  </si>
  <si>
    <t>When did the Packers arrive at a record of 13-0?</t>
  </si>
  <si>
    <t>From which countries did the Norse originate?</t>
  </si>
  <si>
    <t>"Official" reconstructions have also been released by the BBC on VHS, on MP3 CD-ROM, and as special features on DVD. The BBC, in conjunction with animation studio Cosgrove Hall, reconstructed the missing episodes 1 and 4 of The Invasion (1968), using remastered audio tracks and the comprehensive stage notes for the original filming, for the serial's DVD release in November 2006. The missing episodes of The Reign of Terror were animated by animation company Theta-Sigma, in collaboration with Big Finish, and became available for purchase in May 2013 through Amazon.com. Subsequent animations made in 2013 include The Tenth Planet, The Ice Warriors and The Moonbase.</t>
  </si>
  <si>
    <t>the War of the Two Capitals</t>
  </si>
  <si>
    <t>about 9.81 meters per second</t>
  </si>
  <si>
    <t>What does legend say Genghis Khan used to obliterate the Kharezmid emporer's place of birth?</t>
  </si>
  <si>
    <t>Augustinian cloister in Erfurt</t>
  </si>
  <si>
    <t>What do photosynthetic carotenoids do?</t>
  </si>
  <si>
    <t>Mission to the Unknown</t>
  </si>
  <si>
    <t>infidels</t>
  </si>
  <si>
    <t>What is the capitol of Kenya?</t>
  </si>
  <si>
    <t>a dam turbine</t>
  </si>
  <si>
    <t>What effect does European Union law have on laws of member states?</t>
  </si>
  <si>
    <t>colloblasts</t>
  </si>
  <si>
    <t>What type of topological systems are found in numbers in Victoria?</t>
  </si>
  <si>
    <t>ash tree</t>
  </si>
  <si>
    <t>What city did Super Bowl 50 take place in?</t>
  </si>
  <si>
    <t>Jurassic Period</t>
  </si>
  <si>
    <t>Napoleon</t>
  </si>
  <si>
    <t>Rijn</t>
  </si>
  <si>
    <t>How long has Proportionality been recognized as one of the general principles of EU law?</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</si>
  <si>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</si>
  <si>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local building authority regulations and codes of practice</t>
  </si>
  <si>
    <t>writings and comments</t>
  </si>
  <si>
    <t>state of mind</t>
  </si>
  <si>
    <t>Archbishop Albrecht</t>
  </si>
  <si>
    <t>How many teachers are usually involved when co-teaching?</t>
  </si>
  <si>
    <t>On October 6, 2004, a joint Japanese-Mongolian archaeological dig uncovered what is believed to be Genghis Khan's palace in rural Mongolia, which raises the possibility of actually locating the ruler's long-lost burial site. Folklore says that a river was diverted over his grave to make it impossible to find (the same manner of burial as the Sumerian King Gilgamesh of Uruk and Atilla the Hun). Other tales state that his grave was stampeded over by many horses, and that trees were then planted over the site, and the permafrost also did its part in hiding the burial site.</t>
  </si>
  <si>
    <t>In what color was the dot represented in ABC's 1977 ID sequence?</t>
  </si>
  <si>
    <t>Since teachers can affect how students perceive the course materials, it has been found that teachers who showed enthusiasm towards the course materials and students can affect a positive learning experience towards the course materials. On teacher/course evaluations, it was found that teachers who have a positive disposition towards the course content tend to transfer their passion to receptive students. These teachers do not teach by rote but attempt to find new invigoration for the course materials on a daily basis. One of the difficulties in this approach is that teachers may have repeatedly covered a curriculum until they begin to feel bored with the subject which in turn bores the students as well. Students who had enthusiastic teachers tend to rate them higher than teachers who didn't show much enthusiasm for the course materials.</t>
  </si>
  <si>
    <t>The needs of soy farmers have been used to justify many of the controversial transportation projects that are currently developing in the Amazon. The first two highways successfully opened up the rainforest and led to increased settlement and deforestation. The mean annual deforestation rate from 2000 to 2005 (22,392 km2 or 8,646 sq mi per year) was 18% higher than in the previous five years (19,018 km2 or 7,343 sq mi per year). Although deforestation has declined significantly in the Brazilian Amazon between 2004 and 2014, there has been an increase to the present day.</t>
  </si>
  <si>
    <t>Whose portrait by François Clouet was included in the Jones bequest of 1882?</t>
  </si>
  <si>
    <t>parallel to the canalized Rhine</t>
  </si>
  <si>
    <t>Only a few drops</t>
  </si>
  <si>
    <t>main silverware gallery</t>
  </si>
  <si>
    <t>1999</t>
  </si>
  <si>
    <t>The G mission was achieved on Apollo 11 in July 1969 by an all-Gemini veteran crew consisting of Neil Armstrong, Michael Collins and Buzz Aldrin. Armstrong and Aldrin performed the first landing at the Sea of Tranquility at 20:17:40 UTC on July 20, 1969. They spent a total of 21 hours, 36 minutes on the surface, and spent 2 hours, 31 minutes outside the spacecraft, walking on the surface, taking photographs, collecting material samples, and deploying automated scientific instruments, while continuously sending black-and-white television back to Earth. The astronauts returned safely on July 24.</t>
  </si>
  <si>
    <t>the destruction of Israel</t>
  </si>
  <si>
    <t>CD8</t>
  </si>
  <si>
    <t>When people take on debt, it leads potentially to what?</t>
  </si>
  <si>
    <t>BBC Radio 5</t>
  </si>
  <si>
    <t>Brownlee argues that sometimes people behave in what way to have their issue heard?</t>
  </si>
  <si>
    <t>Almost all ctenophores are predators – there are no vegetarians and only one genus that is partly parasitic. If food is plentiful, they can eat 10 times their own weight per day. While Beroe preys mainly on other ctenophores, other surface-water species prey on zooplankton (planktonic animals) ranging in size from the microscopic, including mollusc and fish larvae, to small adult crustaceans such as copepods, amphipods, and even krill. Members of the genus Haeckelia prey on jellyfish and incorporate their prey's nematocysts (stinging cells) into their own tentacles instead of colloblasts. Ctenophores have been compared to spiders in their wide range of techniques from capturing prey – some hang motionless in the water using their tentacles as "webs", some are ambush predators like Salticid jumping spiders, and some dangle a sticky droplet at the end of a fine thread, as bolas spiders do. This variety explains the wide range of body forms in a phylum with rather few species. The two-tentacled "cydippid" Lampea feeds exclusively on salps, close relatives of sea-squirts that form large chain-like floating colonies, and juveniles of Lampea attach themselves like parasites to salps that are too large for them to swallow. Members of the cydippid genus Pleurobrachia and the lobate Bolinopsis often reach high population densities at the same place and time because they specialize in different types of prey: Pleurobrachia's long tentacles mainly capture relatively strong swimmers such as adult copepods, while Bolinopsis generally feeds on smaller, weaker swimmers such as rotifers and mollusc and crustacean larvae.</t>
  </si>
  <si>
    <t>Antigen specificity  allows responses that are specific to certain types of what?</t>
  </si>
  <si>
    <t>What team had 244 yards in Super Bowl XXXV?</t>
  </si>
  <si>
    <t>What did Tesla patent in 1891?</t>
  </si>
  <si>
    <t>assigned them to the company</t>
  </si>
  <si>
    <t>27 June</t>
  </si>
  <si>
    <t>patents</t>
  </si>
  <si>
    <t>What did the Lunar Module provide to help get the Apollo 13 home safely?</t>
  </si>
  <si>
    <t>How many names of Ghengis Khan's daughters are known?</t>
  </si>
  <si>
    <t>reckless</t>
  </si>
  <si>
    <t>What were Mohammedanism and the Turk?</t>
  </si>
  <si>
    <t>the union government</t>
  </si>
  <si>
    <t>phycobilisomes</t>
  </si>
  <si>
    <t>the basic channels</t>
  </si>
  <si>
    <t xml:space="preserve">Which gallery was redesigned in the 1990s and later improved in 2002? </t>
  </si>
  <si>
    <t>Central Banking economist Raghuram Rajan argues that "systematic economic inequalities, within the United States and around the world, have created deep financial 'fault lines' that have made [financial] crises more likely to happen than in the past" – the Financial crisis of 2007–08 being the most recent example. To compensate for stagnating and declining purchasing power, political pressure has developed to extend easier credit to the lower and middle income earners – particularly to buy homes – and easier credit in general to keep unemployment rates low. This has given the American economy a tendency to go "from bubble to bubble" fueled by unsustainable monetary stimulation.</t>
  </si>
  <si>
    <t>Why is the public library known as a people's university?</t>
  </si>
  <si>
    <t>noisiest</t>
  </si>
  <si>
    <t>23 June 2005</t>
  </si>
  <si>
    <t>Lombardi</t>
  </si>
  <si>
    <t>the A1 (Gateshead Newcastle Western Bypass)</t>
  </si>
  <si>
    <t>Who fumbled the ball when tackled by Darian Stewart?</t>
  </si>
  <si>
    <t>a lot of waste</t>
  </si>
  <si>
    <t>How many BAFTA TV awards has Doctor Who won?</t>
  </si>
  <si>
    <t>When did the BBC rebroadcast the first episode of Doctor Who?</t>
  </si>
  <si>
    <t>AD 0–1250</t>
  </si>
  <si>
    <t>nuclear force.</t>
  </si>
  <si>
    <t>How many tiers are in the Australian form of learning?</t>
  </si>
  <si>
    <t>P is not equal to NP</t>
  </si>
  <si>
    <t>What year was The Invasion originally shown?</t>
  </si>
  <si>
    <t>the metal locking screw</t>
  </si>
  <si>
    <t>When was the University Library founded?</t>
  </si>
  <si>
    <t>What function is a teacher's role similar to?</t>
  </si>
  <si>
    <t>When did the ban on cigarette advertising take effect for television networks?</t>
  </si>
  <si>
    <t>37.8</t>
  </si>
  <si>
    <t>How many people live in the greater metropolitan area?</t>
  </si>
  <si>
    <t>0.3 to 0.6 °C</t>
  </si>
  <si>
    <t>What city is near a major statue of Genghis Khan?</t>
  </si>
  <si>
    <t xml:space="preserve">The University of Chicago is governed by a board of trustees. The Board of Trustees oversees the long-term development and plans of the university and manages fundraising efforts, and is composed of 50 members including the university President. Directly beneath the President are the Provost, fourteen Vice Presidents (including the Chief Financial Officer, Chief Investment Officer, and Dean of Students of the university), the Directors of Argonne National Laboratory and Fermilab, the Secretary of the university, and the Student Ombudsperson. As of August 2009[update], the Chairman of the Board of Trustees is Andrew Alper, and the President of the university is Robert Zimmer. In December 2013 it was announced that the Director of Argonne National Laboratory, Eric Isaacs, would become Provost. Isaacs was replaced as Provost in March 2016 by Daniel Diermeier. </t>
  </si>
  <si>
    <t>What is the jelly-like susbtance called?</t>
  </si>
  <si>
    <t>Ghazan Khan</t>
  </si>
  <si>
    <t>Fears of being labelled a pedophile or hebephile</t>
  </si>
  <si>
    <t xml:space="preserve">What organization runs the public schools in Victoria? </t>
  </si>
  <si>
    <t>Who did Disney sell the four newspapers that ABC controlled to?</t>
  </si>
  <si>
    <t>One of the rarest items in the collection is the 58 cm high Gloucester Candlestick, dated to c1110, made from gilt bronze; with highly elaborate and intricate intertwining branches containing small figures and inscriptions, it is a tour de force of bronze casting. Also of importance is the Becket Casket dated c1180 to contain relics of St Thomas Becket, made from gilt copper, with enamelled scenes of the saint's martyrdom. Another highlight is the 1351 Reichenau Crozier. The Burghley Nef, a salt-cellar, French, dated 1527–28, uses a nautilus shell to form the hull of a vessel, which rests on the tail of a parcelgilt mermaid, who rests on a hexagonal gilt plinth on six claw-and-ball feet. Both masts have main and top-sails, and battlemented fighting-tops are made from gold. These items are displayed in the new Medieval &amp; Renaissance galleries.</t>
  </si>
  <si>
    <t>University of Wittenberg</t>
  </si>
  <si>
    <t>Blum complexity axioms</t>
  </si>
  <si>
    <t>What cable company removed ABC stations from it's systems in certain markets in April 2000?</t>
  </si>
  <si>
    <t>How are the compounds that contain oxygen considered in commerce?</t>
  </si>
  <si>
    <t>radically anti-Semitic</t>
  </si>
  <si>
    <t>Which three famous British potters are represented the the V&amp;A ceramics collection?</t>
  </si>
  <si>
    <t>it reflects "a larger challenge to the legal system that permits those decisions to be taken</t>
  </si>
  <si>
    <t>successfully destroyed Fort Frontenac</t>
  </si>
  <si>
    <t>that the earth had a resonant frequency.</t>
  </si>
  <si>
    <t>University of Aberdeen</t>
  </si>
  <si>
    <t>How many tons of dust remains in the air?</t>
  </si>
  <si>
    <t xml:space="preserve">What is the other country the Rhine separates Switzerland to? </t>
  </si>
  <si>
    <t>remote</t>
  </si>
  <si>
    <t>Which part of London was Sir Paul Pindar's house, whose façade now resides in the V&amp;A collection, located?</t>
  </si>
  <si>
    <t>What company won a free advertisement due to the QuickBooks contest?</t>
  </si>
  <si>
    <t>Besides countries of origin and date of production, how are the textiles classified?</t>
  </si>
  <si>
    <t>What is Harvard's most intense rival?</t>
  </si>
  <si>
    <t>Which task force states that pornography is harmful?</t>
  </si>
  <si>
    <t>January 1982</t>
  </si>
  <si>
    <t>What did Tesla's investors do to him?</t>
  </si>
  <si>
    <t>computational problems</t>
  </si>
  <si>
    <t>Where was Tesla hoping to attend classes in Prague?</t>
  </si>
  <si>
    <t>the A1</t>
  </si>
  <si>
    <t>fundamental rights recognised and protected in the constitutions of member states</t>
  </si>
  <si>
    <t>Neckar</t>
  </si>
  <si>
    <t>On what service were All My Children and One Life to Live revived on for one season?</t>
  </si>
  <si>
    <t>Which network broadcast the game in Spanish?</t>
  </si>
  <si>
    <t>When did Mongke Khan become Great Khan?</t>
  </si>
  <si>
    <t>Marconi</t>
  </si>
  <si>
    <t>Major General Louis-Joseph de Montcalm</t>
  </si>
  <si>
    <t>Effective</t>
  </si>
  <si>
    <t>What service did ABC launch in May 2013?</t>
  </si>
  <si>
    <t>individually, sometimes resulting in different paths and out-of-order delivery</t>
  </si>
  <si>
    <t>What did Luther tell the legate about the papacy?</t>
  </si>
  <si>
    <t>avoid the "inconvenience" of visiting a doctor or to obtain medications which their doctors were unwilling to prescribe</t>
  </si>
  <si>
    <t>Liupanshan</t>
  </si>
  <si>
    <t>late part</t>
  </si>
  <si>
    <t>1926</t>
  </si>
  <si>
    <t>win an acquittal and avoid imprisonment</t>
  </si>
  <si>
    <t>Wenzong</t>
  </si>
  <si>
    <t>moist tropical</t>
  </si>
  <si>
    <t>40,000</t>
  </si>
  <si>
    <t>1893</t>
  </si>
  <si>
    <t>When was the Third Assessment Report published?</t>
  </si>
  <si>
    <t>to remind the Doctor of his "moral duty"</t>
  </si>
  <si>
    <t>What year did Thompsons indicate Mt Kenya?</t>
  </si>
  <si>
    <t>German-language publications</t>
  </si>
  <si>
    <t>What were these indulgences supposed to grant the giver?</t>
  </si>
  <si>
    <t>stratigraphic</t>
  </si>
  <si>
    <t>Who was influential in promoting the use of chemical compounds as medicines?</t>
  </si>
  <si>
    <t>Which sitcom ended its broadcast run for ABC in 1983?</t>
  </si>
  <si>
    <t>420,000</t>
  </si>
  <si>
    <t>What is blamed for causing the sharp drop in fish catches in the Black Sea and the Sea of Azov?</t>
  </si>
  <si>
    <t>Silas B. Cobb</t>
  </si>
  <si>
    <t>the Central Secretariat</t>
  </si>
  <si>
    <t>castles</t>
  </si>
  <si>
    <t>Ministry of War</t>
  </si>
  <si>
    <t>some 30% of the city</t>
  </si>
  <si>
    <t>Who is credited with finding evidence of large settlements in the Amazon forest?</t>
  </si>
  <si>
    <t>8 mm cine film</t>
  </si>
  <si>
    <t>steam escapes</t>
  </si>
  <si>
    <t>Beryl</t>
  </si>
  <si>
    <t>encourage</t>
  </si>
  <si>
    <t>microscopic analysis of oriented thin sections</t>
  </si>
  <si>
    <t>sleep</t>
  </si>
  <si>
    <t>Classic FM's Hall of Fame</t>
  </si>
  <si>
    <t>Decision problems capable of being solved by a deterministic Turing machine while maintaining adherence to polynomial time belong to what class?</t>
  </si>
  <si>
    <t>no indication</t>
  </si>
  <si>
    <t>reneged</t>
  </si>
  <si>
    <t>Fort Beauséjour</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</si>
  <si>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</si>
  <si>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an ash leaf</t>
  </si>
  <si>
    <t>The rocks at the Grand Canyon have been in place since when?</t>
  </si>
  <si>
    <t>Who has expressed distaste for the canonicity of Doctor Who stories by other media?</t>
  </si>
  <si>
    <t>Vivienne Westwood</t>
  </si>
  <si>
    <t>art posters</t>
  </si>
  <si>
    <t>workers wages</t>
  </si>
  <si>
    <t>Egyptians</t>
  </si>
  <si>
    <t>What does factorization of prime ideals approximate?</t>
  </si>
  <si>
    <t xml:space="preserve">The Rhine forms the border between Austria and what other country? </t>
  </si>
  <si>
    <t>Standard &amp; Poor</t>
  </si>
  <si>
    <t>What is an example of an article of uniform clothing typically present in Australian private schools?</t>
  </si>
  <si>
    <t xml:space="preserve">Near Chur, which direction does the Rhine turn? </t>
  </si>
  <si>
    <t>Castle Church in Wittenberg,</t>
  </si>
  <si>
    <t>Recent studies believe  that ctenophores are the sister lineage to what?</t>
  </si>
  <si>
    <t>citrus</t>
  </si>
  <si>
    <t>The Writers Guild of America strike that halted production of network programs for much of the 2007–08 season affected the network in 2007–08 and 2008–09, as various ABC shows that premiered in 2007, such as Dirty Sexy Money, Pushing Daisies, Eli Stone and Samantha Who?, did not live to see a third season; other series such as Boston Legal and the U.S. version of Life on Mars suffered from low viewership, despite the former, a spin off of The Practice, being a once-highlighted breakout series when it debuted in 2005. One of the network's strike-replacement programs during that time was the game show Duel, which premiered in December 2007. The program would become a minor success for the network during its initial six-episode run, which led ABC to renew Duel as a regular series starting in April 2008. However, Duel suffered from low viewership during its run as a regular series, and ABC canceled the program after sixteen episodes. On August 15, 2008, Disney denied rumors started by Caris &amp; Co. that it would be selling the ten ABC owned-and-operated stations.</t>
  </si>
  <si>
    <t>parabolic</t>
  </si>
  <si>
    <t>How much Victorian farmland is farmed in grains?</t>
  </si>
  <si>
    <t>Who discovered this and where did they come from?</t>
  </si>
  <si>
    <t>What happened to Tesla's funding once the war begun?</t>
  </si>
  <si>
    <t>The academic body of the university is made up of how many professional schools?</t>
  </si>
  <si>
    <t>1,345,596</t>
  </si>
  <si>
    <t>polynomial algebra</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</si>
  <si>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</si>
  <si>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What has presented problems to the US economy more than other nations?</t>
  </si>
  <si>
    <t>How many metric tons of carbon are believed to be stored in the Amazon forest?</t>
  </si>
  <si>
    <t>On April 30, 2000, as a result of a carriage dispute with ABC, Time Warner Cable removed ABC owned-and-operated stations from the cable provider's systems in four markets (WABC-TV in New York City, KABC-TV in Los Angeles, KTRK in Houston and WTVD in Raleigh-Durham). The network had earlier reached an eleventh-hour deal to renew its carriage agreement with the provider on December 31, 1999. ABC filed an emergency petition to the Federal Communications Commission on May 1 to force TWC to restore the affected stations; the FCC ruled in favor of ABC, ordering Time Warner Cable to restore the stations, doing so on the afternoon of May 2. ABC ended the 2000–01 season as the most-watched network, ahead of NBC.</t>
  </si>
  <si>
    <t>What did Edison offer Tesla after completing the project?</t>
  </si>
  <si>
    <t>What type of animal did onlookers claim was piloting the boat?</t>
  </si>
  <si>
    <t>Oahu</t>
  </si>
  <si>
    <t>When was a Doctor Who Prom performed?</t>
  </si>
  <si>
    <t>What is Pedanius Dioscorides known for?</t>
  </si>
  <si>
    <t>What reasons cause failure of the disobedience with authorities?</t>
  </si>
  <si>
    <t>six regiments to New France</t>
  </si>
  <si>
    <t>often many times</t>
  </si>
  <si>
    <t>When did Hitler order the annihilation of the Warsaw Ghetto?</t>
  </si>
  <si>
    <t>AS-205/208</t>
  </si>
  <si>
    <t>Which foreign forces often meddled in the Mongolian political scene?</t>
  </si>
  <si>
    <t>lab</t>
  </si>
  <si>
    <t>an official school</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</si>
  <si>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</si>
  <si>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build their own dedicated networks</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</si>
  <si>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</si>
  <si>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Verizon</t>
  </si>
  <si>
    <t>What was the name of the blind date concept program debuted by ABC in 1966?</t>
  </si>
  <si>
    <t>In which regions in particular did Genghis Khan's armies massacre civilians?</t>
  </si>
  <si>
    <t>a council of Mongol chiefs</t>
  </si>
  <si>
    <t>What type of curricula is it that a teacher may likely follow?</t>
  </si>
  <si>
    <t>post-classical</t>
  </si>
  <si>
    <t>In what year did Savery patent his steam pump?</t>
  </si>
  <si>
    <t>machine labor</t>
  </si>
  <si>
    <t>the city's prosperity</t>
  </si>
  <si>
    <t>five solo tackles</t>
  </si>
  <si>
    <t>How many Native American people resided in Fresno in 2010?</t>
  </si>
  <si>
    <t>the direction in which the mouth is pointing</t>
  </si>
  <si>
    <t>Theodor Fontane</t>
  </si>
  <si>
    <t>ABC continued NBC Blue's tradition of what?</t>
  </si>
  <si>
    <t>Alta California</t>
  </si>
  <si>
    <t>Euclid's Elements</t>
  </si>
  <si>
    <t>French and Indian War</t>
  </si>
  <si>
    <t>1961 to 1972</t>
  </si>
  <si>
    <t>actively support and adopt mainstream Chinese culture</t>
  </si>
  <si>
    <t>What is the name of one type of computing method that is used to find prime numbers?</t>
  </si>
  <si>
    <t>asynchronously using first-in, first-out buffering, but may be forwarded according to some scheduling discipline for fair queuing</t>
  </si>
  <si>
    <t>not to talk to police officers</t>
  </si>
  <si>
    <t>the smallest subfield</t>
  </si>
  <si>
    <t>What geochemist developed the uranium-lead dating method into lead-lead dating?</t>
  </si>
  <si>
    <t>34–19</t>
  </si>
  <si>
    <t>What was Tugh Temur known for?</t>
  </si>
  <si>
    <t>In what year was the charter granted for Harvard Corporation?</t>
  </si>
  <si>
    <t>aided</t>
  </si>
  <si>
    <t>manually suppress the fire</t>
  </si>
  <si>
    <t>a statue of fame</t>
  </si>
  <si>
    <t>During the 1970s</t>
  </si>
  <si>
    <t>Who was the founder of the Oracle Corporation?</t>
  </si>
  <si>
    <t>Other than many sunny days, what characteristic is typical for the climate in souther California?</t>
  </si>
  <si>
    <t>Oxygen therapy</t>
  </si>
  <si>
    <t>When was Manning picked #1 in the NFL Draft?</t>
  </si>
  <si>
    <t>Frontex</t>
  </si>
  <si>
    <t>at high oxygen concentrations, rubisco starts accidentally adding oxygen to sugar precursors</t>
  </si>
  <si>
    <t>Who has the authority of a pastor only within the context and during the time of the appointment?</t>
  </si>
  <si>
    <t>ABC Sunday Night Movie</t>
  </si>
  <si>
    <t xml:space="preserve">What is the bend of Rhine in Basel called? </t>
  </si>
  <si>
    <t>What do petrologists use electron microprobes in the laboratory for?</t>
  </si>
  <si>
    <t>New York City</t>
  </si>
  <si>
    <t>What reform was attempted following the Nice Treaty?</t>
  </si>
  <si>
    <t>What was used to accelerate the tungsten pellets?</t>
  </si>
  <si>
    <t>What type of correlation was used previously to help date rock formations?</t>
  </si>
  <si>
    <t>Papin</t>
  </si>
  <si>
    <t>Sugarfoot</t>
  </si>
  <si>
    <t>What were the three parts of Kublai's government?</t>
  </si>
  <si>
    <t>Jacksonville has suffered less damage from hurricanes than most other east coast cities, although the threat does exist for a direct hit by a major hurricane. The city has only received one direct hit from a hurricane since 1871; however, Jacksonville has experienced hurricane or near-hurricane conditions more than a dozen times due to storms crossing the state from the Gulf of Mexico to the Atlantic Ocean, or passing to the north or south in the Atlantic and brushing past the area. The strongest effect on Jacksonville was from Hurricane Dora in 1964, the only recorded storm to hit the First Coast with sustained hurricane-force winds. The eye crossed St. Augustine with winds that had just barely diminished to 110 mph (180 km/h), making it a strong Category 2 on the Saffir-Simpson Scale. Jacksonville also suffered damage from 2008's Tropical Storm Fay which crisscrossed the state, bringing parts of Jacksonville under darkness for four days. Similarly, four years prior to this, Jacksonville was inundated by Hurricane Frances and Hurricane Jeanne, which made landfall south of the area. These tropical cyclones were the costliest indirect hits to Jacksonville. Hurricane Floyd in 1999 caused damage mainly to Jacksonville Beach. During Floyd, the Jacksonville Beach pier was severely damaged, and later demolished. The rebuilt pier was later damaged by Fay, but not destroyed. Tropical Storm Bonnie would cause minor damage in 2004, spawning a minor tornado in the process. On May 28, 2012, Jacksonville was hit by Tropical Storm Beryl, packing winds up to 70 miles per hour (113 km/h) which made landfall near Jacksonville Beach.</t>
  </si>
  <si>
    <t>What year was St. Nicholas' lantern tower made?</t>
  </si>
  <si>
    <t>What radio station did the Doctor Who theme reach the charts on in 2011?</t>
  </si>
  <si>
    <t>education of children as Catholics</t>
  </si>
  <si>
    <t>geographical area it covers as well as the frequency of meeting</t>
  </si>
  <si>
    <t>kinematic measurements</t>
  </si>
  <si>
    <t>Beirut</t>
  </si>
  <si>
    <t>Dutch PTT Telecom</t>
  </si>
  <si>
    <t>a Mind Award at the 2010 Mind Mental Health Media Awards</t>
  </si>
  <si>
    <t>What was the only region in Europe not conquered by the Germanic tribes?</t>
  </si>
  <si>
    <t>liquid oxygen</t>
  </si>
  <si>
    <t>How are green chloroplasts' Plastoglobuli arranged?</t>
  </si>
  <si>
    <t>reduced moist tropical vegetation cover</t>
  </si>
  <si>
    <t>in 1879</t>
  </si>
  <si>
    <t>What is the average weight of the biomass per hectare in the Amazon?</t>
  </si>
  <si>
    <t>What is William Rankine's nationality?</t>
  </si>
  <si>
    <t>How many Grammy Award's does the text say Lady Gaga has won?</t>
  </si>
  <si>
    <t>To which technology type that Tesla worked on did the caption refer to?</t>
  </si>
  <si>
    <t>1,294</t>
  </si>
  <si>
    <t>planning,[citation needed] design, and financing</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</si>
  <si>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</si>
  <si>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power experiments</t>
  </si>
  <si>
    <t>1708</t>
  </si>
  <si>
    <t>What provided much of the basis for the structure of the Parliament in 1995?</t>
  </si>
  <si>
    <t>What can work to even the distribution of wealth?</t>
  </si>
  <si>
    <t>Polish and international artists a</t>
  </si>
  <si>
    <t>What other business district does Orange County envelop outside of Downtown Santa Ana and Newport Center?</t>
  </si>
  <si>
    <t>What company did the ABC network's parent company merge with in the 1980s?</t>
  </si>
  <si>
    <t>The new office of the PM will have power and authority to co-ordinate and supervise the functions of the Government and will be occupied by an elected MP who will be the leader of the party or coalition with majority members in Parliament. The world watched Annan and his UN-backed panel and African Union chairman Jakaya Kikwete as they brought together the former rivals to the signing ceremony, beamed live on national TV from the steps of Nairobi's Harambee House. On 29 February 2008, representatives of PNU and ODM began working on the finer details of the power-sharing agreement. Kenyan lawmakers unanimously approved a power-sharing deal 18 March 2008, aimed at salvaging a country usually seen as one of the most stable and prosperous in Africa. The deal brought Kibaki's PNU and Odinga's ODM together and heralded the formation of the grand coalition, in which the two political parties would share power equally.</t>
  </si>
  <si>
    <t>canalisation projects</t>
  </si>
  <si>
    <t>Serbian Orthodox priest</t>
  </si>
  <si>
    <t>the center of mass</t>
  </si>
  <si>
    <t>painting, poetry, and calligraphy</t>
  </si>
  <si>
    <t>Which part of the museum received the first major post-war work?</t>
  </si>
  <si>
    <t>What do larger fortunes generate?</t>
  </si>
  <si>
    <t>How many other contestants did the company, that had their ad shown for free, beat out?</t>
  </si>
  <si>
    <t>1849</t>
  </si>
  <si>
    <t>Where was a cinema relocated while repairs were underway?</t>
  </si>
  <si>
    <t>Gaussian integers</t>
  </si>
  <si>
    <t>qualifications</t>
  </si>
  <si>
    <t>To what type of organisms is oxygen toxic?</t>
  </si>
  <si>
    <t>How many yards did Jordan Norwood return a punt to set the Super Bowl record?</t>
  </si>
  <si>
    <t>standard of pastoral care and Christian education</t>
  </si>
  <si>
    <t>weighted inversely to member state size</t>
  </si>
  <si>
    <t>In 1872, the Central Pacific Railroad established a station near Easterby's—by now a hugely productive wheat farm—for its new Southern Pacific line. Soon there was a store around the station and the store grew the town of Fresno Station, later called Fresno. Many Millerton residents, drawn by the convenience of the railroad and worried about flooding, moved to the new community. Fresno became an incorporated city in 1885. By 1931 the Fresno Traction Company operated 47 streetcars over 49 miles of track.</t>
  </si>
  <si>
    <t>How high was the stone wall built around Newcastle in the 13th century?</t>
  </si>
  <si>
    <t>the relationship of the number to its corresponding value of Euler's totient function</t>
  </si>
  <si>
    <t>helicoid sheets</t>
  </si>
  <si>
    <t>that increase was the same as the weight of the air that rushed back in</t>
  </si>
  <si>
    <t>declines</t>
  </si>
  <si>
    <t>a cup</t>
  </si>
  <si>
    <t>blockade French ports</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</si>
  <si>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</si>
  <si>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Who had the best record in the NFC?</t>
  </si>
  <si>
    <t>Who was the ESPN Deportes sideline commentator for Super Bowl 50?</t>
  </si>
  <si>
    <t>In many countries, there is a Gender pay gap in favor of males in the labor market. Several factors other than discrimination may contribute to this gap. On average, women are more likely than men to consider factors other than pay when looking for work, and may be less willing to travel or relocate. Thomas Sowell, in his book Knowledge and Decisions, claims that this difference is due to women not taking jobs due to marriage or pregnancy, but income studies show that that does not explain the entire difference. A U.S. Census's report stated that in US once other factors are accounted for there is still a difference in earnings between women and men. The income gap in other countries ranges from 53% in Botswana to -40% in Bahrain.</t>
  </si>
  <si>
    <t>How did Luther's tutors advise him to test what he learned?</t>
  </si>
  <si>
    <t>When were the French wars of religion?</t>
  </si>
  <si>
    <t>musique concrète techniques</t>
  </si>
  <si>
    <t>bans on foreign popular culture, control of the internet and unauthorised satellite dishes</t>
  </si>
  <si>
    <t>Prevenient grace allowas those tainted by what to make a choice to accept or reject God's salvation in Christ?</t>
  </si>
  <si>
    <t>How is worst-case time complexity written as an expression?</t>
  </si>
  <si>
    <t>late afternoons</t>
  </si>
  <si>
    <t>What was the age difference between Newton and Manning in Super Bowl 50?</t>
  </si>
  <si>
    <t>the Brotherhood</t>
  </si>
  <si>
    <t>There were two kinds of X.25 networks. Some such as DATAPAC and TRANSPAC</t>
  </si>
  <si>
    <t>the port of Marseille around November 1347</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</si>
  <si>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(1407–1410). The most notable examples of Renaissance architecture in the city are the house of Baryczko merchant family (1562), building called "The Negro" (early 17th century) and Salwator tenement (1632). The most interesting examples of mannerist architecture are the Royal Castle (1596–1619) and the Jesuit Church (1609–1626) at Old Town. Among the first structures of the early baroque the most important are St. Hyacinth's Church (1603–1639) and Sigismund's Column (1644).</t>
  </si>
  <si>
    <t>Frederick William</t>
  </si>
  <si>
    <t>In what year did BankAmericard change its name?</t>
  </si>
  <si>
    <t>the Rumford medal</t>
  </si>
  <si>
    <t>August 1</t>
  </si>
  <si>
    <t>What is the name of the trophy that all Super Bowl winners receive?</t>
  </si>
  <si>
    <t>Wang Khan</t>
  </si>
  <si>
    <t>1273</t>
  </si>
  <si>
    <t>Who tackled Mike Tolbert and caused a fumble?</t>
  </si>
  <si>
    <t>In 1968, ABC took advantage of new FCC ownership regulations that allowed broadcasting companies to own a maximum of seven radio stations nationwide in order to purchase Houston radio stations KXYZ and KXYZ-FM for $1 million in shares and $1.5 million in bonds. That year, Roone Arledge was named president of ABC Sports; the company also founded ABC Pictures, a film production company which released its first picture that year, the Ralph Nelson-directed Charly. It was renamed ABC Motion Pictures in 1979; the unit was dissolved in 1985. The studio also operated two subsidiaries, Palomar Pictures International and Selmur Pictures. In July 1968, ABC continued its acquisitions in the amusement parks sector with the opening of ABC Marine World in Redwood City, California; that park was sold in 1972 and demolished in 1986, with the land that occupied the park later becoming home to the headquarters of Oracle Corporation.</t>
  </si>
  <si>
    <t>What service is a VideoGuard UK equipped receiver dedicated to decrypt?</t>
  </si>
  <si>
    <t>nine seasons</t>
  </si>
  <si>
    <t>UNEP</t>
  </si>
  <si>
    <t>Surveyor 3</t>
  </si>
  <si>
    <t>What are public schools in Victoria?</t>
  </si>
  <si>
    <t>patrimonial feudalism</t>
  </si>
  <si>
    <t>religious orders</t>
  </si>
  <si>
    <t>50-yard line.</t>
  </si>
  <si>
    <t>What are some normal breakfast foods?</t>
  </si>
  <si>
    <t>The Oude Maas</t>
  </si>
  <si>
    <t>When did Hamas drive the PLO out of Gaza?</t>
  </si>
  <si>
    <t>Along with Stephenson and Walschaerts, what is an example of a simple motion?</t>
  </si>
  <si>
    <t>static discs)</t>
  </si>
  <si>
    <t>Chagatai</t>
  </si>
  <si>
    <t>marriage between Han and Jurchen</t>
  </si>
  <si>
    <t>The majority may be powerful but it is not necessarily right</t>
  </si>
  <si>
    <t>Who did Abercrombie replace as commander in chief?</t>
  </si>
  <si>
    <t>in his mind</t>
  </si>
  <si>
    <t>By what year was selling children into slavery common among the Mongols?</t>
  </si>
  <si>
    <t>A decision made by what entity restored Tesla's patents?</t>
  </si>
  <si>
    <t>How many primary affiliates did ABC have in 1954?</t>
  </si>
  <si>
    <t>baptism</t>
  </si>
  <si>
    <t>weightlessness</t>
  </si>
  <si>
    <t>Antibodies are transferred to the gut of the infant through what means?</t>
  </si>
  <si>
    <t>When was the National Highway Designated Act signed?</t>
  </si>
  <si>
    <t>two of Tesla's uncles</t>
  </si>
  <si>
    <t>What does 'Pax Mongolica' mean?</t>
  </si>
  <si>
    <t>individual states and territories</t>
  </si>
  <si>
    <t>high fuel prices and new competition</t>
  </si>
  <si>
    <t>Mahmud Fami Naqrashi</t>
  </si>
  <si>
    <t>24-year</t>
  </si>
  <si>
    <t>polynomial time</t>
  </si>
  <si>
    <t>The University of Chicago Library system has how many libraries in total?</t>
  </si>
  <si>
    <t>As to the Summons you send me to retire, I do not think myself obliged to obey it.</t>
  </si>
  <si>
    <t>melanomas</t>
  </si>
  <si>
    <t>Abercrombie was recalled and replaced</t>
  </si>
  <si>
    <t>The redesigned central garden opened in 2005 with what new moniker?</t>
  </si>
  <si>
    <t>What did Virgin Media concentrate on instead of offering linear channels?</t>
  </si>
  <si>
    <t>inherent difficulty</t>
  </si>
  <si>
    <t>Wesleyan Holiness Consortium</t>
  </si>
  <si>
    <t>private confession and absolution</t>
  </si>
  <si>
    <t>How much imported oil came from the Middle East?</t>
  </si>
  <si>
    <t>2.8%</t>
  </si>
  <si>
    <t>Who was Philip I?</t>
  </si>
  <si>
    <t>Which park is home to the Fresno Chafffee Zoo?</t>
  </si>
  <si>
    <t>Prevenient grace</t>
  </si>
  <si>
    <t>15 °C (59 °F)</t>
  </si>
  <si>
    <t>occupational burnout</t>
  </si>
  <si>
    <t>Who fumbled the ball on 3rd-and-9?</t>
  </si>
  <si>
    <t>XXXVII</t>
  </si>
  <si>
    <t>Israel</t>
  </si>
  <si>
    <t>Metro Trains Melbourne</t>
  </si>
  <si>
    <t>What event took away his ability of speech?</t>
  </si>
  <si>
    <t>founding of new Protestant churches in Catholic-controlled regions</t>
  </si>
  <si>
    <t>initiate legislation against the Commission's wishes</t>
  </si>
  <si>
    <t>Along with the American Institute of Electrical Engineers what other institute eventually became the IEEE?</t>
  </si>
  <si>
    <t>What is colonialism's core meaning?</t>
  </si>
  <si>
    <t>around a billion years ago</t>
  </si>
  <si>
    <t>the mantle</t>
  </si>
  <si>
    <t>The term "southern" California usually refers to how many of the southern-most counties of the state?</t>
  </si>
  <si>
    <t>the 17th century</t>
  </si>
  <si>
    <t>Drop in the blood levels of cortisol and epinephrine results in increase levels of what hormones?</t>
  </si>
  <si>
    <t>in their graves and in heaven</t>
  </si>
  <si>
    <t>Von den Juden und Ihren Lügen</t>
  </si>
  <si>
    <t>Apollo Program Director</t>
  </si>
  <si>
    <t>writings in volumes</t>
  </si>
  <si>
    <t>half</t>
  </si>
  <si>
    <t>What genre of music is Lindisfarne classified as?</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</si>
  <si>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</si>
  <si>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equality</t>
  </si>
  <si>
    <t>What other moniker was Genghis Khan's general Jebe known by?</t>
  </si>
  <si>
    <t>tolerance of civil disobedience</t>
  </si>
  <si>
    <t>taught</t>
  </si>
  <si>
    <t>the Timucua</t>
  </si>
  <si>
    <t>technologies and ideas</t>
  </si>
  <si>
    <t>Elway</t>
  </si>
  <si>
    <t>bacteria</t>
  </si>
  <si>
    <t>An apoplectic stroke deprived him of his speech, and he died shortly afterwards at 2:45 a.m. on 18 February 1546, aged 62, in Eisleben, the city of his birth. He was buried in the Castle Church in Wittenberg, beneath the pulpit. The funeral was held by his friends Johannes Bugenhagen and Philipp Melanchthon. A year later, troops of Luther's adversary Charles V, Holy Roman Emperor entered the town, but were ordered by Charles not to disturb the grave.</t>
  </si>
  <si>
    <t>What is the name of the United Kingdom operation for BSkyB?</t>
  </si>
  <si>
    <t>What kind of memory was Tesla thought to have?</t>
  </si>
  <si>
    <t>In 1970, the FCC voted to pass the Financial Interest and Syndication Rules, a set of regulations aimed at preventing the major networks from monopolizing the broadcast landscape by barring them from owning any of the prime time programming that they broadcast. In 1972, the new rules resulted in the company's decision to split ABC Films into two separate companies: the existing Worldvision Enterprises, which would produce and distribute programming for U.S. syndication, and ABC Circle Films as a production unit. Worldvision was sold to a consortium of ABC executives for nearly $10 million.</t>
  </si>
  <si>
    <t>non-self molecules</t>
  </si>
  <si>
    <t>the Court of Justice of the European Union (CJEU)</t>
  </si>
  <si>
    <t>Main Quadrangles</t>
  </si>
  <si>
    <t>From 1421 to 1904</t>
  </si>
  <si>
    <t>1947</t>
  </si>
  <si>
    <t>The Use of Money</t>
  </si>
  <si>
    <t>Paleoproterozoic</t>
  </si>
  <si>
    <t>The party awarded a seat is the one with the highest what?</t>
  </si>
  <si>
    <t>hymn-writer</t>
  </si>
  <si>
    <t>the Daily Mail</t>
  </si>
  <si>
    <t>Mandatory</t>
  </si>
  <si>
    <t>In 1968, who led the team which systematized denominational doctrine?</t>
  </si>
  <si>
    <t>musique concrète</t>
  </si>
  <si>
    <t>2 millimeters</t>
  </si>
  <si>
    <t>European liberalism</t>
  </si>
  <si>
    <t>How much was NASA's procured spending on the Apollo project estimated to be at in 2005 after inflation?</t>
  </si>
  <si>
    <t>There's a rough border between Switzerland and what other country formed by the Rhine?</t>
  </si>
  <si>
    <t>What ranking does the Super Bowl 50 halftime show have on the list of most watched TV broadcasts?</t>
  </si>
  <si>
    <t>Mercedes-Benz Superdome,</t>
  </si>
  <si>
    <t>32 °C</t>
  </si>
  <si>
    <t>Which former referee served as an analyst for CBS?</t>
  </si>
  <si>
    <t>In which year did Benjamin Lamme achieve success making the motor more efficient?</t>
  </si>
  <si>
    <t>Does BSkyB carry any control over the picture quality of a channel?</t>
  </si>
  <si>
    <t>What needs to be larger to get the same work out of lower pressure steam?</t>
  </si>
  <si>
    <t>former King of Thebes</t>
  </si>
  <si>
    <t>Who shared sideline duties with Evan Washburn?</t>
  </si>
  <si>
    <t>Earth must be much older than had previously been supposed</t>
  </si>
  <si>
    <t>Why was Tesla returned to Gospic?</t>
  </si>
  <si>
    <t>In what year did Fresno experience the most rainfall?</t>
  </si>
  <si>
    <t>The success of the first two landings allowed the remaining missions to be crewed with a single veteran as Commander, with two rookies. Apollo 13 launched Lovell, Jack Swigert, and Fred Haise in April 1970, headed for the Fra Mauro formation. But two days out, a liquid oxygen tank exploded, disabling the Service Module and forcing the crew to use the LM as a "life boat" to return to Earth. Another NASA review board was convened to determine the cause, which turned out to be a combination of damage of the tank in the factory, and a subcontractor not making a tank component according to updated design specifications. Apollo was grounded again, for the remainder of 1970 while the oxygen tank was redesigned and an extra one was added.</t>
  </si>
  <si>
    <t>Where were the Lambing Flat riots?</t>
  </si>
  <si>
    <t>ABC dominated the American television landscape during the 1970s and early 1980s (by 1980, the three major networks represented 90% of all prime-time television viewership in the U.S.). Several flagship series debuted on the network during this time including Dynasty, an opulent drama from Aaron Spelling that became a hit when it premiered as a midseason series in 1981, five months before Spelling's other ABC hit Charlie's Angels ended its run. The network was also propelled during the early 1980s by the continued successes of Happy Days, Three's Company, Laverne &amp; Shirley and Fantasy Island, and gained new hits in Too Close for Comfort, Soap spinoff Benson and Happy Days spinoff Mork &amp; Mindy. In 1981, ABC (through its ABC Video Services division) launched the Alpha Repertory Television Service (ARTS), a cable channel operated as a joint venture with the Hearst Corporation offering cultural and arts programming, which aired as a nighttime service over the channel space of Nickelodeon.</t>
  </si>
  <si>
    <t>1774</t>
  </si>
  <si>
    <t>Why aren't the examples of bouregois architecture visible today?</t>
  </si>
  <si>
    <t>dreams</t>
  </si>
  <si>
    <t>the wilderness of the Maine district</t>
  </si>
  <si>
    <t>Levels of what things are used to determine emission factors?</t>
  </si>
  <si>
    <t>What co-receptor on the T cell helps in recognizing the MHC-antigen complex?</t>
  </si>
  <si>
    <t xml:space="preserve">Which is more sophisticated, numericals model or an analog models of orogenic wedges? </t>
  </si>
  <si>
    <t>the Los Angeles Times</t>
  </si>
  <si>
    <t>Stromatoveris</t>
  </si>
  <si>
    <t>Steam engines are external combustion engines, where the working fluid is separate from the combustion products. Non-combustion heat sources such as solar power, nuclear power or geothermal energy may be used. The ideal thermodynamic cycle used to analyze this process is called the Rankine cycle. In the cycle, water is heated and transforms into steam within a boiler operating at a high pressure. When expanded through pistons or turbines, mechanical work is done. The reduced-pressure steam is then condensed and pumped back into the boiler.</t>
  </si>
  <si>
    <t>The southern part of the Amazon forest was mainly impacted by drought in what year?</t>
  </si>
  <si>
    <t>Who made experimental measurements on a model steam engine?</t>
  </si>
  <si>
    <t>How many classes of immune hypersensitivity are there?</t>
  </si>
  <si>
    <t>tax exemptions</t>
  </si>
  <si>
    <t>hopes for campaigns on Lake Ontario, and endangered the Oswego garrison</t>
  </si>
  <si>
    <t>warmest regions</t>
  </si>
  <si>
    <t>help stabilize the rest of the chloroplast genome</t>
  </si>
  <si>
    <t>When did Buyantu resume testing potential government employees?</t>
  </si>
  <si>
    <t>"generally unfounded and also marginal to the assessment"</t>
  </si>
  <si>
    <t>Who was ABC's third major rival in 1949?</t>
  </si>
  <si>
    <t>DTIME(f(n)).</t>
  </si>
  <si>
    <t>1977</t>
  </si>
  <si>
    <t>in the chloroplasts of C4 plants,</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</si>
  <si>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1865–1871 and designed by Jan Dobrowolski. In 1927 a zoological garden (Ogród Zoologiczny) was established on the park grounds, and in 1952 a bear run, still open today.</t>
  </si>
  <si>
    <t>How much did advertising revenue increase for ABC between 1953 and 1958?</t>
  </si>
  <si>
    <t>their animosity toward each other</t>
  </si>
  <si>
    <t>seizures</t>
  </si>
  <si>
    <t>a complete list of primes up to  is known</t>
  </si>
  <si>
    <t>lands west of the Appalachian Mountains</t>
  </si>
  <si>
    <t>What did Smedley Butler call US foreign Policy?</t>
  </si>
  <si>
    <t>In what year did one individual suggest classifying the trees of the Amazon into four categories?</t>
  </si>
  <si>
    <t>8.5 mi</t>
  </si>
  <si>
    <t>Exodus</t>
  </si>
  <si>
    <t>Where does the Ijssel branch flow?</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</si>
  <si>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</si>
  <si>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the Seventh Doctor</t>
  </si>
  <si>
    <t>What language did Tesla study while in school?</t>
  </si>
  <si>
    <t>The Late Late Show with James Corden.</t>
  </si>
  <si>
    <t>What would a Probationer need to do to earn more money, after 6 years?</t>
  </si>
  <si>
    <t>What was Galileo Ferraris?</t>
  </si>
  <si>
    <t>State Board of Education</t>
  </si>
  <si>
    <t>When will Ford's manufacturing plants close?</t>
  </si>
  <si>
    <t>What new component was found in certain rocks from the moon?</t>
  </si>
  <si>
    <t>What was the shape that Faget designed for the Apollo command module?</t>
  </si>
  <si>
    <t>achievement-oriented</t>
  </si>
  <si>
    <t>What percent of girls are in prostution in Kenyas coastal areas?</t>
  </si>
  <si>
    <t>optimisation of a drug treatment for an individual</t>
  </si>
  <si>
    <t>Trioxygen</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</si>
  <si>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</si>
  <si>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them</t>
  </si>
  <si>
    <t>The merger between ABC and Capital Cities received federal approval on September 5, 1985. After the ABC/Capital Cities merger was finalized on January 3, 1986, the combined company – which became known as Capital Cities/ABC, Inc. – added four television stations (WPVI-TV/Philadelphia, KTRK-TV/Houston, KFSN-TV/Fresno and WTVD/Raleigh) and several radio stations to ABC's broadcasting portfolio, and also included Fairchild Publications and four newspapers (including The Kansas City Star and Fort Worth Star-Telegram). It also initiated several changes in its management: Frederick S. Pierce was named president of ABC's broadcasting division; Michael P. Millardi became vice president of ABC Broadcasting, and president of ABC Owned Stations and ABC Video Enterprises; John B. Sias was appointed president of the ABC Television Network; Brandon Stoddard became president of ABC Entertainment (a position to which he had been appointed in November 1985); and Roone Arledge became president of ABC News and ABC Sports. In February 1986, Thomas S. Murphy, who had been serving as CEO of Capital Cities since 1964, was appointed chairman and CEO emeritus of ABC. Jim Duffy stepped down as ABC Television president for a management position at ABC Communications, a subsidiary that specialized in community service programming, including shows related to literary education.</t>
  </si>
  <si>
    <t>What victory symbols did the Mongols build on the plains outside Samarkand?</t>
  </si>
  <si>
    <t>$50,000</t>
  </si>
  <si>
    <t>Why have some men avoided becoming teachers?</t>
  </si>
  <si>
    <t>When were Luther and his prospective bride engaged?</t>
  </si>
  <si>
    <t>Where did von Lettow surrender at?</t>
  </si>
  <si>
    <t>Sir Paul Pindar's house survived which 17th century disaster?</t>
  </si>
  <si>
    <t>Approximately how many works by Rodin are part of the museum collection?</t>
  </si>
  <si>
    <t>orbit the Moon</t>
  </si>
  <si>
    <t>lost money</t>
  </si>
  <si>
    <t>Dinwiddie</t>
  </si>
  <si>
    <t>effect</t>
  </si>
  <si>
    <t>vote clerk</t>
  </si>
  <si>
    <t>What is another name for exoteric?</t>
  </si>
  <si>
    <t>What percentage of New Zealand students attended private schools in April 2014?</t>
  </si>
  <si>
    <t>How many Kenyans are non-religious?</t>
  </si>
  <si>
    <t>Who ran the ball twice for 20 yards on this drive?</t>
  </si>
  <si>
    <t>the Camisards</t>
  </si>
  <si>
    <t>What does rhodophyte mean?</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</si>
  <si>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</si>
  <si>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What happened with the ground water level with the Rhine straightening program?</t>
  </si>
  <si>
    <t>automobile radiator</t>
  </si>
  <si>
    <t>papacy was the Antichrist</t>
  </si>
  <si>
    <t>When was Warsaw's first stock exchange established?</t>
  </si>
  <si>
    <t>offering a higher wage the best of their labor</t>
  </si>
  <si>
    <t>Wartburg Castle</t>
  </si>
  <si>
    <t>Hypersensitivity is an immune response that damages the body's own tissues. They are divided into four classes (Type I –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</si>
  <si>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How many US presidents are alumni of the school?</t>
  </si>
  <si>
    <t>Filipino community</t>
  </si>
  <si>
    <t>"Blue Harvest" and "420"</t>
  </si>
  <si>
    <t>When was Iqbal elected president of the Muslim League?</t>
  </si>
  <si>
    <t>According to economists David Castells-Quintana and Vicente Royuela,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</si>
  <si>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What was AUSTPAC</t>
  </si>
  <si>
    <t xml:space="preserve">Why was the Rhine regulated? </t>
  </si>
  <si>
    <t>What did the second stage in the Saturn V end up doing?</t>
  </si>
  <si>
    <t>The Dornbirner Ach</t>
  </si>
  <si>
    <t>molecular oxygen and hydrogen</t>
  </si>
  <si>
    <t>What did Lavoisier conclude was consumed by combustion in his experiments?</t>
  </si>
  <si>
    <t>What does a writer for the International Crisis Group think the concept of political Islam is a creation of?</t>
  </si>
  <si>
    <t>1885</t>
  </si>
  <si>
    <t>Great Dividing Range</t>
  </si>
  <si>
    <t>a pointless pursuit</t>
  </si>
  <si>
    <t>What Swiss city was the center of the Calvinist movement?</t>
  </si>
  <si>
    <t>1965</t>
  </si>
  <si>
    <t>William Hanna and Joseph Barbera</t>
  </si>
  <si>
    <t>construction of Delta Works</t>
  </si>
  <si>
    <t>forts Shirley had erected at the Oneida Carry</t>
  </si>
  <si>
    <t>How much food does a ctenophora eat in a day?</t>
  </si>
  <si>
    <t>Sixty percent</t>
  </si>
  <si>
    <t>temperance movement.</t>
  </si>
  <si>
    <t>In 1517 who was Luther's bishop?</t>
  </si>
  <si>
    <t>the Theatre Museum</t>
  </si>
  <si>
    <t>What increased in the Rhine because of the land clearance in the upland areas?</t>
  </si>
  <si>
    <t>The average contractor hired how many employees?</t>
  </si>
  <si>
    <t>What river runs alongside Jacksonville?</t>
  </si>
  <si>
    <t>What commemorates Warsaw's heroic history?</t>
  </si>
  <si>
    <t>What caused the need for principal Treaties that ended up forming the EU?</t>
  </si>
  <si>
    <t>Which pair of Genghis Khan's sons were most rivalrous?</t>
  </si>
  <si>
    <t>Who discovered the Yellow Fever virus?</t>
  </si>
  <si>
    <t>Thank Goodness It's Funny</t>
  </si>
  <si>
    <t>1844</t>
  </si>
  <si>
    <t>Bounding of time and space or similar measurements is often used by algorithms to define what?</t>
  </si>
  <si>
    <t>head of state and head of government</t>
  </si>
  <si>
    <t>Who is known as the first Keeper of Fine Art Collection at the V&amp;A?</t>
  </si>
  <si>
    <t>Saturn V to</t>
  </si>
  <si>
    <t>Eleutherian gunpowder mills.</t>
  </si>
  <si>
    <t>The 1970s and 1980s saw the emergence of many graphical imaging packages for the network in which based the logo's setting mainly on special lighting effects then under development including white, blue, pink, rainbow neon and glittering dotted lines. Among the "ABC Circle" logo's many variants was a 1977 ID sequence that featured a bubble on a black background representing the circle with glossy gold letters, and as such, was the first ABC identification card to have a three-dimensional appearance.</t>
  </si>
  <si>
    <t>Supreme Court of the United States</t>
  </si>
  <si>
    <t>Denver Broncos</t>
  </si>
  <si>
    <t>evidence of impact process effects</t>
  </si>
  <si>
    <t>1542</t>
  </si>
  <si>
    <t>Which study showed double the rate of anxiety?</t>
  </si>
  <si>
    <t>What has a Lama determined to do?</t>
  </si>
  <si>
    <t>How much did the population of Victoria increase in ten years after the discovery of gold?</t>
  </si>
  <si>
    <t>March 1974</t>
  </si>
  <si>
    <t>the will of elite politicians</t>
  </si>
  <si>
    <t>How many interceptions did Aqib Talib have for the regular season?</t>
  </si>
  <si>
    <t>Three-Year Plan</t>
  </si>
  <si>
    <t>they surrendered</t>
  </si>
  <si>
    <t>John Vanderbank's workshop</t>
  </si>
  <si>
    <t>State</t>
  </si>
  <si>
    <t>What organization argued that drought, among other effects, could cause the Amazon forest to reach a "tipping point?"</t>
  </si>
  <si>
    <t>2005 and 2010</t>
  </si>
  <si>
    <t>What is an example of a pump component?</t>
  </si>
  <si>
    <t>16,000 to 35,000</t>
  </si>
  <si>
    <t>A formal design team may be assembled to do what?</t>
  </si>
  <si>
    <t>What collection does the V&amp;A Theatre &amp; Performance galleries hold?</t>
  </si>
  <si>
    <t>Which measure must be adopted when there is a choice between several?</t>
  </si>
  <si>
    <t>political Islam</t>
  </si>
  <si>
    <t>Why did CBS turn down the pitch for The Untouchables?</t>
  </si>
  <si>
    <t>Samuel Webber</t>
  </si>
  <si>
    <t>What is the immune system of the brained known as?</t>
  </si>
  <si>
    <t>Luther made his pronouncements from Wartburg in the context of rapid developments at Wittenberg, of which he was kept fully informed. Andreas Karlstadt, supported by the ex-Augustinian Gabriel Zwilling, embarked on a radical programme of reform there in June 1521, exceeding anything envisaged by Luther. The reforms provoked disturbances, including a revolt by the Augustinian friars against their prior, the smashing of statues and images in churches, and denunciations of the magistracy. After secretly visiting Wittenberg in early December 1521, Luther wrote A Sincere Admonition by Martin Luther to All Christians to Guard Against Insurrection and Rebellion. Wittenberg became even more volatile after Christmas when a band of visionary zealots, the so-called Zwickau prophets, arrived, preaching revolutionary doctrines such as the equality of man, adult baptism, and Christ's imminent return. When the town council asked Luther to return, he decided it was his duty to act.</t>
  </si>
  <si>
    <t>The legislative body, the Council, are made up of what type of individuals?</t>
  </si>
  <si>
    <t>When did the Syrian Civil War begin?</t>
  </si>
  <si>
    <t>Ugly Betty's ratings fell dramatically after the series movie to what night?</t>
  </si>
  <si>
    <t>tuition-free</t>
  </si>
  <si>
    <t>Where might committees meet outside of Parliament?</t>
  </si>
  <si>
    <t>Plants have two main immune responses—the hypersensitive response, in which infected cells seal themselves off and undergo programmed cell death, and systemic acquired resistance, where infected cells release signals warning the rest of the plant of a pathogen's presence. Chloroplasts stimulate both responses by purposely damaging their photosynthetic system, producing reactive oxygen species. High levels of reactive oxygen species will cause the hypersensitive response. The reactive oxygen species also directly kill any pathogens within the cell. Lower levels of reactive oxygen species initiate systemic acquired resistance, triggering defense-molecule production in the rest of the plant.</t>
  </si>
  <si>
    <t>Where in Las Vegas did a famous protest take place?</t>
  </si>
  <si>
    <t>KSEE</t>
  </si>
  <si>
    <t>2,900 kilometres (1,802 mi)</t>
  </si>
  <si>
    <t xml:space="preserve">In considering Turing machines and alternate variables, what measurement left unaffected by conversion between machine models? </t>
  </si>
  <si>
    <t>What person argues that civil disobedience is used to describe everything?</t>
  </si>
  <si>
    <t>the repulsion of like charges under the influence of the electromagnetic force</t>
  </si>
  <si>
    <t>Lucas Horenbout</t>
  </si>
  <si>
    <t>amongst the elected MSPs</t>
  </si>
  <si>
    <t>Outside of Northern San Diego, which other region contains business districts?</t>
  </si>
  <si>
    <t>Tesla was the fourth of five children. He had an older brother named Dane and three sisters, Milka, Angelina and Marica. Dane was killed in a horse-riding accident when Nikola was five. In 1861, Tesla attended the "Lower" or "Primary" School in Smiljan where he studied German, arithmetic, and religion. In 1862, the Tesla family moved to Gospić, Austrian Empire, where Tesla's father worked as a pastor. Nikola completed "Lower" or "Primary" School, followed by the "Lower Real Gymnasium" or "Normal School."</t>
  </si>
  <si>
    <t>amount of time for which they are allowed to speak</t>
  </si>
  <si>
    <t>Prime Minister</t>
  </si>
  <si>
    <t>anthropological</t>
  </si>
  <si>
    <t>Liberal Party of Australia</t>
  </si>
  <si>
    <t>Ctenophores form an animal phylum that is more complex than sponges, about as complex as cnidarians (jellyfish, sea anemones, etc.), and less complex than bilaterians (which include almost all other animals). Unlike sponges, both ctenophores and cnidarians have: cells bound by inter-cell connections and carpet-like basement membranes; muscles; nervous systems; and some have sensory organs. Ctenophores are distinguished from all other animals by having colloblasts, which are sticky and adhere to prey, although a few ctenophore species lack them.</t>
  </si>
  <si>
    <t>Fred Silverman</t>
  </si>
  <si>
    <t>for its popular beaches</t>
  </si>
  <si>
    <t>What is the name of the stadium where Super Bowl 50 was played?</t>
  </si>
  <si>
    <t>What group has no feeding appendages?</t>
  </si>
  <si>
    <t>Jon Pertwee</t>
  </si>
  <si>
    <t>23,300 kg</t>
  </si>
  <si>
    <t>Manning finished the year with a career-low 67.9 passer rating, throwing for 2,249 yards and nine touchdowns, with 17 interceptions. In contrast, Osweiler threw for 1,967 yards, 10 touchdowns and six interceptions for a rating of 86.4. Veteran receiver Demaryius Thomas led the team with 105 receptions for 1,304 yards and six touchdowns, while Emmanuel Sanders caught 76 passes for 1,135 yards and six scores, while adding another 106 yards returning punts. Tight end Owen Daniels was also a big element of the passing game with 46 receptions for 517 yards. Running back C. J. Anderson was the team's leading rusher 863 yards and seven touchdowns, while also catching 25 passes for 183 yards. Running back Ronnie Hillman also made a big impact with 720 yards, five touchdowns, 24 receptions, and a 4.7 yards per carry average. Overall, the offense ranked 19th in scoring with 355 points and did not have any Pro Bowl selections.</t>
  </si>
  <si>
    <t>both the government and the National Assembly and the Senate</t>
  </si>
  <si>
    <t>Chagatai and Jochi)</t>
  </si>
  <si>
    <t>What are some examples of territories where a member state is responsible for external relations?</t>
  </si>
  <si>
    <t>inferior</t>
  </si>
  <si>
    <t>Chester, South Carolina</t>
  </si>
  <si>
    <t>more than 10,000 m2</t>
  </si>
  <si>
    <t>increased</t>
  </si>
  <si>
    <t>Lake Baikal</t>
  </si>
  <si>
    <t>Paleoclimatologists measure the ratio of oxygen-18 and oxygen-16 in the shells and skeletons of marine organisms to determine what the climate was like millions of years ago (see oxygen isotope ratio cycle). Seawater molecules that contain the lighter isotope, oxygen-16, evaporate at a slightly faster rate than water molecules containing the 12% heavier oxygen-18; this disparity increases at lower temperatures. During periods of lower global temperatures, snow and rain from that evaporated water tends to be higher in oxygen-16, and the seawater left behind tends to be higher in oxygen-18. Marine organisms then incorporate more oxygen-18 into their skeletons and shells than they would in a warmer climate. Paleoclimatologists also directly measure this ratio in the water molecules of ice core samples that are up to several hundreds of thousands of years old.</t>
  </si>
  <si>
    <t>Afghanistan</t>
  </si>
  <si>
    <t>southern</t>
  </si>
  <si>
    <t>The Rankine cycle</t>
  </si>
  <si>
    <t>The presence of who is highly likely even in small projects?</t>
  </si>
  <si>
    <t>27</t>
  </si>
  <si>
    <t>What is an annual two-day multicultural event held in Newcastle in late August?</t>
  </si>
  <si>
    <t>Who relaunched Doctor Who in 2005?</t>
  </si>
  <si>
    <t>The annual NFL Experience</t>
  </si>
  <si>
    <t>When was the wedding banquet celebrated?</t>
  </si>
  <si>
    <t>What is being described when simplicity of geometrical forms are teamed with inspiration from the Roman period?</t>
  </si>
  <si>
    <t>Sir Edwin Lutyens</t>
  </si>
  <si>
    <t>ABC created what company as a syndication distributor in response to the FCC's fin-syn rules?</t>
  </si>
  <si>
    <t>What is the average construction salary in the Middle East?</t>
  </si>
  <si>
    <t>Isaac</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</si>
  <si>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</si>
  <si>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What did the new mass allow as regards ceremony?</t>
  </si>
  <si>
    <t>more positive</t>
  </si>
  <si>
    <t>true repentance does not involve self-inflicted penances and punishments but rather a change of heart.</t>
  </si>
  <si>
    <t>The frequent availability of what substance allowed land-based steam engines to exhaust a great deal of steam?</t>
  </si>
  <si>
    <t>What happened in 1901?</t>
  </si>
  <si>
    <t>What kind of region can be found inside the urban area of southern California?</t>
  </si>
  <si>
    <t>the adaptive immune system</t>
  </si>
  <si>
    <t>Baden-Württemberg</t>
  </si>
  <si>
    <t>market</t>
  </si>
  <si>
    <t>Why the narrow part of St. John's River called Cowford?</t>
  </si>
  <si>
    <t>five to ten years</t>
  </si>
  <si>
    <t>Committees</t>
  </si>
  <si>
    <t>When suffering from sleep deprivation, active immunizations may have a diminished effect and may result in lower antibody production, and a lower immune response, than would be noted in a well-rested individual. Additionally, proteins such as NFIL3, which have been shown to be closely intertwined with both T-cell differentiation and our circadian rhythms, can be affected through the disturbance of natural light and dark cycles through instances of sleep deprivation, shift work, etc. As a result, these disruptions can lead to an increase in chronic conditions such as heart disease, chronic pain, and asthma.</t>
  </si>
  <si>
    <t>few hundred feet</t>
  </si>
  <si>
    <t>What was Ban Ki-Moon the Secretary General of?</t>
  </si>
  <si>
    <t>Students show more interest in classes taught by what type of teachers?</t>
  </si>
  <si>
    <t>Solimões Basin</t>
  </si>
  <si>
    <t>the City of Edinburgh Council</t>
  </si>
  <si>
    <t>Where was Luther's last sermon preached?</t>
  </si>
  <si>
    <t>When did the UMC's General Board of Church and Society call on all United Methodists to abstain from alcohol for Lent?</t>
  </si>
  <si>
    <t>under the temporal sovereign</t>
  </si>
  <si>
    <t>κτείς kteis 'comb' and φέρω pherō 'carry'</t>
  </si>
  <si>
    <t>"business as usual" (BAU)</t>
  </si>
  <si>
    <t>Newcastle is home to a large population of what type of person?</t>
  </si>
  <si>
    <t>How old are the fossils found that represent ctenophhores ?</t>
  </si>
  <si>
    <t>In what year did the Apollo 1 cabin fire occur?</t>
  </si>
  <si>
    <t>From which period did the objects in the Soulages collection come from?</t>
  </si>
  <si>
    <t>Shi Tianze was a Han Chinese who lived in the Jin dynasty. Interethnic marriage between Han and Jurchen became common at this time. His father was Shi Bingzhi (史秉直,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張柔), and Yan Shi (Yen Shih, 嚴實) and other high ranking Chinese who served in the Jin dynasty and defected to the Mongols helped build the structure for the administration of the new state. Chagaan (Tsagaan) and Zhang Rou jointly launched an attack on the Song dynasty ordered by Töregene Khatun.</t>
  </si>
  <si>
    <t>What does connection orientation require</t>
  </si>
  <si>
    <t>cytotoxic natural killer cells and CTLs</t>
  </si>
  <si>
    <t>fertility</t>
  </si>
  <si>
    <t>Where did the Broncos practice for the Super Bowl?</t>
  </si>
  <si>
    <t>What was the name of the first building built on campus grounds?</t>
  </si>
  <si>
    <t>civil disobedience</t>
  </si>
  <si>
    <t>Which NBC radio network was tasked with testing new programs?</t>
  </si>
  <si>
    <t>soy</t>
  </si>
  <si>
    <t>printing press</t>
  </si>
  <si>
    <t>both houses of Congress.</t>
  </si>
  <si>
    <t>What type of skills does the market bid up compensation for?</t>
  </si>
  <si>
    <t>the narrow end</t>
  </si>
  <si>
    <t>What is unique about  a hermaphrodite?</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</si>
  <si>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</si>
  <si>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Boulton</t>
  </si>
  <si>
    <t>cancelling a third unmanned test</t>
  </si>
  <si>
    <t>Who was the main crew of Apollo 1, of which they named themselves?</t>
  </si>
  <si>
    <t>What is polish for "mermaid"?</t>
  </si>
  <si>
    <t>$5 million.</t>
  </si>
  <si>
    <t>What type of T cells help with both innnate and adaptive immunity?</t>
  </si>
  <si>
    <t>National Climate Change Action Plan</t>
  </si>
  <si>
    <t>What do some sources say Nikola's brother died from?</t>
  </si>
  <si>
    <t>12:00 to 6:00 p.m. Eastern Time</t>
  </si>
  <si>
    <t>the plastome</t>
  </si>
  <si>
    <t>What was invented by Savery?</t>
  </si>
  <si>
    <t>has trouble crossing membranes to get to where it is needed</t>
  </si>
  <si>
    <t>In 1226, immediately after returning from the west, Genghis Khan began a retaliatory attack on the Tanguts. His armies quickly took Heisui, Ganzhou, and Suzhou (not the Suzhou in Jiangsu province), and in the autumn he took Xiliang-fu[disambiguation needed]. One of the Tangut generals challenged the Mongols to a battle near Helan Mountains but was defeated. In November, Genghis laid siege to the Tangut city Lingzhou and crossed the Yellow River, defeating the Tangut relief army. According to legend, it was here that Genghis Khan reportedly saw a line of five stars arranged in the sky and interpreted it as an omen of his victory.</t>
  </si>
  <si>
    <t>the university's off-campus rental policies</t>
  </si>
  <si>
    <t>Truth, Justice and Reconciliation Commission</t>
  </si>
  <si>
    <t>What did the development of this fertile soil provide in hostile environment?</t>
  </si>
  <si>
    <t>he worked as a draftsman</t>
  </si>
  <si>
    <t>Which network regained the ratings lead in America in 1984?</t>
  </si>
  <si>
    <t>IPCC chairman</t>
  </si>
  <si>
    <t>What do the Waal and the Nederrijn-Lek discharge throguh?</t>
  </si>
  <si>
    <t>God's punishment for sin</t>
  </si>
  <si>
    <t>How many French colonists were gained by British?</t>
  </si>
  <si>
    <t>article 49</t>
  </si>
  <si>
    <t>ranges from 53% in Botswana to -40% in Bahrain</t>
  </si>
  <si>
    <t>uncertainty</t>
  </si>
  <si>
    <t>his means of seizing</t>
  </si>
  <si>
    <t>Michelle Gomez</t>
  </si>
  <si>
    <t>a new indoor complex</t>
  </si>
  <si>
    <t>When did the Rhine become borders with Francia?</t>
  </si>
  <si>
    <t>How many seconds were left in the game when the Broncos intercepted the pass that won the game?</t>
  </si>
  <si>
    <t>What did this hymn presage?</t>
  </si>
  <si>
    <t>Annan and his UN-backed panel and African Union chairman Jakaya Kikwete</t>
  </si>
  <si>
    <t>400 m</t>
  </si>
  <si>
    <t>Great Fire of London</t>
  </si>
  <si>
    <t>1806</t>
  </si>
  <si>
    <t>In 2001, 16 national science academies issued a joint statement on climate change. The joint statement was made by the Australian Academy of Science, the Royal Flemish Academy of Belgium for Science and the Arts, the Brazilian Academy of Sciences, the Royal Society of Canada, the Caribbean Academy of Sciences, the Chinese Academy of Sciences, the French Academy of Sciences, the German Academy of Natural Scientists Leopoldina, the Indian National Science Academy, the Indonesian Academy of Sciences, the Royal Irish Academy, Accademia Nazionale dei Lincei (Italy), the Academy of Sciences Malaysia, the Academy Council of the Royal Society of New Zealand, the Royal Swedish Academy of Sciences, and the Royal Society (UK). The statement, also published as an editorial in the journal Science, stated "we support the [TAR's] conclusion that it is at least 90% certain that temperatures will continue to rise, with average global surface temperature projected to increase by between 1.4 and 5.8 °C above 1990 levels by 2100". The TAR has also been endorsed by the Canadian Foundation for Climate and Atmospheric Sciences, Canadian Meteorological and Oceanographic Society, and European Geosciences Union (refer to "Endorsements of the IPCC").</t>
  </si>
  <si>
    <t>Warsaw was occupied by Germany from 4 August 1915 until November 1918. The Allied Armistice terms required in Article 12 that Germany withdraw from areas controlled by Russia in 1914, which included Warsaw. Germany did so, and underground leader Piłsudski returned to Warsaw on 11 November and set up what became the Second Polish Republic, with Warsaw the capital. In the course of the Polish-Bolshevik War of 1920, the huge Battle of Warsaw was fought on the eastern outskirts of the city in which the capital was successfully defended and the Red Army defeated. Poland stopped by itself the full brunt of the Red Army and defeated an idea of the "export of the revolution".</t>
  </si>
  <si>
    <t>Why did the European nations and Japan separated themselves from United States during the crisis?</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</si>
  <si>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</si>
  <si>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the union of the Methodist Church (USA) and the Evangelical United Brethren Church</t>
  </si>
  <si>
    <t>What does the time element in construction mean?</t>
  </si>
  <si>
    <t>steam turbine</t>
  </si>
  <si>
    <t>Why would a person chose civil disobedience against specific laws?</t>
  </si>
  <si>
    <t>Whic Carolina Panthers running back was waived?</t>
  </si>
  <si>
    <t>reduce costs and maximize profits</t>
  </si>
  <si>
    <t>Approximately how many textiles comprise the museum's collections of South and South-East Asian art?</t>
  </si>
  <si>
    <t>What is another term for shortening the admission event?</t>
  </si>
  <si>
    <t>How many professors does the Warsaw University of Technology employ?</t>
  </si>
  <si>
    <t>Y. pestis was the causative agent of the epidemic plague that devastated Europe during the Middle Ages</t>
  </si>
  <si>
    <t>Who presents different ideas about how to accomplish goals?</t>
  </si>
  <si>
    <t>Choctaw and the Creek</t>
  </si>
  <si>
    <t>St. George's United Methodist Church, located at the corner of 4th and New Streets, in the Old City neighborhood of Philadelphia, is the oldest Methodist church in continuous use in the United States, beginning in 1769. The congregation was founded in 1767, meeting initially in a sail loft on Dock Street, and in 1769 it purchased the shell of a building which had been erected in 1763 by a German Reformed congregation. At this time, Methodists had not yet broken away from the Anglican Church and the Methodist Episcopal Church was not founded until 1784.</t>
  </si>
  <si>
    <t>What drives down wages in a job with many workers willing to work a lot?</t>
  </si>
  <si>
    <t>almost 2,000 m</t>
  </si>
  <si>
    <t>late night openings</t>
  </si>
  <si>
    <t>a Noetherian commutative ring</t>
  </si>
  <si>
    <t>What are ABC's current daytime talk shows?</t>
  </si>
  <si>
    <t>What aid is available to underprivileged students seeking to attend a private university?</t>
  </si>
  <si>
    <t>Leo X</t>
  </si>
  <si>
    <t>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Thoreau’s imprisonment, when a confused taxman had wondered aloud about how to handle his refusal to pay, Thoreau had advised, “Resign.” If a man chose to be an agent of injustice, then Thoreau insisted on confronting him with the fact that he was making a choice. But if government is “the voice of the people,” as it is often called, shouldn’t that voice be heeded? Thoreau admits that government may express the will of the majority but it may also express nothing more than the will of elite politicians. Even a good form of government is “liable to be abused and perverted before the people can act through it.”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t>
  </si>
  <si>
    <t>death and divine judgment</t>
  </si>
  <si>
    <t>Albert of Mainz</t>
  </si>
  <si>
    <t>supply and demand</t>
  </si>
  <si>
    <t>organic</t>
  </si>
  <si>
    <t>Gareth Hoskins was responsible for contemporary and architecture, Softroom, Islamic Middle East and the Members' Room, McInnes Usher McKnight Architects</t>
  </si>
  <si>
    <t>near Shoreham, Long Island</t>
  </si>
  <si>
    <t>anticlines and synclines</t>
  </si>
  <si>
    <t>competition between employers for employees</t>
  </si>
  <si>
    <t>Halford Mackinder and Friedrich Ratzel where what kind of geographers?</t>
  </si>
  <si>
    <t>31–24,</t>
  </si>
  <si>
    <t>In early 2012</t>
  </si>
  <si>
    <t>8 November 2010</t>
  </si>
  <si>
    <t>What was the building that formerly occupied the V&amp;A's present site called?</t>
  </si>
  <si>
    <t>accept punishment</t>
  </si>
  <si>
    <t>To promote accessibility of the works, what did Luther remove?</t>
  </si>
  <si>
    <t>For whom was Luther concerned about in Mansfeld?</t>
  </si>
  <si>
    <t>How long has the Doctor Who Magazine been in circulation?</t>
  </si>
  <si>
    <t>PM will have power and authority to co-ordinate and supervise the functions of the Government</t>
  </si>
  <si>
    <t>multiplication</t>
  </si>
  <si>
    <t>As what did Robert Michael view Luther's violent language towards the Jews?</t>
  </si>
  <si>
    <t xml:space="preserve">How long is the section that turns north? </t>
  </si>
  <si>
    <t>old prescription books and antique drugs</t>
  </si>
  <si>
    <t>traditional Mongolian aristocracy</t>
  </si>
  <si>
    <t>the West</t>
  </si>
  <si>
    <t>What religion's schools does the term 'parochial schools' generally refer to?</t>
  </si>
  <si>
    <t>In what geographical portion of Wales is Abercynon located?</t>
  </si>
  <si>
    <t>Not only are all the major British architects of the last four hundred years represented, but many European (especially Italian) and American architects' drawings are held in the collection. The RIBA's holdings of over 330 drawings by Andrea Palladio are the largest in the world, other Europeans well represented are Jacques Gentilhatre and Antonio Visentini. British architects whose drawings, and in some cases models of their buildings, in the collection, include: Inigo Jones, Sir Christopher Wren, Sir John Vanbrugh, Nicholas Hawksmoor, William Kent, James Gibbs, Robert Adam, Sir William Chambers, James Wyatt, Henry Holland, John Nash, Sir John Soane, Sir Charles Barry, Charles Robert Cockerell, Augustus Welby Northmore Pugin, Sir George Gilbert Scott, John Loughborough Pearson, George Edmund Street, Richard Norman Shaw, Alfred Waterhouse, Sir Edwin Lutyens, Charles Rennie Mackintosh, Charles Holden, Frank Hoar, Lord Richard Rogers, Lord Norman Foster, Sir Nicholas Grimshaw, Zaha Hadid and Alick Horsnell.</t>
  </si>
  <si>
    <t>Who painted the retable of St. George that is in the V&amp;A collection?</t>
  </si>
  <si>
    <t>Buddhism, especially the Tibetan variants</t>
  </si>
  <si>
    <t>Start Here</t>
  </si>
  <si>
    <t>Where do most plants have chloroplasts?</t>
  </si>
  <si>
    <t>How many people were lost in Algiers during 1620-21?</t>
  </si>
  <si>
    <t>the public</t>
  </si>
  <si>
    <t>9–18.</t>
  </si>
  <si>
    <t>thanks</t>
  </si>
  <si>
    <t>balance of parties across Parliament</t>
  </si>
  <si>
    <t>The United Methodist Church has since 1985 been exploring a possible merger with three historically African-American Methodist denominations: the African Methodist Episcopal Church, the African Methodist Episcopal Zion Church, and the Christian Methodist Episcopal Church. A Commission on Pan Methodist Cooperation and Union formed in 2000 to carry out work on such a merger. In May 2012, The United Methodist Church entered into full communion with the African Methodist Episcopal Church, African Methodist Episcopal Zion Church, African Union Methodist Protestant Church, Christian Methodist Episcopal Church, and Union American Methodist Episcopal Church, in which these Churches agreed to "recognize each other's churches, share sacraments, and affirm their clergy and ministries."</t>
  </si>
  <si>
    <t>What do C4 plants need?</t>
  </si>
  <si>
    <t>Fresno (/ˈfrɛznoʊ/ FREZ-noh), the county seat of Fresno County, is a city in the U.S. state of California. As of 2015, the city's population was 520,159, making it the fifth-largest city in California, the largest inland city in California and the 34th-largest in the nation. Fresno is in the center of the San Joaquin Valley and is the largest city in the Central Valley, which contains the San Joaquin Valley. It is approximately 220 miles (350 km) northwest of Los Angeles, 170 miles (270 km) south of the state capital, Sacramento, or 185 miles (300 km) south of San Francisco. The name Fresno means "ash tree" in Spanish, and an ash leaf is featured on the city's flag.</t>
  </si>
  <si>
    <t>many of its genes were lost or transferred</t>
  </si>
  <si>
    <t>high fuel prices and new competition from low-cost air services</t>
  </si>
  <si>
    <t>0.5</t>
  </si>
  <si>
    <t xml:space="preserve">What was used to sod the Levi's Stadium for Super Bowl 50? </t>
  </si>
  <si>
    <t>ocean</t>
  </si>
  <si>
    <t>Conservation</t>
  </si>
  <si>
    <t>PNU and ODM camps</t>
  </si>
  <si>
    <t>These kinds of programs presented ABC with an image of the "philosophy of counterprogramming against its competitors", offering a strong lineup of programs that contrasted with those seen on its rival networks, which helped Goldenson give the network a continuum between film and television. ABC's western series (as well as series such as the actioner Zorro) went up against and defeated the variety shows aired by NBC and CBS in the fall of 1957, and its detective shows did the same in the fall of 1959. To captivate the network's audiences, short 66-minute series were scheduled a half-hour before their hour-long competition. In May 1961, Life criticized the public enthusiasm and sponsorship for these types of shows at the expense of news programming and denounced an unofficial law "replacing the good programs with the bad ones".</t>
  </si>
  <si>
    <t>around half</t>
  </si>
  <si>
    <t>nonfunctional pseudogenes</t>
  </si>
  <si>
    <t>SI unit of magnetic flux density</t>
  </si>
  <si>
    <t>What Jewish practice did the Yuan ban?</t>
  </si>
  <si>
    <t>Based on population alone, what is Jacksonville's ranking in the United States?</t>
  </si>
  <si>
    <t>Australia</t>
  </si>
  <si>
    <t>The justifying grace</t>
  </si>
  <si>
    <t>US</t>
  </si>
  <si>
    <t>1,000 British soldiers</t>
  </si>
  <si>
    <t>For many native populations, the elimination of French power in North America meant the disappearance of a strong ally and counterweight to British expansion, leading to their ultimate dispossession. The Ohio Country was particularly vulnerable to legal and illegal settlement due to the construction of military roads to the area by Braddock and Forbes. Although the Spanish takeover of the Louisiana territory (which was not completed until 1769) had modest repercussions, the British takeover of Spanish Florida resulted in the westward migration of tribes that did not want to do business with the British, and a rise in tensions between the Choctaw and the Creek, historic enemies whose divisions the British at times exploited. The change of control in Florida also prompted most of its Spanish Catholic population to leave. Most went to Cuba, including the entire governmental records from St. Augustine, although some Christianized Yamasee were resettled to the coast of Mexico.</t>
  </si>
  <si>
    <t>1957</t>
  </si>
  <si>
    <t>What concept was developed by Baran while researching at RAND</t>
  </si>
  <si>
    <t>bones</t>
  </si>
  <si>
    <t>Which player had the most interceptions for the season?</t>
  </si>
  <si>
    <t>non-deterministic</t>
  </si>
  <si>
    <t>an additional port</t>
  </si>
  <si>
    <t>the Privy Council</t>
  </si>
  <si>
    <t>Chartered</t>
  </si>
  <si>
    <t>Who is the commissioner of the NFL?</t>
  </si>
  <si>
    <t>large dumbbell-shaped</t>
  </si>
  <si>
    <t>The British</t>
  </si>
  <si>
    <t>garrisons</t>
  </si>
  <si>
    <t>making ARPANET technology public</t>
  </si>
  <si>
    <t>Evolution of what part of the immune system occurred in the evolutionary ancestor of jawed vertebrates?</t>
  </si>
  <si>
    <t>What did Charles Parsons invent?</t>
  </si>
  <si>
    <t>What protection caused Luther's Reformation to flourish?</t>
  </si>
  <si>
    <t>AAA Auto Clubs</t>
  </si>
  <si>
    <t>What party is strongest in Melbourne's affluent areas?</t>
  </si>
  <si>
    <t>Rankine</t>
  </si>
  <si>
    <t>When did Tugh Temur die?</t>
  </si>
  <si>
    <t>one year at a time</t>
  </si>
  <si>
    <t>What position did Fred Silverman leave ABC to take in 1978?</t>
  </si>
  <si>
    <t>Red Army</t>
  </si>
  <si>
    <t>singularly, attached directly to their parent thylakoid</t>
  </si>
  <si>
    <t>Thomas Murphy</t>
  </si>
  <si>
    <t>Who was Kublai Khan's grandfather?</t>
  </si>
  <si>
    <t>What author did Tesla credit for his recovery?</t>
  </si>
  <si>
    <t>William Farel</t>
  </si>
  <si>
    <t>What is the lone MLS team that belongs to southern California?</t>
  </si>
  <si>
    <t>1534</t>
  </si>
  <si>
    <t>March</t>
  </si>
  <si>
    <t>How would the word apothecary be viewed by contemporary English speakers?</t>
  </si>
  <si>
    <t>north</t>
  </si>
  <si>
    <t>What did Luther call these donations?</t>
  </si>
  <si>
    <t>Air Force missile projects</t>
  </si>
  <si>
    <t>200,000 Danish krone</t>
  </si>
  <si>
    <t>If two thirds of the Rhine flows through the Maas, where doe the other one third flow through?</t>
  </si>
  <si>
    <t>What was the hymn meant to examine students on?</t>
  </si>
  <si>
    <t>In what year did Pierre de Fermat declare Fermat's little theorem?</t>
  </si>
  <si>
    <t>Hereford</t>
  </si>
  <si>
    <t>weak labor movements</t>
  </si>
  <si>
    <t>When are subject committees established?</t>
  </si>
  <si>
    <t>parental</t>
  </si>
  <si>
    <t>ENR</t>
  </si>
  <si>
    <t>over 100,000</t>
  </si>
  <si>
    <t>transport</t>
  </si>
  <si>
    <t>tension force on a load can be multiplied</t>
  </si>
  <si>
    <t>While primary chloroplasts have a double membrane from their cyanobacterial ancestor, secondary chloroplasts have additional membranes outside of the original two, as a result of the secondary endosymbiotic event, when a nonphotosynthetic eukaryote engulfed a chloroplast-containing alga but failed to digest it—much like the cyanobacterium at the beginning of this story. The engulfed alga was broken down, leaving only its chloroplast, and sometimes its cell membrane and nucleus, forming a chloroplast with three or four membranes—the two cyanobacterial membranes, sometimes the eaten alga's cell membrane, and the phagosomal vacuole from the host's cell membrane.</t>
  </si>
  <si>
    <t>Since the 2005 revival, the Doctor generally travels with a primary female companion, who occupies a larger narrative role. Steven Moffat described the companion as the main character of the show, as the story begins anew with each companion and she undergoes more change than the Doctor. The primary companions of the Ninth and Tenth Doctors were Rose Tyler (Billie Piper), Martha Jones (Freema Agyeman), and Donna Noble (Catherine Tate) with Mickey Smith (Noel Clarke) and Jack Harkness (John Barrowman) recurring as secondary companion figures. The Eleventh Doctor became the first to travel with a married couple, Amy Pond (Karen Gillan) and Rory Williams (Arthur Darvill), whilst out-of-sync meetings with River Song (Alex Kingston) and Clara Oswald (Jenna Coleman) provided ongoing story arcs. The tenth series will introduce Pearl Mackie as Bill, the Doctor's newest traveling companion.</t>
  </si>
  <si>
    <t>interleukins</t>
  </si>
  <si>
    <t>Marlee Matlin</t>
  </si>
  <si>
    <t>Comb like bands of cilia are called what?</t>
  </si>
  <si>
    <t>1220,</t>
  </si>
  <si>
    <t>legislative programme for the forthcoming year</t>
  </si>
  <si>
    <t>sharia rather than the building of Islamic institutions,</t>
  </si>
  <si>
    <t>new residents willing to pay higher market rate</t>
  </si>
  <si>
    <t>What was happening to subscriber numbers in other areas of europe?</t>
  </si>
  <si>
    <t>not necessarily right</t>
  </si>
  <si>
    <t>Which NASA orbiter photographed evidence of each site on the moon that a manned Apollo mission landing occurred?</t>
  </si>
  <si>
    <t>What are the three sources of European Union law?</t>
  </si>
  <si>
    <t>Kuviasungnerk/Kangeiko</t>
  </si>
  <si>
    <t>pertaining to a citizen's relation to the state and its laws</t>
  </si>
  <si>
    <t>What does the Islamic State lack from the international community?</t>
  </si>
  <si>
    <t>What caused the delay during the development of the AC motor.</t>
  </si>
  <si>
    <t>When did Luther waken with more chest pains?</t>
  </si>
  <si>
    <t>a single output</t>
  </si>
  <si>
    <t>From what French King did the Huguenot name possibly descend?</t>
  </si>
  <si>
    <t>What proportion of the general population in the area than became Iran did Genghis Khan kill?</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</si>
  <si>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</si>
  <si>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lower levels of inequality</t>
  </si>
  <si>
    <t>citizens</t>
  </si>
  <si>
    <t>President Mahmoud Ahmadinejad</t>
  </si>
  <si>
    <t>Steven Barkan writes that if defendants plead not guilty, "they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t>
  </si>
  <si>
    <t>Why has the corruption not be in the public view?</t>
  </si>
  <si>
    <t>"Jacksonvillians"</t>
  </si>
  <si>
    <t>the concept of distributed adaptive message block switching</t>
  </si>
  <si>
    <t>Who wrote "The Hidden Prosperity of the Poor"?</t>
  </si>
  <si>
    <t>Can BSkyB veto the presence of channels on their EPG?</t>
  </si>
  <si>
    <t>Since this was the 50th one, what was the theme color for the Super Bowl?</t>
  </si>
  <si>
    <t>drummes</t>
  </si>
  <si>
    <t>Who thought that the Yuan's social class system shouldn't be called social classes?</t>
  </si>
  <si>
    <t>New York City O&amp;O WABC-TV and Philadelphia O&amp;O WPVI-TV</t>
  </si>
  <si>
    <t>What was the number of customers that the BBC  reported had yet to receive the service due to failed deliveries?</t>
  </si>
  <si>
    <t>the vehicle and everything inside of it is at rest:</t>
  </si>
  <si>
    <t>What was the resolution of the cameras used in the EyeVision 360 system?</t>
  </si>
  <si>
    <t>Bryan Davies</t>
  </si>
  <si>
    <t>Missy</t>
  </si>
  <si>
    <t>HIV</t>
  </si>
  <si>
    <t>$100,000</t>
  </si>
  <si>
    <t>The idea was to create a network of wholly and partially owned channels, and affiliates to rebroadcast the network's programs. In 1959, this rerun activity was completed with program syndication, with ABC Films selling programs to networks not owned by ABC. The arrival of satellite television ended the need for ABC to hold interests in other countries; many governments also wanted to increase their independence and strengthen legislation to limit foreign ownership of broadcasting properties. As a result, ABC was forced to sell all of its interests in international networks, mainly in Japan and Latin America, in the 1970s.</t>
  </si>
  <si>
    <t>Harthacnut</t>
  </si>
  <si>
    <t>England</t>
  </si>
  <si>
    <t>North American Aviation</t>
  </si>
  <si>
    <t>the 1997 Treaty of Amsterdam</t>
  </si>
  <si>
    <t>the San Jose Marriott</t>
  </si>
  <si>
    <t>NFIL3</t>
  </si>
  <si>
    <t>What are white blood cells known as?</t>
  </si>
  <si>
    <t>How many cylinders does the Energiprojekt AB engine have?</t>
  </si>
  <si>
    <t>was lost</t>
  </si>
  <si>
    <t>the Montreal Protocol</t>
  </si>
  <si>
    <t>How many rooms does the Warsaw Historical Museum have?</t>
  </si>
  <si>
    <t>When was Tesla Electric Company formed?</t>
  </si>
  <si>
    <t>Who came up with the concept that falling objects fell at the same speed regardless of weight?</t>
  </si>
  <si>
    <t>product of primes that is unique up to ordering</t>
  </si>
  <si>
    <t>into the lake</t>
  </si>
  <si>
    <t>What percentage of global assets does the richest 1% of people have?</t>
  </si>
  <si>
    <t>Where did Jebe and Subutai spend the winter following the split of the Mongol army?</t>
  </si>
  <si>
    <t>hard-to-fill</t>
  </si>
  <si>
    <t>its failure to consult and "notorious intransigence"</t>
  </si>
  <si>
    <t>high-altitude ozone layer</t>
  </si>
  <si>
    <t>banded iron</t>
  </si>
  <si>
    <t>five or more seats</t>
  </si>
  <si>
    <t>normal forms of parental discipline</t>
  </si>
  <si>
    <t xml:space="preserve"> What may have caused rainforests to grow across South America?</t>
  </si>
  <si>
    <t>22-yard</t>
  </si>
  <si>
    <t>Tanaghrisson</t>
  </si>
  <si>
    <t>In what part of the 19th century were steam turbines introduced?</t>
  </si>
  <si>
    <t>Article 101(1)</t>
  </si>
  <si>
    <t>Walter Reed</t>
  </si>
  <si>
    <t>The city's residents fled to the north</t>
  </si>
  <si>
    <t>damage to the skin</t>
  </si>
  <si>
    <t>Who plotted the relationships between levels of income and inequality?</t>
  </si>
  <si>
    <t>When did Luther enter into the senate of the Theology faculty of the University of Wittenberg?</t>
  </si>
  <si>
    <t>Old Rhine Bridge at Constance</t>
  </si>
  <si>
    <t>Slipback</t>
  </si>
  <si>
    <t>to encourage investment</t>
  </si>
  <si>
    <t>necessity</t>
  </si>
  <si>
    <t>over the issue of laity having a voice and vote in the administration of the church</t>
  </si>
  <si>
    <t>the Council</t>
  </si>
  <si>
    <t>What are antimicrobial peptides that evolved as immune defense in eukaryotes called?</t>
  </si>
  <si>
    <t>the dilemma faced by German citizens when Hitler's secret police demanded to know if they were hiding a Jew in their house</t>
  </si>
  <si>
    <t>the two political parties would share power equally</t>
  </si>
  <si>
    <t>until the second quarter of the 19th century</t>
  </si>
  <si>
    <t>the geographical area it covers</t>
  </si>
  <si>
    <t>before World War I,</t>
  </si>
  <si>
    <t>blooms in the Red Sea</t>
  </si>
  <si>
    <t>Life Savers</t>
  </si>
  <si>
    <t>fall of 1937</t>
  </si>
  <si>
    <t>inspiring end</t>
  </si>
  <si>
    <t>medieval street layout.</t>
  </si>
  <si>
    <t>significantly increased</t>
  </si>
  <si>
    <t>Who is the only quarterback to win a Super Bowl with two teams?</t>
  </si>
  <si>
    <t>Name a larger car that Toyota came up with as buyers lamented the small sized compacts?</t>
  </si>
  <si>
    <t>What group specifically opposed the Huguenots?</t>
  </si>
  <si>
    <t>a lute</t>
  </si>
  <si>
    <t>lecture theatre</t>
  </si>
  <si>
    <t>As a person gets older, what does the skin produce less of?</t>
  </si>
  <si>
    <t>What has the highest impact on wealth accumulation and the resulting income inequality?</t>
  </si>
  <si>
    <t>What is one reason a patient might choose an internet pharmacy?</t>
  </si>
  <si>
    <t>the Fermat primality test</t>
  </si>
  <si>
    <t>What color was featured in promotions related to Super Bowl 50?</t>
  </si>
  <si>
    <t>What is the United States busiest commercial port?</t>
  </si>
  <si>
    <t>Ozone</t>
  </si>
  <si>
    <t>Citadel Media</t>
  </si>
  <si>
    <t>What character in the play portrays civil disobedience?</t>
  </si>
  <si>
    <t>series 1,</t>
  </si>
  <si>
    <t>What is held outside the formal legal ownership registration system in many developing countries?</t>
  </si>
  <si>
    <t>What does chloroplastidan mean?</t>
  </si>
  <si>
    <t>("upper lake"</t>
  </si>
  <si>
    <t>What are the three parchment-bound manuscripts of the Codex Forster called?</t>
  </si>
  <si>
    <t>the American attack on Iraq</t>
  </si>
  <si>
    <t>his granddaughter Susan Foreman</t>
  </si>
  <si>
    <t>Completing Q with respect to what will produce the field of real numbers?</t>
  </si>
  <si>
    <t>What eponymous variation of arithmetic presents a decision problem not evidenced in P?</t>
  </si>
  <si>
    <t>Pacific</t>
  </si>
  <si>
    <t>MPEG-2</t>
  </si>
  <si>
    <t>What caused the dynamos to be burnt out?</t>
  </si>
  <si>
    <t>economic activity</t>
  </si>
  <si>
    <t>North American</t>
  </si>
  <si>
    <t>elude host immune responses</t>
  </si>
  <si>
    <t>216 + 1</t>
  </si>
  <si>
    <t>What is the fastest growing area in the pharmaceutical industry?</t>
  </si>
  <si>
    <t>What are the two simple word responses to a decision problem?</t>
  </si>
  <si>
    <t>What country has a problem with classroom discipline, even though scores on tests are high?</t>
  </si>
  <si>
    <t>vacuum</t>
  </si>
  <si>
    <t>enzymes</t>
  </si>
  <si>
    <t>Some episodes have been returned to the BBC from the archives of other countries who bought prints for broadcast, or by private individuals who acquired them by various means. Early colour videotape recordings made off-air by fans have also been retrieved, as well as excerpts filmed from the television screen onto 8 mm cine film and clips that were shown on other programmes. Audio versions of all of the lost episodes exist from home viewers who made tape recordings of the show. Short clips from every story with the exception of Marco Polo, "Mission to the Unknown" and The Massacre of St Bartholomew's Eve also exist.</t>
  </si>
  <si>
    <t>How much potential economic growth could the United States amass if everyone went through more schooling?</t>
  </si>
  <si>
    <t>level of the top tax rate</t>
  </si>
  <si>
    <t>How many years has Thomas Davis played in the NFL?</t>
  </si>
  <si>
    <t>Pattern recognition receptors</t>
  </si>
  <si>
    <t>nine factors</t>
  </si>
  <si>
    <t>What does Doctor Who do when his body is mortally damaged?</t>
  </si>
  <si>
    <t>Local church and certified  are two types of what?</t>
  </si>
  <si>
    <t>Diseases of poverty</t>
  </si>
  <si>
    <t>For the third straight season, the number one seeds from both conferences met in the Super Bowl. The Carolina Panthers became one of only ten teams to have completed a regular season with only one loss, and one of only six teams to have acquired a 15–1 record, while the Denver Broncos became one of four teams to have made eight appearances in the Super Bowl. The Broncos made their second Super Bowl appearance in three years, having reached Super Bowl XLVIII, while the Panthers made their second Super Bowl appearance in franchise history, their other appearance being Super Bowl XXXVIII. Coincidentally, both teams were coached by John Fox in their last Super Bowl appearance prior to Super Bowl 50.</t>
  </si>
  <si>
    <t>organic molecules</t>
  </si>
  <si>
    <t>Earth's mantle</t>
  </si>
  <si>
    <t>ivory</t>
  </si>
  <si>
    <t>What contains a nearly verbatim of parliamentary debates?</t>
  </si>
  <si>
    <t>What did the Dutch health authorities regard as unnecessary in Geraets-Smits v Stichting Ziekenfonds?</t>
  </si>
  <si>
    <t>How are 'un-aided' schools different from 'aided' schools?</t>
  </si>
  <si>
    <t>Basel, leaving Switzerland</t>
  </si>
  <si>
    <t>natural motion</t>
  </si>
  <si>
    <t>around 1.7 billion years ago</t>
  </si>
  <si>
    <t>Dimensions in Time</t>
  </si>
  <si>
    <t>What are the most passes that Greg Olsen has had?</t>
  </si>
  <si>
    <t>Who created the code that governed military and civilian conduct in the Mongol Empire?</t>
  </si>
  <si>
    <t>assassinated</t>
  </si>
  <si>
    <t>by padlocking the gates</t>
  </si>
  <si>
    <t>Who created an engine using high pressure steam in 1801?</t>
  </si>
  <si>
    <t>a statocyst</t>
  </si>
  <si>
    <t>Which son did Genghis Khan view as his most dependable one?</t>
  </si>
  <si>
    <t>between 10% and 18%</t>
  </si>
  <si>
    <t>Il milione</t>
  </si>
  <si>
    <t>at the Battle of Hastings</t>
  </si>
  <si>
    <t>What is the most common Xanthophyll?</t>
  </si>
  <si>
    <t>A term used originally in derision, Huguenot has unclear origins. Various hypotheses have been promoted. The nickname may have been a combined reference to the Swiss politician Besançon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</si>
  <si>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a malfunction in the chameleon circuit</t>
  </si>
  <si>
    <t>TFEU article 30</t>
  </si>
  <si>
    <t>a single animal can produce both eggs and sperm</t>
  </si>
  <si>
    <t>How far west did the Mongol Empire extend after Kuchlug's demise?</t>
  </si>
  <si>
    <t>"Hymn for the Weekend"</t>
  </si>
  <si>
    <t>location of Warsaw</t>
  </si>
  <si>
    <t>What does the El Centro metropolitan area and San Diego-Carslbad-San Marcos metropolitan area form?</t>
  </si>
  <si>
    <t>over 6000</t>
  </si>
  <si>
    <t>Who ordered the attack on the caravan of traders Genghis Khan send to Khwarezmia?</t>
  </si>
  <si>
    <t>How far is Warsaw from the Baltic Sea?</t>
  </si>
  <si>
    <t>What sort of power transmission did Tesla show off at his labs?</t>
  </si>
  <si>
    <t>15,000</t>
  </si>
  <si>
    <t>The Adventures of Ozzie and Harriet</t>
  </si>
  <si>
    <t>Who was the 2015 NFL MVP?</t>
  </si>
  <si>
    <t>What was Tesla afraid someone was trying to do with his invention?</t>
  </si>
  <si>
    <t>1/6</t>
  </si>
  <si>
    <t>What factor may make a teacher's role vary?</t>
  </si>
  <si>
    <t>What three stadiums did the NFL decide between for the game?</t>
  </si>
  <si>
    <t>eastwards</t>
  </si>
  <si>
    <t>early 1960</t>
  </si>
  <si>
    <t>freedom</t>
  </si>
  <si>
    <t>Why did natural sedimentation by the Rhine compensate the transgression bby the sea?</t>
  </si>
  <si>
    <t>What branch of theoretical computer science deals with broadly classifying computational problems by difficulty and class of relationship?</t>
  </si>
  <si>
    <t>violent economic and political shocks</t>
  </si>
  <si>
    <t>How many of the fifteen points of discussion were agreed on?</t>
  </si>
  <si>
    <t>Who performed a benefit concert for the charity Children in Need?</t>
  </si>
  <si>
    <t>the judge increased her sentence</t>
  </si>
  <si>
    <t>Cyanobacteria are considered the ancestors of chloroplasts. They are sometimes called blue-green algae even though they are prokaryotes. They are a diverse phylum of bacteria capable of carrying out photosynthesis, and are gram-negative, meaning that they have two cell membranes. Cyanobacteria also contain a peptidoglycan cell wall, which is thicker than in other gram-negative bacteria, and which is located between their two cell membranes. Like chloroplasts, they have thylakoids within. On the thylakoid membranes are photosynthetic pigments, including chlorophyll a. Phycobilins are also common cyanobacterial pigments, usually organized into hemispherical phycobilisomes attached to the outside of the thylakoid membranes (phycobilins are not shared with all chloroplasts though).</t>
  </si>
  <si>
    <t>Another position in the United Methodist Church is that of the lay servant. Although not considered clergy, lay speakers often preach during services of worship when an ordained elder, Local Pastor, Associate Member or deacon is unavailable. There are two categories of lay servants: local church lay servant, who serve in and through their local churches, and certified lay servants, who serve in their own churches, in other churches, and through district or conference projects and programs. To be recognized as local church lay servant, they must be recommended by their pastor and Church Council or Charge Conference, and complete the basic course for lay servant. Each year they must reapply, reporting how they have served and continued to learn during that year. To be recognized as certified lay servant, they must be recommended by their pastor and Church Council or Charge Conference, complete the basic course and one advanced lay servant course, and be interviewed by the District or Conference Committee on Lay Speaking. They must report and reapply annually; and they must complete at least one advanced course every three years.</t>
  </si>
  <si>
    <t>Photorespiration can occur when the oxygen concentration is too high. Rubisco cannot distinguish between oxygen and carbon dioxide very well, so it can accidentally add O2 instead of CO2 to RuBP. This process reduces the efficiency of photosynthesis—it consumes ATP and oxygen, releases CO2, and produces no sugar. It can waste up to half the carbon fixed by the Calvin cycle. Several mechanisms have evolved in different lineages that raise the carbon dioxide concentration relative to oxygen within the chloroplast, increasing the efficiency of photosynthesis. These mechanisms are called carbon dioxide concentrating mechanisms, or CCMs. These include Crassulacean acid metabolism, C4 carbon fixation, and pyrenoids. Chloroplasts in C4 plants are notable as they exhibit a distinct chloroplast dimorphism.</t>
  </si>
  <si>
    <t>ONdigital</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</si>
  <si>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</si>
  <si>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proteins</t>
  </si>
  <si>
    <t>What was found to be at fault for the fire in the cabin on Apollo 1 regarding the CM design?</t>
  </si>
  <si>
    <t>the headwaiter</t>
  </si>
  <si>
    <t>Academy Awards, Emmy Awards</t>
  </si>
  <si>
    <t>The Rhine first formed a boundary between Gaul and what else?</t>
  </si>
  <si>
    <t>Of Warsaw's inhabitants in 1901, what percentage was Catholic?</t>
  </si>
  <si>
    <t>Tesla was 6 feet 2 inches (1.88 m) tall and weighed 142 pounds (64 kg), with almost no weight variance from 1888 to about 1926.:292 He was an elegant, stylish figure in New York City, meticulous in his grooming, clothing, and regimented in his daily activities.</t>
  </si>
  <si>
    <t>6 miles</t>
  </si>
  <si>
    <t>How do you avoid problems when determining forces involved on an object from two or more sources?</t>
  </si>
  <si>
    <t>diatomic gas</t>
  </si>
  <si>
    <t>Baldwin</t>
  </si>
  <si>
    <t>Warsaw, especially its city centre (Śródmieście),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t>
  </si>
  <si>
    <t>Schurf</t>
  </si>
  <si>
    <t>When did Torchwood premier?</t>
  </si>
  <si>
    <t>Why has the Muslim Brotherhood facilitated inexpensive mass marriage ceremonies?</t>
  </si>
  <si>
    <t>black-and-white television</t>
  </si>
  <si>
    <t>In 1942, what was North Fresno previously called?</t>
  </si>
  <si>
    <t>Sainte Foy in Quebec</t>
  </si>
  <si>
    <t>Islamism</t>
  </si>
  <si>
    <t>When did the Wahhabi seized the Grand Mosque in Mecca?</t>
  </si>
  <si>
    <t>When were images being used to promote the spread of Lutheranism?</t>
  </si>
  <si>
    <t>1505</t>
  </si>
  <si>
    <t>How did the plague infiltrate Alexandria?</t>
  </si>
  <si>
    <t>How many followers does The Presbyterian Church of East Africa have?</t>
  </si>
  <si>
    <t>$7.5 million</t>
  </si>
  <si>
    <t>What is the enrollment of undergraduates at Harvard?</t>
  </si>
  <si>
    <t>63</t>
  </si>
  <si>
    <t>What is the Dutch name for the Rhine?</t>
  </si>
  <si>
    <t>enzymes that protect against bacteriophage infections</t>
  </si>
  <si>
    <t>remote sensing</t>
  </si>
  <si>
    <t>the Legislative Assembly</t>
  </si>
  <si>
    <t>dangerous by-products</t>
  </si>
  <si>
    <t>Secretariat Wing</t>
  </si>
  <si>
    <t>Who wrote the book "Capital in the Twenty-First Century"?</t>
  </si>
  <si>
    <t>join a polytechnic or other technical college and study for three years or proceed directly to the university and study for four years</t>
  </si>
  <si>
    <t>1886/1887</t>
  </si>
  <si>
    <t>382</t>
  </si>
  <si>
    <t>Wahhabi/Salafi jihadist extremist militant</t>
  </si>
  <si>
    <t>radial</t>
  </si>
  <si>
    <t>How many first downs did Denver have?</t>
  </si>
  <si>
    <t>In what interval are some of the greatest primes without a distinct form discovered in?</t>
  </si>
  <si>
    <t>physicians and other healthcare professionals</t>
  </si>
  <si>
    <t>what was the name of the other HD channel Virgin media could carry in the future?</t>
  </si>
  <si>
    <t>On the Computational Complexity of Algorithms</t>
  </si>
  <si>
    <t>Natural killer cells</t>
  </si>
  <si>
    <t>the traditional old boy network</t>
  </si>
  <si>
    <t>When was the Tower Theatre built?</t>
  </si>
  <si>
    <t>Which famous Indian practiced civil disobedience?</t>
  </si>
  <si>
    <t>the steam escapes</t>
  </si>
  <si>
    <t>courtyard adjoining the Assembly Hall</t>
  </si>
  <si>
    <t>quickly</t>
  </si>
  <si>
    <t>68,511</t>
  </si>
  <si>
    <t>How many US states do no practice corporal punishment?</t>
  </si>
  <si>
    <t>Robert Bork</t>
  </si>
  <si>
    <t>isopentenyl pyrophosphate synthesis</t>
  </si>
  <si>
    <t>WTRF-TV</t>
  </si>
  <si>
    <t>religious beliefs</t>
  </si>
  <si>
    <t>abolish the state of Israel</t>
  </si>
  <si>
    <t>Martin Luther</t>
  </si>
  <si>
    <t>cylinder</t>
  </si>
  <si>
    <t>To what body are certain powers explicitly specified as being reserved for?</t>
  </si>
  <si>
    <t>How many vice presidents are on the Student Board?</t>
  </si>
  <si>
    <t>concentrated in the leaves</t>
  </si>
  <si>
    <t>depending on each party's strength in Parliament</t>
  </si>
  <si>
    <t>Who is the head coach of the Broncos?</t>
  </si>
  <si>
    <t>When was Luther examined at Augsburg by the papal legate?</t>
  </si>
  <si>
    <t>gravitational force</t>
  </si>
  <si>
    <t>Five</t>
  </si>
  <si>
    <t>The principle of faunal succession is based on the appearance of fossils in sedimentary rocks. As organisms exist at the same time period throughout the world, their presence or (sometimes) absence may be used to provide a relative age of the formations in which they are found. Based on principles laid out by William Smith almost a hundred years before the publication of Charles Darwin's theory of evolution, the principles of succession were developed independently of evolutionary thought. The principle becomes quite complex, however, given the uncertainties of fossilization, the localization of fossil types due to lateral changes in habitat (facies change in sedimentary strata), and that not all fossils may be found globally at the same time.</t>
  </si>
  <si>
    <t>superheaters</t>
  </si>
  <si>
    <t>What is the typical working fluid in a steam engine?</t>
  </si>
  <si>
    <t>solidarity</t>
  </si>
  <si>
    <t>2p − 1, with p a prime</t>
  </si>
  <si>
    <t>a new entrance building</t>
  </si>
  <si>
    <t>Which residents of Bukhara were spared and sent back to Mongolia?</t>
  </si>
  <si>
    <t>U.S. Supreme Court</t>
  </si>
  <si>
    <t>Leukocytes (white blood cells) act like independent, single-celled organisms and are the second arm of the innate immune system. The innate leukocytes include the phagocytes (macrophages, neutrophils, and dendritic cells), mast cells, eosinophils, basophils, and natural killer cells. These cells identify and eliminate pathogens, either by attacking larger pathogens through contact or by engulfing and then killing microorganisms. Innate cells are also important mediators in the activation of the adaptive immune system.</t>
  </si>
  <si>
    <t>dispute over control</t>
  </si>
  <si>
    <t>when did the English High court find Microsoft's use of the term "SkyDrive" infringed on Sky's right?</t>
  </si>
  <si>
    <t>basis of the methodology</t>
  </si>
  <si>
    <t>there was an attempt to reform the constitutional law of the European Union and make it more transparent</t>
  </si>
  <si>
    <t>"a day of rote learning and often wearying spiritual exercises."</t>
  </si>
  <si>
    <t>3.7 million cubic meter</t>
  </si>
  <si>
    <t>more equally distributed</t>
  </si>
  <si>
    <t>What year did the Financial Interest and Syndication rules result in ABC's decision to split ABC Films into two companies?</t>
  </si>
  <si>
    <t>need for alliances</t>
  </si>
  <si>
    <t>General Hospital</t>
  </si>
  <si>
    <t>When did the practice of wiping tapes stop?</t>
  </si>
  <si>
    <t>On the Councils</t>
  </si>
  <si>
    <t>an entirely new fleet of trains</t>
  </si>
  <si>
    <t>it has trouble distinguishing between carbon dioxide and oxygen</t>
  </si>
  <si>
    <t>What was Tampa's primary ABC affiliate prior to 1994?</t>
  </si>
  <si>
    <t>white blood cells</t>
  </si>
  <si>
    <t>the Blum complexity axioms</t>
  </si>
  <si>
    <t>What did the SNP publicly opine about the oil revenues?</t>
  </si>
  <si>
    <t>gauge bosons</t>
  </si>
  <si>
    <t>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t>
  </si>
  <si>
    <t>King Charles III</t>
  </si>
  <si>
    <t xml:space="preserve">Stephen Eilmann demonstrates covert law breaking in Nazi Germany.   Citizen's illegally had been doing what? </t>
  </si>
  <si>
    <t>1910–1940</t>
  </si>
  <si>
    <t>were not restored</t>
  </si>
  <si>
    <t>Last Glacial Maximum</t>
  </si>
  <si>
    <t>De Materia Medica</t>
  </si>
  <si>
    <t>war</t>
  </si>
  <si>
    <t>relatively low salaries</t>
  </si>
  <si>
    <t>natural specificity</t>
  </si>
  <si>
    <t>Besides combustion, for what other action did Mayow show nitroaereus responsible?</t>
  </si>
  <si>
    <t>What position did Justin Tucker play?</t>
  </si>
  <si>
    <t>environmental risks</t>
  </si>
  <si>
    <t>high-gain S-band antenna</t>
  </si>
  <si>
    <t>CBS and NBC</t>
  </si>
  <si>
    <t>identified change orders or project changes that increased costs</t>
  </si>
  <si>
    <t>When did ABC's New York flagship stations change their call signs?</t>
  </si>
  <si>
    <t>military action</t>
  </si>
  <si>
    <t>In the spring of 1975, Fred Pierce, the newly appointed president of ABC Television, convinced Fred Silverman to become the first president and director of programming of the independent television production subsidiary ABC Entertainment, created from the network's namesake programming division. In 1974, ABC premiered the detective series S.W.A.T. That same year, the network made the decision to compete with NBC's morning news-talk program Today. Its first attempt at such competition was AM America; however, that show's success was not straightforward. One of its affiliates, WCVB-TV premiered morning show Good Day!. First premiering in 1973 as Good Morning!, it was groundbreaking for being entirely produced on the road and broadcasting from locations outside of the Boston area. Also, in the summer of 1975, ABC discovered that its Cleveland affiliate WEWS-TV was producing its own morning program The Morning Exchange, which debuted in 1972 and was now locally pre-empting AM America; it was the first morning show to utilize a set modeled after a living room, and established a concept now commonplace among network morning shows in which news and weather updates were featured at the top and bottom of each hour. Discovering that their formats seemed to appeal to their viewers, the network became the first to adopt them for a new national morning show, Good Morning America, which debuted on November 3, 1975.</t>
  </si>
  <si>
    <t>Who is the first administrator of the Federal Energy Office?</t>
  </si>
  <si>
    <t>What prestigious legal scholars are faculty members at Harvard?</t>
  </si>
  <si>
    <t>What two talk shows are currently featured during daytime programming on ABC?</t>
  </si>
  <si>
    <t>approximately fifty percent</t>
  </si>
  <si>
    <t>Where is Brazil ranked globally in soybean production?</t>
  </si>
  <si>
    <t>brick-and-mortar community pharmacies that serve consumers online and those that walk in their door</t>
  </si>
  <si>
    <t>the mass of the CSM and LM</t>
  </si>
  <si>
    <t>What new technology allowed ABC to pre-record its shows?</t>
  </si>
  <si>
    <t>glossy gold</t>
  </si>
  <si>
    <t>The steps around the water feature can be drained for what uses?</t>
  </si>
  <si>
    <t>What brand sponsored the "Crash the Super Bowl" contest?</t>
  </si>
  <si>
    <t>How old were some of the oldest rock samples found on the moon?</t>
  </si>
  <si>
    <t>What is similar to vocational training?</t>
  </si>
  <si>
    <t>it ensured a high income and medical ethics were compatible with Confucian virtues</t>
  </si>
  <si>
    <t xml:space="preserve">Big O notation provides autonomy to upper and lower bounds with relationship to what? </t>
  </si>
  <si>
    <t>seismic</t>
  </si>
  <si>
    <t>At what size and larger can drugs elicit a neutralizing immune response?</t>
  </si>
  <si>
    <t>British troops</t>
  </si>
  <si>
    <t>Troika Design Group</t>
  </si>
  <si>
    <t>FuturePlan</t>
  </si>
  <si>
    <t>Muslim</t>
  </si>
  <si>
    <t xml:space="preserve">Who made up 19% of the student body in the 2012 Spring Quarter? </t>
  </si>
  <si>
    <t>How long was he in bed from cholera?</t>
  </si>
  <si>
    <t>In what city did the last Super Bowl in California occur?</t>
  </si>
  <si>
    <t>negative effect</t>
  </si>
  <si>
    <t>(p − 1)! + 1</t>
  </si>
  <si>
    <t>Along with electric motors, what type of engines superseded piston steam engines?</t>
  </si>
  <si>
    <t>Who picked off Cam Newton and subsequently fumbled the ball?</t>
  </si>
  <si>
    <t>Pictet</t>
  </si>
  <si>
    <t>What caused Jacksonville's tourism to become less desirable at the latter half of the 19th century?</t>
  </si>
  <si>
    <t>deterministic sorting algorithm quicksort</t>
  </si>
  <si>
    <t>Why did OPEC block oil deliveries to the United States?</t>
  </si>
  <si>
    <t>What does the Sieve of Eratosthenes do?</t>
  </si>
  <si>
    <t>What did European empires rely on to supply them with resources?</t>
  </si>
  <si>
    <t>Kabaty Forest</t>
  </si>
  <si>
    <t>How did Tesla finance his work?</t>
  </si>
  <si>
    <t>Academy of the Pavilion of the Star of Literature</t>
  </si>
  <si>
    <t>What sport has Kenyan women been a dominate force?</t>
  </si>
  <si>
    <t>dinophyte nucleus</t>
  </si>
  <si>
    <t>What was Phillips official title for NASA?</t>
  </si>
  <si>
    <t>Möngke Khan</t>
  </si>
  <si>
    <t>the western frontier</t>
  </si>
  <si>
    <t>In what state is the largest Huguenot Society located?</t>
  </si>
  <si>
    <t>Stable and radioactive isotope studies provide insight into what?</t>
  </si>
  <si>
    <t>Paul Rand</t>
  </si>
  <si>
    <t xml:space="preserve">What did Tymnet connect </t>
  </si>
  <si>
    <t>March 2008</t>
  </si>
  <si>
    <t>love, patience, charity, and freedom</t>
  </si>
  <si>
    <t>Because speakers are drawn from across Scotland, what do the represent the balance of?</t>
  </si>
  <si>
    <t>The Lucas–Lehmer test</t>
  </si>
  <si>
    <t>Some elements of the Brotherhood, though perhaps against orders, did engage in violence against the government, and its founder Al-Banna was assassinated in 1949 in retaliation for the assassination of Egypt's premier Mahmud Fami Naqrashi three months earlier. The Brotherhood has suffered periodic repression in Egypt and has been banned several times, in 1948 and several years later following confrontations with Egyptian president Gamal Abdul Nasser, who jailed thousands of members for several years.</t>
  </si>
  <si>
    <t>In an interview with newspaper editor Arthur Brisbane, Tesla said that he did not believe in telepathy, stating, "Suppose I made up my mind to murder you," he said, "In a second you would know it. Now, isn't that wonderful? By what process does the mind get at all this?" In the same interview, Tesla said that he believed that all fundamental laws could be reduced to one.</t>
  </si>
  <si>
    <t>Who is the General Manager for the Broncos?</t>
  </si>
  <si>
    <t>Mid-Atlantic</t>
  </si>
  <si>
    <t>What was the given name of Miami's stadium at the time of Super Bowl 50?</t>
  </si>
  <si>
    <t>When was the Old Truman Brewery founded?</t>
  </si>
  <si>
    <t>an outside proposer</t>
  </si>
  <si>
    <t>Who was the first democratically elected president of Egypt?</t>
  </si>
  <si>
    <t>How were some modern economic inequalities created?</t>
  </si>
  <si>
    <t>singing</t>
  </si>
  <si>
    <t>tempted to enter the test site</t>
  </si>
  <si>
    <t>prestige</t>
  </si>
  <si>
    <t>remove massive numbers of magnetic tapes from the National Archives and Records Administration to be recorded over</t>
  </si>
  <si>
    <t>1110 AM</t>
  </si>
  <si>
    <t>What was Walt Disney's brother's name?</t>
  </si>
  <si>
    <t>What is one way to use pure speech to reach as much people as possible to protest?</t>
  </si>
  <si>
    <t>What is a D-loop?</t>
  </si>
  <si>
    <t>Who conducted the construction of the new center?</t>
  </si>
  <si>
    <t>What chemist showed that fire needed only a part of air?</t>
  </si>
  <si>
    <t>The teacher's in a platoon style teaching are usually more _____?</t>
  </si>
  <si>
    <t>Thomas Brock</t>
  </si>
  <si>
    <t>1,548</t>
  </si>
  <si>
    <t>Where did Marin build first fort?</t>
  </si>
  <si>
    <t>How many soldiers did Genghis Khan send against Kuchlug and Qara Khitai?</t>
  </si>
  <si>
    <t>Which country was thinking about going to war to forcibly take Middle Eastern oil fields?</t>
  </si>
  <si>
    <t>the Institute of Radio Engineers</t>
  </si>
  <si>
    <t>What were the reasons why residents moved to the town of Fresno Station?</t>
  </si>
  <si>
    <t>different viewpoints and political parties</t>
  </si>
  <si>
    <t>construction of military roads to the area by Braddock and Forbes</t>
  </si>
  <si>
    <t>Who did ESPN and ABC sign an eight year deal with in 2005?</t>
  </si>
  <si>
    <t>Which region is represented the most in the textiles collection?</t>
  </si>
  <si>
    <t>MCA Inc.</t>
  </si>
  <si>
    <t>On what date did ESPN Deportes announce their deal with CBS and the NFL?</t>
  </si>
  <si>
    <t>Approximately how many items are in the V&amp;A's textiles collection?</t>
  </si>
  <si>
    <t>second and third run</t>
  </si>
  <si>
    <t>Ma Jianlong</t>
  </si>
  <si>
    <t>the city's prosperity;</t>
  </si>
  <si>
    <t>torn down</t>
  </si>
  <si>
    <t>two weeks</t>
  </si>
  <si>
    <t>Where were populations centered in colonies?</t>
  </si>
  <si>
    <t>western portions of the Great Lakes</t>
  </si>
  <si>
    <t>What states that United Methodist theology is at once "catholic, evangelical and reformed?"</t>
  </si>
  <si>
    <t>Björn Waldegård, Hannu Mikkola, Tommi Mäkinen, Shekhar Mehta, Carlos Sainz and Colin McRae</t>
  </si>
  <si>
    <t>27-30</t>
  </si>
  <si>
    <t>What was the last name of the designers of Newcastle's library?</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</si>
  <si>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</si>
  <si>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103 miles</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</si>
  <si>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</si>
  <si>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At what time did Tesla get dinner?</t>
  </si>
  <si>
    <t>When did Greenland sign a Treaty granting them special status?</t>
  </si>
  <si>
    <t>persuasion and negotiation</t>
  </si>
  <si>
    <t>What does Rajan feel has created deep financial fault lines?</t>
  </si>
  <si>
    <t>81</t>
  </si>
  <si>
    <t>adopted Luther's tune</t>
  </si>
  <si>
    <t>lunar landings</t>
  </si>
  <si>
    <t>Disney-ABC Television group merged with ABC Studios and what other entity in 2009?</t>
  </si>
  <si>
    <t>during the plague of Athens in 430 BC</t>
  </si>
  <si>
    <t>What is an example of a machine model that deviates from a generally accepted multi-tape Turing machine?</t>
  </si>
  <si>
    <t>What is the oldest surviving European tapestry in the V&amp;A collection?</t>
  </si>
  <si>
    <t>Where is a palm house with subtropic plants from all over the world on display?</t>
  </si>
  <si>
    <t>In which direction does most of the wind in Fresno originate from?</t>
  </si>
  <si>
    <t>The inverted repeat regions</t>
  </si>
  <si>
    <t>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t>
  </si>
  <si>
    <t>Who was thought to have killed Tugh Temur?</t>
  </si>
  <si>
    <t>at larger distances</t>
  </si>
  <si>
    <t>actual temperature rise was near the top end of the range given</t>
  </si>
  <si>
    <t>one of the most influential movements</t>
  </si>
  <si>
    <t>Wade Phillips</t>
  </si>
  <si>
    <t>He who does great things.</t>
  </si>
  <si>
    <t>118</t>
  </si>
  <si>
    <t>between Han and Jurchen</t>
  </si>
  <si>
    <t>Who dates rocks, precisely, within the stratigraphic section?</t>
  </si>
  <si>
    <t>power</t>
  </si>
  <si>
    <t>What conjecture holds that there are always a minimum of 4 primes  between the squares of consecutive primes greater than 2?</t>
  </si>
  <si>
    <t>ice-sheets</t>
  </si>
  <si>
    <t xml:space="preserve">Survival needs such as income for food and shelter motivates what type of entrepreneurship? </t>
  </si>
  <si>
    <t>What image has become linked to Doctor Who?</t>
  </si>
  <si>
    <t>What did Bach base entirely on Luther chorales?</t>
  </si>
  <si>
    <t>of highest 'social efficiency</t>
  </si>
  <si>
    <t>1517</t>
  </si>
  <si>
    <t>nobles</t>
  </si>
  <si>
    <t>shamed</t>
  </si>
  <si>
    <t>When did building activity occur on St. Kazimierz Church?</t>
  </si>
  <si>
    <t>Robert of Jumièges</t>
  </si>
  <si>
    <t>income from the harvests of their Chinese tenants</t>
  </si>
  <si>
    <t>faith in Christ without any works of the Law</t>
  </si>
  <si>
    <t>Chester</t>
  </si>
  <si>
    <t>the Florida East Coast Railway</t>
  </si>
  <si>
    <t>How is the climate near the savannah grasslands?</t>
  </si>
  <si>
    <t>kingdoms</t>
  </si>
  <si>
    <t>In 1951, rumors claimed that ABC might be sold to what network?</t>
  </si>
  <si>
    <t>displace the thylakoids, but leave them intact.</t>
  </si>
  <si>
    <t>the ghost of le roi Huguet</t>
  </si>
  <si>
    <t>in Gateshead</t>
  </si>
  <si>
    <t>major method</t>
  </si>
  <si>
    <t>smart ticketing.</t>
  </si>
  <si>
    <t>McGann and Eccleston</t>
  </si>
  <si>
    <t>What is one variable on which the running time may be contingent?</t>
  </si>
  <si>
    <t>Its late 1980s performance of three to five million viewers</t>
  </si>
  <si>
    <t>deselected as official party candidates</t>
  </si>
  <si>
    <t>Westchester</t>
  </si>
  <si>
    <t>Was the Skylab assembled on Earth's surface or in space?</t>
  </si>
  <si>
    <t>join a vocational youth/village polytechnic or make their own arrangements for an apprenticeship program</t>
  </si>
  <si>
    <t>What percentage of oxygen is usually supplied by a medical mask?</t>
  </si>
  <si>
    <t>the fight against apartheid</t>
  </si>
  <si>
    <t>forceful</t>
  </si>
  <si>
    <t>Metro: All Change.'</t>
  </si>
  <si>
    <t>special Apollo TV camera</t>
  </si>
  <si>
    <t>Seine</t>
  </si>
  <si>
    <t>e a third group of pigments found in cyanobacteria</t>
  </si>
  <si>
    <t>six</t>
  </si>
  <si>
    <t>to set up an insurance fund for employees to claim unpaid wages if their employers had gone insolvent, as the Insolvency Protection Directive required</t>
  </si>
  <si>
    <t>his eldest son, Zhenjin</t>
  </si>
  <si>
    <t>What percentage of farmland grows wheat?</t>
  </si>
  <si>
    <t>rotational equivalent for position</t>
  </si>
  <si>
    <t>to the state and its laws</t>
  </si>
  <si>
    <t>How many courses must a local lay servant take?</t>
  </si>
  <si>
    <t>optimizes the use of medication and promotes health, wellness, and disease prevention</t>
  </si>
  <si>
    <t>declare martial law and sent the state militia to maintain order</t>
  </si>
  <si>
    <t>many middle eastern scientists</t>
  </si>
  <si>
    <t>What type of venue is the Teatr Wielki?</t>
  </si>
  <si>
    <t>What is it estimated that about half of all variation in homicide rates can be accounted for by?</t>
  </si>
  <si>
    <t>the state</t>
  </si>
  <si>
    <t>What type of wages result from jobs where there is low supply but high demand?</t>
  </si>
  <si>
    <t>Who tackled Ronnie Hillman for a loss of yardage?</t>
  </si>
  <si>
    <t>What company was this the last Super Bowl they would let customers have an opportunity to get their own commercial ideas aired?</t>
  </si>
  <si>
    <t>What seed was the Denver Broncos?</t>
  </si>
  <si>
    <t>The Art Deco period of textiles works is represented by which American artist?</t>
  </si>
  <si>
    <t>mistreatment from government officials</t>
  </si>
  <si>
    <t>the Chinese dynasties to the south</t>
  </si>
  <si>
    <t>When was REM sleep discovered?</t>
  </si>
  <si>
    <t>Innate immune systems</t>
  </si>
  <si>
    <t>world revolution</t>
  </si>
  <si>
    <t>Pneumatica</t>
  </si>
  <si>
    <t>Encoded Archival Description</t>
  </si>
  <si>
    <t>agitation for constitutional reform</t>
  </si>
  <si>
    <t>After the operators are warned by the escape of the steam, what may they then do?</t>
  </si>
  <si>
    <t>9–18</t>
  </si>
  <si>
    <t>independently developed the same message routing methodology as developed by Baran</t>
  </si>
  <si>
    <t>How are nuclear forces transmitted?</t>
  </si>
  <si>
    <t>Who recovered a Manning fumble?</t>
  </si>
  <si>
    <t>Apollo</t>
  </si>
  <si>
    <t>killed through overwork</t>
  </si>
  <si>
    <t xml:space="preserve">What was the passer rating for Peyton Manning that he finished out with for the season? </t>
  </si>
  <si>
    <t>Howley</t>
  </si>
  <si>
    <t>228</t>
  </si>
  <si>
    <t>Gaussian integers Z[i]</t>
  </si>
  <si>
    <t>What event was the worst example of Huguenot persecution?</t>
  </si>
  <si>
    <t>Henry of Navarre</t>
  </si>
  <si>
    <t>With which museum does the V&amp;A co-owns Canova's The Three Graces?</t>
  </si>
  <si>
    <t>ABC Cable News</t>
  </si>
  <si>
    <t>What is the most commonplace model utilized in complexity theory?</t>
  </si>
  <si>
    <t>What was the Song dynasty's capital?</t>
  </si>
  <si>
    <t>What is the chloroplast of Dinophysis?</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</si>
  <si>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</si>
  <si>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If a detention requires a pupil to just sit there, how are they required to sit?</t>
  </si>
  <si>
    <t>Patriots</t>
  </si>
  <si>
    <t>In what country is Normandy located?</t>
  </si>
  <si>
    <t>Along with the Anglican Church and Uniting Church, what religious denomination operates private schools in Australia?</t>
  </si>
  <si>
    <t>In Sept 1760 who negotiated a capitulation from Montreal?</t>
  </si>
  <si>
    <t>the Monroe Doctrine</t>
  </si>
  <si>
    <t>The Islamic Republic</t>
  </si>
  <si>
    <t>Kenyans generally have three meals in a day – breakfast in the morning (kiamsha kinywa), lunch in the afternoon (chakula cha mchana) and supper in the evening (chakula cha jioni or known simply as "chajio"). In between, they have the 10 o'clock tea (chai ya saa nne) and 4 pm tea (chai ya saa kumi). Breakfast is usually tea or porridge with bread, chapati, mahamri, boiled sweet potatoes or yams. Ugali with vegetables, sour milk, meat, fish or any other stew is generally eaten by much of the population for lunch or supper. Regional variations and dishes also exist.</t>
  </si>
  <si>
    <t>internal canal network under the comb rows</t>
  </si>
  <si>
    <t>What award has Marlee Matlin won?</t>
  </si>
  <si>
    <t>Who formed the universal theory of gravitation?</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</si>
  <si>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</si>
  <si>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 xml:space="preserve">What position did Rivera play in Super Bowl XX? </t>
  </si>
  <si>
    <t>models</t>
  </si>
  <si>
    <t>What was the image of Luther a contrast to the life of?</t>
  </si>
  <si>
    <t>What is the only dinophyte that has a non-rhodoplast chloroplast?</t>
  </si>
  <si>
    <t>The two symbols most commonly associated with pharmacy in English-speaking countries are the mortar and pestle and the ℞ (recipere) character, which is often written as "Rx" in typed text. The show globe was also used until the early 20th century. Pharmacy organizations often use other symbols, such as the Bowl of Hygieia which is often used in the Netherlands, conical measures, and caduceuses in their logos. Other symbols are common in different countries: the green Greek cross in France, Argentina, the United Kingdom, Belgium, Ireland, Italy, Spain, and India, the increasingly rare Gaper in the Netherlands, and a red stylized letter A in Germany and Austria (from Apotheke, the German word for pharmacy, from the same Greek root as the English word 'apothecary').</t>
  </si>
  <si>
    <t>How long did the 5th president's tenure last?</t>
  </si>
  <si>
    <t>The Apollo program was conceived during the Eisenhower administration in early 1960, as a follow-up to Project Mercury. While the Mercury capsule could only support one astronaut on a limited Earth orbital mission, Apollo would carry three astronauts. Possible missions included ferrying crews to a space station, circumlunar flights, and eventual manned lunar landings. The program was named after the Greek god of light, music, and the sun by NASA manager Abe Silverstein, who later said that "I was naming the spacecraft like I'd name my baby." Silverstein chose the name at home one evening, early in 1960, because he felt "Apollo riding his chariot across the Sun was appropriate to the grand scale of the proposed program."</t>
  </si>
  <si>
    <t>What day was Super Bowl 50 media day switched to?</t>
  </si>
  <si>
    <t>the Colony of Victoria Act</t>
  </si>
  <si>
    <t>What is partially responsible for weakened immune response in older individuals?</t>
  </si>
  <si>
    <t>chloroplasts are not inherited from the male parent</t>
  </si>
  <si>
    <t>What did the Mongols shield themselves with while attacking Samarkand?</t>
  </si>
  <si>
    <t>the Mamluks of Egypt</t>
  </si>
  <si>
    <t>defiant speech</t>
  </si>
  <si>
    <t>February 1, 2016</t>
  </si>
  <si>
    <t>To what did Tesla attribute the unknown signals his radio received?</t>
  </si>
  <si>
    <t>Zhongtong. Ariq Böke</t>
  </si>
  <si>
    <t>What experiences acceleration when external force is applied to a system?</t>
  </si>
  <si>
    <t>black and white</t>
  </si>
  <si>
    <t>non-political Islam</t>
  </si>
  <si>
    <t>if every problem in C can be reduced to X</t>
  </si>
  <si>
    <t>What percentage of money raised was earmarked for causes in the San Francisco area?</t>
  </si>
  <si>
    <t>formal education</t>
  </si>
  <si>
    <t>Who might Temüjin have been named after?</t>
  </si>
  <si>
    <t>The United Methodist Church (UMC) practices infant and adult baptism. Baptized Members are those who have been baptized as an infant or child, but who have not subsequently professed their own faith. These Baptized Members become Professing Members through confirmation and sometimes the profession of faith. Individuals who were not previously baptized are baptized as part of their profession of faith and thus become Professing Members in this manner. Individuals may also become a Professing Member through transfer from another Christian denomination.</t>
  </si>
  <si>
    <t>What are some large pharmacy management companies?</t>
  </si>
  <si>
    <t>Who was made rich and prosperous prior to World War 1</t>
  </si>
  <si>
    <t>wooden paddle</t>
  </si>
  <si>
    <t>When did Hulu begin offering ABC's programs for streaming?</t>
  </si>
  <si>
    <t>the VA, the Indian Health Service, and NIH</t>
  </si>
  <si>
    <t>What kind of destruction did the 1994 earthquake cause the most of in US history?</t>
  </si>
  <si>
    <t>What is the parliamentary mace made of?</t>
  </si>
  <si>
    <t>scientific instrument package</t>
  </si>
  <si>
    <t>How many people in Quzhou are descended from Confucius?</t>
  </si>
  <si>
    <t>The chloroplasts of some hornworts and algae</t>
  </si>
  <si>
    <t>What is the name of the old north branch of the Rhine?</t>
  </si>
  <si>
    <t>47%</t>
  </si>
  <si>
    <t>What sate are things inside of a moving vehicle as seen by a  person inside the vehicle?</t>
  </si>
  <si>
    <t>What year did the the case go before the supreme court?</t>
  </si>
  <si>
    <t>Where did Golovin work prior to joining the "Space Vehicle Panel"?</t>
  </si>
  <si>
    <t>What do supportive teachers spend more time doing?</t>
  </si>
  <si>
    <t>In what century did Mayow and Boyle perform their experiments?</t>
  </si>
  <si>
    <t>Next, the two plastid-dividing rings, or PD rings form. The inner plastid-dividing ring is located in the inner side of the chloroplast's inner membrane, and is formed first. The outer plastid-dividing ring is found wrapped around the outer chloroplast membrane. It consists of filaments about 5 nanometers across, arranged in rows 6.4 nanometers apart, and shrinks to squeeze the chloroplast. This is when chloroplast constriction begins.
In a few species like Cyanidioschyzon merolæ, chloroplasts have a third plastid-dividing ring located in the chloroplast's intermembrane space.</t>
  </si>
  <si>
    <t>last mission</t>
  </si>
  <si>
    <t>granules in the dinophyte host's cytoplasm</t>
  </si>
  <si>
    <t>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t>
  </si>
  <si>
    <t>Were Tesla's experiments high-voltage or low-voltage?</t>
  </si>
  <si>
    <t>What are two factors that made it difficult for colonists to the Amazon forest to survive?</t>
  </si>
  <si>
    <t>Who was the leader of the Islamist regime in Sudan?</t>
  </si>
  <si>
    <t>Xbox One</t>
  </si>
  <si>
    <t>present amount of funding cannot cover the current costs for labour and materials</t>
  </si>
  <si>
    <t>BSkyB</t>
  </si>
  <si>
    <t>Victoria</t>
  </si>
  <si>
    <t>NASA manager Abe Silverstein</t>
  </si>
  <si>
    <t>supporting applications such as on-line betting, financial applications</t>
  </si>
  <si>
    <t>kill</t>
  </si>
  <si>
    <t>Who was New France's governor?</t>
  </si>
  <si>
    <t>October 16, 2012</t>
  </si>
  <si>
    <t>Ögedei</t>
  </si>
  <si>
    <t>1910 to 1940</t>
  </si>
  <si>
    <t>30-second</t>
  </si>
  <si>
    <t>1994</t>
  </si>
  <si>
    <t>When was the Cretaceous-Paleogen extinction occur?</t>
  </si>
  <si>
    <t>minor</t>
  </si>
  <si>
    <t>Why did he fire the secretary?</t>
  </si>
  <si>
    <t>An 1821 full size oil sketch of which famous British painting was donated by John Sheepshank's daughter in 1888?</t>
  </si>
  <si>
    <t>market forces</t>
  </si>
  <si>
    <t>When was the the second German empire founded?</t>
  </si>
  <si>
    <t>What was the first television series to feature an openly gay character?</t>
  </si>
  <si>
    <t>It's Scotland's oil</t>
  </si>
  <si>
    <t>what did tesla attribute skin damage to?</t>
  </si>
  <si>
    <t>prasinophyte</t>
  </si>
  <si>
    <t>a person or group of people</t>
  </si>
  <si>
    <t>constitutional impasse</t>
  </si>
  <si>
    <t>A → G deamination gradients</t>
  </si>
  <si>
    <t>steam escapes,</t>
  </si>
  <si>
    <t>Where was Tesla studying when he started playing cards and billiards?</t>
  </si>
  <si>
    <t>sea level</t>
  </si>
  <si>
    <t xml:space="preserve">Which Carolina Panthers team member was picked as the team's MVP in 2015? </t>
  </si>
  <si>
    <t>Who oversees a Pharmacy Technician in the UK?</t>
  </si>
  <si>
    <t>What does the City Council divide itself into?</t>
  </si>
  <si>
    <t>1–3 cm (0.39–1.18 in) per century</t>
  </si>
  <si>
    <t>principal's office</t>
  </si>
  <si>
    <t>1508</t>
  </si>
  <si>
    <t>What is KMJ now referred to?</t>
  </si>
  <si>
    <t>QuickBooks sponsored a "Small Business Big Game" contest, in which Death Wish Coffee had a 30-second commercial aired free of charge courtesy of QuickBooks. Death Wish Coffee beat out nine other contenders from across the United States for the free advertisement.</t>
  </si>
  <si>
    <t>What kind of service is the SkyDrive Service?</t>
  </si>
  <si>
    <t>many celebrated seasons.</t>
  </si>
  <si>
    <t>Search the Collections,</t>
  </si>
  <si>
    <t>What radio network carried the Super Bowl?</t>
  </si>
  <si>
    <t>19 October 1512</t>
  </si>
  <si>
    <t>What words to they think are linked to the work Kenya?</t>
  </si>
  <si>
    <t>What part of the UMC calls for its bishops to uphold opposition to capital punishment?</t>
  </si>
  <si>
    <t>the ‘combs’</t>
  </si>
  <si>
    <t>In which year did the V&amp;A Theatre &amp; Performance galleries open?</t>
  </si>
  <si>
    <t>best, worst and average case complexity</t>
  </si>
  <si>
    <t>more wealth</t>
  </si>
  <si>
    <t>How long has the imagery of the mermaid been used by Warsaw?</t>
  </si>
  <si>
    <t>rheumatoid arthritis</t>
  </si>
  <si>
    <t>black</t>
  </si>
  <si>
    <t>The Rhine and what other river were accepted as the Germanic frontier?</t>
  </si>
  <si>
    <t>Where would the Launch Operations Center be located, as more land was needed for a bigger rocket?</t>
  </si>
  <si>
    <t>a little</t>
  </si>
  <si>
    <t>on 22 May 2006</t>
  </si>
  <si>
    <t>USSR</t>
  </si>
  <si>
    <t>What was increased in November 2011?</t>
  </si>
  <si>
    <t>sacrifice</t>
  </si>
  <si>
    <t>top</t>
  </si>
  <si>
    <t xml:space="preserve">Previous to isotopic dating sections of rocks had to be dated using fossils and stratigraphic correlation relative to what? </t>
  </si>
  <si>
    <t>Morgan</t>
  </si>
  <si>
    <t>378</t>
  </si>
  <si>
    <t>Muqali, Jebe and Subutai</t>
  </si>
  <si>
    <t>Who other than Tesla did Westinghouse consider for the patents?</t>
  </si>
  <si>
    <t>When did Tesla start working on the problem of energy and matter?</t>
  </si>
  <si>
    <t>Wijk bij Duurstede</t>
  </si>
  <si>
    <t>Site conditions, local regulations, economies of scale and the availability of skilled tradespeople all affect what?</t>
  </si>
  <si>
    <t>highest 'social efficiency'</t>
  </si>
  <si>
    <t>Plastid differentiation is not permanent, in fact many interconversions are possible. Chloroplasts may be converted to chromoplasts, which are pigment-filled plastids responsible for the bright colors seen in flowers and ripe fruit. Starch storing amyloplasts can also be converted to chromoplasts, and it is possible for proplastids to develop straight into chromoplasts. Chromoplasts and amyloplasts can also become chloroplasts, like what happens when a carrot or a potato is illuminated. If a plant is injured, or something else causes a plant cell to revert to a meristematic state, chloroplasts and other plastids can turn back into proplastids. Chloroplast, amyloplast, chromoplast, proplast, etc., are not absolute states—intermediate forms are common.</t>
  </si>
  <si>
    <t>completed (or local) fields</t>
  </si>
  <si>
    <t>650</t>
  </si>
  <si>
    <t>Until the oil shock</t>
  </si>
  <si>
    <t>Who named the Apollo missions?</t>
  </si>
  <si>
    <t>The European Commission</t>
  </si>
  <si>
    <t>over $2,000</t>
  </si>
  <si>
    <t>the study of sedimentary layers</t>
  </si>
  <si>
    <t>W. E. B. Du Bois</t>
  </si>
  <si>
    <t>Who handled play-by-play for the Denver radio market?</t>
  </si>
  <si>
    <t>Which player was criticized for not jumping into the pile to recover the ball?</t>
  </si>
  <si>
    <t>westerns and detective series</t>
  </si>
  <si>
    <t>Friedrich Ratzel thought what was needed for a state to survive?</t>
  </si>
  <si>
    <t>only "essentials"</t>
  </si>
  <si>
    <t>planktonic prey</t>
  </si>
  <si>
    <t>direct civil disobedience</t>
  </si>
  <si>
    <t>Who led the Science and Environmental Policy Project?</t>
  </si>
  <si>
    <t>Who originally hosted the syndicated version of Who Wants to Be a Millionaire?</t>
  </si>
  <si>
    <t>American Indians</t>
  </si>
  <si>
    <t>to avoid prohibitively costly dowry demands</t>
  </si>
  <si>
    <t>What did Tesla see during his strange illnesses when he was young?</t>
  </si>
  <si>
    <t>mild euphoric</t>
  </si>
  <si>
    <t>MHC class I molecules</t>
  </si>
  <si>
    <t>What is another name for State Route 168?</t>
  </si>
  <si>
    <t>When was the Santer Commission censured by Parliament?</t>
  </si>
  <si>
    <t>Möngke Khan commenced a military campaign against the Chinese Song dynasty in southern China. The Mongol force that invaded southern China was far greater than the force they sent to invade the Middle East in 1256. He died in 1259 without a successor. Kublai returned from fighting the Song in 1260 when he learned that his brother, Ariq Böke, was challenging his claim to the throne. Kublai convened a kurultai in Kaiping that elected him Great Khan. A rival kurultai in Mongolia proclaimed Ariq Böke Great Khan, beginning a civil war. Kublai depended on the cooperation of his Chinese subjects to ensure that his army received ample resources. He bolstered his popularity among his subjects by modeling his government on the bureaucracy of traditional Chinese dynasties and adopting the Chinese era name of Zhongtong. Ariq Böke was hampered by inadequate supplies and surrendered in 1264. All of the three western khanates (Golden Horde, Chagatai Khanate and Ilkhanate) became functionally autonomous, although only the Ilkhans truly recognized Kublai as Great Khan. Civil strife had permanently divided the Mongol Empire.</t>
  </si>
  <si>
    <t>Metro: All Change</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</si>
  <si>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</si>
  <si>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Dwight D. Eisenhower</t>
  </si>
  <si>
    <t>Chinese dynasties to the south</t>
  </si>
  <si>
    <t>When was the UMC founded?</t>
  </si>
  <si>
    <t>How long does the main façade stretch along Cromwell Gardens?</t>
  </si>
  <si>
    <t>property owner</t>
  </si>
  <si>
    <t>The Dalek race, which first appeared in the show's second serial in 1963, are Doctor Who's oldest villains. The Daleks are Kaleds from the planet Skaro, mutated by the scientist Davros and housed in mechanical armour shells for mobility. The actual creatures resemble octopi with large, pronounced brains. Their armour shells have a single eye-stalk, a sink-plunger-like device that serves the purpose of a hand, and a directed-energy weapon. Their main weakness is their eyestalk; attacks upon them using various weapons can blind a Dalek, making it go mad. Their chief role in the series plot, as they frequently remark in their instantly recognisable metallic voices, is to "exterminate" all non-Dalek beings. They even attack the Time Lords in the Time War, as shown during the 50th Anniversary of the show. They continue to be a recurring 'monster' within the Doctor Who franchise, their most recent appearances being in the 2015 episodes "The Witch's Familiar" and "Hell Bent". Davros has also been a recurring figure since his debut in Genesis of the Daleks, although played by several different actors.</t>
  </si>
  <si>
    <t>In local Alemannic dialect, what is the the singular form of the names of the islands formed by the Rhine?</t>
  </si>
  <si>
    <t>Along with one veteran, what other two types of crew could be included in lieu of veterans after the successful landings of Apollo 11 and 12?</t>
  </si>
  <si>
    <t>In 1992, what percentage of East German students attended private schools?</t>
  </si>
  <si>
    <t>What must a public school teacher have, at a minimum?</t>
  </si>
  <si>
    <t>nucleomorph</t>
  </si>
  <si>
    <t>classical position variables</t>
  </si>
  <si>
    <t>aspirational consumption</t>
  </si>
  <si>
    <t>1856</t>
  </si>
  <si>
    <t>What do people with lower income have less access to?</t>
  </si>
  <si>
    <t>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("push" motivations), whereas opportunity-based entrepreneurship is driven by achievement-oriented motivations ("pull")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t>
  </si>
  <si>
    <t>see School corporal punishment.</t>
  </si>
  <si>
    <t>inspiring</t>
  </si>
  <si>
    <t>every five years,</t>
  </si>
  <si>
    <t>ABC Inc</t>
  </si>
  <si>
    <t>How many species of Ctenophores have not been fully described or named?</t>
  </si>
  <si>
    <t>In the Rankine cycle, in what state is the working fluid received in the condenser?</t>
  </si>
  <si>
    <t>By when did the Germanic tribes conquer the Celtic peoples?</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</si>
  <si>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</si>
  <si>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Having existing utility lines marked lessens the likelihood of what?</t>
  </si>
  <si>
    <t>Céloron</t>
  </si>
  <si>
    <t>Which of Temüjin's brothers took up the role of male leader of the family?</t>
  </si>
  <si>
    <t>3.5 billion years ago</t>
  </si>
  <si>
    <t>commonly present</t>
  </si>
  <si>
    <t>Tesla served as a vice president of the American Institute of Electrical Engineers, the forerunner (along with the Institute of Radio Engineers) of the modern-day IEEE, from 1892 to 1894.</t>
  </si>
  <si>
    <t>What cycle starts with rubisco?</t>
  </si>
  <si>
    <t>in 1932 what was the Rhine measurement changed to?</t>
  </si>
  <si>
    <t>increase local producer prices by 20–25%</t>
  </si>
  <si>
    <t>ministers</t>
  </si>
  <si>
    <t>thaw</t>
  </si>
  <si>
    <t>In 2014, economists with the Standard &amp; Poor's rating agency concluded that the widening disparity between the U.S.'s wealthiest citizens and the rest of the nation had slowed its recovery from the 2008-2009 recession and made it more prone to boom-and-bust cycles. To partially remedy the wealth gap and the resulting slow growth, S&amp;P recommended increasing access to education. It estimated that if the average United States worker had completed just one more year of school, it would add an additional $105 billion in growth to the country's economy over five years.</t>
  </si>
  <si>
    <t>northwest</t>
  </si>
  <si>
    <t>April 1887</t>
  </si>
  <si>
    <t>The door on the Block II design was eventually replaced with what kind of model?</t>
  </si>
  <si>
    <t>Fresno is served by State Route 99, the main north/south freeway that connects the major population centers of the California Central Valley. State Route 168, the Sierra Freeway, heads east to the city of Clovis and Huntington Lake. State Route 41 (Yosemite Freeway/Eisenhower Freeway) comes into Fresno from Atascadero in the south, and then heads north to Yosemite. State Route 180 (Kings Canyon Freeway) comes from the west via Mendota, and from the east in Kings Canyon National Park going towards the city of Reedley.</t>
  </si>
  <si>
    <t>packet switching</t>
  </si>
  <si>
    <t>SoCal</t>
  </si>
  <si>
    <t>k</t>
  </si>
  <si>
    <t>What is the Saxon Garden in Polish?</t>
  </si>
  <si>
    <t>separate condenser</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</si>
  <si>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</si>
  <si>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Which is one of the park features located in North Fresno?</t>
  </si>
  <si>
    <t>Which Californio is located in the upper part?</t>
  </si>
  <si>
    <t>What did NASA name the series seeking up to 30 more flights to Earth's orbit?</t>
  </si>
  <si>
    <t>the spirit of protest should be maintained all the way</t>
  </si>
  <si>
    <t>What was media day called for Super Bowl 50?</t>
  </si>
  <si>
    <t>Humor is a part of the classroom for what type of teacher?</t>
  </si>
  <si>
    <t>civil disobedience is only justified against governmental entities.</t>
  </si>
  <si>
    <t>one hundred colleges and universities</t>
  </si>
  <si>
    <t>Rakep Patel</t>
  </si>
  <si>
    <t>$45,000</t>
  </si>
  <si>
    <t>Warsaw's National Museum is one of the most what?</t>
  </si>
  <si>
    <t>ten to fifteen</t>
  </si>
  <si>
    <t>What did these Lutheran clerics use as fuel to bolster the Policies of the Nazis?</t>
  </si>
  <si>
    <t>What did Luther call his stay a Wartburg Castle?</t>
  </si>
  <si>
    <t>Where did the discharge from glaciers go in Europe in the last Ice Age?</t>
  </si>
  <si>
    <t>humid subtropical climate</t>
  </si>
  <si>
    <t>calcium-rich feldspar mineral anorthite,</t>
  </si>
  <si>
    <t>opposite end from the mouth</t>
  </si>
  <si>
    <t>How many people could the Mercury capsule hold?</t>
  </si>
  <si>
    <t>the green chloroplast lineage</t>
  </si>
  <si>
    <t>Why did Tesla want funds from Morgan?</t>
  </si>
  <si>
    <t>later in 2016</t>
  </si>
  <si>
    <t>smaller, weaker swimmers such as rotifers and mollusc and crustacean larvae</t>
  </si>
  <si>
    <t>What type of surnames is their a strong presence of?</t>
  </si>
  <si>
    <t>Which actions by EU institutions can be subject to judicial review?</t>
  </si>
  <si>
    <t>Where is English spoken the most?</t>
  </si>
  <si>
    <t>What is one tradition within the Christian Church?</t>
  </si>
  <si>
    <t>1285</t>
  </si>
  <si>
    <t>1920s</t>
  </si>
  <si>
    <t>1963–64 season</t>
  </si>
  <si>
    <t>the road back to Samarkand</t>
  </si>
  <si>
    <t>homologous</t>
  </si>
  <si>
    <t>On April 20, Kennedy sent a memo to Vice President Lyndon B. Johnson, asking Johnson to look into the status of America's space program, and into programs that could offer NASA the opportunity to catch up. Johnson responded approximately one week later, concluding that "we are neither making maximum effort nor achieving results necessary if this country is to reach a position of leadership." His memo concluded that a manned Moon landing was far enough in the future that it was likely the United States would achieve it first.</t>
  </si>
  <si>
    <t>three major offensive actions</t>
  </si>
  <si>
    <t>increased settlement and deforestation</t>
  </si>
  <si>
    <t>transportation, sewer, hazardous waste and water</t>
  </si>
  <si>
    <t>After a chloroplast polypeptide is synthesized on a ribosome in the cytosol, an enzyme specific to chloroplast proteins phosphorylates, or adds a phosphate group to many (but not all) of them in their transit sequences. Phosphorylation helps many proteins bind the polypeptide, keeping it from folding prematurely. This is important because it prevents chloroplast proteins from assuming their active form and carrying out their chloroplast functions in the wrong place—the cytosol. At the same time, they have to keep just enough shape so that they can be recognized by the chloroplast. These proteins also help the polypeptide get imported into the chloroplast.</t>
  </si>
  <si>
    <t>yes or no</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</si>
  <si>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</si>
  <si>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What group of scientists seek to measure the amounts of oxygen in marine animals?</t>
  </si>
  <si>
    <t>Karluk Kara-Khanid</t>
  </si>
  <si>
    <t>How much of the IPCC attendees are government representatives?</t>
  </si>
  <si>
    <t>What type of arts flourished in the Yuan?</t>
  </si>
  <si>
    <t>the 2009 southeastern Australia heat wave</t>
  </si>
  <si>
    <t>Who upon arriving gave the original viking settlers a common identity?</t>
  </si>
  <si>
    <t>qualified majority</t>
  </si>
  <si>
    <t>Fresno is marked by a semi-arid climate (Köppen BSh), with mild, moist winters and hot and dry summers, thus displaying Mediterranean characteristics. December and January are the coldest months, and average around 46.5 °F (8.1 °C), and there are 14 nights with freezing lows annually, with the coldest night of the year typically bottoming out below 30 °F (−1.1 °C). July is the warmest month, averaging 83.0 °F (28.3 °C); normally, there are 32 days of 100 °F (37.8 °C)+ highs and 106 days of 90 °F (32.2 °C)+ highs, and in July and August, there are only three or four days where the high does not reach 90 °F (32.2 °C). Summers provide considerable sunshine, with July peaking at 97 percent of the total possible sunlight hours; conversely, January is the lowest with only 46 percent of the daylight time in sunlight because of thick tule fog. However, the year averages 81% of possible sunshine, for a total of 3550 hours. Average annual precipitation is around 11.5 inches (292.1 mm), which, by definition, would classify the area as a semidesert. Most of the wind rose direction occurrences derive from the northwest, as winds are driven downward along the axis of the California Central Valley; in December, January and February there is an increased presence of southeastern wind directions in the wind rose statistics. Fresno meteorology was selected in a national U.S. Environmental Protection Agency study for analysis of equilibrium temperature for use of ten-year meteorological data to represent a warm, dry western United States locale.</t>
  </si>
  <si>
    <t>What two comedies were featured on ABC's new Wednesday comedy lineup?</t>
  </si>
  <si>
    <t>Millingen aan de Rijn,</t>
  </si>
  <si>
    <t>productivity</t>
  </si>
  <si>
    <t>15 February 1546</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</si>
  <si>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</si>
  <si>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southeast of the garden</t>
  </si>
  <si>
    <t>For most organisms, what is the dominant system of defense?</t>
  </si>
  <si>
    <t>What test is especially useful for numbers of the form 2p - 1?</t>
  </si>
  <si>
    <t>Friedrich Ratzel thought imperialism was what for the country?</t>
  </si>
  <si>
    <t>East Asia: China, Japan and Korea</t>
  </si>
  <si>
    <t>He never graduated</t>
  </si>
  <si>
    <t>£20,427</t>
  </si>
  <si>
    <t>congresses and presidents</t>
  </si>
  <si>
    <t>more than 53,000</t>
  </si>
  <si>
    <t>electrical distribution</t>
  </si>
  <si>
    <t>According to the same statistics, the average age of people living in Newcastle is 37.8 (the national average being 38.6). Many people in the city have Scottish or Irish ancestors. There is a strong presence of Border Reiver surnames, such as Armstrong, Charlton, Elliot, Johnstone, Kerr, Hall, Nixon, Little and Robson. There are also small but significant Chinese, Jewish and Eastern European (Polish, Czech Roma) populations. There are also estimated to be between 500 and 2,000 Bolivians in Newcastle, forming up to 1% of the population—the largest such percentage of any UK city.</t>
  </si>
  <si>
    <t>July 20, 1969</t>
  </si>
  <si>
    <t>Bauhaus typeface</t>
  </si>
  <si>
    <t>the Calvin cycle</t>
  </si>
  <si>
    <t>How many Panthers players were chosen for the 2015 season's Pro Bowl?</t>
  </si>
  <si>
    <t>Wilson's geographer</t>
  </si>
  <si>
    <t>Where was the NFL Experience held for the 2015 season?</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</si>
  <si>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</si>
  <si>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did in fact not break any law</t>
  </si>
  <si>
    <t>What was French population in North America?</t>
  </si>
  <si>
    <t>women</t>
  </si>
  <si>
    <t>ten-horsepower</t>
  </si>
  <si>
    <t>XLVIII</t>
  </si>
  <si>
    <t>Immune_system</t>
  </si>
  <si>
    <t>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"patient"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t>
  </si>
  <si>
    <t>Rates of sea-level rise had dropped</t>
  </si>
  <si>
    <t>Who was it essential to Islam to imitate?</t>
  </si>
  <si>
    <t>Who had Kublai wanted to succeed him?</t>
  </si>
  <si>
    <t>Who was the most frequent musical contributor to Doctor Who in the first 15 years of the show?</t>
  </si>
  <si>
    <t>In which region tribe were large settlements discovered?</t>
  </si>
  <si>
    <t>Who started at tight end for the Panthers?</t>
  </si>
  <si>
    <t>What type of professionals are pharmacists?</t>
  </si>
  <si>
    <t>This formalism</t>
  </si>
  <si>
    <t>higher returns</t>
  </si>
  <si>
    <t>majority</t>
  </si>
  <si>
    <t>animosity toward each other</t>
  </si>
  <si>
    <t>In what part of the United States did many students migrate to Christian academies during the desegregation period?</t>
  </si>
  <si>
    <t>By what means were scientists able to liquefy air?</t>
  </si>
  <si>
    <t>ozone layer</t>
  </si>
  <si>
    <t>What happened to his ribs in the accident?</t>
  </si>
  <si>
    <t>Qara Khitai, Caucasus, Khwarezmid Empire, Western Xia and Jin</t>
  </si>
  <si>
    <t>Lepidodinium</t>
  </si>
  <si>
    <t>When did the Warsaw Uprising begin?</t>
  </si>
  <si>
    <t>concept of distributed adaptive message block switching</t>
  </si>
  <si>
    <t>During what period the drainage basin of the Amazon likely split?</t>
  </si>
  <si>
    <t>The Times</t>
  </si>
  <si>
    <t>the first major work to challenge the bubonic plague theory directly</t>
  </si>
  <si>
    <t>What area is Newcastle's milder winters and cooler summers most similar to?</t>
  </si>
  <si>
    <t>The revived series has received recognition from critics and the public, across various awards ceremonies. It won five BAFTA TV Awards, including Best Drama Series, the highest-profile and most prestigious British television award for which the series has ever been nominated. It was very popular at the BAFTA Cymru Awards, with 25 wins overall including Best Drama Series (twice), Best Screenplay/Screenwriter (thrice) and Best Actor. It was also nominated for 7 Saturn Awards, winning the only Best International Series in the ceremony's history. In 2009, Doctor Who was voted the 3rd greatest show of the 2000s by Channel 4, behind Top Gear and The Apprentice. The episode "Vincent and the Doctor" was shortlisted for a Mind Award at the 2010 Mind Mental Health Media Awards for its "touching" portrayal of Vincent van Gogh.</t>
  </si>
  <si>
    <t>How many Vice Presidents are in the Board of Trustees?</t>
  </si>
  <si>
    <t>What is the name given to the input string of a computational problem?</t>
  </si>
  <si>
    <t>biologist</t>
  </si>
  <si>
    <t>Approximately how many items are in the glass collection of the V&amp;A?</t>
  </si>
  <si>
    <t>transmitted electrical energy</t>
  </si>
  <si>
    <t>diatom endosymbiont</t>
  </si>
  <si>
    <t>WBT</t>
  </si>
  <si>
    <t>What did the Kenyan business people hope for when meeting with the Chinese?</t>
  </si>
  <si>
    <t>0.519, ranked 145 out of 186 in the world</t>
  </si>
  <si>
    <t>Cultural imperialism</t>
  </si>
  <si>
    <t>Deke Slayton</t>
  </si>
  <si>
    <t>mujahideen Muslim Afghanistan</t>
  </si>
  <si>
    <t>In what month and year was the AS-258 scheduled to launch?</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</si>
  <si>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</si>
  <si>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Throughout the programme's long history, there have been revelations about the Doctor that have raised additional questions. In The Brain of Morbius (1976), it was hinted that the First Doctor may not have been the first incarnation (although the other faces depicted may have been incarnations of the Time Lord Morbius). In subsequent stories the First Doctor was depicted as the earliest incarnation of the Doctor. In Mawdryn Undead (1983), the Fifth Doctor explicitly confirmed that he was then currently in his fifth incarnation. Later that same year, during 1983's 20th Anniversary special The Five Doctors, the First Doctor enquires as to the Fifth Doctor's regeneration; when the Fifth Doctor confirms "Fourth", the First Doctor excitedly replies "Goodness me. So there are five of me now." In 2010, the Eleventh Doctor similarly calls himself "the Eleventh" in "The Lodger". In the 2013 episode "The Time of the Doctor," the Eleventh Doctor clarified he was the product of the twelfth regeneration, due to a previous incarnation which he chose not to count and one other aborted regeneration. The name Eleventh is still used for this incarnation; the same episode depicts the prophesied "Fall of the Eleventh" which had been trailed throughout the series.</t>
  </si>
  <si>
    <t>How do pathogens avoid detection?</t>
  </si>
  <si>
    <t>By what method did Maududi want to change the hearts and minds of individuals?</t>
  </si>
  <si>
    <t>What book did Luther translate into German at this time?</t>
  </si>
  <si>
    <t>According to the AAA, what is the percentage of the gas stations that ran out of gasoline?</t>
  </si>
  <si>
    <t>younger than the fault</t>
  </si>
  <si>
    <t>printed images of Luther that emphasized his monumental size</t>
  </si>
  <si>
    <t>The region spans starting at islands found in which body of water?</t>
  </si>
  <si>
    <t>tiger team</t>
  </si>
  <si>
    <t>(1036.20 km)</t>
  </si>
  <si>
    <t>$500 Million was supplied for the Capital City - ABC merger by what investor?</t>
  </si>
  <si>
    <t>In what year of 20th century, did Harvard release an important document about education in America?</t>
  </si>
  <si>
    <t>The league announced on October 16, 2012, that the two finalists were Sun Life Stadium and Levi's Stadium. The South Florida/Miami area has previously hosted the event 10 times (tied for most with New Orleans), with the most recent one being Super Bowl XLIV in 2010. The San Francisco Bay Area last hosted in 1985 (Super Bowl XIX), held at Stanford Stadium in Stanford, California, won by the home team 49ers. The Miami bid depended on whether the stadium underwent renovations. However, on May 3, 2013, the Florida legislature refused to approve the funding plan to pay for the renovations, dealing a significant blow to Miami's chances.</t>
  </si>
  <si>
    <t>1493–1500</t>
  </si>
  <si>
    <t>Mongols</t>
  </si>
  <si>
    <t>that BSkyB had substantially increased the asking price for the channels</t>
  </si>
  <si>
    <t>In what decade did the Rankine cycle create 90% of electric power?</t>
  </si>
  <si>
    <t>the tension force on a load can be multiplied</t>
  </si>
  <si>
    <t>Which uses of sculpture are represented in the collection?</t>
  </si>
  <si>
    <t>The development of fundamental theories for forces proceeded along the lines of unification of disparate ideas. For example, Isaac Newton unified the force responsible for objects falling at the surface of the Earth with the force responsible for the orbits of celestial mechanics in his universal theory of gravitation. Michael Faraday and James Clerk Maxwell demonstrated that electric and magnetic forces were unified through one consistent theory of electromagnetism. In the 20th century, the development of quantum mechanics led to a modern understanding that the first three fundamental forces (all except gravity) are manifestations of matter (fermions) interacting by exchanging virtual particles called gauge bosons. This standard model of particle physics posits a similarity between the forces and led scientists to predict the unification of the weak and electromagnetic forces in electroweak theory subsequently confirmed by observation. The complete formulation of the standard model predicts an as yet unobserved Higgs mechanism, but observations such as neutrino oscillations indicate that the standard model is incomplete. A Grand Unified Theory allowing for the combination of the electroweak interaction with the strong force is held out as a possibility with candidate theories such as supersymmetry proposed to accommodate some of the outstanding unsolved problems in physics. Physicists are still attempting to develop self-consistent unification models that would combine all four fundamental interactions into a theory of everything. Einstein tried and failed at this endeavor, but currently the most popular approach to answering this question is string theory.:212–219</t>
  </si>
  <si>
    <t>Late Late Show with James Corden</t>
  </si>
  <si>
    <t>How much higher was the 42% occupation stress figure, compared to other jobs?</t>
  </si>
  <si>
    <t>When did the age of imperialism end?</t>
  </si>
  <si>
    <t>Why was Tanaghrisson supporting British efforts?</t>
  </si>
  <si>
    <t>How many siblings did Tesla have?</t>
  </si>
  <si>
    <t>Kenya's various ethnic groups typically speak their mother tongues within their own communities. The two official languages, English and Swahili, are used in varying degrees of fluency for communication with other populations. English is widely spoken in commerce, schooling and government. Peri-urban and rural dwellers are less multilingual, with many in rural areas speaking only their native languages. British English is primarily used in the country. Additionally, a distinct local dialect, Kenyan English, is used by some communities and individuals in the country, and contains features unique to it that were derived from local Bantu languages, such as Swahili and Kikuyu. It has been developing since colonisation and also contains certain elements of American English. Sheng is a Swahili-based cant spoken in some urban areas. Primarily consisting of a mixture of Swahili and English, it is an example of linguistic code-switching.</t>
  </si>
  <si>
    <t>Leukocytes (white blood cells)</t>
  </si>
  <si>
    <t>Killer T cells are a sub-group of T cells that kill cells that are infected with viruses (and other pathogens), or are otherwise damaged or dysfunctional. As with B cells, each type of T cell recognizes a different antigen. Killer T cells are activated when their T cell receptor (TCR) binds to this specific antigen in a complex with the MHC Class I receptor of another cell. Recognition of this MHC:antigen complex is aided by a co-receptor on the T cell, called CD8. The T cell then travels throughout the body in search of cells where the MHC I receptors bear this antigen. When an activated T cell contacts such cells, it releases cytotoxins, such as perforin, which form pores in the target cell's plasma membrane, allowing ions, water and toxins to enter. The entry of another toxin called granulysin (a protease) induces the target cell to undergo apoptosis. T cell killing of host cells is particularly important in preventing the replication of viruses. T cell activation is tightly controlled and generally requires a very strong MHC/antigen activation signal, or additional activation signals provided by "helper" T cells (see below).</t>
  </si>
  <si>
    <t>Apollo Telescope Mount</t>
  </si>
  <si>
    <t>secular war</t>
  </si>
  <si>
    <t>USSR's</t>
  </si>
  <si>
    <t>Vistula River</t>
  </si>
  <si>
    <t>Who did the attacks resonate most with?</t>
  </si>
  <si>
    <t>What is the most common form of oxygen on the planet?</t>
  </si>
  <si>
    <t>the Roman Catholic Church</t>
  </si>
  <si>
    <t>1765</t>
  </si>
  <si>
    <t>What year did the university open a center in Hong Kong?</t>
  </si>
  <si>
    <t>1,600 miles</t>
  </si>
  <si>
    <t>Preschool targest what age children?</t>
  </si>
  <si>
    <t>How many projects does the Centre currently realize a year?</t>
  </si>
  <si>
    <t>On 31 October 1517, Luther wrote to his bishop, Albert of Mainz, protesting the sale of indulgences. He enclosed in his letter a copy of his "Disputation of Martin Luther on the Power and Efficacy of Indulgences", which came to be known as The Ninety-Five Theses. Hans Hillerbrand writes that Luther had no intention of confronting the church, but saw his disputation as a scholarly objection to church practices, and the tone of the writing is accordingly "searching, rather than doctrinaire." Hillerbrand writes that there is nevertheless an undercurrent of challenge in several of the theses, particularly in Thesis 86, which asks: "Why does the pope, whose wealth today is greater than the wealth of the richest Crassus, build the basilica of St. Peter with the money of poor believers rather than with his own money?"</t>
  </si>
  <si>
    <t>In what year was the first Doctor Who audiobook released?</t>
  </si>
  <si>
    <t xml:space="preserve">What rive joins the Rhine in Duisburg? </t>
  </si>
  <si>
    <t>Who was imprisoned in Newcastle by the Scots in 1646 through 1647?</t>
  </si>
  <si>
    <t>doomed to perdition</t>
  </si>
  <si>
    <t>New techniques of building construction are being researched, made possible by advances in 3D printing technology. In a form of additive building construction, similar to the additive manufacturing techniques for manufactured parts, building printing is making it possible to flexibly construct small commercial buildings and private habitations in around 20 hours, with built-in plumbing and electrical facilities, in one continuous build, using large 3D printers. Working versions of 3D-printing building technology are already printing 2 metres (6 ft 7 in) of building material per hour as of January 2013[update], with the next-generation printers capable of 3.5 metres (11 ft) per hour, sufficient to complete a building in a week. Dutch architect Janjaap Ruijssenaars's performative architecture 3D-printed building is scheduled to be built in 2014.</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</si>
  <si>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</si>
  <si>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Shangdu</t>
  </si>
  <si>
    <t>oversight</t>
  </si>
  <si>
    <t>Massachusetts Bay Colony</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</si>
  <si>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</si>
  <si>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Resolution 43/53</t>
  </si>
  <si>
    <t>What kind of state was the Khwarezmia?</t>
  </si>
  <si>
    <t>1900</t>
  </si>
  <si>
    <t>fatty acids, isopentenyl pyrophosphate, iron-sulfur clusters</t>
  </si>
  <si>
    <t>20 million ounces</t>
  </si>
  <si>
    <t>Along with private individuals and organizations, what groups sometimes runs ergänzungsschulen?</t>
  </si>
  <si>
    <t>Who noticed that Luther's view of the soul after death differed from later theologians?</t>
  </si>
  <si>
    <t>What is the most frequently employed type of reduction?</t>
  </si>
  <si>
    <t>What was the result of the 1967 referendum?</t>
  </si>
  <si>
    <t>Astra's satellites</t>
  </si>
  <si>
    <t>Who arranged for Tesla to demonstrate his system at the IEEE?</t>
  </si>
  <si>
    <t>world systems theory.</t>
  </si>
  <si>
    <t>Hans Vredeman de Vries</t>
  </si>
  <si>
    <t>What is the magnitude of force divided by when external force is added?</t>
  </si>
  <si>
    <t>0.2</t>
  </si>
  <si>
    <t>lower wages</t>
  </si>
  <si>
    <t>What is the Rhine called in Dutch?</t>
  </si>
  <si>
    <t>When was Skylab's last crew on the station before it re-entered Earth's atmosphere?</t>
  </si>
  <si>
    <t>Kuznets</t>
  </si>
  <si>
    <t>Islamic rebellion</t>
  </si>
  <si>
    <t>What is the foundation for separation results within complexity classes?</t>
  </si>
  <si>
    <t>The flags on the moon left by the U.S. manned Apollo missions are all still standing save for which mission's flag?</t>
  </si>
  <si>
    <t>new absolute</t>
  </si>
  <si>
    <t>win an acquittal</t>
  </si>
  <si>
    <t>What present-day company did BankAmericard turn into?</t>
  </si>
  <si>
    <t>Newton's Second Law of Motion</t>
  </si>
  <si>
    <t>Ning Hia</t>
  </si>
  <si>
    <t>road engines</t>
  </si>
  <si>
    <t>What year was the first class taught at the University of Chicago?</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</si>
  <si>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</si>
  <si>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Construction involves the translation of what?</t>
  </si>
  <si>
    <t>What dynasties inspired the Chinese-like elements of Kublai's government?</t>
  </si>
  <si>
    <t>3600</t>
  </si>
  <si>
    <t>marine waters worldwide</t>
  </si>
  <si>
    <t xml:space="preserve">What is the maximum square miles did Betty Meggers claim that can be sustained in the rainforest? </t>
  </si>
  <si>
    <t>supervisory church</t>
  </si>
  <si>
    <t>Old Meuse</t>
  </si>
  <si>
    <t>Forster I, Forster II, and Forster III,</t>
  </si>
  <si>
    <t>How is the judicial branch of the EU an important factor in the development of EU law?</t>
  </si>
  <si>
    <t>kidney and bladder stones, and arthritis,</t>
  </si>
  <si>
    <t>What is the translation of the old north branch of rhe Rhine?</t>
  </si>
  <si>
    <t>Which team did Gary Kubiak play for when he was in the Super Bowl?</t>
  </si>
  <si>
    <t>northwestern Canada</t>
  </si>
  <si>
    <t>cnidarians and ctenophores</t>
  </si>
  <si>
    <t>land and housing</t>
  </si>
  <si>
    <t>some Internet pharmacies sell prescription drugs without requiring a prescription</t>
  </si>
  <si>
    <t>Robert Seamans;</t>
  </si>
  <si>
    <t>n &gt; 3</t>
  </si>
  <si>
    <t>civil, military, and censorial</t>
  </si>
  <si>
    <t>Sky Three</t>
  </si>
  <si>
    <t>What was Tesla's idea regarding Earth?</t>
  </si>
  <si>
    <t>What is the confusion of the French and Indian war?</t>
  </si>
  <si>
    <t>branched, linear, or other complex structures</t>
  </si>
  <si>
    <t>FeO</t>
  </si>
  <si>
    <t>ability to elude host immune responses</t>
  </si>
  <si>
    <t>September 1939</t>
  </si>
  <si>
    <t>2011 and 2012</t>
  </si>
  <si>
    <t>a better relevant income.</t>
  </si>
  <si>
    <t>In what year did Newcomen's engine pump in a mine?</t>
  </si>
  <si>
    <t>particular skills</t>
  </si>
  <si>
    <t>Who purhcased the remaining 4 pacakages available to broadcasters?</t>
  </si>
  <si>
    <t>Tesla exhibited a pre-atomic understanding of physics in his writings; he disagreed with the theory of atoms being composed of smaller subatomic particles, stating there was no such thing as an electron creating an electric charge (he believed that if electrons existed at all, they were some fourth state of matter or "sub-atom" that could only exist in an experimental vacuum and that they had nothing to do with electricity).:249 Tesla believed that atoms are immutable—they could not change state or be split in any way. He was a believer in the 19th century concept of an all pervasive "ether" that transmitted electrical energy.</t>
  </si>
  <si>
    <t>Louis XIV</t>
  </si>
  <si>
    <t>Who was Mueller replaced as Associate Administrator?</t>
  </si>
  <si>
    <t>Johann Walter</t>
  </si>
  <si>
    <t>What responses protect the lungs by mechanically ejecting pathogens from the respiratory system?</t>
  </si>
  <si>
    <t>all spheres of life.</t>
  </si>
  <si>
    <t>Lord Loudoun</t>
  </si>
  <si>
    <t>Western Cape province</t>
  </si>
  <si>
    <t>Video On Demand content</t>
  </si>
  <si>
    <t>When did the NFL announce the suspension of using Roman numerals to brand the Super Bowl?</t>
  </si>
  <si>
    <t>What bus company in Newcastle provides the majority of services south of the river?</t>
  </si>
  <si>
    <t>Most of the objects in the Japanese art collection is dated to which time period?</t>
  </si>
  <si>
    <t>What causes Pauli repulsion?</t>
  </si>
  <si>
    <t>were immediately arrested</t>
  </si>
  <si>
    <t>jury nullification</t>
  </si>
  <si>
    <t>ABC International</t>
  </si>
  <si>
    <t>That does TARDIS stand for?</t>
  </si>
  <si>
    <t>antiparallel</t>
  </si>
  <si>
    <t>18 million</t>
  </si>
  <si>
    <t>lack of reliable statistics</t>
  </si>
  <si>
    <t>capturing prey</t>
  </si>
  <si>
    <t>by the sculptor</t>
  </si>
  <si>
    <t>How are the total numbers of seats allocated to parties?</t>
  </si>
  <si>
    <t>Did I write that?</t>
  </si>
  <si>
    <t>What countries is corporal punishment still a normal practice?</t>
  </si>
  <si>
    <t>Rīnaz</t>
  </si>
  <si>
    <t>the comprehensive institutions of the Great Yuan</t>
  </si>
  <si>
    <t>What tv host and writer went to Harvard?</t>
  </si>
  <si>
    <t>115 °F</t>
  </si>
  <si>
    <t>Along with wear, what development makes it difficult to seal the rotors in an engine that lacks pistons?</t>
  </si>
  <si>
    <t>Justinian plague</t>
  </si>
  <si>
    <t>quantum electrodynamics (or QED)</t>
  </si>
  <si>
    <t>the end of October 2006</t>
  </si>
  <si>
    <t>40 to 50 students,</t>
  </si>
  <si>
    <t>For what reason would someone avoid crimes while protesting?</t>
  </si>
  <si>
    <t>Super Bowl L</t>
  </si>
  <si>
    <t>Boolean circuits;</t>
  </si>
  <si>
    <t>17%</t>
  </si>
  <si>
    <t>oxidant</t>
  </si>
  <si>
    <t>that he dropped out of school</t>
  </si>
  <si>
    <t>Which company has held contests for fans to  create their own ad for the company?</t>
  </si>
  <si>
    <t>roughly $170 billion.</t>
  </si>
  <si>
    <t>non-peer-reviewed sources</t>
  </si>
  <si>
    <t>Who did Tesla think would run the world of the future?</t>
  </si>
  <si>
    <t>J. S. Bach</t>
  </si>
  <si>
    <t>What were the Saxon Palace and Brühl Palace in prewar Warsaw?</t>
  </si>
  <si>
    <t>What's the average decibel level of noise in Newcastle?</t>
  </si>
  <si>
    <t>What is the term when middle income earners aspire to obtain the same standards of living as people wealthier than themselves?</t>
  </si>
  <si>
    <t>dendritic cells, keratinocytes and macrophages</t>
  </si>
  <si>
    <t>What type of civil disobedience is accompanied by aggression?</t>
  </si>
  <si>
    <t>What is another name for an immune system's improved response?</t>
  </si>
  <si>
    <t>Th1 immune responses</t>
  </si>
  <si>
    <t>thousands</t>
  </si>
  <si>
    <t>What stone was used for the staircase designed by J.W. Wild?</t>
  </si>
  <si>
    <t>Each of the extended metropolitan areas has a population that exceeds what number?</t>
  </si>
  <si>
    <t>Deabolis</t>
  </si>
  <si>
    <t>the cell membrane</t>
  </si>
  <si>
    <t>Kirinyaga, Kirenyaa and Kiinyaa</t>
  </si>
  <si>
    <t>The "Huguenot Street Historic District" in New Paltz</t>
  </si>
  <si>
    <t>Tulku</t>
  </si>
  <si>
    <t>The show is a significant part of British popular culture, and elsewhere it has become a cult television favourite. The show has influenced generations of British television professionals, many of whom grew up watching the series. The programme originally ran from 1963 to 1989. There was an unsuccessful attempt to revive regular production in 1996 with a backdoor pilot, in the form of a television film. The programme was relaunched in 2005 by Russell T Davies, who was showrunner and head writer for the first five years of its revival, produced in-house by BBC Wales in Cardiff. The first series of the 21st century featured Christopher Eccleston in the title role and was produced by the BBC. Doctor Who also spawned spin-offs in multiple media, including Torchwood (2006–2011) and The Sarah Jane Adventures (2007–2011), both created by Russell T Davies; K-9 (2009–2010); and a single pilot episode of K-9 and Company (1981). There also have been many spoofs and cultural references to the character in other media.</t>
  </si>
  <si>
    <t>What religion did the Yuan discourage, to support Buddhism?</t>
  </si>
  <si>
    <t xml:space="preserve">What would need to remain constant in a multiplication algorithm to produce the same outcome whether multiplying or squaring two integers?  </t>
  </si>
  <si>
    <t>1220</t>
  </si>
  <si>
    <t>What year was the first manned flight with the Lunar Module scheduled?</t>
  </si>
  <si>
    <t>19th century</t>
  </si>
  <si>
    <t>Vosges Mountains,</t>
  </si>
  <si>
    <t>The dialect of Newcastle is known as Geordie, and contains a large amount of vocabulary and distinctive word pronunciations not used in other parts of the United Kingdom. The Geordie dialect has much of its origins in the language spoken by the Anglo-Saxon populations who migrated to and conquered much of England after the end of Roman Imperial rule. This language was the forerunner of Modern English; but while the dialects of other English regions have been heavily altered by the influences of other foreign languages—particularly Latin and Norman French—the Geordie dialect retains many elements of the old language. An example of this is the pronunciation of certain words: "dead", "cow", "house" and "strong" are pronounced "deed", "coo", "hoos" and "strang"—which is how they were pronounced in the Anglo-Saxon language. Other Geordie words with Anglo-Saxon origins include: "larn" (from the Anglo-Saxon "laeran", meaning "teach"), "burn" ("stream") and "gan" ("go").</t>
  </si>
  <si>
    <t>enabling some farmers to buy assets</t>
  </si>
  <si>
    <t>richest</t>
  </si>
  <si>
    <t>How often do Parliament elections take place?</t>
  </si>
  <si>
    <t>high risk of a conflict of interest and/or the avoidance of absolute powers</t>
  </si>
  <si>
    <t>Excellent</t>
  </si>
  <si>
    <t>What range of years was the current warming compared to?</t>
  </si>
  <si>
    <t>What's one factor in eroding self-esteem?</t>
  </si>
  <si>
    <t>Allston</t>
  </si>
  <si>
    <t>immediate and fair punishment for misbehavior</t>
  </si>
  <si>
    <t>Some of the combs in the V&amp;A collection of South East Asian art is made of what material?</t>
  </si>
  <si>
    <t>1066</t>
  </si>
  <si>
    <t>In which year did the Jameel Gallery of Islamic Art opened?</t>
  </si>
  <si>
    <t>rent-seeking</t>
  </si>
  <si>
    <t>What was the population Jacksonville city as of 2010?</t>
  </si>
  <si>
    <t>In honor of the 50th Super Bowl, the pregame ceremony featured the on-field introduction of 39 of the 43 previous Super Bowl Most Valuable Players. Bart Starr (MVP of Super Bowls I and II) and Chuck Howley (MVP of Super Bowl V) appeared via video, while Peyton Manning (MVP of Super Bowl XLI and current Broncos quarterback) was shown in the locker room preparing for the game. No plans were announced regarding the recognition of Harvey Martin, co-MVP of Super Bowl XII, who died in 2001.</t>
  </si>
  <si>
    <t>a Committee of Independent Experts</t>
  </si>
  <si>
    <t>more time interacting and working directly with students</t>
  </si>
  <si>
    <t>that Jesus Christ was born a Jew</t>
  </si>
  <si>
    <t>southern Italy</t>
  </si>
  <si>
    <t>Who did Tesla partner with in 1886?</t>
  </si>
  <si>
    <t>God's wrath</t>
  </si>
  <si>
    <t>Who recovered the fumble and ran the ball in for a touchdown?</t>
  </si>
  <si>
    <t>RIBA Drawings and Archives Collection</t>
  </si>
  <si>
    <t>Outside of national recognition, what other kind of recognition do some of the cities get?</t>
  </si>
  <si>
    <t>Under normal conditions, T cells and antibodies produce what kind of peptides?</t>
  </si>
  <si>
    <t>well</t>
  </si>
  <si>
    <t>unfair laws.</t>
  </si>
  <si>
    <t>Daniel Diermeier</t>
  </si>
  <si>
    <t>Where did Korea border Kublai's territory?</t>
  </si>
  <si>
    <t>theory of races</t>
  </si>
  <si>
    <t>$2 million</t>
  </si>
  <si>
    <t>archipelago-like estuary</t>
  </si>
  <si>
    <t xml:space="preserve">Where does the Rhine begin? </t>
  </si>
  <si>
    <t>In 1875</t>
  </si>
  <si>
    <t>For what purpose is oxygen used by animal life?</t>
  </si>
  <si>
    <t>its root word pharma</t>
  </si>
  <si>
    <t>Huguenot Street Historic District</t>
  </si>
  <si>
    <t>primary school</t>
  </si>
  <si>
    <t>a few millimeters to 1.5 m (4 ft 11 in) in size.</t>
  </si>
  <si>
    <t>What does Mark U. Edwards claim as a possible cause of Luther's antisemitism?</t>
  </si>
  <si>
    <t>Stanford Stadium</t>
  </si>
  <si>
    <t>What was the Yuan's paper money called?</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</si>
  <si>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</si>
  <si>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When were the negotiations finished in Mansfeld?</t>
  </si>
  <si>
    <t>Where was the V&amp;A transferred to from its original location at Marlborough House?</t>
  </si>
  <si>
    <t>What percentage of Newcastle's population was culled by the plague?</t>
  </si>
  <si>
    <t>What association did Tesla demonstrate his radio wave theories to?</t>
  </si>
  <si>
    <t>What was President Kennedy put off by regarding the space program?</t>
  </si>
  <si>
    <t>straight</t>
  </si>
  <si>
    <t xml:space="preserve">When was the measurement of the Rhine introduced? </t>
  </si>
  <si>
    <t>preserve society's tolerance of civil disobedience</t>
  </si>
  <si>
    <t>Other than land laws, what else were the Californios dissatisfied with?</t>
  </si>
  <si>
    <t>the Victorian Government</t>
  </si>
  <si>
    <t>CRISPR sequences</t>
  </si>
  <si>
    <t>lectured</t>
  </si>
  <si>
    <t>Who wrote a resounding letter to the elector praising Luther?</t>
  </si>
  <si>
    <t>sea gooseberry</t>
  </si>
  <si>
    <t>gathered in the streets</t>
  </si>
  <si>
    <t>By what means is imperialism usually administered?</t>
  </si>
  <si>
    <t>that civil disobedience is only justified against governmental entities</t>
  </si>
  <si>
    <t>After what year did compounding cease to be used in Britain?</t>
  </si>
  <si>
    <t>megaprojects</t>
  </si>
  <si>
    <t>Point Conception is an example of a landmark among what boundary of southern California?</t>
  </si>
  <si>
    <t>The Jetsons</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</si>
  <si>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</si>
  <si>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the same in every inertial frame of reference</t>
  </si>
  <si>
    <t>systematic economic inequalities</t>
  </si>
  <si>
    <t>allegations of professional misconduct</t>
  </si>
  <si>
    <t>hard-to-fill positions</t>
  </si>
  <si>
    <t>Chicago Theological Seminary</t>
  </si>
  <si>
    <t>moral reasons to follow this law</t>
  </si>
  <si>
    <t>kilopond</t>
  </si>
  <si>
    <t>What was the Colonia Agrippina's original name?</t>
  </si>
  <si>
    <t>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Solimões Basin. Within the last 5–10 million years, this accumulating water broke through the Purus Arch, joining the easterly flow toward the Atlantic.</t>
  </si>
  <si>
    <t>Parliament cannot initiate legislation against the Commission's wishes</t>
  </si>
  <si>
    <t>ended inconclusively</t>
  </si>
  <si>
    <t>entertainment</t>
  </si>
  <si>
    <t>What did Tesla begin to research in March 1896?</t>
  </si>
  <si>
    <t>the mitochondrial double membrane</t>
  </si>
  <si>
    <t>How many lines run out of Downtown Los Angeles?</t>
  </si>
  <si>
    <t>Where did Apollo 1's crew conduct tests at Kennedy Space Center?</t>
  </si>
  <si>
    <t>Which time period does the sculpture collection cover?</t>
  </si>
  <si>
    <t>What place had the Norman Arab architectural style?</t>
  </si>
  <si>
    <t>Why have Newcastle and Gateshead linked together under a common banner?</t>
  </si>
  <si>
    <t>Division I</t>
  </si>
  <si>
    <t>In what city is the Nikola Tesla Museum?</t>
  </si>
  <si>
    <t>radius () of the Earth</t>
  </si>
  <si>
    <t>risen with increased income inequality</t>
  </si>
  <si>
    <t>What publication called Doctor Who "The Greatest UK Science Fiction Series Ever"?</t>
  </si>
  <si>
    <t>What has successfully dealt with ozone depletion?</t>
  </si>
  <si>
    <t>What was the first year that Yale and Harvard played football?</t>
  </si>
  <si>
    <t>the dilemma faced by German citizens</t>
  </si>
  <si>
    <t>to explore computer networking between three of Michigan's public universities</t>
  </si>
  <si>
    <t>along the coast, the settlements were growing into the interior</t>
  </si>
  <si>
    <t>How many NFL teams have had only one loss by the end of a regular season?</t>
  </si>
  <si>
    <t>José María Figueres</t>
  </si>
  <si>
    <t>large-scale Jewish conversion to Christianity</t>
  </si>
  <si>
    <t>1550 to 1900</t>
  </si>
  <si>
    <t>a computer</t>
  </si>
  <si>
    <t>plan the physical proceedings, and to integrate those proceedings with the other parts</t>
  </si>
  <si>
    <t>Activation of a helper T cell causes it to release what chemicals that influence cell activity?</t>
  </si>
  <si>
    <t>tolerant of religions</t>
  </si>
  <si>
    <t>the Third and Eighth Doctors</t>
  </si>
  <si>
    <t>Ossachite</t>
  </si>
  <si>
    <t>faith in Jesus Christ</t>
  </si>
  <si>
    <t>Many counties offer alternative licensing programs to attract people into teaching, especially for hard-to-fill positions. Excellent job opportunities are expected as retirements, especially among secondary school teachers, outweigh slowing enrollment growth; opportunities will vary by geographic area and subject taught.[citation needed]</t>
  </si>
  <si>
    <t>When did the launches of boilerplate CSMs occur in orbit?</t>
  </si>
  <si>
    <t>Who was the hostage?</t>
  </si>
  <si>
    <t>300 acres</t>
  </si>
  <si>
    <t>staying home to alleviate the high rate of unemployment among young Algerian men</t>
  </si>
  <si>
    <t>rebuild St. Peter's Basilica</t>
  </si>
  <si>
    <t>traditional private schools and schools which are privately governed</t>
  </si>
  <si>
    <t>incorporate their prey's nematocysts (stinging cells) into their own tentacles</t>
  </si>
  <si>
    <t>greatest antisemite</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</si>
  <si>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</si>
  <si>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After 1971</t>
  </si>
  <si>
    <t>Western art from the Middle Ages to the present</t>
  </si>
  <si>
    <t>What did giving money to the church absolve the giver from?</t>
  </si>
  <si>
    <t>bachelor's</t>
  </si>
  <si>
    <t>Following the utilitarian principle of seeking the greatest good for the greatest number – economic inequality is problematic. A house that provides less utility to a millionaire as a summer home than it would to a homeless family of five, is an example of reduced "distributive efficiency" within society, that decreases marginal utility of wealth and thus the sum total of personal utility. An additional dollar spent by a poor person will go to things providing a great deal of utility to that person, such as basic necessities like food, water, and healthcare; while, an additional dollar spent by a much richer person will very likely go to luxury items providing relatively less utility to that person. Thus, the marginal utility of wealth per person ("the additional dollar") decreases as a person becomes richer. From this standpoint, for any given amount of wealth in society, a society with more equality will have higher aggregate utility. Some studies have found evidence for this theory, noting that in societies where inequality is lower, population-wide satisfaction and happiness tend to be higher.</t>
  </si>
  <si>
    <t>In which case did the Court of Justice hold that requiring Italian lawyers to comply with maximum tariffs unless there was an agreement with a client was not a restriction?</t>
  </si>
  <si>
    <t>What is the name of the border to the south?</t>
  </si>
  <si>
    <t>Kim</t>
  </si>
  <si>
    <t>How many same-sex married couples or partnerships were there?</t>
  </si>
  <si>
    <t>What happens if angiosperm shoots don't get enough light?</t>
  </si>
  <si>
    <t>(15,100</t>
  </si>
  <si>
    <t>Immunoproteomics</t>
  </si>
  <si>
    <t>intermediate network nodes</t>
  </si>
  <si>
    <t>the Travels of Marco Polo</t>
  </si>
  <si>
    <t>potentially dangerous</t>
  </si>
  <si>
    <t>French Louisiana west of the Mississippi River (including New Orleans) to its ally Spain</t>
  </si>
  <si>
    <t>When did the San Francisco Bay area last host the Super Bowl?</t>
  </si>
  <si>
    <t>55,000</t>
  </si>
  <si>
    <t>it significantly altered the existing treaties</t>
  </si>
  <si>
    <t>What Shakespeare scholar is currently on the university's faculty?</t>
  </si>
  <si>
    <t>Flung to the Heedless Winds</t>
  </si>
  <si>
    <t>Real Presence</t>
  </si>
  <si>
    <t>pharmacists cannot form business partnerships with physicians or give them "kickback" payments</t>
  </si>
  <si>
    <t>What is the name given to the university's main library?</t>
  </si>
  <si>
    <t>isotope</t>
  </si>
  <si>
    <t>356 ± 47 tonnes per hectare</t>
  </si>
  <si>
    <t>What other English towns were sites of Huguenot settlement?</t>
  </si>
  <si>
    <t>What did the Industrial Revolution cause to happen to Newcastle?</t>
  </si>
  <si>
    <t>How many coordinating lead authors does an IPCC report chapter have?</t>
  </si>
  <si>
    <t>What were many pastors unable to do?</t>
  </si>
  <si>
    <t>From where would scientists like measure vegetation radiance?</t>
  </si>
  <si>
    <t>What year saw the merger of two museums in Newcastle?</t>
  </si>
  <si>
    <t>When the Methodists in America were separated from the Church of England</t>
  </si>
  <si>
    <t>sell prescription drugs</t>
  </si>
  <si>
    <t>Gallifrey</t>
  </si>
  <si>
    <t>How many interceptions did Josh Norman score touchdowns with in 2015?</t>
  </si>
  <si>
    <t>Climate Change</t>
  </si>
  <si>
    <t>Some forms of civil disobedience, such as illegal boycotts, refusals to pay taxes, draft dodging, distributed denial-of-service attacks, and sit-ins, make it more difficult for a system to function. In this way, they might be considered coercive. Brownlee notes that "although civil disobedients are constrained in their use of coercion by their conscientious aim to engage in moral dialogue, nevertheless they may find it necessary to employ limited coercion in order to get their issue onto the table." The Plowshares organization temporarily closed GCSB Waihopai by padlocking the gates and using sickles to deflate one of the large domes covering two satellite dishes.</t>
  </si>
  <si>
    <t>How is chloroplast replication observed?</t>
  </si>
  <si>
    <t>competing harms defense</t>
  </si>
  <si>
    <t>What was constructed between 1978 and 1982 to link the Henry Cole wing to the rest of the museum?</t>
  </si>
  <si>
    <t>How much did the initial version of the SM weigh in pounds?</t>
  </si>
  <si>
    <t>After Apollo missions 18 and 19 were cancelled, what happened to the Saturn Vs that were never used?</t>
  </si>
  <si>
    <t>introductory</t>
  </si>
  <si>
    <t>What does an increase in the income share of the bottom 20 percent of people of a society result in?</t>
  </si>
  <si>
    <t>What science fiction writer introduced the Doctor Who episodes for a period of time?</t>
  </si>
  <si>
    <t>informed Céloron that they owned the Ohio Country and that they would trade with the British</t>
  </si>
  <si>
    <t>When did building activity in the palaces and churches take place in the later decades of?</t>
  </si>
  <si>
    <t>People’s Republic of China</t>
  </si>
  <si>
    <t>What causes triplet oxygen to react slowly?</t>
  </si>
  <si>
    <t>Who sold the Upper Rhine to Burgundy?</t>
  </si>
  <si>
    <t>Which actor was a replacement for Doctor Who due to the illness of the main actor?</t>
  </si>
  <si>
    <t>How many divisions make up the academics of the university?</t>
  </si>
  <si>
    <t>Masovian gothic</t>
  </si>
  <si>
    <t>When a plant is injured, what can become proplastids?</t>
  </si>
  <si>
    <t>a general architecture for a large-scale, distributed, survivable communications network</t>
  </si>
  <si>
    <t>Why is the collection dominated by fashionable clothes made for special occasions?</t>
  </si>
  <si>
    <t>ABC Studios</t>
  </si>
  <si>
    <t>1688–1692</t>
  </si>
  <si>
    <t>Who invented the notion of a steam engine's duty?</t>
  </si>
  <si>
    <t>How many valves did the Corliss engine use?</t>
  </si>
  <si>
    <t>Hormones can alter the sensitivity of the immune system, so they can be referred to as what?</t>
  </si>
  <si>
    <t>Ethiopian</t>
  </si>
  <si>
    <t>ink</t>
  </si>
  <si>
    <t>When was most of Sunnside developed?</t>
  </si>
  <si>
    <t>1740s</t>
  </si>
  <si>
    <t>76,000 to 540,000</t>
  </si>
  <si>
    <t>Super Bowl XXXVII</t>
  </si>
  <si>
    <t>explosives</t>
  </si>
  <si>
    <t>2</t>
  </si>
  <si>
    <t>50% to 60%</t>
  </si>
  <si>
    <t>which years did tesla refer to as a time of terrible headaches and bitter tears?</t>
  </si>
  <si>
    <t>zeolite molecular sieves</t>
  </si>
  <si>
    <t>economists</t>
  </si>
  <si>
    <t>medication regimen review</t>
  </si>
  <si>
    <t>When did internet pharmacies begin to come into being?</t>
  </si>
  <si>
    <t>In which year did the V&amp;A received the Talbot Hughes collection?</t>
  </si>
  <si>
    <t>one out of every six</t>
  </si>
  <si>
    <t>wedding banquet</t>
  </si>
  <si>
    <t>very little</t>
  </si>
  <si>
    <t>means to invest in new sources of creating wealth</t>
  </si>
  <si>
    <t>Lovely Lane Methodist Church</t>
  </si>
  <si>
    <t>over 4.5 million</t>
  </si>
  <si>
    <t>How many main flows are branched off from the Nederrijn?</t>
  </si>
  <si>
    <t>up to 1%</t>
  </si>
  <si>
    <t>undifferentiated proplastids</t>
  </si>
  <si>
    <t>wanted to marry</t>
  </si>
  <si>
    <t>What is the population of the Greater Los Angeles Area?</t>
  </si>
  <si>
    <t>electron</t>
  </si>
  <si>
    <t>(25,700 km</t>
  </si>
  <si>
    <t>normal</t>
  </si>
  <si>
    <t>300</t>
  </si>
  <si>
    <t>connection-oriented operations. But X.25 does it at the network layer of the OSI Model. Frame Relay does it at level two, the data link layer</t>
  </si>
  <si>
    <t>When was the agreement to acquire ABC approved by UPT's board?</t>
  </si>
  <si>
    <t>moist broadleaf forest</t>
  </si>
  <si>
    <t>What basin was formed when the Andes Mountains rose?</t>
  </si>
  <si>
    <t>Harvard's 2,400 professors, lecturers, and instructors instruct 7,200 undergraduates and 14,000 graduate students. The school color is crimson, which is also the name of the Harvard sports teams and the daily newspaper, The Harvard Crimson. The color was unofficially adopted (in preference to magenta) by an 1875 vote of the student body, although the association with some form of red can be traced back to 1858, when Charles William Eliot, a young graduate student who would later become Harvard's 21st and longest-serving president (1869–1909), bought red bandanas for his crew so they could more easily be distinguished by spectators at a regatta.</t>
  </si>
  <si>
    <t>8,646 sq mi</t>
  </si>
  <si>
    <t>How many Saturn V rockets were produced by NASA during the Apollo project?</t>
  </si>
  <si>
    <t>redistribution mechanisms such as social welfare programs</t>
  </si>
  <si>
    <t>What was the English title of Polo's book?</t>
  </si>
  <si>
    <t>the fertile highlands</t>
  </si>
  <si>
    <t>carbon contained within the vegetation</t>
  </si>
  <si>
    <t>What are the first buildings the university built knows as today?</t>
  </si>
  <si>
    <t>a sanction for murder.</t>
  </si>
  <si>
    <t>Is the UMC pro-life or pro-choice?</t>
  </si>
  <si>
    <t>illegal boycotts</t>
  </si>
  <si>
    <t>What kinds of pigments do rhodoplasts have?</t>
  </si>
  <si>
    <t>the gastrodermis</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</si>
  <si>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</si>
  <si>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with a rolling circle mechanism</t>
  </si>
  <si>
    <t>When did Tesla become friends with Viereck?</t>
  </si>
  <si>
    <t>Who conceptualized the aeolipile?</t>
  </si>
  <si>
    <t>first half of the eighteenth century</t>
  </si>
  <si>
    <t>What does the acronym CSM stand for?</t>
  </si>
  <si>
    <t>ownership of private industries</t>
  </si>
  <si>
    <t>Why did Harvard end its early admission program?</t>
  </si>
  <si>
    <t xml:space="preserve">Which shaman's proclamation aided Temüjin's rise? </t>
  </si>
  <si>
    <t>Where did he claim the blueprint was stored?</t>
  </si>
  <si>
    <t>democracy</t>
  </si>
  <si>
    <t>Tea, coffee, sisal, pyrethrum, corn, and wheat are grown in the fertile highlands, one of the most successful agricultural production regions in Africa. Livestock predominates in the semi-arid savanna to the north and east. Coconuts, pineapples, cashew nuts, cotton, sugarcane, sisal, and corn are grown in the lower-lying areas. Unfortunately, the country has not attained the level of investment and efficiency in agriculture that can guarantee food security and coupled with resulting poverty (53% of the population lives below the poverty line), a significant portion of the population regularly starves and is heavily dependent on food aid. Poor roads, an inadequate railway network, under-used water transport and expensive air transport have isolated mostly arid and semi-arid areas and farmers in other regions often leave food to rot in the fields because they cannot access markets. This was last seen in August and September 2011 prompting the Kenyans for Kenya initiative by the Red Cross.</t>
  </si>
  <si>
    <t>full independent prescribing authority</t>
  </si>
  <si>
    <t>residual of the force</t>
  </si>
  <si>
    <t>What does Warsaw host many of?</t>
  </si>
  <si>
    <t>January 1964, until it achieved the first manned landing in July 1969,</t>
  </si>
  <si>
    <t>During what period did the Tower Theatre re-open?</t>
  </si>
  <si>
    <t>Stagecoach</t>
  </si>
  <si>
    <t>What is the Roman numeral going to be for Super Bowl 51?</t>
  </si>
  <si>
    <t>in the late 1980s</t>
  </si>
  <si>
    <t>Where does the livestock of the country normally dominate?</t>
  </si>
  <si>
    <t>to the American Indians</t>
  </si>
  <si>
    <t>declaration of war in 1756 to the signing of the peace treaty in 1763</t>
  </si>
  <si>
    <t>thought of themselves as better</t>
  </si>
  <si>
    <t>Maria de la Queillerie</t>
  </si>
  <si>
    <t>Where did these uprisings take place?</t>
  </si>
  <si>
    <t>Who was Tesla prejudiced against?</t>
  </si>
  <si>
    <t>Stress</t>
  </si>
  <si>
    <t>"winds up" the debate</t>
  </si>
  <si>
    <t>Ctenophores</t>
  </si>
  <si>
    <t xml:space="preserve">Finding what helps to determine if a fault is a normal fault or a thrust fault? </t>
  </si>
  <si>
    <t>Who edited Tesla's autobiography?</t>
  </si>
  <si>
    <t>Who was appointed as the replacement for Duke Yansheng Kong Duanyou?</t>
  </si>
  <si>
    <t>In September 1967, Mueller approved a sequence of mission types which had to be successfully accomplished in order to achieve the manned lunar landing. Each step had to be successfully accomplished before the next ones could be performed, and it was unknown how many tries of each mission would be necessary; therefore letters were used instead of numbers. The A missions were unmanned Saturn V validation; B was unmanned LM validation using the Saturn IB; C was manned CSM Earth orbit validation using the Saturn IB; D was the first manned CSM/LM flight (this replaced AS-258, using a single Saturn V launch); E would be a higher Earth orbit CSM/LM flight; F would be the first lunar mission, testing the LM in lunar orbit but without landing (a "dress rehearsal"); and G would be the first manned landing. The list of types covered follow-on lunar exploration to include H lunar landings, I for lunar orbital survey missions, and J for extended-stay lunar landings.</t>
  </si>
  <si>
    <t>Samuel P. Huntington</t>
  </si>
  <si>
    <t>What is a new trend in teaching?</t>
  </si>
  <si>
    <t>$216,000</t>
  </si>
  <si>
    <t>0.9%</t>
  </si>
  <si>
    <t>the rat population was insufficient</t>
  </si>
  <si>
    <t>sent Dieskau to Fort St. Frédéric</t>
  </si>
  <si>
    <t>ca. 22,000–14,000 yr BP</t>
  </si>
  <si>
    <t>the Tyne and Wear Metro</t>
  </si>
  <si>
    <t>How many costumes were in the Costiff collection?</t>
  </si>
  <si>
    <t>the conservative European People's Party</t>
  </si>
  <si>
    <t>Pauli</t>
  </si>
  <si>
    <t xml:space="preserve">What term corresponds to the maximum measurement of time across all functions of n? </t>
  </si>
  <si>
    <t>strong Islamist</t>
  </si>
  <si>
    <t>the possession of already-wealthy individuals</t>
  </si>
  <si>
    <t>two catechisms</t>
  </si>
  <si>
    <t>7.8</t>
  </si>
  <si>
    <t>Astra</t>
  </si>
  <si>
    <t>What is the central business district of San Diego?</t>
  </si>
  <si>
    <t>What set is a seat added to after being allocated?</t>
  </si>
  <si>
    <t>How many species were found in the Burgess Shale?</t>
  </si>
  <si>
    <t>exoskeleton</t>
  </si>
  <si>
    <t>Force</t>
  </si>
  <si>
    <t>What percentage of funds were given as charitable funds to causes in and around San Francisco?</t>
  </si>
  <si>
    <t>The Los Angeles Rams are an example of what kind of sports team?</t>
  </si>
  <si>
    <t>What did Herr Gott, dich loben wir become known as ?</t>
  </si>
  <si>
    <t>After the death of Tugh Temür in 1332 and subsequent death of Rinchinbal (Emperor Ningzong) the same year, the 13-year-old Toghun Temür (Emperor Huizong), the last of the nine successors of Kublai Khan, was summoned back from Guangxi and succeeded to the throne. After El Temür's death, Bayan became as powerful an official as El Temür had been in the beginning of his long reign. As Toghun Temür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Temür, marking the end of his first administration, and he was not called back until 1349.</t>
  </si>
  <si>
    <t>Which MVP honoree died in 2001?</t>
  </si>
  <si>
    <t>strang</t>
  </si>
  <si>
    <t>continental European liberalism</t>
  </si>
  <si>
    <t>How many sites did the NFL narrow down Super Bowl 50's location to?</t>
  </si>
  <si>
    <t>During what decade did the campus start to look more modern?</t>
  </si>
  <si>
    <t>The Kronenberg Palace had been an exceptional example of what type of architecture?</t>
  </si>
  <si>
    <t>Tracy Wolfson and Evan Washburn</t>
  </si>
  <si>
    <t>What does FOTA stand for?</t>
  </si>
  <si>
    <t>Why is using O2 instead of CO2 less efficient?</t>
  </si>
  <si>
    <t>What is the name of the supposition that there are infinite pairs of primes whose difference is 2?</t>
  </si>
  <si>
    <t>115 °F (46.1 °C)</t>
  </si>
  <si>
    <t>an early eukaryotic cell</t>
  </si>
  <si>
    <t>p is not a prime factor of q</t>
  </si>
  <si>
    <t>most isolated areas</t>
  </si>
  <si>
    <t>How many Huguenots were killed during this purge?</t>
  </si>
  <si>
    <t>What attracts the tourists to Kenya?</t>
  </si>
  <si>
    <t>though the 21st century</t>
  </si>
  <si>
    <t>around $200 million</t>
  </si>
  <si>
    <t>AC power</t>
  </si>
  <si>
    <t>Tugh Temür</t>
  </si>
  <si>
    <t>Newcastle University</t>
  </si>
  <si>
    <t>tax rate</t>
  </si>
  <si>
    <t>city</t>
  </si>
  <si>
    <t>What was the first internet2 network named</t>
  </si>
  <si>
    <t>Some of the museum's collection of Korean boxes are inlaid with what objects?</t>
  </si>
  <si>
    <t>convection of the mantle</t>
  </si>
  <si>
    <t>The Black Cloister</t>
  </si>
  <si>
    <t>one major operation</t>
  </si>
  <si>
    <t>notorious intransigence</t>
  </si>
  <si>
    <t>the Dongshan Dafo Dian</t>
  </si>
  <si>
    <t>ABC Television Center, East</t>
  </si>
  <si>
    <t>What is a growing sport in southern California?</t>
  </si>
  <si>
    <t>legitimacy of a particular law</t>
  </si>
  <si>
    <t>What does the utilitarian principle seek for the greatest number of people?</t>
  </si>
  <si>
    <t>17th century</t>
  </si>
  <si>
    <t>What promoted the growrth of Mnemiposis in the Black Sea?</t>
  </si>
  <si>
    <t>Luther next set about reversing or modifying the new church practices. By working alongside the authorities to restore public order, he signalled his reinvention as a conservative force within the Reformation. After banishing the Zwickau prophets, he now faced a battle against not only the established Church but also the radical reformers who threatened the new order by fomenting social unrest and violence.</t>
  </si>
  <si>
    <t>satellite platform</t>
  </si>
  <si>
    <t>Warsaw University of Technology building</t>
  </si>
  <si>
    <t>October 16, 1973,</t>
  </si>
  <si>
    <t>crowd out</t>
  </si>
  <si>
    <t>When did the earliest examples of civil disobedience as a whole occur?</t>
  </si>
  <si>
    <t>What is the name of the port city that was created?</t>
  </si>
  <si>
    <t>plead not guilty</t>
  </si>
  <si>
    <t>1–3 μm</t>
  </si>
  <si>
    <t>What is the Yuan dynasty's official name?</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</si>
  <si>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</si>
  <si>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they owned the Ohio Country and that they would trade with the British regardless of the French</t>
  </si>
  <si>
    <t>Pleistocene epoch</t>
  </si>
  <si>
    <t>the Mongol and Turkic tribes</t>
  </si>
  <si>
    <t>1909</t>
  </si>
  <si>
    <t>the packets may be delivered according to a multiple access scheme</t>
  </si>
  <si>
    <t>Agricola</t>
  </si>
  <si>
    <t>steps of Nairobi's Harambee House</t>
  </si>
  <si>
    <t>What is the only form kinetic energy can change into?</t>
  </si>
  <si>
    <t>What game did Thomas Davis say he would play in, despite breaking a bone earlier on?</t>
  </si>
  <si>
    <t>Sayyid Abul Ala Maududi</t>
  </si>
  <si>
    <t>How many horsepower did Tesla's bladeless turbine have?</t>
  </si>
  <si>
    <t>about 300</t>
  </si>
  <si>
    <t>in excess of approximately 1015 kelvins</t>
  </si>
  <si>
    <t>How did Denver score at the end of the drive?</t>
  </si>
  <si>
    <t>Which team was suspended from the MLS?</t>
  </si>
  <si>
    <t>poor management, internal divisions, and effective Canadian scouts</t>
  </si>
  <si>
    <t>30 to 50 thousand</t>
  </si>
  <si>
    <t>China, Japan and Korea</t>
  </si>
  <si>
    <t>1st century AD to the present</t>
  </si>
  <si>
    <t>the resultant (also called the net force)</t>
  </si>
  <si>
    <t>What new product did Bank of America introduce in 1958?</t>
  </si>
  <si>
    <t>capturing three traders and killing 14 people</t>
  </si>
  <si>
    <t>Canterbury</t>
  </si>
  <si>
    <t>Which awards show has its rights rotated among the four major networks on a yearly basis?</t>
  </si>
  <si>
    <t>What journalist wrote an article defending Doctor Who?</t>
  </si>
  <si>
    <t>What was the first picture released by ABC Pictures?</t>
  </si>
  <si>
    <t>What is the largest type of misconduct being reviewed by the media?</t>
  </si>
  <si>
    <t>marine triple expansion engines</t>
  </si>
  <si>
    <t>July 2013</t>
  </si>
  <si>
    <t>the opposite end from the mouth</t>
  </si>
  <si>
    <t>This concept contrasted and contradicted the theretofore established principles of pre-allocation of network bandwidth</t>
  </si>
  <si>
    <t>The Time of the Doctor</t>
  </si>
  <si>
    <t>ABC Television Center</t>
  </si>
  <si>
    <t>Osama bin Laden</t>
  </si>
  <si>
    <t>migration and urbanisation</t>
  </si>
  <si>
    <t>What building materials were used to build the main façade?</t>
  </si>
  <si>
    <t>Song</t>
  </si>
  <si>
    <t>1970</t>
  </si>
  <si>
    <t>There were tax exemptions for religious figures and, to some extent, teachers and doctors. The Mongol Empire practiced religious tolerance because Mongol tradition had long held that religion was a personal concept, and not subject to law or interference.[citation needed] Sometime before the rise of Genghis Khan, Ong Khan, his mentor and eventual rival, had converted to Nestorian Christianity. Various Mongol tribes were Shamanist, Buddhist or Christian. Religious tolerance was thus a well established concept on the Asian steppe.</t>
  </si>
  <si>
    <t>Whose activities were the French able to gain knowledge of?</t>
  </si>
  <si>
    <t>50</t>
  </si>
  <si>
    <t>Not only the work of British artists and craftspeople is on display, but also work produced by European artists that was purchased or commissioned by British patrons, as well as imports from Asia, including porcelain, cloth and wallpaper. Designers and artists whose work is on display in the galleries include Gian Lorenzo Bernini, Grinling Gibbons, Daniel Marot, Louis Laguerre, Antonio Verrio, Sir James Thornhill, William Kent, Robert Adam, Josiah Wedgwood, Matthew Boulton, Canova, Thomas Chippendale, Pugin, William Morris. Patrons who have influenced taste are also represented by works of art from their collections, these include: Horace Walpole (a major influence on the Gothic Revival), William Thomas Beckford and Thomas Hope.</t>
  </si>
  <si>
    <t xml:space="preserve">What did DECnet originally do </t>
  </si>
  <si>
    <t>Second law</t>
  </si>
  <si>
    <t>Which MVP died in 2001?</t>
  </si>
  <si>
    <t>15%–16%</t>
  </si>
  <si>
    <t>In March 1896</t>
  </si>
  <si>
    <t>South Coast Metro</t>
  </si>
  <si>
    <t>How do chloroplasts trigger the plant's immune system?</t>
  </si>
  <si>
    <t>reduce consumer costs</t>
  </si>
  <si>
    <t>How many Grade One listed railway stations are in the UK?</t>
  </si>
  <si>
    <t>Who has elected the President of Warsaw since 1990?</t>
  </si>
  <si>
    <t>What actually causes rigidity in matter?</t>
  </si>
  <si>
    <t>New York attorney Charles F. Peck</t>
  </si>
  <si>
    <t>What are the total number of votes to be counted during the voting process?</t>
  </si>
  <si>
    <t>What park is close to John Lennon street?</t>
  </si>
  <si>
    <t>Larry Ellison</t>
  </si>
  <si>
    <t>What had the number of people living in Warsaw declined to by 1945?</t>
  </si>
  <si>
    <t>20.4 billion</t>
  </si>
  <si>
    <t>the Conservative Party</t>
  </si>
  <si>
    <t>bigamy</t>
  </si>
  <si>
    <t>What medical appliance can be a concern for oxygen toxicity?</t>
  </si>
  <si>
    <t>What are the Catechisms of Martin Luther written in?</t>
  </si>
  <si>
    <t>English and Swahili,</t>
  </si>
  <si>
    <t>The enforcement of the ban on the 95 Theses fell to the secular authorities. On 18 April 1521, Luther appeared as ordered before the Diet of Worms. This was a general assembly of the estates of the Holy Roman Empire that took place in Worms, a town on the Rhine. It was conducted from 28 January to 25 May 1521, with Emperor Charles V presiding. Prince Frederick III, Elector of Saxony, obtained a safe conduct for Luther to and from the meeting.</t>
  </si>
  <si>
    <t>Epte</t>
  </si>
  <si>
    <t>universal Ku band</t>
  </si>
  <si>
    <t>Subsequent to the Conquest, however, the Marches came completely under the dominance of William's most trusted Norman barons, including Bernard de Neufmarché, Roger of Montgomery in Shropshire and Hugh Lupus in Cheshire. These Normans began a long period of slow conquest during which almost all of Wales was at some point subject to Norman interference. Norman words, such as baron (barwn), first entered Welsh at that time.</t>
  </si>
  <si>
    <t>Reserved matters are subjects that are outside the legislative competence of the Scotland Parliament. The Scottish Parliament is unable to legislate on such issues that are reserved to, and dealt with at, Westminster (and where Ministerial functions usually lie with UK Government ministers). These include abortion, broadcasting policy, civil service, common markets for UK goods and services, constitution, electricity, coal, oil, gas, nuclear energy, defence and national security, drug policy, employment, foreign policy and relations with Europe, most aspects of transport safety and regulation, National Lottery, protection of borders, social security and stability of UK's fiscal, economic and monetary system.</t>
  </si>
  <si>
    <t>What kind of needlework was used in the creation of the Bayeux Tapestry?</t>
  </si>
  <si>
    <t>applied mathematics to the construction of calendars</t>
  </si>
  <si>
    <t>In an ideal moral society, what would all citizens be free from?</t>
  </si>
  <si>
    <t>husband</t>
  </si>
  <si>
    <t>Christopher Gist</t>
  </si>
  <si>
    <t>Richard Allen and Absalom Jones were licensed by St. George's Church in what year?</t>
  </si>
  <si>
    <t xml:space="preserve">Who was the commissioner of the NFL in 2012? </t>
  </si>
  <si>
    <t>Professor Moriarty to the Doctor's Sherlock Holmes</t>
  </si>
  <si>
    <t>the Rip</t>
  </si>
  <si>
    <t>pump hydrogen ions</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</si>
  <si>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gravitational.:2–10:79 High-energy particle physics observations made during the 1970s and 1980s confirmed that the weak and electromagnetic forces are expressions of a more fundamental electroweak interaction.</t>
  </si>
  <si>
    <t>Which Florida venue was one of three considered for Super Bowl 50?</t>
  </si>
  <si>
    <t>Who was the Panthers head coach for the 2015 season?</t>
  </si>
  <si>
    <t>What portion of Berlin's population spoke French by 1700?</t>
  </si>
  <si>
    <t>What Universal trailer debuted during the Super Bowl?</t>
  </si>
  <si>
    <t>What is the intrisic angular variable called when particles act upon one another?</t>
  </si>
  <si>
    <t>In the 1980s, what cable sports channel did ABC purchase?</t>
  </si>
  <si>
    <t>to energize electrons</t>
  </si>
  <si>
    <t>What is the Mongolian name of the first Mongolian laws codified in writing?</t>
  </si>
  <si>
    <t>What is another word for cryptophytes?</t>
  </si>
  <si>
    <t>eidetic</t>
  </si>
  <si>
    <t>American Sign Language</t>
  </si>
  <si>
    <t>The Pokémon Company</t>
  </si>
  <si>
    <t>the mother</t>
  </si>
  <si>
    <t>take evidence from witnesses, conduct inquiries and scrutinise legislation</t>
  </si>
  <si>
    <t>Which article allows the European Council to govern mergers between firms?</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</si>
  <si>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</si>
  <si>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20th century,</t>
  </si>
  <si>
    <t>in Boston</t>
  </si>
  <si>
    <t>What type of movies were produced in Jacksonville's 30 studios?</t>
  </si>
  <si>
    <t>What type of number theory utilizes and studies prime ideals?</t>
  </si>
  <si>
    <t>What is a commonly used measurement used to determine the complexity of a computational problem?</t>
  </si>
  <si>
    <t>low total pressures used</t>
  </si>
  <si>
    <t>many complexity classes</t>
  </si>
  <si>
    <t>40%</t>
  </si>
  <si>
    <t>What happened to the AS-205 mission originally?</t>
  </si>
  <si>
    <t>What is the minimum amount of time before a bill can go into law?</t>
  </si>
  <si>
    <t>1919–20</t>
  </si>
  <si>
    <t>the opening of hostilities</t>
  </si>
  <si>
    <t>The Broncos</t>
  </si>
  <si>
    <t>a conquest over an area</t>
  </si>
  <si>
    <t>Amazonia or the Amazon Jungle</t>
  </si>
  <si>
    <t>What notable private school has an endowment of several hundred million dollars?</t>
  </si>
  <si>
    <t>Tropical Storm Beryl</t>
  </si>
  <si>
    <t>For exercise</t>
  </si>
  <si>
    <t>Shen Kuo</t>
  </si>
  <si>
    <t>a river crevice.</t>
  </si>
  <si>
    <t>What type of civil disobedience is larger scale?</t>
  </si>
  <si>
    <t>What do apicoplasts synthesize?</t>
  </si>
  <si>
    <t>What was one location the noise readings in Newcastle were taken at?</t>
  </si>
  <si>
    <t>stiffened cilia</t>
  </si>
  <si>
    <t>Iqbal worried that India's mostly Hindu population would do what to Muslim heritage and culture?</t>
  </si>
  <si>
    <t>Who may teachers ignore, in order to prioritize attention?</t>
  </si>
  <si>
    <t>Great Exhibition</t>
  </si>
  <si>
    <t>briefing B-265</t>
  </si>
  <si>
    <t>2007</t>
  </si>
  <si>
    <t>What was the Henry Cole Wing previously called?</t>
  </si>
  <si>
    <t>How many bits are typically used in the primes for the Diffie–Hellman key exchange?</t>
  </si>
  <si>
    <t>If there is a conflict between EU law and national law, which law take precedence?</t>
  </si>
  <si>
    <t>the most cost efficient bidder</t>
  </si>
  <si>
    <t>French Louisiana</t>
  </si>
  <si>
    <t>Mocama</t>
  </si>
  <si>
    <t>What was the effect of the housing crash on the region?</t>
  </si>
  <si>
    <t>What is the House of Tides?</t>
  </si>
  <si>
    <t>Recognized Student Organizations (RSOs)</t>
  </si>
  <si>
    <t>In what year was the Doctor Who 40th Anniversary show?</t>
  </si>
  <si>
    <t>Henry Moore and Jacob Epstein</t>
  </si>
  <si>
    <t>gilt copper</t>
  </si>
  <si>
    <t>Benjamin</t>
  </si>
  <si>
    <t>400 m wide</t>
  </si>
  <si>
    <t>Iberia</t>
  </si>
  <si>
    <t>Some argue that The United Methodist Church can lay a claim on apostolic succession, as understood in the traditional sense. As a result of the American Revolution, John Wesley was compelled in 1784 to break with standard practice and ordain two of his lay preachers as presbyters, Thomas Vasey and Richard Whatcoat. Dr. Thomas Coke, already an Anglican priest, assisted Wesley in this action. Coke was then "set apart" as a superintendent (bishop) by Wesley and dispatched with Vasey and Whatcoat to America to take charge of Methodist activities there. In defense of his action to ordain, Wesley himself cited an ancient opinion from the Church of Alexandria, which held that bishops and presbyters constituted one order and therefore, bishops are to be elected from and by the presbyterate. He knew that for two centuries the succession of bishops in the Church of Alexandria was preserved through ordination by presbyters alone and was considered valid by the ancient church. Methodists today who would argue for apostolic succession would do so on these grounds.</t>
  </si>
  <si>
    <t>as soon as they enter into force, unless stated otherwise</t>
  </si>
  <si>
    <t>With Rivera having been a linebacker with the Chicago Bears in Super Bowl XX, and Kubiak replacing Elway at the end of the Broncos' defeats in Super Bowls XXI and XXIV, this will be the first Super Bowl in which both head coaches played in the game themselves.</t>
  </si>
  <si>
    <t>What is the unproven assumption generally ascribed to the value of complexity classes?</t>
  </si>
  <si>
    <t>Polymerase Chain Reaction (PCR) techniques</t>
  </si>
  <si>
    <t>functions</t>
  </si>
  <si>
    <t>What is the name of the organization in charge of running the clubs at the university?</t>
  </si>
  <si>
    <t xml:space="preserve">Who patronized the monks in Italy? </t>
  </si>
  <si>
    <t>hybrid Bermuda 419</t>
  </si>
  <si>
    <t>showmanship</t>
  </si>
  <si>
    <t>Baptism</t>
  </si>
  <si>
    <t>Tehachapi Mountains</t>
  </si>
  <si>
    <t>In 1965, the corporate entity, American Broadcasting-Paramount Theatres, was renamed as the American Broadcasting Companies,  while its cinema division became ABC Theatres;[citation needed] its recording division was renamed ABC Records in 1966. In December of that year, the ABC television network premiered The Dating Game, a pioneer series in its genre, which was a reworking of the blind date concept in which a suitor selected one of three contestants sight unseen based on the answers to selected questions. This was followed up in July 1966 by The Newlywed Game, featuring three recently married couples who guessed the responses to their partner's questions (some of which were fairly risque). As ABC began to outgrow its facilities at 7 West 66th Street, Goldenson found a new headquarters for ABC in a 44 story building located at 1330 Avenue of the Americas in Manhattan, at the corner of 54th Street (now occupied by The Financial Times's New York office). This operation allowed for the conversion of the premises at 66th Street into production facilities for television and radio programs.</t>
  </si>
  <si>
    <t>a net</t>
  </si>
  <si>
    <t>a meeting in Albany</t>
  </si>
  <si>
    <t>platyctenids</t>
  </si>
  <si>
    <t>What type of role that Islamism seeks makes it a somewhat controversial concept?</t>
  </si>
  <si>
    <t>Luther's disappearance during his return trip back to Wittenberg was planned. Frederick III had him intercepted on his way home in the forest near Wittenberg by masked horsemen who were made to appear as armed highwaymen. They escorted Luther to the security of the Wartburg Castle at Eisenach. During his stay at Wartburg, which he referred to as "my Patmos", Luther translated the New Testament from Greek into German and poured out doctrinal and polemical writings. These included a renewed attack on Archbishop Albrecht of Mainz, whom he shamed into halting the sale of indulgences in his episcopates, and a "Refutation of the Argument of Latomus," in which he expounded the principle of justification to Jacobus Latomus, an orthodox theologian from Louvain.</t>
  </si>
  <si>
    <t>~8,000 years ago</t>
  </si>
  <si>
    <t>catastrophism</t>
  </si>
  <si>
    <t>How many tons of live plants were found to live in one square kilometer of the Amazon rainforest in 1999?</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</si>
  <si>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</si>
  <si>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What did President Kennedy do in response to the Soviet flight in regards of America's program?</t>
  </si>
  <si>
    <t>about the disposition of prisoners' personal effects</t>
  </si>
  <si>
    <t xml:space="preserve">The word imperialism has it's origins in which ancient language? </t>
  </si>
  <si>
    <t>second and third run movies, along with classic films</t>
  </si>
  <si>
    <t>Peyton Manning took how many different teams to the Super Bowl?</t>
  </si>
  <si>
    <t>IP and AM are most commonly defined by what type of proof system?</t>
  </si>
  <si>
    <t>Cow Counties</t>
  </si>
  <si>
    <t>How many punts did Ted Ginn Jr. return?</t>
  </si>
  <si>
    <t>pharmacists are increasingly expected to be compensated for their patient care skills</t>
  </si>
  <si>
    <t>1870s</t>
  </si>
  <si>
    <t>wood</t>
  </si>
  <si>
    <t>phlogiston theory of combustion and corrosion</t>
  </si>
  <si>
    <t>value added</t>
  </si>
  <si>
    <t>1187</t>
  </si>
  <si>
    <t>What does teaching on an island result in?</t>
  </si>
  <si>
    <t>chromalveolates</t>
  </si>
  <si>
    <t>relationships with parishioners and family, and their perceptions of girls and women."</t>
  </si>
  <si>
    <t>almost the same thing as chloroplast</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</si>
  <si>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</si>
  <si>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Osweiler</t>
  </si>
  <si>
    <t>July 1977</t>
  </si>
  <si>
    <t>July 6, 2009</t>
  </si>
  <si>
    <t>16,000 rpm</t>
  </si>
  <si>
    <t>captured Fort Beauséjour</t>
  </si>
  <si>
    <t>1015 kelvins</t>
  </si>
  <si>
    <t>all possible algorithms</t>
  </si>
  <si>
    <t>By whom did St Paul say all authorities were appointed?</t>
  </si>
  <si>
    <t>What is the name of the professional skateboarder that lives in southern California?</t>
  </si>
  <si>
    <t>standard version</t>
  </si>
  <si>
    <t>The Trout River</t>
  </si>
  <si>
    <t>When was the Scottish Constitutional Convention held?</t>
  </si>
  <si>
    <t>acquired a photosynthetic cyanobacterial endosymbiont more recently</t>
  </si>
  <si>
    <t>Which country was worried that the US would invade the Middle East?</t>
  </si>
  <si>
    <t>Germany doesn't have an imperialistic past until when?</t>
  </si>
  <si>
    <t>a trade magazine for the construction industry</t>
  </si>
  <si>
    <t>e Red Army</t>
  </si>
  <si>
    <t>What is considered an all graduate profession in Scotland?</t>
  </si>
  <si>
    <t>Christ and His salvation</t>
  </si>
  <si>
    <t>What has been getting much better in the most recent years?</t>
  </si>
  <si>
    <t>energy crisis</t>
  </si>
  <si>
    <t>However, already in quantum mechanics there is one "caveat", namely the particles acting onto each other do not only possess the spatial variable, but also a discrete intrinsic angular momentum-like variable called the "spin", and there is the Pauli principle relating the space and the spin variables. Depending on the value of the spin, identical particles split into two different classes, fermions and bosons. If two identical fermions (e.g. electrons) have a symmetric spin function (e.g. parallel spins) the spatial variables must be antisymmetric (i.e. they exclude each other from their places much as if there was a repulsive force), and vice versa, i.e. for antiparallel spins the position variables must be symmetric (i.e. the apparent force must be attractive). Thus in the case of two fermions there is a strictly negative correlation between spatial and spin variables, whereas for two bosons (e.g. quanta of electromagnetic waves, photons) the correlation is strictly positive.</t>
  </si>
  <si>
    <t>alone</t>
  </si>
  <si>
    <t>Among the few bright spots during this season were the midseason crime dramedy Castle as well as the success of two family sitcoms that anchored the network's revamped Wednesday comedy lineup, The Middle and Modern Family, the latter of which was both a critical and commercial success. Shark Tank (based on the Dragon's Den reality format) also became a midseason sleeper hit on Sundays in the spring of 2010; the following season, it became the tentpole of the network's Friday night schedule, gradually helping make ABC a strong competitor (after being paired with 20/20 and beginning with the 2012–13 season, the Tim Allen sitcom Last Man Standing) against CBS' long-dominant drama/reality lineup on that night for the first time since the "TGIF" lineup ended in 2000.</t>
  </si>
  <si>
    <t>When did the term imperialism first come to be used by its current definition?</t>
  </si>
  <si>
    <t>six quadrangles</t>
  </si>
  <si>
    <t>Who wrote about the great pestilence in 1893?</t>
  </si>
  <si>
    <t>made a grade of A for all four years</t>
  </si>
  <si>
    <t>When did the movement that would become The United Methodist Church begin?</t>
  </si>
  <si>
    <t>Parliament</t>
  </si>
  <si>
    <t>the metropolitan borough</t>
  </si>
  <si>
    <t>socially</t>
  </si>
  <si>
    <t>What type of committee is set down under the SP's standing orders?</t>
  </si>
  <si>
    <t>a combination of poor management, internal divisions, and effective Canadian scouts</t>
  </si>
  <si>
    <t>"do not disturb" sign</t>
  </si>
  <si>
    <t>$2.50 per AC horsepower royalty</t>
  </si>
  <si>
    <t>Indigenous territories are largely being destroyed in what two ways?</t>
  </si>
  <si>
    <t>commensal flora</t>
  </si>
  <si>
    <t>What magazine criticized ABC's programming strategy in May 1961?</t>
  </si>
  <si>
    <t>What is the highest level of the UMC?</t>
  </si>
  <si>
    <t>What did a greedy merchant do to the mermaid?</t>
  </si>
  <si>
    <t>90</t>
  </si>
  <si>
    <t>the Puente Hills Fault</t>
  </si>
  <si>
    <t>removing impediments and difficulties so that other people may read it without hindrance</t>
  </si>
  <si>
    <t>beginning of the 20th century</t>
  </si>
  <si>
    <t>Terra Nullius is a Latin expression meaning what in English?</t>
  </si>
  <si>
    <t>Galileo Galilei</t>
  </si>
  <si>
    <t>spin triplet state</t>
  </si>
  <si>
    <t>last 5–10 million years</t>
  </si>
  <si>
    <t>chloroplasts and other plastids can turn back into proplastids</t>
  </si>
  <si>
    <t>macroscopically as a structural force</t>
  </si>
  <si>
    <t>divergence</t>
  </si>
  <si>
    <t>What sort of system releases the exhaust steam into the atmosphere?</t>
  </si>
  <si>
    <t>What was Jacksonville referred to as after the consolidation?</t>
  </si>
  <si>
    <t>There are a set of beautiful inlaid doors, dated 1580 from Antwerp City Hall, attributed to Hans Vredeman de Vries. One of the finest pieces of continental furniture in the collection is the Rococo Augustus Rex Bureau Cabinet dated c1750 from Germany, with especially fine marquetry and ormolu mounts. One of the grandest pieces of 19th-century furniture is the highly elaborate French Cabinet dated 1861–1867 made by M. Fourdinois, made from ebony inlaid with box, lime, holly, pear, walnut and mahogany woods as well as marble with gilded carvings. Furniture designed by Ernest Gimson, Edward William Godwin, Charles Voysey, Adolf Loos and Otto Wagner are among the late 19th-century and early 20th-century examples in the collection. The work of modernists in the collection include Le Corbusier, Marcel Breuer, Charles and Ray Eames, and Giò Ponti.</t>
  </si>
  <si>
    <t>What investment firm offered to buy the NBC Blue network from Mark Woods?</t>
  </si>
  <si>
    <t>metropolitan</t>
  </si>
  <si>
    <t>Kenyans for Kenya</t>
  </si>
  <si>
    <t>The region spans which mountains other than the Transverse ranges?</t>
  </si>
  <si>
    <t>among states in the US with larger income inequalities</t>
  </si>
  <si>
    <t>"Hugues hypothesis"</t>
  </si>
  <si>
    <t>savanna or desert</t>
  </si>
  <si>
    <t>How else can petrologists understand the pressures at which different mineral phases appear?</t>
  </si>
  <si>
    <t>zip" the mouth shut when the animal is not feeding,</t>
  </si>
  <si>
    <t>Where did Montcalm move his heaquarter to show strategic advancement?</t>
  </si>
  <si>
    <t>adding the two force magnitudes or subtracting one from the other</t>
  </si>
  <si>
    <t>The Pilgrim Street building was refurbished between November 2006 and May 2008; during the refurbishment works, the cinema relocated to the Old Town Hall, Gateshead. In May 2008 the Tyneside Cinema reopened in the restored and refurbished original building. The site currently houses three cinemas, including the restored Classic —the United Kingdom's last surviving news cinema still in full-time operation—alongside two new screens, a roof extension containing the Tyneside Bar, and dedicated education and teaching suites.</t>
  </si>
  <si>
    <t>Who set aside seed funding for the week-long event leading up to the Super Bowl?</t>
  </si>
  <si>
    <t>The price of oil is usually a stable commodity until when?</t>
  </si>
  <si>
    <t>What is a name for the different ways to instruct students?</t>
  </si>
  <si>
    <t>What team did Kubiak play for in Super Bowl XXI?</t>
  </si>
  <si>
    <t>eighteenth century</t>
  </si>
  <si>
    <t>antisemitism</t>
  </si>
  <si>
    <t>combustion</t>
  </si>
  <si>
    <t>comb jellies</t>
  </si>
  <si>
    <t>When was Nikola Tesla born?</t>
  </si>
  <si>
    <t>in their stroma</t>
  </si>
  <si>
    <t>School of Social Service Administration</t>
  </si>
  <si>
    <t>Goldbach's conjecture</t>
  </si>
  <si>
    <t>Philip Glass</t>
  </si>
  <si>
    <t>the Knights Templar</t>
  </si>
  <si>
    <t xml:space="preserve">When were x-rays discovered? </t>
  </si>
  <si>
    <t>The speed of the killing response of the human immune system is a product of what process?</t>
  </si>
  <si>
    <t>Konsumentombudsmannen v De Agostini</t>
  </si>
  <si>
    <t xml:space="preserve">Who else did DATNET 1 refer to </t>
  </si>
  <si>
    <t>Kenya's services sector, which contributes 61% of GDP, is dominated by tourism. The tourism sector has exhibited steady growth in most years since independence and by the late 1980s had become the country's principal source of foreign exchange. Tourists, the largest number being from Germany and the United Kingdom, are attracted mainly to the coastal beaches and the game reserves, notably, the expansive East and West Tsavo National Park 20,808 square kilometres (8,034 sq mi) in the southeast. Tourism has seen a substantial revival over the past several years and is the major contributor to the pick-up in the country's economic growth. Tourism is now Kenya's largest foreign exchange earning sector, followed by flowers, tea, and coffee. In 2006 tourism generated US$803 million, up from US$699 million the previous year. Presently, there are also numerous Shopping Malls in Kenya. In addition, there are four main hypermarket chains in Kenya.</t>
  </si>
  <si>
    <t>Who presented the Edict of Worms declaring Luther to be an outlaw?</t>
  </si>
  <si>
    <t>90,790 tonnes</t>
  </si>
  <si>
    <t>What ended the need for ABC to maintain interests in other countries?</t>
  </si>
  <si>
    <t>Border Reiver</t>
  </si>
  <si>
    <t>£76 million</t>
  </si>
  <si>
    <t>the late 1920s</t>
  </si>
  <si>
    <t>What way do some people perform civil disobedience in a constructive way?</t>
  </si>
  <si>
    <t>What can result in more equal distribution of income?</t>
  </si>
  <si>
    <t>impetus</t>
  </si>
  <si>
    <t>Who among the population of Bukhara became part of the Mongolian army?</t>
  </si>
  <si>
    <t>How many vector equations did Heaviside and Gibbs reformilate Maxwell's 20 scalar equtions into?</t>
  </si>
  <si>
    <t>don't believe in the legitimacy of any government</t>
  </si>
  <si>
    <t xml:space="preserve">Xenoliths are picked up by what and deposited into the matrix of igneous rocks? </t>
  </si>
  <si>
    <t>The "50" given to the Super Bowl winner is plated with how many karats of gold?</t>
  </si>
  <si>
    <t>What type of tunnels are constructed through Newcastle's city center?</t>
  </si>
  <si>
    <t>What is the effect of beta decay?</t>
  </si>
  <si>
    <t>34,000</t>
  </si>
  <si>
    <t>layered basaltic lava flows</t>
  </si>
  <si>
    <t>$159 million</t>
  </si>
  <si>
    <t>Where was Tracy Wolfson announcing from during the Super Bowl 50 game?</t>
  </si>
  <si>
    <t>What did Tesla do in Tomingaj?</t>
  </si>
  <si>
    <t>Was was the plan for Langlades mission?</t>
  </si>
  <si>
    <t>Pathogen-associated molecular patterns or PAMPs</t>
  </si>
  <si>
    <t>Which entity focused upon the free movement of workers?</t>
  </si>
  <si>
    <t>return home</t>
  </si>
  <si>
    <t>amorphous area of central Europe.</t>
  </si>
  <si>
    <t>Why did the Shah of Iran gave an interview?</t>
  </si>
  <si>
    <t>winter of 1973–74</t>
  </si>
  <si>
    <t>big</t>
  </si>
  <si>
    <t>synforms</t>
  </si>
  <si>
    <t>Where did the Huguenots land in New York originally?</t>
  </si>
  <si>
    <t>The historic heart of Newcastle is the Grainger Town area. Established on classical streets built by Richard Grainger, a builder and developer, between 1835 and 1842, some of Newcastle upon Tyne's finest buildings and streets lie within this area of the city centre including Grainger Market, Theatre Royal, Grey Street, Grainger Street and Clayton Street. These buildings are predominantly four stories high, with vertical dormers, domes, turrets and spikes. Richard Grainger was said to 'have found Newcastle of bricks and timber and left it in stone'. Of Grainger Town's 450 buildings, 244 are listed, of which 29 are grade I and 49 are grade II*.</t>
  </si>
  <si>
    <t>In Marxian analysis, capitalist firms increasingly substitute capital equipment for labor inputs (workers) under competitive pressure to reduce costs and maximize profits. Over the long-term, this trend increases the organic composition of capital, meaning that less workers are required in proportion to capital inputs, increasing unemployment (the "reserve army of labour"). This process exerts a downward pressure on wages. The substitution of capital equipment for labor (mechanization and automation) raises the productivity of each worker, resulting in a situation of relatively stagnant wages for the working class amidst rising levels of property income for the capitalist class.</t>
  </si>
  <si>
    <t>Croatia</t>
  </si>
  <si>
    <t>In what years did Bach use more of Luther's hymns in his compositions?</t>
  </si>
  <si>
    <t>to avoid trivialization</t>
  </si>
  <si>
    <t>Europe first colonized the Americas, then Asia, but what continent was third?</t>
  </si>
  <si>
    <t>What kind of human T cells respond to common molecules produced by microbes?</t>
  </si>
  <si>
    <t>October 1973</t>
  </si>
  <si>
    <t>Who masterminded many terror attacks?</t>
  </si>
  <si>
    <t>Where was a beer, wine and food festival held at prior to the Super Bowl?</t>
  </si>
  <si>
    <t>Mokotów</t>
  </si>
  <si>
    <t>1954</t>
  </si>
  <si>
    <t>Education</t>
  </si>
  <si>
    <t>When was the large work published?</t>
  </si>
  <si>
    <t>the Pechenegs, the Bulgars, and especially the Seljuk Turks</t>
  </si>
  <si>
    <t>Cadillac DeVille</t>
  </si>
  <si>
    <t>high inequality</t>
  </si>
  <si>
    <t>What was the focus of Luther's last sermon?</t>
  </si>
  <si>
    <t>emotional contagion</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</si>
  <si>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</si>
  <si>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The Wimbledon</t>
  </si>
  <si>
    <t>What type of missions were approved by Mueller after the incident?</t>
  </si>
  <si>
    <t>In economics, notable Nobel Memorial Prize in Economic Sciences winners Milton Friedman, a major advisor to Republican U.S. President Ronald Reagan and Conservative British Prime Minister Margaret Thatcher, George Stigler, Nobel laureate and proponent of regulatory capture theory, Gary Becker, an important contributor to the family economics branch of economics, Herbert A. Simon, responsible for the modern interpretation of the concept of organizational decision-making, Paul Samuelson, the first American to win the Nobel Memorial Prize in Economic Sciences, and Eugene Fama, known for his work on portfolio theory, asset pricing and stock market behaviour, are all graduates. American economist, social theorist, political philosopher, and author Thomas Sowell is also an alumnus.</t>
  </si>
  <si>
    <t>86 km long,</t>
  </si>
  <si>
    <t>What are the two major subtypes of T cells?</t>
  </si>
  <si>
    <t>toward the center of the curving path</t>
  </si>
  <si>
    <t>ancestors</t>
  </si>
  <si>
    <t>Oxygen was discovered independently by Carl Wilhelm Scheele, in Uppsala, in 1773 or earlier, and Joseph Priestley in Wiltshire, in 1774, but Priestley is often given priority because his work was published first. The name oxygen was coined in 1777 by Antoine Lavoisier, whose experiments with oxygen helped to discredit the then-popular phlogiston theory of combustion and corrosion. Its name derives from the Greek roots ὀξύς oxys, "acid", literally "sharp", referring to the sour taste of acids and -γενής -genes, "producer", literally "begetter", because at the time of naming, it was mistakenly thought that all acids required oxygen in their composition. Common uses of oxygen includes the production cycle of steel, plastics and textiles, brazing, welding and cutting of steels and other metals, rocket propellant, in oxygen therapy and life support systems in aircraft, submarines, spaceflight and diving.</t>
  </si>
  <si>
    <t>It was only the orbit of the planet Mercury that Newton's Law of Gravitation seemed not to fully explain. Some astrophysicists predicted the existence of another planet (Vulcan) that would explain the discrepancies; however, despite some early indications, no such planet could be found. When Albert Einstein formulated his theory of general relativity (GR) he turned his attention to the problem of Mercury's orbit and found that his theory added a correction, which could account for the discrepancy. This was the first time that Newton's Theory of Gravity had been shown to be less correct than an alternative.</t>
  </si>
  <si>
    <t>What Chinese dynasty did the Mongols found?</t>
  </si>
  <si>
    <t>New Orleans</t>
  </si>
  <si>
    <t>Who was Genghis Khan's father?</t>
  </si>
  <si>
    <t>deflate</t>
  </si>
  <si>
    <t>channel 7</t>
  </si>
  <si>
    <t>Milton Friedman</t>
  </si>
  <si>
    <t>King Ethelred II</t>
  </si>
  <si>
    <t>World Meteorological Organization</t>
  </si>
  <si>
    <t>In what year did Jerónimo de Ayanz y Beaumont patent a water pump for draining mines?</t>
  </si>
  <si>
    <t>Why are debates on proposed motions by an MSP conducted?</t>
  </si>
  <si>
    <t>beginning of each parliamentary session</t>
  </si>
  <si>
    <t>26</t>
  </si>
  <si>
    <t>conduct photosynthesis</t>
  </si>
  <si>
    <t>4,097.9 people per square mile</t>
  </si>
  <si>
    <t>Which season of Doctor Who won an award for Best Writing in a Children's Serial?</t>
  </si>
  <si>
    <t>Assuming p is a prime other than 2 or 5, then, according to Fermat's theorem, what type of decimal will 1/p always be?</t>
  </si>
  <si>
    <t>Sociologist</t>
  </si>
  <si>
    <t>bishop</t>
  </si>
  <si>
    <t>What tends to lead to more money?</t>
  </si>
  <si>
    <t>What Columbia President went to Harvard?</t>
  </si>
  <si>
    <t>cooler</t>
  </si>
  <si>
    <t>1964 and 1968</t>
  </si>
  <si>
    <t>Who won the MVP for the Super Bowl?</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</si>
  <si>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</si>
  <si>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retractable tentacles fringed with tentilla</t>
  </si>
  <si>
    <t>everything that smacks of sacrifice</t>
  </si>
  <si>
    <t>Where are the Harvard medical, Dental and school of Public Health located?</t>
  </si>
  <si>
    <t>the Indianapolis Colts</t>
  </si>
  <si>
    <t>Oxygen toxicity to the lungs and central nervous system can also occur in deep scuba diving and surface supplied diving. Prolonged breathing of an air mixture with an O
2 partial pressure more than 60 kPa can eventually lead to permanent pulmonary fibrosis. Exposure to a O
2 partial pressures greater than 160 kPa (about 1.6 atm) may lead to convulsions (normally fatal for divers). Acute oxygen toxicity (causing seizures, its most feared effect for divers) can occur by breathing an air mixture with 21% O
2 at 66 m or more of depth; the same thing can occur by breathing 100% O
2 at only 6 m.</t>
  </si>
  <si>
    <t>cramped and unsanitary</t>
  </si>
  <si>
    <t>the proportion of female undergraduates steadily increased, mirroring a trend throughout higher education in the United States</t>
  </si>
  <si>
    <t>What was the white population of Jacksonville as of 2010?</t>
  </si>
  <si>
    <t>What is the earliest that Bach began using Luther hymns?</t>
  </si>
  <si>
    <t>The Bachelor</t>
  </si>
  <si>
    <t>80 million</t>
  </si>
  <si>
    <t>German Lutheran clergy and theologians</t>
  </si>
  <si>
    <t>What did Microsoft announce that it would rename Sky Drive to?</t>
  </si>
  <si>
    <t>Sui and Tang dynasties</t>
  </si>
  <si>
    <t>When imperialism impacts social norms of a state, what is it called?</t>
  </si>
  <si>
    <t>What were Isaac's chains made out of?</t>
  </si>
  <si>
    <t>squished his toes</t>
  </si>
  <si>
    <t>Shaun White</t>
  </si>
  <si>
    <t>The packet header can be small</t>
  </si>
  <si>
    <t>When did the Yuan people suffer a series of natural disasters?</t>
  </si>
  <si>
    <t>a rolling circle mechanism</t>
  </si>
  <si>
    <t>What cancels our guilt and empowers us to resist the power of sin and to fully love God and neighbor?</t>
  </si>
  <si>
    <t>a private member</t>
  </si>
  <si>
    <t xml:space="preserve">What is the scientific designation of oxygen? </t>
  </si>
  <si>
    <t>Variable lymphocyte receptors (VLRs)</t>
  </si>
  <si>
    <t>Meanwhile, ABC News, which formed as a newly separate division, sought to become a global leader in television news. In 1977, Roone Arledge was named president of the new ABC News in addition to being president of ABC Sports. That same year, ABC launched a major expansion of its office facilities in New York City. The company first constructed a new 10-story building on land previously occupied by an abandoned warehouse on the corner of Columbus Avenue and West 66th Street; the facility that was built in its place is nicknamed "7 Lincoln Square" (although it is actually located at 149 Columbus Avenue). Meanwhile, a former parking lot, located at 30 West 67th Street, was transformed into an impressive 15-story building. Both buildings were completed in June 1979. WABC-TV moved its operations from offices at 77 West 66th Street to 149 Columbus Avenue, freeing up space for the ABC network to house some of its operations.</t>
  </si>
  <si>
    <t>symbiotic relationship</t>
  </si>
  <si>
    <t>Internet Protocol</t>
  </si>
  <si>
    <t>theology of the cross,</t>
  </si>
  <si>
    <t>What state in Australia is the center of dairy farming?</t>
  </si>
  <si>
    <t>Cuba</t>
  </si>
  <si>
    <t>What insight of Galileo was associated with constant velocity?</t>
  </si>
  <si>
    <t>Baltimore Ravens</t>
  </si>
  <si>
    <t>in body and soul</t>
  </si>
  <si>
    <t>To avoid interference with existing VHF television stations in the San Francisco Bay Area and those planned for Chico, Sacramento, Salinas, and Stockton, the Federal Communications Commission decided that Fresno would only have UHF television stations. The very first Fresno television station to begin broadcasting was KMJ-TV, which debuted on June 1, 1953. KMJ is now known as NBC affiliate KSEE. Other Fresno stations include ABC O&amp;O KFSN, CBS affiliate KGPE, CW affiliate KFRE, FOX affiliate KMPH, MNTV affiliate KAIL, PBS affiliate KVPT, Telemundo O&amp;O KNSO, Univision O&amp;O KFTV, and MundoFox and Azteca affiliate KGMC-DT.</t>
  </si>
  <si>
    <t>In 1507, he was ordained to the priesthood, and in 1508, von Staupitz, first dean of the newly founded University of Wittenberg, sent for Luther, to teach theology. He received a bachelor's degree in Biblical studies on 9 March 1508, and another bachelor's degree in the Sentences by Peter Lombard in 1509.</t>
  </si>
  <si>
    <t>What is the total cost of attendance in 2012-13?</t>
  </si>
  <si>
    <t>richest 1 percent</t>
  </si>
  <si>
    <t>What is the obligation of a pharmacy filling a prescription?</t>
  </si>
  <si>
    <t>What was the only drama extended for a second season for the 2010-11 schedule?</t>
  </si>
  <si>
    <t>common organic molecules</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</si>
  <si>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</si>
  <si>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the fern</t>
  </si>
  <si>
    <t>13</t>
  </si>
  <si>
    <t>a second Gleichschaltung</t>
  </si>
  <si>
    <t>In what year will the Barack Obama Presidential Center be finished?</t>
  </si>
  <si>
    <t>August 1967</t>
  </si>
  <si>
    <t>immediate and fair punishment for misbehavior and firm, clear boundaries</t>
  </si>
  <si>
    <t>What is the central article of the Christian doctrine?</t>
  </si>
  <si>
    <t>11–13th century</t>
  </si>
  <si>
    <t>Synthetic aperture</t>
  </si>
  <si>
    <t>In what decade did ABC finish transitioning to color?</t>
  </si>
  <si>
    <t>What is another term for university-preparatory schools?</t>
  </si>
  <si>
    <t>deportation of the French-speaking Acadian population from the area.</t>
  </si>
  <si>
    <t>Executive Committee</t>
  </si>
  <si>
    <t>an illustration of the Ten Commandments</t>
  </si>
  <si>
    <t>What did Neoclassical economics view the inequality in the distribution of income as being from?</t>
  </si>
  <si>
    <t>during the campaign for a free India</t>
  </si>
  <si>
    <t>by 800 CE</t>
  </si>
  <si>
    <t>What does oxygen the basis for in combustion?</t>
  </si>
  <si>
    <t>What did Watt add to the steam engine in 1788?</t>
  </si>
  <si>
    <t>What remote control vehicle did he make?</t>
  </si>
  <si>
    <t>When did the Il-khanate experiment with paper money?</t>
  </si>
  <si>
    <t>Lothian Regional Council on George IV Bridge</t>
  </si>
  <si>
    <t>passenger volume</t>
  </si>
  <si>
    <t>Who was exempt from the meritocratic principles of the Mongol Empire?</t>
  </si>
  <si>
    <t>Who created the photographic series titled Animal Locomotion?</t>
  </si>
  <si>
    <t>Which British sculptor whose work include the Queen Victoria memorial in front of Buckingham Palace is included in the V&amp;A collection?</t>
  </si>
  <si>
    <t>a US$10 a week raise over Tesla's US$18 per week salary</t>
  </si>
  <si>
    <t>By what name was the Mongol army that finally conquered Bulgaria known?</t>
  </si>
  <si>
    <t>spherical bubbles</t>
  </si>
  <si>
    <t>pastors and teachers</t>
  </si>
  <si>
    <t>Why was the Dutch lawyer who moved to Belgium while advising a client in a social society case told he couldn't continue?</t>
  </si>
  <si>
    <t>Amazon rainforest</t>
  </si>
  <si>
    <t>Andrew Lortie</t>
  </si>
  <si>
    <t>significantly slowed the animal's metabolism</t>
  </si>
  <si>
    <t>Who lectured at the Newcastle library on the 20th of October in 1880?</t>
  </si>
  <si>
    <t>a few</t>
  </si>
  <si>
    <t>the killer T cell and the helper T cell</t>
  </si>
  <si>
    <t>When was the new two-year affiliate agreement approved?</t>
  </si>
  <si>
    <t>Kitab Rudjdjar</t>
  </si>
  <si>
    <t>Who were the creators of the Flintstones?</t>
  </si>
  <si>
    <t>What happens to waste heat in the Rankine cycle?</t>
  </si>
  <si>
    <t>What policy did Stalin implement shortly after Lenin's Death?</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</si>
  <si>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</si>
  <si>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Super Bowl XXXIII</t>
  </si>
  <si>
    <t>By July 1944, the Red Army was deep into Polish territory and pursuing the Germans toward Warsaw. Knowing that Stalin was hostile to the idea of an independent Poland, the Polish government-in-exile in London gave orders to the underground Home Army (AK) to try to seize control of Warsaw from the Germans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t>
  </si>
  <si>
    <t>What is the usual source of heat for boiling water in the steam engine?</t>
  </si>
  <si>
    <t>The BBC</t>
  </si>
  <si>
    <t>August 1999</t>
  </si>
  <si>
    <t>Justifying Grace or Accepting Grace</t>
  </si>
  <si>
    <t>Who caught two passes from Manning after the failed Carolina field goal attempt?</t>
  </si>
  <si>
    <t>During summers, for what tournaments does ABC air highlight programs?</t>
  </si>
  <si>
    <t>newspaper editor</t>
  </si>
  <si>
    <t>180</t>
  </si>
  <si>
    <t>Who did the Broncos beat to win their division in 2015?</t>
  </si>
  <si>
    <t>$3.5 billion</t>
  </si>
  <si>
    <t>When was the Doctor Who series released on DVD?</t>
  </si>
  <si>
    <t>Episcopal (United States) Calendar of Saints.</t>
  </si>
  <si>
    <t>up to half</t>
  </si>
  <si>
    <t>vaccination</t>
  </si>
  <si>
    <t>What is the largest medical school in Poland?</t>
  </si>
  <si>
    <t>1777</t>
  </si>
  <si>
    <t>in the cytosol</t>
  </si>
  <si>
    <t>Prime ideals</t>
  </si>
  <si>
    <t>the Spiral,</t>
  </si>
  <si>
    <t>lab monitoring, adherence counseling, and assist patients with cost-containment strategies</t>
  </si>
  <si>
    <t>What made the student decide to occupy the president's office in protest?</t>
  </si>
  <si>
    <t>Cotchery</t>
  </si>
  <si>
    <t>The collection of textiles consists of more than 53,000 examples, mainly western European though all populated continents are represented, dating from the 1st century AD to the present, this is the largest such collection in the world. Techniques represented include weaving, printing, quilting embroidery, lace, tapestry and carpets. These are classified by technique, countries of origin and date of production. The collections are well represented in these areas: early silks from the Near East, lace, European tapestries and English medieval church embroidery.</t>
  </si>
  <si>
    <t>Wardenclyffe Tower project</t>
  </si>
  <si>
    <t>How many narrow gauge rail lines were previously government owned?</t>
  </si>
  <si>
    <t>Who released a disco version of the Doctor Who theme?</t>
  </si>
  <si>
    <t>James Watt</t>
  </si>
  <si>
    <t>What was ABC's logo based on after the ABC-UPT merger was finalized?</t>
  </si>
  <si>
    <t>asynchronously</t>
  </si>
  <si>
    <t>protein A</t>
  </si>
  <si>
    <t>National Islamic Front</t>
  </si>
  <si>
    <t>Dirichlet's</t>
  </si>
  <si>
    <t>What generally does not allow citizens to sue other citizens?</t>
  </si>
  <si>
    <t>What type of punishment is sometimes offered to civil disobedients?</t>
  </si>
  <si>
    <t>Andrea Palladio</t>
  </si>
  <si>
    <t>When did Germany found their first settlement?</t>
  </si>
  <si>
    <t>Electrical Experimenter</t>
  </si>
  <si>
    <t>mortar and pestle and the ℞ (recipere) character</t>
  </si>
  <si>
    <t>at Wijk bij Duurstede</t>
  </si>
  <si>
    <t>How many days after Gagarin's flight did the US House Committee on Science and Astronautics meet?</t>
  </si>
  <si>
    <t>governments of the United States, Britain, Germany and France</t>
  </si>
  <si>
    <t>antiforms</t>
  </si>
  <si>
    <t>red algal derived</t>
  </si>
  <si>
    <t>fanaticism</t>
  </si>
  <si>
    <t>passenger</t>
  </si>
  <si>
    <t>How are the particle forces and accelerations explained as by gauge bosons exchange?</t>
  </si>
  <si>
    <t>ring</t>
  </si>
  <si>
    <t>Ryan Seacrest</t>
  </si>
  <si>
    <t xml:space="preserve">What was telenet </t>
  </si>
  <si>
    <t>rst</t>
  </si>
  <si>
    <t>53% of the population</t>
  </si>
  <si>
    <t>The jewellery collection, containing over 6000 items is one of the finest and most comprehensive collections of jewellery in the world and includes works dating from Ancient Egypt to the present day, as well as jewellery designs on paper. The museum owns pieces by renowned jewelers Cartier, Jean Schlumberger, Peter Carl Fabergé, Hemmerle and Lalique. Other items in the collection include diamond dress ornaments made for Catherine the Great, bracelet clasps once belonging to Marie Antoinette, and the Beauharnais emerald necklace presented by Napoleon to his adopted daughter Hortense de Beauharnais in 1806. The museum also collects international modern jewellery by designers such as Gijs Bakker, Onno Boekhoudt, Peter Chang, Gerda Flockinger, Lucy Sarneel, Dorothea Prühl and Wendy Ramshaw, and African and Asian traditional jewellery. Major bequests include Reverend Chauncy Hare Townshend's collection of 154 gems bequeathed in 1869, Lady Cory's 1951 gift of major diamond jewellery from the 18th and 19th centuries, and jewellery scholar Dame Joan Evans' 1977 gift of more than 800 jewels dating from the Middle Ages to the early 19th century. A new jewellery gallery, funded by William and Judith Bollinger, opened on 24 May 2008.</t>
  </si>
  <si>
    <t>The church also holds that they "are equally bound to respect the sacredness of the life and well-being of the mother, for whom devastating damage may result from an unacceptable pregnancy. In continuity with past Christian teaching, we recognize tragic conflicts of life with life that may justify abortion, and in such cases we support the legal option of abortion under proper medical procedures." As such, two official bodies of the United Methodist Church are part of the Religious Coalition for Reproductive Choice's governing coalition, The General Board of Church and Society, and the United Methodist Women. The church cautions that "Governmental laws and regulations do not provide all the guidance required by the informed Christian conscience." The Church emphasizes the need to be in supportive ministry with all women, regardless of their choice.</t>
  </si>
  <si>
    <t>What is the AFC short for?</t>
  </si>
  <si>
    <t>contractors</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</si>
  <si>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</si>
  <si>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not to talk</t>
  </si>
  <si>
    <t>private citizen</t>
  </si>
  <si>
    <t>all-Gemini veteran crew</t>
  </si>
  <si>
    <t>assisting in fabricating evidence or committing perjury</t>
  </si>
  <si>
    <t>the Great North Run</t>
  </si>
  <si>
    <t>When did Tesla begin working for the Continental Edison Company?</t>
  </si>
  <si>
    <t>1906</t>
  </si>
  <si>
    <t>Very small markets had to wait until what decade to support an ABC affiliate?</t>
  </si>
  <si>
    <t>thorough analysis of all medication (prescription, non-prescription, and herbals) currently being taken by an individual.</t>
  </si>
  <si>
    <t>John Dalton's original atomic hypothesis assumed that all elements were monatomic and that the atoms in compounds would normally have the simplest atomic ratios with respect to one another. For example, Dalton assumed that water's formula was HO, giving the atomic mass of oxygen as 8 times that of hydrogen, instead of the modern value of about 16. In 1805, Joseph Louis Gay-Lussac and Alexander von Humboldt showed that water is formed of two volumes of hydrogen and one volume of oxygen; and by 1811 Amedeo Avogadro had arrived at the correct interpretation of water's composition, based on what is now called Avogadro's law and the assumption of diatomic elemental molecules.[a]</t>
  </si>
  <si>
    <t>What are the three sectors of construction?</t>
  </si>
  <si>
    <t>Newcastle served as a northern fortress for which country during the Middle Ages?</t>
  </si>
  <si>
    <t>Doctor Who and the Pescatons</t>
  </si>
  <si>
    <t>What was special about Tesla's memory?</t>
  </si>
  <si>
    <t>What author argues pitching the conscience versus the collective?</t>
  </si>
  <si>
    <t>make it more difficult for a system to function</t>
  </si>
  <si>
    <t>Who considers Los Angeles County to be a separate metropolitan area?</t>
  </si>
  <si>
    <t>Where do cryptophyte chloroplasts store starch?</t>
  </si>
  <si>
    <t>Great Lakes</t>
  </si>
  <si>
    <t>Besides the V&amp;A's, whose collections are under the responsibility of conservators at the V&amp;A?</t>
  </si>
  <si>
    <t>constant pressure</t>
  </si>
  <si>
    <t>Why were Johann Esch and Heinrich Voes executed by the Catholic Church?</t>
  </si>
  <si>
    <t>What carries a significant amount of the Rhine flow through France?</t>
  </si>
  <si>
    <t>What type of support does co-teaching provide?</t>
  </si>
  <si>
    <t>Ludwig von Nassau-Saarbrücken</t>
  </si>
  <si>
    <t>beneath the university's Stagg Field</t>
  </si>
  <si>
    <t>The Mongols learned from captives of the abundant green pastures beyond the Bulgar territory, allowing for the planning for conquest of Hungary and Europe. Genghis Khan recalled Subutai back to Mongolia soon afterwards, and Jebe died on the road back to Samarkand. The famous cavalry expedition led by Subutai and Jebe, in which they encircled the entire Caspian Sea defeating all armies in their path, remains unparalleled to this day, and word of the Mongol triumphs began to trickle to other nations, particularly Europe. These two campaigns are generally regarded as reconnaissance campaigns that tried to get the feel of the political and cultural elements of the regions. In 1225 both divisions returned to Mongolia. These invasions added Transoxiana and Persia to an already formidable empire while destroying any resistance along the way. Later under Genghis Khan's grandson Batu and the Golden Horde, the Mongols returned to conquer Volga Bulgaria and Kievan Rus' in 1237, concluding the campaign in 1240.</t>
  </si>
  <si>
    <t>BSkyB utilises the VideoGuard pay-TV scrambling system owned by NDS, a Cisco Systems company. There are tight controls over use of VideoGuard decoders; they are not available as stand-alone DVB CAMs (conditional-access modules). BSkyB has design authority over all digital satellite receivers capable of receiving their service. The receivers, though designed and built by different manufacturers, must conform to the same user interface look-and-feel as all the others. This extends to the Personal video recorder (PVR) offering (branded Sky+).</t>
  </si>
  <si>
    <t>Saturn IB</t>
  </si>
  <si>
    <t>With such a small force, the invading Mongols were forced to change strategies and resort to inciting internal revolt among Kuchlug's supporters, leaving the Qara Khitai more vulnerable to Mongol conquest. As a result, Kuchlug's army was defeated west of Kashgar. Kuchlug fled again, but was soon hunted down by Jebe's army and executed. By 1218, as a result of defeat of Qara Khitai, the Mongol Empire and its control extended as far west as Lake Balkhash, which bordered the Khwarezmia (Khwarezmid Empire), a Muslim state that reached the Caspian Sea to the west and Persian Gulf and the Arabian Sea to the south.</t>
  </si>
  <si>
    <t>a party has commanded a parliamentary majority</t>
  </si>
  <si>
    <t xml:space="preserve">What did Tesla design several experimental setups to produce? </t>
  </si>
  <si>
    <t>Doctor Who and the Daleks in the Seven Keys to Doomsday</t>
  </si>
  <si>
    <t>What else did Tesla do for work at this time?</t>
  </si>
  <si>
    <t>dominating areas</t>
  </si>
  <si>
    <t>Court of Justice</t>
  </si>
  <si>
    <t>What was the attack on the British weakness?</t>
  </si>
  <si>
    <t>[256kn + 1, 256k(n + 1) − 1]</t>
  </si>
  <si>
    <t>for the King</t>
  </si>
  <si>
    <t>Narrow alleys</t>
  </si>
  <si>
    <t>One country's authority over a number of others would constitute the original country as what?</t>
  </si>
  <si>
    <t>autumn of 1991</t>
  </si>
  <si>
    <t>What is the age range of most prostitutes in Kenya?</t>
  </si>
  <si>
    <t>In what year did Tesla graduate from the Higher Real Gymnasium?</t>
  </si>
  <si>
    <t>Scandinavia and northern Europe,</t>
  </si>
  <si>
    <t>When dating rocks, what is the absolute isotopic date applied to?</t>
  </si>
  <si>
    <t>pump water out of the mesoglea</t>
  </si>
  <si>
    <t>do not have voting rights</t>
  </si>
  <si>
    <t>Amazonia: Man and Culture in a Counterfeit Paradise.</t>
  </si>
  <si>
    <t>be reborn</t>
  </si>
  <si>
    <t>Along with English and mathematics, what subject replaced values education for fourth year students?</t>
  </si>
  <si>
    <t>When did Luther write the hymn From Depths of Woe I cry to You?</t>
  </si>
  <si>
    <t>Where were Persians more successful compared to Chinese in the Yuan?</t>
  </si>
  <si>
    <t>eight-year term</t>
  </si>
  <si>
    <t>What is the name of the program that provides contracting work to local companies?</t>
  </si>
  <si>
    <t>What is another term for year 12 of education?</t>
  </si>
  <si>
    <t>Where were interviews held while the parliament was in its temporary building?</t>
  </si>
  <si>
    <t>persons to be known.</t>
  </si>
  <si>
    <t>maps</t>
  </si>
  <si>
    <t>colonizing, influencing, and annexing other parts of the world in order to gain political power</t>
  </si>
  <si>
    <t>pre-allocates</t>
  </si>
  <si>
    <t>What type of protest falls under civil disobedience without aggression?</t>
  </si>
  <si>
    <t>sedimentary</t>
  </si>
  <si>
    <t>magnitude and direction</t>
  </si>
  <si>
    <t>. The Electronic Frontier Foundation</t>
  </si>
  <si>
    <t>What medical treatment is used to increase oxygen uptake in a patient?</t>
  </si>
  <si>
    <t>Which group has two layers of cells with a middle layer of mesoglea?</t>
  </si>
  <si>
    <t>Besides taking in boarders, how did Katharina help support the family?</t>
  </si>
  <si>
    <t>access to education</t>
  </si>
  <si>
    <t>an Italo-Norman named Raoul</t>
  </si>
  <si>
    <t>settled as one of the pillars of history</t>
  </si>
  <si>
    <t>the Song dynasty</t>
  </si>
  <si>
    <t>sex offenders register</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</si>
  <si>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</si>
  <si>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high cost of medications</t>
  </si>
  <si>
    <t>largest source of foreign direct investment</t>
  </si>
  <si>
    <t>the "spin</t>
  </si>
  <si>
    <t>What years saw the most loss of old shows in the BBC archives?</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</si>
  <si>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</si>
  <si>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cangue, a sort of portable stocks</t>
  </si>
  <si>
    <t>The outer surface bears usually eight comb rows, called swimming-plates, which are used for swimming. The rows are oriented to run from near the mouth (the "oral pole") to the opposite end (the "aboral pole"), and are spaced more or less evenly around the body, although spacing patterns vary by species and in most species the comb rows extend only part of the distance from the aboral pole towards the mouth. The "combs" (also called "ctenes" or "comb plates") run across each row, and each consists of thousands of unusually long cilia, up to 2 millimeters (0.079 in). Unlike conventional cilia and flagella, which has a filament structure arranged in a 9 + 2 pattern, these cilia are arranged in a 9 + 3 pattern, where the extra compact filament is suspected to have a supporting function. These normally beat so that the propulsion stroke is away from the mouth, although they can also reverse direction. Hence ctenophores usually swim in the direction in which the mouth is pointing, unlike jellyfish. When trying to escape predators, one species can accelerate to six times its normal speed; some other species reverse direction as part of their escape behavior, by reversing the power stroke of the comb plate cilia.</t>
  </si>
  <si>
    <t>Which court argued that the Treaty of Rome did not prevent energy nationalism?</t>
  </si>
  <si>
    <t>A variety of alternatives to the Y. pestis have been put forward. Twigg suggested that the cause was a form of anthrax, and Norman Cantor (2001) thought it may have been a combination of anthrax and other pandemics. Scott and Duncan have argued that the pandemic was a form of infectious disease that characterise as hemorrhagic plague similar to Ebola. Archaeologist Barney Sloane has argued that there is insufficient evidence of the extinction of a large number of rats in the archaeological record of the medieval waterfront in London and that the plague spread too quickly to support the thesis that the Y. pestis was spread from fleas on rats; he argues that transmission must have been person to person. However, no single alternative solution has achieved widespread acceptance. Many scholars arguing for the Y. pestis as the major agent of the pandemic suggest that its extent and symptoms can be explained by a combination of bubonic plague with other diseases, including typhus, smallpox and respiratory infections. In addition to the bubonic infection, others point to additional septicemic (a type of "blood poisoning") and pneumonic (an airborne plague that attacks the lungs before the rest of the body) forms of the plague, which lengthen the duration of outbreaks throughout the seasons and help account for its high mortality rate and additional recorded symptoms. In 2014, scientists with Public Health England announced the results of an examination of 25 bodies exhumed from the Clerkenwell area of London, as well as of wills registered in London during the period, which supported the pneumonic hypothesis.</t>
  </si>
  <si>
    <t>Where are these dams located?</t>
  </si>
  <si>
    <t>1569</t>
  </si>
  <si>
    <t>names</t>
  </si>
  <si>
    <t>epidemiological account of the plague</t>
  </si>
  <si>
    <t>Gap</t>
  </si>
  <si>
    <t>Beyoncé and Bruno Mars</t>
  </si>
  <si>
    <t>carbon monoxide</t>
  </si>
  <si>
    <t>Since the 1980s, Lutheran Church denominations have repudiated Martin Luther's statements against the Jews and have rejected the use of them to incite hatred against Lutherans. Strommen et al.'s 1970 survey of 4,745 North American Lutherans aged 15–65 found that, compared to the other minority groups under consideration, Lutherans were the least prejudiced toward Jews. Nevertheless, Professor Richard (Dick) Geary, former Professor of Modern History at the University of Nottingham, England, and the author of Hitler and Nazism (Routledge 1993), wrote in the journal History Today an article on who voted for the Nazis in elections held from 1928-1933, where he claimed that from his research he found that the Nazis gained disproportionately more votes from Protestant than Catholic areas of Germany.</t>
  </si>
  <si>
    <t>Throughout the 1580s</t>
  </si>
  <si>
    <t xml:space="preserve">When the three types of rock are re-melted what is formed? </t>
  </si>
  <si>
    <t>left Graz and severed all relations with his family</t>
  </si>
  <si>
    <t>When was the salary range listed valid for (month and year)?</t>
  </si>
  <si>
    <t>How many Offensive players from the Panthers were selected to play in the Pro Bowl?</t>
  </si>
  <si>
    <t>On the Councils and the Church</t>
  </si>
  <si>
    <t>Who sang the national anthem?</t>
  </si>
  <si>
    <t>When was the UMC formed?</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</si>
  <si>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</si>
  <si>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lawbreaking</t>
  </si>
  <si>
    <t>occupational stress</t>
  </si>
  <si>
    <t>scientific papers and independently documented results</t>
  </si>
  <si>
    <t>exponential-time</t>
  </si>
  <si>
    <t>Ministers of what faith were trained by the university in early years?</t>
  </si>
  <si>
    <t>What is one avenue being compensated for by having committees serve such a large role?</t>
  </si>
  <si>
    <t>How long has free movement and trade been central to European development?</t>
  </si>
  <si>
    <t>when it is single stranded</t>
  </si>
  <si>
    <t>Daniel Burke</t>
  </si>
  <si>
    <t>How many sacks did Derek Wolfe register?</t>
  </si>
  <si>
    <t>the Israelis</t>
  </si>
  <si>
    <t>two public agencies, especially two equally sovereign branches of government, conflict</t>
  </si>
  <si>
    <t>Who invented the first nuclear reactor?</t>
  </si>
  <si>
    <t>What percentage of the land cleared in the Amazon is used for growing livestock?</t>
  </si>
  <si>
    <t>Mark Twain's</t>
  </si>
  <si>
    <t>When did the V&amp;A acquired the Costiff collection?</t>
  </si>
  <si>
    <t>4.6 billion years</t>
  </si>
  <si>
    <t>motivated students</t>
  </si>
  <si>
    <t>ABC Radio</t>
  </si>
  <si>
    <t>weak force</t>
  </si>
  <si>
    <t>Storybook</t>
  </si>
  <si>
    <t>Why were the 2011 Special Reports issued?</t>
  </si>
  <si>
    <t>Jin dynasty</t>
  </si>
  <si>
    <t>What is the name of the Chairman of the Board of Trustees?</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</si>
  <si>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</si>
  <si>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Qara Khitai, Caucasus, Khwarezmid Empire, Western Xia and Jin dynasties</t>
  </si>
  <si>
    <t>What is  565 °C the creep limit of?</t>
  </si>
  <si>
    <t>What pushes businesses to increase pressures on workers?</t>
  </si>
  <si>
    <t>architect's client and the main contractor</t>
  </si>
  <si>
    <t>What is one problem with internet pharmacies?</t>
  </si>
  <si>
    <t>a wide variety of agents, known as pathogens, from viruses to parasitic worms</t>
  </si>
  <si>
    <t>published first</t>
  </si>
  <si>
    <t>on a 358-acre (145 ha) campus</t>
  </si>
  <si>
    <t>When Iqbal promoted ideas of greater Islamic political unity, what did he encourage ending?</t>
  </si>
  <si>
    <t>What does damaging photosynthesis systems create?</t>
  </si>
  <si>
    <t>Super Bowl XLVIII</t>
  </si>
  <si>
    <t>the Qur'an</t>
  </si>
  <si>
    <t>Grissom, White, and Chaffee</t>
  </si>
  <si>
    <t>Robert Underwood Johnson</t>
  </si>
  <si>
    <t>What alumni wrote "The Closing of the American Mind"?</t>
  </si>
  <si>
    <t>Which tribes did Genghis Khan unite?</t>
  </si>
  <si>
    <t>What issue has been plaguing the civil disobedience movement.</t>
  </si>
  <si>
    <t>Mickey Smith (Noel Clarke) and Jack Harkness (John Barrowman)</t>
  </si>
  <si>
    <t>Besides the radicals who else did Luther have to deal with?</t>
  </si>
  <si>
    <t>What well-known archeologist believed the Amazon didn't have many inhabitants?</t>
  </si>
  <si>
    <t>Sweden v. Russia and allies</t>
  </si>
  <si>
    <t>Ralph Nelson</t>
  </si>
  <si>
    <t>between 96,660 and 128,843</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</si>
  <si>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</si>
  <si>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Where did Tesla look for investors prior to WWI?</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</si>
  <si>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</si>
  <si>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Several project structures can assist the owner in this integration, including design-build, partnering and construction management. In general, each of these project structures allows the owner to integrate the services of architects, interior designers, engineers and constructors throughout design and construction. In response, many companies are growing beyond traditional offerings of design or construction services alone and are placing more emphasis on establishing relationships with other necessary participants through the design-build process.</t>
  </si>
  <si>
    <t>Travels of Marco Polo</t>
  </si>
  <si>
    <t>How many city officials were indicted due to corruption?</t>
  </si>
  <si>
    <t>The plugs-out test began on the morning of January 27, 1967, and immediately was plagued with problems. First the crew noticed a strange odor in their spacesuits, which delayed the sealing of the hatch. Then, communications problems frustrated the astronauts and forced a hold in the simulated countdown. During this hold, an electrical fire began in the cabin, and spread quickly in the high pressure, 100% oxygen atmosphere. Pressure rose high enough from the fire that the cabin burst and the fire erupted onto the pad area, frustrating attempts to rescue the crew. The astronauts were asphyxiated before the hatch could be opened.</t>
  </si>
  <si>
    <t>In confirmation and membership preparation classes,</t>
  </si>
  <si>
    <t>Where is the oldest known rock in the world located?</t>
  </si>
  <si>
    <t>Genesis spacecraft</t>
  </si>
  <si>
    <t>a warm and humid tropical climate on its Indian Ocean coastline</t>
  </si>
  <si>
    <t>figures from the clergy</t>
  </si>
  <si>
    <t>Ohio Company</t>
  </si>
  <si>
    <t>intuitive understanding</t>
  </si>
  <si>
    <t>sent John Bradstreet on an expedition that successfully destroyed Fort Frontenac</t>
  </si>
  <si>
    <t>the Red Army</t>
  </si>
  <si>
    <t>1754–1763</t>
  </si>
  <si>
    <t>To whom did RCA mandate the sale of NBC blue to in 1941?</t>
  </si>
  <si>
    <t>The definition of imperialism has not been finalized for centuries and was confusedly seen to represent the policies of major powers, or simply, general-purpose aggressiveness. Further on, some writers[who?] used the term imperialism, in slightly more discriminating fashion, to mean all kinds of domination or control by a group of people over another. To clear out this confusion about the definition of imperialism one could speak of "formal" and "informal" imperialism, the first meaning physical control or "full-fledged colonial rule" while the second implied less direct rule though still containing perceivable kinds of dominance. Informal rule is generally less costly than taking over territories formally. This is because, with informal rule, the control is spread more subtly through technological superiority, enforcing land officials into large debts that cannot be repaid, ownership of private industries thus expanding the controlled area, or having countries agree to uneven trade agreements forcefully.</t>
  </si>
  <si>
    <t>disaster</t>
  </si>
  <si>
    <t>In what year did Dewar experiment on liquid oxygen?</t>
  </si>
  <si>
    <t>What Fields Medal winning Mathematician is a faculty member at Harvard?</t>
  </si>
  <si>
    <t>What is the source of oxygen production through electrocatalytic means?</t>
  </si>
  <si>
    <t>DC electricity</t>
  </si>
  <si>
    <t>Why should disobedience by the general public be avoided?</t>
  </si>
  <si>
    <t>Alvaro Martin</t>
  </si>
  <si>
    <t>What are two examples of different types of reduction?</t>
  </si>
  <si>
    <t>£30m</t>
  </si>
  <si>
    <t>Who missed a field goal for the Panthers?</t>
  </si>
  <si>
    <t>St. Lawrence, with primary defenses at Carillon, Quebec, and Louisbourg,</t>
  </si>
  <si>
    <t>What is the theory that this King's name is the origin of "Huguenot" called?</t>
  </si>
  <si>
    <t>Second Republic</t>
  </si>
  <si>
    <t>Kenya National Library Service</t>
  </si>
  <si>
    <t>What does chlorophyll use light energy to do?</t>
  </si>
  <si>
    <t>What ended up being used for the streetcars in the place of Tesla's system?</t>
  </si>
  <si>
    <t>In May 2013, ABC launched "WATCH ABC", a revamp of its traditional multi-platform streaming services encompassing the network's existing streaming portal at ABC.com and a mobile app for smartphones and tablet computers; in addition to providing full-length episodes of ABC programs, the service allows live programming streams of local ABC affiliates in select markets (the first such offering by a U.S. broadcast network). Similar to sister network ESPN's WatchESPN service (which originated the "WATCH" brand used by the streaming services of Disney's television networks), live streams of ABC stations are only available to authenticated subscribers of participating pay television providers in certain markets. New York City O&amp;O WABC-TV and Philadelphia O&amp;O WPVI-TV were the first stations to offer streams of their programming on the service (with a free preview for non-subscribers through June 2013), with the six remaining ABC O&amp;Os offering streams by the start of the 2013–14 season. Hearst Television also reached a deal to offer streams of its ABC affiliates (including stations in Boston, Kansas City, Milwaukee and West Palm Beach) on the service.</t>
  </si>
  <si>
    <t>two-man</t>
  </si>
  <si>
    <t>The Mongols attacked Samarkand using captured enemies as body shields. After several days only a few remaining soldiers, loyal supporters of the Shah, held out in the citadel. After the fortress fell, Genghis supposedly reneged on his surrender terms and executed every soldier that had taken arms against him at Samarkand. The people of Samarkand were ordered to evacuate and assemble in a plain outside the city, where they were killed and pyramids of severed heads raised as a symbol of victory. Ata-Malik Juvayni, a high official in the service of the Mongol empire, wrote that in Termez, on the Oxus, "all the people, both men and women, were driven out onto the plain, and divided in accordance with their usual custom, then they were all slain".</t>
  </si>
  <si>
    <t>neoclassical architecture</t>
  </si>
  <si>
    <t>What book did Luther write in response to Agricola and the antinomians?</t>
  </si>
  <si>
    <t>Who did a pressurized oxygen cabin fire kill?</t>
  </si>
  <si>
    <t>What two fields of theoretical computer science closely mirror computational complexity theory?</t>
  </si>
  <si>
    <t>What is the name of one algebraic generalization prime numbers have inspired?</t>
  </si>
  <si>
    <t>What would type of studying would require a teacher to take on a supervisor role?</t>
  </si>
  <si>
    <t>How old was Elway during his Super Bowl XXXIII win?</t>
  </si>
  <si>
    <t>Faith alone</t>
  </si>
  <si>
    <t>Many important complexity classes can be defined by bounding the time or space used by the algorithm. Some important complexity classes of decision problems defined in this manner are the following:</t>
  </si>
  <si>
    <t>How many times can a Time Lord regenerate?</t>
  </si>
  <si>
    <t>What do the words Kirinyaga, Kirenyaa, and Kiinyaa mean?</t>
  </si>
  <si>
    <t>What comedy for ABC ended its broadcast run in 1986?</t>
  </si>
  <si>
    <t>British failures in North America, combined with other failures in the European theater</t>
  </si>
  <si>
    <t>majority of the seats,</t>
  </si>
  <si>
    <t>March 1974.</t>
  </si>
  <si>
    <t>What did Lepidodinium viride replace their original chloroplast with?</t>
  </si>
  <si>
    <t>What type of ballot is used to elect the Presiding Officer and deputies of the Parliament?</t>
  </si>
  <si>
    <t>Other than L.A. which other county do many people commute to?</t>
  </si>
  <si>
    <t>In December 1966, the AS-205 mission was canceled, since the validation of the CSM would be accomplished on the 14-day first flight, and AS-205 would have been devoted to space experiments and contribute no new engineering knowledge about the spacecraft. Its Saturn IB was allocated to the dual mission, now redesignated AS-205/208 or AS-258, planned for August 1967. McDivitt, Scott and Schweickart were promoted to the prime AS-258 crew, and Schirra, Eisele and Cunningham were reassigned as the Apollo 1 backup crew.</t>
  </si>
  <si>
    <t>What did Luther fear to cause him to avoid marriage?</t>
  </si>
  <si>
    <t>The division process starts when the proteins FtsZ1 and FtsZ2 assemble into filaments, and with the help of a protein ARC6, form a structure called a Z-ring within the chloroplast's stroma. The Min system manages the placement of the Z-ring, ensuring that the chloroplast is cleaved more or less evenly. The protein MinD prevents FtsZ from linking up and forming filaments. Another protein ARC3 may also be involved, but it is not very well understood. These proteins are active at the poles of the chloroplast, preventing Z-ring formation there, but near the center of the chloroplast, MinE inhibits them, allowing the Z-ring to form.</t>
  </si>
  <si>
    <t>Decision problems</t>
  </si>
  <si>
    <t>When did French Republicans back building the French empire?</t>
  </si>
  <si>
    <t>communications from another planet</t>
  </si>
  <si>
    <t>What animals may have been stampeded over Genghis Khan's grave site?</t>
  </si>
  <si>
    <t>non-violence</t>
  </si>
  <si>
    <t>the machine oscillated at the resonance frequency of his own building</t>
  </si>
  <si>
    <t>Newtonian mechanics</t>
  </si>
  <si>
    <t>Where did Harold II die?</t>
  </si>
  <si>
    <t>disastrous financial situation.</t>
  </si>
  <si>
    <t>Yale University</t>
  </si>
  <si>
    <t>The Rhine-Meuse Delta is a tidal delta, shaped not only by the sedimentation of the rivers, but also by tidal currents. This meant that high tide formed a serious risk because strong tidal currents could tear huge areas of land into the sea. Before the construction of the Delta Works, tidal influence was palpable up to Nijmegen, and even today, after the regulatory action of the Delta Works, the tide acts far inland. At the Waal, for example, the most landward tidal influence can be detected between Brakel and Zaltbommel.</t>
  </si>
  <si>
    <t>spirit of protest</t>
  </si>
  <si>
    <t>What dilemma is a good example of moral civil disobedience?</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</si>
  <si>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</si>
  <si>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What other scientist influence Frank Burnet when he was formulating his theory of immunity?</t>
  </si>
  <si>
    <t>Who was at the receiving end of a 22-yard pass from Peyton Manning?</t>
  </si>
  <si>
    <t>How would one describe the summers in Fresno?</t>
  </si>
  <si>
    <t>the rest of Tesla's life</t>
  </si>
  <si>
    <t>How many campuses does the University of California have?</t>
  </si>
  <si>
    <t>In 2011, who was the first player to be chosen in the NFL draft?</t>
  </si>
  <si>
    <t>When did the Ottoman Empire fall?</t>
  </si>
  <si>
    <t>How many people may have lived in the Amazon region during AD 1500?</t>
  </si>
  <si>
    <t>What was the total number of homes Sky announced that had Sky+HD in March of 2012?</t>
  </si>
  <si>
    <t>the Paramount Building</t>
  </si>
  <si>
    <t>the Doctor of Pharmacy (Pharm. D.) degree</t>
  </si>
  <si>
    <t>What was the first team Peyton Manning began playing for?</t>
  </si>
  <si>
    <t>the solution</t>
  </si>
  <si>
    <t>What administration did Ludwig Mies van der Rohe designa buiding?</t>
  </si>
  <si>
    <t>the Official Report</t>
  </si>
  <si>
    <t>triplet oxygen</t>
  </si>
  <si>
    <t>exploration area</t>
  </si>
  <si>
    <t>Approximately how many items from the Islamic world are held in the V&amp;A collection?</t>
  </si>
  <si>
    <t>What party is favored in Bedigo and Geelong?</t>
  </si>
  <si>
    <t>The Open Championship golf and The Wimbledon</t>
  </si>
  <si>
    <t>Who works to get workers higher compensation?</t>
  </si>
  <si>
    <t>Who teaches the proper way of living in Islam?</t>
  </si>
  <si>
    <t>How old was tesla when he became a US citizen?</t>
  </si>
  <si>
    <t>Kenyan athletes</t>
  </si>
  <si>
    <t>Brownlee</t>
  </si>
  <si>
    <t>Who stated a change of the length of the Rhine?</t>
  </si>
  <si>
    <t>How many square kilometers of rainforest is covered in the basin?</t>
  </si>
  <si>
    <t>What region does use the term 'private schools' to refer to universities?</t>
  </si>
  <si>
    <t>working through Turkish modernist Mustafa Kemal Atatürk</t>
  </si>
  <si>
    <t>What component of water is more soluble than nitrogen?</t>
  </si>
  <si>
    <t>Big Ten Conference</t>
  </si>
  <si>
    <t>Its counties of Los Angeles, Orange, San Diego, San Bernardino, and Riverside are the five most populous in the state and all are in the top 15 most populous counties in the United States.</t>
  </si>
  <si>
    <t>What was wrong with the pigeon?</t>
  </si>
  <si>
    <t>Common Sense Realism of what Scottish philosophers did Agassiz incorporate in his dual view of knowedge?</t>
  </si>
  <si>
    <t>peridinin-type chloroplast</t>
  </si>
  <si>
    <t>When did the church reform begin?</t>
  </si>
  <si>
    <t>over fifty</t>
  </si>
  <si>
    <t>electrical arc light based illumination systems</t>
  </si>
  <si>
    <t>What is the NASUWT?</t>
  </si>
  <si>
    <t>What is included in Medication Therapy Management?</t>
  </si>
  <si>
    <t>nature of the Eucharist</t>
  </si>
  <si>
    <t>Japan took part of Sakhalin Island from Russia</t>
  </si>
  <si>
    <t>an Executive Committee</t>
  </si>
  <si>
    <t>How is Genghis Khan written in pinyin?</t>
  </si>
  <si>
    <t>the Red Army was nearing the city</t>
  </si>
  <si>
    <t>On August 15, 1971</t>
  </si>
  <si>
    <t>Five of the remaining six missions</t>
  </si>
  <si>
    <t>Who can question statements the First Minister or members of the cabinet make?</t>
  </si>
  <si>
    <t>Pusey Library</t>
  </si>
  <si>
    <t>142 pounds</t>
  </si>
  <si>
    <t>OAPEC</t>
  </si>
  <si>
    <t>Who had a 12-yard rush on this drive?</t>
  </si>
  <si>
    <t>age six years</t>
  </si>
  <si>
    <t>Ahai</t>
  </si>
  <si>
    <t>death in body and soul,</t>
  </si>
  <si>
    <t>Miller-Boyett Productions was a studio affiliated with what company?</t>
  </si>
  <si>
    <t>What is the oldest exhibition site in Warsaw?</t>
  </si>
  <si>
    <t>pathogen-infected cells</t>
  </si>
  <si>
    <t>Social Darwinism</t>
  </si>
  <si>
    <t>over 18 million</t>
  </si>
  <si>
    <t>enable school drop-outs at all levels either to be self-employed or to secure employment</t>
  </si>
  <si>
    <t>What is the term that describes the difference between what higher paid and lower paid professionals earn?</t>
  </si>
  <si>
    <t>What actress plays the female Master?</t>
  </si>
  <si>
    <t>What evidence between and among complexity classes would signify a theoretical watershed for complexity theory?</t>
  </si>
  <si>
    <t>imperial powers</t>
  </si>
  <si>
    <t>The integer factorization problem</t>
  </si>
  <si>
    <t>oceanic</t>
  </si>
  <si>
    <t>What is used to figure the relative strengh of gravity?</t>
  </si>
  <si>
    <t>Johann von Staupitz</t>
  </si>
  <si>
    <t>millions</t>
  </si>
  <si>
    <t>Which theory of Einstein's did Tesla speak critically toward?</t>
  </si>
  <si>
    <t>elsewhere in the Northern United Kingdom</t>
  </si>
  <si>
    <t>What are the only states where ABC doesn't have a licensed affiliate?</t>
  </si>
  <si>
    <t>Louis Pasteur</t>
  </si>
  <si>
    <t>Westminster</t>
  </si>
  <si>
    <t>"the comprehensive institutions of the Great Yuan"</t>
  </si>
  <si>
    <t>Entertainment Group</t>
  </si>
  <si>
    <t>about 75,000</t>
  </si>
  <si>
    <t>Tours</t>
  </si>
  <si>
    <t>How has this debate been proven?</t>
  </si>
  <si>
    <t>Yellow River</t>
  </si>
  <si>
    <t>the absolute value</t>
  </si>
  <si>
    <t>from the tooth sockets in human skeletons</t>
  </si>
  <si>
    <t>Genghis Khan Mausoleum</t>
  </si>
  <si>
    <t>How many stages did the Saturn V end up having?</t>
  </si>
  <si>
    <t>What is the Chinese name for the Yuan dynasty?</t>
  </si>
  <si>
    <t>In 1758 what was duc de Choiseul's plan for focused military efforts?</t>
  </si>
  <si>
    <t>Nortman</t>
  </si>
  <si>
    <t>How many seats did the SNP take from the Liberal Democrats?</t>
  </si>
  <si>
    <t>January 1966</t>
  </si>
  <si>
    <t>architect</t>
  </si>
  <si>
    <t>A user or host could call a host on a foreign network by including the DNIC of the remote network as part of the destination address</t>
  </si>
  <si>
    <t>smaller trade relations with their neighbours</t>
  </si>
  <si>
    <t>relaunch the show</t>
  </si>
  <si>
    <t>By decreasing resistance to blood flow in the lungs, what organ's workload  can be eased?</t>
  </si>
  <si>
    <t>Who pays Australian pharmacists for doing Home Medicines Reviews?</t>
  </si>
  <si>
    <t>McInnes Usher McKnight Architects</t>
  </si>
  <si>
    <t>In what types of organisms did the adaptive immune system first evolve?</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</si>
  <si>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</si>
  <si>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kind of media can references to Tesla be found in</t>
  </si>
  <si>
    <t>What is an example of a parasite that used the antigenic variation strategy to evade destruction?</t>
  </si>
  <si>
    <t>Japan Aerospace Exploration Agency's SELENE</t>
  </si>
  <si>
    <t>Triassic Period</t>
  </si>
  <si>
    <t>high</t>
  </si>
  <si>
    <t>The movement which would become The United Methodist Church began in the mid-18th century within the Church of England. A small group of students, including John Wesley, Charles Wesley and George Whitefield, met on the Oxford University campus. They focused on Bible study, methodical study of scripture and living a holy life. Other students mocked them, saying they were the "Holy Club" and "the Methodists", being methodical and exceptionally detailed in their Bible study, opinions and disciplined lifestyle. Eventually, the so-called Methodists started individual societies or classes for members of the Church of England who wanted to live a more religious life.</t>
  </si>
  <si>
    <t>opportunity-based entrepreneurship</t>
  </si>
  <si>
    <t>desert</t>
  </si>
  <si>
    <t>Who was Genghis's 3rd son?</t>
  </si>
  <si>
    <t>That there currently exists no known integer factorization problem underpins what commonly used system?</t>
  </si>
  <si>
    <t>pharmacy practice science and applied information science</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</si>
  <si>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</si>
  <si>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Who would Begter have married when he came of age?</t>
  </si>
  <si>
    <t>supplant it</t>
  </si>
  <si>
    <t>a combination of anthrax and other pandemics</t>
  </si>
  <si>
    <t>converted or shared houses</t>
  </si>
  <si>
    <t>suspended</t>
  </si>
  <si>
    <t>mad scientist</t>
  </si>
  <si>
    <t>worst-case</t>
  </si>
  <si>
    <t>antigen</t>
  </si>
  <si>
    <t>After the merger of Disney-ABC Television group, ABC Studios, and ABC Entertainment, what was the resulting entity named?</t>
  </si>
  <si>
    <t>carbon related emissions</t>
  </si>
  <si>
    <t>Why is the current sea level rising?</t>
  </si>
  <si>
    <t>What cruise line has included Newcastle as a departure port since 2007?</t>
  </si>
  <si>
    <t>What did Temüjin offer Jamukha after the latter's defeat?</t>
  </si>
  <si>
    <t>The investors showed little interest in Tesla's ideas for new types of motors and electrical transmission equipment and also seemed to think it was better to develop an electrical utility than invent new systems. They eventually forced Tesla out leaving him penniless. He even lost control of the patents he had generated since he had assigned them to the company in lieu of stock. He had to work at various electrical repair jobs and even as a ditch digger for $2 per day. Tesla considered the winter of 1886/1887 as a time of "terrible headaches and bitter tears." During this time, he questioned the value of his education.</t>
  </si>
  <si>
    <t>2p − 1,</t>
  </si>
  <si>
    <t xml:space="preserve">What is the position Derek Wolfe plays currently? </t>
  </si>
  <si>
    <t>How many Muslims came from around the world to fight in Afghanistan?</t>
  </si>
  <si>
    <t>The Amazon rainforest makes up what amount of Earth's rainforests?</t>
  </si>
  <si>
    <t>What charter has become an important aspect of EU law?</t>
  </si>
  <si>
    <t>Jimmy Kimmel</t>
  </si>
  <si>
    <t>Who first played the Master in the 2007 series?</t>
  </si>
  <si>
    <t>49–15</t>
  </si>
  <si>
    <t>What is ATP synthase similar to?</t>
  </si>
  <si>
    <t>the wetter climate may have allowed the tropical rainforest to spread out across the continent.</t>
  </si>
  <si>
    <t>How far did he claim the mechanical energy could be transmitted?</t>
  </si>
  <si>
    <t>Gottfried Semper</t>
  </si>
  <si>
    <t>other ctenophores</t>
  </si>
  <si>
    <t>did not want disloyal men in his army</t>
  </si>
  <si>
    <t>prescribe and dispense prescription-only medicines to their patients from within their practices</t>
  </si>
  <si>
    <t>How many species of insects are known in the region?</t>
  </si>
  <si>
    <t>Ludendorff Bridge</t>
  </si>
  <si>
    <t>on three grounds</t>
  </si>
  <si>
    <t>lower lake</t>
  </si>
  <si>
    <t>Mike Nichols</t>
  </si>
  <si>
    <t>diploblastic</t>
  </si>
  <si>
    <t>La Nativité du Seigneur</t>
  </si>
  <si>
    <t>Semen contains what in order to kill pathogens?</t>
  </si>
  <si>
    <t>hundreds</t>
  </si>
  <si>
    <t>At the end of 1949, movie theater operator United Paramount Theatres (UPT) was forced by the U.S. Supreme Court to become an independent entity, separating itself from Paramount Pictures. For its part, ABC was on the verge of bankruptcy, with only five owned-and-operated stations and nine full-time affiliates. Its revenues, which were related to advertising and were indexed compared to the number of listeners/viewers, failed to compensate for its heavy investments in purchasing and building stations. In 1951, a rumor even mentioned that the network would be sold to CBS. In 1951, Noble held a 58% ownership stake in ABC, giving him $5 million with which to prevent ABC from going bankrupt; as banks refused further credit, that amount was obtained through a loan from the Prudential Insurance Company of America.</t>
  </si>
  <si>
    <t>WLQP-LP</t>
  </si>
  <si>
    <t>World Today</t>
  </si>
  <si>
    <t>University Athletic Association (UAA)</t>
  </si>
  <si>
    <t>higher oxygen content</t>
  </si>
  <si>
    <t>staying with the same group of peers for all classes</t>
  </si>
  <si>
    <t>In what decade were injectors widely used in steam engines?</t>
  </si>
  <si>
    <t>Sicily</t>
  </si>
  <si>
    <t>North County</t>
  </si>
  <si>
    <t>1974</t>
  </si>
  <si>
    <t>inorganic compounds</t>
  </si>
  <si>
    <t>⅓ to Tesla, ⅓ to Peck and Brown, and ⅓ to fund development</t>
  </si>
  <si>
    <t>What types of organizations are on a decline in the US which adversely effects economic mobility?</t>
  </si>
  <si>
    <t>Tucker</t>
  </si>
  <si>
    <t>university</t>
  </si>
  <si>
    <t>What helps to unleash the productivity ability of the poor?</t>
  </si>
  <si>
    <t>lobes</t>
  </si>
  <si>
    <t>1685</t>
  </si>
  <si>
    <t>King George's War</t>
  </si>
  <si>
    <t>Niagara Falls</t>
  </si>
  <si>
    <t>Structural geologists</t>
  </si>
  <si>
    <t>both houses of Congress</t>
  </si>
  <si>
    <t>What don't chloroplastidan chloroplasts have?</t>
  </si>
  <si>
    <t>What are the main threats facing the Amazon rainforest in the current century?</t>
  </si>
  <si>
    <t>Disorders of the immune system can result in autoimmune diseases, inflammatory diseases and cancer. Immunodeficiency occurs when the immune system is less active than normal, resulting in recurring and life-threatening infections. In humans, immunodeficiency can either be the result of a genetic disease such as severe combined immunodeficiency, acquired conditions such as HIV/AIDS, or the use of immunosuppressive medication. In contrast, autoimmunity results from a hyperactive immune system attacking normal tissues as if they were foreign organisms. Common autoimmune diseases include Hashimoto's thyroiditis, rheumatoid arthritis, diabetes mellitus type 1, and systemic lupus erythematosus. Immunology covers the study of all aspects of the immune system.</t>
  </si>
  <si>
    <t>What was Brisbane's job?</t>
  </si>
  <si>
    <t>What fortification was built in the 19th century after the defeat of the November Uprising?</t>
  </si>
  <si>
    <t>How much time did he claim had to pass before he gave the ray to the world?</t>
  </si>
  <si>
    <t>rotational inertia of planet Earth</t>
  </si>
  <si>
    <t>avoiding attribution</t>
  </si>
  <si>
    <t>anorthosite</t>
  </si>
  <si>
    <t>Who started the IPCC Trust Fund?</t>
  </si>
  <si>
    <t>In what year was the Apollo program announced?</t>
  </si>
  <si>
    <t>Chilaun</t>
  </si>
  <si>
    <t>During Reconstruction and the Gilded Age, Jacksonville and nearby St. Augustine became popular winter resorts for the rich and famous. Visitors arrived by steamboat and later by railroad. President Grover Cleveland attended the Sub-Tropical Exposition in the city on February 22, 1888 during his trip to Florida. This highlighted the visibility of the state as a worthy place for tourism. The city's tourism, however, was dealt major blows in the late 19th century by yellow fever outbreaks. In addition, extension of the Florida East Coast Railway further south drew visitors to other areas. From 1893 to 1938 Jacksonville was the site of the Florida Old Confederate Soldiers and Sailors Home with a nearby cemetery.</t>
  </si>
  <si>
    <t>the South Pacific</t>
  </si>
  <si>
    <t>the Sunday Service of the Methodists in North America</t>
  </si>
  <si>
    <t>his mother's genetics</t>
  </si>
  <si>
    <t>The university's center in Beijing is located next to what school's campus?</t>
  </si>
  <si>
    <t>200 Troupes de la marine and 30 Indians</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</si>
  <si>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</si>
  <si>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Several procedures enable the Scottish Parliament to scrutinise the Government. The First Minister or members of the cabinet can deliver statements to Parliament upon which MSPs are invited to question. For example, at the beginning of each parliamentary year, the First Minister delivers a statement to the chamber setting out the Government's legislative programme for the forthcoming year. After the statement has been delivered, the leaders of the opposition parties and other MSPs question the First Minister on issues related to the substance of the statement.</t>
  </si>
  <si>
    <t>Where does Khomeini's beliefs fall as compared to Mawdudi and Qutb?</t>
  </si>
  <si>
    <t>What did creating highways in the Amazon rainforest lead to?</t>
  </si>
  <si>
    <t>passive</t>
  </si>
  <si>
    <t>ideal strings</t>
  </si>
  <si>
    <t>braking radiation</t>
  </si>
  <si>
    <t>300–600 nanometers in diameter</t>
  </si>
  <si>
    <t>toughest rallies in the world.</t>
  </si>
  <si>
    <t>What is the mlolongo system?</t>
  </si>
  <si>
    <t>to carry out the Calvin cycle and make sugar</t>
  </si>
  <si>
    <t>While photosystem II photolyzes water to obtain and energize new electrons, photosystem I simply reenergizes depleted electrons at the end of an electron transport chain. Normally, the reenergized electrons are taken by NADP+, though sometimes they can flow back down more H+-pumping electron transport chains to transport more hydrogen ions into the thylakoid space to generate more ATP. This is termed cyclic photophosphorylation because the electrons are recycled. Cyclic photophosphorylation is common in C4 plants, which need more ATP than NADPH.</t>
  </si>
  <si>
    <t>"deficiencies existed in Command Module design, workmanship and quality control."</t>
  </si>
  <si>
    <t>immunization</t>
  </si>
  <si>
    <t>Who is the primary rival of the Harvard Crimson hockey team?</t>
  </si>
  <si>
    <t>What introduces inequality to a country?</t>
  </si>
  <si>
    <t>civil servants' salary index scale (Bundesbesoldungsordnung)</t>
  </si>
  <si>
    <t>Infinity Broadcasting Corporation</t>
  </si>
  <si>
    <t>2013 Economics Nobel prize winner Robert J. Shiller said that rising inequality in the United States and elsewhere is the most important problem.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</si>
  <si>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Jon Culshaw</t>
  </si>
  <si>
    <t>Poland Prime Minister Donald Tusk</t>
  </si>
  <si>
    <t>dial-up terminal</t>
  </si>
  <si>
    <t>in 1041</t>
  </si>
  <si>
    <t>end of the 19th century</t>
  </si>
  <si>
    <t>between AD 0–1250</t>
  </si>
  <si>
    <t>ultraviolet radiation impacting oxygen-containing molecules such as carbon dioxide</t>
  </si>
  <si>
    <t>Individual-level interventions</t>
  </si>
  <si>
    <t>Hyperbaric (high-pressure) medicine</t>
  </si>
  <si>
    <t>150</t>
  </si>
  <si>
    <t>tear huge areas of land into the sea.</t>
  </si>
  <si>
    <t>light reactions</t>
  </si>
  <si>
    <t>What are auricles?</t>
  </si>
  <si>
    <t>five-year course of study at an</t>
  </si>
  <si>
    <t>catch more sunlight in deep water</t>
  </si>
  <si>
    <t>What is the profession of Jake Rosenfield?</t>
  </si>
  <si>
    <t>value of the spin</t>
  </si>
  <si>
    <t>an Islamic rebellion against an allied Marxist regime</t>
  </si>
  <si>
    <t>What is the public library seen as to Kenyans?</t>
  </si>
  <si>
    <t>the Port of Los Angeles</t>
  </si>
  <si>
    <t>When was the decision made to replace the Nova rockets with the Saturn V?</t>
  </si>
  <si>
    <t>by limiting aggregate demand</t>
  </si>
  <si>
    <t>The Lodger</t>
  </si>
  <si>
    <t>How many days did the Warsaw Uprising last?</t>
  </si>
  <si>
    <t>Eureka Stockade</t>
  </si>
  <si>
    <t>What was Warsaw's population in 1901?</t>
  </si>
  <si>
    <t>X-rays were longitudinal waves</t>
  </si>
  <si>
    <t>_____ Helps the biospher from UV.</t>
  </si>
  <si>
    <t>$500,000</t>
  </si>
  <si>
    <t>What is left of the Dinophysis chloroplasts?</t>
  </si>
  <si>
    <t>The Broncos took an early lead in Super Bowl 50 and never trailed. Newton was limited by Denver's defense, which sacked him seven times and forced him into three turnovers, including a fumble which they recovered for a touchdown. Denver linebacker Von Miller was named Super Bowl MVP, recording five solo tackles, 2½ sacks, and two forced fumbles.</t>
  </si>
  <si>
    <t>How many expansion stages are used by the triple expansion engine?</t>
  </si>
  <si>
    <t>deterministic Turing machines</t>
  </si>
  <si>
    <t>Cobham</t>
  </si>
  <si>
    <t>many times</t>
  </si>
  <si>
    <t>Which country was the last to receive the disease?</t>
  </si>
  <si>
    <t>80.4</t>
  </si>
  <si>
    <t>MODES</t>
  </si>
  <si>
    <t>Who went to Wittenberg to hear Luther speak?</t>
  </si>
  <si>
    <t>The UMC believes that Jesus abolished the death penalty in what Bible verse?</t>
  </si>
  <si>
    <t>the Department for Culture, Media and Sport</t>
  </si>
  <si>
    <t>By 1954, all U.S. networks had regained control of their programming, with higher advertising revenues: ABC's revenue increased by 67% (earning $26 million), NBC's went up by 30% ($100 million) and CBS's rose by 44% ($117 million). However that year, ABC had only 14 primary affiliates compared to the 74 that carried the majority of CBS programs and the 71 that were primarily affiliated with NBC. Most markets outside the largest ones were not large enough to support three full-time network affiliates. In some markets that were large enough for a third full-time affiliate, the only available commercial allocation was on the less-desirable UHF band. Until the All-Channel Receiver Act (passed by Congress in 1961) mandated the inclusion of UHF tuning, most viewers needed to purchase a converter to be able to watch UHF stations, and the signal quality was marginal at best even with a converter. Additionally, during the analog television era, UHF stations were not adequately receivable in rugged terrain. These factors made many prospective station owners skittish about investing in a UHF station, especially one that would have had to take on an affiliation with a weaker network.</t>
  </si>
  <si>
    <t>Intergovernmental_Panel_on_Climate_Change</t>
  </si>
  <si>
    <t>Where were British defeated in Canada?</t>
  </si>
  <si>
    <t>The network was engineered and operated by MCI Telecommunications under a cooperative agreement with the NSF</t>
  </si>
  <si>
    <t>Where was Luther buried?</t>
  </si>
  <si>
    <t>What are the three primary expressions used to represent case complexity?</t>
  </si>
  <si>
    <t>What inventor built on to the findings of Philo of  Byzantium?</t>
  </si>
  <si>
    <t>a series of strikes by coal miners and railroad workers</t>
  </si>
  <si>
    <t>photosynthetic</t>
  </si>
  <si>
    <t>18 February</t>
  </si>
  <si>
    <t>poorly drafted contracts</t>
  </si>
  <si>
    <t>Nurses treat 80% of the population who visit dispensaries, health centres and private clinics in rural and under-served urban areas. Complicated cases are referred to clinical officers, medical officers and medical practitioners. According to the Kenya National Bureau of Statistics, in 2011 there were 65,000 qualified nurses registered in the country; 8,600 clinical officers and 7,000 doctors for the population of 43 million people (These figures from official registers include those who have died or left the profession hence the actual number of these workers may be lower).</t>
  </si>
  <si>
    <t>the lack of reliable statistics from this period</t>
  </si>
  <si>
    <t>What type of opportunities would be expected from these counties?</t>
  </si>
  <si>
    <t>about a third</t>
  </si>
  <si>
    <t>article 30</t>
  </si>
  <si>
    <t>a fee per unit of connection time</t>
  </si>
  <si>
    <t>Who specifically does HT target to change the opinion of?</t>
  </si>
  <si>
    <t>What well known political scientists are currently on the university's faculty?</t>
  </si>
  <si>
    <t>to synthesize a small fraction of their proteins</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</si>
  <si>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</si>
  <si>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Where was Genghis Khan likely born?</t>
  </si>
  <si>
    <t>rotational inertia of planet</t>
  </si>
  <si>
    <t>What was the score for the 2015 NFC championship game?</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</si>
  <si>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</si>
  <si>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2.8</t>
  </si>
  <si>
    <t>Without Luther's backing for the uprising, many rebels laid down their weapons; others felt betrayed. Their defeat by the Swabian League at the Battle of Frankenhausen on 15 May 1525, followed by Müntzer's execution, brought the revolutionary stage of the Reformation to a close. Thereafter, radicalism found a refuge in the anabaptist movement and other religious movements, while Luther's Reformation flourished under the wing of the secular powers.</t>
  </si>
  <si>
    <t>Dorotheenstadt and Friedrichstadt</t>
  </si>
  <si>
    <t>What percentage of Warsaw's population was Protestant in 1901?</t>
  </si>
  <si>
    <t>Most of the museum's collection had been returned by which year?</t>
  </si>
  <si>
    <t>helmeted honeyeater</t>
  </si>
  <si>
    <t>What prize did Peter Higgs win?</t>
  </si>
  <si>
    <t>bigamy of the Philip of Hesse</t>
  </si>
  <si>
    <t>1⁄3</t>
  </si>
  <si>
    <t>post-classical European sculpture</t>
  </si>
  <si>
    <t>binary notation</t>
  </si>
  <si>
    <t>eastern coast</t>
  </si>
  <si>
    <t>quantity surveyor</t>
  </si>
  <si>
    <t>How is the Pauli exclusion priciple manifested in the macro world?</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</si>
  <si>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</si>
  <si>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medieval religious orders</t>
  </si>
  <si>
    <t>take them back to orbit to rendezvous with the Command Module</t>
  </si>
  <si>
    <t>Bricks for Warsaw</t>
  </si>
  <si>
    <t>first increases</t>
  </si>
  <si>
    <t>Six-time Grammy winner and Academy Award nominee Lady Gaga performed the national anthem, while Academy Award winner Marlee Matlin provided American Sign Language (ASL) translation.</t>
  </si>
  <si>
    <t>1933</t>
  </si>
  <si>
    <t>continuous rotary motion</t>
  </si>
  <si>
    <t>not restored by the communist authorities after the war</t>
  </si>
  <si>
    <t>How many central conferences are outside of the United States?</t>
  </si>
  <si>
    <t>What increases rapidly as per capita income increases?</t>
  </si>
  <si>
    <t>the end of the 1993 season</t>
  </si>
  <si>
    <t>miasto stołeczne Warszawa</t>
  </si>
  <si>
    <t>Southern California's distinctive regions are divided culturally, politically and what other trait?</t>
  </si>
  <si>
    <t>Chinese physicians were brought along military campaigns by the Mongols</t>
  </si>
  <si>
    <t>expansions</t>
  </si>
  <si>
    <t>Some dinophytes, like Kryptoperidinium and Durinskia have a diatom (heterokontophyte) derived chloroplast. These chloroplasts are bounded by up to five membranes, (depending on whether you count the entire diatom endosymbiont as the chloroplast, or just the red algal derived chloroplast inside it). The diatom endosymbiont has been reduced relatively little—it still retains its original mitochondria, and has endoplasmic reticulum, ribosomes, a nucleus, and of course, red algal derived chloroplasts—practically a complete cell, all inside the host's endoplasmic reticulum lumen. However the diatom endosymbiont can't store its own food—its starch is found in granules in the dinophyte host's cytoplasm instead. The diatom endosymbiont's nucleus is present, but it probably can't be called a nucleomorph because it shows no sign of genome reduction, and might have even been expanded. Diatoms have been engulfed by dinoflagellates at least three times.</t>
  </si>
  <si>
    <t>New Birth</t>
  </si>
  <si>
    <t>Foreign Protestants Naturalization Act</t>
  </si>
  <si>
    <t>January 2003</t>
  </si>
  <si>
    <t>What did the NFL do to the playing field at Levi's Stadium before the Super Bowl?</t>
  </si>
  <si>
    <t>Teacher</t>
  </si>
  <si>
    <t>host computers</t>
  </si>
  <si>
    <t>emphasize academics</t>
  </si>
  <si>
    <t>In the motor rallying arena, Kenya is home to the world famous Safari Rally, commonly acknowledged as one of the toughest rallies in the world. It was a part of the World Rally Championship for many years until its exclusion after the 2002 event owing to financial difficulties. Some of the best rally drivers in the world have taken part in and won the rally, such as Björn Waldegård, Hannu Mikkola, Tommi Mäkinen, Shekhar Mehta, Carlos Sainz and Colin McRae. Although the rally still runs annually as part of the Africa rally championship, the organisers are hoping to be allowed to rejoin the World Rally championship in the next couple of years.</t>
  </si>
  <si>
    <t>Why are some forces due to that are impossible to model?</t>
  </si>
  <si>
    <t>withstood and fought to the last</t>
  </si>
  <si>
    <t xml:space="preserve">How many people lived in Fresno in 2000, according to the Census Bureau? </t>
  </si>
  <si>
    <t>duty</t>
  </si>
  <si>
    <t>What is the systemic acquired resistance response of a plant immune system?</t>
  </si>
  <si>
    <t>the Orange Democratic Movement (ODM)</t>
  </si>
  <si>
    <t>mortgage banker</t>
  </si>
  <si>
    <t>What is the legislature of the European Union comprised of?</t>
  </si>
  <si>
    <t>Mork &amp; Mindy</t>
  </si>
  <si>
    <t>There are many forms of spiritual or religious teachers in Christianity, across all three major traditions - (Roman) Catholic, (Eastern) Orthodox Catholic, and Protestant/Non-Denominational, with a stronger tradition of spiritual formation in the more historic and authoritarian/hierarchical Christian traditions with a long tradition of "discernment of spirits", of vocations, and other aspects of spiritual life, especially the Roman and Orthodox Catholic Churches. These positions include: the honoured but informal position of starets or elder - a man (or, less often, woman), often a monastic, considered to be graced by God with certain gifts for the guidance of souls and the detection and correction of prelest (spiritual pride or deception) - who acts as a spiritual guide or father in the Orthodox Catholic tradition, especially Russian Orthodoxy (see Optina Monastery, which had a long line of said starets); the Priest or Confessor in Roman Catholicism, who is often a man in Holy Orders but may be a monastic or other person respected for his spiritual accomplishments or acumen (even the Pope of Rome has a Confessor, who is not always a bishop, and, due to the hierarchical structure of the Roman Church, can not be his equal in authority), which is often a semi-official to official position, as opposed to the unofficial positions of spiritual guides in the Orthodox Catholic and Protestant traditions; and the almost-exclusively informal arrangements (generally formal only in members who are under some form of church discipline) of mentorship (both of adults and children, in the latter case often a youth pastor) in the Protestant and Non-Denominational traditions, which boundaries can be blurred with the more typically Roman "confessor" position in some of the more historic and conservative Reformation Churches, such as some of the Lutheran and Anglican. In keeping with the individualistic nature of most Protestant denominations, the emphasis on being guided in spiritual development is small, with a heavy emphasis placed on heavy reading and personal, Spirit-enlightened interpretation of the Holy Bible.</t>
  </si>
  <si>
    <t>Miocene</t>
  </si>
  <si>
    <t>confirmed</t>
  </si>
  <si>
    <t>The provisional elder/deacon</t>
  </si>
  <si>
    <t>The Scotland Act 1998</t>
  </si>
  <si>
    <t>Rowan Atkinson</t>
  </si>
  <si>
    <t>What must the adoption of laws which will have legal effect in the EU have?</t>
  </si>
  <si>
    <t>1951</t>
  </si>
  <si>
    <t>When did Richard Dean Adams make his inquiry?</t>
  </si>
  <si>
    <t>Carmichael</t>
  </si>
  <si>
    <t>Where do chloroplasts make amino acids?</t>
  </si>
  <si>
    <t>ten</t>
  </si>
  <si>
    <t>8–15 per cell</t>
  </si>
  <si>
    <t>near present-day Erie, Pennsylvania</t>
  </si>
  <si>
    <t>the Bible</t>
  </si>
  <si>
    <t>On his 50th birthday in 1906, Tesla demonstrated his 200 horsepower (150 kilowatts) 16,000 rpm bladeless turbine. During 1910–1911 at the Waterside Power Station in New York, several of his bladeless turbine engines were tested at 100–5,000 hp.</t>
  </si>
  <si>
    <t>render certain laws ineffective, to cause their repeal</t>
  </si>
  <si>
    <t>What drove increased rental prices in East New York?</t>
  </si>
  <si>
    <t>What was the nationality of Jerónimo de Ayanz y Beaumont?</t>
  </si>
  <si>
    <t>steeper tax progressivity</t>
  </si>
  <si>
    <t>Cabot Science Library, Lamont Library, and Widener Library</t>
  </si>
  <si>
    <t>orange and lemon trees</t>
  </si>
  <si>
    <t>How are ergänzungsschulen funded?</t>
  </si>
  <si>
    <t xml:space="preserve">How many bodies of water makes up Lake Constance? </t>
  </si>
  <si>
    <t>Luther's hymns were frequently evoked by particular events in his life and the unfolding Reformation. This behavior started with his learning of the execution of Johann Esch and Heinrich Voes, the first individuals to be martyred by the Roman Catholic Church for Lutheran views, prompting Luther to write the hymn "Ein neues Lied wir heben an" ("A new song we raise"), which is generally known in English by John C. Messenger's translation by the title and first line "Flung to the Heedless Winds" and sung to the tune Ibstone composed in 1875 by Maria C. Tiddeman.</t>
  </si>
  <si>
    <t>Full citizenship rights</t>
  </si>
  <si>
    <t>an increase</t>
  </si>
  <si>
    <t>What is also decided by the Presiding Officer?</t>
  </si>
  <si>
    <t>The General Board of Church and Society, and the United Methodist Women</t>
  </si>
  <si>
    <t>How do co-teachers work with each other to fulfill the needs of students?</t>
  </si>
  <si>
    <t>Agents of S.H.I.E.L.D</t>
  </si>
  <si>
    <t>2 through 6</t>
  </si>
  <si>
    <t>CD4</t>
  </si>
  <si>
    <t>What is only found in peridinin-type chloroplasts?</t>
  </si>
  <si>
    <t>What types of pharmacy functions have begun to be outsourced?</t>
  </si>
  <si>
    <t>evacuate the cylinder</t>
  </si>
  <si>
    <t>to permit the recasting of the main character</t>
  </si>
  <si>
    <t>How can pyrenoids replicate?</t>
  </si>
  <si>
    <t>What did Luther deny the rebels?</t>
  </si>
  <si>
    <t>evidence</t>
  </si>
  <si>
    <t>Bolshevik leaders</t>
  </si>
  <si>
    <t>plan to collect my writings in volumes</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</si>
  <si>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1038–40. There is debate whether the Normans in Greek service actually were from Norman Italy, and it now seems likely only a few came from there. It is also unknown how many of the "Franks", as the Byzantines called them, were Normans and not other Frenchmen.</t>
  </si>
  <si>
    <t>natural grass</t>
  </si>
  <si>
    <t>Genghis Khan was in the process of taking what capital city when he died?</t>
  </si>
  <si>
    <t>extremely old</t>
  </si>
  <si>
    <t>Where is the first man-made self-sustaining nuclear reaction located?</t>
  </si>
  <si>
    <t>nomads and thus had no experience governing cities</t>
  </si>
  <si>
    <t>the parts of the internal canal network under the comb rows</t>
  </si>
  <si>
    <t>How many miles south of San Jose is the north - south midway point located?</t>
  </si>
  <si>
    <t>What did the Hamas charter uncompromisingly encourage?</t>
  </si>
  <si>
    <t>Half</t>
  </si>
  <si>
    <t>In order to be considered in the top percentile, a person would need to amass how much money each year?</t>
  </si>
  <si>
    <t>1,000 m3/s (35,000 cu ft/s)</t>
  </si>
  <si>
    <t>Which Treaty protects the freedom of establishment and the freedom to provide services?</t>
  </si>
  <si>
    <t>When was King George's war?</t>
  </si>
  <si>
    <t>What has risen to be a factor in teaching today?</t>
  </si>
  <si>
    <t>James Hutton published a 2 volume version of his theories in what year?</t>
  </si>
  <si>
    <t>When was the Disney and ABC merger first announced?</t>
  </si>
  <si>
    <t>When did Kibaki and Odinga sing an agreement on the formation of government?</t>
  </si>
  <si>
    <t>Fredericia (Denmark), Berlin, Stockholm, Hamburg, Frankfurt, Helsinki, and Emden</t>
  </si>
  <si>
    <t>9 October 2006</t>
  </si>
  <si>
    <t>a police box</t>
  </si>
  <si>
    <t>What was the name of the Florida Huguenot colony?</t>
  </si>
  <si>
    <t>What is the United Methodist Church?</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</si>
  <si>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</si>
  <si>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In 1211, after the conquest of Western Xia, Genghis Khan planned again to conquer the Jin dynasty. The commander of the Jin dynasty army made a tactical mistake in not attacking the Mongols at the first opportunity. Instead, the Jin commander sent a messenger, Ming-Tan, to the Mongol side, who defected and told the Mongols that the Jin army was waiting on the other side of the pass. At this engagement fought at Badger Pass the Mongols massacred hundreds of thousands of Jin troops. In 1215 Genghis besieged, captured, and sacked the Jin capital of Zhongdu (modern-day Beijing). This forced the Emperor Xuanzong to move his capital south to Kaifeng, abandoning the northern half of his kingdom to the Mongols. Between 1232 and 1233, Kaifeng fell to the Mongols under the reign of Genghis' third son, Ögedei Khan. The Jin dynasty collapsed in 1234, after the siege of Caizhou.</t>
  </si>
  <si>
    <t>Niels Jerne</t>
  </si>
  <si>
    <t>the American Revolution</t>
  </si>
  <si>
    <t>Why did the police bring Tesla back to Gospic?</t>
  </si>
  <si>
    <t>the first half of the 10th century</t>
  </si>
  <si>
    <t>On the Freedom of a Christian</t>
  </si>
  <si>
    <t>What was the average family size?</t>
  </si>
  <si>
    <t>concurring, smaller assessments of special problems</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</si>
  <si>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</si>
  <si>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What is the axis of Warsaw which divides it into two parts?</t>
  </si>
  <si>
    <t>cylindrical Service Module</t>
  </si>
  <si>
    <t>very influential</t>
  </si>
  <si>
    <t>When was the mass high school education movement?</t>
  </si>
  <si>
    <t>1936</t>
  </si>
  <si>
    <t>Imperialism and colonialism</t>
  </si>
  <si>
    <t>Continual motion along the fault</t>
  </si>
  <si>
    <t>1963 to 1989</t>
  </si>
  <si>
    <t>Ward</t>
  </si>
  <si>
    <t>making peace with Israel</t>
  </si>
  <si>
    <t>What did Temüjin offer the people he conquered in order earn their loyalty?</t>
  </si>
  <si>
    <t>by theme, tomb sculpture, portraiture, garden sculpture and mythology</t>
  </si>
  <si>
    <t>General relativity</t>
  </si>
  <si>
    <t>Problems capable of theoretical solutions but consuming unreasonable time in practical application are known as what?</t>
  </si>
  <si>
    <t>When had the Brotherhood renounced violence as a means of achieving its goals?</t>
  </si>
  <si>
    <t>11.5 inches (292.1 mm)</t>
  </si>
  <si>
    <t>the Treaty of Aix-la-Chapelle</t>
  </si>
  <si>
    <t>German army</t>
  </si>
  <si>
    <t>The availability of the Bible in vernacular languages</t>
  </si>
  <si>
    <t>182 million</t>
  </si>
  <si>
    <t>What year did the flood that impacted the Meuse take place?</t>
  </si>
  <si>
    <t>RNA silencing mechanisms</t>
  </si>
  <si>
    <t>tears</t>
  </si>
  <si>
    <t>Lindisfarne are a folk-rock group with a strong Tyneside connection. Their most famous song, "Fog on the Tyne" (1971), was covered by Geordie ex-footballer Paul Gascoigne in 1990. Venom, reckoned by many to be the originators of black metal and extremely influential to the extreme metal scene as a whole, formed in Newcastle in 1979. Folk metal band Skyclad, often regarded as the first folk metal band, also formed in Newcastle after the break-up of Martin Walkyier thrash metal band, Sabbat. Andy Taylor, former lead guitarist of Duran Duran was born here in 1961. Brian Johnson was a member of local rock band Geordie before becoming the lead vocalist of AC/DC.</t>
  </si>
  <si>
    <t>Charly</t>
  </si>
  <si>
    <t>many of the nomadic tribes of Northeast Asia.</t>
  </si>
  <si>
    <t>What effort was Luther not particularly in favor of?</t>
  </si>
  <si>
    <t>What consortium was BSkyB excluded from?</t>
  </si>
  <si>
    <t>What is an example of a measurement within a complexity class that would create a bigger set of problems if the bounds were relaxed?</t>
  </si>
  <si>
    <t>shallow crust</t>
  </si>
  <si>
    <t>An Unearthly Child</t>
  </si>
  <si>
    <t>at the beginning of each parliamentary session</t>
  </si>
  <si>
    <t>What holiday coincided with the first showing of series two?</t>
  </si>
  <si>
    <t>In land plants, chloroplasts are generally lens-shaped, 5–8 μm in diameter and 1–3 μm thick. Greater diversity in chloroplast shapes exists among the algae, which often contain a single chloroplast that can be shaped like a net (e.g., Oedogonium), a cup (e.g., Chlamydomonas), a ribbon-like spiral around the edges of the cell (e.g., Spirogyra), or slightly twisted bands at the cell edges (e.g., Sirogonium). Some algae have two chloroplasts in each cell; they are star-shaped in Zygnema, or may follow the shape of half the cell in order Desmidiales. In some algae, the chloroplast takes up most of the cell, with pockets for the nucleus and other organelles (for example some species of Chlorella have a cup-shaped chloroplast that occupies much of the cell).</t>
  </si>
  <si>
    <t>In what theory is the idea of a number exchanged with that of an ideal?</t>
  </si>
  <si>
    <t>There are many similarities and differences among teachers around the world. In almost all countries teachers are educated in a university or college. Governments may require certification by a recognized body before they can teach in a school. In many countries, elementary school education certificate is earned after completion of high school. The high school student follows an education specialty track, obtain the prerequisite "student-teaching" time, and receive a special diploma to begin teaching after graduation. In addition to certification, many educational institutions especially within the US, require that prospective teachers pass a background check and psychiatric evaluation to be able to teach in classroom. This is not always the case with adult further learning institutions but is fast becoming the norm in many countries as security concerns grow.</t>
  </si>
  <si>
    <t>Most Platyctenida have oval bodies that are flattened in the oral-aboral direction, with a pair of tentilla-bearing tentacles on the aboral surface. They cling to and creep on surfaces by everting the pharynx and using it as a muscular "foot". All but one of the known platyctenid species lack comb-rows. Platyctenids are usually cryptically colored, live on rocks, algae, or the body surfaces of other invertebrates, and are often revealed by their long tentacles with many sidebranches, seen streaming off the back of the ctenophore into the current.</t>
  </si>
  <si>
    <t>the English Core Cities Group</t>
  </si>
  <si>
    <t>Gaulish name Rēnos</t>
  </si>
  <si>
    <t>cricket, rallying, football, rugby union and boxing</t>
  </si>
  <si>
    <t>Conservative Islam classifies Muslims who follow Shia interpretation as what?</t>
  </si>
  <si>
    <t>In the capabilities approach, grow and income are considered a means to an end rather than what?</t>
  </si>
  <si>
    <t>Diepoldsau</t>
  </si>
  <si>
    <t>Jean De Rely's illustrated French-language scriptures were first published in what city?</t>
  </si>
  <si>
    <t>What are the three largest urban areas in Kenya?</t>
  </si>
  <si>
    <t>1 October 1998</t>
  </si>
  <si>
    <t>What is the process of constructing a building or infrastructure?</t>
  </si>
  <si>
    <t>How many universities offer an Initial Teacher Education (ITE) program?</t>
  </si>
  <si>
    <t>Eisleben, Saxony</t>
  </si>
  <si>
    <t>1858</t>
  </si>
  <si>
    <t>How many MSPs are there?</t>
  </si>
  <si>
    <t>enhanced transit infrastructure, possible shuttles open to the public, and park space which will also be publicly accessible.</t>
  </si>
  <si>
    <t>Who wrote of the Savery water pump in 1751's Philosophical Transactions?</t>
  </si>
  <si>
    <t>the clinical services that pharmacists can provide for their patients</t>
  </si>
  <si>
    <t>Political advantage is an attribute of which state policies?</t>
  </si>
  <si>
    <t>two cell membranes</t>
  </si>
  <si>
    <t>dangerous by-products of oxygen use in organisms</t>
  </si>
  <si>
    <t>a blue British police box</t>
  </si>
  <si>
    <t>its central location</t>
  </si>
  <si>
    <t>4.5 million</t>
  </si>
  <si>
    <t>What is an underbid?</t>
  </si>
  <si>
    <t>Colorado River</t>
  </si>
  <si>
    <t>There would be no more scoring in the third quarter, but early in the fourth, the Broncos drove to the Panthers 41-yard line. On the next play, Ealy knocked the ball out of Manning's hand as he was winding up for a pass, and then recovered it for Carolina on the 50-yard line. A 16-yard reception by Devin Funchess and a 12-yard run by Stewart then set up Gano's 39-yard field goal, cutting the Panthers deficit to one score at 16–10. The next three drives of the game would end in punts.</t>
  </si>
  <si>
    <t>up to n = 4 (or 216 + 1)</t>
  </si>
  <si>
    <t>social</t>
  </si>
  <si>
    <t>strong and weak</t>
  </si>
  <si>
    <t>disabled the command spacecraft's propulsion and life support</t>
  </si>
  <si>
    <t>Mughal emperors</t>
  </si>
  <si>
    <t>What is the system by which prokaryotes retain phage gene fragments that they have previously come in contact with?</t>
  </si>
  <si>
    <t>In a progressive tax, what increases as the taxable base amount increases?</t>
  </si>
  <si>
    <t>What was Warsaw the most diverse of in Poland?</t>
  </si>
  <si>
    <t>Scottish Parliament</t>
  </si>
  <si>
    <t>Who developed a successful steam engine indicator for Charles Porter?</t>
  </si>
  <si>
    <t xml:space="preserve">When rock folds deep in the Earth it can fold one of two ways, when it buckles upwards it creates what? </t>
  </si>
  <si>
    <t>ABC Circle Films</t>
  </si>
  <si>
    <t>What did Tesla's father originally want him to do?</t>
  </si>
  <si>
    <t>Petitcodiac in 1755 and at Bloody Creek near Annapolis Royal in 1757</t>
  </si>
  <si>
    <t>Tech Coast</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</si>
  <si>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</si>
  <si>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The passage of what act gave Victoria its own government?</t>
  </si>
  <si>
    <t>He had to work at various electrical repair jobs</t>
  </si>
  <si>
    <t>220 miles (350 km)</t>
  </si>
  <si>
    <t>Tuesday afternoon prior to the game</t>
  </si>
  <si>
    <t>the British Isles</t>
  </si>
  <si>
    <t>Which group of ctenophore are are hardest to study?</t>
  </si>
  <si>
    <t>Ilkhanate</t>
  </si>
  <si>
    <t>135 feet long</t>
  </si>
  <si>
    <t>surrounded by a double membrane</t>
  </si>
  <si>
    <t>Exploration</t>
  </si>
  <si>
    <t>What city north of New York was settled by Huguenots?</t>
  </si>
  <si>
    <t>3 days.</t>
  </si>
  <si>
    <t>radius</t>
  </si>
  <si>
    <t>Puente Hills Fault</t>
  </si>
  <si>
    <t>The game's media day, which was typically held on the Tuesday afternoon prior to the game, was moved to the Monday evening and re-branded as Super Bowl Opening Night. The event was held on February 1, 2016 at SAP Center in San Jose. Alongside the traditional media availabilities, the event featured an opening ceremony with player introductions on a replica of the Golden Gate Bridge.</t>
  </si>
  <si>
    <t>Who is Welsh medium education available to?</t>
  </si>
  <si>
    <t>Britain</t>
  </si>
  <si>
    <t>Sea of Japan</t>
  </si>
  <si>
    <t>What type of process was involved the the depletion of the Sun's oxygen 16?</t>
  </si>
  <si>
    <t>over five million</t>
  </si>
  <si>
    <t>complexity measures</t>
  </si>
  <si>
    <t>genetically modified crops</t>
  </si>
  <si>
    <t>to formalize a unified front in trade and negotiations with various Indians</t>
  </si>
  <si>
    <t>How tall was Tesla?</t>
  </si>
  <si>
    <t>Sir Isaac Newton</t>
  </si>
  <si>
    <t>southwestern France</t>
  </si>
  <si>
    <t>von Staupitz</t>
  </si>
  <si>
    <t>What is another word for long, planar igneous intrusions?</t>
  </si>
  <si>
    <t>water, coal, and hydrocarbon extraction</t>
  </si>
  <si>
    <t>What theorem was implicated by Manuel Blum's axioms?</t>
  </si>
  <si>
    <t>8:10 p.m</t>
  </si>
  <si>
    <t>phycobilin</t>
  </si>
  <si>
    <t>sedimentary rocks</t>
  </si>
  <si>
    <t>death ray</t>
  </si>
  <si>
    <t>the Mingo</t>
  </si>
  <si>
    <t>What coalition rose up to oppose Louis XIV's France?</t>
  </si>
  <si>
    <t>What is one general concept that applies to elements of commutative rings?</t>
  </si>
  <si>
    <t>One of the principal advantages the Rankine cycle holds over others is that during the compression stage relatively little work is required to drive the pump, the working fluid being in its liquid phase at this point. By condensing the fluid, the work required by the pump consumes only 1% to 3% of the turbine power and contributes to a much higher efficiency for a real cycle. The benefit of this is lost somewhat due to the lower heat addition temperature. Gas turbines, for instance, have turbine entry temperatures approaching 1500 °C. Nonetheless, the efficiencies of actual large steam cycles and large modern gas turbines are fairly well matched.[citation needed]</t>
  </si>
  <si>
    <t>prevent cut throat competition</t>
  </si>
  <si>
    <t>Madame de Pompadour</t>
  </si>
  <si>
    <t>Monroe Doctrine</t>
  </si>
  <si>
    <t>The Amazon rainforest</t>
  </si>
  <si>
    <t xml:space="preserve">What did Luther need to do to avoid excommunication? </t>
  </si>
  <si>
    <t>able to fund travelers</t>
  </si>
  <si>
    <t>Baptized Members</t>
  </si>
  <si>
    <t>The classification of aspects of the Amazon forest is important for mapping what type of emission?</t>
  </si>
  <si>
    <t>In which two codes were the roles of pharmacists codified?</t>
  </si>
  <si>
    <t>Guilt implies wrong-doing</t>
  </si>
  <si>
    <t>Jin dynasty.</t>
  </si>
  <si>
    <t>Who was sacked as the first half clock expired?</t>
  </si>
  <si>
    <t>What was the third city that was considered?</t>
  </si>
  <si>
    <t>All-Channel Receiver Act</t>
  </si>
  <si>
    <t>Who will be the new executive producer of Doctor Who in 2018?</t>
  </si>
  <si>
    <t>The climate in Newcastle is oceanic (Köppen Cfb) and significantly milder than some other locations in the world at a similar latitude, due to the warming influence of the Gulf Stream (via the North Atlantic Drift). Being in the rain shadow of the North Pennines, it is among the driest cities in the UK. Temperature extremes recorded at Newcastle Weather Centre include 32.5 °C (90.5 °F) during August 1990 down to −12.6 °C (9.3 °F) during January 1982. In contrast to other areas influenced by the Gulf Stream, such as inland Scandinavia, Newcastle has milder winters and cooler summers, similar to the remainder of the British Isles.</t>
  </si>
  <si>
    <t>oil was priced in dollars, oil producers' real income decreased</t>
  </si>
  <si>
    <t>What did he find that could constitute a hazard?</t>
  </si>
  <si>
    <t>not having a residence permit</t>
  </si>
  <si>
    <t>around one hundred</t>
  </si>
  <si>
    <t>Besides rivers, what shapes the sedimentation of the rivers?</t>
  </si>
  <si>
    <t>1835</t>
  </si>
  <si>
    <t>The network has the unusual distinction of having separately owned and operated affiliates which serve the same market in Tampa, Florida (WFTS-TV and WWSB) and Grand Rapids, Michigan (WZZM and WOTV), with an analogous situation arising in Kansas City, Missouri (KMBC-TV and KQTV). KQTV is licensed to St. Joseph, Missouri, which is designated by Nielsen as a separate market from Kansas City despite being located within 55 miles (89 km) of one another, while WWSB and WOTV serve areas that do not receive an adequate signal from their market's primary ABC affiliate (in the case of WWSB, this dates back to when WTSP was Tampa's primary ABC affiliate prior to 1994, with the former being necessitated to serve the southern part of the Tampa market including the station's city of license, Sarasota, due to WTSP's transmitter being short-spaced to avoid interfering with the analog signal of Miami affiliate WPLG – which like WTSP, broadcast on VHF channel 10).</t>
  </si>
  <si>
    <t>What is the name of the river that is completely contained inside Jacksonville?</t>
  </si>
  <si>
    <t>What Dutch document condemned the Spanish Inquisition?</t>
  </si>
  <si>
    <t>holy catholic (or universal) church</t>
  </si>
  <si>
    <t>What tool has measured the amount of dust that travels from the Sahara to the Amazon?</t>
  </si>
  <si>
    <t>the entire diatom endosymbiont as the chloroplast</t>
  </si>
  <si>
    <t>NewcastleGateshead</t>
  </si>
  <si>
    <t>What is sometimes used interchangeably with 'plastids'?</t>
  </si>
  <si>
    <t>Who might be charged with accrediting teacher education programs?</t>
  </si>
  <si>
    <t>The Rhine</t>
  </si>
  <si>
    <t>What is the concept of the visible and invisible Church?</t>
  </si>
  <si>
    <t>Each chapter has a number of authors who are responsible for writing and editing the material. A chapter typically has two "coordinating lead authors", ten to fifteen "lead authors", and a somewhat larger number of "contributing authors".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t>
  </si>
  <si>
    <t>Silicates of magnesium and iron make up of the Earth's ___</t>
  </si>
  <si>
    <t>occupancy permit</t>
  </si>
  <si>
    <t>the Vince Lombardi Trophy</t>
  </si>
  <si>
    <t>a poor harvest</t>
  </si>
  <si>
    <t>The Mongols' extensive West Asian and European contacts</t>
  </si>
  <si>
    <t>Lehramtstudien (Teaching Education Studies)</t>
  </si>
  <si>
    <t>What was the objective of Royal Proclamation of 1763?</t>
  </si>
  <si>
    <t>What day of the week did Shark Tank debut on?</t>
  </si>
  <si>
    <t>unusual resources</t>
  </si>
  <si>
    <t>What style of lace is erroneously believed by some to have Huguenot influence?</t>
  </si>
  <si>
    <t>relationship of the number to its corresponding value of Euler's totient function</t>
  </si>
  <si>
    <t>What type of heritage does Tyneside have?</t>
  </si>
  <si>
    <t>decrease in wages</t>
  </si>
  <si>
    <t>Which hotel did the Panthers stay at for the Super Bowl?</t>
  </si>
  <si>
    <t>How many cinemas are currently housed at one site?</t>
  </si>
  <si>
    <t>Skirmish of the Brick Church</t>
  </si>
  <si>
    <t>The plan that the delegates agreed to was never ratified</t>
  </si>
  <si>
    <t>What term did he use for what he believed would be humanity's future rulers?</t>
  </si>
  <si>
    <t>What is one part of the innate immune system that doesn't attack microbes directly?</t>
  </si>
  <si>
    <t>In what year did Lavoisier publish his work on combustion?</t>
  </si>
  <si>
    <t>1500 °C</t>
  </si>
  <si>
    <t>How many square miles large was the region impacted by the 2010 drought?</t>
  </si>
  <si>
    <t>Around roughly how many students enroll yearly in creative and performing arts classes?</t>
  </si>
  <si>
    <t>Which people brought forward one of the earliest examples of Civil Disobedience?</t>
  </si>
  <si>
    <t>writing</t>
  </si>
  <si>
    <t>What does oxygen cause to form on metals?</t>
  </si>
  <si>
    <t>It was not until January 1518 that friends of Luther translated the 95 Theses from Latin into German and printed and widely copied them, making the controversy one of the first in history to be aided by the printing press. Within two weeks, copies of the theses had spread throughout Germany; within two months, they had spread throughout Europe.</t>
  </si>
  <si>
    <t>During what year were citizens or corporations said to not be able to bring claims against other non state parties?</t>
  </si>
  <si>
    <t>What does not constitute as civil disobedience?</t>
  </si>
  <si>
    <t>Federal safety standards, such as NHTSA Federal Motor Vehicle Safety Standard 215 (pertaining to safety bumpers), and compacts like the 1974 Mustang I were a prelude to the DOT "downsize" revision of vehicle categories. By 1977, GM's full-sized cars reflected the crisis. By 1979, virtually all "full-size" American cars had shrunk, featuring smaller engines and smaller outside dimensions. Chrysler ended production of their full-sized luxury sedans at the end of the 1981 model year, moving instead to a full front-wheel drive lineup for 1982 (except for the M-body Dodge Diplomat/Plymouth Gran Fury and Chrysler New Yorker Fifth Avenue sedans).</t>
  </si>
  <si>
    <t>What did the network install in 1999</t>
  </si>
  <si>
    <t>How populous is Victoria compared to other Australian states?</t>
  </si>
  <si>
    <t>Why were the Uighurs ranked higher by the Mongols?</t>
  </si>
  <si>
    <t>model results</t>
  </si>
  <si>
    <t>about 300–600 nanometers in diameter</t>
  </si>
  <si>
    <t>86 km long</t>
  </si>
  <si>
    <t>Peyton Manning</t>
  </si>
  <si>
    <t>What is the Republic of Kenya named after?</t>
  </si>
  <si>
    <t>Y. pestis</t>
  </si>
  <si>
    <t>named after Queen Victoria and Prince Albert</t>
  </si>
  <si>
    <t>Afrikaans</t>
  </si>
  <si>
    <t>farming</t>
  </si>
  <si>
    <t>How much larger would cicada predator populations be if cicada outbreaks occurred at 14 and 15 year intervals?</t>
  </si>
  <si>
    <t>Who did ABC sell the rights to All My Children and One Life to Live to?</t>
  </si>
  <si>
    <t xml:space="preserve">What kind of images of Luther were used to advertise Protestantism? </t>
  </si>
  <si>
    <t>water-cooled undergarment</t>
  </si>
  <si>
    <t>Which male child of Ghengis Khan and Börte was born last?</t>
  </si>
  <si>
    <t>2:45 a.m.</t>
  </si>
  <si>
    <t>their belief in the validity of the social contract</t>
  </si>
  <si>
    <t>a key requirement for admission to Standard One (First Grade)</t>
  </si>
  <si>
    <t>August 2010</t>
  </si>
  <si>
    <t>Prime_number</t>
  </si>
  <si>
    <t>The Baltimore-Washington Conference of the UMC</t>
  </si>
  <si>
    <t>extremely high</t>
  </si>
  <si>
    <t>How many ways did Luther justify his opposition to revolt?</t>
  </si>
  <si>
    <t>What drama from Aaron Spelling debuted on ABC in the 80s?</t>
  </si>
  <si>
    <t>November 2006</t>
  </si>
  <si>
    <t>police and the armed forces</t>
  </si>
  <si>
    <t>the uprights</t>
  </si>
  <si>
    <t>evenly</t>
  </si>
  <si>
    <t>What battle outside Quebec City did British lose in 1760?</t>
  </si>
  <si>
    <t>Luther was the most widely read author of his generation, and within Germany he acquired the status of a prophet. According to the prevailing view among historians, his anti-Jewish rhetoric contributed significantly to the development of antisemitism in Germany, and in the 1930s and 1940s provided an "ideal underpinning" for the Nazis' attacks on Jews. Reinhold Lewin writes that anybody who "wrote against the Jews for whatever reason believed he had the right to justify himself by triumphantly referring to Luther." According to Michael, just about every anti-Jewish book printed in the Third Reich contained references to and quotations from Luther. Heinrich Himmler wrote admiringly of his writings and sermons on the Jews in 1940. The city of Nuremberg presented a first edition of On the Jews and their Lies to Julius Streicher, editor of the Nazi newspaper Der Stürmer, on his birthday in 1937; the newspaper described it as the most radically anti-Semitic tract ever published. It was publicly exhibited in a glass case at the Nuremberg rallies and quoted in a 54-page explanation of the Aryan Law by Dr. E.H. Schulz and Dr. R. Frercks.</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</si>
  <si>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</si>
  <si>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The Newcastle Beer Festival, organized by CAMRA, takes place in April. In May, Newcastle and Gateshead host the Evolution Festival, a music festival held on the Newcastle and Gateshead Quaysides over the Spring bank holiday, with performances by acts from the world of Rock, Indie and Dance music. The biennial AV Festival of international electronic art, featuring exhibitions, concerts, conferences and film screenings, is held in March. The North East Art Expo, a festival of art and design from the regions professional artists, is held in late May. EAT! NewcastleGateshead, a festival of food and drink, runs for 2 weeks each year in mid June.</t>
  </si>
  <si>
    <t>Cam Newton</t>
  </si>
  <si>
    <t>Which Doctor Who show was cancelled because it was considered racist?</t>
  </si>
  <si>
    <t>When was the FIS founded?</t>
  </si>
  <si>
    <t>What kind of bureaucracy did the Normans institute?</t>
  </si>
  <si>
    <t>Which countries use the green Greek cross as a symbol of pharmacy?</t>
  </si>
  <si>
    <t>lesson plan</t>
  </si>
  <si>
    <t>What was the most important discovery that led to the understanding that Earth's lithosphere is separated into tectonic plates?</t>
  </si>
  <si>
    <t>at most one prime number</t>
  </si>
  <si>
    <t>Which noble helped establish the Huguenot settlement in Saarland?</t>
  </si>
  <si>
    <t>albarellos from the 16th and 17th centuries, old prescription books and antique drugs</t>
  </si>
  <si>
    <t>until the age of 16</t>
  </si>
  <si>
    <t>What Chinese era name did Kublai adopt?</t>
  </si>
  <si>
    <t>slowed the animal's metabolism</t>
  </si>
  <si>
    <t>Where did the first shipment of minerals ship from?</t>
  </si>
  <si>
    <t>ensure that in the interpretation and application of the Treaties the law is observed</t>
  </si>
  <si>
    <t>coin</t>
  </si>
  <si>
    <t>that a delay costs money, and in cases of bottlenecks, the delay can be extremely expensive</t>
  </si>
  <si>
    <t>Müntzer's execution</t>
  </si>
  <si>
    <t>Which group benefited from the funds distributed by the religious charity, al-Haramain Foundation?</t>
  </si>
  <si>
    <t>What was th elast Super Bowl where the Broncos wore white uniforms?</t>
  </si>
  <si>
    <t>frequency and severity of micrometeorite impacts</t>
  </si>
  <si>
    <t>months</t>
  </si>
  <si>
    <t>When did he make the quoted remarks about Super Bowl 50?</t>
  </si>
  <si>
    <t>What nationality was Arthur Woolf?</t>
  </si>
  <si>
    <t>How many companies were part of the Quickbooks contest?</t>
  </si>
  <si>
    <t>When was the Special Report on Managing Risks of Extreme Events and Disasters to Advance Climate Change Adaptation (SREX) issued?</t>
  </si>
  <si>
    <t>What are phytoplankton?</t>
  </si>
  <si>
    <t>What was believed to be the cause of devastation to the civilization?</t>
  </si>
  <si>
    <t>angle is the rotational equivalent for position</t>
  </si>
  <si>
    <t>their inherent difficulty</t>
  </si>
  <si>
    <t>undifferentiated proplastids found in the zygote</t>
  </si>
  <si>
    <t>Class I MHC molecules</t>
  </si>
  <si>
    <t>In the United Kingdom and several other Commonwealth countries including Australia and Canada, the use of the term is generally restricted to primary and secondary educational levels; it is almost never used of universities and other tertiary institutions. Private education in North America covers the whole gamut of educational activity, ranging from pre-school to tertiary level institutions. Annual tuition fees at K-12 schools range from nothing at so called 'tuition-free' schools to more than $45,000 at several New England preparatory schools.</t>
  </si>
  <si>
    <t>What diagrams are used to simplify particle interactions on a fundamental level?</t>
  </si>
  <si>
    <t>V8 and six cylinder engines</t>
  </si>
  <si>
    <t>his arrest was not covered in any newspapers in the days, weeks and months after it happened</t>
  </si>
  <si>
    <t>When did the high school education movement occur?</t>
  </si>
  <si>
    <t>bounding</t>
  </si>
  <si>
    <t>Who won the battle near the Helan mountains?</t>
  </si>
  <si>
    <t>two innermost lipid-bilayer membranes</t>
  </si>
  <si>
    <t>On what day was Super Bowl Opening Night held?</t>
  </si>
  <si>
    <t>The 2005 version of Doctor Who is a direct plot continuation of the original 1963–1989 series[note 2] and the 1996 telefilm. This is similar to the 1988 continuation of Mission Impossible, but differs from most other series relaunches which have either been reboots (for example, Battlestar Galactica and Bionic Woman[citation needed]) or set in the same universe as the original but in a different time period and with different characters (for example, Star Trek: The Next Generation and spin-offs[citation needed]).</t>
  </si>
  <si>
    <t>When did the NFL announce that it would not use Roman numbers to designate the Super Bowl number?</t>
  </si>
  <si>
    <t>When was Rhineland subject to the Treaty of Versailles?</t>
  </si>
  <si>
    <t>counterflow</t>
  </si>
  <si>
    <t>What did this agreement do?</t>
  </si>
  <si>
    <t>a week</t>
  </si>
  <si>
    <t>Since the creation of the Doctor Who character by BBC Television in the early 1960s, a myriad of stories have been published about Doctor Who, in different media: apart from the actual television episodes that continue to be produced by the BBC, there have also been novels, comics, short stories, audio books, radio plays, interactive video games, game books, webcasts, DVD extras, and even stage performances. In this respect it is noteworthy that the BBC takes no position on the canonicity of any of such stories, and producers of the show have expressed distaste for the idea.</t>
  </si>
  <si>
    <t>World War II</t>
  </si>
  <si>
    <t>1995–96 season</t>
  </si>
  <si>
    <t>the Nikola Tesla Museum</t>
  </si>
  <si>
    <t>When was the Russian Policy "Indigenization" defunded?</t>
  </si>
  <si>
    <t>What type of algorithm is trial division?</t>
  </si>
  <si>
    <t>a third group of pigments</t>
  </si>
  <si>
    <t>What motivation is opportunity-based entrepreneurship driven by?</t>
  </si>
  <si>
    <t>43</t>
  </si>
  <si>
    <t>Courts have distinguished between two types of civil disobedience: "Indirect civil disobedience involves violating a law which is not, itself, the object of protest, whereas direct civil disobedience involves protesting the existence of a particular law by breaking that law." During the Vietnam War, courts typically refused to excuse the perpetrators of illegal protests from punishment on the basis of their challenging the legality of the Vietnam War; the courts ruled it was a political question. The necessity defense has sometimes been used as a shadow defense by civil disobedients to deny guilt without denouncing their politically motivated acts, and to present their political beliefs in the courtroom. However, court cases such as U.S. v. Schoon have greatly curtailed the availability of the political necessity defense. Likewise, when Carter Wentworth was charged for his role in the Clamshell Alliance's 1977 illegal occupation of the Seabrook Station Nuclear Power Plant, the judge instructed the jury to disregard his competing harms defense, and he was found guilty. Fully Informed Jury Association activists have sometimes handed out educational leaflets inside courthouses despite admonitions not to; according to FIJA, many of them have escaped prosecution because "prosecutors have reasoned (correctly) that if they arrest fully informed jury leafleters, the leaflets will have to be given to the leafleter's own jury as evidence."</t>
  </si>
  <si>
    <t>What was Michael Eisner's main credit in his time at ABC?</t>
  </si>
  <si>
    <t>What describes the proportionality of acceleration to force and mass?</t>
  </si>
  <si>
    <t>grounded</t>
  </si>
  <si>
    <t>60's</t>
  </si>
  <si>
    <t>anti-communist fervor</t>
  </si>
  <si>
    <t>Where is the upper canal regulation of the Rhine?</t>
  </si>
  <si>
    <t>Tesla went on to pursue his ideas of wireless lighting and electricity distribution in his high-voltage, high-frequency power experiments in New York and Colorado Springs, and made early (1893) pronouncements on the possibility of wireless communication with his devices. He tried to put these ideas to practical use in an ill-fated attempt at intercontinental wireless transmission, his unfinished Wardenclyffe Tower project. In his lab he also conducted a range of experiments with mechanical oscillators/generators, electrical discharge tubes, and early X-ray imaging. He also built a wireless controlled boat, one of the first ever exhibited.</t>
  </si>
  <si>
    <t>What is different about Paulinella chromatophora?</t>
  </si>
  <si>
    <t>chastity</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</si>
  <si>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</si>
  <si>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1,600</t>
  </si>
  <si>
    <t>How many did this epidemic in China kill?</t>
  </si>
  <si>
    <t>Thames River</t>
  </si>
  <si>
    <t>it would undermine the law by encouraging general disobedience</t>
  </si>
  <si>
    <t>What are examples of differentiated effector cells that peak during wake periods?</t>
  </si>
  <si>
    <t>The alga Cyanophora, a glaucophyte, is thought to be one of the first organisms to contain a chloroplast. The glaucophyte chloroplast group is the smallest of the three primary chloroplast lineages, being found in only 13 species, and is thought to be the one that branched off the earliest. Glaucophytes have chloroplasts that retain a peptidoglycan wall between their double membranes, like their cyanobacterial parent. For this reason, glaucophyte chloroplasts are also known as muroplasts. Glaucophyte chloroplasts also contain concentric unstacked thylakoids, which surround a carboxysome - an icosahedral structure that glaucophyte chloroplasts and cyanobacteria keep their carbon fixation enzyme rubisco in. The starch that they synthesize collects outside the chloroplast. Like cyanobacteria, glaucophyte chloroplast thylakoids are studded with light collecting structures called phycobilisomes. For these reasons, glaucophyte chloroplasts are considered a primitive intermediate between cyanobacteria and the more evolved chloroplasts in red algae and plants.</t>
  </si>
  <si>
    <t>Which article of the Treaty on European Union states that Commissioners should be completely independent and not take instructions from any Government?</t>
  </si>
  <si>
    <t>Structural</t>
  </si>
  <si>
    <t>holds Luther accountable</t>
  </si>
  <si>
    <t>petrographic</t>
  </si>
  <si>
    <t>outcome of most votes</t>
  </si>
  <si>
    <t>How many miles south of Edinburgh is Newcastle?</t>
  </si>
  <si>
    <t>Who ordered the Stern Review?</t>
  </si>
  <si>
    <t>What does Luther's hymn Christ unser Herr zum jordan kam concern?</t>
  </si>
  <si>
    <t>rendezvous</t>
  </si>
  <si>
    <t>What percentage of oxygen will a zeolite sieve produce?</t>
  </si>
  <si>
    <t>What is the largest co-ed independent school in Newcastle?</t>
  </si>
  <si>
    <t>What is the name of the American writer and satirist who is also a university alumni?</t>
  </si>
  <si>
    <t>Colony of Victoria Act 1855</t>
  </si>
  <si>
    <t>shrinking Western demand</t>
  </si>
  <si>
    <t>APCs</t>
  </si>
  <si>
    <t>early twentieth century homes</t>
  </si>
  <si>
    <t>The United Methodist Church</t>
  </si>
  <si>
    <t>owner of the property</t>
  </si>
  <si>
    <t>Oxygen</t>
  </si>
  <si>
    <t>The Weavers</t>
  </si>
  <si>
    <t>an ignition event</t>
  </si>
  <si>
    <t>Genghis Khan's grandson Batu</t>
  </si>
  <si>
    <t>unfair laws</t>
  </si>
  <si>
    <t>1892</t>
  </si>
  <si>
    <t>half as much coal</t>
  </si>
  <si>
    <t>The invasion failed both militarily and politically</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</si>
  <si>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</si>
  <si>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What modern-day country was Tesla born in?</t>
  </si>
  <si>
    <t>Rice</t>
  </si>
  <si>
    <t>What does Salafism in its harshest form encourage its followers to view the religion of others with?</t>
  </si>
  <si>
    <t>What are the tentacles of cydipped ctenophores are usually fringed with?</t>
  </si>
  <si>
    <t>Why did al-Qaeda tell ISIL to take a hike?</t>
  </si>
  <si>
    <t>What river is located in the vicinity of the school?</t>
  </si>
  <si>
    <t>ought to live</t>
  </si>
  <si>
    <t>western portions of the Great Lakes region</t>
  </si>
  <si>
    <t>ignored the warning.</t>
  </si>
  <si>
    <t>First Law</t>
  </si>
  <si>
    <t>What does political pressure push to extend to compensate for stagnating purchasing power?</t>
  </si>
  <si>
    <t>In which case was it held that the provisions of the treaties are directly effective if they are clear, unconditional, and don't require further action by EU or national authorities?</t>
  </si>
  <si>
    <t>How many divisions comprised Genghis Khan's army in Khwarezmia?</t>
  </si>
  <si>
    <t>How much gun powder was destroyed in attack?</t>
  </si>
  <si>
    <t>Which Mongolian word meaning wide-spreading may have contributed to the appellation Genghis?</t>
  </si>
  <si>
    <t>analysis of algorithms</t>
  </si>
  <si>
    <t>Leonard Goldenson, the president of UPT (which sought to diversify itself at the time), approached Noble in 1951 on a proposal for UPT to purchase ABC. Noble received other offers, including one from CBS founder William S. Paley; however, a merger with CBS would have forced that network to sell its New York City and Los Angeles stations at the very least. Goldenson and Noble reached a tentative agreement in the late spring of 1951 in which UPT would acquire ABC and turn it into a subsidiary of the company that would retain autonomy in its management. On June 6, 1951, the tentative agreement was approved by UPT's board of directors. However, the transaction had to be approved by the FCC because of the presence of television networks and the recent separation between Paramount and UPT. Insofar as Paramount Pictures was already a shareholder in the DuMont Television Network, the FCC conducted a series of hearings to ensure whether Paramount was truly separated from United Paramount Theatres, and whether it was violating antitrust laws.</t>
  </si>
  <si>
    <t>What have studies on income inequality sometimes found evidence confirming?</t>
  </si>
  <si>
    <t>Constitutional impasse is different from civil disobedience because does not include what type of person?</t>
  </si>
  <si>
    <t>Francisco de Orellana</t>
  </si>
  <si>
    <t>abolition of the Ottoman Caliphate</t>
  </si>
  <si>
    <t>Which area of Khwarezmia did the first and second divisions of the Mongol army target in a pincer attack?</t>
  </si>
  <si>
    <t>owner</t>
  </si>
  <si>
    <t>What is the prophecy in Daniel that interested Luther?</t>
  </si>
  <si>
    <t>Is the focus on spiritual mentorship in Hinduism high or low?</t>
  </si>
  <si>
    <t>remain silent</t>
  </si>
  <si>
    <t>2 millimeters (0.079 in)</t>
  </si>
  <si>
    <t>What does ATP synthase change into ATP?</t>
  </si>
  <si>
    <t>Who was designated as the home team in the Super Bowl?</t>
  </si>
  <si>
    <t>In what year did ABC stylize it's logo as abc?</t>
  </si>
  <si>
    <t>Mark Woods</t>
  </si>
  <si>
    <t>What caused the separation of the Methodists in the American colonies?</t>
  </si>
  <si>
    <t>Who objected to Tetzel's collections of money to free souls from purgatory?</t>
  </si>
  <si>
    <t>What does a U.S. census report state that even after other factors there still exists this between earnings of men and women?</t>
  </si>
  <si>
    <t>computability theory</t>
  </si>
  <si>
    <t>What was Germany's central interest?</t>
  </si>
  <si>
    <t>The 2005 version of Doctor Who</t>
  </si>
  <si>
    <t>24-year tenure.</t>
  </si>
  <si>
    <t>application of electricity</t>
  </si>
  <si>
    <t>What does the Secret History say Genghis Khan was doing when he sustained his mortal injuries?</t>
  </si>
  <si>
    <t>John Vanderbank</t>
  </si>
  <si>
    <t>What did Luther get implicated in concerning Philip I?</t>
  </si>
  <si>
    <t>What is another general name for a religious teacher?</t>
  </si>
  <si>
    <t>Leonardo da Vinci</t>
  </si>
  <si>
    <t>How many passengers per year does Newcastle's airport handle?</t>
  </si>
  <si>
    <t>"zip" the mouth shut when the animal is not feeding</t>
  </si>
  <si>
    <t>with a cangue, a sort of portable stocks</t>
  </si>
  <si>
    <t>unjust forms of authority</t>
  </si>
  <si>
    <t>Murray Gold and Ben Foster</t>
  </si>
  <si>
    <t>roughly 80%</t>
  </si>
  <si>
    <t>at least four passengers</t>
  </si>
  <si>
    <t>Bills</t>
  </si>
  <si>
    <t>Where did the spring meetings of the NFL owners take place?</t>
  </si>
  <si>
    <t>The "Big Five"</t>
  </si>
  <si>
    <t>paying his rent</t>
  </si>
  <si>
    <t>When did the series of strikes happen?</t>
  </si>
  <si>
    <t>Ed Whitfield</t>
  </si>
  <si>
    <t>medieval</t>
  </si>
  <si>
    <t>John and Charles Wesley in England</t>
  </si>
  <si>
    <t>What did Luther call the mass instead of sacrifice?</t>
  </si>
  <si>
    <t>Christianity</t>
  </si>
  <si>
    <t>5-cylinder</t>
  </si>
  <si>
    <t>When was the prime number theorem proven?</t>
  </si>
  <si>
    <t>What is economic liberalism one of the causes of?</t>
  </si>
  <si>
    <t>In what process are electrons recycled?</t>
  </si>
  <si>
    <t>What Doctor Who story from 1970 is available on Blu-ray?</t>
  </si>
  <si>
    <t>Economist Joseph Stiglitz argues that rather than explaining concentrations of wealth and income, market forces should serve as a brake on such concentration, which may better be explained by the non-market force known as "rent-seeking". While the market will bid up compensation for rare and desired skills to reward wealth creation, greater productivity, etc., it will also prevent successful entrepreneurs from earning excess profits by fostering competition to cut prices, profits and large compensation. A better explainer of growing inequality, according to Stiglitz, is the use of political power generated by wealth by certain groups to shape government policies financially beneficial to them. This process, known to economists as rent-seeking, brings income not from creation of wealth but from "grabbing a larger share of the wealth that would otherwise have been produced without their effort"</t>
  </si>
  <si>
    <t>When did France take control of Algeria?</t>
  </si>
  <si>
    <t>What did all three cathedrals in Newcastle begin their existence as?</t>
  </si>
  <si>
    <t>Maududi was trained as a lawyer, but chose what professional for himself instead?</t>
  </si>
  <si>
    <t>Goldenson proposed a merger between UPT and what network in October 1954?</t>
  </si>
  <si>
    <t>preventive</t>
  </si>
  <si>
    <t>Jews</t>
  </si>
  <si>
    <t>Where did France win a war in the 1950's</t>
  </si>
  <si>
    <t>by conquering the other state's lands</t>
  </si>
  <si>
    <t>important</t>
  </si>
  <si>
    <t>other locations throughout Scotland</t>
  </si>
  <si>
    <t>port's trade</t>
  </si>
  <si>
    <t>Muqali</t>
  </si>
  <si>
    <t>Who did Tesla refuse to see following the accident?</t>
  </si>
  <si>
    <t>Charles-Ferdinand University</t>
  </si>
  <si>
    <t>spiritus nitroaereus</t>
  </si>
  <si>
    <t>Nafzger</t>
  </si>
  <si>
    <t>What did Jamukha request from Temüjin instead of friendship?</t>
  </si>
  <si>
    <t>What island does the cold water flow of the Rhine and Lake Constance flow to?</t>
  </si>
  <si>
    <t>the War Doctor</t>
  </si>
  <si>
    <t>What happened to the Apollo program in for the rest of 1970 after the incident regarding Apollo 13?</t>
  </si>
  <si>
    <t>"Super Bowl City</t>
  </si>
  <si>
    <t>What venue hosted Super Bowl Opening Night?</t>
  </si>
  <si>
    <t>Who was Edward the Confessor's half-brother?</t>
  </si>
  <si>
    <t>Whose wall has fragments visible in places around Newcastle even today?</t>
  </si>
  <si>
    <t>How was the efficiency of a steam engine typically evaluated?</t>
  </si>
  <si>
    <t>What material's weight gain during rusting was an early clue that philogiston theory was wrong?</t>
  </si>
  <si>
    <t>(Roman) Catholic, (Eastern) Orthodox Catholic, and Protestant/Non-Denominational</t>
  </si>
  <si>
    <t>What other terminology is considered much more destructive?</t>
  </si>
  <si>
    <t>FMCG manufacturing</t>
  </si>
  <si>
    <t>The General Conference</t>
  </si>
  <si>
    <t>When did Doctor Who win an award for Best Drama Series?</t>
  </si>
  <si>
    <t>cellular respiration</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</si>
  <si>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</si>
  <si>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Sports programming is also provided on some weekend afternoons at any time from 12:00 to 6:00 p.m. Eastern Time (9:00 a.m. to 3:00 p.m. Pacific) and, during college football season, during prime time on Saturday nights as part of the Saturday Night Football package. Due to the erratic and (outside of college football season) highly inconsistent scheduling of sports programming on weekend afternoons since ESPN took over responsibilities for ABC's sports division in 2006, ABC carries the ESPN Sports Saturday block on Saturday late afternoons (featuring various ESPN-produced documentaries), and on Sundays either encores of primetime reality series, cancelled series being burned off that had no room on the primetime schedule, occasional theatrical films which were acquired by the network in the early to mid-2000s that no longer have a primetime slot to air in or more recently, figure skating and gymnastics specials supplied by Disson Skating, when no sports telecasts are scheduled, usually airing between 4:00 and 6:00 p.m. Eastern and Pacific Time. During the summer, ABC airs ESPN-produced highlight compilation programs for The Open Championship golf and The Wimbledon tennis tournaments to provide some presence for both events on American broadcast television. ABC also carries various X Games weekend events not broadcast by ESPN. ABC airs NBA games on Sundays, normally starting in January as "NBA Sunday Showcase" during the regular season, and shows Christmas Day games, regularly between 2–7 PM ET, and NBA playoff games during the weekends, and exclusive rights to the NBA Finals.</t>
  </si>
  <si>
    <t>red algal chloroplast lineage</t>
  </si>
  <si>
    <t>What do some believe the Treaty of Versailles assisted in?</t>
  </si>
  <si>
    <t>According to the theory, what does the name "Huguenot" mean?</t>
  </si>
  <si>
    <t>he is announced a winner</t>
  </si>
  <si>
    <t>1 September 1939</t>
  </si>
  <si>
    <t>What system did Tesla recommend to Niagara Falls in 1893?</t>
  </si>
  <si>
    <t>as parish churches</t>
  </si>
  <si>
    <t>How do socialists think the means of production should be owned?</t>
  </si>
  <si>
    <t>George, Margrave of Brandenburg-Ansbach</t>
  </si>
  <si>
    <t>linen</t>
  </si>
  <si>
    <t>When did the logo bug begin appearing throughout the entire program for ABC shows?</t>
  </si>
  <si>
    <t>Tesla was asocial and prone to seclude himself with his work. However, when he did engage in a social life, many people spoke very positively and admiringly of Tesla. Robert Underwood Johnson described him as attaining a "distinguished sweetness, sincerity, modesty, refinement, generosity, and force." His loyal secretary, Dorothy Skerrit, wrote: "his genial smile and nobility of bearing always denoted the gentlemanly characteristics that were so ingrained in his soul." Tesla's friend, Julian Hawthorne, wrote, "seldom did one meet a scientist or engineer who was also a poet, a philosopher, an appreciator of fine music, a linguist, and a connoisseur of food and drink.":80</t>
  </si>
  <si>
    <t>potential drug interactions</t>
  </si>
  <si>
    <t>When did the European Council task an entity with drafting a European Charter of Human Rights?</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</si>
  <si>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</si>
  <si>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How long was the first audio of a Doctor Who story?</t>
  </si>
  <si>
    <t>strict discipline</t>
  </si>
  <si>
    <t>representatives elected to either house of parliament</t>
  </si>
  <si>
    <t>What parts of the original Catholic mass did Luther leave out of  his new mass?</t>
  </si>
  <si>
    <t>How many divisions was ABC radio restructured into in 2005?</t>
  </si>
  <si>
    <t>What was Warsaw's Old Town listed as in 1980?</t>
  </si>
  <si>
    <t>the Gaulish name Rēnos</t>
  </si>
  <si>
    <t>What was the name for the imaging campaign ABC began in 2007?</t>
  </si>
  <si>
    <t>The embargo was not uniform across Europe. Of the nine members of the European Economic Community (EEC), the Netherlands faced a complete embargo, the UK and France received almost uninterrupted supplies (having refused to allow America to use their airfields and embargoed arms and supplies to both the Arabs and the Israelis), while the other six faced partial cutbacks. The UK had traditionally been an ally of Israel, and Harold Wilson's government supported the Israelis during the Six-Day War. His successor, Ted Heath, reversed this policy in 1970, calling for Israel to withdraw to its pre-1967 borders.</t>
  </si>
  <si>
    <t>When was the Upper Rhine sold to Burgundy?</t>
  </si>
  <si>
    <t>What kind of facility was Wardenclyffe?</t>
  </si>
  <si>
    <t>At what age do immune responses typically begin to decline?</t>
  </si>
  <si>
    <t>The perceived British policy of being hands off of its Muslim population has resulted in what derogatory term for London?</t>
  </si>
  <si>
    <t>nearly $41 trillion</t>
  </si>
  <si>
    <t>ultraviolet</t>
  </si>
  <si>
    <t>What type of locomotive was Salamanca?</t>
  </si>
  <si>
    <t>stationary</t>
  </si>
  <si>
    <t>St. Elizabeth's flood</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</si>
  <si>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</si>
  <si>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a caliphate</t>
  </si>
  <si>
    <t>Which is more costly, formal, or informal imperialism?</t>
  </si>
  <si>
    <t>a third group of pigments found in cyanobacteria, and glaucophyte, red algal, and cryptophyte chloroplasts</t>
  </si>
  <si>
    <t>How much water does the Aare give to the Rhine?</t>
  </si>
  <si>
    <t>French irregular forces</t>
  </si>
  <si>
    <t>On May 1, 1953, ABC's New York City flagship stations – WJZ, WJZ-FM and WJZ-TV – changed their respective callsigns to WABC, WABC-FM and WABC-TV, and moved their operations to facilities at 7 West 66th Street, one block away from Central Park. The WABC call letters were previously used by the flagship station of CBS Radio (now WCBS (AM)) until 1946. The WJZ calls would later be reassigned to the then-ABC affiliate in Baltimore in 1959, in an historical nod to the fact that WJZ was originally established by the Baltimore station's owner at the time, Westinghouse.</t>
  </si>
  <si>
    <t>Newcastle and Gateshead</t>
  </si>
  <si>
    <t>the Charter of Fundamental Rights of the European Union</t>
  </si>
  <si>
    <t>local-global principle</t>
  </si>
  <si>
    <t>when the present amount of funding cannot cover the current costs for labour and materials</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</si>
  <si>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</si>
  <si>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t>
  </si>
  <si>
    <t>2,900 kilometres</t>
  </si>
  <si>
    <t>Magnetophon tape recorder</t>
  </si>
  <si>
    <t>those involving orogenic wedges</t>
  </si>
  <si>
    <t>How much was the 1994 earthquake estimated to have cost?</t>
  </si>
  <si>
    <t>What type of discipline do critics want to see?</t>
  </si>
  <si>
    <t>Who does history view as accountable for the error Philip I made and Luther's advice in the matter?</t>
  </si>
  <si>
    <t>angina</t>
  </si>
  <si>
    <t>Ediacaran period</t>
  </si>
  <si>
    <t>Medical University of Warsaw</t>
  </si>
  <si>
    <t>Tesla invented a steam-powered mechanical oscillator—Tesla's oscillator. While experimenting with mechanical oscillators at his Houston Street lab, Tesla allegedly generated a resonance of several buildings. As the speed grew, it is said that the machine oscillated at the resonance frequency of his own building and, belatedly realizing the danger, he was forced to use a sledge hammer to terminate the experiment, just as the police arrived.:162–164 In February 1912, an article—"Nikola Tesla, Dreamer" by Allan L. Benson—was published in World Today, in which an artist's illustration appears showing the entire earth cracking in half with the caption, "Tesla claims that in a few weeks he could set the earth's crust into such a state of vibration that it would rise and fall hundreds of feet and practically destroy civilization. A continuation of this process would, he says, eventually split the earth in two."</t>
  </si>
  <si>
    <t>detention</t>
  </si>
  <si>
    <t>Since ~3000 yr BP (= years Before Present), human impact is seen in the delta. As a result of increasing land clearance (Bronze Age agriculture), in the upland areas (central Germany), the sediment load of the Rhine has strongly increased and delta growth has sped up. This caused increased flooding and sedimentation, ending peat formation in the delta. The shifting of river channels to new locations, on the floodplain (termed avulsion), was the main process distributing sediment across the subrecent delta. Over the past 6000 years, approximately 80 avulsions have occurred. Direct human impact in the delta started with peat mining, for salt and fuel, from Roman times onward. This was followed by embankment, of the major distributaries and damming of minor distributaries, which took place in the 11–13th century AD. Thereafter, canals were dug, bends were short cut and groynes were built, to prevent the river's channels from migrating or silting up.</t>
  </si>
  <si>
    <t>What is the increased rates of self-employment based on?</t>
  </si>
  <si>
    <t>Who designed and sculpted the marble fireplace in the Centre Refreshment Room?</t>
  </si>
  <si>
    <t>by experience</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</si>
  <si>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</si>
  <si>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What field involves the study of the immune system?</t>
  </si>
  <si>
    <t>When did the Yuan begin using bronze printing plates for its money?</t>
  </si>
  <si>
    <t>lipid-bilayer membranes</t>
  </si>
  <si>
    <t>confirmation and sometimes the profession of faith</t>
  </si>
  <si>
    <t>Wahhabism</t>
  </si>
  <si>
    <t>The first geological map of the U.S. was produced in 1809 by William Maclure. In 1807, Maclure commenced the self-imposed task of making a geological survey of the United States. Almost every state in the Union was traversed and mapped by him, the Allegheny Mountains being crossed and recrossed some 50 times. The results of his unaided labours were submitted to the American Philosophical Society in a memoir entitled Observations on the Geology of the United States explanatory of a Geological Map, and published in the Society's Transactions, together with the nation's first geological map. This antedates William Smith's geological map of England by six years, although it was constructed using a different classification of rocks.</t>
  </si>
  <si>
    <t>first set of endosymbiotic events</t>
  </si>
  <si>
    <t>If Roman numerals were used, what would Super Bowl 50 have been called?</t>
  </si>
  <si>
    <t>two thousand people</t>
  </si>
  <si>
    <t>General Amherst</t>
  </si>
  <si>
    <t>Who do clinical pharmacists work with much of the time?</t>
  </si>
  <si>
    <t>recurring</t>
  </si>
  <si>
    <t>Imperial Academy of Medicine</t>
  </si>
  <si>
    <t>infinitely</t>
  </si>
  <si>
    <t>The Calvin cycle starts by using the enzyme Rubisco to fix CO2 into five-carbon Ribulose bisphosphate (RuBP) molecules. The result is unstable six-carbon molecules that immediately break down into three-carbon molecules called 3-phosphoglyceric acid, or 3-PGA. The ATP and NADPH made in the light reactions is used to convert the 3-PGA into glyceraldehyde-3-phosphate, or G3P sugar molecules. Most of the G3P molecules are recycled back into RuBP using energy from more ATP, but one out of every six produced leaves the cycle—the end product of the dark reactions.</t>
  </si>
  <si>
    <t>several private and public railway operators</t>
  </si>
  <si>
    <t>Interactive</t>
  </si>
  <si>
    <t>How many times had Thomas Davis torn his ACL in his career?</t>
  </si>
  <si>
    <t>alcohol and nightclubs</t>
  </si>
  <si>
    <t>torn ACL</t>
  </si>
  <si>
    <t>To which year is the Becket Casket dated?</t>
  </si>
  <si>
    <t>to distract Montcalm</t>
  </si>
  <si>
    <t>east-west</t>
  </si>
  <si>
    <t>What influences chloroplasts' behavior?</t>
  </si>
  <si>
    <t>explaining their actions</t>
  </si>
  <si>
    <t>Labor</t>
  </si>
  <si>
    <t>The title of the digitization project was a reference to which artist?</t>
  </si>
  <si>
    <t>anorthite</t>
  </si>
  <si>
    <t>mercuric oxide</t>
  </si>
  <si>
    <t>What format is ABC's master feed transmitted in?</t>
  </si>
  <si>
    <t>Who calculated the speed of light?</t>
  </si>
  <si>
    <t>US President Barack Obama</t>
  </si>
  <si>
    <t>from the 12th to 16th</t>
  </si>
  <si>
    <t>the Temperance Movement</t>
  </si>
  <si>
    <t>Who is the quarterback for the Panthers?</t>
  </si>
  <si>
    <t>Command/Service Module (</t>
  </si>
  <si>
    <t>the 2013 Christmas special "The Time of the Doctor"</t>
  </si>
  <si>
    <t>In what year was the Great Internet Mersenne Prime Search project conducted?</t>
  </si>
  <si>
    <t>What is the term for wind-blown dust in a tundra?</t>
  </si>
  <si>
    <t>Haeckelia prey mostly on what animal?</t>
  </si>
  <si>
    <t>church conference</t>
  </si>
  <si>
    <t>concern</t>
  </si>
  <si>
    <t>Who designed the Sage Gateshead music center?</t>
  </si>
  <si>
    <t>How many ABC music stations were owned-and-operated in 1968?</t>
  </si>
  <si>
    <t>the "hockey stick graph"</t>
  </si>
  <si>
    <t>S.W.A.T.</t>
  </si>
  <si>
    <t>French Huguenot explorer Jean Ribault charted the St. Johns River in 1562 calling it the River of May because he discovered it in May. Ribault erected a stone column near present-day Jacksonville claiming the newly discovered land for France. In 1564, René Goulaine de Laudonnière established the first European settlement, Fort Caroline, on the St. Johns near the main village of the Saturiwa. Philip II of Spain ordered Pedro Menéndez de Avilés to protect the interest of Spain by attacking the French presence at Fort Caroline. On September 20, 1565, a Spanish force from the nearby Spanish settlement of St. Augustine attacked Fort Caroline, and killed nearly all the French soldiers defending it. The Spanish renamed the fort San Mateo, and following the ejection of the French, St. Augustine's position as the most important settlement in Florida was solidified. The location of Fort Caroline is subject to debate but a reconstruction of the fort was established on the St. Johns River in 1964.</t>
  </si>
  <si>
    <t>not recorded</t>
  </si>
  <si>
    <t>during the compression stage relatively little work is required to drive the pump</t>
  </si>
  <si>
    <t>What minor amount of liquid oxygen was produced by early French experimenters?</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</si>
  <si>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</si>
  <si>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spring of 1349</t>
  </si>
  <si>
    <t>What years did Doctor Who win five consecutive awards?</t>
  </si>
  <si>
    <t>Prime numbers have influenced many artists and writers. The French composer Olivier Messiaen used prime numbers to create ametrical music through "natural phenomena". In works such as La Nativité du Seigneur (1935) and Quatre études de rythme (1949–50), he simultaneously employs motifs with lengths given by different prime numbers to create unpredictable rhythms: the primes 41, 43, 47 and 53 appear in the third étude, "Neumes rythmiques". According to Messiaen this way of composing was "inspired by the movements of nature, movements of free and unequal durations".</t>
  </si>
  <si>
    <t>There have been subsequent claims by Tesla biographers that Edison and Tesla were the original recipients and that neither was given the award because of their animosity toward each other; that each sought to minimize the other's achievements and right to win the award; that both refused ever to accept the award if the other received it first; that both rejected any possibility of sharing it; and even that a wealthy Edison refused it to keep Tesla from getting the $20,000 prize money.:245</t>
  </si>
  <si>
    <t>various disciplines of pharmacy</t>
  </si>
  <si>
    <t>Kony Ealy</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</si>
  <si>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</si>
  <si>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What were the annual carriage fees for the channels?</t>
  </si>
  <si>
    <t>At the time of its formation, how many congregations did the UMC have?</t>
  </si>
  <si>
    <t>Monday Night Football</t>
  </si>
  <si>
    <t>demographics and economic ties</t>
  </si>
  <si>
    <t>machine gun</t>
  </si>
  <si>
    <t>nearly 60,000</t>
  </si>
  <si>
    <t>What tool is used in corporal punishment?</t>
  </si>
  <si>
    <t>steamboats</t>
  </si>
  <si>
    <t>What are some existing facilities?</t>
  </si>
  <si>
    <t>pharmaceutical care or clinical pharmacy</t>
  </si>
  <si>
    <t>How many BAFTA Cymru Awards has Doctor Who received?</t>
  </si>
  <si>
    <t>As opposed to broadcasts of primetime series, CBS broadcast special episodes of its late night talk shows as its lead-out programs for Super Bowl 50, beginning with a special episode of The Late Show with Stephen Colbert following the game. Following a break for late local programming, CBS also aired a special episode of The Late Late Show with James Corden.</t>
  </si>
  <si>
    <t>When was the 8-4-4 system launched?</t>
  </si>
  <si>
    <t>Who was Ayurbarwada's son?</t>
  </si>
  <si>
    <t>What did ABC contribute to the 20th anniversary special?</t>
  </si>
  <si>
    <t>Sultan Muhammad was already dead in 1223</t>
  </si>
  <si>
    <t>What does the outside of the Tardis resemble?</t>
  </si>
  <si>
    <t>government officials and climate change experts</t>
  </si>
  <si>
    <t>communication</t>
  </si>
  <si>
    <t>Who did the Normans team up with in Anatolia?</t>
  </si>
  <si>
    <t>deep-level tunnels</t>
  </si>
  <si>
    <t>833,500</t>
  </si>
  <si>
    <t>end of the Mexican War</t>
  </si>
  <si>
    <t>high demand</t>
  </si>
  <si>
    <t>arrow wound</t>
  </si>
  <si>
    <t>in 1846 who's natural history lectures were acclaimed in New York and Harvard?</t>
  </si>
  <si>
    <t xml:space="preserve">What is the major tributary for the Rhine? </t>
  </si>
  <si>
    <t>Stalin was hostile to the idea of an independent Poland</t>
  </si>
  <si>
    <t>CBSE</t>
  </si>
  <si>
    <t>indigenous</t>
  </si>
  <si>
    <t>How much area does the University Library garden cover?</t>
  </si>
  <si>
    <t>as gluons</t>
  </si>
  <si>
    <t>most abundant</t>
  </si>
  <si>
    <t>purple skin patches</t>
  </si>
  <si>
    <t>phosphorylate adenosine diphosphate</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</si>
  <si>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1973–1974 largely returned their prices and corresponding incomes to Bretton Woods levels in terms of commodities such as gold.</t>
  </si>
  <si>
    <t>Who was made Governor of Samarqand?</t>
  </si>
  <si>
    <t>Which husband and wife modern furniture design team are represented in the V&amp;A furniture collection?</t>
  </si>
  <si>
    <t>infinitely many</t>
  </si>
  <si>
    <t>Roughly, how much oxygen makes up the Earth crust?</t>
  </si>
  <si>
    <t>What Mongolian system did Kublai's government compromise with?</t>
  </si>
  <si>
    <t>Who was an important early figure in the Islamic revival in India?</t>
  </si>
  <si>
    <t>the dinophyte nucleus</t>
  </si>
  <si>
    <t>life on Tyneside,</t>
  </si>
  <si>
    <t>What has the increase of prices caused?</t>
  </si>
  <si>
    <t>What was one of the Norman's major exports?</t>
  </si>
  <si>
    <t>Ethiopian Empire</t>
  </si>
  <si>
    <t>What was part of the aftermath of the elections in 2007?</t>
  </si>
  <si>
    <t>Civil Rights Movement</t>
  </si>
  <si>
    <t xml:space="preserve">In what century was quantum mechanics made? </t>
  </si>
  <si>
    <t>What does CBD stand for?</t>
  </si>
  <si>
    <t>What are stators attached to?</t>
  </si>
  <si>
    <t>substantial portion of Central Asia and China</t>
  </si>
  <si>
    <t>around 200–300</t>
  </si>
  <si>
    <t>Swynnerton Plan</t>
  </si>
  <si>
    <t>Where is the mouth located on the pleuobrachia located?</t>
  </si>
  <si>
    <t>Who was the new elector of Saxony?</t>
  </si>
  <si>
    <t>Foreign Protestants Naturalization Act,</t>
  </si>
  <si>
    <t>tens of thousands</t>
  </si>
  <si>
    <t>Who led the Broncos with 105 receptions?</t>
  </si>
  <si>
    <t>Which group has young that are born with no tentacles and a large mouth?</t>
  </si>
  <si>
    <t>What regions do the north-eastern part of the country boarder?</t>
  </si>
  <si>
    <t>What is a typical configuration</t>
  </si>
  <si>
    <t>What kind of structure is a carboxysome?</t>
  </si>
  <si>
    <t>When does the largest traveling fair in Europe take place?</t>
  </si>
  <si>
    <t>What act sets forth the functions of the Scottish Parliament?</t>
  </si>
  <si>
    <t>What year did the first manned Apollo flight occur?</t>
  </si>
  <si>
    <t>What does the Fermat primality test depend upon?</t>
  </si>
  <si>
    <t>Over how many species of trees can be found in the Saxon Garden?</t>
  </si>
  <si>
    <t>thylakoid or to another plastoglobulus attached to a thylakoid</t>
  </si>
  <si>
    <t>live theater</t>
  </si>
  <si>
    <t>electrified</t>
  </si>
  <si>
    <t>Basel</t>
  </si>
  <si>
    <t xml:space="preserve">Which findings suggested that the region was densely populated? </t>
  </si>
  <si>
    <t>50,000</t>
  </si>
  <si>
    <t>Vistula</t>
  </si>
  <si>
    <t>The Love Boat</t>
  </si>
  <si>
    <t>When did Germany invade Poland and in doing so start World War II?</t>
  </si>
  <si>
    <t>encourage investment</t>
  </si>
  <si>
    <t>Who are likely participants in creating an overall plan for the financial management of the building construction project?</t>
  </si>
  <si>
    <t>What planet is Doctor Who from?</t>
  </si>
  <si>
    <t>nearly 8</t>
  </si>
  <si>
    <t>1696</t>
  </si>
  <si>
    <t>What was the name of the first episode of the new Doctor Who series?</t>
  </si>
  <si>
    <t>What did the hymn, Aus tiefer Not express?</t>
  </si>
  <si>
    <t>Why must one be excluded in order to preserve the uniqueness of the fundamental theorem?</t>
  </si>
  <si>
    <t>Bellomy Field</t>
  </si>
  <si>
    <t>Where does Kenya rang on the CPI scale?</t>
  </si>
  <si>
    <t>What is the equality of forces between two objects exerting force on each other??</t>
  </si>
  <si>
    <t>How many hymns did Luther write based on the Ten Commandments?</t>
  </si>
  <si>
    <t>In what year did ENR compile data in nine market segments?</t>
  </si>
  <si>
    <t>Recognized Student Organizations</t>
  </si>
  <si>
    <t>What are the stages in a compound engine called?</t>
  </si>
  <si>
    <t>after 1279</t>
  </si>
  <si>
    <t>established Church</t>
  </si>
  <si>
    <t>What are the top 4-5% graduating students honored with?</t>
  </si>
  <si>
    <t>When was a zoological garden established in the Praga Park?</t>
  </si>
  <si>
    <t>ignoring</t>
  </si>
  <si>
    <t>the architect's client and the main contractor</t>
  </si>
  <si>
    <t>frail</t>
  </si>
  <si>
    <t xml:space="preserve">How many bodies did Public Health England exhume? </t>
  </si>
  <si>
    <t>very badly disposed towards the French</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</si>
  <si>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</si>
  <si>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t>
  </si>
  <si>
    <t>reversed</t>
  </si>
  <si>
    <t>restricting Halal slaughter and other Islamic practices like circumcision</t>
  </si>
  <si>
    <t>orange</t>
  </si>
  <si>
    <t>as a liquid</t>
  </si>
  <si>
    <t>What did Tesla establish following his Colorado experiments?</t>
  </si>
  <si>
    <t>A single line connects San Bernardino, Riverside and what other county?</t>
  </si>
  <si>
    <t>ad valorem property tax policy</t>
  </si>
  <si>
    <t>British Sky Broadcasting Group plc</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</si>
  <si>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</si>
  <si>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Luther's final journey, to Mansfeld, was taken because of his concern for his siblings' families continuing in their father Hans Luther's copper mining trade. Their livelihood was threatened by Count Albrecht of Mansfeld bringing the industry under his own control. The controversy that ensued involved all four Mansfeld counts: Albrecht, Philip, John George, and Gerhard. Luther journeyed to Mansfeld twice in late 1545 to participate in the negotiations for a settlement, and a third visit was needed in early 1546 for their completion.</t>
  </si>
  <si>
    <t>"citizenship"</t>
  </si>
  <si>
    <t>Newcastle Mela, held on the late August bank holiday weekend, is an annual two-day multicultural event, blending drama, music and food from Punjabi, Pakistani, Bengali and Hindu cultures. NewcastleGateshead also holds an annual International Arts Fair. The 2009 event will be in the Norman Foster designed Sage Gateshead Music and Arts Centre in September. In October, there is the Design Event festival—an annual festival providing the public with an opportunity to see work by regional, national and international designers. The SAMA Festival, an East Asian cultural festival is also held in early October.</t>
  </si>
  <si>
    <t>Beatrix Potter</t>
  </si>
  <si>
    <t>How many seats does Victoria have in the Senate?</t>
  </si>
  <si>
    <t>Who is usually working together?</t>
  </si>
  <si>
    <t>in a glass case</t>
  </si>
  <si>
    <t>fucoxanthin dinophyte</t>
  </si>
  <si>
    <t>the name was incorrect</t>
  </si>
  <si>
    <t>University of Chicago campus</t>
  </si>
  <si>
    <t>comb-rows</t>
  </si>
  <si>
    <t>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t>
  </si>
  <si>
    <t>eight years in primary school and four years in high school</t>
  </si>
  <si>
    <t>empire-building</t>
  </si>
  <si>
    <t>The Wars of Religion</t>
  </si>
  <si>
    <t>Florida East Coast Railway</t>
  </si>
  <si>
    <t>Why is Jochi's reported alliance with the Muslims historically suspect?</t>
  </si>
  <si>
    <t>increase the chloroplast's surface area for cross-membrane transport between its stroma and the cell cytoplasm</t>
  </si>
  <si>
    <t>Where was Tesla's laboratory established?</t>
  </si>
  <si>
    <t>Muslim Iberia</t>
  </si>
  <si>
    <t>what computers can and cannot do</t>
  </si>
  <si>
    <t>Steymann v Staatssecretaris van Justitie</t>
  </si>
  <si>
    <t>51.6%</t>
  </si>
  <si>
    <t>between 3 and 14 hours a week</t>
  </si>
  <si>
    <t>When had the Six Ministries existed?</t>
  </si>
  <si>
    <t>in charity and good works</t>
  </si>
  <si>
    <t>From 2005 to 2014, there were two Major League Soccer teams in Los Angeles — the LA Galaxy and Chivas USA — that both played at the StubHub Center and were local rivals. However, Chivas were suspended following the 2014 MLS season, with a second MLS team scheduled to return in 2018.</t>
  </si>
  <si>
    <t>Where is the ABC four-note jingle still in use?</t>
  </si>
  <si>
    <t>Whose 1758 portrait by François Boucher was part of Jones bequest?</t>
  </si>
  <si>
    <t>Andrew Alper</t>
  </si>
  <si>
    <t>The church tower</t>
  </si>
  <si>
    <t>university or college.</t>
  </si>
  <si>
    <t>Newcastle Eagles</t>
  </si>
  <si>
    <t>water-cooled undergarment.</t>
  </si>
  <si>
    <t>When was Johann Tetzel sent by the Roman Catholic Church to Germany to sell indulgences?</t>
  </si>
  <si>
    <t>What is PPP?</t>
  </si>
  <si>
    <t>In what kind of system of particles are there no unbalanced iinternal forces?</t>
  </si>
  <si>
    <t>How many beds does the Maria Sklodowska-Curie Institute of Oncology have?</t>
  </si>
  <si>
    <t>9.6%</t>
  </si>
  <si>
    <t>What were NTL's services rebranded as?</t>
  </si>
  <si>
    <t>The objective is typically a course of study, lesson plan, or a practical skill. A teacher may follow standardized curricula as determined by the relevant authority. The teacher may interact with students of different ages, from infants to adults, students with different abilities and students with learning disabilities.</t>
  </si>
  <si>
    <t>Stanford University</t>
  </si>
  <si>
    <t>4-momentum in relativity and momentum of virtual particles in quantum electrodynamics</t>
  </si>
  <si>
    <t>What court is able to interpret European Union law?</t>
  </si>
  <si>
    <t>When was the Teaching Council Act passed?</t>
  </si>
  <si>
    <t>any member of the Scottish Government</t>
  </si>
  <si>
    <t>great amount of it</t>
  </si>
  <si>
    <t>22,000 years ago</t>
  </si>
  <si>
    <t>type III secretion system</t>
  </si>
  <si>
    <t>British colonists.</t>
  </si>
  <si>
    <t>Jean Cauvin (John Calvin)</t>
  </si>
  <si>
    <t>anaerobic</t>
  </si>
  <si>
    <t>Where did the Panthers practice at for Super Bowl 50?</t>
  </si>
  <si>
    <t>July 1982 to June 1983</t>
  </si>
  <si>
    <t>Where did Tesla begin working in 1884?</t>
  </si>
  <si>
    <t>East African Community</t>
  </si>
  <si>
    <t>phased basis</t>
  </si>
  <si>
    <t>the Fourth Intercolonial War and the Great War for the Empire</t>
  </si>
  <si>
    <t>Sultan Muhammad was already dead in 1223,</t>
  </si>
  <si>
    <t>The first four Saturn I test flights were launched from LC-34, with only live first stages, carrying dummy upper stages filled with water. The first flight with a live S-IV was launched from LC-37. This was followed by five launches of boilerplate CSMs (designated AS-101 through AS-105) into orbit in 1964 and 1965. The last three of these further supported the Apollo program by also carrying Pegasus satellites, which verified the safety of the translunar environment by measuring the frequency and severity of micrometeorite impacts.</t>
  </si>
  <si>
    <t>What is one example of an instance that the quantitative answer to the traveling salesman problem fails to answer?</t>
  </si>
  <si>
    <t>spacecraft</t>
  </si>
  <si>
    <t>tertiary education</t>
  </si>
  <si>
    <t>Commensal flora can change what specific conditions of their environment in the gastrointestinal tract?</t>
  </si>
  <si>
    <t>the Edict of Nantes</t>
  </si>
  <si>
    <t>Kenyan Coast</t>
  </si>
  <si>
    <t>What type of lenses were needed to see the 3D effects in Dimension in Time?</t>
  </si>
  <si>
    <t>What authority enforced the ban on the 95 Theses?</t>
  </si>
  <si>
    <t>cyclosporin</t>
  </si>
  <si>
    <t>Buckland Valley near Bright</t>
  </si>
  <si>
    <t>thirty</t>
  </si>
  <si>
    <t>Kissinger's</t>
  </si>
  <si>
    <t>What did S&amp;P recommend to somewhat remedy the wealth gap?</t>
  </si>
  <si>
    <t>What was the name of the first successful credit card?</t>
  </si>
  <si>
    <t>rivers</t>
  </si>
  <si>
    <t>What seed was the Carolina Panthers?</t>
  </si>
  <si>
    <t>peer-reviewed sources</t>
  </si>
  <si>
    <t>18th century</t>
  </si>
  <si>
    <t>Messenger</t>
  </si>
  <si>
    <t>Which player played even though he broke his arm two weeks prior to the Super Bowl?</t>
  </si>
  <si>
    <t>compute primes</t>
  </si>
  <si>
    <t>sin</t>
  </si>
  <si>
    <t>First World War</t>
  </si>
  <si>
    <t>In which county does Jacksonville reside?</t>
  </si>
  <si>
    <t>the 1960s</t>
  </si>
  <si>
    <t>Fringe or splinter</t>
  </si>
  <si>
    <t>How many customaries does Norman customary law have?</t>
  </si>
  <si>
    <t>What is the most important thing apicoplasts do?</t>
  </si>
  <si>
    <t>Dr. Thomas Coke</t>
  </si>
  <si>
    <t>by less than two percent per year</t>
  </si>
  <si>
    <t>are very badly disposed towards the French, and are entirely devoted to the English</t>
  </si>
  <si>
    <t>Kenya has been a dominant force in women's volleyball within Africa, with both the clubs and the national team winning various continental championships in the past decade.[citation needed] The women's team has competed at the Olympics and World Championships but without any notable success. Cricket is another popular and the most successful team sport. Kenya has competed in the Cricket World Cup since 1996. They upset some of the World's best teams and reached semi-finals of the 2003 tournament. They won the inaugural World Cricket League Division 1 hosted in Nairobi and participated in the World T20. Their current captain is Rakep Patel. They participated in the ICC Cricket World Cup 2011. Kenya is represented by Lucas Onyango as a professional rugby league player who plays with Oldham Roughyeds. Besides the former European Super League team, he has played for Widnes Vikings and rugby union with Sale Sharks. Rugby union is increasing in popularity, especially with the annual Safari Sevens tournament. Kenya sevens team ranked 9th in IRB Sevens World Series for the 2006 season. Kenya was also a regional powerhouse in soccer. However, its dominance has been eroded by wrangles within the now defunct Kenya Football Federation, leading to a suspension by FIFA which was lifted in March 2007.</t>
  </si>
  <si>
    <t>host computers (servers)at thousands of large companies, educational institutions, and government agencies</t>
  </si>
  <si>
    <t>Who produced the Doctor Who revival series?</t>
  </si>
  <si>
    <t>everything</t>
  </si>
  <si>
    <t>What was the centrifugal governor incapable of doing?</t>
  </si>
  <si>
    <t>Hugh L. Dryden</t>
  </si>
  <si>
    <t>In dioxygen how are the two oxygen atoms bonded together?</t>
  </si>
  <si>
    <t>Northern</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</si>
  <si>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</si>
  <si>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the poor soil</t>
  </si>
  <si>
    <t>What is the natural dam that the Rhine flows through?</t>
  </si>
  <si>
    <t>removing its economic foundation.</t>
  </si>
  <si>
    <t>How quickly can an algorithm solve an NP-complete knapsack problem?</t>
  </si>
  <si>
    <t>In India, private schools are called independent schools, but since some private schools receive financial aid from the government, it can be an aided or an unaided school. So, in a strict sense, a private school is an unaided independent school. For the purpose of this definition, only receipt of financial aid is considered, not land purchased from the government at a subsidized rate. It is within the power of both the union government and the state governments to govern schools since Education appears in the Concurrent list of legislative subjects in the constitution. The practice has been for the union government to provide the broad policy directions while the states create their own rules and regulations for the administration of the sector. Among other things, this has also resulted in 30 different Examination Boards or academic authorities that conduct examinations for school leaving certificates. Prominent Examination Boards that are present in multiple states are the CBSE and the CISCE, NENBSE</t>
  </si>
  <si>
    <t xml:space="preserve">Why was the Rhine measurement changed? </t>
  </si>
  <si>
    <t>How much did Edison offer Tesla to redesign a motor and generators?</t>
  </si>
  <si>
    <t>New cameras were introduced for the game, what degree of view do they provide viewers?</t>
  </si>
  <si>
    <t>What religion did Tesla grow up in?</t>
  </si>
  <si>
    <t>When economic inequality is smaller, more waste and pollution is?</t>
  </si>
  <si>
    <t>the filling of molecular orbitals formed from the atomic orbitals of the individual oxygen atoms</t>
  </si>
  <si>
    <t>time or space</t>
  </si>
  <si>
    <t>Northumbria University</t>
  </si>
  <si>
    <t>a structure called a Z-ring</t>
  </si>
  <si>
    <t>What did Tesla tell Brisbane he didn't believe in?</t>
  </si>
  <si>
    <t>In which city was Tesla's consultant job for Westinghouse?</t>
  </si>
  <si>
    <t>New Paltz</t>
  </si>
  <si>
    <t>The Catholic Church in France</t>
  </si>
  <si>
    <t>In 1755 what fort did British capture?</t>
  </si>
  <si>
    <t>modified, fire-resistant Block II space suits,</t>
  </si>
  <si>
    <t>Does BSkyB carry any control over a channels content?</t>
  </si>
  <si>
    <t>Why did Berlin Huguenots switch to German from French in their services?</t>
  </si>
  <si>
    <t>domestic legislation of the Scottish Parliament</t>
  </si>
  <si>
    <t xml:space="preserve">Was the Use of the DATANET 1 name correct </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</si>
  <si>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</si>
  <si>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The principle of inclusions and components</t>
  </si>
  <si>
    <t>Who was Richard's fiancee?</t>
  </si>
  <si>
    <t>promote oil exploration</t>
  </si>
  <si>
    <t>from the river's natural course due to number of canalisation projects completed in the 19th and 20th century</t>
  </si>
  <si>
    <t>tiger</t>
  </si>
  <si>
    <t>What is the name of the desert on the border of Arizona?</t>
  </si>
  <si>
    <t>has trouble distinguishing between carbon dioxide and oxygen</t>
  </si>
  <si>
    <t>University of California, Irvine</t>
  </si>
  <si>
    <t>What does the internal cavity contain?</t>
  </si>
  <si>
    <t>What is the name of the quarterback who was 38 in Super Bowl XXXIII?</t>
  </si>
  <si>
    <t>via the ballast tanks of ships</t>
  </si>
  <si>
    <t>How many years do Elders serve as provisional Elders prior to their ordination?</t>
  </si>
  <si>
    <t>When did Barton and Whitfield demand climate research records?</t>
  </si>
  <si>
    <t>marry one of his wife's ladies-in-waiting.</t>
  </si>
  <si>
    <t>What did the crew of Apollo 12 do with parts of the Surveyor they landed near after photographing them?</t>
  </si>
  <si>
    <t>civil servants' salary index scale</t>
  </si>
  <si>
    <t>Academy Award</t>
  </si>
  <si>
    <t>Normally silver, what color was used for the number 50?</t>
  </si>
  <si>
    <t>What is the average width of the Rhine?</t>
  </si>
  <si>
    <t>How did their lawyer suggest they would plea?</t>
  </si>
  <si>
    <t>ABC debuted what sports program on April 29, 1961?</t>
  </si>
  <si>
    <t>capacity of the Tyne Tunnel</t>
  </si>
  <si>
    <t>whole curriculum</t>
  </si>
  <si>
    <t>giving Super Bowl</t>
  </si>
  <si>
    <t>this multiplier</t>
  </si>
  <si>
    <t>January 1, 1968</t>
  </si>
  <si>
    <t>Walter</t>
  </si>
  <si>
    <t>British</t>
  </si>
  <si>
    <t>A piece of paper was later found on which Luther had written his last statement. The statement was in Latin, apart from "We are beggars," which was in German.</t>
  </si>
  <si>
    <t>What is the worlds largest academic and private library system?</t>
  </si>
  <si>
    <t>What did tesla incorrectly believe about x-rays?</t>
  </si>
  <si>
    <t>Allston Science Complex</t>
  </si>
  <si>
    <t>E.I. du Pont</t>
  </si>
  <si>
    <t>orientalism and tropicality.</t>
  </si>
  <si>
    <t>Phagocytosis first evolved as means of doing what?</t>
  </si>
  <si>
    <t>What kind of missions are the armed forces regularly deployed for?</t>
  </si>
  <si>
    <t>In 1959, Walt Disney Productions, having improved its financial situation, had purchased ABC's shares in the Disneyland theme park for $7.5 million and initiated discussions to renew ABC's television contract for Walt Disney Presents, which was due to expire in 1961. Walt Disney was approached by NBC to produce color broadcasts of his anthology series (which would be renamed Walt Disney's Wonderful World of Color). Goldenson said ABC could not counter the offer, because the network did not have the technical and financial resources to carry the program in the format. As a result, ABC and Disney's first television collaboration ended in 1961 (the network would resume its relationship with Disney in 1985, when the anthology series returned to the network for a three-season run as the Disney Sunday Movie until it lost the rights to NBC again in 1988; the Disney anthology series would return to ABC in 1996, following the company's purchase of the future Capital Cities/ABC, as The Wonderful World of Disney).</t>
  </si>
  <si>
    <t>large areas</t>
  </si>
  <si>
    <t>Vietnam</t>
  </si>
  <si>
    <t>Who is Kearney Boulevard named after?</t>
  </si>
  <si>
    <t>Forster I, Forster II, and Forster III</t>
  </si>
  <si>
    <t>the value of the spin</t>
  </si>
  <si>
    <t xml:space="preserve">What is the current number of electors currently in a Scottish Parliament constituency? </t>
  </si>
  <si>
    <t>the husband and father</t>
  </si>
  <si>
    <t>in March</t>
  </si>
  <si>
    <t>potential drug interactions, adverse drug reactions</t>
  </si>
  <si>
    <t>The Rhine flowed through Swabia, Franconia and what other location in the 10th Century?</t>
  </si>
  <si>
    <t>At what temperature do weak and electromagnetic forces appear the same?</t>
  </si>
  <si>
    <t>bits of metal projected by his "electric gun,"</t>
  </si>
  <si>
    <t>Department for Culture, Media and Sport.</t>
  </si>
  <si>
    <t>What British cultural trend during the Georgian is linked to design during the same period?</t>
  </si>
  <si>
    <t>From what mission and onward were the DSMs awarded?</t>
  </si>
  <si>
    <t>25,700 km</t>
  </si>
  <si>
    <t>1227</t>
  </si>
  <si>
    <t>to counteract the constant flooding and strong sedimentation</t>
  </si>
  <si>
    <t>Tesla made predictions about the relevant issues of a post-World War I environment in a printed article, "Science and Discovery are the great Forces which will lead to the Consummation of the War" (20 December 1914). Tesla believed that the League of Nations was not a remedy for the times and issues.[citation needed]</t>
  </si>
  <si>
    <t>Ugali with vegetables, sour milk, meat, fish or any other stew</t>
  </si>
  <si>
    <t>a double membrane</t>
  </si>
  <si>
    <t>When did the Chinese famine begin?</t>
  </si>
  <si>
    <t>Who was the executive producer of the 2005 Doctor Who revival series?</t>
  </si>
  <si>
    <t>Anglo-Saxons</t>
  </si>
  <si>
    <t>14th to 17th centuries</t>
  </si>
  <si>
    <t>Why do carotenoids make leaves change color in the fall?</t>
  </si>
  <si>
    <t>How many Panthers defense players were selected for the Pro Bowl?</t>
  </si>
  <si>
    <t>0.52/sq mi</t>
  </si>
  <si>
    <t>What was the Norman religion?</t>
  </si>
  <si>
    <t>What molecules of the adaptive immune system only exist in jawed vertebrates?</t>
  </si>
  <si>
    <t>Book of Genesis</t>
  </si>
  <si>
    <t>fundraising drives</t>
  </si>
  <si>
    <t>What is the largest general further education college in the North East?</t>
  </si>
  <si>
    <t>receive no jail time</t>
  </si>
  <si>
    <t>recent decades</t>
  </si>
  <si>
    <t>1523 adaptation of the Latin Mass</t>
  </si>
  <si>
    <t>Who was named the president of ABC News in 1977?</t>
  </si>
  <si>
    <t>the atmospheric engine</t>
  </si>
  <si>
    <t>Vaginal secretions serve as a chemical protective barrier following what?</t>
  </si>
  <si>
    <t>Genghis Khan</t>
  </si>
  <si>
    <t>five volume book in his native Greek</t>
  </si>
  <si>
    <t>687 and 760 nm</t>
  </si>
  <si>
    <t>differences in value added by labor, capital and land</t>
  </si>
  <si>
    <t>Where will a canonball dropped from the crow's nest of a ship land according to Aristotle?</t>
  </si>
  <si>
    <t>July 1968</t>
  </si>
  <si>
    <t>What meteorologist was also apart of the university's faculty?</t>
  </si>
  <si>
    <t>phlogiston theory</t>
  </si>
  <si>
    <t>What does coastal beriods use as teeth?</t>
  </si>
  <si>
    <t>What alumni was also an Attorney General and a federal judge?</t>
  </si>
  <si>
    <t>Who is on the IPCC Panel?</t>
  </si>
  <si>
    <t>French 18th-century art and furnishings</t>
  </si>
  <si>
    <t>What country initially received the largest number of Huguenot refugees?</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</si>
  <si>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</si>
  <si>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What does the lobata have pair of?</t>
  </si>
  <si>
    <t>Informal rule is generally less costly</t>
  </si>
  <si>
    <t>Seventh</t>
  </si>
  <si>
    <t>Wealth concentration</t>
  </si>
  <si>
    <t>Eliot Ness</t>
  </si>
  <si>
    <t>Which year did the price of oil drop to $10 per barrel?</t>
  </si>
  <si>
    <t>What image campaign was the new four-note jingle for ABC based around?</t>
  </si>
  <si>
    <t>Apollo 5</t>
  </si>
  <si>
    <t>Which company was given permission to air TV commercials during Super Bowl 50 at a discounted price?</t>
  </si>
  <si>
    <t>What physical condition can acute oxygen toxicity cause?</t>
  </si>
  <si>
    <t>At what Super Bowl did Beyoncé headline the halftime show?</t>
  </si>
  <si>
    <t>Soon after gaining Florida, what did the English do?</t>
  </si>
  <si>
    <t>What river does Warsaw straddle?</t>
  </si>
  <si>
    <t>Masovian Primeval Forest</t>
  </si>
  <si>
    <t>Who did Jamukha support that were not part of Temüjin's power base?</t>
  </si>
  <si>
    <t>Jacques Legardeur de Saint-Pierre</t>
  </si>
  <si>
    <t>sea and trade routes</t>
  </si>
  <si>
    <t>autoimmune disorders</t>
  </si>
  <si>
    <t>What did Tesla claim his resonant frequencies could do in the World Today article?</t>
  </si>
  <si>
    <t>In what year did Tesla's family move to Gospic?</t>
  </si>
  <si>
    <t>Why is breathing oxygen in space craft not dangerous to health?</t>
  </si>
  <si>
    <t>Following the conquest of Dali in 1253, the former ruling Duan dynasty were appointed as governors-general, recognized as imperial officials by the Yuan, Ming, and Qing-era governments, principally in the province of Yunnan. Succession for the Yuan dynasty, however, was an intractable problem, later causing much strife and internal struggle. This emerged as early as the end of Kublai's reign. Kublai originally named his eldest son, Zhenjin, as the Crown Prince, but he died before Kublai in 1285. Thus, Zhenjin's third son, with the support of his mother Kökejin and the minister Bayan, succeeded the throne and ruled as Temür Khan, or Emperor Chengzong, from 1294 to 1307. Temür Khan decided to maintain and continue much of the work begun by his grandfather. He also made peace with the western Mongol khanates as well as neighboring countries such as Vietnam, which recognized his nominal suzerainty and paid tributes for a few decades. However, the corruption in the Yuan dynasty began during the reign of Temür Khan.</t>
  </si>
  <si>
    <t>Where are Jersey and Guernsey</t>
  </si>
  <si>
    <t>What was result of French attack of trading centre?</t>
  </si>
  <si>
    <t>Who inspects the building periodically to ensure that the construction adheres to the approved plans and the local building code?</t>
  </si>
  <si>
    <t>"dephlogisticated air</t>
  </si>
  <si>
    <t>infected corpses</t>
  </si>
  <si>
    <t>73</t>
  </si>
  <si>
    <t>What is providing support networks considered to be?</t>
  </si>
  <si>
    <t>fans</t>
  </si>
  <si>
    <t>conversion</t>
  </si>
  <si>
    <t>Apollo TV camera</t>
  </si>
  <si>
    <t>For exercise, Tesla walked between 8 to 10 miles per day. He squished his toes one hundred times for each foot every night, saying that it stimulated his brain cells.</t>
  </si>
  <si>
    <t>270,000</t>
  </si>
  <si>
    <t>"self" peptides</t>
  </si>
  <si>
    <t>What is the IEEE?</t>
  </si>
  <si>
    <t>What ideal thermodynamic cycle analyzes the process by which steam engines work?</t>
  </si>
  <si>
    <t>760 mm</t>
  </si>
  <si>
    <t>What can be considered as a function of market price of skill?</t>
  </si>
  <si>
    <t>The flow of cold, gray mountain water continues for some distance into the lake. The cold water flows near the surface and at first doesn't mix with the warmer, green waters of Upper Lake. But then, at the so-called Rheinbrech, the Rhine water abruptly falls into the depths because of the greater density of cold water. The flow reappears on the surface at the northern (German) shore of the lake, off the island of Lindau. The water then follows the northern shore until Hagnau am Bodensee. A small fraction of the flow is diverted off the island of Mainau into Lake Überlingen. Most of the water flows via the Constance hopper into the Rheinrinne ("Rhine Gutter") and Seerhein. Depending on the water level, this flow of the Rhine water is clearly visible along the entire length of the lake.</t>
  </si>
  <si>
    <t>John 8:7</t>
  </si>
  <si>
    <t>Which of Genghis Khan's sons completed the conquest of the Jin dynasty?</t>
  </si>
  <si>
    <t>What did colonial authorities  reduce because of the Ballarat revolt?</t>
  </si>
  <si>
    <t>Virgin Media</t>
  </si>
  <si>
    <t>What U.S. entity said that corporal punishment was Constitutional?</t>
  </si>
  <si>
    <t>What would the latter Apollo missions carry to the moon to increase exploration?</t>
  </si>
  <si>
    <t>When was the study on sequenced Y genomes published?</t>
  </si>
  <si>
    <t>Who decides the fate of protesters most of the time?</t>
  </si>
  <si>
    <t>the Onggirat</t>
  </si>
  <si>
    <t>Mughal state</t>
  </si>
  <si>
    <t>social spending</t>
  </si>
  <si>
    <t>Approximately 1,000 British soldiers were killed or injured.</t>
  </si>
  <si>
    <t>This person proposed explanations for the origins of earthquakes and the formation of mountains, what was his name?</t>
  </si>
  <si>
    <t>South Kensington</t>
  </si>
  <si>
    <t xml:space="preserve">Stephen Eildmann cites the oldest known example of civil disobedience in what part of the bible? </t>
  </si>
  <si>
    <t>C3 angiosperms</t>
  </si>
  <si>
    <t>What does Newcastle have a proud history of?</t>
  </si>
  <si>
    <t>Several French paintings entered the collection as part of the 260 paintings and miniatures (not all the works were French, for example Carlo Crivelli's Virgin and Child) that formed part of the Jones bequest of 1882 and as such are displayed in the galleries of continental art 1600–1800, including the portrait of François, Duc d'Alençon by François Clouet, Gaspard Dughet and works by François Boucher including his portrait of Madame de Pompadour dated 1758, Jean François de Troy, Jean-Baptiste Pater and their contemporaries.</t>
  </si>
  <si>
    <t>in the 1960s</t>
  </si>
  <si>
    <t>Kabaty</t>
  </si>
  <si>
    <t>General Amherst.</t>
  </si>
  <si>
    <t>heart</t>
  </si>
  <si>
    <t>It's not clear, however that this stereotypical view reflects the reality of East Asian classrooms or that the educational goals in these countries are commensurable with those in Western countries. In Japan, for example, although average attainment on standardized tests may exceed those in Western countries, classroom discipline and behavior is highly problematic. Although, officially, schools have extremely rigid codes of behavior, in practice many teachers find the students unmanageable and do not enforce discipline at all.</t>
  </si>
  <si>
    <t>What was the name of the play performed in the 1970's?</t>
  </si>
  <si>
    <t>low total pressures</t>
  </si>
  <si>
    <t>Elector of Brandenburg and Duke of Prussia</t>
  </si>
  <si>
    <t>domestic legislation of the Scottish Parliament.</t>
  </si>
  <si>
    <t>Where did the Grand Canal start?</t>
  </si>
  <si>
    <t>University of Chicago College Bowl Team</t>
  </si>
  <si>
    <t>tenggis</t>
  </si>
  <si>
    <t>Where is corporal punishment no longer practiced?</t>
  </si>
  <si>
    <t>the University Athletic Association</t>
  </si>
  <si>
    <t>issues under their jurisdiction</t>
  </si>
  <si>
    <t>apicomplexan-related</t>
  </si>
  <si>
    <t>the Eternal Heaven</t>
  </si>
  <si>
    <t>physically imposing</t>
  </si>
  <si>
    <t>greater than 1</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</si>
  <si>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°C (the creep limit of stainless steel) and condenser temperatures are around 30 °C.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</si>
  <si>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no contest</t>
  </si>
  <si>
    <t>autoimmune diseases</t>
  </si>
  <si>
    <t>How many casualties did British get?</t>
  </si>
  <si>
    <t>1331</t>
  </si>
  <si>
    <t>7 to 10 percent of American physicians</t>
  </si>
  <si>
    <t>About what weather feature do paleoclimatologists want information ?</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</si>
  <si>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</si>
  <si>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In the past, teachers have been paid relatively low salaries. However, average teacher salaries have improved rapidly in recent years. US teachers are generally paid on graduated scales, with income depending on experience. Teachers with more experience and higher education earn more than those with a standard bachelor's degree and certificate. Salaries vary greatly depending on state, relative cost of living, and grade taught. Salaries also vary within states where wealthy suburban school districts generally have higher salary schedules than other districts. The median salary for all primary and secondary teachers was $46,000 in 2004, with the average entry salary for a teacher with a bachelor's degree being an estimated $32,000. Median salaries for preschool teachers, however, were less than half the national median for secondary teachers, clock in at an estimated $21,000 in 2004. For high school teachers, median salaries in 2007 ranged from $35,000 in South Dakota to $71,000 in New York, with a national median of $52,000. Some contracts may include long-term disability insurance, life insurance, emergency/personal leave and investment options. The American Federation of Teachers' teacher salary survey for the 2006-07 school year found that the average teacher salary was $51,009. In a salary survey report for K-12 teachers, elementary school teachers had the lowest median salary earning $39,259. High school teachers had the highest median salary earning $41,855. Many teachers take advantage of the opportunity to increase their income by supervising after-school programs and other extracurricular activities. In addition to monetary compensation, public school teachers may also enjoy greater benefits (like health insurance) compared to other occupations. Merit pay systems are on the rise for teachers, paying teachers extra money based on excellent classroom evaluations, high test scores and for high success at their overall school. Also, with the advent of the internet, many teachers are now selling their lesson plans to other teachers through the web in order to earn supplemental income, most notably on TeachersPayTeachers.com.</t>
  </si>
  <si>
    <t>Who did he fire?</t>
  </si>
  <si>
    <t>Of course, some complexity classes have complicated definitions that do not fit into this framework. Thus, a typical complexity class has a definition like the following:</t>
  </si>
  <si>
    <t>small numbers of settlers</t>
  </si>
  <si>
    <t>How are incomes distributed in Sweden?</t>
  </si>
  <si>
    <t>What show did Peter Jennings anchor for ABC?</t>
  </si>
  <si>
    <t>Who does the statue of Little Insurgent commemorate?</t>
  </si>
  <si>
    <t>Milutin Tesla died at what age?</t>
  </si>
  <si>
    <t>prelaunch</t>
  </si>
  <si>
    <t>Voice in the Wilderness</t>
  </si>
  <si>
    <t>Paul von Lettow-Vorbeck</t>
  </si>
  <si>
    <t>When was Waruhiu Itote captured?</t>
  </si>
  <si>
    <t>The loss of biodiversity may be the result of what, according to environmentalists?</t>
  </si>
  <si>
    <t>How much turbine power is consumed by the pump while the work fluid is condensed?</t>
  </si>
  <si>
    <t>What does the Armagnac manuscript in the V&amp;A library archive depict?</t>
  </si>
  <si>
    <t>Where are most working children working?</t>
  </si>
  <si>
    <t>grass</t>
  </si>
  <si>
    <t>34 million</t>
  </si>
  <si>
    <t>a third</t>
  </si>
  <si>
    <t>conscientious lawbreakers</t>
  </si>
  <si>
    <t>Rēnos</t>
  </si>
  <si>
    <t>Thesis 86</t>
  </si>
  <si>
    <t>How many plant species are of interest to society and manufacturers exist in the amazon rainforest?</t>
  </si>
  <si>
    <t>What is the governing committee  that voted in favor of a proposal that would permit ministers to officiate same-sex weddings?</t>
  </si>
  <si>
    <t>After the German Invasion of Poland on 1 September 1939 began the Second World War, Warsaw was defended till September 27. Central Poland, including Warsaw, came under the rule of the General Government, a German Nazi colonial administration. All higher education institutions were immediately closed and Warsaw's entire Jewish population – several hundred thousand, some 30% of the city – herded into the Warsaw Ghetto.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t>
  </si>
  <si>
    <t>When did Tesla patent the motor?</t>
  </si>
  <si>
    <t>René-Robert Cavelier, Sieur de La Salle had explored the Ohio Country nearly a century earlier</t>
  </si>
  <si>
    <t>The Fresno Barn</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</si>
  <si>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</si>
  <si>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How long did Julia Butterfly Hill live in a tree?</t>
  </si>
  <si>
    <t>at partial pressures more than 50 kilopascals</t>
  </si>
  <si>
    <t>greater steam pressure and more power</t>
  </si>
  <si>
    <t>within the Maria Fold and Thrust Belt</t>
  </si>
  <si>
    <t>potential</t>
  </si>
  <si>
    <t>As a result of the American Revolution,</t>
  </si>
  <si>
    <t>Middle East</t>
  </si>
  <si>
    <t>an alternating current system to power the city's streetcars</t>
  </si>
  <si>
    <t>What was Thoreau's punishment for not paying his taxes?</t>
  </si>
  <si>
    <t>Confucian</t>
  </si>
  <si>
    <t>What was Tesla's mother's name?</t>
  </si>
  <si>
    <t>Who do most jurisdictions say can give scheduled drugs to the public?</t>
  </si>
  <si>
    <t>What was the building vacated twice to allow for?</t>
  </si>
  <si>
    <t>What European event caused the Huguenots to abandon Charlesfort?</t>
  </si>
  <si>
    <t>the world's first man-made, self-sustaining nuclear reaction</t>
  </si>
  <si>
    <t>asphyxiated</t>
  </si>
  <si>
    <t>The other major method of producing O
2 gas involves passing a stream of clean, dry air through one bed of a pair of identical zeolite molecular sieves, which absorbs the nitrogen and delivers a gas stream that is 90% to 93% O
2. Simultaneously, nitrogen gas is released from the other nitrogen-saturated zeolite bed, by reducing the chamber operating pressure and diverting part of the oxygen gas from the producer bed through it, in the reverse direction of flow. After a set cycle time the operation of the two beds is interchanged, thereby allowing for a continuous supply of gaseous oxygen to be pumped through a pipeline. This is known as pressure swing adsorption. Oxygen gas is increasingly obtained by these non-cryogenic technologies (see also the related vacuum swing adsorption).</t>
  </si>
  <si>
    <t>How many yards was the field goal that made the score 13-7 in Super Bowl 50?</t>
  </si>
  <si>
    <t>A → G deamination</t>
  </si>
  <si>
    <t>1888</t>
  </si>
  <si>
    <t>Nikola Tesla Museum archive</t>
  </si>
  <si>
    <t>What is sometimes more effective than civil disobedience at times?</t>
  </si>
  <si>
    <t>What other invention of Tesla's did Westinghouse license?</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</si>
  <si>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</si>
  <si>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Ctenophores and cnidarians are classified as what?</t>
  </si>
  <si>
    <t>the Kenya National Library Service</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</si>
  <si>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</si>
  <si>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Who did the Super Bowl 50 National Anthem?</t>
  </si>
  <si>
    <t>How many NFL teams have gone 15-1 in one season?</t>
  </si>
  <si>
    <t>the profession of faith</t>
  </si>
  <si>
    <t>What are the most powerful class of anti-inflammatory drugs?</t>
  </si>
  <si>
    <t>new converts</t>
  </si>
  <si>
    <t>defense and justification of empire-building based on seemingly rational grounds</t>
  </si>
  <si>
    <t>commercial, scientific, and cultural</t>
  </si>
  <si>
    <t>Welsh</t>
  </si>
  <si>
    <t>, Albert of Mainz</t>
  </si>
  <si>
    <t>Did the European Court of Justice rule the defendant in the case of Commission v. Edith Cresson broke any laws?</t>
  </si>
  <si>
    <t>only for those m that are prime</t>
  </si>
  <si>
    <t>"West Side"</t>
  </si>
  <si>
    <t>chief electrician</t>
  </si>
  <si>
    <t>round trip through all sites in Milan</t>
  </si>
  <si>
    <t>When was the first direct elections for native Kenyans?</t>
  </si>
  <si>
    <t>fossil sequences</t>
  </si>
  <si>
    <t>The Victoria and Albert Museum (often abbreviated as the V&amp;A), London, is the world's largest museum of decorative arts and design, housing a permanent collection of over 4.5 million objects. It was founded in 1852 and named after Queen Victoria and Prince Albert. The V&amp;A is located in the Brompton district of the Royal Borough of Kensington and Chelsea, in an area that has become known as "Albertopolis" because of its association with Prince Albert, the Albert Memorial and the major cultural institutions with which he was associated. These include the Natural History Museum, the Science Museum and the Royal Albert Hall. The museum is a non-departmental public body sponsored by the Department for Culture, Media and Sport. Like other national British museums, entrance to the museum has been free since 2001.</t>
  </si>
  <si>
    <t>through the wilderness of the Maine district and down the Chaudière River to attack the city of Quebec</t>
  </si>
  <si>
    <t>What are the two major subsystems of the immune system?</t>
  </si>
  <si>
    <t>A decade after the 1973 oil crisis</t>
  </si>
  <si>
    <t>What agreement was made for trade with natives and British?</t>
  </si>
  <si>
    <t>When was ambulatory care pharmacy approved as its own certification?</t>
  </si>
  <si>
    <t>Tiffany &amp; Co</t>
  </si>
  <si>
    <t>Santa Chiara Florence</t>
  </si>
  <si>
    <t>What are the weakly filled higher orbitals of oxygen?</t>
  </si>
  <si>
    <t>What book recognizes the importance of the Chalcedonian Creed?</t>
  </si>
  <si>
    <t>34,000 congregations</t>
  </si>
  <si>
    <t>Terra preta</t>
  </si>
  <si>
    <t>What aspect of Western medicine did the Chinese dislike?</t>
  </si>
  <si>
    <t>liquid nitrogen</t>
  </si>
  <si>
    <t>1,230 kilometres (764 miles)</t>
  </si>
  <si>
    <t>Oude Rijn</t>
  </si>
  <si>
    <t>What is inequality associated with higher levels of?</t>
  </si>
  <si>
    <t>Can the President of the Council vote on important matters related to the European Central Bank?</t>
  </si>
  <si>
    <t>two Saturn IBs</t>
  </si>
  <si>
    <t>What is the name of Harvard's basketball facility?</t>
  </si>
  <si>
    <t>What was the population of Kenya in 2014?</t>
  </si>
  <si>
    <t>is to switch suddenly to a spirit of subservience</t>
  </si>
  <si>
    <t>illegitimate</t>
  </si>
  <si>
    <t>What is structural geology?</t>
  </si>
  <si>
    <t>Southern California is also home to a large home grown surf and skateboard culture. Companies such as Volcom, Quiksilver, No Fear, RVCA, and Body Glove are all headquartered here. Professional skateboarder Tony Hawk, professional surfers Rob Machado, Tim Curran, Bobby Martinez, Pat O'Connell, Dane Reynolds, and Chris Ward, and professional snowboarder Shaun White live in southern California. Some of the world's legendary surf spots are in southern California as well, including Trestles, Rincon, The Wedge, Huntington Beach, and Malibu, and it is second only to the island of Oahu in terms of famous surf breaks. Some of the world's biggest extreme sports events, including the X Games, Boost Mobile Pro, and the U.S. Open of Surfing are all in southern California. Southern California is also important to the world of yachting. The annual Transpacific Yacht Race, or Transpac, from Los Angeles to Hawaii, is one of yachting's premier events. The San Diego Yacht Club held the America's Cup, the most prestigious prize in yachting, from 1988 to 1995 and hosted three America's Cup races during that time.</t>
  </si>
  <si>
    <t>symbolically present</t>
  </si>
  <si>
    <t>22 times between 1361 and 1528</t>
  </si>
  <si>
    <t>Construction</t>
  </si>
  <si>
    <t>What second part of air was deemed lifeless by Lavoisier?</t>
  </si>
  <si>
    <t>When did Good Morning America first debut?</t>
  </si>
  <si>
    <t>a system of many biological structures and processes within an organism</t>
  </si>
  <si>
    <t>a two-membraned chloroplast</t>
  </si>
  <si>
    <t>What month is the warmest in Fresno?</t>
  </si>
  <si>
    <t>What type of Lord is Doctor Who?</t>
  </si>
  <si>
    <t>Shinzen Japanese Gardens</t>
  </si>
  <si>
    <t>Episcopal Areas</t>
  </si>
  <si>
    <t>Karl von Miltitz</t>
  </si>
  <si>
    <t>To the east is the Colorado Desert and the Colorado River at the border with Arizona, and the Mojave Desert at the border with the state of Nevada. To the south is the Mexico–United States border.</t>
  </si>
  <si>
    <t>When was Temüjin elected khan of the Mongols?</t>
  </si>
  <si>
    <t>the exploitation of the valuable assets and supplies</t>
  </si>
  <si>
    <t>orthogonal</t>
  </si>
  <si>
    <t>Mortgage bankers, accountants, and cost engineers</t>
  </si>
  <si>
    <t>In which year are the Meissen Vulture in the V&amp;A collection dated?</t>
  </si>
  <si>
    <t>The Rhine gets how much water from the Aare?</t>
  </si>
  <si>
    <t>ablative heat shield</t>
  </si>
  <si>
    <t>Where was the 2000 study conducted?</t>
  </si>
  <si>
    <t>economic instability</t>
  </si>
  <si>
    <t>chloroplasts have a third plastid-dividing ring</t>
  </si>
  <si>
    <t>kinetic friction force</t>
  </si>
  <si>
    <t>What could anyone do to Martin Luther without legal consequence?</t>
  </si>
  <si>
    <t>Suzuki Chokichi's incense burner dated 1875 is made of what from material?</t>
  </si>
  <si>
    <t>By how much did Harvard management reduce its South Africa holdings in response to pressure?</t>
  </si>
  <si>
    <t>What do chloroplasts in mesophyll cells lack?</t>
  </si>
  <si>
    <t>1024</t>
  </si>
  <si>
    <t>Proper safety equipment</t>
  </si>
  <si>
    <t>What does the Fogg Museum of Art cover?</t>
  </si>
  <si>
    <t>In the fall quarter of 2014, how many students signed up for the university's  in total?</t>
  </si>
  <si>
    <t>Who challenged the plague theory first?</t>
  </si>
  <si>
    <t>almost half</t>
  </si>
  <si>
    <t>end of the Pleistocene (~11,600 BP)</t>
  </si>
  <si>
    <t>What actress played the last incarnation of the Doctor in the special?</t>
  </si>
  <si>
    <t>XXXIII</t>
  </si>
  <si>
    <t>What is an expression that can be used to illustrate the suspected inequality of complexity classes?</t>
  </si>
  <si>
    <t>What is the second phase of the digitization project?</t>
  </si>
  <si>
    <t>CBSSports</t>
  </si>
  <si>
    <t>How many people attended the funeral?</t>
  </si>
  <si>
    <t>Which festival is held in Newcastle's Gay Community in mid-July?</t>
  </si>
  <si>
    <t>algebraic</t>
  </si>
  <si>
    <t>Various gold-themed promotions and initiatives were held throughout the 2015 NFL season to tie into the "Golden Super Bowl"; gold-tinted logos were implemented across the NFL's properties and painted on fields, the numbering of the 50-yard line on fields was colored gold, and beginning on week 7, all sideline jackets and hats featured gold-trimmed logos. Gold footballs were given to each high school that has had a player or coach appear in the Super Bowl, and "homecoming" events were also held by Super Bowl-winning teams at games.</t>
  </si>
  <si>
    <t>compound engines</t>
  </si>
  <si>
    <t>the Tayichi'ud</t>
  </si>
  <si>
    <t>transgenes in these plastids cannot be disseminated by pollen</t>
  </si>
  <si>
    <t>computational power</t>
  </si>
  <si>
    <t>their eyestalk</t>
  </si>
  <si>
    <t>arrow</t>
  </si>
  <si>
    <t>When was the main gallery of the V&amp;A's ceramics and glass collection redesigned?</t>
  </si>
  <si>
    <t>In 1952, how many television stations were there in the United States?</t>
  </si>
  <si>
    <t>NE1fm</t>
  </si>
  <si>
    <t>self" peptides</t>
  </si>
  <si>
    <t>accept jail penitently</t>
  </si>
  <si>
    <t>The catechism is one of Luther's most personal works. "Regarding the plan to collect my writings in volumes," he wrote, "I am quite cool and not at all eager about it because, roused by a Saturnian hunger, I would rather see them all devoured. For I acknowledge none of them to be really a book of mine, except perhaps the Bondage of the Will and the Catechism." The Small Catechism has earned a reputation as a model of clear religious teaching. It remains in use today, along with Luther's hymns and his translation of the Bible.</t>
  </si>
  <si>
    <t>Before Super Bowl 50, what was the coach's name that coached both teams for their last Super Bowl appearances?</t>
  </si>
  <si>
    <t>After Archbishop Albrecht reviewed the Theses, where did he send them?</t>
  </si>
  <si>
    <t>optimisation of a drug treatment</t>
  </si>
  <si>
    <t>requested by governments</t>
  </si>
  <si>
    <t>forces as being due to gradient of potentials</t>
  </si>
  <si>
    <t>What type of education was assessed during this time?</t>
  </si>
  <si>
    <t>Peninsular</t>
  </si>
  <si>
    <t>Tyndale</t>
  </si>
  <si>
    <t>What are the Siouan-speaking tribes?</t>
  </si>
  <si>
    <t>San Jose Marriott.</t>
  </si>
  <si>
    <t>turbo-electric transmission</t>
  </si>
  <si>
    <t>4.6 billion</t>
  </si>
  <si>
    <t>Once Mutual's appeals against the FCC were rejected, RCA decided to sell NBC Blue in 1941, and gave the mandate to do so to Mark Woods. RCA converted the NBC Blue Network into an independent subsidiary, formally divorcing the operations of NBC Red and NBC Blue on January 8, 1942, with the Blue Network being referred to on-air as either "Blue" or "Blue Network". The newly separated NBC Red and NBC Blue divided their respective corporate assets. Between 1942 and 1943, Woods offered to sell the entire NBC Blue Network, a package that included leases on landlines, three pending television licenses (WJZ-TV in New York City, KGO-TV in San Francisco and WENR-TV in Chicago), 60 affiliates, four operations facilities (in New York City, Chicago, Los Angeles and Washington D.C.), contracts with actors, and the brand associated with the Blue Network. Investment firm Dillon, Read &amp; Co. (which was later acquired by the Swiss Bank Corporation in 1997) offered $7.5 million to purchase the network, but the offer was rejected by Woods and RCA president David Sarnoff.</t>
  </si>
  <si>
    <t>Archangel Michael</t>
  </si>
  <si>
    <t>Where are the specialized cells that eliminate cells that recognize self-antigens located?</t>
  </si>
  <si>
    <t>Wahhabi/Salafi jihadist extremist militant group</t>
  </si>
  <si>
    <t>Who lead the Super Bowl 50 halftime performance?</t>
  </si>
  <si>
    <t>physicist</t>
  </si>
  <si>
    <t>How many of the richest 400 Americans grew up in substantial privilege?</t>
  </si>
  <si>
    <t>rock crystallizes from melt (magma and/or lava)</t>
  </si>
  <si>
    <t>Which South Asian island nation is represented in the V&amp;A collection?</t>
  </si>
  <si>
    <t>In the 1970s, the city was the subject of a song, "Walking Into Fresno", written by Hall Of Fame guitarist Bill Aken and recorded by Bob Gallion of the world-famous "WWVA Jamboree" radio and television show in Wheeling, West Virginia. Aken, adopted by Mexican movie actress Lupe Mayorga, grew up in the neighboring town of Madera and his song chronicled the hardships faced by the migrant farm workers he saw as a child. Aken also made his first TV appearance playing guitar on the old country-western show at The Fresno Barn.</t>
  </si>
  <si>
    <t>the programme was not permitted to contain any "bug-eyed monsters"</t>
  </si>
  <si>
    <t>his last statement</t>
  </si>
  <si>
    <t>Who appointed Samuel Phillips to man the tiger team to find answers?</t>
  </si>
  <si>
    <t>What is the effect on humans of oxygen?</t>
  </si>
  <si>
    <t>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"Military supplies did not exhaust Nixon's eagerness to prevent Israel's collapse...This [$2.2 billion] decision triggered a collective OPEC response."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"principal hostile country".</t>
  </si>
  <si>
    <t>The "Hugues hypothesis"</t>
  </si>
  <si>
    <t>What is secreted by the respiratory tract to trap microorganisms?</t>
  </si>
  <si>
    <t>Where is the airport located?</t>
  </si>
  <si>
    <t>installed electrical arc light based illumination systems</t>
  </si>
  <si>
    <t>produce water currents that help direct microscopic prey toward the mouth</t>
  </si>
  <si>
    <t>Brest, France</t>
  </si>
  <si>
    <t>While many United Methodist congregations operate in the evangelical tradition, others reflect the mainline Protestant traditions. Although United Methodist practices and interpretation of beliefs have evolved over time, these practices and beliefs can be traced to the writings of the church's founders, especially John Wesley and Charles Wesley (Anglicans), but also Philip William Otterbein and Martin Boehm (United Brethren), and Jacob Albright (Evangelical Association). With the formation of The United Methodist Church in 1968, theologian Albert C. Outler led the team which systematized denominational doctrine. Outler's work proved pivotal in the work of union, and he is largely considered the first United Methodist theologian.</t>
  </si>
  <si>
    <t>Research by Harvard economist Robert Barro, found that there is "little overall relation between income inequality and rates of growth and investment". According to work by Barro in 1999 and 2000, high levels of inequality reduce growth in relatively poor countries but encourage growth in richer countries. A study of Swedish counties between 1960 and 2000 found a positive impact of inequality on growth with lead times of five years or less, but no correlation after ten years. Studies of larger data sets have found no correlations for any fixed lead time, and a negative impact on the duration of growth.</t>
  </si>
  <si>
    <t>How many households had BSkyB service in 1994?</t>
  </si>
  <si>
    <t>Washington and Thomas Gage</t>
  </si>
  <si>
    <t>What was the digitization project called?</t>
  </si>
  <si>
    <t>the eggs and sperm mature at different times</t>
  </si>
  <si>
    <t>Muqali,</t>
  </si>
  <si>
    <t>proplastids may develop into an etioplast stage before becoming chloroplasts</t>
  </si>
  <si>
    <t>Odinga</t>
  </si>
  <si>
    <t>thorough analysis of all medication (prescription, non-prescription, and herbals) currently being taken by an individual</t>
  </si>
  <si>
    <t>What is an Islamic revival movement?</t>
  </si>
  <si>
    <t>What company filed a complaint with the FCC in 1934 concerning problems establishing new stations?</t>
  </si>
  <si>
    <t>glowed</t>
  </si>
  <si>
    <t>Who is the President of Egypt?</t>
  </si>
  <si>
    <t>In what year was the World's Columbian Exposition?</t>
  </si>
  <si>
    <t>an estimated $200,000</t>
  </si>
  <si>
    <t>Antoine Lavoisier</t>
  </si>
  <si>
    <t>Kennedy</t>
  </si>
  <si>
    <t>pasture for cattle</t>
  </si>
  <si>
    <t>covert lawbreaking</t>
  </si>
  <si>
    <t>What does Fortiter Defendit Triumphans mean?</t>
  </si>
  <si>
    <t>Who were the Westwood One sideline announcers?</t>
  </si>
  <si>
    <t>What study covered subjects in 80,000 schools?</t>
  </si>
  <si>
    <t>What is Kenya the home of?</t>
  </si>
  <si>
    <t>five-year</t>
  </si>
  <si>
    <t>westward</t>
  </si>
  <si>
    <t>from 1562 to 1598</t>
  </si>
  <si>
    <t>51,300</t>
  </si>
  <si>
    <t>Who knocked the ball out of Manning's hands on the next play?</t>
  </si>
  <si>
    <t>data sampling is biased away from the center of the Amazon basin</t>
  </si>
  <si>
    <t>the unjust forms of authority</t>
  </si>
  <si>
    <t>advances in 3D printing technology</t>
  </si>
  <si>
    <t>Which of Tesla's inventions was used in radio development?</t>
  </si>
  <si>
    <t>What is the only divisor besides 1 that a prime number can have?</t>
  </si>
  <si>
    <t>public order,</t>
  </si>
  <si>
    <t>polynomial</t>
  </si>
  <si>
    <t>contemporary Orient</t>
  </si>
  <si>
    <t>Shah Ala ad-Din Muhammad</t>
  </si>
  <si>
    <t>in self-study and problem solving</t>
  </si>
  <si>
    <t>crowd out Muslim heritage</t>
  </si>
  <si>
    <t>commerce, schooling and government</t>
  </si>
  <si>
    <t>The Rhine and what other river drained the northern flanks of the alps?</t>
  </si>
  <si>
    <t>Where is the chloroplast peripheral reticulum less commonly found?</t>
  </si>
  <si>
    <t>Who was NASA's administrator?</t>
  </si>
  <si>
    <t>What did Wiesner shout out in front of the press during a presentation by von Braun?</t>
  </si>
  <si>
    <t>high supply</t>
  </si>
  <si>
    <t>What did Kenya reveil in 2030?</t>
  </si>
  <si>
    <t>the papacy</t>
  </si>
  <si>
    <t>What documentary was shown about Doctor Who?</t>
  </si>
  <si>
    <t>Islam</t>
  </si>
  <si>
    <t>"cellular" and "humoral" theories</t>
  </si>
  <si>
    <t>What are some of the accepted general principles of European Union law?</t>
  </si>
  <si>
    <t>Charles Avison, the leading British composer of concertos in the 18th century, was born in Newcastle upon Tyne in 1709 and died there in 1770. Basil Hume, Archbishop of Westminster, was born in the city in 1923. Vice Admiral Cuthbert Collingwood, 1st Baron Collingwood, was born in the city. Ironmaster, metallurgist, and member of parliament Isaac Lowthian Bell was born in the city in 1816. Other notable people born in or associated with Newcastle include: engineer and industrialist Lord Armstrong, engineer and father of the modern steam railways George Stephenson, his son, also an engineer, Robert Stephenson, engineer and inventor of the steam turbine Sir Charles Parsons, inventor of the incandescent light bulb Sir Joseph Swan, modernist poet Basil Bunting, and Lord Chief Justice Peter Taylor. Portuguese writer Eça de Queiroz was a diplomat in Newcastle from late 1874 until April 1879—his most productive literary period. Former Prime Minister of Thailand Abhisit Vejjajiva, was born in the city.</t>
  </si>
  <si>
    <t>What can and old, ill man not do?</t>
  </si>
  <si>
    <t>1852</t>
  </si>
  <si>
    <t>Who is the parent company of NDS?</t>
  </si>
  <si>
    <t>When was Otto von Bismarck born?</t>
  </si>
  <si>
    <t>What impact did this loss have on Abercrombie?</t>
  </si>
  <si>
    <t>Colonialism as a policy is caused by financial and what other reasons?</t>
  </si>
  <si>
    <t>tentilla</t>
  </si>
  <si>
    <t>What are Ctenophora commonly known as?</t>
  </si>
  <si>
    <t>deficiencies</t>
  </si>
  <si>
    <t>Caspian Sea to the Sea of Japan</t>
  </si>
  <si>
    <t>Stanley Steamer</t>
  </si>
  <si>
    <t>penniless</t>
  </si>
  <si>
    <t>What magnitude of earthquake can many faults produce?</t>
  </si>
  <si>
    <t>hate them for their religion</t>
  </si>
  <si>
    <t>better</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</si>
  <si>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</si>
  <si>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Who wanted to acquire patents an AC motor.</t>
  </si>
  <si>
    <t>Who designed the Turner and Vernon galleries that were built in 1858-9?</t>
  </si>
  <si>
    <t>What was the final score of the game between the Broncos and Steelers?</t>
  </si>
  <si>
    <t>tensions over slavery and the power of bishops in the denomination</t>
  </si>
  <si>
    <t>Who did the army siege belong to?</t>
  </si>
  <si>
    <t>priest</t>
  </si>
  <si>
    <t>Joy</t>
  </si>
  <si>
    <t>Who did the Mongols give control of Korea?</t>
  </si>
  <si>
    <t>granaries were ordered built throughout the empire</t>
  </si>
  <si>
    <t>Chinggis</t>
  </si>
  <si>
    <t>Standard Model</t>
  </si>
  <si>
    <t>1910</t>
  </si>
  <si>
    <t>What is the goal of individual civil disobedience?</t>
  </si>
  <si>
    <t>stout man</t>
  </si>
  <si>
    <t>Yesügei</t>
  </si>
  <si>
    <t>conscientious lawbreakers must be punished</t>
  </si>
  <si>
    <t>What does the EU's legitimacy rest on?</t>
  </si>
  <si>
    <t>labor inputs (workers)</t>
  </si>
  <si>
    <t>What did Luther identify the Papacy as?</t>
  </si>
  <si>
    <t>electronegativity</t>
  </si>
  <si>
    <t>In what year did Warszowa become the official capital of the Masovian Duchy?</t>
  </si>
  <si>
    <t>How many times prios has the Sun Life Stadium had Super Bowls?</t>
  </si>
  <si>
    <t xml:space="preserve">What comedian is also a university graduate? </t>
  </si>
  <si>
    <t>How much thrust was estimated for the translunar flight?</t>
  </si>
  <si>
    <t>What day did the Apollo 11 crew return to Earth?</t>
  </si>
  <si>
    <t>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t>
  </si>
  <si>
    <t>1291</t>
  </si>
  <si>
    <t>Who provided a definition of linear bounded automata in 1960?</t>
  </si>
  <si>
    <t>the Sky Q Silver set top boxes</t>
  </si>
  <si>
    <t>Tribal members living in the rainforests of what region are using Google Earth?</t>
  </si>
  <si>
    <t>convecting mantle</t>
  </si>
  <si>
    <t>at most one</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</si>
  <si>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</si>
  <si>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When were the talks held for braodcast right to the Primier league for a five year period from the 1992 season?</t>
  </si>
  <si>
    <t>When was the first Sino-Japanese War?</t>
  </si>
  <si>
    <t xml:space="preserve">How are Air force messages delivered </t>
  </si>
  <si>
    <t>How much has a Lama agreed to be reborn?</t>
  </si>
  <si>
    <t>universal ruler</t>
  </si>
  <si>
    <t>directly via their adjacency matrices</t>
  </si>
  <si>
    <t>isolated areas</t>
  </si>
  <si>
    <t>30–60%</t>
  </si>
  <si>
    <t>onomist</t>
  </si>
  <si>
    <t>Who tackled the Carolina Panthers' quarterback just before the end of the first half?</t>
  </si>
  <si>
    <t>have additional membranes outside of the original two</t>
  </si>
  <si>
    <t>Stromatoveris is similair to which genus?</t>
  </si>
  <si>
    <t>40 men</t>
  </si>
  <si>
    <t>The Mongol Empire was governed by a civilian and military code, called the Yassa, created by Genghis Khan. The Mongol Empire did not emphasize the importance of ethnicity and race in the administrative realm, instead adopting an approach grounded in meritocracy. The exception was the role of Genghis Khan and his family. The Mongol Empire was one of the most ethnically and culturally diverse empires in history, as befitted its size. Many of the empire's nomadic inhabitants considered themselves Mongols in military and civilian life, including Mongols, Turks and others and included many diverse Khans of various ethnicities as part of the Mongol Empire such as Muhammad Khan.</t>
  </si>
  <si>
    <t>Ealy</t>
  </si>
  <si>
    <t>In what direction does the mountain system extend?</t>
  </si>
  <si>
    <t>a reconciliation of medication and patient education resulting in increased patient health outcomes and decreased costs to the health care system</t>
  </si>
  <si>
    <t xml:space="preserve">What year did Tesla die? </t>
  </si>
  <si>
    <t>John Paul II</t>
  </si>
  <si>
    <t>What happens after the lead melts?</t>
  </si>
  <si>
    <t>strictly contained in P or equal to P</t>
  </si>
  <si>
    <t>Which Australian TV station has run Doctor Who since 1965?</t>
  </si>
  <si>
    <t>Like many other mainline Protestant denominations in the United States, the United Methodist Church has experienced significant membership losses in recent decades. At the time of its formation, the UMC had about 11 million members in nearly 42,000 congregations. In 1975, membership dropped below 10 million for the first time. In 2005, there were about 8 million members in over 34,000 congregations. Membership is concentrated primarily in the Midwest and in the South. Texas has the largest number of members, with about 1 million. The states with the highest membership rates are Oklahoma, Iowa, Mississippi, West Virginia, and North Carolina.</t>
  </si>
  <si>
    <t>the Second Republic</t>
  </si>
  <si>
    <t>Endosymbiotic gene transfer is how we know about the lost chloroplasts in many chromalveolate lineages. Even if a chloroplast is eventually lost, the genes it donated to the former host's nucleus persist, providing evidence for the lost chloroplast's existence. For example, while diatoms (a heterokontophyte) now have a red algal derived chloroplast, the presence of many green algal genes in the diatom nucleus provide evidence that the diatom ancestor (probably the ancestor of all chromalveolates too) had a green algal derived chloroplast at some point, which was subsequently replaced by the red chloroplast.</t>
  </si>
  <si>
    <t>Each deacon in full connection is a member of what?</t>
  </si>
  <si>
    <t>William and Judith Bollinger</t>
  </si>
  <si>
    <t>31 July 2013</t>
  </si>
  <si>
    <t>160 kPa</t>
  </si>
  <si>
    <t>When did the Huguenots secure the right to own land in the Baronies?</t>
  </si>
  <si>
    <t>colonization, use of military force, or other means</t>
  </si>
  <si>
    <t>labor inputs</t>
  </si>
  <si>
    <t>What is the most common cause of injury on site?</t>
  </si>
  <si>
    <t>For what size natural number does Bertrand's postulate hold?</t>
  </si>
  <si>
    <t>What enables the Scottish Parliament to scrutinize the government?</t>
  </si>
  <si>
    <t xml:space="preserve">What took place in his lab in 1895, causing him to lose thousands of dollars of data and tools? </t>
  </si>
  <si>
    <t>Where do other tourist events happen in Victoria outside of Melbourne?</t>
  </si>
  <si>
    <t xml:space="preserve">Why was this bill nessecary? </t>
  </si>
  <si>
    <t>Greenhouse Gas Inventories</t>
  </si>
  <si>
    <t>evenly round the body</t>
  </si>
  <si>
    <t>When did Warsaw become the capital of the Kingdom of Poland?</t>
  </si>
  <si>
    <t>1884</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</si>
  <si>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</si>
  <si>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WABM-DT2/WDBB-DT2</t>
  </si>
  <si>
    <t>Newcastle replaced him in January 1756 with Lord Loudoun, with Major General James Abercrombie as his second in command. Neither of these men had as much campaign experience as the trio of officers France sent to North America. French regular army reinforcements arrived in New France in May 1756, led by Major General Louis-Joseph de Montcalm and seconded by the Chevalier de Lévis and Colonel François-Charles de Bourlamaque, all experienced veterans from the War of the Austrian Succession. During that time in Europe, on May 18, 1756, England formally declared war on France, which expanded the war into Europe, which was later to be known as the Seven Years' War.</t>
  </si>
  <si>
    <t>To what network did Sabrina the Teenage Witch move in 2000?</t>
  </si>
  <si>
    <t>July 24</t>
  </si>
  <si>
    <t>What percentage of American households did ABC reach in March 2015?</t>
  </si>
  <si>
    <t>129</t>
  </si>
  <si>
    <t>On April 12, 1961, Soviet cosmonaut Yuri Gagarin became the first person to fly in space, reinforcing American fears about being left behind in a technological competition with the Soviet Union. At a meeting of the US House Committee on Science and Astronautics one day after Gagarin's flight, many congressmen pledged their support for a crash program aimed at ensuring that America would catch up. Kennedy was circumspect in his response to the news, refusing to make a commitment on America's response to the Soviets.</t>
  </si>
  <si>
    <t>How many yards did the Panthers get for the division championshipt game?</t>
  </si>
  <si>
    <t>missing self</t>
  </si>
  <si>
    <t>What has caused Oxfam's findings to be questioned?</t>
  </si>
  <si>
    <t>Public-Private Partnering</t>
  </si>
  <si>
    <t>between 1835 and 1842,</t>
  </si>
  <si>
    <t>4k + 3</t>
  </si>
  <si>
    <t>commutative ring R</t>
  </si>
  <si>
    <t>his health</t>
  </si>
  <si>
    <t>pseudo-sciences</t>
  </si>
  <si>
    <t>What is Cultural Imperialism often referred to as?</t>
  </si>
  <si>
    <t>Who was the world's second largest oil producer?</t>
  </si>
  <si>
    <t>a proprietary suite of networking protocols developed by Apple Inc. in 1985</t>
  </si>
  <si>
    <t>1072</t>
  </si>
  <si>
    <t>Mount Kenya</t>
  </si>
  <si>
    <t>a violation of criminal law that does not infringe the rights of others.</t>
  </si>
  <si>
    <t>via a D loop mechanism</t>
  </si>
  <si>
    <t>Army</t>
  </si>
  <si>
    <t>Eisele</t>
  </si>
  <si>
    <t>What was planned for Luther by Frederick III after the meeting?</t>
  </si>
  <si>
    <t>Agriculture is the second largest contributor to Kenya's gross domestic product (GDP), after the service sector. In 2005 agriculture, including forestry and fishing, accounted for 24% of GDP, as well as for 18% of wage employment and 50% of revenue from exports. The principal cash crops are tea, horticultural produce, and coffee. Horticultural produce and tea are the main growth sectors and the two most valuable of all of Kenya's exports. The production of major food staples such as corn is subject to sharp weather-related fluctuations. Production downturns periodically necessitate food aid—for example, in 2004 aid for 1.8 million people because of one of Kenya's intermittent droughts.[citation needed]</t>
  </si>
  <si>
    <t>Ethernet attached hosts, and eventually TCP/IP and additional public universities in Michigan join the network</t>
  </si>
  <si>
    <t>their original peridinin chloroplast</t>
  </si>
  <si>
    <t>What is the benefit of polypeptide binding?</t>
  </si>
  <si>
    <t>tech-oriented</t>
  </si>
  <si>
    <t>There are hints in the surviving records of the ancient Egyptians that they had some knowledge of prime numbers: the Egyptian fraction expansions in the Rhind papyrus, for instance, have quite different forms for primes and for composites. However, the earliest surviving records of the explicit study of prime numbers come from the Ancient Greeks. Euclid's Elements (circa 300 BC) contain important theorems about primes, including the infinitude of primes and the fundamental theorem of arithmetic. Euclid also showed how to construct a perfect number from a Mersenne prime. The Sieve of Eratosthenes, attributed to Eratosthenes, is a simple method to compute primes, although the large primes found today with computers are not generated this way.</t>
  </si>
  <si>
    <t>The Chase</t>
  </si>
  <si>
    <t xml:space="preserve"> Where did he claim he would transport energy to?</t>
  </si>
  <si>
    <t>How many universities does Newcastle have?</t>
  </si>
  <si>
    <t>increasing importance of human capital</t>
  </si>
  <si>
    <t>What makes the method of trial division more efficient?</t>
  </si>
  <si>
    <t>Lucas–Lehmer</t>
  </si>
  <si>
    <t>civilize</t>
  </si>
  <si>
    <t>During the ITV network strike of 1979, viewership peaked at 16 million.[citation needed] Figures remained respectable into the 1980s, but fell noticeably after the programme's 23rd series was postponed in 1985 and the show was off the air for 18 months. Its late 1980s performance of three to five million viewers was seen as poor at the time and was, according to the BBC Board of Control, a leading cause of the programme's 1989 suspension. Some fans considered this disingenuous, since the programme was scheduled against the soap opera Coronation Street, the most popular show at the time. After the series' revival in 2005 (the third notable period of high ratings), it has consistently had high viewership levels for the evening on which the episode is broadcast.</t>
  </si>
  <si>
    <t>pancake</t>
  </si>
  <si>
    <t>have violated some specific laws, but I am guilty of doing no w</t>
  </si>
  <si>
    <t>minimality</t>
  </si>
  <si>
    <t xml:space="preserve">Who analyzes rock samples from drill cores in the lab? </t>
  </si>
  <si>
    <t>persons who conscientiously oppose all war</t>
  </si>
  <si>
    <t>a terrorist organisation</t>
  </si>
  <si>
    <t>1873</t>
  </si>
  <si>
    <t>"apostate" leaders of Muslim states,</t>
  </si>
  <si>
    <t>Infrastructure</t>
  </si>
  <si>
    <t>roof</t>
  </si>
  <si>
    <t>Coco Chanel</t>
  </si>
  <si>
    <t>After asking if the books were his, what else did Eck ask Luther?</t>
  </si>
  <si>
    <t>For whom was the Small Catechism meant?</t>
  </si>
  <si>
    <t>Rhijn</t>
  </si>
  <si>
    <t>Who influenced the Taliban's ideology?</t>
  </si>
  <si>
    <t>Tesla and/or Edison had refused the prize</t>
  </si>
  <si>
    <t>papacy</t>
  </si>
  <si>
    <t>Swiss cities</t>
  </si>
  <si>
    <t>hermaphrodites</t>
  </si>
  <si>
    <t>Where can Tesla's theories as to what caused the skin damage be found?</t>
  </si>
  <si>
    <t>How many megaregions are there in the United States?</t>
  </si>
  <si>
    <t>Boolean</t>
  </si>
  <si>
    <t>amorphous area of central Europe</t>
  </si>
  <si>
    <t>When did the KMJ-TV first broadcast?</t>
  </si>
  <si>
    <t>Allen Shaw</t>
  </si>
  <si>
    <t>ordained by a bishop</t>
  </si>
  <si>
    <t>for the rest of Tesla's life</t>
  </si>
  <si>
    <t>Resources are constrained by hierarchy theorems to produce what?</t>
  </si>
  <si>
    <t>What are the three major traditions present in Christianity?</t>
  </si>
  <si>
    <t>an important game for us as a league</t>
  </si>
  <si>
    <t>Who was in charge of the papal army in the War of Barbastro?</t>
  </si>
  <si>
    <t>His last sermon was delivered at Eisleben, his place of birth, on 15 February 1546, three days before his death. It was "entirely devoted to the obdurate Jews, whom it was a matter of great urgency to expel from all German territory," according to Léon Poliakov. James Mackinnon writes that it concluded with a "fiery summons to drive the Jews bag and baggage from their midst, unless they desisted from their calumny and their usury and became Christians." Luther said, "we want to practice Christian love toward them and pray that they convert," but also that they are "our public enemies ... and if they could kill us all, they would gladly do so. And so often they do."</t>
  </si>
  <si>
    <t>From whom were the movement that Eliot followed derived?</t>
  </si>
  <si>
    <t>unknown or unexplored territory</t>
  </si>
  <si>
    <t>100% oxygen</t>
  </si>
  <si>
    <t>Gian Lorenzo Bernini</t>
  </si>
  <si>
    <t>At A-level, what percentage of British students attend fee-paying schools?</t>
  </si>
  <si>
    <t>three times</t>
  </si>
  <si>
    <t>being drafted</t>
  </si>
  <si>
    <t>How many teams has Manning won the Super Bowl with?</t>
  </si>
  <si>
    <t>Who officially opened the V&amp;A?</t>
  </si>
  <si>
    <t>$5 million for a 30-second</t>
  </si>
  <si>
    <t>On 13 June 1525, the couple was engaged with Johannes Bugenhagen, Justus Jonas, Johannes Apel, Philipp Melanchthon and Lucas Cranach the Elder and his wife as witnesses. On the evening of the same day, the couple was married by Bugenhagen. The ceremonial walk to the church and the wedding banquet were left out, and were made up two weeks later on 27 June.</t>
  </si>
  <si>
    <t>in 2018</t>
  </si>
  <si>
    <t>British settlers outnumbered the French 20 to 1 with a population of about 1.5 million ranged along the eastern coast of the continent, from Nova Scotia and Newfoundland in the north, to Georgia in the south. Many of the older colonies had land claims that extended arbitrarily far to the west, as the extent of the continent was unknown at the time their provincial charters were granted. While their population centers were along the coast, the settlements were growing into the interior. Nova Scotia, which had been captured from France in 1713, still had a significant French-speaking population. Britain also claimed Rupert's Land, where the Hudson's Bay Company traded for furs with local tribes.</t>
  </si>
  <si>
    <t>Organizational interventions</t>
  </si>
  <si>
    <t>the US expansion Westward could be viewed as what type of colonialism?</t>
  </si>
  <si>
    <t>90%</t>
  </si>
  <si>
    <t>Northern Rhodesia</t>
  </si>
  <si>
    <t>difficulty</t>
  </si>
  <si>
    <t>a way of continuing their protest</t>
  </si>
  <si>
    <t>the mosaic floors in the sculpture gallery</t>
  </si>
  <si>
    <t>1976–77</t>
  </si>
  <si>
    <t>What did Luther begin to experience in 1536?</t>
  </si>
  <si>
    <t>Apollo Applications Program</t>
  </si>
  <si>
    <t>Students</t>
  </si>
  <si>
    <t>whether the organelle carries out the last leg of the pathway or if it happens in the cytosol</t>
  </si>
  <si>
    <t>What did the result of the SNP majority allow a referendum be held on?</t>
  </si>
  <si>
    <t>High Rhine</t>
  </si>
  <si>
    <t>What does the Ruhr provide to it's community?</t>
  </si>
  <si>
    <t>When did the university start having a bachelor's degree program in theater &amp; performance studies?</t>
  </si>
  <si>
    <t>AS-205</t>
  </si>
  <si>
    <t>Who had the most receptions out of all players for the year?</t>
  </si>
  <si>
    <t>perceived difficulty of its tune</t>
  </si>
  <si>
    <t>uprights</t>
  </si>
  <si>
    <t>In what meeting did Shirley lay out plans for 1756?</t>
  </si>
  <si>
    <t>Where according to gross state product does Victoria rank in Australia?</t>
  </si>
  <si>
    <t>Nederrijn at Angeren</t>
  </si>
  <si>
    <t>unfairly biased</t>
  </si>
  <si>
    <t>arthritis, and an ear infection ruptured an ear drum</t>
  </si>
  <si>
    <t>conspiracy</t>
  </si>
  <si>
    <t>blue police box</t>
  </si>
  <si>
    <t>For what railroad did Stephenson build a locomotive in 1825?</t>
  </si>
  <si>
    <t>Onggirat</t>
  </si>
  <si>
    <t>In 1983, ABC sold KXYZ to the Infinity Broadcasting Corporation. On January 4, 1984, The New York Times reported that ABC, through its subsidiary ABC Video Enterprises, had exercised its option to purchase up to 15% (or between $25 million and $30 million) of Getty Oil's shares in ESPN, which would allow it to expand its shares at a later date. In June 1984, ABC's executive committee approved the company's interest acquisition in ESPN, and ABC arranged with Getty Oil to obtain an 80% stake in the channel, while selling the remaining 20% to Nabisco. That year, ABC and Hearst reached an agreement with RCA to merge ARTS and competing arts service, The Entertainment Channel, into a single cable channel called Arts &amp; Entertainment Television (A&amp;E); the new channel subsequently leased a separate satellite transponder, ending its sharing agreement with Nickelodeon to become a 24-hour service. Meanwhile, ABC withdrew from the theme park business for good when it sold the Silver Springs Nature Theme Park.</t>
  </si>
  <si>
    <t>Northern Europe and the Mid-Atlantic</t>
  </si>
  <si>
    <t>William the Silent</t>
  </si>
  <si>
    <t>What president eliminated the Christian position in the curriculum?</t>
  </si>
  <si>
    <t>Thousands of madrasahs spawned what organization?</t>
  </si>
  <si>
    <t>Over how many studies have shown that violence is more common in societies with income differences?</t>
  </si>
  <si>
    <t>eight years in primary school and four years in high school or secondary school.</t>
  </si>
  <si>
    <t>In the most basic sense what did a Turing machine emulate?</t>
  </si>
  <si>
    <t>When did ABC first premiere Who Wants to Be a Millionaire?</t>
  </si>
  <si>
    <t>When did ABC begin making family-oriented series?</t>
  </si>
  <si>
    <t>The design team is most commonly employed by who?</t>
  </si>
  <si>
    <t>Why does unemployment harm growth?</t>
  </si>
  <si>
    <t>1920</t>
  </si>
  <si>
    <t>Why is giving a defiant speech sometimes more harmful for the individual?</t>
  </si>
  <si>
    <t>How many balls did Josh Norman intercept?</t>
  </si>
  <si>
    <t>Moscone Center</t>
  </si>
  <si>
    <t>One theory suggests the name stems from a palatalised version of the Mongolian and Turkic word tenggis, meaning "ocean", "oceanic" or "wide-spreading". (Lake Baikal and ocean were called tenggis by the Mongols. However, it seems that if they had meant to call Genghis tenggis they could have said, and written, "Tenggis Khan", which they did not.) Zhèng (Chinese: 正) meaning "right", "just", or "true", would have received the Mongolian adjectival modifier -s, creating "Jenggis", which in medieval romanization would be written "Genghis". It is likely that the 13th century Mongolian pronunciation would have closely matched "Chinggis".</t>
  </si>
  <si>
    <t>What title did Iroquois give Johnson?</t>
  </si>
  <si>
    <t xml:space="preserve">What unforeseen problem caused Tesla to hit his experiment with a sledgehammer? </t>
  </si>
  <si>
    <t xml:space="preserve">This type of system is known as </t>
  </si>
  <si>
    <t>What type of item is the mostly likely to show in the V&amp;A computer system?</t>
  </si>
  <si>
    <t>Why was old oil withdrawn from the market?</t>
  </si>
  <si>
    <t>When did income inequality begin to increase in the US?</t>
  </si>
  <si>
    <t>Which articles state that powers stay with member states unless they've been conferred?</t>
  </si>
  <si>
    <t>WBND-LD</t>
  </si>
  <si>
    <t>The flagship stations of each station in the markets of each team will carry their local play-by-play calls. In Denver, KOA (850 AM) and KRFX (103.5 FM) will carry the game, with Dave Logan on play-by-play and Ed McCaffrey on color commentary. In North Carolina, WBT (1110 AM) will carry the game, with Mick Mixon on play-by-play and Eugene Robinson and Jim Szoke on color commentary. WBT will also simulcast the game on its sister station WBT-FM (99.3 FM), which is based in Chester, South Carolina. As KOA and WBT are both clear-channel stations, the local broadcasts will be audible over much of the western United States after sunset (for Denver) and the eastern United States throughout the game (for Carolina). In accordance with contractual rules, the rest of the stations in the Broncos and Panthers radio networks will either carry the Westwood One feed or not carry the game at all.</t>
  </si>
  <si>
    <t>his protection</t>
  </si>
  <si>
    <t>narcotic drugs</t>
  </si>
  <si>
    <t>What does the water flow of the Rhine merge with after flowing through Merwede?</t>
  </si>
  <si>
    <t>pinch in two</t>
  </si>
  <si>
    <t>When did the Egyptian Islamic Jihad assassinate Anwar Sadat?</t>
  </si>
  <si>
    <t>Zaltbommel</t>
  </si>
  <si>
    <t>a noble death</t>
  </si>
  <si>
    <t>When was Japan accepted as an Arab-friendly state?</t>
  </si>
  <si>
    <t>friction</t>
  </si>
  <si>
    <t>Who governed the Central Region in the Yuan?</t>
  </si>
  <si>
    <t>safaris, diverse climate and geography</t>
  </si>
  <si>
    <t xml:space="preserve">How would one write T(n) = 7n2 + 15n + 40 in big O notation? </t>
  </si>
  <si>
    <t>a proper hierarchy on the classes</t>
  </si>
  <si>
    <t>that priest whose name was Martin Luther</t>
  </si>
  <si>
    <t>core curriculum of seven classes</t>
  </si>
  <si>
    <t>What type of numbers are always multiples of 2?</t>
  </si>
  <si>
    <t>the Royal Grammar School</t>
  </si>
  <si>
    <t>law of supply and demand</t>
  </si>
  <si>
    <t>Newcastle_upon_Tyne</t>
  </si>
  <si>
    <t>What church runs some private schools in Victoria?</t>
  </si>
  <si>
    <t>principle of equivalence</t>
  </si>
  <si>
    <t>the mid-2000s</t>
  </si>
  <si>
    <t>What does AFC stand for?</t>
  </si>
  <si>
    <t>Imperialism is a type of advocacy of empire. Its name originated from the Latin word "imperium", which means to rule over large territories. Imperialism is "a policy of extending a country's power and influence through colonization, use of military force, or other means". Imperialism has greatly shaped the contemporary world. It has also allowed for the rapid spread of technologies and ideas. The term imperialism has been applied to Western (and Japanese) political and economic dominance especially in Asia and Africa in the 19th and 20th centuries. Its precise meaning continues to be debated by scholars. Some writers, such as Edward Said, use the term more broadly to describe any system of domination and subordination organised with an imperial center and a periphery.</t>
  </si>
  <si>
    <t>What collection was transferred to the museum when the new architectural history gallery opened?</t>
  </si>
  <si>
    <t>to destroy invading microbes</t>
  </si>
  <si>
    <t>WBT-FM</t>
  </si>
  <si>
    <t>What is Christian Perfection?</t>
  </si>
  <si>
    <t>combination of poor management, internal divisions, and effective Canadian scouts, French regular forces, and Indian warrior allies</t>
  </si>
  <si>
    <t>curved</t>
  </si>
  <si>
    <t xml:space="preserve">What month, day and year did Super Bowl 50 take place? </t>
  </si>
  <si>
    <t>Himalayan glaciers</t>
  </si>
  <si>
    <t>at Konwiktorska Street</t>
  </si>
  <si>
    <t>What major event U.S. occurred that made the BBC delay the broadcast?</t>
  </si>
  <si>
    <t>Joanna Lumley</t>
  </si>
  <si>
    <t>Shia terrorist groups</t>
  </si>
  <si>
    <t>general relativity</t>
  </si>
  <si>
    <t>a secretary</t>
  </si>
  <si>
    <t>What color was used to emphasize the 50th anniversary of the Super Bowl?</t>
  </si>
  <si>
    <t>Boolean satisfiability problem</t>
  </si>
  <si>
    <t>How many people were in British North American Colonies?</t>
  </si>
  <si>
    <t>What Institute published findings in September 2012 regarding the Forbes richest 400 Americans?</t>
  </si>
  <si>
    <t>What other visual phenomena accompanied Tesla's visions?</t>
  </si>
  <si>
    <t>Which Carolina Panthers player was named Most Valuable Player?</t>
  </si>
  <si>
    <t>Pakistan movement</t>
  </si>
  <si>
    <t>The majority of building construction jobs are what?</t>
  </si>
  <si>
    <t>hiding a Jew</t>
  </si>
  <si>
    <t>was recalled and replaced by Jeffery Amherst</t>
  </si>
  <si>
    <t>Committee of Independent Experts</t>
  </si>
  <si>
    <t>sthène</t>
  </si>
  <si>
    <t>Video On Demand service</t>
  </si>
  <si>
    <t>Wide World of Sports</t>
  </si>
  <si>
    <t>stroke</t>
  </si>
  <si>
    <t>What is Warsaw known as in Polish?</t>
  </si>
  <si>
    <t>political power generated by wealth</t>
  </si>
  <si>
    <t>the most rigorous, intense</t>
  </si>
  <si>
    <t>on the ground</t>
  </si>
  <si>
    <t>What other locations can the Booth School of Business be found?</t>
  </si>
  <si>
    <t>around 50 years of age</t>
  </si>
  <si>
    <t>The Revolution</t>
  </si>
  <si>
    <t>Which region began to grow and assert itself in the 2000s?</t>
  </si>
  <si>
    <t>The entrepreneurs Josiah Wedgwood, Matthew Boulton and Eleanor Coade were influenced by what manufacturing process developed during the Industrial Revolution?</t>
  </si>
  <si>
    <t xml:space="preserve"> In the 2009 Commission v Italy, case, the Court of Justice held that an Italian low prohibiting what infringed article 34?</t>
  </si>
  <si>
    <t>areas controlled by Russia</t>
  </si>
  <si>
    <t>What is student motivation about school linked to?</t>
  </si>
  <si>
    <t>early 1970s</t>
  </si>
  <si>
    <t>What is the term for the arrangement of two unpaired electrons in dioxygen?</t>
  </si>
  <si>
    <t>continuation of the Mongol Empire</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</si>
  <si>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Dartmouth—which used a computer on loan from GE—could be profitable. Warner was right.)</t>
  </si>
  <si>
    <t>disobedience of laws</t>
  </si>
  <si>
    <t>October 2007</t>
  </si>
  <si>
    <t>William would eventually gain what throne?</t>
  </si>
  <si>
    <t>Visa Inc.</t>
  </si>
  <si>
    <t>pass on their signal</t>
  </si>
  <si>
    <t>stratigraphers</t>
  </si>
  <si>
    <t>basic design typical of Eastern bloc countries</t>
  </si>
  <si>
    <t>the referendum in France and the referendum in the Netherlands</t>
  </si>
  <si>
    <t>more than 28 days</t>
  </si>
  <si>
    <t>path between two space-time events</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</si>
  <si>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</si>
  <si>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binary</t>
  </si>
  <si>
    <t>300,000</t>
  </si>
  <si>
    <t>41 years old</t>
  </si>
  <si>
    <t>render certain laws ineffective</t>
  </si>
  <si>
    <t>How much of the protein products of transferred genes don't go back to chloroplasts?</t>
  </si>
  <si>
    <t>with the help of the military</t>
  </si>
  <si>
    <t>Norman mercenary</t>
  </si>
  <si>
    <t>Who was the Denver head coach for Super Bowl 50?</t>
  </si>
  <si>
    <t>28 ABC affiliates and two additional subchannel-only</t>
  </si>
  <si>
    <t>Daniel B. Burke</t>
  </si>
  <si>
    <t>Chen's theorem</t>
  </si>
  <si>
    <t>Where is the oldest pharmacy stated to be located?</t>
  </si>
  <si>
    <t>certification</t>
  </si>
  <si>
    <t>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 Lek (2/9 of total discharge) and the River IJssel (1/9 of total discharge). This discharge distribution has been maintained since 1709, by river engineering works, including the digging of the Pannerdens canal and since the 20th century, with the help of weirs in the Nederrijn river.</t>
  </si>
  <si>
    <t>In what sector are jobs beginning to decrease?</t>
  </si>
  <si>
    <t>with or without intermediate forwarding nodes</t>
  </si>
  <si>
    <t>What is the second aspect of teacher enthusiasm?</t>
  </si>
  <si>
    <t>What does Paul Krugmen think has had an observable effect on inequality in the U.S.?</t>
  </si>
  <si>
    <t>How much do ctenophore eat in a day?</t>
  </si>
  <si>
    <t>In what century was the Yarrow-Schlick-Tweedy balancing system used?</t>
  </si>
  <si>
    <t>The Middle and Modern Family</t>
  </si>
  <si>
    <t>Le grand concludes that an author's words offer only what they intended for them to imply regarding this type of terminology?</t>
  </si>
  <si>
    <t>to complete the construction of Wardenclyffe</t>
  </si>
  <si>
    <t>1943</t>
  </si>
  <si>
    <t>an invasion of Britain</t>
  </si>
  <si>
    <t>Kenya National Dialogue and Reconciliation process</t>
  </si>
  <si>
    <t>increasingly expected to be compensated for their patient care skills</t>
  </si>
  <si>
    <t>Super Bowl LI.</t>
  </si>
  <si>
    <t>grant a consent search</t>
  </si>
  <si>
    <t>semi-legal</t>
  </si>
  <si>
    <t>chosen machine model</t>
  </si>
  <si>
    <t>difficulty of its tune</t>
  </si>
  <si>
    <t>upper classes</t>
  </si>
  <si>
    <t>Who is an example of the diversity of leadership in the Mongol Empire?</t>
  </si>
  <si>
    <t>one MSP</t>
  </si>
  <si>
    <t>Egyptian President Anwar Sadat – whose policies included opening Egypt to Western investment (infitah); transferring Egypt's allegiance from the Soviet Union to the United States; and making peace with Israel –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</si>
  <si>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$8.7 billion</t>
  </si>
  <si>
    <t>Maria Skłodowska-Curie</t>
  </si>
  <si>
    <t>1850s</t>
  </si>
  <si>
    <t>What American actor is also a university graduate?</t>
  </si>
  <si>
    <t>only three divisions</t>
  </si>
  <si>
    <t>experience, ideology, and weapons</t>
  </si>
  <si>
    <t>oxyacetylene welding</t>
  </si>
  <si>
    <t>According to PolitiFact the top 400 richest Americans "have more wealth than half of all Americans combined." According to the New York Times on July 22, 2014, the "richest 1 percent in the United States now own more wealth than the bottom 90 percent". Inherited wealth may help explain why many Americans who have become rich may have had a "substantial head start". In September 2012, according to the Institute for Policy Studies, "over 60 percent" of the Forbes richest 400 Americans "grew up in substantial privilege".</t>
  </si>
  <si>
    <t>autocratic-bureaucratic</t>
  </si>
  <si>
    <t>What did the Zuider Zee brackish lagoon change into?</t>
  </si>
  <si>
    <t>about four men attending Harvard College for every woman studying at Radcliffe</t>
  </si>
  <si>
    <t>Adolf Galland</t>
  </si>
  <si>
    <t>New York–based filmmakers</t>
  </si>
  <si>
    <t>criminal</t>
  </si>
  <si>
    <t>rubisco</t>
  </si>
  <si>
    <t>What portion of bird species make up the world's total live in the rainforest?</t>
  </si>
  <si>
    <t>up to a thousand times as many</t>
  </si>
  <si>
    <t>the National Archives and Records Administration</t>
  </si>
  <si>
    <t>valleys</t>
  </si>
  <si>
    <t>When did Mark Woods leave ABC?</t>
  </si>
  <si>
    <t>During which period in history was the Amazon rainforest a narrow band of forest?</t>
  </si>
  <si>
    <t>Which countries were the European Coal and Steel Community agreement between?</t>
  </si>
  <si>
    <t>Who are FDA laws against importing medications aimed at?</t>
  </si>
  <si>
    <t>Dyrrachium</t>
  </si>
  <si>
    <t>1321 to 1323</t>
  </si>
  <si>
    <t>small-scale manufacturing of household goods, motor-vehicle parts, and farm implements</t>
  </si>
  <si>
    <t>platoon" system</t>
  </si>
  <si>
    <t>the Common Core</t>
  </si>
  <si>
    <t>When did the plague return to Europe?</t>
  </si>
  <si>
    <t>a number of qualifications</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</si>
  <si>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</si>
  <si>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What is the term for a meeting of Mongol chiefs?</t>
  </si>
  <si>
    <t>thaw and fall-winter snow covers</t>
  </si>
  <si>
    <t>locomotion</t>
  </si>
  <si>
    <t>Teaching using pedagogy also involve assessing the educational levels of the students on particular skills. Understanding the pedagogy of the students in a classroom involves using differentiated instruction as well as supervision to meet the needs of all students in the classroom. Pedagogy can be thought of in two manners. First, teaching itself can be taught in many different ways, hence, using a pedagogy of teaching styles. Second, the pedagogy of the learners comes into play when a teacher assesses the pedagogic diversity of his/her students and differentiates for the individual students accordingly. For example, an experienced teacher and parent described the place of a teacher in learning as follows: "The real bulk of learning takes place in self-study and problem solving with a lot of feedback around that loop. The function of the teacher is to pressure the lazy, inspire the bored, deflate the cocky, encourage the timid, detect and correct individual flaws, and broaden the viewpoint of all. This function looks like that of a coach using the whole gamut of psychology to get each new class of rookies off the bench and into the game."</t>
  </si>
  <si>
    <t>Helper and regulatory T cells can only recognize antigens coupled to what kind of molecules?</t>
  </si>
  <si>
    <t>economic development programme</t>
  </si>
  <si>
    <t>Cardinals</t>
  </si>
  <si>
    <t>What types of discipline did the teacher have access to?</t>
  </si>
  <si>
    <t>after a year</t>
  </si>
  <si>
    <t>What gameshow featuring newly married people was debuted by ABC in July 1966?</t>
  </si>
  <si>
    <t>What legitimate dynasty came before the Yuan?</t>
  </si>
  <si>
    <t>In 1929, the university's fifth president, Robert Maynard Hutchins, took office; the university underwent many changes during his 24-year tenure. Hutchins eliminated varsity football from the university in an attempt to emphasize academics over athletics, instituted the undergraduate college's liberal-arts curriculum known as the Common Core, and organized the university's graduate work into its current[when?] four divisions. In 1933, Hutchins proposed an unsuccessful plan to merge the University of Chicago and Northwestern University into a single university. During his term, the University of Chicago Hospitals (now called the University of Chicago Medical Center) finished construction and enrolled its first medical students. Also, the Committee on Social Thought, an institution distinctive of the university, was created.</t>
  </si>
  <si>
    <t>Catholic Church.</t>
  </si>
  <si>
    <t>Tolui,</t>
  </si>
  <si>
    <t>Russian</t>
  </si>
  <si>
    <t>the father of the house</t>
  </si>
  <si>
    <t>Who build the major port city in Kenya?</t>
  </si>
  <si>
    <t>Where does Kenya have deposits of oil?</t>
  </si>
  <si>
    <t>computational</t>
  </si>
  <si>
    <t>Upper Lake</t>
  </si>
  <si>
    <t>What type of impact can the residents of Newcastle expect the city's noise to have on them?</t>
  </si>
  <si>
    <t>What made Ohio Country vulnerable?</t>
  </si>
  <si>
    <t>Zhu Yuanzhang</t>
  </si>
  <si>
    <t>What does a teacher teach in primary school?</t>
  </si>
  <si>
    <t>rapidly raising population and traffic in cities along SR 99</t>
  </si>
  <si>
    <t>Who else did Tesla make the acquaintance of in 1886?</t>
  </si>
  <si>
    <t>How is oxygen produced from carbon dioxide on the other planets of the solar system?</t>
  </si>
  <si>
    <t>Historically, which movement has the Methodist Church supported?</t>
  </si>
  <si>
    <t>15 miles away</t>
  </si>
  <si>
    <t>Which bound of time is more difficult to establish?</t>
  </si>
  <si>
    <t>All clergy appointments are made and fixed annually by the resident bishop on the advice of the Annual Conference Cabinet, which is composed of the Area Provost/Dean (if one is appointed) and the several District Superintendents of the Districts of the Annual Conference. Until the bishop has read the appointments at the session of the Annual Conference, no appointments are officially fixed. Many Annual Conferences try to avoid making appointment changes between sessions of Annual Conference. While an appointment is made one year at a time, it is most common for an appointment to be continued for multiple years. Appointment tenures in extension ministries, such as military chaplaincy, campus ministry, missions, higher education and other ministries beyond the local church are often even longer.</t>
  </si>
  <si>
    <t>sport (including English Premier League Football), films, entertainment and news</t>
  </si>
  <si>
    <t>400</t>
  </si>
  <si>
    <t>Somerset House</t>
  </si>
  <si>
    <t>the Commission</t>
  </si>
  <si>
    <t>Catawba</t>
  </si>
  <si>
    <t>strong, electromagnetic</t>
  </si>
  <si>
    <t>mad dogs</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</si>
  <si>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</si>
  <si>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world's first commercial online service</t>
  </si>
  <si>
    <t>Khrushchev</t>
  </si>
  <si>
    <t>Where was Genghis Khan buried?</t>
  </si>
  <si>
    <t>Society of Jesus</t>
  </si>
  <si>
    <t>mild</t>
  </si>
  <si>
    <t>tourism</t>
  </si>
  <si>
    <t>What class of ships is an example of large passenger liners?</t>
  </si>
  <si>
    <t>deep-level</t>
  </si>
  <si>
    <t>April 1523</t>
  </si>
  <si>
    <t>an interim facility for the relocation of Fresno area Japanese Americans to internment camps</t>
  </si>
  <si>
    <t>From the mid-2000s, the university began a number of multimillion-dollar expansion projects. In 2008, the University of Chicago announced plans to establish the Milton Friedman Institute which attracted both support and controversy from faculty members and students. The institute will cost around $200 million and occupy the buildings of the Chicago Theological Seminary. During the same year, investor David G. Booth donated $300 million to the university's Booth School of Business, which is the largest gift in the university's history and the largest gift ever to any business school. In 2009, planning or construction on several new buildings, half of which cost $100 million or more, was underway. Since 2011, major construction projects have included the Jules and Gwen Knapp Center for Biomedical Discovery, a ten-story medical research center, and further additions to the medical campus of the University of Chicago Medical Center. In 2014 the University launched the public phase of a $4.5 billion fundraising campaign. In September 2015, the University received $100 million from The Pearson Family Foundation to establish The Pearson Institute for the Study and Resolution of Global Conflicts and The Pearson Global Forum at the Harris School of Public Policy Studies.</t>
  </si>
  <si>
    <t>very rare</t>
  </si>
  <si>
    <t>Sheldon Ungar</t>
  </si>
  <si>
    <t>when they would be married</t>
  </si>
  <si>
    <t>nonviolent protest</t>
  </si>
  <si>
    <t>the 2010 series</t>
  </si>
  <si>
    <t xml:space="preserve">what did Tesla think nitrous acid contributed to? </t>
  </si>
  <si>
    <t>ABC maintains several video on demand services for delayed viewing of the network's programming, including a traditional VOD service called ABC on Demand, which is carried on most traditional cable and IPTV providers. The Walt Disney Company is also a part-owner of Hulu (as part of a consortium that includes, among other parties, the respective parent companies of NBC and Fox, NBCUniversal and 21st Century Fox), and has offered full-length episodes of most of ABC's programming through the streaming service since July 6, 2009 (which are available for viewing on Hulu's website and mobile app), as part of an agreement reached in April that year that also allowed Disney to acquire a 27% ownership stake in Hulu.</t>
  </si>
  <si>
    <t>Which train company provides local and regional services?</t>
  </si>
  <si>
    <t>D. Brainerd Holmes</t>
  </si>
  <si>
    <t>slash and burn method</t>
  </si>
  <si>
    <t>turbine engines</t>
  </si>
  <si>
    <t>What does the First Minister deliver at the beginning of each parliamentary year?</t>
  </si>
  <si>
    <t>What can cause fluctuations in the production of corn?</t>
  </si>
  <si>
    <t>What kind of field is necessary to produce a magnet effect in oxygen molecules?</t>
  </si>
  <si>
    <t>A teacher must be a member in good standing with what entity in many situations?</t>
  </si>
  <si>
    <t>During the same year, Tesla wrote a treatise, The Art of Projecting Concentrated Non-dispersive Energy through the Natural Media, concerning charged particle beam weapons. Tesla published the document in an attempt to expound on the technical description of a "superweapon that would put an end to all war." This treatise is currently in the Nikola Tesla Museum archive in Belgrade. It describes an open-ended vacuum tube with a gas jet seal that allows particles to exit, a method of charging particles to millions of volts, and a method of creating and directing non-dispersive particle streams (through electrostatic repulsion). Tesla tried to interest the US War Department, the United Kingdom, the Soviet Union, and Yugoslavia in the device.</t>
  </si>
  <si>
    <t>What kicker was successful on a 33-yard field goal?</t>
  </si>
  <si>
    <t>What other catalysts can be used to produce oxygen?</t>
  </si>
  <si>
    <t>more than 20</t>
  </si>
  <si>
    <t>rotating discs</t>
  </si>
  <si>
    <t>rookies</t>
  </si>
  <si>
    <t>2,000 buildings</t>
  </si>
  <si>
    <t>Hisao Yamada</t>
  </si>
  <si>
    <t>soy farmers</t>
  </si>
  <si>
    <t>Genesis</t>
  </si>
  <si>
    <t>number of gates</t>
  </si>
  <si>
    <t>the public PAD service Telepad</t>
  </si>
  <si>
    <t>Why should one not go to jail?</t>
  </si>
  <si>
    <t>the Confederate cause</t>
  </si>
  <si>
    <t>The V&amp;A has its origins in the Great Exhibition of 1851, with which Henry Cole, the museum's first director, was involved in planning; initially it was known as the Museum of Manufactures, first opening in May 1852 at Marlborough House, but by September had been transferred to Somerset House. At this stage the collections covered both applied art and science. Several of the exhibits from the Exhibition were purchased to form the nucleus of the collection. By February 1854 discussions were underway to transfer the museum to the current site and it was renamed South Kensington Museum. In 1855 the German architect Gottfried Semper, at the request of Cole, produced a design for the museum, but it was rejected by the Board of Trade as too expensive. The site was occupied by Brompton Park House; this was extended including the first refreshment rooms opened in 1857, the museum being the first in the world to provide such a facility.</t>
  </si>
  <si>
    <t>Which state has the largest number of members?</t>
  </si>
  <si>
    <t>What is the ability to recognize and adapt to new specific pathogens called?</t>
  </si>
  <si>
    <t>the three-region point of view</t>
  </si>
  <si>
    <t>melatonin</t>
  </si>
  <si>
    <t>What was the outcome of living in the California Redwood tree?</t>
  </si>
  <si>
    <t>imperialist influence</t>
  </si>
  <si>
    <t>tallest precast, post-tensioned concrete structure</t>
  </si>
  <si>
    <t>Kraków</t>
  </si>
  <si>
    <t>protect their tribal lands from commercial interests</t>
  </si>
  <si>
    <t>What will be the importance of the pharmacist in coming decades?</t>
  </si>
  <si>
    <t>a University of North Florida team</t>
  </si>
  <si>
    <t>Brisingr and High Wizardry</t>
  </si>
  <si>
    <t>torments</t>
  </si>
  <si>
    <t>What type of rally was held?</t>
  </si>
  <si>
    <t>seconds</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</si>
  <si>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</si>
  <si>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when did tesla begin researching x-ray imaging?</t>
  </si>
  <si>
    <t>Chemical barriers also protect against infection. The skin and respiratory tract secrete antimicrobial peptides such as the β-defensins. Enzymes such as lysozyme and phospholipase A2 in saliva, tears, and breast milk are also antibacterials. Vaginal secretions serve as a chemical barrier following menarche, when they become slightly acidic, while semen contains defensins and zinc to kill pathogens. In the stomach, gastric acid and proteases serve as powerful chemical defenses against ingested pathogens.</t>
  </si>
  <si>
    <t>parallelogram</t>
  </si>
  <si>
    <t>devastating loss</t>
  </si>
  <si>
    <t>extremely high humidity</t>
  </si>
  <si>
    <t>engaging in the forbidden speech</t>
  </si>
  <si>
    <t>inform the jury and the public of the political circumstances</t>
  </si>
  <si>
    <t>What percent of the Muslim population lives in Kenya's Coastal Region?</t>
  </si>
  <si>
    <t>University City is an example of a business district located in which city?</t>
  </si>
  <si>
    <t>Maurus Servius Honoratus</t>
  </si>
  <si>
    <t>numerous foundations were laid out by various researchers</t>
  </si>
  <si>
    <t>the courts of member states</t>
  </si>
  <si>
    <t>As of January 2016 how many digits does the largest known prime consist of?</t>
  </si>
  <si>
    <t>Robert Iger</t>
  </si>
  <si>
    <t>How many phases was the Metro opened in between 1980 and 1984?</t>
  </si>
  <si>
    <t>DTIME(n2)</t>
  </si>
  <si>
    <t>bright white light</t>
  </si>
  <si>
    <t>Bruno Mars</t>
  </si>
  <si>
    <t>In 2009, what did Citadel Communications rebrand it's ABC Radio brand as?</t>
  </si>
  <si>
    <t>At Millingen aan de Rijn where the Rhine splits, what does it change it's name to?</t>
  </si>
  <si>
    <t>Approximately how many British oil paintings does the museum have?</t>
  </si>
  <si>
    <t>militia support</t>
  </si>
  <si>
    <t>British Prime Minister Edward Heath</t>
  </si>
  <si>
    <t>lung tissue</t>
  </si>
  <si>
    <t>With whom was Temüjin's first important alliance?</t>
  </si>
  <si>
    <t>Federal Minister of the Interior</t>
  </si>
  <si>
    <t>mother tongues</t>
  </si>
  <si>
    <t>increasing access to education</t>
  </si>
  <si>
    <t>What law justified British imperialism?</t>
  </si>
  <si>
    <t>1886</t>
  </si>
  <si>
    <t>American Broadcasting-Paramount Theatres, Inc</t>
  </si>
  <si>
    <t>Who are some of the best rally drivers that have won the rally?</t>
  </si>
  <si>
    <t>1896</t>
  </si>
  <si>
    <t>What term was used for the first regeneration?</t>
  </si>
  <si>
    <t>When did tides and currents similar to our current system begin?</t>
  </si>
  <si>
    <t>2016</t>
  </si>
  <si>
    <t>dumbbell-shaped</t>
  </si>
  <si>
    <t>On what date was series two first shown by the CBC?</t>
  </si>
  <si>
    <t>Besides the Bondage of the Will, what other work did Luther view as a book of his?</t>
  </si>
  <si>
    <t>What is the mineral wustite?</t>
  </si>
  <si>
    <t>removed some parts</t>
  </si>
  <si>
    <t>powerful high frequency currents</t>
  </si>
  <si>
    <t>Who took Isaacs place as Provost in 2016?</t>
  </si>
  <si>
    <t>political focus</t>
  </si>
  <si>
    <t>Who was Tesla's nephew?</t>
  </si>
  <si>
    <t>people to pursue their life goals in any country through free movement</t>
  </si>
  <si>
    <t>Video On Demand</t>
  </si>
  <si>
    <t>Tolbert</t>
  </si>
  <si>
    <t>Over the next five days, private conferences were held to determine Luther's fate. The Emperor presented the final draft of the Edict of Worms on 25 May 1521, declaring Luther an outlaw, banning his literature, and requiring his arrest: "We want him to be apprehended and punished as a notorious heretic." It also made it a crime for anyone in Germany to give Luther food or shelter. It permitted anyone to kill Luther without legal consequence.</t>
  </si>
  <si>
    <t>After the Greeks, little happened with the study of prime numbers until the 17th century. In 1640 Pierre de Fermat stated (without proof) Fermat's little theorem (later proved by Leibniz and Euler). Fermat also conjectured that all numbers of the form 22n + 1 are prime (they are called Fermat numbers) and he verified this up to n = 4 (or 216 + 1). However, the very next Fermat number 232 + 1 is composite (one of its prime factors is 641), as Euler discovered later, and in fact no further Fermat numbers are known to be prime. The French monk Marin Mersenne looked at primes of the form 2p − 1, with p a prime. They are called Mersenne primes in his honor.</t>
  </si>
  <si>
    <t>The university operates 12 research institutes and 113 research centers on campus. Among these are the Oriental Institute—a museum and research center for Near Eastern studies owned and operated by the university—and a number of National Resource Centers, including the Center for Middle Eastern Studies. Chicago also operates or is affiliated with a number of research institutions apart from the university proper. The university partially manages Argonne National Laboratory, part of the United States Department of Energy's national laboratory system, and has a joint stake in Fermilab, a nearby particle physics laboratory, as well as a stake in the Apache Point Observatory in Sunspot, New Mexico. Faculty and students at the adjacent Toyota Technological Institute at Chicago collaborate with the university, In 2013, the university announced that it was affiliating the formerly independent Marine Biological Laboratory in Woods Hole, Mass. Although formally unrelated, the National Opinion Research Center is located on Chicago's campus.</t>
  </si>
  <si>
    <t>yellow fever</t>
  </si>
  <si>
    <t>What society founded the University of Chicago?</t>
  </si>
  <si>
    <t>How long does it take for new areas to have significant oil production?</t>
  </si>
  <si>
    <t>What members typically open debates?</t>
  </si>
  <si>
    <t>Who produced the first geological map of the U.S.?</t>
  </si>
  <si>
    <t>In the United States, the industry in 2014 has around $960 billion in annual revenue according to statistics tracked by the Census Bureau, of which $680 billion is private (split evenly between residential and nonresidential) and the remainder is government. As of 2005, there were about 667,000 firms employing 1 million contractors (200,000 general contractors, 38,000 heavy, and 432,000 specialty); the average contractor employed fewer than 10 employees. As a whole, the industry employed an estimated 5.8 million as of April 2013, with a 13.2% unemployment rate. In the United States, approximately 828,000 women were employed in the construction industry as of 2011.</t>
  </si>
  <si>
    <t>What does the Pink Triangle have a range of?</t>
  </si>
  <si>
    <t>San Diego</t>
  </si>
  <si>
    <t>for draining the surrounding land and polders</t>
  </si>
  <si>
    <t>diseases like malaria, HIV/AIDS, pneumonia, diarrhoea and malnutrition</t>
  </si>
  <si>
    <t>What writing inspired the name Great Yuan?</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</si>
  <si>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Said’s Orientalism as the west’s construction of the east as the “other”. According to Siad, orientalism allowed Europe to establish itself as the superior and the norm, which justified its dominance over the essentialized Orient.</t>
  </si>
  <si>
    <t>economic stagnation</t>
  </si>
  <si>
    <t>What river did Genghis Khan cross before defeating the main Tangut army?</t>
  </si>
  <si>
    <t>The tallest building in Downtown Jacksonville's skyline is the Bank of America Tower, constructed in 1990 as the Barnett Center. It has a height of 617 ft (188 m) and includes 42 floors. Other notable structures include the 37-story Wells Fargo Center (with its distinctive flared base making it the defining building in the Jacksonville skyline), originally built in 1972-74 by the Independent Life and Accident Insurance Company, and the 28 floor Riverplace Tower which, when completed in 1967, was the tallest precast, post-tensioned concrete structure in the world.</t>
  </si>
  <si>
    <t>Frontiers from between Nova Scotia and Acadia in the north, to the Ohio Country in the south, were claimed by both sides</t>
  </si>
  <si>
    <t>What is considered the centerpiece of the Jameel Gallery of Islamic Art?</t>
  </si>
  <si>
    <t>city hall.</t>
  </si>
  <si>
    <t>Do the U.S. flags on the moon still have their original coloring or were they faded due to the Sun?</t>
  </si>
  <si>
    <t>Which Spanish officer established the settlement at St. Augustine?</t>
  </si>
  <si>
    <t>How are laboratory measurements of forces determined?</t>
  </si>
  <si>
    <t>What did Luther establish as a worship service in his church?</t>
  </si>
  <si>
    <t>trust God's word</t>
  </si>
  <si>
    <t>Besides constant flooding, why else was there regulation of the Rhine?</t>
  </si>
  <si>
    <t>What kind of experiments of rock deformation do structural geologists perform?</t>
  </si>
  <si>
    <t>599 m</t>
  </si>
  <si>
    <t>Kathmandu</t>
  </si>
  <si>
    <t>ruthless</t>
  </si>
  <si>
    <t>80</t>
  </si>
  <si>
    <t>The Min system</t>
  </si>
  <si>
    <t>satellite</t>
  </si>
  <si>
    <t>In what year was an early admission program reintroduced?</t>
  </si>
  <si>
    <t>Who did Wesley appoint as bishop in 1784?</t>
  </si>
  <si>
    <t>stroma-containing tubule</t>
  </si>
  <si>
    <t>the constitutional traditions common to the member states</t>
  </si>
  <si>
    <t>Trypanosoma brucei</t>
  </si>
  <si>
    <t>the earth had a resonant frequency</t>
  </si>
  <si>
    <t>Lucas Cranach</t>
  </si>
  <si>
    <t>Who caught a 16-yard pass on this drive?</t>
  </si>
  <si>
    <t>from 1910–1940</t>
  </si>
  <si>
    <t>Biblical grounds,</t>
  </si>
  <si>
    <t>Plague was reportedly first introduced to Europe via Genoese traders at the port city of Kaffa in the Crimea in 1347. After a protracted siege, during which the Mongol army under Jani Beg was suffering from the disease, the army catapulted the infected corpses over the city walls of Kaffa to infect the inhabitants. The Genoese traders fled, taking the plague by ship into Sicily and the south of Europe, whence it spread north. Whether or not this hypothesis is accurate, it is clear that several existing conditions such as war, famine, and weather contributed to the severity of the Black Death.</t>
  </si>
  <si>
    <t>What are the main legislative bodies of the European Union?</t>
  </si>
  <si>
    <t>disastrous financial situation</t>
  </si>
  <si>
    <t>What is the UN's climate change treaty?</t>
  </si>
  <si>
    <t>Islamism, also known as Political Islam (Arabic: إسلام سياسي‎ islām siyāsī),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</si>
  <si>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What is the center library in the Harvard library system?</t>
  </si>
  <si>
    <t>the 7th century</t>
  </si>
  <si>
    <t>"entrenched" provisions</t>
  </si>
  <si>
    <t>For the salary year beginning April 2008, unpromoted teachers in Scotland earned from £20,427 for a Probationer, up to £32,583 after 6 years teaching, but could then go on to earn up to £39,942 as they complete the modules to earn Chartered Teacher Status (requiring at least 6 years at up to two modules per year.) Promotion to Principal Teacher positions attracts a salary of between £34,566 and £44,616; Deputy Head, and Head teachers earn from £40,290 to £78,642. Teachers in Scotland can be registered members of trade unions with the main ones being the Educational Institute of Scotland and the Scottish Secondary Teachers' Association.</t>
  </si>
  <si>
    <t>When did the very first plugs-out test occur?</t>
  </si>
  <si>
    <t>his sons and grandsons</t>
  </si>
  <si>
    <t>Following a referendum in 1997</t>
  </si>
  <si>
    <t>What is the process in which neutrophils move towards the site of inflammation called?</t>
  </si>
  <si>
    <t>People who climb mountains or fly in non-pressurized fixed-wing aircraft sometimes have supplemental O
2 supplies.[h] Passengers traveling in (pressurized) commercial airplanes have an emergency supply of O
2 automatically supplied to them in case of cabin depressurization. Sudden cabin pressure loss activates chemical oxygen generators above each seat, causing oxygen masks to drop. Pulling on the masks "to start the flow of oxygen" as cabin safety instructions dictate, forces iron filings into the sodium chlorate inside the canister. A steady stream of oxygen gas is then produced by the exothermic reaction.</t>
  </si>
  <si>
    <t>three years before his death</t>
  </si>
  <si>
    <t>What dictionary contains a non- violent definition?</t>
  </si>
  <si>
    <t>What was the subtitle of the Independence Day movie that had a trailer during the Super Bowl?</t>
  </si>
  <si>
    <t>Where was media day for Super Bowl 50 held?</t>
  </si>
  <si>
    <t>What has been the result of this publicity?</t>
  </si>
  <si>
    <t>Why does Oxfam and Credit Suisse believe their findings are being doubted?</t>
  </si>
  <si>
    <t>six divisions</t>
  </si>
  <si>
    <t>In Germany, teachers are mainly civil servants recruited in special university classes, called Lehramtstudien (Teaching Education Studies). There are many differences between the teachers for elementary schools (Grundschule), lower secondary schools (Hauptschule), middle level secondary schools (Realschule) and higher level secondary schools (Gymnasium). Salaries for teachers depend on the civil servants' salary index scale (Bundesbesoldungsordnung).</t>
  </si>
  <si>
    <t>What does the Geordie dialect keep of the older language which came before it?</t>
  </si>
  <si>
    <t>OC-48c</t>
  </si>
  <si>
    <t>October 16, 2012,</t>
  </si>
  <si>
    <t>Freeview</t>
  </si>
  <si>
    <t>article 66</t>
  </si>
  <si>
    <t>What is the main judicial body of the EU?</t>
  </si>
  <si>
    <t>What did the meeting often become in argument?</t>
  </si>
  <si>
    <t>the Song Emperor to Quzhou</t>
  </si>
  <si>
    <t>What was left when engulfed algae was broken down?</t>
  </si>
  <si>
    <t>Ted Ginn Jr</t>
  </si>
  <si>
    <t>What does BSkyB's sport portfolio include?</t>
  </si>
  <si>
    <t>keels</t>
  </si>
  <si>
    <t>When is Sky going to introduce UHD broadcasts?</t>
  </si>
  <si>
    <t>closed system of particles</t>
  </si>
  <si>
    <t>helping Adolf Hitler's rise to power</t>
  </si>
  <si>
    <t>Khwarezmian and Xia controlled lands</t>
  </si>
  <si>
    <t>Where did the family move in 1862?</t>
  </si>
  <si>
    <t>What did these flights test on the CM?</t>
  </si>
  <si>
    <t>Holy Roman Empire.</t>
  </si>
  <si>
    <t>By the late 19th century, which country had the largest empire ever to exist in the world?</t>
  </si>
  <si>
    <t>international recognition</t>
  </si>
  <si>
    <t>Society of St Pius X</t>
  </si>
  <si>
    <t>Who did Denver beat in the AFC championship?</t>
  </si>
  <si>
    <t>What kind of disorders are the result of an overactive immune response?</t>
  </si>
  <si>
    <t>How wide is the Rhine in Germany?</t>
  </si>
  <si>
    <t>Near where in the continent is it believed that the Amazon basin split?</t>
  </si>
  <si>
    <t>The notion "force"</t>
  </si>
  <si>
    <t>their greatest common divisor is one</t>
  </si>
  <si>
    <t>What protects the statocyst?</t>
  </si>
  <si>
    <t>How much did Tesla weigh?</t>
  </si>
  <si>
    <t>charging their students tuition</t>
  </si>
  <si>
    <t>the southeast</t>
  </si>
  <si>
    <t>green algal derived chloroplast</t>
  </si>
  <si>
    <t>Lauren Oliver</t>
  </si>
  <si>
    <t>What class sizes can make keeping order difficult?</t>
  </si>
  <si>
    <t>What kind of company is Sky UK Limited?</t>
  </si>
  <si>
    <t>What kind of rail system is Metro Trains Melbourne?</t>
  </si>
  <si>
    <t>y through the port's trade with Constantinople, and ports on the Black Sea</t>
  </si>
  <si>
    <t xml:space="preserve">Data from physical experiments can be extrapolated to the field to understand what processes? </t>
  </si>
  <si>
    <t>Congress</t>
  </si>
  <si>
    <t>What appears to be used exclusively in Newcastle and surrounding areas?</t>
  </si>
  <si>
    <t>6 March 1522</t>
  </si>
  <si>
    <t>Third-party channels</t>
  </si>
  <si>
    <t>James Hutton</t>
  </si>
  <si>
    <t>After leaving Edison's company Tesla partnered with two businessmen in 1886, Robert Lane and Benjamin Vail, who agreed to finance an electric lighting company in Tesla's name, Tesla Electric Light &amp; Manufacturing. The company installed electrical arc light based illumination systems designed by Tesla and also had designs for dynamo electric machine commutators, the first patents issued to Tesla in the US.</t>
  </si>
  <si>
    <t>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"the ones who are violating the greater law are the members of the Navy".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t>
  </si>
  <si>
    <t>up to half the carbon fixed by the Calvin cycle</t>
  </si>
  <si>
    <t>What previous Super Bowl halftime show did Bruno Mars headline?</t>
  </si>
  <si>
    <t>What do those in the field do to ensure a positive outcome?</t>
  </si>
  <si>
    <t>Ruhr</t>
  </si>
  <si>
    <t>In the helical thylakoid model, grana consist of a stack of flattened circular granal thylakoids that resemble pancakes. Each granum can contain anywhere from two to a hundred thylakoids, though grana with 10–20 thylakoids are most common. Wrapped around the grana are helicoid stromal thylakoids, also known as frets or lamellar thylakoids. The helices ascend at an angle of 20–25°, connecting to each granal thylakoid at a bridge-like slit junction. The helicoids may extend as large sheets that link multiple grana, or narrow to tube-like bridges between grana. While different parts of the thylakoid system contain different membrane proteins, the thylakoid membranes are continuous and the thylakoid space they enclose form a single continuous labyrinth.</t>
  </si>
  <si>
    <t>The Codex Forster is a collection of notebooks by which famous Italian Renaissance polymath?</t>
  </si>
  <si>
    <t>Galileo</t>
  </si>
  <si>
    <t>Who commissioned the Tapestry?</t>
  </si>
  <si>
    <t>father of the Mongols</t>
  </si>
  <si>
    <t>Private Bill</t>
  </si>
  <si>
    <t>What role in economics did the university play a major part in?</t>
  </si>
  <si>
    <t>to make an impression</t>
  </si>
  <si>
    <t>Oriental Courts</t>
  </si>
  <si>
    <t>wealth and income</t>
  </si>
  <si>
    <t>The historical measure of a steam engine's energy efficiency was its "duty". The concept of duty was first introduced by Watt in order to illustrate how much more efficient his engines were over the earlier Newcomen designs. Duty is the number of foot-pounds of work delivered by burning one bushel (94 pounds) of coal. The best examples of Newcomen designs had a duty of about 7 million, but most were closer to 5 million. Watt's original low-pressure designs were able to deliver duty as high as 25 million, but averaged about 17. This was a three-fold improvement over the average Newcomen design. Early Watt engines equipped with high-pressure steam improved this to 65 million.</t>
  </si>
  <si>
    <t>6.7+</t>
  </si>
  <si>
    <t>mustered local militia companies, generally ill trained and available only for short periods, to deal with native threats, but did not have any standing forces.</t>
  </si>
  <si>
    <t>Giuga's conjecture says that this equation is also a sufficient condition for p to be prime. Another consequence of Fermat's little theorem is the following: if p is a prime number other than 2 and 5, 1/p is always a recurring decimal, whose period is p − 1 or a divisor of p − 1. The fraction 1/p expressed likewise in base q (rather than base 10) has similar effect, provided that p is not a prime factor of q. Wilson's theorem says that an integer p &gt; 1 is prime if and only if the factorial (p − 1)! + 1 is divisible by p. Moreover, an integer n &gt; 4 is composite if and only if (n − 1)! is divisible by n.</t>
  </si>
  <si>
    <t>On what service could the ESPN Deportes broadcast be streamed?</t>
  </si>
  <si>
    <t>The WB</t>
  </si>
  <si>
    <t xml:space="preserve">Who founded Telnet </t>
  </si>
  <si>
    <t>electric heating element</t>
  </si>
  <si>
    <t>promoted</t>
  </si>
  <si>
    <t>practical limitations of working in the rainforest</t>
  </si>
  <si>
    <t>Informal</t>
  </si>
  <si>
    <t>King Sigimund's Column is an example of what kind of attraction in Warsaw?</t>
  </si>
  <si>
    <t>Which television network aired the Super Bowl?</t>
  </si>
  <si>
    <t>at SAP Center in San Jose</t>
  </si>
  <si>
    <t>Paris</t>
  </si>
  <si>
    <t>As a result, with the exception of the largest markets, ABC was relegated to secondary status on one or both of the existing stations, usually via off-hours clearances (a notable exception during this time was WKST-TV in Youngstown, Ohio, now WYTV, despite the small size of the surrounding market and its close proximity to Cleveland and Pittsburgh even decades before the city's economic collapse). According to Goldenson, this meant that an hour of ABC programming reported five times lower viewership than its competitors. However, the network's intake of money at the time would allow it to accelerate its content production. Still, ABC's limited reach would continue to hobble it for the next two decades; several smaller markets would not grow large enough to support a full-time ABC affiliate until the 1960s, with some very small markets having to wait as late as the 1980s or even the advent of digital television in the 2000s, which allowed stations like WTRF-TV in Wheeling, West Virginia to begin airing ABC programming on a digital subchannel after airing the network's programs outside of recommended timeslots decades before.</t>
  </si>
  <si>
    <t>aligning his personal goals with his academic goals</t>
  </si>
  <si>
    <t>On April 14, 2011, ABC canceled the long-running soap operas All My Children and One Life to Live after 41 and 43 years on the air, respectively (following backlash from fans, ABC sold the rights to both shows to Prospect Park, which eventually revived the soaps on Hulu for one additional season in 2013 and with both companies suing one another for allegations of interference with the process of reviving the shows, failure to pay licensing fees and issues over ABC's use of certain characters from One Live to Live on General Hospital during the transition). The talk/lifestyle show that replaced One Life to Live, The Revolution, failed to generate satisfactory ratings and was in turn canceled after only seven months. The 2011–12 season saw ABC drop to fourth place in the 18–49 demographic despite renewing a handful of new shows (including freshmen dramas Scandal, Revenge and Once Upon a Time) for second seasons.</t>
  </si>
  <si>
    <t>What is the problem attributed to defining if two finite graphs are isomorphic?</t>
  </si>
  <si>
    <t>North and West Africa, as well as South-East Asia, with other conquests in Central and East Africa, as well as the South Pacific</t>
  </si>
  <si>
    <t>What is seeing the Holy Bible as the primary authority in the Church?</t>
  </si>
  <si>
    <t>In which year did a toxic waste spill from a European ship prompt the Commission to look into legislation against waste?</t>
  </si>
  <si>
    <t>Northern United Kingdom</t>
  </si>
  <si>
    <t>coronation of Queen Elizabeth II</t>
  </si>
  <si>
    <t>Approximately how many images were digitized during the first year of the digitization project?</t>
  </si>
  <si>
    <t>1890</t>
  </si>
  <si>
    <t>Which country faced a complete embargo in the EEC?</t>
  </si>
  <si>
    <t>2012 study</t>
  </si>
  <si>
    <t>math teacher Martin Sekulić</t>
  </si>
  <si>
    <t>Private_school</t>
  </si>
  <si>
    <t>With whom are teachers required to register?</t>
  </si>
  <si>
    <t>San Diego International Airport</t>
  </si>
  <si>
    <t>What is the name of a Time Lord that Doctor Who has fought?</t>
  </si>
  <si>
    <t>Stephen Greenblatt</t>
  </si>
  <si>
    <t>the devolved competencies</t>
  </si>
  <si>
    <t>private southern Chinese manufacturers and merchants</t>
  </si>
  <si>
    <t>How many BSkyB channels were available to customers prior to October 2005?</t>
  </si>
  <si>
    <t>Lorelei</t>
  </si>
  <si>
    <t>What famous person congratulated him?</t>
  </si>
  <si>
    <t>eponymous aliens</t>
  </si>
  <si>
    <t>How much money was to go to DuMont Television Network under Goldenson's merger plan?</t>
  </si>
  <si>
    <t>What famous 5.9-mile athletic event takes place annually in Newcastle in June?</t>
  </si>
  <si>
    <t>international metropolitan</t>
  </si>
  <si>
    <t>PVR</t>
  </si>
  <si>
    <t>Kingdom of Prussia</t>
  </si>
  <si>
    <t>January 1979</t>
  </si>
  <si>
    <t>Protestantism</t>
  </si>
  <si>
    <t>Fermat</t>
  </si>
  <si>
    <t>Central Asia</t>
  </si>
  <si>
    <t>To the Christian Nobility of the German Nation, On the Babylonian Captivity of the Church, and On the Freedom of a Christian.</t>
  </si>
  <si>
    <t>canalized section</t>
  </si>
  <si>
    <t>Which German architect was asked to produce a design for the museum?</t>
  </si>
  <si>
    <t>the Oriental Institute</t>
  </si>
  <si>
    <t>spherical</t>
  </si>
  <si>
    <t>What war in Ireland featured Huguenot regiments?</t>
  </si>
  <si>
    <t>by undulating their bodies as well as by the beating of their comb-rows.</t>
  </si>
  <si>
    <t>Why have Mongolian politicians considered regulating the use of Genghis Khan's name?</t>
  </si>
  <si>
    <t>What position did Tesla hold in the American Institute of Electrical Engineers?</t>
  </si>
  <si>
    <t>foundational constitutional questions affecting democracy and human rights</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</si>
  <si>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</si>
  <si>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How do structural geologists observe the fabric within the rocks?</t>
  </si>
  <si>
    <t>Whose pass to Jerricho Cotchery was ruled incomplete?</t>
  </si>
  <si>
    <t>Kenya (/ˈkɛnjə/; locally [ˈkɛɲa] ( listen)), officially the Republic of Kenya, is a country in Africa and a founding member of the East African Community (EAC). Its capital and largest city is Nairobi. Kenya's territory lies on the equator and overlies the East African Rift covering a diverse and expansive terrain that extends roughly from Lake Victoria to Lake Turkana (formerly called Lake Rudolf) and further south-east to the Indian Ocean. It is bordered by Tanzania to the south, Uganda to the west, South Sudan to the north-west, Ethiopia to the north and Somalia to the north-east. Kenya covers 581,309 km2 (224,445 sq mi), and had a population of approximately 45 million people in July 2014.</t>
  </si>
  <si>
    <t>Who escaped when Temüjin emerged victorious in his conflict with Toghrul?</t>
  </si>
  <si>
    <t>indulgences for the living</t>
  </si>
  <si>
    <t>Complement proteins bind to what kind of molecules on the surface of microbes in order to elicit an immune response?</t>
  </si>
  <si>
    <t>civil disobedience is only justified against governmental entities</t>
  </si>
  <si>
    <t>What is the best QB ranking that Cam Newton holds?</t>
  </si>
  <si>
    <t>Who said the homeless in the area would have to leave?</t>
  </si>
  <si>
    <t>What side effect of these type of protests is unfortunate?</t>
  </si>
  <si>
    <t>The V&amp;A covers 12.5 acres (51,000 m2) and 145 galleries. Its collection spans 5,000 years of art, from ancient times to the present day, from the cultures of Europe, North America, Asia and North Africa. The holdings of ceramics, glass, textiles, costumes, silver, ironwork, jewellery, furniture, medieval objects, sculpture, prints and printmaking, drawings and photographs are among the largest and most comprehensive in the world. The museum owns the world's largest collection of post-classical sculpture, with the holdings of Italian Renaissance items being the largest outside Italy. The departments of Asia include art from South Asia, China, Japan, Korea and the Islamic world. The East Asian collections are among the best in Europe, with particular strengths in ceramics and metalwork, while the Islamic collection is amongst the largest in the Western world. Overall, it is one of the largest museums in the world.</t>
  </si>
  <si>
    <t>New England Patriots</t>
  </si>
  <si>
    <t>the Parliamentary Bureau</t>
  </si>
  <si>
    <t>What can often be predicted beforehand?</t>
  </si>
  <si>
    <t>war, famine, and weather</t>
  </si>
  <si>
    <t>What yard line was a gold color for all teams during the season?</t>
  </si>
  <si>
    <t>The system is currently undergoing a period of refurbishment and modernization, entitled 'Metro: All Change.' The programme has replaced all ticket machines and introduced ticket gates at the busiest stations - part of the transition to smart ticketing. All Metro trains are being completely refurbished and most stations are undergoing improvement works (or in some cases complete reconstruction, for example North Shields). In addition; tracks, signalling and overhead wires are also being overhauled. Longer term plans include the procurement of an entirely new fleet of trains and further extensions to the system. Proposed routes include to Newcastle's west end, to the Cobalt business park in North Tyneside, to the Metrocentre in Gateshead and to additional locations in Gateshead, South Tyneside and Sunderland. Several of the proposed routes would require trams as opposed to the current light rail trains.</t>
  </si>
  <si>
    <t>one-stop shopping</t>
  </si>
  <si>
    <t>What academy did Tugh Temur found?</t>
  </si>
  <si>
    <t>Local Pastors are called by God, affirmed by the church, and appointed by a bishop to a ministry of Word, Sacrament, Order and Service within the church. The Local Pastor are given the authority to preach the Word of God, administer the sacraments of the church, to provide care and counseling, and to order the life of the church for ministry and mission, but are not ordained. When elders are not available to be appointed to a local church, either through shortage of personnel or financial hardship of a pastoral charge, the bishop may appoint a "local pastor" to serve the pastoral appointment. Local Pastors are often bi-vocational, living out their ministerial call in the local church and in their field of employment. Full-time and part-time licensed local pastors under appointment are clergy and hold membership in the annual conference and not in the local church. A Local Pastor's official title is 'Licensed Local Pastor' and is appointed as clergy to the local church where they preach, conduct divine worship and perform the regular duties of a pastor. The licensed local pastor has the authority of a pastor only within the context and during the time of the appointment and shall not extend beyond it. Local pastors are not required to have advanced degrees but are required to attend licensing school and attend and pass an approved five-year course of study at an approved United Methodist seminary or course of study school, successfully complete written and oral examinations, and appear before the District Committee on Ministry and the Conference Board of Ordained Ministry. They may continue towards Associate Membership allowing them to retire as clergy. They also may continue towards ordination if they complete their bachelor's degree, requirements of their particular Conference Board of Ordained Ministry, as well as an advanced course or study or prescribed seminary courses at an approved seminary. Upon retirement, local pastors return to their charge conference as lay members.</t>
  </si>
  <si>
    <t>the lawfulness of an action depends on whether it was appropriate and necessary to achieve the objectives legitimately pursued</t>
  </si>
  <si>
    <t>His friends thought that he had drowned in the Mur River.</t>
  </si>
  <si>
    <t>What three things are needed for construction to take place?</t>
  </si>
  <si>
    <t>Where did HT fail to pull off a bloodless coup in 1974?</t>
  </si>
  <si>
    <t>the means to invest in new sources of creating wealth or to otherwise leverage the accumulation of wealth</t>
  </si>
  <si>
    <t>What was Hero of Alexandria's nationality?</t>
  </si>
  <si>
    <t>What is another name for any given measure of input associated with a problem?</t>
  </si>
  <si>
    <t>write psalm-hymns</t>
  </si>
  <si>
    <t>Who decides how land or property is allowed to be used?</t>
  </si>
  <si>
    <t>The Hay Wain</t>
  </si>
  <si>
    <t>drinking water</t>
  </si>
  <si>
    <t>In South Africa, along with privately governed schools, what schools are classified as independent?</t>
  </si>
  <si>
    <t>Panthers</t>
  </si>
  <si>
    <t>spiritual teachers</t>
  </si>
  <si>
    <t>A molecular phylogeny analysis confirmed that cydippid are not what?</t>
  </si>
  <si>
    <t>Mawdryn Undead</t>
  </si>
  <si>
    <t>Science Magazine</t>
  </si>
  <si>
    <t>Why is the statement doubtful in the eyes of scholars?</t>
  </si>
  <si>
    <t>When did Sunday Night Football premiere on NBC?</t>
  </si>
  <si>
    <t>Torchwood: Miracle Day</t>
  </si>
  <si>
    <t>a product of primes</t>
  </si>
  <si>
    <t>What type of education is sometimes present at religious schools in addition to the secular curriculum?</t>
  </si>
  <si>
    <t>The Sarah Jane Adventures, starring Elisabeth Sladen who reprised her role as investigative journalist Sarah Jane Smith, was developed by CBBC; a special aired on New Year's Day 2007 and a full series began on 24 September 2007. A second series followed in 2008, notable for (as noted above) featuring the return of Brigadier Lethbridge-Stewart. A third in 2009 featured a crossover appearance from the main show by David Tennant as the Tenth Doctor. In 2010, a further such appearance featured Matt Smith as the Eleventh Doctor alongside former companion actress Katy Manning reprising her role as Jo Grant. A final, three-story fifth series was transmitted in autumn 2011 – uncompleted due to the death of Elisabeth Sladen in early 2011.</t>
  </si>
  <si>
    <t>certification by a recognized body</t>
  </si>
  <si>
    <t>The United Methodist Church maintains that war is incompatible with Christ's message and teachings. Therefore, the Church rejects war as an instrument of national foreign policy, to be employed only as a last resort in the prevention of such evils as genocide, brutal suppression of human rights, and unprovoked international aggression. It insists that the first moral duty of all nations is to resolve by peaceful means every dispute that arises between or among them; that human values must outweigh military claims as governments determine their priorities; that the militarization of society must be challenged and stopped; that the manufacture, sale, and deployment of armaments must be reduced and controlled; and that the production, possession, or use of nuclear weapons be condemned. Consequently, the United Methodist Church endorses general and complete disarmament under strict and effective international control.</t>
  </si>
  <si>
    <t>the Tesla coil</t>
  </si>
  <si>
    <t>What planet do the Daleks come from?</t>
  </si>
  <si>
    <t>is incompatible with Christ's message and teachings.</t>
  </si>
  <si>
    <t>During what period did downtown Fresno thrive?</t>
  </si>
  <si>
    <t>Anti-inflammatory drugs are often used to control the effects of inflammation. Glucocorticoids are the most powerful of these drugs; however, these drugs can have many undesirable side effects, such as central obesity, hyperglycemia, osteoporosis, and their use must be tightly controlled. Lower doses of anti-inflammatory drugs are often used in conjunction with cytotoxic or immunosuppressive drugs such as methotrexate or azathioprine. Cytotoxic drugs inhibit the immune response by killing dividing cells such as activated T cells. However, the killing is indiscriminate and other constantly dividing cells and their organs are affected, which causes toxic side effects. Immunosuppressive drugs such as cyclosporin prevent T cells from responding to signals correctly by inhibiting signal transduction pathways.</t>
  </si>
  <si>
    <t>In what year did William Maclure begin the process of creating the first geological map of the U.S.?</t>
  </si>
  <si>
    <t>125p</t>
  </si>
  <si>
    <t>1795</t>
  </si>
  <si>
    <t>Who was ABC Great States sold to in 1974?</t>
  </si>
  <si>
    <t>they must be recommended by their pastor and Church Council or Charge Conference, and complete the basic course for lay servant</t>
  </si>
  <si>
    <t>V8 and six cylinder</t>
  </si>
  <si>
    <t>the Roman Empire</t>
  </si>
  <si>
    <t>Genghis Khan is credited with bringing the Silk Road under one cohesive political environment. This allowed increased communication and trade between the West, Middle East and Asia, thus expanding the horizons of all three cultural areas. Some historians have noted that Genghis Khan instituted certain levels of meritocracy in his rule, was tolerant of religions and explained his policies clearly to all his soldiers. In Turkey, Genghis Khan is looked on as a great military leader, and it is popular for male children to carry his title as name.</t>
  </si>
  <si>
    <t>The name of the NFL championship game is?</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</si>
  <si>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</si>
  <si>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What did he do with Wardenclyffe?</t>
  </si>
  <si>
    <t>At first, what did oxygen and iron combine to form?</t>
  </si>
  <si>
    <t>What field type is usually chosen for Super Bowl games?</t>
  </si>
  <si>
    <t>coast of Denmark</t>
  </si>
  <si>
    <t>science fiction</t>
  </si>
  <si>
    <t>insulated tankers</t>
  </si>
  <si>
    <t>Khwarezmid</t>
  </si>
  <si>
    <t>recant his writings</t>
  </si>
  <si>
    <t>Odo</t>
  </si>
  <si>
    <t>closed Huguenot schools and excluded them from favored professions</t>
  </si>
  <si>
    <t>When did Germanic tribes cross the Rhine to migrate?</t>
  </si>
  <si>
    <t>deforestation on regional climate</t>
  </si>
  <si>
    <t>explored the lineage of mediaeval music and instrumentation and related how those contributed to contemporary music 500 years later</t>
  </si>
  <si>
    <t>Why did Westinghouse not secure a patent for a similar motor?</t>
  </si>
  <si>
    <t>by assuming the task of interpreting the treaties, and accelerating economic and political integration</t>
  </si>
  <si>
    <t>Europe, North America, Asia and North Africa</t>
  </si>
  <si>
    <t>British blockade</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</si>
  <si>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</si>
  <si>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Who challenges the notion of the Kuznets curve hypothesis?</t>
  </si>
  <si>
    <t>Apollo 20</t>
  </si>
  <si>
    <t>How many students have received unwanted sexual attention from a teacher or other education figure?</t>
  </si>
  <si>
    <t>Central</t>
  </si>
  <si>
    <t>What is the term given to algorithms that utilize random bits?</t>
  </si>
  <si>
    <t>states and governments</t>
  </si>
  <si>
    <t>arthritis, and an ear infection ruptured an ear drum. In December 1544, he began to feel the effects of angina.</t>
  </si>
  <si>
    <t>How many other important people sent letters?</t>
  </si>
  <si>
    <t>what was Tesla's financial situation after being forced out?</t>
  </si>
  <si>
    <t>meets twice a year at</t>
  </si>
  <si>
    <t>other herbs not listed</t>
  </si>
  <si>
    <t>What company developed the most successful steam engine indicator?</t>
  </si>
  <si>
    <t>cigarette advertising</t>
  </si>
  <si>
    <t>What third type of plea uses creative words?</t>
  </si>
  <si>
    <t>Sir Charles Lyell first published his famous book, Principles of Geology, in 1830. This book, which influenced the thought of Charles Darwin, successfully promoted the doctrine of uniformitarianism. This theory states that slow geological processes have occurred throughout the Earth's history and are still occurring today. In contrast, catastrophism is the theory that Earth's features formed in single, catastrophic events and remained unchanged thereafter. Though Hutton believed in uniformitarianism, the idea was not widely accepted at the time.</t>
  </si>
  <si>
    <t>may be of interest to a particular area such as a member's own constituency</t>
  </si>
  <si>
    <t>When were attacks on teachers the highest?</t>
  </si>
  <si>
    <t>On Tesla's 75th birthday in 1931, Time magazine put him on its cover. The cover caption "All the world's his power house" noted his contribution to electrical power generation. He received congratulatory letters from more than 70 pioneers in science and engineering, including Albert Einstein.</t>
  </si>
  <si>
    <t>purposely damaging their photosynthetic system</t>
  </si>
  <si>
    <t>Who played Doctor Who on stage in the 70's?</t>
  </si>
  <si>
    <t>What was the cost of the other Super Bowl events in the San Francisco area?</t>
  </si>
  <si>
    <t>Who was the first known European to visit China and return?</t>
  </si>
  <si>
    <t>In what year was it declared that no Roman numerals would be used in the name of the 50th Super Bowl?</t>
  </si>
  <si>
    <t>The city has a proud history of theatre. Stephen Kemble of the famous Kemble family successfully managed the original Theatre Royal, Newcastle for fifteen years (1791–1806). He brought members of his famous acting family such as Sarah Siddons and John Kemble out of London to Newcastle. Stephen Kemble guided the theatre through many celebrated seasons. The original Theatre Royal in Newcastle was opened on 21 January 1788 and was located on Mosley Street. It was demolished to make way for Grey Street, where its replacement was built.</t>
  </si>
  <si>
    <t>What would a teacher assess the levels of a student on?</t>
  </si>
  <si>
    <t>How are packets normally forwarded</t>
  </si>
  <si>
    <t>Who are committees comprised of?</t>
  </si>
  <si>
    <t>Included in the V&amp;A collection is dormer window dated 1523-35 from which European chateau?</t>
  </si>
  <si>
    <t>The success of the Britain Can Make It exhibition led to the planning of what exhibition in 1951?</t>
  </si>
  <si>
    <t>When was Europe fully forested and recovered from the last Ice Age?</t>
  </si>
  <si>
    <t>Lake Überlingen</t>
  </si>
  <si>
    <t>Ancient Greeks</t>
  </si>
  <si>
    <t>How do the yes/no answers of a complement problem of NP appear?</t>
  </si>
  <si>
    <t>Singlet oxygen</t>
  </si>
  <si>
    <t>Civil disobedients have chosen a variety of different illegal acts. Bedau writes, "There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t>
  </si>
  <si>
    <t>How long is the Upper Rhine Plain?</t>
  </si>
  <si>
    <t>When was the sale of NBC Blue to Edward John Noble authorized?</t>
  </si>
  <si>
    <t>What do concentric unstacked thylakoids surround?</t>
  </si>
  <si>
    <t>Chloroplasts are a special type of a plant cell organelle called a plastid, though the two terms are sometimes used interchangeably. There are many other types of plastids, which carry out various functions. All chloroplasts in a plant are descended from undifferentiated proplastids found in the zygote, or fertilized egg. Proplastids are commonly found in an adult plant's apical meristems. Chloroplasts do not normally develop from proplastids in root tip meristems—instead, the formation of starch-storing amyloplasts is more common.</t>
  </si>
  <si>
    <t>What is the full name of the ASER?</t>
  </si>
  <si>
    <t>What was the theme of Super Bowl 50?</t>
  </si>
  <si>
    <t>the Sovereign</t>
  </si>
  <si>
    <t>males in the labor market</t>
  </si>
  <si>
    <t>Whose occupation of Kuwait did the US military personal seek to put an end to?</t>
  </si>
  <si>
    <t>known client</t>
  </si>
  <si>
    <t>distributed adaptive message block switching</t>
  </si>
  <si>
    <t>Persia</t>
  </si>
  <si>
    <t>Who created the 2005 theme for Doctor Who?</t>
  </si>
  <si>
    <t>In March 2007, the Mission Council of the South Central jurisdiction approved a 99-year lease on how many acres?</t>
  </si>
  <si>
    <t>secular powers</t>
  </si>
  <si>
    <t>Naimans</t>
  </si>
  <si>
    <t>Richard Wilkinson and Kate Pickett</t>
  </si>
  <si>
    <t>minimality or indecomposability</t>
  </si>
  <si>
    <t>a noble death.</t>
  </si>
  <si>
    <t>Who received a bid in 1915?</t>
  </si>
  <si>
    <t>Where was the practice place the Panthers used for the Super Bowl?</t>
  </si>
  <si>
    <t>imposed selective breeding version of eugenics</t>
  </si>
  <si>
    <t>radiation shield</t>
  </si>
  <si>
    <t>the mass () and the radius () of the Earth</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</si>
  <si>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</si>
  <si>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monophyletic</t>
  </si>
  <si>
    <t>national networks</t>
  </si>
  <si>
    <t>Euclid's fundamental theorem of arithmetic</t>
  </si>
  <si>
    <t>What trade was the city an important center of in the 14th century?</t>
  </si>
  <si>
    <t>Switzerland and the Netherlands</t>
  </si>
  <si>
    <t>Pitt's plan called for what attacks?</t>
  </si>
  <si>
    <t>75% of the total seats</t>
  </si>
  <si>
    <t>How can any knot be distinctively indicated?</t>
  </si>
  <si>
    <t>Duke of Cumberland</t>
  </si>
  <si>
    <t>Northern Chinese</t>
  </si>
  <si>
    <t>the late 1970s</t>
  </si>
  <si>
    <t>Continual motion</t>
  </si>
  <si>
    <t>Where did the water in the Amazon Basin flow towards when moving west?</t>
  </si>
  <si>
    <t>Why did Saudi Arabia try to increase production, and reduce profits for high cost producers?</t>
  </si>
  <si>
    <t>Jerónimo de Ayanz y Beaumont</t>
  </si>
  <si>
    <t>139th</t>
  </si>
  <si>
    <t>What were the first two destinations of Huguenot emigres?</t>
  </si>
  <si>
    <t>Lavietes Pavilion</t>
  </si>
  <si>
    <t>Early in 1537, Johannes Agricola (1494–1566) – serving at the time as pastor in Luther's birthplace, Eisleben – preached a sermon in which he claimed that God's gospel, not God's moral law (the Ten Commandments), revealed God's wrath to Christians. Based on this sermon and others by Agricola, Luther suspected that Agricola was behind certain anonymous antinomian theses circulating in Wittenberg. These theses asserted that the law is no longer to be taught to Christians but belonged only to city hall. Luther responded to these theses with six series of theses against Agricola and the antinomians, four of which became the basis for disputations between 1538 and 1540. He also responded to these assertions in other writings, such as his 1539 open letter to C. Güttel Against the Antinomians, and his book On the Councils and the Church from the same year.</t>
  </si>
  <si>
    <t>D&amp;B contractors</t>
  </si>
  <si>
    <t>Pauli repulsion</t>
  </si>
  <si>
    <t>What is the Proto-Germanic adaptation of the name of the Rhine?</t>
  </si>
  <si>
    <t>blank space</t>
  </si>
  <si>
    <t>When was Apollo 6, or AS-502, tested?</t>
  </si>
  <si>
    <t>How is winter weather in Jacksonville described as?</t>
  </si>
  <si>
    <t>Which Mongol leader completed the conquest of Kievan Rus'?</t>
  </si>
  <si>
    <t>What is it called when people in society rebel against laws they think are unfair?</t>
  </si>
  <si>
    <t>Income not from the creation of wealth but by grabbing a larger share of it is know to economists by what term?</t>
  </si>
  <si>
    <t>preached eight sermons</t>
  </si>
  <si>
    <t>In the immediate post-war years there was little money available for other than essential repairs. The 1950s and early 1960s saw little in the way of building work; the first major work was the creation of new storage space for books in the Art Library in 1966 and 1967. This involved flooring over Aston Webb's main hall to form the book stacks, with a new medieval gallery on the ground floor (now the shop, opened in 2006). Then the lower ground-floor galleries in the south-west part of the museum were redesigned, opening in 1978 to form the new galleries covering Continental art 1600–1800 (late Renaissance, Baroque through Rococo and neo-Classical). In 1974 the museum had acquired what is now the Henry Cole wing from the Royal College of Science. In order to adapt the building as galleries, all the Victorian interiors except for the staircase were recast during the remodelling. To link this to the rest of the museum, a new entrance building was constructed on the site of the former boiler house, the intended site of the Spiral, between 1978 and 1982. This building is of concrete and very functional, the only embellishment being the iron gates by Christopher Hay and Douglas Coyne of the Royal College of Art. These are set in the columned screen wall designed by Aston Webb that forms the façade.</t>
  </si>
  <si>
    <t>employ consultant pharmacists</t>
  </si>
  <si>
    <t>Where did Singer hold a press conference in May 2000?</t>
  </si>
  <si>
    <t>What is the name of the first aviation community built?</t>
  </si>
  <si>
    <t>What do the top 400 richest Americans have more of than half of all Americans combined?</t>
  </si>
  <si>
    <t>unbalanced torque</t>
  </si>
  <si>
    <t>Which Panthers player got a penalty, which gave the Broncos a new set of downs?</t>
  </si>
  <si>
    <t>If the head of government refuses to enforce a decision of the highest court what terminology could be used?</t>
  </si>
  <si>
    <t>What show aired on CBS after late local programming?</t>
  </si>
  <si>
    <t>temperature and light</t>
  </si>
  <si>
    <t>voters approved the plan</t>
  </si>
  <si>
    <t>the Cathedral of Saint John the Divine</t>
  </si>
  <si>
    <t>What did DFDS cite as the reasons it terminated operations?</t>
  </si>
  <si>
    <t>2:45 a.m</t>
  </si>
  <si>
    <t>There's a UNESCO World Heritage site in the Rhine Gorge between the Koblenz and what?</t>
  </si>
  <si>
    <t>Who was hired to be the deputy director of the Office of Manned Space Flight?</t>
  </si>
  <si>
    <t>ATP energy</t>
  </si>
  <si>
    <t>From the late 1340s onwards</t>
  </si>
  <si>
    <t>30 US states have banned corporal punishment, the others (mostly in the South) have not. It is still used to a significant (though declining) degree in some public schools in Alabama, Arkansas, Georgia, Louisiana, Mississippi, Oklahoma, Tennessee and Texas. Private schools in these and most other states may also use it. Corporal punishment in American schools is administered to the seat of the student's trousers or skirt with a specially made wooden paddle. This often used to take place in the classroom or hallway, but nowadays the punishment is usually given privately in the principal's office.</t>
  </si>
  <si>
    <t>What kind of economy did northern California start to grow in the 2000s?</t>
  </si>
  <si>
    <t>if they are distinct or equal classes</t>
  </si>
  <si>
    <t>a substantial portion of Central Asia and China</t>
  </si>
  <si>
    <t>architects, interior designers, engineers and constructors</t>
  </si>
  <si>
    <t>When was the first measurement of the value of the Newton Universal Gravitation Constant?</t>
  </si>
  <si>
    <t>shortage of male teachers</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</si>
  <si>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</si>
  <si>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collecting resources from colonies</t>
  </si>
  <si>
    <t>What was Tesla's brother's name?</t>
  </si>
  <si>
    <t>Fiorello La Guardia</t>
  </si>
  <si>
    <t>British Superintendent for Indian Affairs</t>
  </si>
  <si>
    <t>governments</t>
  </si>
  <si>
    <t>Breaking down barriers to trade and enhancing the free movement of goods is meant to reduce what?</t>
  </si>
  <si>
    <t>3 days</t>
  </si>
  <si>
    <t>The region was a leader in what event between 2001 - 2007?</t>
  </si>
  <si>
    <t>What occurs when electron clouds overlap from different atoms?</t>
  </si>
  <si>
    <t>the devil's work</t>
  </si>
  <si>
    <t>When did the exploration of the interior begin?</t>
  </si>
  <si>
    <t>chloroplasts of C4 plants</t>
  </si>
  <si>
    <t>Shirley and Johnson</t>
  </si>
  <si>
    <t>compressed gas</t>
  </si>
  <si>
    <t>What program for ABC was a remake of the film The Boy from Oklahoma?</t>
  </si>
  <si>
    <t>What unintended development did the relationship with the elector have on church government?</t>
  </si>
  <si>
    <t>an Eastern Bloc city</t>
  </si>
  <si>
    <t>Which Apollo was the first testing of the LM, unmanned, in Earth's orbit?</t>
  </si>
  <si>
    <t>the industrialized nations increased their reserves</t>
  </si>
  <si>
    <t>state or government schools</t>
  </si>
  <si>
    <t>What was the national viewership reach of ABC in 1958?</t>
  </si>
  <si>
    <t>very similar</t>
  </si>
  <si>
    <t>29 February 2008</t>
  </si>
  <si>
    <t>April 1959</t>
  </si>
  <si>
    <t>What was the seat of former party leader David McLetchie?</t>
  </si>
  <si>
    <t>two-thirds of its population</t>
  </si>
  <si>
    <t>Luther's tune</t>
  </si>
  <si>
    <t>Pick TV</t>
  </si>
  <si>
    <t>popularly based</t>
  </si>
  <si>
    <t>How many yards did Denver have for Super Bowl 50?</t>
  </si>
  <si>
    <t>1st century BC</t>
  </si>
  <si>
    <t>What did the king do to regarding Huguenot education?</t>
  </si>
  <si>
    <t>What is different about Cyanidioschyzon merolæ?</t>
  </si>
  <si>
    <t>essential for translation initiation in most chloroplasts and prokaryotes</t>
  </si>
  <si>
    <t>a method which pre-allocates dedicated network bandwidth specifically for each communication session</t>
  </si>
  <si>
    <t>Peter Davison</t>
  </si>
  <si>
    <t>All actions</t>
  </si>
  <si>
    <t>Sir Francis Chantrey,</t>
  </si>
  <si>
    <t>a small number of MSPs</t>
  </si>
  <si>
    <t>gelatinous projections edged with cilia</t>
  </si>
  <si>
    <t>the former Strathclyde Regional Council debating chamber</t>
  </si>
  <si>
    <t>Solovay-Strassen tests</t>
  </si>
  <si>
    <t>Hoelun</t>
  </si>
  <si>
    <t>Roman Catholic</t>
  </si>
  <si>
    <t>after he is announced a winner</t>
  </si>
  <si>
    <t>three to five</t>
  </si>
  <si>
    <t>Who congratulated the SNP while vowing to campaign against their referendum?</t>
  </si>
  <si>
    <t>Who was the director of the American Geographical Society in 1914?</t>
  </si>
  <si>
    <t>whether or not to plead guilty</t>
  </si>
  <si>
    <t>Who was an important figure in the twentieth-century Islamic revival in India?</t>
  </si>
  <si>
    <t>many elements of the old language.</t>
  </si>
  <si>
    <t>Grey's Anatomy</t>
  </si>
  <si>
    <t>green</t>
  </si>
  <si>
    <t>What is an etioplast?</t>
  </si>
  <si>
    <t>What do donated genes give evidence of?</t>
  </si>
  <si>
    <t>What is Luther's opinion of what the law covers??</t>
  </si>
  <si>
    <t>oxygen supplementation</t>
  </si>
  <si>
    <t>mechanical ventilators</t>
  </si>
  <si>
    <t>Which country used to rule California?</t>
  </si>
  <si>
    <t>What was Warsaw's first literary cabaret?</t>
  </si>
  <si>
    <t>Cheyenne</t>
  </si>
  <si>
    <t>1340s onwards</t>
  </si>
  <si>
    <t>What was the primary race of students attending Christian academies after the Brown decision?</t>
  </si>
  <si>
    <t>constitutional law</t>
  </si>
  <si>
    <t>silver and inlaid with gold</t>
  </si>
  <si>
    <t>How else can petrologists understand the temperature at which different mineral phases appear?</t>
  </si>
  <si>
    <t>seven</t>
  </si>
  <si>
    <t>modern context</t>
  </si>
  <si>
    <t>What is one criminal behavior that is hard to stop by authorities?</t>
  </si>
  <si>
    <t>Wardenclyffe</t>
  </si>
  <si>
    <t>theretofore established principles of pre-allocation of network bandwidth</t>
  </si>
  <si>
    <t>At what rank does GPS per capita set Victoria?</t>
  </si>
  <si>
    <t>When did Khan formally declare the Yuan dynasty?</t>
  </si>
  <si>
    <t>the outbreak of the First World War</t>
  </si>
  <si>
    <t>6</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</si>
  <si>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</si>
  <si>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oxides of silicon</t>
  </si>
  <si>
    <t>God's wrath to Christians</t>
  </si>
  <si>
    <t>What year did King Sigismund III Vasa move his court to Warsaw?</t>
  </si>
  <si>
    <t>What did the Moscone Center host?</t>
  </si>
  <si>
    <t>When did Khan establish the Great Yuan?</t>
  </si>
  <si>
    <t>everything that is used to work sorrow over sin is called the law,</t>
  </si>
  <si>
    <t>preached</t>
  </si>
  <si>
    <t>What are the two ABC affiliates for Tampa, Florida?</t>
  </si>
  <si>
    <t>the Baltimore Ravens</t>
  </si>
  <si>
    <t>During that year, Tesla worked in Pittsburgh, helping to create an alternating current system to power the city's streetcars. He found the time there frustrating because of conflicts between him and the other Westinghouse engineers over how best to implement AC power. Between them, they settled on a 60-cycle AC current system Tesla proposed (to match the working frequency of Tesla's motor), although they soon found that, since Tesla's induction motor could only run at a constant speed, it would not work for street cars. They ended up using a DC traction motor instead.</t>
  </si>
  <si>
    <t>last weekend of September</t>
  </si>
  <si>
    <t>Along with the Congregation of Christian Brothers, what is a notable religious group that runs fee-paying schools in Ireland?</t>
  </si>
  <si>
    <t>enter the priesthood</t>
  </si>
  <si>
    <t>Earth's crust</t>
  </si>
  <si>
    <t>What is one way of digital civil disobedience that can have far reaching consequences?</t>
  </si>
  <si>
    <t>Orange</t>
  </si>
  <si>
    <t>his Colorado Springs experiments</t>
  </si>
  <si>
    <t>33 feet</t>
  </si>
  <si>
    <t>What was the name of the telegraph company Tesla returned to after it became functional?</t>
  </si>
  <si>
    <t>AKS primality test</t>
  </si>
  <si>
    <t>The two listed teams play for which NCAA group?</t>
  </si>
  <si>
    <t>March 2007</t>
  </si>
  <si>
    <t>apoplectic stroke</t>
  </si>
  <si>
    <t>Which episode in 2008 was over an hour long?</t>
  </si>
  <si>
    <t>dangerous enemies</t>
  </si>
  <si>
    <t>1997</t>
  </si>
  <si>
    <t>(high supply) competing for a job that few require (low demand)</t>
  </si>
  <si>
    <t>Besides Death Wish Coffee, how many other competitors participated in the contest?</t>
  </si>
  <si>
    <t>What is the most common cause of immunodeficiency in developing nations?</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</si>
  <si>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</si>
  <si>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2010,</t>
  </si>
  <si>
    <t>Where can you see greyhound racing in Newcastle?</t>
  </si>
  <si>
    <t>What form of poetry was developed in the Yuan?</t>
  </si>
  <si>
    <t>Andy Warhol</t>
  </si>
  <si>
    <t>Jamukha</t>
  </si>
  <si>
    <t>'Licensed Local Pastor</t>
  </si>
  <si>
    <t>What type of jihad does HT avoid engaging in?</t>
  </si>
  <si>
    <t>Cévennes mountain region</t>
  </si>
  <si>
    <t>What might starch grains be a side effect of?</t>
  </si>
  <si>
    <t>Who assisted Wesley with ordaining Whatcoat and Vasey as presbyters?</t>
  </si>
  <si>
    <t>Who played the first incarnation of the Doctor in the special?</t>
  </si>
  <si>
    <t>the wider community</t>
  </si>
  <si>
    <t>How was the Rhine Gorge formed?</t>
  </si>
  <si>
    <t>What may explain why some Americans who've become rich may have had a head start?</t>
  </si>
  <si>
    <t>1963–1989</t>
  </si>
  <si>
    <t>When did the second edition of Gasquet's book come out?</t>
  </si>
  <si>
    <t>A plant cell which contains chloroplasts</t>
  </si>
  <si>
    <t>twice</t>
  </si>
  <si>
    <t>problem instance</t>
  </si>
  <si>
    <t>What did Luther contend the Jews to be?</t>
  </si>
  <si>
    <t>Darren Fletcher</t>
  </si>
  <si>
    <t>What may a Charter school require that their teachers meet the standards to be highly qualified by?</t>
  </si>
  <si>
    <t>What platform was Sentanta Sports planning on launching on?</t>
  </si>
  <si>
    <t>as persons</t>
  </si>
  <si>
    <t>peroxides, chlorates, nitrates, perchlorates, and dichromates</t>
  </si>
  <si>
    <t>The academic body of the university is made up of how many divisions of graduate?</t>
  </si>
  <si>
    <t>follows the same procedures as for IPCC Assessment Reports</t>
  </si>
  <si>
    <t>flammable cabin and space suit materials</t>
  </si>
  <si>
    <t>How many plays was Denver kept out of the end zone after getting the ball from Newton?</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</si>
  <si>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</si>
  <si>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phycobilin-containing</t>
  </si>
  <si>
    <t>During the Oligocene, for example, the rainforest spanned a relatively narrow band.</t>
  </si>
  <si>
    <t>On Carolina's next possession fullback Mike Tolbert lost a fumble while being tackled by safety Darian Stewart, which linebacker Danny Trevathan recovered on the Broncos 40-yard line. However, the Panthers soon took the ball back when defensive end Kony Ealy tipped a Manning pass to himself and then intercepted it, returning the ball 19 yards to the Panthers 39-yard line with 1:55 left on the clock. The Panthers could not gain any yards with their possession and had to punt. After a Denver punt, Carolina drove to the Broncos 45-yard line. But with 11 seconds left, Newton was sacked by DeMarcus Ware as time expired in the half.</t>
  </si>
  <si>
    <t>events in his life</t>
  </si>
  <si>
    <t>What British mathematician took pride in doing work that he felt had no military benefit?</t>
  </si>
  <si>
    <t>the network</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</si>
  <si>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</si>
  <si>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detailed</t>
  </si>
  <si>
    <t>the day after their original broadcast</t>
  </si>
  <si>
    <t>"simple people</t>
  </si>
  <si>
    <t>How many lines does the commuter rail system have?</t>
  </si>
  <si>
    <t>In 2010 the Amazon rainforest experienced another severe drought, in some ways more extreme than the 2005 drought. The affected region was approximate 1,160,000 square miles (3,000,000 km2) of rainforest, compared to 734,000 square miles (1,900,000 km2) in 2005. The 2010 drought had three epicenters where vegetation died off, whereas in 2005 the drought was focused on the southwestern part. The findings were published in the journal Science. In a typical year the Amazon absorbs 1.5 gigatons of carbon dioxide; during 2005 instead 5 gigatons were released and in 2010 8 gigatons were released.</t>
  </si>
  <si>
    <t>Oursel</t>
  </si>
  <si>
    <t>CD4 co-receptor</t>
  </si>
  <si>
    <t>the NP-complete knapsack problem</t>
  </si>
  <si>
    <t>What did Luther claim the church would have to comprise if the law were not taught?</t>
  </si>
  <si>
    <t>In what episode was the Fifth Doctor confirmed?</t>
  </si>
  <si>
    <t>What do scholars agree on about the posting on the door story?</t>
  </si>
  <si>
    <t>Islamic revolution</t>
  </si>
  <si>
    <t>Which Buddhist monastery hosted the Genghis Khan mausoleum during the Japanese occupation?</t>
  </si>
  <si>
    <t>What was the Doritos customer Super Bowl ad campaign called?</t>
  </si>
  <si>
    <t>What gene is responsible for converting calcidiol into calcitriol?</t>
  </si>
  <si>
    <t>Chéngjísī Hán</t>
  </si>
  <si>
    <t>What did BSkyB name their interactive service?</t>
  </si>
  <si>
    <t>What proclamation officially ended limited Huguenot autonomy?</t>
  </si>
  <si>
    <t>20,000</t>
  </si>
  <si>
    <t>Non-revolutionary civil disobedience</t>
  </si>
  <si>
    <t>catalytic</t>
  </si>
  <si>
    <t>hysterical and demonizing mentality</t>
  </si>
  <si>
    <t>support an attack</t>
  </si>
  <si>
    <t>Sullivan Bay</t>
  </si>
  <si>
    <t>Apollo program</t>
  </si>
  <si>
    <t>What was the name of Temüjin's wife Börte's first son?</t>
  </si>
  <si>
    <t>to win an acquittal and avoid imprisonment or a fine</t>
  </si>
  <si>
    <t>What makes plants green?</t>
  </si>
  <si>
    <t>Chicago Pile-1</t>
  </si>
  <si>
    <t>What does 'gram-negative' mean?</t>
  </si>
  <si>
    <t>NP-complete Boolean satisfiability</t>
  </si>
  <si>
    <t>the Saxon Garden</t>
  </si>
  <si>
    <t>What do tribes use Google Earth and GPS for?</t>
  </si>
  <si>
    <t>What is the largest ctenophore?</t>
  </si>
  <si>
    <t>Where did Jochi remain after Genghis Khan sent for his sons in the spring of 1223?</t>
  </si>
  <si>
    <t>meeting initially in a sail loft on Dock Street</t>
  </si>
  <si>
    <t>First Minister</t>
  </si>
  <si>
    <t>Director</t>
  </si>
  <si>
    <t>What may be named after a biblical figure?</t>
  </si>
  <si>
    <t>When the FCC imposed its fin-syn rules in 1970, ABC proactively created two companies: Worldvision Enterprises as a syndication distributor, and ABC Circle Films as a production company. However, between the publication and implementation of these regulations, the separation of the network's catalog was made in 1973. The broadcast rights to pre-1973 productions were transferred to Worldvision, which became independent in the same year. The company has been sold several times since Paramount Television acquired it in 1999, and has most recently been absorbed into CBS Television Distribution, a unit of CBS Corporation. Nonetheless, Worldvision sold portions of its catalog, including the Ruby-Spears and Hanna-Barbera libraries, to Turner Broadcasting System in 1990. With Disney's 1996 purchase of ABC, ABC Circle Films was absorbed into Touchstone Television, a Disney subsidiary which in turn was renamed ABC Studios in 2007.</t>
  </si>
  <si>
    <t xml:space="preserve">Stratigraphers try to locate areas for what types of extraction? </t>
  </si>
  <si>
    <t>The use of gas lighting made what possible the year after the museum officially opened?</t>
  </si>
  <si>
    <t>700</t>
  </si>
  <si>
    <t>What does the original manuscript show?</t>
  </si>
  <si>
    <t>system of many biological structures and processes</t>
  </si>
  <si>
    <t>"cydippids" are not monophyletic</t>
  </si>
  <si>
    <t>by department</t>
  </si>
  <si>
    <t>a Latin monastery at Sant'Eufemia</t>
  </si>
  <si>
    <t>What prompted Shen Kuo to believe the land was formed by erosion of the mountains?</t>
  </si>
  <si>
    <t>Macroeconomic problems</t>
  </si>
  <si>
    <t>There are two of what type of institution in Newcastle?</t>
  </si>
  <si>
    <t>X-ray imaging</t>
  </si>
  <si>
    <t>Dongshan Dafo Dian</t>
  </si>
  <si>
    <t>Who did Toghrul join in a campaign against Temüjin?</t>
  </si>
  <si>
    <t>Yuan</t>
  </si>
  <si>
    <t>autocratic-bureaucratic system</t>
  </si>
  <si>
    <t>Where did Iroquois Confederation control?</t>
  </si>
  <si>
    <t>Derek Jacobi</t>
  </si>
  <si>
    <t>What were the Yuan armies too weak to stop?</t>
  </si>
  <si>
    <t>Where did Jebe's forces first defeat Kuchlug?</t>
  </si>
  <si>
    <t>What group can teachers in Wales register with?</t>
  </si>
  <si>
    <t xml:space="preserve">What is the name of the winter festival held in January that is based on fitness? </t>
  </si>
  <si>
    <t>1983</t>
  </si>
  <si>
    <t>raises the productivity of each worker,</t>
  </si>
  <si>
    <t>What was Kenneth Swezey's job?</t>
  </si>
  <si>
    <t>Along with location, endowment and the willingness of parents to pay, what factor influences private school tuition?</t>
  </si>
  <si>
    <t>What was Tesla, Brown and Peck's new company?</t>
  </si>
  <si>
    <t>From what project groups were the Apollo astronauts selected?</t>
  </si>
  <si>
    <t>Where did he work on the oscillators?</t>
  </si>
  <si>
    <t>Aufbau</t>
  </si>
  <si>
    <t>Chicago</t>
  </si>
  <si>
    <t>Generally speaking, what size are the earthquakes that hit southern California?</t>
  </si>
  <si>
    <t>How many private schools existed in New Zealand in April 2014?</t>
  </si>
  <si>
    <t>What are the molecular inputs for photosynthesis?</t>
  </si>
  <si>
    <t>Of what mountain system are the Victorian Alps a part?</t>
  </si>
  <si>
    <t>a few drops</t>
  </si>
  <si>
    <t>How many teams up to Super Bowl 50 have been to the championship game eight times?</t>
  </si>
  <si>
    <t>Which journal was the joint statement published in?</t>
  </si>
  <si>
    <t>Museum of Independence</t>
  </si>
  <si>
    <t>Routing a packet requires the node to look up the connection id in a table</t>
  </si>
  <si>
    <t>However, attempting to reconcile electromagnetic theory with two observations, the photoelectric effect, and the nonexistence of the ultraviolet catastrophe, proved troublesome. Through the work of leading theoretical physicists, a new theory of electromagnetism was developed using quantum mechanics. This final modification to electromagnetic theory ultimately led to quantum electrodynamics (or QED), which fully describes all electromagnetic phenomena as being mediated by wave–particles known as photons. In QED, photons are the fundamental exchange particle, which described all interactions relating to electromagnetism including the electromagnetic force.[Note 4]</t>
  </si>
  <si>
    <t>high levels of inequality</t>
  </si>
  <si>
    <t>most distinctive buildings</t>
  </si>
  <si>
    <t>sessile frond-like</t>
  </si>
  <si>
    <t>silver</t>
  </si>
  <si>
    <t>What kind of market is Kenya considered?</t>
  </si>
  <si>
    <t>In what city is SAP Center located?</t>
  </si>
  <si>
    <t>Within the last 5–10 million years</t>
  </si>
  <si>
    <t>For the 2012–13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</si>
  <si>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What religions did Tugh Temur follow?</t>
  </si>
  <si>
    <t>Approximately one million Protestants in modern France represent some 2% of its population. Most are concentrated in Alsace in northeast France and the Cévennes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</si>
  <si>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pathogens, an allograft</t>
  </si>
  <si>
    <t>The UMC understands itself to be part of what church?</t>
  </si>
  <si>
    <t>How many of the Mau Mau did Home Gaurd kill?</t>
  </si>
  <si>
    <t>can have infinitely many primes only when a and q are coprime, i.e., their greatest common divisor is one. If this necessary condition is satisfied, Dirichlet's theorem on arithmetic progressions asserts that the progression contains infinitely many primes. The picture below illustrates this with q = 9: the numbers are "wrapped around" as soon as a multiple of 9 is passed. Primes are highlighted in red. The rows (=progressions) starting with a = 3, 6, or 9 contain at most one prime number. In all other rows (a = 1, 2, 4, 5, 7, and 8) there are infinitely many prime numbers. What is more, the primes are distributed equally among those rows in the long run—the density of all primes congruent a modulo 9 is 1/6.</t>
  </si>
  <si>
    <t>Assuming that T represents a polynomial in T(n), what is the term given to the corresponding algorithm?</t>
  </si>
  <si>
    <t>What months out of the year is Woodward Park open?</t>
  </si>
  <si>
    <t>a directly elected Scottish Assembly</t>
  </si>
  <si>
    <t>enter a prepared bedchamber in which they sleep in peace.</t>
  </si>
  <si>
    <t>humoral system</t>
  </si>
  <si>
    <t>How many galleries does the V&amp;A have?</t>
  </si>
  <si>
    <t>Urgench</t>
  </si>
  <si>
    <t>Which gender is more populous across all groups in Jacksonville?</t>
  </si>
  <si>
    <t>Members of the United Methodist Church who identify with the pro-life position have organized into the Taskforce of United Methodists on Abortion and Sexuality (TUMAS) to further their position within the denomination. There was an attempt to withdraw the United Methodist Church membership in the Religious Coalition for Reproductive Choice at their General Conference, held in May 2012, with a petition that passed through the legislative subcommittee and committee votes, but was not given a floor vote. Rev. Paul T. Stallsworth, president of the Taskforce of United Methodists on Abortion and Sexuality said he "had every reason to believe" that pro-life delegates would have won a floor vote.</t>
  </si>
  <si>
    <t>When did riots cause the expulsion of Jews from several German states?</t>
  </si>
  <si>
    <t>the European Convention on Human Rights in 1950 and the establishment of the European Court of Human Rights</t>
  </si>
  <si>
    <t>the Council of Industrial Design</t>
  </si>
  <si>
    <t>The chloroplasts of some hornworts and algae contain structures called pyrenoids. They are not found in higher plants. Pyrenoids are roughly spherical and highly refractive bodies which are a site of starch accumulation in plants that contain them. They consist of a matrix opaque to electrons, surrounded by two hemispherical starch plates. The starch is accumulated as the pyrenoids mature. In algae with carbon concentrating mechanisms, the enzyme rubisco is found in the pyrenoids. Starch can also accumulate around the pyrenoids when CO2 is scarce. Pyrenoids can divide to form new pyrenoids, or be produced "de novo".</t>
  </si>
  <si>
    <t>late 1545</t>
  </si>
  <si>
    <t>What type of landscapes other than geologic and natural ecosystem landscapes can be found in southern California?</t>
  </si>
  <si>
    <t>alga</t>
  </si>
  <si>
    <t>3.7</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</si>
  <si>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</si>
  <si>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The galleries also link design to wider trends in British culture. For instance, design in the Tudor period was influenced by the spread of printed books and the work of European artists and craftsmen employed in Britain. In the Stuart period, increasing trade, especially with Asia, enabled wider access to luxuries like carpets, lacquered furniture, silks and porcelain. In the Georgian age there was increasing emphasis on entertainment and leisure. For example, the increase in tea drinking led to the production of tea paraphernalia such as china and caddies. European styles seen on the Grand Tour also influenced taste. As the Industrial Revolution took hold, the growth of mass production produced entrepreneurs such as Josiah Wedgwood, Matthew Boulton and Eleanor Coade. In the Victorian era new technology and machinery had a significant effect on manufacturing, and for the first time since the reformation, the Anglican and Roman Catholic Churches had a major effect on art and design such as the Gothic Revival. There is a large display on the Great Exhibition which, among other things, led to the founding of the V&amp;A. In the later 19th century, the increasing backlash against industrialization, led by John Ruskin, contributed to the Arts and Crafts movement.</t>
  </si>
  <si>
    <t>those who proceed to secondary school or vocational training</t>
  </si>
  <si>
    <t>Who composed the original Doctor Who theme?</t>
  </si>
  <si>
    <t>theatre.</t>
  </si>
  <si>
    <t>How did Luther want people to bring about change?</t>
  </si>
  <si>
    <t>Phagocytes can be called to a specific location by what?</t>
  </si>
  <si>
    <t>What is an example of a rotary engine without pistons?</t>
  </si>
  <si>
    <t>What does the minister who was the catalyst of the Members Business do by speaking after everyone else?</t>
  </si>
  <si>
    <t>What plants don't need light to make chloroplasts?</t>
  </si>
  <si>
    <t>Alien Property Custodian</t>
  </si>
  <si>
    <t>How much did Tesla spend on the injured pigeon?</t>
  </si>
  <si>
    <t>How many Panthers went to the Pro Bowl?</t>
  </si>
  <si>
    <t>mechanical oscillators/generators, electrical discharge tubes, and early X-ray imaging</t>
  </si>
  <si>
    <t>What was the percentage of whit people in Fresno in 2010?</t>
  </si>
  <si>
    <t>What letter did Washington present to  Saint-Pierre ?</t>
  </si>
  <si>
    <t>the owner</t>
  </si>
  <si>
    <t>Ticonderoga Point</t>
  </si>
  <si>
    <t>What party rules in Melbourne's inner regions?</t>
  </si>
  <si>
    <t>Robert Stephenson</t>
  </si>
  <si>
    <t>Novgorod and Pskov</t>
  </si>
  <si>
    <t>The advances made in the Middle East in botany and chemistry led medicine in medieval Islam substantially to develop pharmacology. Muhammad ibn Zakarīya Rāzi (Rhazes) (865–915), for instance, acted to promote the medical uses of chemical compounds. Abu al-Qasim al-Zahrawi (Abulcasis) (936–1013) pioneered the preparation of medicines by sublimation and distillation. His Liber servitoris is of particular interest, as it provides the reader with recipes and explains how to prepare the `simples’ from which were compounded the complex drugs then generally used. Sabur Ibn Sahl (d 869), was, however, the first physician to initiate pharmacopoedia, describing a large variety of drugs and remedies for ailments. Al-Biruni (973–1050) wrote one of the most valuable Islamic works on pharmacology, entitled Kitab al-Saydalah (The Book of Drugs), in which he detailed the properties of drugs and outlined the role of pharmacy and the functions and duties of the pharmacist. Avicenna, too, described no less than 700 preparations, their properties, modes of action, and their indications. He devoted in fact a whole volume to simple drugs in The Canon of Medicine. Of great impact were also the works by al-Maridini of Baghdad and Cairo, and Ibn al-Wafid (1008–1074), both of which were printed in Latin more than fifty times, appearing as De Medicinis universalibus et particularibus by 'Mesue' the younger, and the Medicamentis simplicibus by 'Abenguefit'. Peter of Abano (1250–1316) translated and added a supplement to the work of al-Maridini under the title De Veneris. Al-Muwaffaq’s contributions in the field are also pioneering. Living in the 10th century, he wrote The foundations of the true properties of Remedies, amongst others describing arsenious oxide, and being acquainted with silicic acid. He made clear distinction between sodium carbonate and potassium carbonate, and drew attention to the poisonous nature of copper compounds, especially copper vitriol, and also lead compounds. He also describes the distillation of sea-water for drinking.[verification needed]</t>
  </si>
  <si>
    <t>What is the other NHL team aside from the Anaheim Ducks to reside in Southern California?</t>
  </si>
  <si>
    <t>jailer and hangman</t>
  </si>
  <si>
    <t>Who has performed all the Doctor Who music since the 2005 Christmas special?</t>
  </si>
  <si>
    <t>in the dinophyte host</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</si>
  <si>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</si>
  <si>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How is lap provided by overlapping the admission side port?</t>
  </si>
  <si>
    <t>What would change the rotational inertia of a body under Newton's First Law of Motion?</t>
  </si>
  <si>
    <t>A subway tunnel from the museum leads to which tube station?</t>
  </si>
  <si>
    <t>When was free primary school introduced?</t>
  </si>
  <si>
    <t>three million</t>
  </si>
  <si>
    <t>the 50th</t>
  </si>
  <si>
    <t>Oxygen toxicity</t>
  </si>
  <si>
    <t>What pathway that plays a role in immune response to viruses is present in all eukaryotes?</t>
  </si>
  <si>
    <t>1294</t>
  </si>
  <si>
    <t>NFL owners</t>
  </si>
  <si>
    <t>What happens secondly if a Directive's deadline is not met?</t>
  </si>
  <si>
    <t>The property of being prime (or not) is called primality. A simple but slow method of verifying the primality of a given number n is known as trial division. It consists of testing whether n is a multiple of any integer between 2 and . Algorithms much more efficient than trial division have been devised to test the primality of large numbers. These include the Miller–Rabin primality test, which is fast but has a small probability of error, and the AKS primality test, which always produces the correct answer in polynomial time but is too slow to be practical. Particularly fast methods are available for numbers of special forms, such as Mersenne numbers. As of January 2016[update], the largest known prime number has 22,338,618 decimal digits.</t>
  </si>
  <si>
    <t>At the begin of the Holocene (~11,700 years ago), the Rhine occupied its Late-Glacial valley. As a meandering river, it reworked its ice-age braidplain. As sea-level continued to rise in the Netherlands, the formation of the Holocene Rhine-Meuse delta began (~8,000 years ago). Coeval absolute sea-level rise and tectonic subsidence have strongly influenced delta evolution. Other factors of importance to the shape of the delta are the local tectonic activities of the Peel Boundary Fault, the substrate and geomorphology, as inherited from the Last Glacial and the coastal-marine dynamics, such as barrier and tidal inlet formations.</t>
  </si>
  <si>
    <t>In what year did the FCC begin an investigation in to the operation of radio networks in America</t>
  </si>
  <si>
    <t>musical</t>
  </si>
  <si>
    <t>1677–1683</t>
  </si>
  <si>
    <t>division and administration</t>
  </si>
  <si>
    <t>cone</t>
  </si>
  <si>
    <t>The conquest of Cyprus by the Anglo-Norman forces of the Third Crusade opened a new chapter in the history of the island, which would be under Western European domination for the following 380 years. Although not part of a planned operation, the conquest had much more permanent results than initially expected.</t>
  </si>
  <si>
    <t>How many Khitan Tumens were there?</t>
  </si>
  <si>
    <t>Luther is honoured on 18 February with a commemoration in the Lutheran Calendar of Saints and in the Episcopal (United States) Calendar of Saints. In the Church of England's Calendar of Saints he is commemorated on 31 October.</t>
  </si>
  <si>
    <t>November 3, 1975</t>
  </si>
  <si>
    <t>How many turnovers did the Panthers force during the NFC Championship game?</t>
  </si>
  <si>
    <t>prevent the installation of pagan images in the Temple in Jerusalem</t>
  </si>
  <si>
    <t>different epistemological spheres.</t>
  </si>
  <si>
    <t>the chosen machine model</t>
  </si>
  <si>
    <t>sports</t>
  </si>
  <si>
    <t>Who edited Electrical World magazine?</t>
  </si>
  <si>
    <t>Where does centripetal force go?</t>
  </si>
  <si>
    <t>How many species of Ctenophores have been validated?</t>
  </si>
  <si>
    <t>Anderson</t>
  </si>
  <si>
    <t>When did the theater in Newcastle originally open?</t>
  </si>
  <si>
    <t>Charles Brenton Huggins and Janet Rowley</t>
  </si>
  <si>
    <t>What disease did Tesla catch?</t>
  </si>
  <si>
    <t>Who was the star of The Sarah Jane Adventures?</t>
  </si>
  <si>
    <t>What should be avoided when talking to authorities?</t>
  </si>
  <si>
    <t>What was the name of the set top box manufacturer that BSkyB was having issues with?</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</si>
  <si>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</si>
  <si>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Lower Rhine</t>
  </si>
  <si>
    <t>Christopher Eccleston</t>
  </si>
  <si>
    <t>What is the name of a Bodhisattva vow?</t>
  </si>
  <si>
    <t>How high on the charts did the Mankind version of the theme go?</t>
  </si>
  <si>
    <t>to Budapest</t>
  </si>
  <si>
    <t>What was the forerunner of the modern-day IEEE?</t>
  </si>
  <si>
    <t xml:space="preserve">where do plasma waves occur? </t>
  </si>
  <si>
    <t>Hilux</t>
  </si>
  <si>
    <t>the same procedures as for IPCC Assessment Reports</t>
  </si>
  <si>
    <t>How many cities in southern California have over 200,000 residents?</t>
  </si>
  <si>
    <t>destruction of Israel</t>
  </si>
  <si>
    <t>false assurances.</t>
  </si>
  <si>
    <t>How many days does the Parliament have to nominate a First Minister after a General Election?</t>
  </si>
  <si>
    <t>91</t>
  </si>
  <si>
    <t>Vinogradov's</t>
  </si>
  <si>
    <t xml:space="preserve">What did AUSTPAC support </t>
  </si>
  <si>
    <t>What is used to quantify the intuitive undestanding of forces?</t>
  </si>
  <si>
    <t>What does LGM stands for?</t>
  </si>
  <si>
    <t>the mountains</t>
  </si>
  <si>
    <t>What is a single Plastoglobuli called?</t>
  </si>
  <si>
    <t>542</t>
  </si>
  <si>
    <t>confirmation and membership preparation classes</t>
  </si>
  <si>
    <t>a proprietary suite of networking protocols developed by Apple Inc</t>
  </si>
  <si>
    <t>Some non-British works in the British galleries were imported from which continent?</t>
  </si>
  <si>
    <t>What was the name of the time the Upper Rhine form a border between France and Germany?</t>
  </si>
  <si>
    <t>Building construction is usually further divided into what categories?</t>
  </si>
  <si>
    <t>Those involved with the design and execution of the infrastructure in question</t>
  </si>
  <si>
    <t>What allows the adaptive immune system to react faster and more strongly each subsequent time a pathogen is encountered?</t>
  </si>
  <si>
    <t>painting, mathematics, calligraphy, poetry, and theater</t>
  </si>
  <si>
    <t>Korean economist Hoesung Lee is the chair of the IPCC since October 8, 2015, following the election of the new IPCC Bureau. Before this election, the IPCC was led by his vice-Chair Ismail El Gizouli, who was designated acting Chair after the resignation of Rajendra K. Pachauri in February 2015. The previous chairs were Rajendra K. Pachauri, elected in May 2002; Robert Watson in 1997; and Bert Bolin in 1988. The chair is assisted by an elected bureau including vice-chairs, working group co-chairs, and a secretariat.</t>
  </si>
  <si>
    <t>Panic of 1901</t>
  </si>
  <si>
    <t>upper and lower bounds</t>
  </si>
  <si>
    <t>returned to New York</t>
  </si>
  <si>
    <t>What was the definition of professionals, for this study?</t>
  </si>
  <si>
    <t>This is true throughout most of the United States as well. However, alternative approaches for primary education do exist. One of these, sometimes referred to as a "platoon" system, involves placing a group of students together in one class that moves from one specialist to another for every subject. The advantage here is that students learn from teachers who specialize in one subject and who tend to be more knowledgeable in that one area than a teacher who teaches many subjects. Students still derive a strong sense of security by staying with the same group of peers for all classes.</t>
  </si>
  <si>
    <t>Why did British operation fail in 1755, 56, 57?</t>
  </si>
  <si>
    <t>What is the citation for the Pierce v. Society of Sisters case?</t>
  </si>
  <si>
    <t>ring R</t>
  </si>
  <si>
    <t>Aare</t>
  </si>
  <si>
    <t>When did Disney-ABC Television group implement restrictions on Hulu and WATCH ABC to encourage live viewing?</t>
  </si>
  <si>
    <t>What are the biggest burdens?</t>
  </si>
  <si>
    <t>Edison</t>
  </si>
  <si>
    <t>yellow chlorophyll precursor</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</si>
  <si>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</si>
  <si>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What did Kuznets argue resulted from stages of development?</t>
  </si>
  <si>
    <t>How old was Tesla when he became a citizen of the US?</t>
  </si>
  <si>
    <t>What components raise steam temperature above its saturated vapor point?</t>
  </si>
  <si>
    <t>What did NSFNET eventually provide</t>
  </si>
  <si>
    <t>Levi's Stadium</t>
  </si>
  <si>
    <t>soil fertility and weed invasion</t>
  </si>
  <si>
    <t>What does civil disobedience protest against?</t>
  </si>
  <si>
    <t>Jean Cauvin</t>
  </si>
  <si>
    <t>East and Central Africa's biggest economy has posted tremendous growth in the service sector, boosted by rapid expansion in telecommunication and financial activity over the last decade, and now[when?] contributes 62% of GDP. 22% of GDP still comes from the unreliable agricultural sector which employs 75% of the labour force (a consistent characteristic of under-developed economies that have not attained food security – an important catalyst of economic growth) A small portion of the population relies on food aid.[citation needed] Industry and manufacturing is the smallest sector, accounting for 16% of GDP. The service, industry and manufacturing sectors only employ 25% of the labour force but contribute 75% of GDP.</t>
  </si>
  <si>
    <t>In what year was the school renamed as Harvard College?</t>
  </si>
  <si>
    <t>When was the Polish-Bolshevik war fought?</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</si>
  <si>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大元通制,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Yesün Temür (or Taidingdi) on the throne, and, after an unsuccessful attempt to calm the princes, he also succumbed to regicide.</t>
  </si>
  <si>
    <t>friendship</t>
  </si>
  <si>
    <t>The Literary and Philosophical Society of Newcastle upon Tyne</t>
  </si>
  <si>
    <t>DC</t>
  </si>
  <si>
    <t>Prior to European settlement, the area now constituting Victoria was inhabited by a large number of Aboriginal peoples, collectively known as the Koori. With Great Britain having claimed the entire Australian continent east of the 135th meridian east in 1788, Victoria was included in the wider colony of New South Wales. The first settlement in the area occurred in 1803 at Sullivan Bay, and much of what is now Victoria was included in the Port Phillip District in 1836, an administrative division of New South Wales. Victoria was officially created a separate colony in 1851, and achieved self-government in 1855. The Victorian gold rush in the 1850s and 1860s significantly increased both the population and wealth of the colony, and by the Federation of Australia in 1901, Melbourne had become the largest city and leading financial centre in Australasia. Melbourne also served as capital of Australia until the construction of Canberra in 1927, with the Federal Parliament meeting in Melbourne's Parliament House and all principal offices of the federal government being based in Melbourne.</t>
  </si>
  <si>
    <t>The glass collection covers 4000 years of glass making, and has over 6000 items from Africa, Britain, Europe, America and Asia. The earliest glassware on display comes from Ancient Egypt and continues through the Ancient Roman, Medieval, Renaissance covering areas such as Venetian glass and Bohemian glass and more recent periods, including Art Nouveau glass by Louis Comfort Tiffany and Émile Gallé, the Art Deco style is represented by several examples by René Lalique. There are many examples of crystal chandeliers both English, displayed in the British galleries and foreign for example Venetian (attributed to Giuseppe Briati) dated c1750 are in the collection. The stained glass collection is possibly the finest in the world, covering the medieval to modern periods, and covering Europe as well as Britain. Several examples of English 16th-century heraldic glass is displayed in the British Galleries. Many well-known designers of stained glass are represented in the collection including, from the 19th century: Dante Gabriel Rossetti, Edward Burne-Jones and William Morris. There is also an example of Frank Lloyd Wright's work in the collection. 20th-century designers include Harry Clarke, John Piper, Patrick Reyntiens, Veronica Whall and Brian Clarke.</t>
  </si>
  <si>
    <t>What is the nickname for the "Millennial Northern Hemisphere temperature reconstruction" graph?</t>
  </si>
  <si>
    <t>The delay in the CSM caused by the fire enabled NASA to catch up on man-rating the LM and Saturn V. Apollo 4 (AS-501) was the first unmanned flight of the Saturn V, carrying a Block I CSM on November 9, 1967. The capability of the Command Module's heat shield to survive a trans-lunar reentry was demonstrated by using the Service Module engine to ram it into the atmosphere at higher than the usual Earth-orbital reentry speed. This was followed on April 4, 1968, by Apollo 6 (AS-502) which carried a CSM and a LM Test Article as ballast. The intent of this mission was to achieve trans-lunar injection, followed closely by a simulated direct-return abort, using the Service Module engine to achieve another high-speed reentry. The Saturn V experienced pogo oscillation, a problem caused by non-steady engine combustion, which damaged fuel lines in the second and third stages. Two S-II engines shut down prematurely, but the remaining engines were able to compensate. The damage to the third stage engine was more severe, preventing it from restarting for trans-lunar injection. Mission controllers were able to use the Service Module engine to essentially repeat the flight profile of Apollo 4. Based on the good performance of Apollo 6 and identification of satisfactory fixes to the Apollo 6 problems, NASA declared the Saturn V ready to fly men, cancelling a third unmanned test.</t>
  </si>
  <si>
    <t>What did the peasants believe Luther would do for them?</t>
  </si>
  <si>
    <t>along the coast</t>
  </si>
  <si>
    <t>What is the dialect of Newcastle known as?</t>
  </si>
  <si>
    <t>the specific details of the computational model used</t>
  </si>
  <si>
    <t>What geologic feature is composed of oxygen oxides?</t>
  </si>
  <si>
    <t>What is the most well-known algorithm associated with the integer factorization problem?</t>
  </si>
  <si>
    <t>Martin_Luther</t>
  </si>
  <si>
    <t>email</t>
  </si>
  <si>
    <t>most densely populated state</t>
  </si>
  <si>
    <t>Bainbridge's</t>
  </si>
  <si>
    <t>How much was the combined wealth of the "10 Million dollar millionaires" in 2008?</t>
  </si>
  <si>
    <t>What are colonial powers blamed for?</t>
  </si>
  <si>
    <t>17 February 1546</t>
  </si>
  <si>
    <t>Where was the Central Secretariat based?</t>
  </si>
  <si>
    <t>asthenosphere</t>
  </si>
  <si>
    <t>What movie awards show does ABC currently hold the rights to?</t>
  </si>
  <si>
    <t>When do chloroplasts arrange in vertical columns or turn sideways?</t>
  </si>
  <si>
    <t>In what year was the Interstate Highway System created?</t>
  </si>
  <si>
    <t>The adaptive immune system must distinguish between what types of molecules?</t>
  </si>
  <si>
    <t>Besides the study of prime numbers, what general theory was considered the official example of pure mathematics?</t>
  </si>
  <si>
    <t>What did a 1530 royal act restrict shipments of?</t>
  </si>
  <si>
    <t>What is the temperature in the highest portion of the mountain range in winter?</t>
  </si>
  <si>
    <t>nationalist differences</t>
  </si>
  <si>
    <t>Hong Kong</t>
  </si>
  <si>
    <t>poor physical health</t>
  </si>
  <si>
    <t>What even is the earliest known reference to immunity?</t>
  </si>
  <si>
    <t>rapidly evolve and adapt</t>
  </si>
  <si>
    <t>Tesla also explained the principles of the rotating magnetic field in an induction motor by demonstrating how to make a copper egg stand on end using a device he constructed known as the Egg of Columbus.</t>
  </si>
  <si>
    <t>1489</t>
  </si>
  <si>
    <t>double</t>
  </si>
  <si>
    <t>the clinical pharmacy movement initially began inside hospitals and clinics</t>
  </si>
  <si>
    <t>Nestorianism and Roman Catholicism</t>
  </si>
  <si>
    <t>another problem</t>
  </si>
  <si>
    <t>What did the V&amp;A present in July 1973 as part of its youth outreach programme?</t>
  </si>
  <si>
    <t>Teaching</t>
  </si>
  <si>
    <t>materia medica</t>
  </si>
  <si>
    <t>nationalisation law was from 1962, and the treaty was in force from 1958</t>
  </si>
  <si>
    <t>Uighurs</t>
  </si>
  <si>
    <t>fully funded by private parties</t>
  </si>
  <si>
    <t>nephew</t>
  </si>
  <si>
    <t>In what group of compounds is oxygen a necessary part?</t>
  </si>
  <si>
    <t>The owner typically awards a contract to who?</t>
  </si>
  <si>
    <t>Reconnaissance Orbiter</t>
  </si>
  <si>
    <t>L.</t>
  </si>
  <si>
    <t>Luther sympathised with some of the peasants' grievances, as he showed in his response to the Twelve Articles in May 1525, but he reminded the aggrieved to obey the temporal authorities. During a tour of Thuringia, he became enraged at the widespread burning of convents, monasteries, bishops' palaces, and libraries. In Against the Murderous, Thieving Hordes of Peasants, written on his return to Wittenberg, he gave his interpretation of the Gospel teaching on wealth, condemned the violence as the devil's work, and called for the nobles to put down the rebels like mad dogs:</t>
  </si>
  <si>
    <t>Who was the Panthers' tackle leader for 2015?</t>
  </si>
  <si>
    <t>both northern and southern Germans</t>
  </si>
  <si>
    <t>social unrest and violence</t>
  </si>
  <si>
    <t>Along with geothermal and nuclear, what is a notable non-combustion heat source?</t>
  </si>
  <si>
    <t>All actions by EU institutions can be subject to judicial review</t>
  </si>
  <si>
    <t>The Saxon Garden</t>
  </si>
  <si>
    <t>What is the name of the book written by Archeologist Betty Meggers?</t>
  </si>
  <si>
    <t>Along with diesel engines, what engines have overtaken steam engines for marine propulsion?</t>
  </si>
  <si>
    <t>Carolina suffered a major setback when Thomas Davis, an 11-year veteran who had already overcome three ACL tears in his career, went down with a broken arm in the NFC Championship Game. Despite this, he insisted he would still find a way to play in the Super Bowl. His prediction turned out to be accurate.</t>
  </si>
  <si>
    <t>Nintendo</t>
  </si>
  <si>
    <t>When was the article published?</t>
  </si>
  <si>
    <t>exothermic reaction</t>
  </si>
  <si>
    <t>some extra costs are levied</t>
  </si>
  <si>
    <t>How often is the AV Festival held?</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</si>
  <si>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</si>
  <si>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What NASA astronaut is also a university alumni member?</t>
  </si>
  <si>
    <t>What is needed to make combustion happen?</t>
  </si>
  <si>
    <t>What happened to the dynamos in the power station?</t>
  </si>
  <si>
    <t>Luther taught that salvation and subsequently eternal life is not earned by good deeds but is received only as a free gift of God's grace through faith in Jesus Christ as redeemer from sin. His theology challenged the authority and office of the Pope by teaching that the Bible is the only source of divinely revealed knowledge from God and opposed sacerdotalism by considering all baptized Christians to be a holy priesthood. Those who identify with these, and all of Luther's wider teachings, are called Lutherans even though Luther insisted on Christian or Evangelical as the only acceptable names for individuals who professed Christ.</t>
  </si>
  <si>
    <t>oxygen and hydrogen</t>
  </si>
  <si>
    <t>X-rays</t>
  </si>
  <si>
    <t>The plague repeatedly returned to haunt Europe and the Mediterranean throughout the 14th to 17th centuries. According to Biraben, the plague was present somewhere in Europe in every year between 1346 and 1671. The Second Pandemic was particularly widespread in the following years: 1360–63; 1374; 1400; 1438–39; 1456–57; 1464–66; 1481–85; 1500–03; 1518–31; 1544–48; 1563–66; 1573–88; 1596–99; 1602–11; 1623–40; 1644–54; and 1664–67. Subsequent outbreaks, though severe, marked the retreat from most of Europe (18th century) and northern Africa (19th century). According to Geoffrey Parker, "France alone lost almost a million people to the plague in the epidemic of 1628–31."</t>
  </si>
  <si>
    <t>hockey stick graph</t>
  </si>
  <si>
    <t>How is income determined in a market with variously skilled workers?</t>
  </si>
  <si>
    <t>Langley Research Center</t>
  </si>
  <si>
    <t>How did King Louis XV respond to British plans?</t>
  </si>
  <si>
    <t>requiring his arrest</t>
  </si>
  <si>
    <t>William Rainey Harper</t>
  </si>
  <si>
    <t>What Apollo mission was the sixth moon landing?</t>
  </si>
  <si>
    <t>trams</t>
  </si>
  <si>
    <t>What show is considered the best drama that the BBC has ever produced?</t>
  </si>
  <si>
    <t>What surrounds the church of St. Andrew?</t>
  </si>
  <si>
    <t>Capital Cities Communications</t>
  </si>
  <si>
    <t>instances</t>
  </si>
  <si>
    <t>complete the modules to earn Chartered Teacher Status</t>
  </si>
  <si>
    <t>*Rīnaz</t>
  </si>
  <si>
    <t>What was the protest in Antigone about?</t>
  </si>
  <si>
    <t>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t>
  </si>
  <si>
    <t>What special audio recording was released for the 40th anniversary?</t>
  </si>
  <si>
    <t>piston</t>
  </si>
  <si>
    <t>object's weight</t>
  </si>
  <si>
    <t>What is the frequency of the radio station WBT in North Carolina?</t>
  </si>
  <si>
    <t>establishing relationships with other necessary participants</t>
  </si>
  <si>
    <t>Students are likely to build stronger relations with teachers who are friendly and supportive and will show more interest in courses taught by these teachers. Teachers that spend more time interacting and working directly with students are perceived as supportive and effective teachers. Effective teachers have been shown to invite student participation and decision making, allow humor into their classroom, and demonstrate a willingness to play.</t>
  </si>
  <si>
    <t>Kissinger</t>
  </si>
  <si>
    <t>Article 102</t>
  </si>
  <si>
    <t>When did the first direct elections take place?</t>
  </si>
  <si>
    <t>What cultural festival is the SAMA festival?</t>
  </si>
  <si>
    <t>Robert Kintner</t>
  </si>
  <si>
    <t>42</t>
  </si>
  <si>
    <t>T cell receptor (TCR)</t>
  </si>
  <si>
    <t>How many factors of health and social problems did Wilkinson and PIckett identify?</t>
  </si>
  <si>
    <t>Who was the first person in space?</t>
  </si>
  <si>
    <t>Oireachtas funds</t>
  </si>
  <si>
    <t>-40%</t>
  </si>
  <si>
    <t>Catch Me Who Can</t>
  </si>
  <si>
    <t>gangster film,</t>
  </si>
  <si>
    <t>Who announced the game play-by-play for Super Bowl 50?</t>
  </si>
  <si>
    <t>the park</t>
  </si>
  <si>
    <t>more convenient and private method</t>
  </si>
  <si>
    <t>What do etioplasts have instead of chlorophyll?</t>
  </si>
  <si>
    <t>In what year was the Lunar Module (LM) dropped because it wasn't seen as useful?</t>
  </si>
  <si>
    <t>gene CYP27B1</t>
  </si>
  <si>
    <t>What did John Dalton think that all elements were in number present in compounds?</t>
  </si>
  <si>
    <t>What alumni was also Obama's campaign adviser?</t>
  </si>
  <si>
    <t>What status has the Brotherhood obtained in the Islamic world?</t>
  </si>
  <si>
    <t>For many years, what was the Brotherhood described as?</t>
  </si>
  <si>
    <t>In 2013, the Peabody Awards honoured Doctor Who with an Institutional Peabody "for evolving with technology and the times like nothing else in the known television universe." The programme is listed in Guinness World Records as the longest-running science fiction television show in the world, the "most successful" science fiction series of all time—based on its over-all broadcast ratings, DVD and book sales, and iTunes traffic— and for the largest ever simulcast of a TV drama with its 50th anniversary special. During its original run, it was recognised for its imaginative stories, creative low-budget special effects, and pioneering use of electronic music (originally produced by the BBC Radiophonic Workshop).</t>
  </si>
  <si>
    <t>When might starch grains become overly large?</t>
  </si>
  <si>
    <t>When did Philip I convene an assembly to set doctrine in the Protestant states?</t>
  </si>
  <si>
    <t>How did the Nixon administration negotiate with the uncooperative countries?</t>
  </si>
  <si>
    <t>Type I</t>
  </si>
  <si>
    <t>frontier</t>
  </si>
  <si>
    <t>a plastid that lacks chlorophyll</t>
  </si>
  <si>
    <t>cheating</t>
  </si>
  <si>
    <t>For which show did Billie Piper tape an introduction?</t>
  </si>
  <si>
    <t>the Black Death was much faster than that of modern bubonic plague</t>
  </si>
  <si>
    <t>32 °C (90 °F)</t>
  </si>
  <si>
    <t>Chagatai and Jochi</t>
  </si>
  <si>
    <t>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Miller–Urey experiment, was conducted at the university. REM sleep was discovered at the university in 1953 by Nathaniel Kleitman and Eugene Aserinsky.</t>
  </si>
  <si>
    <t>affordable housing</t>
  </si>
  <si>
    <t>uniquely determined</t>
  </si>
  <si>
    <t>How many men would the LM take to the lunar surface and return to the CSM?</t>
  </si>
  <si>
    <t>Stockton and Darlington</t>
  </si>
  <si>
    <t>182 million tons</t>
  </si>
  <si>
    <t>How many teams have played in the Super Bowl eight times?</t>
  </si>
  <si>
    <t>What one word did the NFL commissioner use to describe what Super Bowl 50 was intended to be?</t>
  </si>
  <si>
    <t>new entrants</t>
  </si>
  <si>
    <t>When was Zia-ul-Haq killed?</t>
  </si>
  <si>
    <t>Chris Keates, the general secretary of National Association of Schoolmasters Union of Women Teachers, said that teachers who have sex with pupils over the age of consent should not be placed on the sex offenders register and that prosecution for statutory rape "is a real anomaly in the law that we are concerned about." This has led to outrage from child protection and parental rights groups. Fears of being labelled a pedophile or hebephile has led to several men who enjoy teaching avoiding the profession. This has in some jurisdictions reportedly led to a shortage of male teachers.</t>
  </si>
  <si>
    <t>each state</t>
  </si>
  <si>
    <t>at least 55 per cent of the Council members (not votes) representing 65 per cent of the population of the EU</t>
  </si>
  <si>
    <t>Why does a lower level of economic growth occur due to high-end consumption?</t>
  </si>
  <si>
    <t>"Hiding behind (or 'watching from behind') the sofa"</t>
  </si>
  <si>
    <t>twelve residential Houses</t>
  </si>
  <si>
    <t>the metric slug</t>
  </si>
  <si>
    <t>Where was Montcalm focusing the defense for New France?</t>
  </si>
  <si>
    <t>$38,000</t>
  </si>
  <si>
    <t>His poem is considered the first kind of what type of protest?</t>
  </si>
  <si>
    <t>Decision</t>
  </si>
  <si>
    <t>standardized interface</t>
  </si>
  <si>
    <t>Norwood</t>
  </si>
  <si>
    <t>What injury did the Carolina Panthers lose Kelvin Benjamin to during their preseason?</t>
  </si>
  <si>
    <t>Which park is home to the Kearney Mansion?</t>
  </si>
  <si>
    <t>What entity was Touchstone Television reorganized into in 2007?</t>
  </si>
  <si>
    <t>balance of parties</t>
  </si>
  <si>
    <t>glaucophyte</t>
  </si>
  <si>
    <t>Who did the peasants think Luther would support an attack on?</t>
  </si>
  <si>
    <t>What commonality do alternate machine models, such as random access machines, share with Turing machines?</t>
  </si>
  <si>
    <t>Neptune and Triton</t>
  </si>
  <si>
    <t>What objects in organisms absorb singlet oxygen to prevent harm?</t>
  </si>
  <si>
    <t>How many of Jacksonville's city residents are younger than 18?</t>
  </si>
  <si>
    <t>What did Lady Gaga sing?</t>
  </si>
  <si>
    <t>$414 million</t>
  </si>
  <si>
    <t>plastid-dividing rings</t>
  </si>
  <si>
    <t>three meals in a day</t>
  </si>
  <si>
    <t>because of their belief in the validity of the social contract</t>
  </si>
  <si>
    <t>no known polynomial-time solution</t>
  </si>
  <si>
    <t>evils as genocide, brutal suppression of human rights, and unprovoked international aggression</t>
  </si>
  <si>
    <t>deteriorated</t>
  </si>
  <si>
    <t>African-American</t>
  </si>
  <si>
    <t>To calculate instant angular acceleration of a rigid body what would you use?</t>
  </si>
  <si>
    <t>DeMarcus Ware</t>
  </si>
  <si>
    <t>Albany Congress</t>
  </si>
  <si>
    <t>the Egg of Columbus</t>
  </si>
  <si>
    <t>22 June 1857</t>
  </si>
  <si>
    <t>Which dynasties' histories were officially documented during Toghun's reign?</t>
  </si>
  <si>
    <t>What is the weather type of Mallee and upper Wimmera?</t>
  </si>
  <si>
    <t>Older than The Game by 23 years, the Harvard-Yale Regatta was the original source of the athletic rivalry between the two schools. It is held annually in June on the Thames River in eastern Connecticut. The Harvard crew is typically considered to be one of the top teams in the country in rowing. Today, Harvard fields top teams in several other sports, such as the Harvard Crimson men's ice hockey team (with a strong rivalry against Cornell), squash, and even recently won NCAA titles in Men's and Women's Fencing. Harvard also won the Intercollegiate Sailing Association National Championships in 2003.</t>
  </si>
  <si>
    <t>"Bold New City of the South"</t>
  </si>
  <si>
    <t>syrenka</t>
  </si>
  <si>
    <t>middle of the 20th century</t>
  </si>
  <si>
    <t>fuel consumption, industrial production and so on</t>
  </si>
  <si>
    <t>What other projectiles did Tesla compare the electric particles to?</t>
  </si>
  <si>
    <t>Disney–ABC Domestic Television</t>
  </si>
  <si>
    <t>The UK and France had non interruptions in their oil supply as they did not allow which country to use their airfield?</t>
  </si>
  <si>
    <t>Electronic Frontier Foundation</t>
  </si>
  <si>
    <t>What were the two forms of environmental determinism?</t>
  </si>
  <si>
    <t>State Department</t>
  </si>
  <si>
    <t>seventh</t>
  </si>
  <si>
    <t>Religious and spiritual teachers</t>
  </si>
  <si>
    <t>throughout the 14th to 17th centuries</t>
  </si>
  <si>
    <t>June 30, 1951</t>
  </si>
  <si>
    <t>Who runs the University of Chicago?</t>
  </si>
  <si>
    <t>What are the three construction subsectors?</t>
  </si>
  <si>
    <t>fill in blank spaces on contemporary maps</t>
  </si>
  <si>
    <t>a better understanding of the Mau Mau command structure</t>
  </si>
  <si>
    <t>disappearance of a strong ally and counterweight to British expansion, leading to their ultimate dispossession</t>
  </si>
  <si>
    <t>its chloroplast</t>
  </si>
  <si>
    <t>The house of the Baryczko merchant family is a notable example of what type of architecture?</t>
  </si>
  <si>
    <t>What programs are broadcast from the Times Square Studios for ABC?</t>
  </si>
  <si>
    <t>11th century</t>
  </si>
  <si>
    <t>Arabs</t>
  </si>
  <si>
    <t>Where on Earth is free oxygen found?</t>
  </si>
  <si>
    <t>semi-arid savanna to the north and east</t>
  </si>
  <si>
    <t>Han Chinese</t>
  </si>
  <si>
    <t>What did Luther call the revolting peasants?</t>
  </si>
  <si>
    <t>Gandhi</t>
  </si>
  <si>
    <t>The Ten Commandments, and the beginnings of the renewed life of Christians accorded to them by the sacrament of baptism, are a present foreshadowing of the believers' future angel-like life in heaven in the midst of this life. Luther's teaching of the Ten Commandments, therefore, has clear eschatological overtones, which, characteristically for Luther, do not encourage world-flight but direct the Christian to service to the neighbor in the common, daily vocations of this perishing world.</t>
  </si>
  <si>
    <t>Bold New City of the South</t>
  </si>
  <si>
    <t>Resurgence</t>
  </si>
  <si>
    <t>capturing three traders and killing 14 people of the Miami nation, including Old Briton</t>
  </si>
  <si>
    <t>NBC Blue Network</t>
  </si>
  <si>
    <t>What is the nickname for ABC's logo from the 2000 campaign?</t>
  </si>
  <si>
    <t>the Saudi-interpretation</t>
  </si>
  <si>
    <t>analog and numerical</t>
  </si>
  <si>
    <t>The internal cavity forms: a mouth that can usually be closed by muscles; a pharynx ("throat"); a wider area in the center that acts as a stomach; and a system of internal canals. These branch through the mesoglea to the most active parts of the animal: the mouth and pharynx; the roots of the tentacles, if present; all along the underside of each comb row; and four branches round the sensory complex at the far end from the mouth – two of these four branches terminate in anal pores. The inner surface of the cavity is lined with an epithelium, the gastrodermis. The mouth and pharynx have both cilia and well-developed muscles. In other parts of the canal system, the gastrodermis is different on the sides nearest to and furthest from the organ that it supplies. The nearer side is composed of tall nutritive cells that store nutrients in vacuoles (internal compartments), germ cells that produce eggs or sperm, and photocytes that produce bioluminescence. The side furthest from the organ is covered with ciliated cells that circulate water through the canals, punctuated by ciliary rosettes, pores that are surrounded by double whorls of cilia and connect to the mesoglea.</t>
  </si>
  <si>
    <t>Raoul Pierre Pictet</t>
  </si>
  <si>
    <t>Reyners v Belgium</t>
  </si>
  <si>
    <t xml:space="preserve">Le grand states that students studying civil disobedience will often run into grammatical niceties and what other problem? </t>
  </si>
  <si>
    <t>Charles Porter</t>
  </si>
  <si>
    <t>How much of the lake connecting with the Rhine can you see from the German islands?</t>
  </si>
  <si>
    <t>Einstein's</t>
  </si>
  <si>
    <t>Phil Simms</t>
  </si>
  <si>
    <t>What Japanese network did ABC purchase a stake in in 1951?</t>
  </si>
  <si>
    <t>A revised version of the ABC logo was introduced for promotions for the 2013–14 season during the network's upfront presentation on May 14, 2013, and officially introduced on-air on June 17 (although some affiliates implemented the new design prior to then), as part of an overhaul of ABC's identity by design agency LoyalKaspar. The updated logo carries a simpler gloss design than the previous version, and contains lettering more closely resembling Paul Rand's original version of the circle logo. The logo is displayed on-air, online and in print advertising in four variants shading the respective color used with the circle design's native black coloring: a gold version is primarily used on entertainment-oriented outlets (such as ABC.com, WATCH ABC, and by ABC Studios) and the on-screen bug; steel blue and dark grey versions are used primarily by ABC News; a red version is used for ESPN on ABC, while all four variants are used selectively in advertising and by affiliates. A new custom typeface, "ABC Modern" (which was inspired by the logotype), was also created for use in advertising and other promotional materials.</t>
  </si>
  <si>
    <t>Commission v Italy</t>
  </si>
  <si>
    <t>commerce, schooling and government.</t>
  </si>
  <si>
    <t>electrical fire</t>
  </si>
  <si>
    <t>Who kicked Ethelred out?</t>
  </si>
  <si>
    <t>Reciprocating piston</t>
  </si>
  <si>
    <t>1763–1775</t>
  </si>
  <si>
    <t>What was the American Timothy Dexter widely regarded as?</t>
  </si>
  <si>
    <t>45 million people</t>
  </si>
  <si>
    <t>coordinating lead authors</t>
  </si>
  <si>
    <t>What country is the most industrially developed country in the African Great Lakes Region?</t>
  </si>
  <si>
    <t>June 1979</t>
  </si>
  <si>
    <t>British failures in North America, combined with other failures in the Europe</t>
  </si>
  <si>
    <t>What university donated the land for the Manned Spacecraft Center?</t>
  </si>
  <si>
    <t>Who hosted the bandstand show debuted on ABC in 1957?</t>
  </si>
  <si>
    <t>the Tehachapis</t>
  </si>
  <si>
    <t>What might also be required of a teacher to pass, in addition to certification?</t>
  </si>
  <si>
    <t>catalog everything</t>
  </si>
  <si>
    <t>Victorian Government</t>
  </si>
  <si>
    <t>Who did Luther write about, but seldom met?</t>
  </si>
  <si>
    <t>In 2012 the Economist Intelligence Unit ranked Warsaw as the 32nd most liveable city in the world. It was also ranked as one of the most liveable cities in Central Europe. Today Warsaw is considered an "Alpha–" global city, a major international tourist destination and a significant cultural, political and economic hub. Warsaw's economy, by a wide variety of industries, is characterised by FMCG manufacturing, metal processing, steel and electronic manufacturing and food processing. The city is a significant centre of research and development, BPO, ITO, as well as of the Polish media industry. The Warsaw Stock Exchange is one of the largest and most important in Central and Eastern Europe. Frontex, the European Union agency for external border security, has its headquarters in Warsaw. It has been said that Warsaw, together with Frankfurt, London, Paris and Barcelona is one of the cities with the highest number of skyscrapers in the European Union. Warsaw has also been called "Eastern Europe’s chic cultural capital with thriving art and club scenes and serious restaurants".</t>
  </si>
  <si>
    <t>39-yard</t>
  </si>
  <si>
    <t>What year was Super Bowl 50?</t>
  </si>
  <si>
    <t>human papillomavirus</t>
  </si>
  <si>
    <t>masses</t>
  </si>
  <si>
    <t>nobleman</t>
  </si>
  <si>
    <t>sometimes the eaten alga's cell membrane</t>
  </si>
  <si>
    <t>What service did BSkyB chare additional subscription fees for?</t>
  </si>
  <si>
    <t>Where was the centrifugal governor first observed by Boulton?</t>
  </si>
  <si>
    <t>Vendobionta lived during which period?</t>
  </si>
  <si>
    <t>How do the fees at former Model C schools compare to those at other schools?</t>
  </si>
  <si>
    <t>unmanned Saturn V flights</t>
  </si>
  <si>
    <t>July 1888</t>
  </si>
  <si>
    <t>Who would a teacher's college be protecting?</t>
  </si>
  <si>
    <t>What part of chloroplasts isn't similar to mitochondria?</t>
  </si>
  <si>
    <t>There are several ways to mitigate the occupational hazards of teaching. Organizational interventions, like changing teachers' schedules, providing support networks and mentoring, changing the work environment, and offering promotions and bonuses, may be effective in helping to reduce occupational stress among teachers. Individual-level interventions, including stress-management training and counseling, are also used to relieve occupational stress among teachers.</t>
  </si>
  <si>
    <t>Using boiling water to produce mechanical motion goes back over 2000 years, but early devices were not practical. The Spanish inventor Jerónimo de Ayanz y Beaumont obtained the first patent for a steam engine in 1606. In 1698 Thomas Savery patented a steam pump that used steam in direct contact with the water being pumped. Savery's steam pump used condensing steam to create a vacuum and draw water into a chamber, and then applied pressurized steam to further pump the water. Thomas Newcomen's atmospheric engine was the first commercial true steam engine using a piston, and was used in 1712 for pumping in a mine.</t>
  </si>
  <si>
    <t>Howard Zinn writes, "There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t>
  </si>
  <si>
    <t>What garden was formally only for royalty?</t>
  </si>
  <si>
    <t>Another cause is the rate at which income is taxed coupled with the progressivity of the tax system. A progressive tax is a tax by which the tax rate increases as the taxable base amount increases. In a progressive tax system, the level of the top tax rate will often have a direct impact on the level of inequality within a society, either increasing it or decreasing it, provided that income does not change as a result of the change in tax regime. Additionally, steeper tax progressivity applied to social spending can result in a more equal distribution of income across the board. The difference between the Gini index for an income distribution before taxation and the Gini index after taxation is an indicator for the effects of such taxation.</t>
  </si>
  <si>
    <t>for Lutheran views</t>
  </si>
  <si>
    <t>In the United States, what is a usual turbine speed with 60 Hertz of power?</t>
  </si>
  <si>
    <t>$5,000,000,</t>
  </si>
  <si>
    <t>Richard Leakey</t>
  </si>
  <si>
    <t>What was Houghton's role?</t>
  </si>
  <si>
    <t>pathogens, from viruses to parasitic worms</t>
  </si>
  <si>
    <t>What year was the decision made to cancel Apollo missions 18 and 19?</t>
  </si>
  <si>
    <t>Gaelic</t>
  </si>
  <si>
    <t>The functions of the teacher's colleges may include setting out clear standards of practice, providing for the ongoing education of teachers, investigating complaints involving members, conducting hearings into allegations of professional misconduct and taking appropriate disciplinary action and accrediting teacher education programs. In many situations teachers in publicly funded schools must be members in good standing with the college, and private schools may also require their teachers to be college peoples. In other areas these roles may belong to the State Board of Education, the Superintendent of Public Instruction, the State Education Agency or other governmental bodies. In still other areas Teaching Unions may be responsible for some or all of these duties.</t>
  </si>
  <si>
    <t>What movements pursued a more radical direction?</t>
  </si>
  <si>
    <t>When did ABC first start?</t>
  </si>
  <si>
    <t>1720</t>
  </si>
  <si>
    <t>the Tesla Coil</t>
  </si>
  <si>
    <t>Where do pharmacists acquire more preparation following pharmacy school?</t>
  </si>
  <si>
    <t>What do the owners of more capital end up having?</t>
  </si>
  <si>
    <t>When was consumption inequality lower than it had been in 1986?</t>
  </si>
  <si>
    <t>The isolated subdivision</t>
  </si>
  <si>
    <t>Presburger</t>
  </si>
  <si>
    <t>What effect did the plague have on the Middle East?</t>
  </si>
  <si>
    <t>Who leads The Islamic State?</t>
  </si>
  <si>
    <t>8–15</t>
  </si>
  <si>
    <t>When was the plastome discovered?</t>
  </si>
  <si>
    <t>three epicenters</t>
  </si>
  <si>
    <t>the construction of military roads</t>
  </si>
  <si>
    <t>disrupting their plasma membrane.</t>
  </si>
  <si>
    <t>Rep. Joe Barton</t>
  </si>
  <si>
    <t>Art Deco style in painting and art</t>
  </si>
  <si>
    <t>push</t>
  </si>
  <si>
    <t>What is the name of the property where the media event was held for Super Bowl 50?</t>
  </si>
  <si>
    <t>Parliamentary time</t>
  </si>
  <si>
    <t>his writings and comments</t>
  </si>
  <si>
    <t>What did he make the employee do when he didn't like her outfit?</t>
  </si>
  <si>
    <t>June 1, 1953</t>
  </si>
  <si>
    <t>300 m3/s (11,000 cu ft/s)</t>
  </si>
  <si>
    <t>Gini</t>
  </si>
  <si>
    <t>In what book did Betty Meggers describe the idea of the Amazon being sparsely populated?</t>
  </si>
  <si>
    <t>the Edison Medal.</t>
  </si>
  <si>
    <t>freely available on the web</t>
  </si>
  <si>
    <t>George Wallis</t>
  </si>
  <si>
    <t>symmetric</t>
  </si>
  <si>
    <t>to spearhead the regeneration of the North-East</t>
  </si>
  <si>
    <t>over 50 letters</t>
  </si>
  <si>
    <t>When did this attempt take place?</t>
  </si>
  <si>
    <t>Where was Friedrich Ratzel born?</t>
  </si>
  <si>
    <t>When did Lev's Stadium open?</t>
  </si>
  <si>
    <t>34 million years</t>
  </si>
  <si>
    <t>120 m</t>
  </si>
  <si>
    <t>What was the steam engine an important component of?</t>
  </si>
  <si>
    <t>the Catechism</t>
  </si>
  <si>
    <t>What did ITV increase their yearly offer for control of the rights to broadcast the Primer League to?</t>
  </si>
  <si>
    <t>a "unit"</t>
  </si>
  <si>
    <t xml:space="preserve">The presence or absence of what can be used to determine the relative age of the formations in which they are found? </t>
  </si>
  <si>
    <t>the United Nations Environment Programme (UNEP) and the World Meteorological Organization (WMO)</t>
  </si>
  <si>
    <t>When did Menich serve as President?</t>
  </si>
  <si>
    <t>On the Night of the Fire</t>
  </si>
  <si>
    <t>many of the Canadians, including their commanding officer, Joseph Coulon de Jumonville</t>
  </si>
  <si>
    <t xml:space="preserve">What does Packet switching contrast with </t>
  </si>
  <si>
    <t>What was the first Super Bowl to use the standardized logo template?</t>
  </si>
  <si>
    <t>a nationwide network</t>
  </si>
  <si>
    <t>kinescope</t>
  </si>
  <si>
    <t>complete addressing information</t>
  </si>
  <si>
    <t>What did industry do to the Rhine until the 1980s?</t>
  </si>
  <si>
    <t>Duc d'Alençon</t>
  </si>
  <si>
    <t>German-Swiss border</t>
  </si>
  <si>
    <t>In what process is the uptake from oxygen necessary?</t>
  </si>
  <si>
    <t>Who is one prominent advocate of this theory?</t>
  </si>
  <si>
    <t>Of what form is the infinite amount of primes that comprise the special cases of Schinzel's hypothesis?</t>
  </si>
  <si>
    <t>Which leaders did the Islamic extremists attack?</t>
  </si>
  <si>
    <t>What is the hymn known as in English?</t>
  </si>
  <si>
    <t>Years before his death, Genghis Khan asked to be buried without markings, according to the customs of his tribe. After he died, his body was returned to Mongolia and presumably to his birthplace in Khentii Aimag, where many assume he is buried somewhere close to the Onon River and the Burkhan Khaldun mountain (part of the Kentii mountain range). According to legend, the funeral escort killed anyone and anything across their path to conceal where he was finally buried. The Genghis Khan Mausoleum, constructed many years after his death, is his memorial, but not his burial site.</t>
  </si>
  <si>
    <t>12th century</t>
  </si>
  <si>
    <t>The owner</t>
  </si>
  <si>
    <t>41-yard line.</t>
  </si>
  <si>
    <t>What award was Michelle Gomez nominated for?</t>
  </si>
  <si>
    <t>Which diseases do many scientists believe contributed to plague pandemic?</t>
  </si>
  <si>
    <t>experience</t>
  </si>
  <si>
    <t>Redwood City, California</t>
  </si>
  <si>
    <t>What does it take a country with high inequality longer to achieve?</t>
  </si>
  <si>
    <t>a round trip through all sites in Milan whose total length is at most 10 km</t>
  </si>
  <si>
    <t>How many incarnations can a Time Lord have?</t>
  </si>
  <si>
    <t>What an the freeman of Newcastle do with their cows on the Town Moor?</t>
  </si>
  <si>
    <t>In which year was Reverend Chauncy Hare Townshend's collection of gems was bequeathed to the museum?</t>
  </si>
  <si>
    <t>Who was Kennedy's science adviser that opposed manned spacecraft flights?</t>
  </si>
  <si>
    <t>The Standard Industrial Classification and the newer North American Industry Classification System have a classification system for companies that perform or otherwise engage in construction. To recognize the differences of companies in this sector, it is divided into three subsectors: building construction, heavy and civil engineering construction, and specialty trade contractors. There are also categories for construction service firms (e.g., engineering, architecture) and construction managers (firms engaged in managing construction projects without assuming direct financial responsibility for completion of the construction project).</t>
  </si>
  <si>
    <t>the Yassa code</t>
  </si>
  <si>
    <t>What year did the university team up with Shimer College?</t>
  </si>
  <si>
    <t>What was considered responsible for the black death as well as the epidemic in southern China?</t>
  </si>
  <si>
    <t>Small Business Big Game</t>
  </si>
  <si>
    <t>low ratio of organic matter to salt and water</t>
  </si>
  <si>
    <t>What profession does Simon Kuznets have?</t>
  </si>
  <si>
    <t>What covered the new field at Levi's Stadium?</t>
  </si>
  <si>
    <t>autumn 1347</t>
  </si>
  <si>
    <t>What proposed attacks did Shirley plan?</t>
  </si>
  <si>
    <t>What did the IPCC say was mistaken?</t>
  </si>
  <si>
    <t>in Africa</t>
  </si>
  <si>
    <t>Why did Tesla begin investigating invisible energy?</t>
  </si>
  <si>
    <t>statue of fame</t>
  </si>
  <si>
    <t>by over 100%</t>
  </si>
  <si>
    <t>same-gender marriages with resolutions</t>
  </si>
  <si>
    <t>Camisards</t>
  </si>
  <si>
    <t>Who did Luther remind the peasants to obey?</t>
  </si>
  <si>
    <t>How do Mongolians sometime describe their relationship to Genghis Khan?</t>
  </si>
  <si>
    <t>How many campuses does the California State University have?</t>
  </si>
  <si>
    <t>1996</t>
  </si>
  <si>
    <t>Pannerdens Kanaal</t>
  </si>
  <si>
    <t>it is open to all irrespective of age, literacy level and has materials relevant to people of all walks of life</t>
  </si>
  <si>
    <t>eliminate the accusing law</t>
  </si>
  <si>
    <t>environment</t>
  </si>
  <si>
    <t>Who ended up replacing Joseph Francis Shea as ASPO Manager?</t>
  </si>
  <si>
    <t>sacked</t>
  </si>
  <si>
    <t>Pharmacy</t>
  </si>
  <si>
    <t>fungi</t>
  </si>
  <si>
    <t>Who was the head of the household that Temüjin joined when he was nine years old?</t>
  </si>
  <si>
    <t>not to grant a consent search</t>
  </si>
  <si>
    <t>When was the first plastome sequenced?</t>
  </si>
  <si>
    <t>What other clashes were involved in taking Louisbourg?</t>
  </si>
  <si>
    <t>"Bairn" and "hyem" have origins from what culture?</t>
  </si>
  <si>
    <t>sponges</t>
  </si>
  <si>
    <t>reduced productivity</t>
  </si>
  <si>
    <t>How far from the Yard is the Quad located?</t>
  </si>
  <si>
    <t>What type of train would some of the proposed new routes require?</t>
  </si>
  <si>
    <t>George Stephenson,</t>
  </si>
  <si>
    <t>Not</t>
  </si>
  <si>
    <t>a suite of network protocols created by Digital Equipment Corporation</t>
  </si>
  <si>
    <t>Beginning how many years ago did the amazon rainforest extend 45 degrees south?</t>
  </si>
  <si>
    <t>Where was the ESPN Deportes Spanish version of Super Bowl 50 available?</t>
  </si>
  <si>
    <t>precise operational definitions</t>
  </si>
  <si>
    <t>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t>
  </si>
  <si>
    <t>The Mongol army under Genghis Khan, generals and his sons crossed the Tien Shan mountains by entering the area controlled by the Khwarezmian Empire. After compiling intelligence from many sources Genghis Khan carefully prepared his army, which was divided into three groups. His son Jochi led the first division into the northeast of Khwarezmia. The second division under Jebe marched secretly to the southeast part of Khwarzemia to form, with the first division, a pincer attack on Samarkand. The third division under Genghis Khan and Tolui marched to the northwest and attacked Khwarzemia from that direction.</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</si>
  <si>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</si>
  <si>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A number of researchers (David Rodda, Jacob Vigdor, and Janna Matlack), argue that a shortage of affordable housing – at least in the US – is caused in part by income inequality. David Rodda noted that from 1984 and 1991, the number of quality rental units decreased as the demand for higher quality housing increased (Rhoda 1994:148). Through gentrification of older neighbourhoods, for example, in East New York, rental prices increased rapidly as landlords found new residents willing to pay higher market rate for housing and left lower income families without rental units. The ad valorem property tax policy combined with rising prices made it difficult or impossible for low income residents to keep pace.</t>
  </si>
  <si>
    <t>Who was the Normans' main enemy in Italy, the Byzantine Empire and Armenia?</t>
  </si>
  <si>
    <t>What is the process by which the antigen/antibody complex is processed in to peptides?</t>
  </si>
  <si>
    <t>Honorary freemen</t>
  </si>
  <si>
    <t>work was published first</t>
  </si>
  <si>
    <t>placing them on prophetic faith</t>
  </si>
  <si>
    <t>prefabricated</t>
  </si>
  <si>
    <t>What increases with the increase of income inequality?</t>
  </si>
  <si>
    <t>rotifers and mollusc and crustacean larvae</t>
  </si>
  <si>
    <t>Who described a steam turbine in 1629?</t>
  </si>
  <si>
    <t>4 kilometers</t>
  </si>
  <si>
    <t>What are Apicomplexans a type of?</t>
  </si>
  <si>
    <t>about three</t>
  </si>
  <si>
    <t>O2</t>
  </si>
  <si>
    <t>What year did Roger de Tosny fail to accomplish what he set out to do?</t>
  </si>
  <si>
    <t>a known client</t>
  </si>
  <si>
    <t>the methodology used</t>
  </si>
  <si>
    <t>When do juvenile develop into adults?</t>
  </si>
  <si>
    <t>antibodies</t>
  </si>
  <si>
    <t>eukaryotic</t>
  </si>
  <si>
    <t>What are the biggest game animals of Kenya called?</t>
  </si>
  <si>
    <t>public-key cryptography</t>
  </si>
  <si>
    <t>Newton's</t>
  </si>
  <si>
    <t>What was the period called that was 505 million years ago?</t>
  </si>
  <si>
    <t>metamorphic</t>
  </si>
  <si>
    <t>Where was Marin's second fort constructed?</t>
  </si>
  <si>
    <t>Central Region</t>
  </si>
  <si>
    <t>What can block a legislation?</t>
  </si>
  <si>
    <t>Which rival of the Mongols is suspected of inventing the story that Genghis Khan was murdered by a captured princess?</t>
  </si>
  <si>
    <t>What do Plastoglobuli exchange contents with?</t>
  </si>
  <si>
    <t>What are the laws of physics of Galileo, in reference to objest in motion and rest?</t>
  </si>
  <si>
    <t>William Hartnell's poor health</t>
  </si>
  <si>
    <t>In the fall of 1937</t>
  </si>
  <si>
    <t>Scandinavia and northern Europe</t>
  </si>
  <si>
    <t>Nonconservative forces</t>
  </si>
  <si>
    <t xml:space="preserve">When was the scale to measure the Rhine introduced? </t>
  </si>
  <si>
    <t>From these bases, the Normans eventually captured Sicily and Malta from the Saracens, under the leadership of the famous Robert Guiscard, a Hauteville, and his younger brother Roger the Great Count. Roger's son, Roger II of Sicily, was crowned king in 1130 (exactly one century after Rainulf was "crowned" count) by Antipope Anacletus II. The Kingdom of Sicily lasted until 1194, when it was transferred to the House of Hohenstaufen through marriage. The Normans left their legacy in many castles, such as William Iron Arm's citadel at Squillace, and cathedrals, such as Roger II's Cappella Palatina chapel at Palermo, which dot the landscape and give a wholly distinct architectural flavor to accompany its unique history.</t>
  </si>
  <si>
    <t>the People’s Republic of China</t>
  </si>
  <si>
    <t>gaseous oxygen</t>
  </si>
  <si>
    <t>On October 6, 1973, Syria and Egypt, with support from other Arab nations, launched a surprise attack on Israel, on Yom Kippur. This renewal of hostilities in the Arab–Israeli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</si>
  <si>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What kind of programs did NBC Red test?</t>
  </si>
  <si>
    <t>as decision problems</t>
  </si>
  <si>
    <t>geographic scholars</t>
  </si>
  <si>
    <t>five or more</t>
  </si>
  <si>
    <t>information technology departments or for healthcare information technology vendor companies</t>
  </si>
  <si>
    <t>Oxford's Magdalen Tower</t>
  </si>
  <si>
    <t>floor</t>
  </si>
  <si>
    <t>In what year was the first commercial steam powered device invented?</t>
  </si>
  <si>
    <t>IJsselmeer</t>
  </si>
  <si>
    <t>How are peridinin-type chloroplasts' thylakoids arranged?</t>
  </si>
  <si>
    <t>Where was Luther born?</t>
  </si>
  <si>
    <t>only pharmacists may supply scheduled pharmaceuticals to the public</t>
  </si>
  <si>
    <t>What is the name of a uniflow engine that takes in steam in hot areas and exhausts it in cold?</t>
  </si>
  <si>
    <t>the Book of Exodus</t>
  </si>
  <si>
    <t>Are atmospheric oxygen levels going up, down, or staying the same?</t>
  </si>
  <si>
    <t>10 July 1856</t>
  </si>
  <si>
    <t>In what country can most of the Amazon rainforest be found?</t>
  </si>
  <si>
    <t>What kind of audience share did MNF allow ABC to attain according to Goldenson?</t>
  </si>
  <si>
    <t>commutative ring</t>
  </si>
  <si>
    <t>~3000 yr BP</t>
  </si>
  <si>
    <t>Why are people who distribute leaflets inside courthouses not been arrested?</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</si>
  <si>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</si>
  <si>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In 1998, the network began using a minimalist graphical identity, designed by Pittard Sullivan, featuring a small black-and-white "ABC Circle" logo on a yellow background (promotions during this time also featured a sequence of still photos of the stars of its programs during the timeslot card as well as the schedule sequence that began each night's prime time lineup). A new four-note theme tune was introduced alongside the package, based around the network's "We Love TV" image campaign introduced that year, creating an audio signature on par with the NBC chimes, CBS' various three-note soundmarks (including the current version used since 2000) and the Fox Fanfare. The four-note signature has been updated with every television season thereafter (though variants of it used since the 1998–99 season remain in use during the production company vanity cards shown following the closing credits of most programs). In the fall of 2015, ABC is stopped with its 1998–2002 four-note jingles for promotions and production company vanity cards following the closing credits of most of its programs over seventeen years, now it have a different and adventure-type music (with the drums of the network's four-note signature in the ending). The old four-note theme tune is still used by ABC on Demand to the beginning of the ABC show.</t>
  </si>
  <si>
    <t>southern China withstood and fought to the last</t>
  </si>
  <si>
    <t>wealth condensation</t>
  </si>
  <si>
    <t>increased patient health outcomes and decreased costs</t>
  </si>
  <si>
    <t>The Bruins belong to which college?</t>
  </si>
  <si>
    <t>Port of Los Angeles</t>
  </si>
  <si>
    <t>Because of their soft, gelatinous bodies</t>
  </si>
  <si>
    <t>What is being overhauled as part of the improvement works?</t>
  </si>
  <si>
    <t>What is one method of achieving aspirational consumption?</t>
  </si>
  <si>
    <t>When was the Gerald Ratner Athletics Center constructed?</t>
  </si>
  <si>
    <t>locations where water is costly</t>
  </si>
  <si>
    <t>the Methodist Episcopal Church was not founded until 1784.</t>
  </si>
  <si>
    <t>By which year did the American cars mpg start to improve?</t>
  </si>
  <si>
    <t>Philo</t>
  </si>
  <si>
    <t>20 December 1914</t>
  </si>
  <si>
    <t>required education of children as Catholics</t>
  </si>
  <si>
    <t>When was Luther's 95 Theses translated into German?</t>
  </si>
  <si>
    <t>over 37 million passengers</t>
  </si>
  <si>
    <t>What were the protesters doing with Christ's counsel?</t>
  </si>
  <si>
    <t>Fox Network</t>
  </si>
  <si>
    <t xml:space="preserve">What was the last Super Bowl that took place at Sun Life Stadium in Miami? </t>
  </si>
  <si>
    <t>Why does Doctor Who's TARDIS always look the same?</t>
  </si>
  <si>
    <t>mineral deposits</t>
  </si>
  <si>
    <t>Although Kenya is the biggest and most advanced economy in east and central Africa, and has an affluent urban minority, it has a Human Development Index (HDI) of 0.519, ranked 145 out of 186 in the world. As of 2005, 17.7% of Kenyans lived on less than $1.25 a day. The important agricultural sector is one of the least developed and largely inefficient, employing 75% of the workforce compared to less than 3% in the food secure developed countries. Kenya is usually classified as a frontier market or occasionally an emerging market, but it is not one of the least developed countries.</t>
  </si>
  <si>
    <t>more wealth and income</t>
  </si>
  <si>
    <t>Who received the pass that was ruled incomplete and confirmed after a challenge?</t>
  </si>
  <si>
    <t>granted the Protestants equality</t>
  </si>
  <si>
    <t>When was Kenya Electricity Generating Company established?</t>
  </si>
  <si>
    <t>What characteristic due most items display after burning?</t>
  </si>
  <si>
    <t>Which year was the case Commission v Italy that dealt with cocoa products?</t>
  </si>
  <si>
    <t>350</t>
  </si>
  <si>
    <t>since 1985</t>
  </si>
  <si>
    <t>Super Bowl Opening Night</t>
  </si>
  <si>
    <t>a shortage of male teachers</t>
  </si>
  <si>
    <t>the most giving Super Bowl ever</t>
  </si>
  <si>
    <t>When was the newsmagazine 20/20 first created?</t>
  </si>
  <si>
    <t>Which countries are represented in the Far Eastern collections?</t>
  </si>
  <si>
    <t>cosmology</t>
  </si>
  <si>
    <t>Sting</t>
  </si>
  <si>
    <t>estimated $200,000</t>
  </si>
  <si>
    <t>Name one country that banned boating, driving and flying on Sundays.</t>
  </si>
  <si>
    <t>Proportionality is recognised one of the general principles of European Union law by the European Court of Justice since the 1950s. According to the general principle of proportionality the lawfulness of an action depends on whether it was appropriate and necessary to achieve the objectives legitimately pursued. When there is a choice between several appropriate measures the least onerous must be adopted, and any disadvantage caused must not be disproportionate to the aims pursued. The principle of proportionality is also recognised in Article 5 of the EC Treaty, stating that "any action by the Community shall not go beyond what is necessary to achieve the objectives of this Treaty".</t>
  </si>
  <si>
    <t>When was Luther's writings about the Jews ignored, according to Johannes Wallmann?</t>
  </si>
  <si>
    <t>What Australian channel shows first-run Doctor Who episodes?</t>
  </si>
  <si>
    <t>What is another term for rotors?</t>
  </si>
  <si>
    <t>Bureau of Buddhist and Tibetan Affairs</t>
  </si>
  <si>
    <t>The "European Council"</t>
  </si>
  <si>
    <t>the city's streetcars</t>
  </si>
  <si>
    <t>ARPA IPTO director Larry Roberts</t>
  </si>
  <si>
    <t>How many volumes are contained in the library?</t>
  </si>
  <si>
    <t>It was shown by Ladner that if P ≠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</si>
  <si>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Of what form are rational primes?</t>
  </si>
  <si>
    <t>What was causing New France to have issues with resupplying?</t>
  </si>
  <si>
    <t>oxides and oxoacids</t>
  </si>
  <si>
    <t>What flows between Bingen and Bonn?</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</si>
  <si>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</si>
  <si>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use the potential energy stored in an H+</t>
  </si>
  <si>
    <t>What is the problem with cysteine?</t>
  </si>
  <si>
    <t>Sunday Service of the Methodists in North America</t>
  </si>
  <si>
    <t>How many prime numbers exist?</t>
  </si>
  <si>
    <t>What is the general perception of non-Mongolian histories of Genghis Khan by Mongolians themselves?</t>
  </si>
  <si>
    <t>In 2002, the Museum acquired the Costiff collection of 178 Vivienne Westwood costumes. Other famous designers with work in the collection include Coco Chanel, Hubert de Givenchy, Christian Dior, Cristóbal Balenciaga, Yves Saint Laurent, Guy Laroche, Irene Galitzine, Mila Schön, Valentino Garavani, Norman Norell, Norman Hartnell, Zandra Rhodes, Hardy Amies, Mary Quant, Christian Lacroix, Jean Muir and Pierre Cardin. The museum continues to acquire examples of modern fashion to add to the collection.</t>
  </si>
  <si>
    <t>In 1890, who did the university decide to team up with?</t>
  </si>
  <si>
    <t>Grundschule</t>
  </si>
  <si>
    <t>Which sitcom produced a spinoff for ABC after ending its run in 1984?</t>
  </si>
  <si>
    <t>In addition to endowments and tuition, how do boarding schools cover their operating costs?</t>
  </si>
  <si>
    <t>A Christmas Carol</t>
  </si>
  <si>
    <t>Urarina</t>
  </si>
  <si>
    <t>Battle of Jumonville Glen</t>
  </si>
  <si>
    <t>What does Graham Twigg propose about the spread of disease?</t>
  </si>
  <si>
    <t>What document formed the Parliament of Victoria?</t>
  </si>
  <si>
    <t>Albert Einstein</t>
  </si>
  <si>
    <t>What culture did the Normans combine with in Ireland?</t>
  </si>
  <si>
    <t>What channel replaced Sky Travel?</t>
  </si>
  <si>
    <t>from 1550 to 1900</t>
  </si>
  <si>
    <t>What was the term Kennedy used to show that America was falling behind the Soviet Union due to inactivity in space programs?</t>
  </si>
  <si>
    <t>proud of it</t>
  </si>
  <si>
    <t>silicates</t>
  </si>
  <si>
    <t>sometime during their educational career.</t>
  </si>
  <si>
    <t>From what landmark within Fresno does the Tower Theatre get its name?</t>
  </si>
  <si>
    <t>Warraghiggey</t>
  </si>
  <si>
    <t>external</t>
  </si>
  <si>
    <t>visitation of the Electorate of Saxony,</t>
  </si>
  <si>
    <t>168,637</t>
  </si>
  <si>
    <t>What conviction motivated Eliot to move towards secularization?</t>
  </si>
  <si>
    <t>nationwide network</t>
  </si>
  <si>
    <t>conquering the other state's lands and therefore increasing its own dominance</t>
  </si>
  <si>
    <t>between 1945 and 1970</t>
  </si>
  <si>
    <t>In what year was direct ascent the primary mission focus at NASA?</t>
  </si>
  <si>
    <t>KRFX</t>
  </si>
  <si>
    <t>late local programming</t>
  </si>
  <si>
    <t>political poem</t>
  </si>
  <si>
    <t>transfer and dissipate excess energy</t>
  </si>
  <si>
    <t>What can an enthusiastic teacher be to a young student?</t>
  </si>
  <si>
    <t>Ein neues Lied wir heben an</t>
  </si>
  <si>
    <t>The V&amp;A's youth outreach programme was a hallmark of whose directorship?</t>
  </si>
  <si>
    <t>the Sun</t>
  </si>
  <si>
    <t xml:space="preserve">What did Paul Baran develop </t>
  </si>
  <si>
    <t>since 2001</t>
  </si>
  <si>
    <t>Charlotte Muzar</t>
  </si>
  <si>
    <t>80.4 decibels</t>
  </si>
  <si>
    <t>Sicily and the south of Europe</t>
  </si>
  <si>
    <t>Which party is currently the largest among political party lines?</t>
  </si>
  <si>
    <t>Who produced the comedy-drama The Love Boat?</t>
  </si>
  <si>
    <t>Louisiana west of the Mississippi River</t>
  </si>
  <si>
    <t>operators</t>
  </si>
  <si>
    <t>All matters that are not specifically reserved are automatically devolved to the Scottish Parliament</t>
  </si>
  <si>
    <t>What are the core treaties that the primary law of the EU consists of?</t>
  </si>
  <si>
    <t>Following a referendum in 1997, in which the Scottish electorate voted for devolution, the current Parliament was convened by the Scotland Act 1998, which sets out its powers as a devolved legislature. The Act delineates the legislative competence of the Parliament – the areas in which it can make laws –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</si>
  <si>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algebraic aspects</t>
  </si>
  <si>
    <t>from Nova Scotia and Newfoundland in the north, to Georgia in the south</t>
  </si>
  <si>
    <t>When did Great Britain colonize Australia?</t>
  </si>
  <si>
    <t>Besides ABC News, what other division was Roone Arledge president of?</t>
  </si>
  <si>
    <t xml:space="preserve">What was the first Super Bowl that the Carolina Panthers played in? </t>
  </si>
  <si>
    <t>little Hugos, or those who want Hugo</t>
  </si>
  <si>
    <t>After the Lisbon treaty, the Charter and the Convention now co-exist under what?</t>
  </si>
  <si>
    <t>the member state cannot enforce conflicting laws, and a citizen may rely on the Directive in such an action</t>
  </si>
  <si>
    <t>When did Western forces invade Iraq?</t>
  </si>
  <si>
    <t>Falcons</t>
  </si>
  <si>
    <t>In which case was a Dutch national not entitled to continue receiving benefits when he moved to Belgium?</t>
  </si>
  <si>
    <t>When was earthenware movable type invented?</t>
  </si>
  <si>
    <t>tentilla-bearing tentacles</t>
  </si>
  <si>
    <t>What was the dual mission AS-258 a combination of?</t>
  </si>
  <si>
    <t>What set the stage for Merits role in NSFNET</t>
  </si>
  <si>
    <t>What colors was the 2001 ABC logo?</t>
  </si>
  <si>
    <t>What term was used for the second regeneration?</t>
  </si>
  <si>
    <t>Thomas Edison</t>
  </si>
  <si>
    <t>1971</t>
  </si>
  <si>
    <t>the logo used for the Third and Eighth Doctors</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</si>
  <si>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</si>
  <si>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steam</t>
  </si>
  <si>
    <t>to attend school</t>
  </si>
  <si>
    <t>What civil rights movement in the US was known for it's disobedience?</t>
  </si>
  <si>
    <t>Robert Nozick</t>
  </si>
  <si>
    <t>How many Africans were brought into the United States during the slave trade?</t>
  </si>
  <si>
    <t>How fast do objects fall on Earth?</t>
  </si>
  <si>
    <t>What is the Island off of the German shore of the Rhine that this warm and cold water meet?</t>
  </si>
  <si>
    <t>sex offenders</t>
  </si>
  <si>
    <t>convert them to Christianity.</t>
  </si>
  <si>
    <t>chemotaxis</t>
  </si>
  <si>
    <t>How many buildings were razed by the Jacksonville fire?</t>
  </si>
  <si>
    <t>knowing the direction of the forces</t>
  </si>
  <si>
    <t>nearly 10,000</t>
  </si>
  <si>
    <t>Cost engineers and estimators</t>
  </si>
  <si>
    <t>may be powerful but it is not necessarily right</t>
  </si>
  <si>
    <t>What is the only organization which may speak officially for the church?</t>
  </si>
  <si>
    <t>What researcher first used the word oxygen ?</t>
  </si>
  <si>
    <t>What did Marlee Matlin translate?</t>
  </si>
  <si>
    <t>What was the name of the locomotive that debuted in 1808?</t>
  </si>
  <si>
    <t>applied</t>
  </si>
  <si>
    <t>What is the process of turning CO2 into organic molecules called?</t>
  </si>
  <si>
    <t>San Jose State practice facility and stayed at the San Jose Marriott.</t>
  </si>
  <si>
    <t>Command/Service Module</t>
  </si>
  <si>
    <t>the Industrial Revolution</t>
  </si>
  <si>
    <t>What did Mitsubishi rename its Forte to?</t>
  </si>
  <si>
    <t>the Iroquois Six Nations</t>
  </si>
  <si>
    <t>Kurt H. Debus</t>
  </si>
  <si>
    <t>(firms engaged in managing construction projects without assuming direct financial responsibility for completion of the construction project)</t>
  </si>
  <si>
    <t>How many seats are in the debating chamber?</t>
  </si>
  <si>
    <t>(1110 AM)</t>
  </si>
  <si>
    <t>What did the Shah do when faced with defeat by Genghis Khan's forces?</t>
  </si>
  <si>
    <t>How do cryptophyte chloroplasts arrange their pyrenoid and thylakoids?</t>
  </si>
  <si>
    <t>zoning and building code requirements</t>
  </si>
  <si>
    <t>April 1943</t>
  </si>
  <si>
    <t>letters</t>
  </si>
  <si>
    <t>the project coordinator</t>
  </si>
  <si>
    <t>1882</t>
  </si>
  <si>
    <t>Genesis Rock</t>
  </si>
  <si>
    <t>What is an alternate way to make starch?</t>
  </si>
  <si>
    <t>Scandinavia</t>
  </si>
  <si>
    <t>Medical knowledge had stagnated during the Middle Ages. The most authoritative account at the time came from the medical faculty in Paris in a report to the king of France that blamed the heavens, in the form of a conjunction of three planets in 1345 that caused a "great pestilence in the air". This report became the first and most widely circulated of a series of plague tracts that sought to give advice to sufferers. That the plague was caused by bad air became the most widely accepted theory. Today, this is known as the Miasma theory. The word 'plague' had no special significance at this time, and only the recurrence of outbreaks during the Middle Ages gave it the name that has become the medical term.</t>
  </si>
  <si>
    <t>Who conducted this survey?</t>
  </si>
  <si>
    <t>Factory Project</t>
  </si>
  <si>
    <t>biochemical oxygen demand</t>
  </si>
  <si>
    <t>What extinction event might have created some conditions allowing the expansion of the amazon rainforest?</t>
  </si>
  <si>
    <t>U.S. Defense Secretary</t>
  </si>
  <si>
    <t>What process do moderate and reformist Islamists work within the boundaries of?</t>
  </si>
  <si>
    <t>streamlines the front of the animal</t>
  </si>
  <si>
    <t>What tribes were in Father Le Loutre's War?</t>
  </si>
  <si>
    <t>diversified</t>
  </si>
  <si>
    <t>1201</t>
  </si>
  <si>
    <t>the Western Atlantic ctenophore Mnemiopsis leidyi was accidentally introduced</t>
  </si>
  <si>
    <t>What was Tesla's friends' theory as to what became of him?</t>
  </si>
  <si>
    <t>To better illustrate this idea, Bassett focuses his analysis of the role of nineteenth-century maps during the "scramble for Africa". He states that maps "contributed to empire by promoting, assisting, and legitimizing the extension of French and British power into West Africa". During his analysis of nineteenth-century cartographic techniques, he highlights the use of blank space to denote unknown or unexplored territory. This provided incentives for imperial and colonial powers to obtain "information to fill in blank spaces on contemporary maps".</t>
  </si>
  <si>
    <t>the CDC mainframe at Michigan State University in East Lansing</t>
  </si>
  <si>
    <t>the ability to pursue valued goals</t>
  </si>
  <si>
    <t>straight line</t>
  </si>
  <si>
    <t>On December 7, 1965, Goldenson announced a merger proposal with ITT to ABC management; the two companies agreed to the deal on April 27, 1966. The FCC approved the merger on December 21, 1966; however, the previous day (December 20), Donald F. Turner, head antitrust regulator for the United States Department of Justice, expressed doubts related to such issues as the emerging cable television market, and concerns over the journalistic integrity of ABC and how it could be influenced by the overseas ownership of ITT. ITT management promised that the company would allow ABC to retain autonomy in the publishing business. The merger was suspended, and a complaint was filed by the Department of Justice in July 1967, with ITT going to trial in October 1967; the merger was officially canceled after the trial's conclusion on January 1, 1968.</t>
  </si>
  <si>
    <t>Some scholars have asserted that Luther taught that faith and reason were antithetical in the sense that questions of faith could not be illuminated by reason. He wrote, "All the articles of our Christian faith, which God has revealed to us in His Word, are in presence of reason sheerly impossible, absurd, and false." and "[That] Reason in no way contributes to faith. [...] For reason is the greatest enemy that faith has; it never comes to the aid of spiritual things." However, though seemingly contradictorily, he also wrote in the latter work that human reason "strives not against faith, when enlightened, but rather furthers and advances it", bringing claims he was a fideist into dispute. Contemporary Lutheran scholarship, however, has found a different reality in Luther. Luther rather seeks to separate faith and reason in order to honor the separate spheres of knowledge that each applies to. Bernhard Lohse, for example, has demonstrated in his classic work "Fides und Ratio" that Luther ultimately sought to put the two together. More recently, Hans-Peter Grosshans has demonstrated that Luther's work on Biblical Criticism stresses the need for external coherence in the right exegetical method. This means that for Luther it is more important that the Bible is reasonable according to the reality outside of the scriptures than that the Bible makes sense to itself, that it has internal coherence. The right tool for understanding the world outside of the Bible for Luther is none other than reason, which for him is the field of science, philosophy, history and empirical observation. Here a different picture is presented of a Luther who deeply valued both faith and reason, and held them in dialectical partnership. Luther's concern thus in separating them is honoring their different epistemological spheres.</t>
  </si>
  <si>
    <t>£34m</t>
  </si>
  <si>
    <t>2p − 1, where p is an arbitrary prime</t>
  </si>
  <si>
    <t>Carotenoids</t>
  </si>
  <si>
    <t>How many museums are in Warsaw?</t>
  </si>
  <si>
    <t>1898</t>
  </si>
  <si>
    <t>greater inequality and potential economic instability</t>
  </si>
  <si>
    <t>bacteriophage T4.</t>
  </si>
  <si>
    <t>Where was Ralph earl of?</t>
  </si>
  <si>
    <t>one can include arbitrarily many instances of 1 in any factorization</t>
  </si>
  <si>
    <t>jump through the windings and destroy the insulation</t>
  </si>
  <si>
    <t>What is the term for closing off rivers that are no longer connected?</t>
  </si>
  <si>
    <t>They lost money from the beginning, and Sinback, a high-level marketing manager, was given the job of turning the business around</t>
  </si>
  <si>
    <t>On which magazine's cover did Tesla appear in 1931</t>
  </si>
  <si>
    <t>8 October 1963</t>
  </si>
  <si>
    <t>What was Frensh military presence at start of war?</t>
  </si>
  <si>
    <t>1,435 mm (4 ft 8 1⁄2 in) standard gauge</t>
  </si>
  <si>
    <t>the first network to make the hosts responsible for reliable delivery of data</t>
  </si>
  <si>
    <t>What are the two principal Asian-American groups living in the west side neighborhood of Fresno?</t>
  </si>
  <si>
    <t>phycobilin-containing chloroplast</t>
  </si>
  <si>
    <t>All clergy appointments a</t>
  </si>
  <si>
    <t>the courts of member states and the Court of Justice of the European Union</t>
  </si>
  <si>
    <t xml:space="preserve">What principle relates to the formation of faults and the age of the sequences through which they cut? </t>
  </si>
  <si>
    <t>Who played the companion named Donna Noble?</t>
  </si>
  <si>
    <t>State Route 99</t>
  </si>
  <si>
    <t>the poor application of well-established IPCC procedures</t>
  </si>
  <si>
    <t>Tesla Electric Light &amp; Manufacturing</t>
  </si>
  <si>
    <t>What was the topic of the error?</t>
  </si>
  <si>
    <t>Berengaria</t>
  </si>
  <si>
    <t>electrocution, transportation accidents, and trench cave-ins</t>
  </si>
  <si>
    <t>refusals to pay taxes</t>
  </si>
  <si>
    <t>How much was the emergency aid to Israel?</t>
  </si>
  <si>
    <t>Along with solar, coal and nuclear, what sort of plants notable use the Rankine process?</t>
  </si>
  <si>
    <t>the 20th century</t>
  </si>
  <si>
    <t>How old was Newton during Super Bowl 50?</t>
  </si>
  <si>
    <t>wing of the secular powers</t>
  </si>
  <si>
    <t>What style were the mass constructed residential blocks designed in?</t>
  </si>
  <si>
    <t>What is this invisible radiant energy now known as?</t>
  </si>
  <si>
    <t>What type of beings does Doctor Who usually take with him on his travels?</t>
  </si>
  <si>
    <t>Oxygen presents two spectrophotometric absorption bands peaking at the wavelengths 687 and 760 nm. Some remote sensing scientists have proposed using the measurement of the radiance coming from vegetation canopies in those bands to characterize plant health status from a satellite platform. This approach exploits the fact that in those bands it is possible to discriminate the vegetation's reflectance from its fluorescence, which is much weaker. The measurement is technically difficult owing to the low signal-to-noise ratio and the physical structure of vegetation; but it has been proposed as a possible method of monitoring the carbon cycle from satellites on a global scale.</t>
  </si>
  <si>
    <t>The Rhine Gorge is between Koblenz and what other city?</t>
  </si>
  <si>
    <t>London</t>
  </si>
  <si>
    <t>zero</t>
  </si>
  <si>
    <t>Southeastern U.S.</t>
  </si>
  <si>
    <t>Policies which reduce the inequality associated effects of unemployment support what type of growth?</t>
  </si>
  <si>
    <t>Ming</t>
  </si>
  <si>
    <t>How many interceptions did Cam Newton throw?</t>
  </si>
  <si>
    <t>What other sources of high oxidative potential can add to a fire?</t>
  </si>
  <si>
    <t>Gary Kubiak</t>
  </si>
  <si>
    <t>Where were Schirra, Eisele and Cunningham relocated to after different astronauts were selected for the AS-258 mission?</t>
  </si>
  <si>
    <t>Approximately how many old masters works are included in the V&amp;A collection?</t>
  </si>
  <si>
    <t>7 West 66th Street</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</si>
  <si>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</si>
  <si>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Full size working engines on what vehicles sometimes use oscillating cylinder steam engines?</t>
  </si>
  <si>
    <t>All</t>
  </si>
  <si>
    <t>What network assumed the rights to the Miss America Pageant in 2006?</t>
  </si>
  <si>
    <t>Horizontal layers of what are pulled along a surface into a back stop in analog versions of orogenic wedge experiments?</t>
  </si>
  <si>
    <t>each specific pathogen</t>
  </si>
  <si>
    <t>What decreased in number between 1984 and 1991?</t>
  </si>
  <si>
    <t>Edgar Atheling</t>
  </si>
  <si>
    <t>viewed as not being a civil disobedient</t>
  </si>
  <si>
    <t>ESPN on ABC</t>
  </si>
  <si>
    <t>What is the name of Doctor Who granddaughter?</t>
  </si>
  <si>
    <t>beta decay (of neutrons in atomic nuclei)</t>
  </si>
  <si>
    <t>What radio station do the students of Newcastle's two universities run?</t>
  </si>
  <si>
    <t>social networking</t>
  </si>
  <si>
    <t>Schmalkaldic League</t>
  </si>
  <si>
    <t>What scientific field's theory has received contributions from the steam engine?</t>
  </si>
  <si>
    <t>England's</t>
  </si>
  <si>
    <t>unit</t>
  </si>
  <si>
    <t>One of the sites, Merceds-Benz Superdome, is located where?</t>
  </si>
  <si>
    <t>Who compiled the original surviving Apollo 11 landing data?</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</si>
  <si>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</si>
  <si>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What is the name of the co-ed community service fraternity?</t>
  </si>
  <si>
    <t>a free state</t>
  </si>
  <si>
    <t>What was Luther's Disputation of Martin Luther on the Power and Efficacy of Indulgences later called?</t>
  </si>
  <si>
    <t>At the outbreak of World War I in August 1914, the governors of British East Africa (as the Protectorate was generally known) and German East Africa agreed a truce in an attempt to keep the young colonies out of direct hostilities. Lt Col Paul von Lettow-Vorbeck took command of the German military forces, determined to tie down as many British resources as possible. Completely cut off from Germany, von Lettow conducted an effective guerrilla warfare campaign, living off the land, capturing British supplies, and remaining undefeated. He eventually surrendered in Northern Rhodesia (today Zambia) fourteen days after the Armistice was signed in 1918.</t>
  </si>
  <si>
    <t>rural areas in the United Kingdom</t>
  </si>
  <si>
    <t>Central and Western Europe</t>
  </si>
  <si>
    <t>latent heat</t>
  </si>
  <si>
    <t>What is said to be the largest travelling funfair in Europe?</t>
  </si>
  <si>
    <t>Who has criticized ordering from online pharmacies that don't require prescriptions?</t>
  </si>
  <si>
    <t>After 1945, what challenged the French empire?</t>
  </si>
  <si>
    <t>Vaccination exploits what feature of the human immune system in order to be successful?</t>
  </si>
  <si>
    <t>gelatinous projections edged with cilia that produce water currents</t>
  </si>
  <si>
    <t>autoimmunity</t>
  </si>
  <si>
    <t>When was the Jacksonville town charter approved?</t>
  </si>
  <si>
    <t>What type of conservation effort is gaining attention in the Amazon?</t>
  </si>
  <si>
    <t>rat population was insufficient</t>
  </si>
  <si>
    <t>Where will the 2009 International Arts Fair be held?</t>
  </si>
  <si>
    <t>The mouth of the Rhine into Lake Constance forms an inland delta. The delta is delimited in the West by the Alter Rhein ("Old Rhine") and in the East by a modern canalized section. Most of the delta is a nature reserve and bird sanctuary. It includes the Austrian towns of Gaißau, Höchst and Fußach. The natural Rhine originally branched into at least two arms and formed small islands by precipitating sediments. In the local Alemannic dialect, the singular is pronounced "Isel" and this is also the local pronunciation of Esel ("Donkey"). Many local fields have an official name containing this element.</t>
  </si>
  <si>
    <t>The Costiff collection comprised costumes designed by which British fashion icon?</t>
  </si>
  <si>
    <t>every four years</t>
  </si>
  <si>
    <t>An MSP may introduce a bill as what?</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</si>
  <si>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</si>
  <si>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Lit and Phil premises</t>
  </si>
  <si>
    <t>cattle</t>
  </si>
  <si>
    <t>almost 500%</t>
  </si>
  <si>
    <t>water level</t>
  </si>
  <si>
    <t>Fulton Street in Downtown Fresno was Fresno's main financial and commercial district before being converted into one of the nation's first pedestrian malls in 1964. Renamed the Fulton Mall, the area contains the densest collection of historic buildings in Fresno. While the Fulton Mall corridor has suffered a sharp decline from its heyday, the Mall includes some of the finest public art pieces in the country, including the only Pierre-Auguste Renoir piece in the world that one can walk up to and touch. Current plans call for the reopening of the Fulton Mall to automobile traffic. The public art pieces will be restored and placed near their current locations and will feature wide sidewalks (up to 28' on the east side of the street) to continue with the pedestrian friendly environment of the district.</t>
  </si>
  <si>
    <t>It was never affiliated with any particular denomination</t>
  </si>
  <si>
    <t>When was Victoria first settled?</t>
  </si>
  <si>
    <t>How was religion handled in the Mongol Empire?</t>
  </si>
  <si>
    <t>a protest</t>
  </si>
  <si>
    <t>the Fox Network</t>
  </si>
  <si>
    <t>the market</t>
  </si>
  <si>
    <t>dial-up terminal to a PAD, or, by linking a permanent X.25 node</t>
  </si>
  <si>
    <t>The first attempts to internationalize the ABC television network date back to the 1950s, after Leonard Goldenson, following the United Paramount Theatres model, tried to use on ABC the same strategies he had made in expanding UPT's theater operation to the international market. Leonard Goldenson said that ABC's first international activity was broadcasting the coronation of Queen Elizabeth II in June 1953; CBS and NBC were unable to cover the coronation live due to respective issues with technical problems and flight delays. NBC's plane landed in Latin America[where?], leading ABC to learn of subsidiaries in that region. Goldenson tried international investing, having ABC invest in the Latin American market, acquiring a 51% interest in a network covering Central America. Goldenson also cited interest in Japan in the early 1950s, acquiring a 5% stake in two new domestic networks, the Mainichi Broadcasting System in 1951 and Nihon Educational Television in 1957. Goldenson also invested in broadcasting properties in Beirut in the mid-1960s.</t>
  </si>
  <si>
    <t>What kind of membrane do primary chloroplasts have?</t>
  </si>
  <si>
    <t>How many times less is the strenght of the weak field compared to the strong?</t>
  </si>
  <si>
    <t>blazer</t>
  </si>
  <si>
    <t>Where were the ashes sent?</t>
  </si>
  <si>
    <t>Kalonzo Musyoka</t>
  </si>
  <si>
    <t>For most of human history higher material living standards – full stomachs, access to clean water and warmth from fuel – led to better health and longer lives. This pattern of higher incomes-longer lives still holds among poorer countries, where life expectancy increases rapidly as per capita income increases, but in recent decades it has slowed down among middle income countries and plateaued among the richest thirty or so countries in the world. Americans live no longer on average (about 77 years in 2004) than Greeks (78 years) or New Zealanders (78), though the USA has a higher GDP per capita. Life expectancy in Sweden (80 years) and Japan (82) – where income was more equally distributed – was longer.</t>
  </si>
  <si>
    <t>At the beginning of the 20th century</t>
  </si>
  <si>
    <t>stems</t>
  </si>
  <si>
    <t>Genghis Khan, the title is spelled in variety of ways in different languages such as Mongolian Chinggis Khaan, English Chinghiz, Chinghis, and Chingiz, Chinese: 成吉思汗; pinyin: Chéngjísī Hán, Turkic: Cengiz Han, Çingiz Xan, Çingiz Han, Chingizxon, Çıñğız Xan, Chengez Khan, Chinggis Khan, Chinggis Xaan, Chingis Khan, Jenghis Khan, Chinggis Qan, Djingis Kahn, Russian: Чингисхан (Čingiskhan) or Чингиз-хан (Čingiz-khan), etc. Temüjin is written in Chinese as simplified Chinese: 铁木真; traditional Chinese: 鐵木眞; pinyin: Tiěmùzhēn.</t>
  </si>
  <si>
    <t>five million</t>
  </si>
  <si>
    <t>"Formal imperialism</t>
  </si>
  <si>
    <t xml:space="preserve">What did DECnet phase 2 become </t>
  </si>
  <si>
    <t>teaching</t>
  </si>
  <si>
    <t>What kinds of trees is Kearney Boulevard lined with?</t>
  </si>
  <si>
    <t>Richard Allen</t>
  </si>
  <si>
    <t xml:space="preserve">What does a high tide risk near lands? </t>
  </si>
  <si>
    <t>whether the bill is within the legislative competence of the Parliament</t>
  </si>
  <si>
    <t>NP-complete knapsack problem</t>
  </si>
  <si>
    <t>What paleontologists are currently on the university's faculty?</t>
  </si>
  <si>
    <t>Setting speed limits was one of the further devolutions which was conferred by what act?</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</si>
  <si>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</si>
  <si>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1060s</t>
  </si>
  <si>
    <t>determine the practical limits on what computers can and cannot do</t>
  </si>
  <si>
    <t>−11.7 °C</t>
  </si>
  <si>
    <t>Paul Marin de la Malgue</t>
  </si>
  <si>
    <t>the thorough analysis of all medication (prescription, non-prescription, and herbals) currently being taken by an individual</t>
  </si>
  <si>
    <t>What were the native inhabitants of Australia called?</t>
  </si>
  <si>
    <t>magnetic</t>
  </si>
  <si>
    <t>"The Use of Money,"</t>
  </si>
  <si>
    <t>economic</t>
  </si>
  <si>
    <t>1932</t>
  </si>
  <si>
    <t xml:space="preserve">What is tuition for 2012 - 13 year at Harvard? </t>
  </si>
  <si>
    <t>Holocene</t>
  </si>
  <si>
    <t>Saxon chancellery</t>
  </si>
  <si>
    <t>3.07</t>
  </si>
  <si>
    <t>Isel</t>
  </si>
  <si>
    <t>he sent missionaries, backed by a fund to financially reward converts</t>
  </si>
  <si>
    <t>What is one straightforward case of a probabilistic test?</t>
  </si>
  <si>
    <t>the mass of the attracting body</t>
  </si>
  <si>
    <t>the British</t>
  </si>
  <si>
    <t>more power</t>
  </si>
  <si>
    <t>as a liquid in specially insulated tankers</t>
  </si>
  <si>
    <t>Spain ceded Florida to the British in 1763 after the French and Indian War, and the British soon constructed the King's Road connecting St. Augustine to Georgia. The road crossed the St. Johns River at a narrow point, which the Seminole called Wacca Pilatka and the British called the Cow Ford or Cowford; these names ostensibly reflect the fact that cattle were brought across the river there. The British introduced the cultivation of sugar cane, indigo and fruits as well the export of lumber. As a result, the northeastern Florida area prospered economically more than it had under the Spanish. Britain ceded control of the territory back to Spain in 1783, after its defeat in the American Revolutionary War, and the settlement at the Cow Ford continued to grow. After Spain ceded the Florida Territory to the United States in 1821, American settlers on the north side of the Cow Ford decided to plan a town, laying out the streets and plats. They soon named the town Jacksonville, after Andrew Jackson. Led by Isaiah D. Hart, residents wrote a charter for a town government, which was approved by the Florida Legislative Council on February 9, 1832.</t>
  </si>
  <si>
    <t>construction of highways</t>
  </si>
  <si>
    <t>On the Night of the Fire (1939),</t>
  </si>
  <si>
    <t>When was the Muslim Brotherhood founded?</t>
  </si>
  <si>
    <t>Under which courts is most EU law applied?</t>
  </si>
  <si>
    <t>From the Eocene onwards, the ongoing Alpine orogeny caused a N–S rift system to develop in this zone. The main elements of this rift are the Upper Rhine Graben, in southwest Germany and eastern France and the Lower Rhine Embayment, in northwest Germany and the southeastern Netherlands. By the time of the Miocene, a river system had developed in the Upper Rhine Graben, that continued northward and is considered the first Rhine river. At that time, it did not yet carry discharge from the Alps; instead, the watersheds of the Rhone and Danube drained the northern flanks of the Alps.</t>
  </si>
  <si>
    <t>How did Luther say that reason contributes to faith?</t>
  </si>
  <si>
    <t>In what year was the university's 5th president granted his position?</t>
  </si>
  <si>
    <t>What color were the footballs handed out to a variety of high schools, leading up to Super Bowl 50?</t>
  </si>
  <si>
    <t>parallel importers</t>
  </si>
  <si>
    <t>Which Mongol conqueror was most celebrated by the Mughal emperors?</t>
  </si>
  <si>
    <t>fumble</t>
  </si>
  <si>
    <t>The modern trend in design is toward integration of previously separated specialties, especially among large firms. In the past, architects, interior designers, engineers, developers, construction managers, and general contractors were more likely to be entirely separate companies, even in the larger firms. Presently, a firm that is nominally an "architecture" or "construction management" firm may have experts from all related fields as employees, or to have an associated company that provides each necessary skill. Thus, each such firm may offer itself as "one-stop shopping" for a construction project, from beginning to end. This is designated as a "design build" contract where the contractor is given a performance specification and must undertake the project from design to construction, while adhering to the performance specifications.</t>
  </si>
  <si>
    <t>field goal</t>
  </si>
  <si>
    <t>Where do platycenida live?</t>
  </si>
  <si>
    <t>Who designed ABC's 1998 new graphic design?</t>
  </si>
  <si>
    <t>every two years when the Harvard and Yale Track and Field teams come together to compete against a combined Oxford University and Cambridge University team</t>
  </si>
  <si>
    <t>Brandon McManus</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</si>
  <si>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</si>
  <si>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Cornell</t>
  </si>
  <si>
    <t>One of the later ruptures between Toghrul and Temüjin was Toghrul's refusal to give his daughter in marriage to Jochi, the eldest son of Temüjin, a sign of disrespect in the Mongolian culture. This act led to the split between both factions and was a prelude to war. Toghrul allied himself with Jamukha, who already opposed Temüjin's forces; however, the internal dispute between Toghrul and Jamukha, plus the desertion of a number of their allies to Temüjin, led to Toghrul's defeat. Jamukha escaped during the conflict. This defeat was a catalyst for the fall and eventual dissolution of the Keraite tribe.</t>
  </si>
  <si>
    <t>Linebacker Brandon Marshall</t>
  </si>
  <si>
    <t>If an extraordinary election is held within less than six months before the date of an ordinary election, what does it do to the ordinary election?</t>
  </si>
  <si>
    <t>1870 to 1939</t>
  </si>
  <si>
    <t>Where do clinical pharmacists work with patients?</t>
  </si>
  <si>
    <t>North Sea</t>
  </si>
  <si>
    <t>What must a teacher show towards the course materials for increase learning?</t>
  </si>
  <si>
    <t>undermine the law by encouraging general disobedience which is neither conscientious nor of social benefit</t>
  </si>
  <si>
    <t>What "war" was Tesla involved in?</t>
  </si>
  <si>
    <t>BBC One</t>
  </si>
  <si>
    <t>fundamental rights (see human rights), proportionality, legal certainty, equality before the law and subsidiarity</t>
  </si>
  <si>
    <t>How many screens does the Empire muliplex cinema have?</t>
  </si>
  <si>
    <t>What ABC comedy had the record for the longest running comedy until being passed by the Simpsons in 2002?</t>
  </si>
  <si>
    <t xml:space="preserve">Who developed the same technology as Baran </t>
  </si>
  <si>
    <t>cut off the French frontier forts</t>
  </si>
  <si>
    <t>When was the mausoleum returned to the Lord's Enclosure in Mongolia?</t>
  </si>
  <si>
    <t>What happened to the building on George IV Bridge when the Parliament was done with it?</t>
  </si>
  <si>
    <t>Orange County</t>
  </si>
  <si>
    <t>the division of functions and tasks between the hosts at the edge of the network and the network core.</t>
  </si>
  <si>
    <t>Where in Central Asia did the Han Chinese move?</t>
  </si>
  <si>
    <t>What is the Daleks' main weakness?</t>
  </si>
  <si>
    <t>131</t>
  </si>
  <si>
    <t>nonviolent resistance movements</t>
  </si>
  <si>
    <t>When did France and the Dutch fight in the 17th century?</t>
  </si>
  <si>
    <t>Which theorem would be invalid if the number 1 were considered prime?</t>
  </si>
  <si>
    <t>the Society of Jesus</t>
  </si>
  <si>
    <t>What is Harvard's total financial aid reserves?</t>
  </si>
  <si>
    <t>hosts responsible for reliable delivery of data</t>
  </si>
  <si>
    <t>five inches</t>
  </si>
  <si>
    <t>While the Treaties and Regulations will have direct effect (if clear, unconditional and immediate), Directives do not generally give citizens (as opposed to the member state) standing to sue other citizens. In theory, this is because TFEU article 288 says Directives are addressed to the member states and usually "leave to the national authorities the choice of form and methods" to implement. In part this reflects that directives often create minimum standards, leaving member states to apply higher standards. For example, the Working Time Directive requires that every worker has at least 4 weeks paid holidays each year, but most member states require more than 28 days in national law. However, on the current position adopted by the Court of Justice, citizens have standing to make claims based on national laws that implement Directives, but not from Directives themselves. Directives do not have so called "horizontal" direct effect (i.e. between non-state parties). This view was instantly controversial, and in the early 1990s three Advocate Generals persuasively argued that Directives should create rights and duties for all citizens. The Court of Justice refused, but there are five large exceptions.</t>
  </si>
  <si>
    <t>steam pump</t>
  </si>
  <si>
    <t>How many natural reserves are in Warsaw?</t>
  </si>
  <si>
    <t>an international metropolitan region</t>
  </si>
  <si>
    <t xml:space="preserve">What is the usual form of the government's wealth redistribution? </t>
  </si>
  <si>
    <t>James Henry Breasted</t>
  </si>
  <si>
    <t>What was Konstantin Mereschkowski's career?</t>
  </si>
  <si>
    <t>When did Denmark join the EU?</t>
  </si>
  <si>
    <t>Where did the residents of Antioch flee to?</t>
  </si>
  <si>
    <t>1665</t>
  </si>
  <si>
    <t>Where is another indoor location for a teacher other than a school?</t>
  </si>
  <si>
    <t>far southeast side</t>
  </si>
  <si>
    <t xml:space="preserve">Who are the oldest villains from the Doctor Who series? </t>
  </si>
  <si>
    <t>In 1990, Thomas S. Murphy delegated his position as president to Daniel B. Burke while remaining ABC's chairman and CEO. Capital Cities/ABC reported revenues of $465 million. Now at a strong second place, the network entered the 1990s with additional family-friendly hits including America's Funniest Home Videos (which has gone on to become the longest-running prime time entertainment program in the network's history), Step by Step, Hangin' with Mr. Cooper, Boy Meets World and Perfect Strangers spinoff Family Matters, as well as series such as Doogie Howser, M.D., Life Goes On, cult favorite Twin Peaks and The Commish. In September 1991, the network premiered Home Improvement, a sitcom starring stand-up comic Tim Allen centering on the family and work life of an accident-prone host of a cable-access home improvement show. Lasting nine seasons, its success led ABC to greenlight additional sitcom projects helmed by comedians during the 1990s including The Drew Carey Show; Brett Butler vehicle Grace Under Fire; and Ellen, which became notable for a 1997 episode which served as the coming out of series star Ellen DeGeneres (as well as her character in the series) as a lesbian.</t>
  </si>
  <si>
    <t>Who redesigned the central garden?</t>
  </si>
  <si>
    <t>depressurization</t>
  </si>
  <si>
    <t>How many streetcars did the Fresno Traction Company operate in 1931?</t>
  </si>
  <si>
    <t>What type of value would the zeta function have if there were finite primes?</t>
  </si>
  <si>
    <t>The United Methodist Church teaches that pornography is "about violence, degradation, exploitation, and coercion" and "deplore[s] all forms of commercialization, abuse, and exploitation of sex." The Sexual Ethics Task Force of The United Methodist Church states that "Research shows it [pornography] is not an 'innocent activity.' It is harmful and is generally addictive. Persons who are addicted to pornography are physiologically altered, as is their perspective, relationships with parishioners and family, and their perceptions of girls and women."</t>
  </si>
  <si>
    <t>When a pathogen has been eaten by a phagocyte it becomes trapped in what vesicle?</t>
  </si>
  <si>
    <t>t in the student</t>
  </si>
  <si>
    <t>their dispersed population and distance from the Scottish Parliament in Edinburgh</t>
  </si>
  <si>
    <t>patent valve</t>
  </si>
  <si>
    <t>philanthropy</t>
  </si>
  <si>
    <t>Each year</t>
  </si>
  <si>
    <t>French</t>
  </si>
  <si>
    <t>Archbishop of Westminster</t>
  </si>
  <si>
    <t>Other than the 1980s, in which decade did most of San Bernardino and Riverside Counties develop?</t>
  </si>
  <si>
    <t>How many former MVP honorees were present for a pregame ceremony?</t>
  </si>
  <si>
    <t>detective</t>
  </si>
  <si>
    <t>What does the United Methodist Church use in the sacrament of the Holy Communion?</t>
  </si>
  <si>
    <t>town council</t>
  </si>
  <si>
    <t>St. Lawrence and Mississippi watersheds, did business with local tribes, and often married Indian women</t>
  </si>
  <si>
    <t>3</t>
  </si>
  <si>
    <t>How much did Westinghouse pay to license Tesla's designs?</t>
  </si>
  <si>
    <t>Rodin is represented by more than 20 works in the museum collection, making it one of the largest collections of the sculptor's work outside France; these were given to the museum by the sculptor in 1914, as acknowledgement of Britain's support of France in World War I, although the statue of St John the Baptist had been purchased in 1902 by public subscription. Other French sculptors with work in the collection are Hubert Le Sueur, François Girardon, Michel Clodion, Jean-Antoine Houdon, Jean-Baptiste Carpeaux and Jules Dalou.</t>
  </si>
  <si>
    <t>three main reservoirs</t>
  </si>
  <si>
    <t>the carriage of their respective basic channels</t>
  </si>
  <si>
    <t>threatened "Old Briton" with severe consequences</t>
  </si>
  <si>
    <t>conflicting territorial claims between British and French</t>
  </si>
  <si>
    <t>Lunar Excursion Module</t>
  </si>
  <si>
    <t>What color pants did the Broncos wear in Super Bowl 50?</t>
  </si>
  <si>
    <t>Reducibility Among Combinatorial Problems</t>
  </si>
  <si>
    <t>the Treaty on the Functioning of the European Union.</t>
  </si>
  <si>
    <t>electronic consoles on their desks</t>
  </si>
  <si>
    <t>solar telescope</t>
  </si>
  <si>
    <t>What is the United States at risk for because of the recession of 2008?</t>
  </si>
  <si>
    <t xml:space="preserve">How are the packets routed </t>
  </si>
  <si>
    <t>nine nations</t>
  </si>
  <si>
    <t>Zhèng</t>
  </si>
  <si>
    <t>Who kicked a field goal for Denver?</t>
  </si>
  <si>
    <t xml:space="preserve">What thesis specifies that a polynomial relationship exists within time complexities in a computational model? </t>
  </si>
  <si>
    <t xml:space="preserve">Classification of resources is contingent on determining the upper and lower bounds of minimum time required by what?  </t>
  </si>
  <si>
    <t>inversely</t>
  </si>
  <si>
    <t>freedom to continue worshiping in their Roman Catholic tradition, continued ownership of their property,</t>
  </si>
  <si>
    <t>Katyń</t>
  </si>
  <si>
    <t>Where was the boat demonstration given?</t>
  </si>
  <si>
    <t>fern</t>
  </si>
  <si>
    <t>MCI Telecommunications</t>
  </si>
  <si>
    <t>erosion</t>
  </si>
  <si>
    <t>The Premier of Victoria is the leader of the political party or coalition with the most seats in the Legislative Assembly. The Premier is the public face of government and, with cabinet, sets the legislative and political agenda. Cabinet consists of representatives elected to either house of parliament. It is responsible for managing areas of government that are not exclusively the Commonwealth's, by the Australian Constitution, such as education, health and law enforcement. The current Premier of Victoria is Daniel Andrews.</t>
  </si>
  <si>
    <t>Stanford</t>
  </si>
  <si>
    <t>its humoral system</t>
  </si>
  <si>
    <t>red algal</t>
  </si>
  <si>
    <t>an imaginative geography</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</si>
  <si>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</si>
  <si>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Apollo_program</t>
  </si>
  <si>
    <t>electromagnetic theory</t>
  </si>
  <si>
    <t>Although the reciprocating steam engine is no longer in widespread commercial use, various companies are exploring or exploiting the potential of the engine as an alternative to internal combustion engines. The company Energiprojekt AB in Sweden has made progress in using modern materials for harnessing the power of steam. The efficiency of Energiprojekt's steam engine reaches some 27-30% on high-pressure engines. It is a single-step, 5-cylinder engine (no compound) with superheated steam and consumes approx. 4 kg (8.8 lb) of steam per kWh.[not in citation given]</t>
  </si>
  <si>
    <t>What story of little truth is a pillar of history?</t>
  </si>
  <si>
    <t>An evaporative cooling tower is also referred to as what kind of cooling tower?</t>
  </si>
  <si>
    <t>Anne Sweeney</t>
  </si>
  <si>
    <t>Where did the French send a large number of settlers?</t>
  </si>
  <si>
    <t>When was the French colony in modern day Brazil founded?</t>
  </si>
  <si>
    <t>Sub-Saharan Africa</t>
  </si>
  <si>
    <t>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t>
  </si>
  <si>
    <t>Sleep hormones shift the cytokine balance to which cytokine?</t>
  </si>
  <si>
    <t>Curiously, around half of the protein products of transferred genes aren't even targeted back to the chloroplast. Many became exaptations, taking on new functions like participating in cell division, protein routing, and even disease resistance. A few chloroplast genes found new homes in the mitochondrial genome—most became nonfunctional pseudogenes, though a few tRNA genes still work in the mitochondrion. Some transferred chloroplast DNA protein products get directed to the secretory pathway (though it should be noted that many secondary plastids are bounded by an outermost membrane derived from the host's cell membrane, and therefore topologically outside of the cell, because to reach the chloroplast from the cytosol, you have to cross the cell membrane, just like if you were headed for the extracellular space. In those cases, chloroplast-targeted proteins do initially travel along the secretory pathway).</t>
  </si>
  <si>
    <t>issues which may be of interest to a particular area such as a member's own constituency</t>
  </si>
  <si>
    <t>XXVIII</t>
  </si>
  <si>
    <t>west</t>
  </si>
  <si>
    <t>Jones et al. 1998, Pollack, Huang &amp; Shen 1998, Crowley &amp; Lowery 2000 and Briffa 2000</t>
  </si>
  <si>
    <t xml:space="preserve">What was the name of the company the businessmen financed? </t>
  </si>
  <si>
    <t>teach by rote</t>
  </si>
  <si>
    <t>Who started rumors in 2008 that ABC would sell its ten owned-and-operated stations?</t>
  </si>
  <si>
    <t>Warner Bros.</t>
  </si>
  <si>
    <t>writings and comments.</t>
  </si>
  <si>
    <t>What is the potential earnings for a job where there are few skilled workers but many available positions?</t>
  </si>
  <si>
    <t>The United Methodist Church is the largest denomination within the wider Methodist movement, which has approximately 80 million adherents across the world. In the United States, the UMC ranks as the largest mainline Protestant denomination, the largest Protestant church after the Southern Baptist Convention, and the third largest Christian denomination. As of 2014, worldwide membership was about 12 million: 7.2 million in the United States, and 4.4 million in Africa, Asia and Europe. It is a member of the World Council of Churches, the World Methodist Council, and other religious associations. In 2015, Pew Research estimated that 3.6% of the U.S population, or 9 million adult adherents, self-identify with the United Methodist Church revealing a much larger number of adherents than registered membership.</t>
  </si>
  <si>
    <t>What were the towns granted to the Huguenots in 1598 collectively called?</t>
  </si>
  <si>
    <t>20 hours</t>
  </si>
  <si>
    <t>Disney-ABC Television Group is a subsidiary of what division of the Walt Disney Company?</t>
  </si>
  <si>
    <t>1973_oil_crisis</t>
  </si>
  <si>
    <t>To what gauge have some lines been changed in the west of Victoria?</t>
  </si>
  <si>
    <t xml:space="preserve">What was a first for this network </t>
  </si>
  <si>
    <t>What do carotenoids absorb?</t>
  </si>
  <si>
    <t>What house was the site of a weaving school in Canterbury?</t>
  </si>
  <si>
    <t>Blaine</t>
  </si>
  <si>
    <t>a mathematical by-product of exchange of momentum</t>
  </si>
  <si>
    <t>Following the death of Braddock, William Shirley assumed command of British forces in North America. At a meeting in Albany in December 1755, he laid out his plans for 1756. In addition to renewing the efforts to capture Niagara, Crown Point and Duquesne, he proposed attacks on Fort Frontenac on the north shore of Lake Ontario and an expedition through the wilderness of the Maine district and down the Chaudière River to attack the city of Quebec. Bogged down by disagreements and disputes with others, including William Johnson and New York's Governor Sir Charles Hardy, Shirley's plan had little support.</t>
  </si>
  <si>
    <t>One of the most dramatic parts of the museum is the Cast Courts in the sculpture wing, comprising two large, skylighted rooms two storeys high housing hundreds of plaster casts of sculptures, friezes and tombs. One of these is dominated by a full-scale replica of Trajan's Column, cut in half in order to fit under the ceiling. The other includes reproductions of various works of Italian Renaissance sculpture and architecture, including a full-size replica of Michelangelo's David. Replicas of two earlier Davids by Donatello's David and Verrocchio's David, are also included, although for conservation reasons the Verrocchio replica is displayed in a glass case.</t>
  </si>
  <si>
    <t>Genghis Khan realised that he needed people who could govern cities and states conquered by him. He also realised that such administrators could not be found among his Mongol people because they were nomads and thus had no experience governing cities. For this purpose Genghis Khan invited a Khitan prince, Chu'Tsai, who worked for the Jin and had been captured by the Mongol army after the Jin dynasty was defeated. Jin had captured power by displacing Khitan. Genghis told Chu'Tsai, who was a lineal descendant of Khitan rulers, that he had avenged Chu'Tsai's forefathers. Chu'Tsai responded that his father served the Jin dynasty honestly and so did he; also he did not consider his own father his enemy, so the question of revenge did not apply. This reply impressed Genghis Khan. Chu'Tsai administered parts of the Mongol Empire and became a confidant of the successive Mongol Khans.</t>
  </si>
  <si>
    <t>areas controlled by Russia in 1914</t>
  </si>
  <si>
    <t>Which conjecture holds that for any positive integer n, there is an infinite amount of pairs of consecutive primes differing by 2n?</t>
  </si>
  <si>
    <t>The serial format changed for the 2005 revival, with each series usually consisting of 13 45-minute, self-contained episodes (60 minutes with adverts, on overseas commercial channels), and an extended episode broadcast on Christmas Day. Each series includes several standalone and multi-part stories, linked with a loose story arc that resolves in the series finale. As in the early "classic" era, each episode, whether standalone or part of a larger story, has its own title. Occasionally, regular-series episodes will exceed the 45-minute run time; notably, the episodes "Journey's End" from 2008 and "The Eleventh Hour" from 2010 exceeded an hour in length.</t>
  </si>
  <si>
    <t>Roger Delgado</t>
  </si>
  <si>
    <t>What first opened in 1837?</t>
  </si>
  <si>
    <t>deprived of earning as much income</t>
  </si>
  <si>
    <t>Who fought in the great Northern war?</t>
  </si>
  <si>
    <t>must be inherited by each daughter cell during cell division</t>
  </si>
  <si>
    <t>From their original homelands in Scandinavia and northern Europe, Germanic tribes expanded throughout northern and western Europe in the middle period of classical antiquity; southern Europe in late antiquity, conquering Celtic and other peoples; and by 800 CE, forming the Holy Roman Empire, the first German Empire. However, there was no real systemic continuity from the Western Roman Empire to its German successor which was famously described as "not holy, not Roman, and not an empire", as a great number of small states and principalities existed in the loosely autonomous confederation. Although by 1000 CE, the Germanic conquest of central, western, and southern Europe (west of and including Italy) was complete, excluding only Muslim Iberia. There was, however, little cultural integration or national identity, and "Germany" remained largely a conceptual term referring to an amorphous area of central Europe.</t>
  </si>
  <si>
    <t>What is Sky+ HD material broadcast using?</t>
  </si>
  <si>
    <t>Donn F. Eisele</t>
  </si>
  <si>
    <t>civilize the inferior</t>
  </si>
  <si>
    <t>Z-ring</t>
  </si>
  <si>
    <t>What do pyrenoids store?</t>
  </si>
  <si>
    <t>DFDS Seaways</t>
  </si>
  <si>
    <t>What was the goal of the grand coalition?</t>
  </si>
  <si>
    <t>How did Luther describe his learning at the university?</t>
  </si>
  <si>
    <t>sunlight</t>
  </si>
  <si>
    <t>7,000,000 square kilometres</t>
  </si>
  <si>
    <t>In what year did Fresno become an incorporated city?</t>
  </si>
  <si>
    <t>Which company did Tesla work for in 1881?</t>
  </si>
  <si>
    <t>Who was the university's 5th president?</t>
  </si>
  <si>
    <t>unrest and violence.</t>
  </si>
  <si>
    <t>more than 50 kilopascals</t>
  </si>
  <si>
    <t>Johann Eck, speaking on behalf of the Empire as assistant of the Archbishop of Trier, presented Luther with copies of his writings laid out on a table and asked him if the books were his, and whether he stood by their contents. Luther confirmed he was their author, but requested time to think about the answer to the second question. He prayed, consulted friends, and gave his response the next day:</t>
  </si>
  <si>
    <t>When an activated killer T cell finds cells where the MHC 1 receptor has specific antigens, it releases cytotoxins such as what?</t>
  </si>
  <si>
    <t>How many registered nurses were in Kenya in 2011?</t>
  </si>
  <si>
    <t>Which building was the NFL Experience held at for Super Bowl 50?</t>
  </si>
  <si>
    <t>Where are America's oldest collection of maps, gazettes, and atlases housed?</t>
  </si>
  <si>
    <t>What ends at this bend in the Rhine?</t>
  </si>
  <si>
    <t>Who is the university accredited by?</t>
  </si>
  <si>
    <t>Orientalism</t>
  </si>
  <si>
    <t>static discs</t>
  </si>
  <si>
    <t>What does the Nederrijn change it's name to?</t>
  </si>
  <si>
    <t>Ctenophora (/tᵻˈnɒfərə/; singular ctenophore, /ˈtɛnəfɔːr/ or /ˈtiːnəfɔːr/; from the Greek κτείς kteis 'comb' and φέρω pherō 'carry'; commonly known as comb jellies) is a phylum of animals that live in marine waters worldwide. Their most distinctive feature is the ‘combs’ – groups of cilia which they use for swimming –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t>
  </si>
  <si>
    <t>run proton pumps and carry out oxidative phosphorylation across to generate ATP energy</t>
  </si>
  <si>
    <t>5 Live Sports Extra</t>
  </si>
  <si>
    <t>Annual Status of Education Report</t>
  </si>
  <si>
    <t>Black Guardian Trilogy</t>
  </si>
  <si>
    <t>Charleston settler Elie Prioleau was from what French town?</t>
  </si>
  <si>
    <t>What is the total make up of fish species living in the Amazon?</t>
  </si>
  <si>
    <t>Where is Audra McDonald from?</t>
  </si>
  <si>
    <t>When was the European Convention on Human Rights established?</t>
  </si>
  <si>
    <t>sum of divisors function</t>
  </si>
  <si>
    <t>chlorophyll</t>
  </si>
  <si>
    <t>ground</t>
  </si>
  <si>
    <t>oxygen is the third-most abundant element in the universe, after hydrogen and helium</t>
  </si>
  <si>
    <t>Greens</t>
  </si>
  <si>
    <t>could not master written Chinese, but they could generally converse well</t>
  </si>
  <si>
    <t>How many games did the Broncos lose during their regular 2015 season?</t>
  </si>
  <si>
    <t>modern buildings</t>
  </si>
  <si>
    <t>a glacier</t>
  </si>
  <si>
    <t>When are recent episodes of ABC shows typically made available on VOD services?</t>
  </si>
  <si>
    <t>What is the steam engine's thermodynamic basis?</t>
  </si>
  <si>
    <t>VideoGuard UK</t>
  </si>
  <si>
    <t>Sufism</t>
  </si>
  <si>
    <t>Imperialism extends a country's power and what?</t>
  </si>
  <si>
    <t>7,000,000</t>
  </si>
  <si>
    <t>What fields may pharmacy informatics also work in?</t>
  </si>
  <si>
    <t>Who did the Broncos tie with the most sacks in a Super Bowl?</t>
  </si>
  <si>
    <t>Producers introduced the concept of regeneration to permit the recasting of the main character. This was first prompted by original star William Hartnell's poor health. The actual term "regeneration" was not initially conceived of until the Doctor's third on-screen regeneration however; Hartnell's Doctor had merely described undergoing a "renewal," and the Second Doctor underwent a "change of appearance".[citation needed] The device has allowed for the recasting of the actor various times in the show's history, as well as the depiction of alternative Doctors either from the Doctor's relative past or future.[citation needed]</t>
  </si>
  <si>
    <t>When was the Special Report on Renewable Energy Sources and Climate Change Mitigation (SRREN) issued?</t>
  </si>
  <si>
    <t>Who supported Andreas Karistadt in reform at Wittenberg?</t>
  </si>
  <si>
    <t>Qara Khitai.</t>
  </si>
  <si>
    <t>journalist</t>
  </si>
  <si>
    <t>eicosanoids and cytokines</t>
  </si>
  <si>
    <t>What did Tesla spend Astor's money on?</t>
  </si>
  <si>
    <t>What was the largest pottery company in the world in 1817?</t>
  </si>
  <si>
    <t>failures in North America</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</si>
  <si>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</si>
  <si>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What did Martin's father view his entering the cloister as a waste of?</t>
  </si>
  <si>
    <t>Frame Relay was used to interconnect LANs across wide area networks. However, X.25 and well as Frame Relay have been supplanted</t>
  </si>
  <si>
    <t>Some 5 million</t>
  </si>
  <si>
    <t>plastome</t>
  </si>
  <si>
    <t>from the constitutional traditions common to the member states</t>
  </si>
  <si>
    <t>828,000 women</t>
  </si>
  <si>
    <t>Ukraine</t>
  </si>
  <si>
    <t>What TV station showed the broadcasts of the original Doctor Who series?</t>
  </si>
  <si>
    <t>the hunting of various animals</t>
  </si>
  <si>
    <t>expanding the horizons</t>
  </si>
  <si>
    <t>When the Committee for Non-Violent Action sponsored a protest in August 1957, at the Camp Mercury nuclear test site near Las Vegas, Nevada, 13 of the protesters attempted to enter the test site knowing that they faced arrest. At a pre-arranged announced time, one at a time they stepped across the "line" and were immediately arrested. They were put on a bus and taken to the Nye County seat of Tonopah, Nevada, and arraigned for trial before the local Justice of the Peace, that afternoon. A well known civil rights attorney, Francis Heisler, had volunteered to defend the arrested persons, advising them to plead "nolo contendere", as an alternative to pleading either guilty or not-guilty. The arrested persons were found "guilty," nevertheless, and given suspended sentences, conditional on their not reentering the test site grounds.[citation needed]</t>
  </si>
  <si>
    <t>the Tuesday afternoon prior to the game</t>
  </si>
  <si>
    <t>allowed to worship freely</t>
  </si>
  <si>
    <t>its colouring,</t>
  </si>
  <si>
    <t>ABC had secondary status on the existing stations in what Ohio town?</t>
  </si>
  <si>
    <t>join a vocational youth/village polytechnic</t>
  </si>
  <si>
    <t>Peabody Museum of Archaeology and Ethnology</t>
  </si>
  <si>
    <t>T. J. Ward.</t>
  </si>
  <si>
    <t>United States</t>
  </si>
  <si>
    <t>saturating them unconsciously with electricity</t>
  </si>
  <si>
    <t>Warner Center is located in which area?</t>
  </si>
  <si>
    <t>What did Virgin Media claim BSkyB did that resulted Virgin not carrying the channels anymore?</t>
  </si>
  <si>
    <t>In what year did the film also mention the number of regenerations?</t>
  </si>
  <si>
    <t>When did France begin in earnest to rebuild its global empire?</t>
  </si>
  <si>
    <t>banquet</t>
  </si>
  <si>
    <t>What educational study did Luther start to pursue and immediately  drop?</t>
  </si>
  <si>
    <t>The clinical pharmacist's role involves creating a comprehensive drug therapy plan for patient-specific problems, identifying goals of therapy, and reviewing all prescribed medications prior to dispensing and administration to the patient. The review process often involves an evaluation of the appropriateness of the drug therapy (e.g., drug choice, dose, route, frequency, and duration of therapy) and its efficacy. The pharmacist must also monitor for potential drug interactions, adverse drug reactions, and assess patient drug allergies while designing and initiating a drug therapy plan.</t>
  </si>
  <si>
    <t>Which of Temüjin's childhood friends did Toghrul suggest he also enlist?</t>
  </si>
  <si>
    <t>protein structure prediction</t>
  </si>
  <si>
    <t>What sort of continental sculptors are represented in the British Galleries of the V&amp;A?</t>
  </si>
  <si>
    <t>Channel Islands</t>
  </si>
  <si>
    <t>The next direct threat to Temüjin was the Naimans (Naiman Mongols), with whom Jamukha and his followers took refuge. The Naimans did not surrender, although enough sectors again voluntarily sided with Temüjin. In 1201, a khuruldai elected Jamukha as Gür Khan, "universal ruler", a title used by the rulers of the Qara Khitai. Jamukha's assumption of this title was the final breach with Temüjin, and Jamukha formed a coalition of tribes to oppose him. Before the conflict, however, several generals abandoned Jamukha, including Subutai, Jelme's well-known younger brother. After several battles, Jamukha was finally turned over to Temüjin by his own men in 1206.</t>
  </si>
  <si>
    <t>Southern California is most famous for tourism and what notably named district?</t>
  </si>
  <si>
    <t>What were the conditions for miners in the gold fields in Victoria?</t>
  </si>
  <si>
    <t>adaptive immune system</t>
  </si>
  <si>
    <t>When did Kenya reach the semi-finals?</t>
  </si>
  <si>
    <t>political parties</t>
  </si>
  <si>
    <t>Jamukha,</t>
  </si>
  <si>
    <t>Where was the famous artist Tamara de Lempicka born?</t>
  </si>
  <si>
    <t>What President is credited with the original notion of putting Americans in space?</t>
  </si>
  <si>
    <t>freedom of ceremony</t>
  </si>
  <si>
    <t>77 passes</t>
  </si>
  <si>
    <t>What is an example of illegal disobedience?</t>
  </si>
  <si>
    <t>When did the black death technically subside?</t>
  </si>
  <si>
    <t>How did Genghis Khan describe himself to the people of Bukhara?</t>
  </si>
  <si>
    <t>17,000</t>
  </si>
  <si>
    <t>DATAPAC was developed by Bell Northern Research</t>
  </si>
  <si>
    <t>the George W. Bush Presidential Library</t>
  </si>
  <si>
    <t>Wednesday afternoons</t>
  </si>
  <si>
    <t>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t>
  </si>
  <si>
    <t>The basic unit of territorial division in Poland is a commune (gmina). A city is also a commune – but with the city charter. Both cities and communes are governed by a mayor – but in the communes the mayor is vogt (wójt in Polish), however in the cities – burmistrz. Some bigger cities obtain the entitlements, i.e. tasks and privileges, which are possessed by the units of the second level of the territorial division –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Kraków, Gdańsk, Poznań. In Warsaw, its districts additionally have some of powiat's entitlements – like already mentioned car registration. For example, the district Wola has its own evidence and the district Ursynów – its own (and the cars from Wola have another type of registration number than these from Ursynów). But for instance the districts in Kraków do not have entitlements of powiat, so the registration numbers in Kraków are of the same type for all districts.</t>
  </si>
  <si>
    <t>Which of Genghis Khan's descendants pushed the Mamluks out of Palestine?</t>
  </si>
  <si>
    <t>What was the rumored reason Edison and Tesla were not awarded the prize?</t>
  </si>
  <si>
    <t>18,000</t>
  </si>
  <si>
    <t>the original message/data is reassembled in the correct order, based on the packet sequence number</t>
  </si>
  <si>
    <t>Who slipped on the Levi's Stadium turf in week 6 of the 2015 NFL season?</t>
  </si>
  <si>
    <t>What's the climate like in Newcastle?</t>
  </si>
  <si>
    <t>What Panther tore his ACL in the preseason?</t>
  </si>
  <si>
    <t>plug valve</t>
  </si>
  <si>
    <t>designs into reality</t>
  </si>
  <si>
    <t>the city council</t>
  </si>
  <si>
    <t>urbanization</t>
  </si>
  <si>
    <t>Which major cities in Eastern Europe were not destroyed by the Mongol invasion?</t>
  </si>
  <si>
    <t>global</t>
  </si>
  <si>
    <t>every four years (quadrennium).</t>
  </si>
  <si>
    <t>On what scale would scientists show measurements of vegetation?</t>
  </si>
  <si>
    <t>How many CDs does Newcastle's library have?</t>
  </si>
  <si>
    <t>Which descendant of Genghis Khan sacked Baghdad?</t>
  </si>
  <si>
    <t>to extend networking benefits, for computer science departments at academic and research institutions that could not be directly connected to ARPANET</t>
  </si>
  <si>
    <t>Who wrote the paper that the "Millennial Northern Hemisphere temperature reconstruction" graph was based on?</t>
  </si>
  <si>
    <t>the rest of Tesla's life.</t>
  </si>
  <si>
    <t>Annual Conference</t>
  </si>
  <si>
    <t>In early 2012, Goodell said that Super Bowl 50 would be what?</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</si>
  <si>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</si>
  <si>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killed many of the Canadians</t>
  </si>
  <si>
    <t>Currently detention is one of the most common punishments in schools in the United States, the UK, Ireland, Singapore and other countries. It requires the pupil to remain in school at a given time in the school day (such as lunch, recess or after school); or even to attend school on a non-school day, e.g. "Saturday detention" held at some schools. During detention, students normally have to sit in a classroom and do work, write lines or a punishment essay, or sit quietly.</t>
  </si>
  <si>
    <t>Feynman</t>
  </si>
  <si>
    <t>medicines</t>
  </si>
  <si>
    <t>When did Sky launch a TV advertising campaign target towards women?</t>
  </si>
  <si>
    <t>a motorway underpass</t>
  </si>
  <si>
    <t>one day</t>
  </si>
  <si>
    <t>1972</t>
  </si>
  <si>
    <t>1989</t>
  </si>
  <si>
    <t>Robert Stephenson.</t>
  </si>
  <si>
    <t>10 to 15 million</t>
  </si>
  <si>
    <t>expelled</t>
  </si>
  <si>
    <t>Whose control of the UK's government helped fuel a desire for a Scottish Parliament?</t>
  </si>
  <si>
    <t>9th century</t>
  </si>
  <si>
    <t>specific</t>
  </si>
  <si>
    <t>asymptotic distribution</t>
  </si>
  <si>
    <t>How many weight rooms are in the Malkin Athletic Center</t>
  </si>
  <si>
    <t>What tribe did Toghrul lead?</t>
  </si>
  <si>
    <t>Fresno,_California</t>
  </si>
  <si>
    <t>Who helped Temüjin rescue his wife from the Merkits?</t>
  </si>
  <si>
    <t>Where did Yesun Temur die?</t>
  </si>
  <si>
    <t>high-voltage</t>
  </si>
  <si>
    <t>not-for-profit United States computer networking consortium</t>
  </si>
  <si>
    <t>the whole Parliament</t>
  </si>
  <si>
    <t>in less than quadratic time</t>
  </si>
  <si>
    <t>The Pink Triangle</t>
  </si>
  <si>
    <t>What mainline station is to the east of the city center?</t>
  </si>
  <si>
    <t>use the arrest as an opportunity</t>
  </si>
  <si>
    <t>What night did ABC move Ugly Betty to in an attempt to boost the series ratings?</t>
  </si>
  <si>
    <t>Reserved</t>
  </si>
  <si>
    <t>What will ensure and create the framework for the Action Plan to work?</t>
  </si>
  <si>
    <t>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
2 by volume) and Venus have far lower concentrations. The O
2 surrounding these other planets is produced solely by ultraviolet radiation impacting oxygen-containing molecules such as carbon dioxide.</t>
  </si>
  <si>
    <t>Geary</t>
  </si>
  <si>
    <t>below 0 °C</t>
  </si>
  <si>
    <t>oxygen-18</t>
  </si>
  <si>
    <t>declare martial law</t>
  </si>
  <si>
    <t>Luther's 1541 hymn "Christ unser Herr zum Jordan kam" ("To Jordan came the Christ our Lord") reflects the structure and substance of his questions and answers concerning baptism in the Small Catechism. Luther adopted a preexisting Johann Walter tune associated with a hymnic setting of Psalm 67's prayer for grace; Wolf Heintz's four-part setting of the hymn was used to introduce the Lutheran Reformation in Halle in 1541. Preachers and composers of the 18th century, including J. S. Bach, used this rich hymn as a subject for their own work, although its objective baptismal theology was displaced by more subjective hymns under the influence of late-19th-century Lutheran pietism.</t>
  </si>
  <si>
    <t>surprised the Canadians on May 28</t>
  </si>
  <si>
    <t>What year did TVOntario start showing Doctor Who episodes?</t>
  </si>
  <si>
    <t>Antigone</t>
  </si>
  <si>
    <t>What is the highest court in the European Union?</t>
  </si>
  <si>
    <t>chemical energy</t>
  </si>
  <si>
    <t>Which Doctor Who show was the largest simulcast of a TV drama?</t>
  </si>
  <si>
    <t>Why do some people chose to go to jail for their disobedience?</t>
  </si>
  <si>
    <t>April 1970,</t>
  </si>
  <si>
    <t>eliminate the accusing law.</t>
  </si>
  <si>
    <t>certain "entrenched" provisions</t>
  </si>
  <si>
    <t>indecomposability</t>
  </si>
  <si>
    <t>How much of Warsaw's population was Jewish?</t>
  </si>
  <si>
    <t>What did Alec Shelbrooke propose payments of benefits to be made on?</t>
  </si>
  <si>
    <t>connection-oriented operations</t>
  </si>
  <si>
    <t>What river was there originally a bridge across in Roman times?</t>
  </si>
  <si>
    <t>infants</t>
  </si>
  <si>
    <t>a deficit.</t>
  </si>
  <si>
    <t>What was Fort Caroline renamed to after the Spanish attack?</t>
  </si>
  <si>
    <t>Seven Days to the River Rhine</t>
  </si>
  <si>
    <t>Sun Life Stadium</t>
  </si>
  <si>
    <t>the electrostatic force (due to the electric field) and the magnetic force (due to the magnetic field).</t>
  </si>
  <si>
    <t>Where did the Tran dynasty rule?</t>
  </si>
  <si>
    <t>438,000 species</t>
  </si>
  <si>
    <t>How much did the CM weigh in kgs?</t>
  </si>
  <si>
    <t>In 1096, Crusaders passing by the siege of Amalfi were joined by Bohemond of Taranto and his nephew Tancred with an army of Italo-Normans. Bohemond was the de facto leader of the Crusade during its passage through Asia Minor. After the successful Siege of Antioch in 1097, Bohemond began carving out an independent principality around that city. Tancred was instrumental in the conquest of Jerusalem and he worked for the expansion of the Crusader kingdom in Transjordan and the region of Galilee.[citation needed]</t>
  </si>
  <si>
    <t>Under normal conditions, what do two atoms of oxygen form?</t>
  </si>
  <si>
    <t>How many Huguenots emigrated to North America as colonists?</t>
  </si>
  <si>
    <t>Level 3 Communications</t>
  </si>
  <si>
    <t>What year did BSkyB and Microsoft announce their settlement?</t>
  </si>
  <si>
    <t>What is the time period represented in the museum's textiles collection?</t>
  </si>
  <si>
    <t>What is the lowest recorded temperature in Victoria?</t>
  </si>
  <si>
    <t>Almost all the rocks show evidence of impact process effects. Many samples appear to be pitted with micrometeoroid impact craters, which is never seen on Earth rocks, due to the thick atmosphere. Many show signs of being subjected to high pressure shock waves that are generated during impact events. Some of the returned samples are of impact melt (materials melted near an impact crater.) All samples returned from the Moon are highly brecciated as a result of being subjected to multiple impact events.</t>
  </si>
  <si>
    <t>When did the Herald Tribune publish its Tesla article?</t>
  </si>
  <si>
    <t>into the thylakoid space</t>
  </si>
  <si>
    <t>Economist Simon Kuznets argued that levels of economic inequality are in large part the result of stages of development. According to Kuznets, countries with low levels of development have relatively equal distributions of wealth. As a country develops, it acquires more capital, which leads to the owners of this capital having more wealth and income and introducing inequality. Eventually, through various possible redistribution mechanisms such as social welfare programs, more developed countries move back to lower levels of inequality.</t>
  </si>
  <si>
    <t>Barnett Center</t>
  </si>
  <si>
    <t>What is a term for the reversing of steam flow in a piston engine after each stroke?</t>
  </si>
  <si>
    <t>the simplest</t>
  </si>
  <si>
    <t>Pearl Mackie</t>
  </si>
  <si>
    <t>Abilene</t>
  </si>
  <si>
    <t>water pump</t>
  </si>
  <si>
    <t>Sydney</t>
  </si>
  <si>
    <t>1945</t>
  </si>
  <si>
    <t>Brownlee justifies civil disobedience toward what branch of the government?</t>
  </si>
  <si>
    <t>What is the law named that defines a charge moving through a magnetic field?</t>
  </si>
  <si>
    <t>What Italian painter was depicted in the main bronze door entrance of the museum?</t>
  </si>
  <si>
    <t>images of different animals and humans performimg various actions</t>
  </si>
  <si>
    <t>The political unity of China and much of central Asia</t>
  </si>
  <si>
    <t>Chloroplasts can serve as cellular sensors. After detecting stress in a cell, which might be due to a pathogen, chloroplasts begin producing molecules like salicylic acid, jasmonic acid, nitric oxide and reactive oxygen species which can serve as defense-signals. As cellular signals, reactive oxygen species are unstable molecules, so they probably don't leave the chloroplast, but instead pass on their signal to an unknown second messenger molecule. All these molecules initiate retrograde signaling—signals from the chloroplast that regulate gene expression in the nucleus.</t>
  </si>
  <si>
    <t>Premiering the day after the assassination of John F. Kennedy, the first episode of Doctor Who was repeated with the second episode the following week. Doctor Who has always appeared initially on the BBC's mainstream BBC One channel, where it is regarded as a family show, drawing audiences of many millions of viewers; episodes are now repeated on BBC Three. The programme's popularity has waxed and waned over the decades, with three notable periods of high ratings. The first of these was the "Dalekmania" period (circa 1964–1965), when the popularity of the Daleks regularly brought Doctor Who ratings of between 9 and 14 million, even for stories which did not feature them. The second was the late 1970s, when Tom Baker occasionally drew audiences of over 12 million.</t>
  </si>
  <si>
    <t>the main contractor</t>
  </si>
  <si>
    <t>When does photorespiration happen?</t>
  </si>
  <si>
    <t>the first two series</t>
  </si>
  <si>
    <t>What tribe fell apart after Temüjin defeated Toghrul?</t>
  </si>
  <si>
    <t>What was the name of the 50th Anniversary episode?</t>
  </si>
  <si>
    <t>much larger conflict between France and Great Britain</t>
  </si>
  <si>
    <t>the Moon</t>
  </si>
  <si>
    <t>After the sixth sermon</t>
  </si>
  <si>
    <t>September 1971</t>
  </si>
  <si>
    <t>speech</t>
  </si>
  <si>
    <t>design build</t>
  </si>
  <si>
    <t>marine waters</t>
  </si>
  <si>
    <t>What is the name of the largest university press in the U.S?</t>
  </si>
  <si>
    <t>glaucophyte chloroplast group</t>
  </si>
  <si>
    <t>Immunology is strongly experimental in everyday practice but is also characterized by an ongoing theoretical attitude. Many theories have been suggested in immunology from the end of the nineteenth century up to the present time. The end of the 19th century and the beginning of the 20th century saw a battle between "cellular" and "humoral" theories of immunity. According to the cellular theory of immunity, represented in particular by Elie Metchnikoff, it was cells – more precisely, phagocytes – that were responsible for immune responses. In contrast, the humoral theory of immunity, held, among others, by Robert Koch and Emil von Behring, stated that the active immune agents were soluble components (molecules) found in the organism’s “humors” rather than its cells.</t>
  </si>
  <si>
    <t>refusing to make a commitment on America's response</t>
  </si>
  <si>
    <t>attacks on Jews</t>
  </si>
  <si>
    <t>June 1978</t>
  </si>
  <si>
    <t>If polynomial time can be utilized within an NP-complete problem, what does the imply P is equal to?</t>
  </si>
  <si>
    <t>Where did the earliest item in the V&amp;A glass collection come from?</t>
  </si>
  <si>
    <t>What platform caused BSkyB to end their analogue service?</t>
  </si>
  <si>
    <t>How does cooling of the local environment affect the mnemiopsis?</t>
  </si>
  <si>
    <t>lower global temperatures</t>
  </si>
  <si>
    <t>with Tanaghrisson and his party, surprised the Canadians on May 28 in what became known as the Battle of Jumonville Glen</t>
  </si>
  <si>
    <t>Unlike confirmation and profession of faith, Baptism is a sacrament in the UMC. The Book of Discipline of the United Methodist Church directs the local church to offer membership preparation or confirmation classes to all people, including adults. The term confirmation is generally reserved for youth, while some variation on membership class is generally used for adults wishing to join the church. The Book of Discipline normally allows any youth at least completing sixth grade to participate, although the pastor has discretionary authority to allow a younger person to participate. In confirmation and membership preparation classes, students learn about Church and the Methodist-Christian theological tradition in order to profess their ultimate faith in Christ.</t>
  </si>
  <si>
    <t>What group was responsible for causing more violence in Wittenberg?</t>
  </si>
  <si>
    <t>Hughes Hotel</t>
  </si>
  <si>
    <t>the general number field sieve</t>
  </si>
  <si>
    <t>150 Nobel laureates</t>
  </si>
  <si>
    <t>In the 10th week of the 2015 season, what injury was Peyton Manning dealing with?</t>
  </si>
  <si>
    <t>continued application of a force</t>
  </si>
  <si>
    <t>Where did Tesla live for much of his life?</t>
  </si>
  <si>
    <t>What position does Von Miller play for the Denver Broncos?</t>
  </si>
  <si>
    <t>What did Guo Shoujing do for calendars?</t>
  </si>
  <si>
    <t>pump</t>
  </si>
  <si>
    <t>Tesla gained experience in telephony and electrical engineering before emigrating to the United States in 1884 to work for Thomas Edison in New York City. He soon struck out on his own with financial backers, setting up laboratories and companies to develop a range of electrical devices. His patented AC induction motor and transformer were licensed by George Westinghouse, who also hired Tesla for a short time as a consultant. His work in the formative years of electric power development was involved in a corporate alternating current/direct current "War of Currents" as well as various patent battles.</t>
  </si>
  <si>
    <t>punish the Miami people</t>
  </si>
  <si>
    <t>Jesmond and Heaton are areas filled predominantly with what?</t>
  </si>
  <si>
    <t>How many days does the Council have to override the mayor's veto?</t>
  </si>
  <si>
    <t>66 million years</t>
  </si>
  <si>
    <t>What organization arranged to founding of school?</t>
  </si>
  <si>
    <t>Aaron Spelling</t>
  </si>
  <si>
    <t>Oliver Evans</t>
  </si>
  <si>
    <t>non-native Chinese</t>
  </si>
  <si>
    <t>constant velocity was associated with a lack of net force</t>
  </si>
  <si>
    <t>Which company is the gallery of Japanese art named after?</t>
  </si>
  <si>
    <t>publicly announced</t>
  </si>
  <si>
    <t>ensure that the prescription is valid</t>
  </si>
  <si>
    <t>Who had worked on the Saturn series even before the Apollo program began officially?</t>
  </si>
  <si>
    <t>the Budapest Telephone Exchange</t>
  </si>
  <si>
    <t>Many of Tesla's writings are freely available on the web, including the article "The Problem of Increasing Human Energy," published in The Century Magazine in 1900, and the article "Experiments With Alternate Currents Of High Potential And High Frequency," published in his book Inventions, Researches and Writings of Nikola Tesla.</t>
  </si>
  <si>
    <t>vulgarity and violence</t>
  </si>
  <si>
    <t xml:space="preserve">Non-revolutionary civil disobedience is a simple disobedience of laws on the grounds that they are judged "wrong"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"cultural revolution", it simply implies sweeping and widespread change to a section of the social fabric). Gandhi's acts have been described as revolutionary civil disobedience. It has been claimed that the Hungarians under Ferenc Deák directed revolutionary civil disobedience against the Austrian government. Thoreau also wrote of civil disobedience accomplishing "peaceable revolution." Howard Zinn, Harvey Wheeler, and others have identified the right espoused in The Declaration of Independence to "alter or abolish" an unjust government to be a principle of civil disobedience. </t>
  </si>
  <si>
    <t>increases</t>
  </si>
  <si>
    <t>Germany and Austria</t>
  </si>
  <si>
    <t>government-owned</t>
  </si>
  <si>
    <t>all German territory</t>
  </si>
  <si>
    <t>How many Victorians are Catholic?</t>
  </si>
  <si>
    <t xml:space="preserve">What are some of scientists arguments? </t>
  </si>
  <si>
    <t>France took control of Algeria in 1830 but began in earnest to rebuild its worldwide empire after 1850, concentrating chiefly in North and West Africa, as well as South-East Asia, with other conquests in Central and East Africa, as well as the South Pacific. Republicans, at first hostile to empire, only became supportive when Germany started to build her own colonial empire. As it developed, the new empire took on roles of trade with France, supplying raw materials and purchasing manufactured items, as well as lending prestige to the motherland and spreading French civilization and language as well as Catholicism. It also provided crucial manpower in both World Wars.</t>
  </si>
  <si>
    <t>Donkey</t>
  </si>
  <si>
    <t>What will the Prime Minister have power over?</t>
  </si>
  <si>
    <t>a body of treaties and legislation, such as Regulations and Directives, which have direct effect or indirect effect on the laws of European Union member states</t>
  </si>
  <si>
    <t>Where does the Middle Rhine flow between Bingen and Bonn?</t>
  </si>
  <si>
    <t>numeracy</t>
  </si>
  <si>
    <t>passion</t>
  </si>
  <si>
    <t>In July 1888,</t>
  </si>
  <si>
    <t>What Denver player caused two fumbles for the Panthers?</t>
  </si>
  <si>
    <t>In contrast to the views of John Calvin and Philipp Melanchthon, throughout his life Luther maintained that it was not false doctrine to believe that a Christian's soul sleeps after it is separated from the body in death; and, accordingly, he disputed traditional interpretations of some Bible passages, such as the parable of the rich man and Lazarus. This also led Luther to reject the idea of torments for the saints: "It is enough for us to know that souls do not leave their bodies to be threatened by the torments and punishments of hell, but enter a prepared bedchamber in which they sleep in peace." He also rejected the existence of Purgatory, which involved Christian souls undergoing penitential suffering after death. He affirmed the continuity of one's personal identity beyond death. In his Smalcald Articles, he described the saints as currently residing "in their graves and in heaven."</t>
  </si>
  <si>
    <t>How long will the event at Santa Clara Convention Center last?</t>
  </si>
  <si>
    <t>What King and former Huguenot looked out for the welfare of the group?</t>
  </si>
  <si>
    <t>high temperature and pressure physical experiments</t>
  </si>
  <si>
    <t>caliphate</t>
  </si>
  <si>
    <t>What other series mentioned returned with a plot continuation?</t>
  </si>
  <si>
    <t>a gift</t>
  </si>
  <si>
    <t>drought resistant</t>
  </si>
  <si>
    <t>Who has released official reconstructions of Doctor Who episodes?</t>
  </si>
  <si>
    <t>What are incompetent government's commitment to social justice limited to?</t>
  </si>
  <si>
    <t>What division offers more then one branch of studies that don't fit in with the other four?</t>
  </si>
  <si>
    <t>to other parts of the empire</t>
  </si>
  <si>
    <t>public PAD service Telepad (using the DNIC 2049</t>
  </si>
  <si>
    <t>the North Sea</t>
  </si>
  <si>
    <t>Why is the need for acceptance of punishment needed?</t>
  </si>
  <si>
    <t>Who won Super Bowl XLIX?</t>
  </si>
  <si>
    <t>In early 2012, NFL Commissioner Roger Goodell stated that the league planned to make the 50th Super Bowl "spectacular" and that it would be "an important game for us as a league".</t>
  </si>
  <si>
    <t>Tesla investigated atmospheric electricity, observing lightning signals via his receivers. He stated that he observed stationary waves during this time. The great distances and the nature of what Tesla was detecting from lightning storms confirmed his belief that the earth had a resonant frequency.</t>
  </si>
  <si>
    <t>1919</t>
  </si>
  <si>
    <t>67.9</t>
  </si>
  <si>
    <t>Dodge D-50</t>
  </si>
  <si>
    <t xml:space="preserve">What was the final score of Super Bowl 50? </t>
  </si>
  <si>
    <t>What color was the background for ABC's 1977 ID sequence?</t>
  </si>
  <si>
    <t>In 1882, Tesla began working for the Continental Edison Company in France, designing and making improvements to electrical equipment. In June 1884, he relocated to New York City:57–60 where he was hired by Thomas Edison to work at his Edison Machine Works on Manhattan's lower east side. Tesla's work for Edison began with simple electrical engineering and quickly progressed to solving more difficult problems.</t>
  </si>
  <si>
    <t>Wär Gott nicht mit uns diese Zeit</t>
  </si>
  <si>
    <t>mining licence fees</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</si>
  <si>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</si>
  <si>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When was Levi's Stadium awarded the right to host Super Bowl 50?</t>
  </si>
  <si>
    <t>housing</t>
  </si>
  <si>
    <t>if the Treaty provisions have a direct effect and they are sufficiently clear, precise and unconditional.</t>
  </si>
  <si>
    <t>Tesla later approached Morgan to ask for more funds to build a more powerful transmitter. When asked where all the money had gone, Tesla responded by saying that he was affected by the Panic of 1901, which he (Morgan) had caused. Morgan was shocked by the reminder of his part in the stock market crash and by Tesla's breach of contract by asking for more funds. Tesla wrote another plea to Morgan, but it was also fruitless. Morgan still owed Tesla money on the original agreement, and Tesla had been facing foreclosure even before construction of the tower began.</t>
  </si>
  <si>
    <t>, "The Black Cloister,"</t>
  </si>
  <si>
    <t>southern California</t>
  </si>
  <si>
    <t>Between the 1880s and World War II</t>
  </si>
  <si>
    <t>What two Doctors does the War Doctor exist between?</t>
  </si>
  <si>
    <t>What was the most important of these cities or towns?</t>
  </si>
  <si>
    <t>What is a spark or heat to the progress of a fire?</t>
  </si>
  <si>
    <t>MPEG-4</t>
  </si>
  <si>
    <t>one hundred</t>
  </si>
  <si>
    <t>Who was replaced by Kubiak in Super Bowl XXIV?</t>
  </si>
  <si>
    <t>their Annual Conference</t>
  </si>
  <si>
    <t>leptin</t>
  </si>
  <si>
    <t>the Chicago Bears</t>
  </si>
  <si>
    <t>How many mechanisms does a typical steam engine have to keep boiler pressure from getting too high?</t>
  </si>
  <si>
    <t>the construction of military roads to the area</t>
  </si>
  <si>
    <t>19 of 28 newly FDA approved medications</t>
  </si>
  <si>
    <t>When was the Palace on the Water rebuilt?</t>
  </si>
  <si>
    <t>Persia after the Muslim conquests had come to an end</t>
  </si>
  <si>
    <t>How many people died of plague in Paris in 1466?</t>
  </si>
  <si>
    <t>What was the English name of Gou's calendar?</t>
  </si>
  <si>
    <t>70%</t>
  </si>
  <si>
    <t>three</t>
  </si>
  <si>
    <t>the restriction modification system</t>
  </si>
  <si>
    <t>Robert Koch and Emil von Behring</t>
  </si>
  <si>
    <t>perpendicular</t>
  </si>
  <si>
    <t>lattice of tubes in their stroma, called a prolamellar body</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</si>
  <si>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</si>
  <si>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vicious and destructive</t>
  </si>
  <si>
    <t>Other than a peace-ray, what did reporters call the weapon?</t>
  </si>
  <si>
    <t>Who sold the rights?</t>
  </si>
  <si>
    <t>medicine use reviews</t>
  </si>
  <si>
    <t>unification models</t>
  </si>
  <si>
    <t>genetically modified plants</t>
  </si>
  <si>
    <t>Who moved his court from Kraków to Warsaw in 1596?</t>
  </si>
  <si>
    <t>illiberal Islamic regimes</t>
  </si>
  <si>
    <t>When was the colony of New South Wales founded?</t>
  </si>
  <si>
    <t>1995</t>
  </si>
  <si>
    <t>What is another term for the string of a problem instance?</t>
  </si>
  <si>
    <t>eight</t>
  </si>
  <si>
    <t>without markings</t>
  </si>
  <si>
    <t>Stage 1 is the first, or introductory stage of the bill, where the minister or member in charge of the bill will formally introduce it to Parliament together with its accompanying documents –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</si>
  <si>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know both the magnitude and the direction of both forces to calculate the result</t>
  </si>
  <si>
    <t>Where was the new media day event for Super Bowl 50 held?</t>
  </si>
  <si>
    <t>suggested it for use in the ARPANET</t>
  </si>
  <si>
    <t>On what day does the Super Bowl media day traditionally take place?</t>
  </si>
  <si>
    <t>Satyagraha</t>
  </si>
  <si>
    <t>the teaching profession</t>
  </si>
  <si>
    <t>What did the Soviets intend to use in spacecraft after the success of Zond 5?</t>
  </si>
  <si>
    <t>lack of net force</t>
  </si>
  <si>
    <t>How many Examination Boards exist in India?</t>
  </si>
  <si>
    <t>Who was the chairman of the House Committee on Energy and Commerce?</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</si>
  <si>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Angermünde) by Frederick William, Elector of Brandenburg and Duke of Prussia. The Huguenots furnished two new regiments of his army: the Altpreußische Infantry Regiments No. 13 (Regiment on foot Varenne) and 15 (Regiment on foot Wylich). Another 4,000 Huguenots settled in the German territories of Baden, Franconia (Principality of Bayreuth, Principality of Ansbach), Landgraviate of Hesse-Kassel, Duchy of Württemberg, in the Wetterau Association of Imperial Counts, in the Palatinate and Palatinate-Zweibrücken, in the Rhine-Main-Area (Frankfurt), in modern-day Saarland; and 1,500 found refuge in Hamburg, Bremen and Lower Saxony. Three hundred refugees were granted asylum at the court of George William, Duke of Brunswick-Lüneburg in Celle.</t>
  </si>
  <si>
    <t>In which year did the newspaper change its previous definition?</t>
  </si>
  <si>
    <t>Of what mathematical nature is the Basel problem?</t>
  </si>
  <si>
    <t>What specific type of Ctenophore was introduced into the Black Sea?</t>
  </si>
  <si>
    <t>counterprogramming against its competitors</t>
  </si>
  <si>
    <t>oxygen tank explosion in transit to the Moon</t>
  </si>
  <si>
    <t>Who started the Yuan dynasty?</t>
  </si>
  <si>
    <t>Climate fluctuations</t>
  </si>
  <si>
    <t>acquittal and avoid imprisonment</t>
  </si>
  <si>
    <t>What position does Danny Trevathan play?</t>
  </si>
  <si>
    <t>immediately</t>
  </si>
  <si>
    <t>The Deadly Assassin</t>
  </si>
  <si>
    <t>When was the settlement which would become Warsaw established?</t>
  </si>
  <si>
    <t>What are the wave-particles called that mediate all electromagnetic phenomena?</t>
  </si>
  <si>
    <t>trying to recover market share</t>
  </si>
  <si>
    <t>Carl Sagan</t>
  </si>
  <si>
    <t>What makes the tentilla of euplokamis different from other cysippids?</t>
  </si>
  <si>
    <t>What group of people cannot be part of civil disobedience?</t>
  </si>
  <si>
    <t>In some plants such as cacti, chloroplasts are found in the stems, though in most plants, chloroplasts are concentrated in the leaves. One square millimeter of leaf tissue can contain half a million chloroplasts. Within a leaf, chloroplasts are mainly found in the mesophyll layers of a leaf, and the guard cells of stomata. Palisade mesophyll cells can contain 30–70 chloroplasts per cell, while stomatal guard cells contain only around 8–15 per cell, as well as much less chlorophyll. Chloroplasts can also be found in the bundle sheath cells of a leaf, especially in C4 plants, which carry out the Calvin cycle in their bundle sheath cells. They are often absent from the epidermis of a leaf.</t>
  </si>
  <si>
    <t>Immunodeficiency occurs</t>
  </si>
  <si>
    <t>Where was Evan Washburn located while announcing during the game?</t>
  </si>
  <si>
    <t>What do a number of researchers think a shortage of is caused in part by income inequality?</t>
  </si>
  <si>
    <t>to increase the chloroplast's surface area</t>
  </si>
  <si>
    <t>What does private ownership create a situation of?</t>
  </si>
  <si>
    <t>pseudo</t>
  </si>
  <si>
    <t>Of what form do Mersenne primes take?</t>
  </si>
  <si>
    <t>human rights violations</t>
  </si>
  <si>
    <t>almost a month</t>
  </si>
  <si>
    <t>Business Connect</t>
  </si>
  <si>
    <t>What Denver player caught the ball 76 times in the 2015 season?</t>
  </si>
  <si>
    <t>What type of civil disobedience is commonly accepted?</t>
  </si>
  <si>
    <t>Jacksonville Consolidation</t>
  </si>
  <si>
    <t>private networks were often connected via gateways to the public network to reach locations not on the private network</t>
  </si>
  <si>
    <t>academic</t>
  </si>
  <si>
    <t>violence, degradation, exploitation, and coercion</t>
  </si>
  <si>
    <t>Santa Clara Convention Center</t>
  </si>
  <si>
    <t>Where is the lowest point of Warsaw located?</t>
  </si>
  <si>
    <t>Duval</t>
  </si>
  <si>
    <t>When did DFDS terminate its services to Norway?</t>
  </si>
  <si>
    <t>Chevron</t>
  </si>
  <si>
    <t>How many legions in five bases were along the Rhine by the Romans?</t>
  </si>
  <si>
    <t>Donald Davies</t>
  </si>
  <si>
    <t>separate spheres of knowledge that each applies to</t>
  </si>
  <si>
    <t>in the stems</t>
  </si>
  <si>
    <t>What does paramylon store?</t>
  </si>
  <si>
    <t>calcitriol</t>
  </si>
  <si>
    <t>personal presence and living word</t>
  </si>
  <si>
    <t>economically</t>
  </si>
  <si>
    <t>What action by Luther added to antisemitism in Germany?</t>
  </si>
  <si>
    <t>The Moon landing data was recorded by a special Apollo TV camera which recorded in a format incompatible with broadcast TV. This resulted in lunar footage that had to be converted for the live television broadcast and stored on magnetic telemetry tapes. During the following years, a magnetic tape shortage prompted NASA to remove massive numbers of magnetic tapes from the National Archives and Records Administration to be recorded over with newer satellite data. Stan Lebar, who led the team that designed and built the lunar television camera at Westinghouse Electric Corporation, also worked with Nafzger to try to locate the missing tapes.</t>
  </si>
  <si>
    <t>since the 1960s</t>
  </si>
  <si>
    <t>Religious Coalition for Reproductive Choice.</t>
  </si>
  <si>
    <t>kilogram-force (kgf)</t>
  </si>
  <si>
    <t>From whom did the Huguenots in South Carolina purchase land from?</t>
  </si>
  <si>
    <t>mid-14th century</t>
  </si>
  <si>
    <t>Lagos and Quiberon Bay</t>
  </si>
  <si>
    <t>What does the euplokamis use the three types of movement for?</t>
  </si>
  <si>
    <t>Sports Programs, Inc</t>
  </si>
  <si>
    <t>What the marginal utility of wealth per income per person do as that person becomes richer?</t>
  </si>
  <si>
    <t>National Aeronautics and Space Administration (NASA)</t>
  </si>
  <si>
    <t>deprived of earning as much income as they would otherwise</t>
  </si>
  <si>
    <t>Chloroplasts have their own DNA, often abbreviated as ctDNA, or cpDNA. It is also known as the plastome. Its existence was first proved in 1962, and first sequenced in 1986—when two Japanese research teams sequenced the chloroplast DNA of liverwort and tobacco. Since then, hundreds of chloroplast DNAs from various species have been sequenced, but they're mostly those of land plants and green algae—glaucophytes, red algae, and other algal groups are extremely underrepresented, potentially introducing some bias in views of "typical" chloroplast DNA structure and content.</t>
  </si>
  <si>
    <t>Before the Apollo program began, Wernher von Braun and his team of rocket engineers had started work on plans for very large launch vehicles, the Saturn series, and the even larger Nova series. In the midst of these plans, von Braun was transferred from the Army to NASA, and made Director of the Marshall Space Flight Center. The initial direct ascent plan to send the three-man Apollo Command/Service Module directly to the lunar surface, on top of a large descent rocket stage, would require a Nova-class launcher, with a lunar payload capability of over 180,000 pounds (82,000 kg). The June 11, 1962, decision to use lunar orbit rendezvous enabled the Saturn V to replace the Nova, and the MSFC proceeded to develop the Saturn rocket family for Apollo.</t>
  </si>
  <si>
    <t>How many of Warsaw's inhabitants spoke Polish in 1933?</t>
  </si>
  <si>
    <t>In humans, this response is activated by complement binding to antibodies that have attached to these microbes or the binding of complement proteins to carbohydrates on the surfaces of microbes. This recognition signal triggers a rapid killing response. The speed of the response is a result of signal amplification that occurs following sequential proteolytic activation of complement molecules, which are also proteases. After complement proteins initially bind to the microbe, they activate their protease activity, which in turn activates other complement proteases, and so on. This produces a catalytic cascade that amplifies the initial signal by controlled positive feedback. The cascade results in the production of peptides that attract immune cells, increase vascular permeability, and opsonize (coat) the surface of a pathogen, marking it for destruction. This deposition of complement can also kill cells directly by disrupting their plasma membrane.</t>
  </si>
  <si>
    <t>blind plea</t>
  </si>
  <si>
    <t>What is used to decide a teacher's salary?</t>
  </si>
  <si>
    <t>disposition of prisoners' personal effects</t>
  </si>
  <si>
    <t>In what year did Tesla go to Colorado Springs?</t>
  </si>
  <si>
    <t>145 galleries</t>
  </si>
  <si>
    <t>employers</t>
  </si>
  <si>
    <t>How did Luther view Islam?</t>
  </si>
  <si>
    <t>relatively equal distributions of wealth</t>
  </si>
  <si>
    <t>How many provinces did the Ottoman empire contain in the 17th century?</t>
  </si>
  <si>
    <t>Times Square</t>
  </si>
  <si>
    <t>What liberal succeeded Joseph Willard as president?</t>
  </si>
  <si>
    <t>William Morris</t>
  </si>
  <si>
    <t>Though John Wesley originally wanted the Methodists to stay within the Church of England, the American Revolution decisively separated the Methodists in the American colonies from the life and sacraments of the Anglican Church. In 1784, after unsuccessful attempts to have the Church of England send a bishop to start a new church in the colonies, Wesley decisively appointed fellow priest Thomas Coke as superintendent (bishop) to organize a separate Methodist Society. Together with Coke, Wesley sent a revision of the Anglican Prayerbook and the Articles of Religion which were received and adopted by the Baltimore Christmas Conference of 1784, officially establishing the Methodist Episcopal Church. The conference was held at the Lovely Lane Methodist Church, considered the Mother Church of American Methodism.</t>
  </si>
  <si>
    <t>Paramount Building at 1501 Broadway in Manhattan</t>
  </si>
  <si>
    <t>make detailed plans and maintain careful oversight</t>
  </si>
  <si>
    <t>Gospić, Austrian Empire</t>
  </si>
  <si>
    <t>Along with sport and art, what is a type of talent scholarship?</t>
  </si>
  <si>
    <t>late 19th</t>
  </si>
  <si>
    <t>adaptive</t>
  </si>
  <si>
    <t>Who did Carolina beat in the divisional round?</t>
  </si>
  <si>
    <t>When did Gou's calendar become the official calendar of the Yuan?</t>
  </si>
  <si>
    <t>Norseman, Viking</t>
  </si>
  <si>
    <t>The Saxon Garden, covering the area of 15.5 ha, was formally a royal garden. There are over 100 different species of trees and the avenues are a place to sit and relax. At the east end of the park, the Tomb of the Unknown Soldier is situated. In the 19th century the Krasiński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Krasiński Palace Garden is a popular strolling destination for the Varsovians. The Monument of the Warsaw Ghetto Uprising is also situated here. The Łazienki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Królikarnia Palace is situated on the old escarpment of the Vistula. The park has lanes running on a few levels deep into the ravines on both sides of the palace.</t>
  </si>
  <si>
    <t>In a nuclear power plant, what is the steam turbine connected to?</t>
  </si>
  <si>
    <t>specific pathogen</t>
  </si>
  <si>
    <t>With the opening of the Dorothy and Michael Hintze sculpture galleries in 2006 it was decided to extend the chronology of the works on display up to 1950; this has involved loans by other museums, including Tate Britain, so works by Henry Moore and Jacob Epstein along with other of their contemporaries are now on view. These galleries concentrate on works dated 1600 to 1950 by British sculptors, works by continental sculptors who worked in Britain, and works bought by British patrons from the continental sculptors, such as Canova's Theseus and the Minotaur. The galleries overlooking the garden are arranged by theme, tomb sculpture, portraiture, garden sculpture and mythology. Then there is a section that covers late 19th-century and early 20th-century sculpture, this includes work by Rodin and other French sculptors such as Dalou who spent several years in Britain where he taught sculpture.</t>
  </si>
  <si>
    <t>When was the second oil crisis?</t>
  </si>
  <si>
    <t>What councils assign tasks to the IPCC?</t>
  </si>
  <si>
    <t>Where did Tesla go upon leaving Gospic?</t>
  </si>
  <si>
    <t>The average Mongol garrison family of the Yuan dynasty seems to have lived a life of decaying rural leisure, with income from the harvests of their Chinese tenants eaten up by costs of equipping and dispatching men for their tours of duty. The Mongols practiced debt slavery, and by 1290 in all parts of the Mongol Empire commoners were selling their children into slavery. Seeing this as damaging to the Mongol nation, Kublai in 1291 forbade the sale abroad of Mongols. Kublai wished to persuade the Chinese that he was becoming increasingly sinicized while maintaining his Mongolian credentials with his own people. He set up a civilian administration to rule, built a capital within China, supported Chinese religions and culture, and devised suitable economic and political institutions for the court. But at the same time he never abandoned his Mongolian heritage.</t>
  </si>
  <si>
    <t>4 August 1915 until November 1918</t>
  </si>
  <si>
    <t>ea, coffee, sisal, pyrethrum, corn, and wheat</t>
  </si>
  <si>
    <t>a photosynthetic cyanobacterium</t>
  </si>
  <si>
    <t>the original message/data is reassembled in the correct order</t>
  </si>
  <si>
    <t>What series has an actor doing an impression of the Fourth Doctor?</t>
  </si>
  <si>
    <t>While the Commission has a monopoly on initiating legislation, the European Parliament and the Council of the European Union have powers of amendment and veto during the legislative process. According to the Treaty on European Union articles 9 and 10, the EU observes "the principle of equality of its citizens" and is meant to be founded on "representative democracy". In practice, equality and democracy are deficient because the elected representatives in the Parliament cannot initiate legislation against the Commission's wishes, citizens of smallest countries have ten times the voting weight in Parliament as citizens of the largest countries, and "qualified majorities" or consensus of the Council are required to legislate. The justification for this "democratic deficit" under the Treaties is usually thought to be that completion integration of the European economy and political institutions required the technical coordination of experts, while popular understanding of the EU developed and nationalist sentiments declined post-war. Over time, this has meant the Parliament gradually assumed more voice: from being an unelected assembly, to its first direct elections in 1979, to having increasingly more rights in the legislative process. Citizens' rights are therefore limited compared to the democratic polities within all European member states: under TEU article 11 citizens and associations have the rights such as publicising their views and submit an initiative that must be considered by the Commission with one million signatures. TFEU article 227 contains a further right for citizens to petition the Parliament on issues which affect them. Parliament elections, take place every five years, and votes for Members of the European Parliament in member states must be organised by proportional representation or a single transferable vote. There are 750 MEPs and their numbers are "degressively proportional" according to member state size. This means - although the Council is meant to be the body representing member states - in the Parliament citizens of smaller member states have more voice than citizens in larger member states. MEPs divide, as they do in national Parliaments, along political party lines: the conservative European People's Party is currently the largest, and the Party of European Socialists leads the opposition. Parties do not receive public funds from the EU, as the Court of Justice held in Parti écologiste "Les Verts" v Parliament that this was entirely an issue to be regulated by the member states. The Parliament's powers include calling inquiries into maladministration or appoint an Ombudsman pending any court proceedings. It can require the Commission respond to questions and by a two-thirds majority can censure the whole Commission (as happened to the Santer Commission in 1999). In some cases, the Parliament has explicit consultation rights, which the Commission must genuinely follow. However its role participation in the legislative process still remains limited because no member can actually or pass legislation without the Commission and Council, meaning power ("kratia") is not in the hands of directly elected representatives of the people ("demos"): in the EU it is not yet true that "the administration is in the hands of the many and not of the few."</t>
  </si>
  <si>
    <t>19.3%</t>
  </si>
  <si>
    <t>What were British plans against French?</t>
  </si>
  <si>
    <t>The script writer for the special went on to have what role in the revised Doctor Who series?</t>
  </si>
  <si>
    <t>William Maclure</t>
  </si>
  <si>
    <t>support from China for a planned $2.5 billion railway from the southern Kenyan port of Mombasa to neighboring Uganda</t>
  </si>
  <si>
    <t>Scottish independence</t>
  </si>
  <si>
    <t>very weak</t>
  </si>
  <si>
    <t>What is the power-to-weight ratio of a steam plant compared to that of an internal combustion engine?</t>
  </si>
  <si>
    <t>Who recorded a version of the Doctor Who theme with spoken lyrics in the 1970's?</t>
  </si>
  <si>
    <t>Wernher von Braun</t>
  </si>
  <si>
    <t>about half of Naples' 300,000 inhabitants</t>
  </si>
  <si>
    <t>What was Sky Travel later rebranded as?</t>
  </si>
  <si>
    <t>Universal Paid for The Secret Life of Pets and which other film trailer?</t>
  </si>
  <si>
    <t>BBC HD</t>
  </si>
  <si>
    <t>Trout River</t>
  </si>
  <si>
    <t>7 to 10 percent</t>
  </si>
  <si>
    <t>In 1893, who won the bid to light the World's Columbian Exposition?</t>
  </si>
  <si>
    <t>When was it discovered that prime numbers could applied to the creation of public key cryptography algorithms?</t>
  </si>
  <si>
    <t>What is the process of changing light into chemical energy?</t>
  </si>
  <si>
    <t>What type of goals are usually done skirting the law?</t>
  </si>
  <si>
    <t>punish Christians by God</t>
  </si>
  <si>
    <t>British colonists</t>
  </si>
  <si>
    <t>In the United States, there has been a push to legalize importation of medications from Canada and other countries, in order to reduce consumer costs. While in most cases importation of prescription medications violates Food and Drug Administration (FDA) regulations and federal laws, enforcement is generally targeted at international drug suppliers, rather than consumers. There is no known case of any U.S. citizens buying Canadian drugs for personal use with a prescription, who has ever been charged by authorities.</t>
  </si>
  <si>
    <t>What kind of network was ABC when it first began?</t>
  </si>
  <si>
    <t>What type of heating element is often used in toy steam engines?</t>
  </si>
  <si>
    <t>each side proposing that action be taken</t>
  </si>
  <si>
    <t>Whenever he encountered British merchants or fur-traders, Céloron informed them of the French claims on the territory and told them to leave.</t>
  </si>
  <si>
    <t>What constitutional change was considered?</t>
  </si>
  <si>
    <t>What type of entrepreneurship leads to advancements in technology?</t>
  </si>
  <si>
    <t>In the 1960s, a series of discoveries, the most important of which was seafloor spreading, showed that the Earth's lithosphere, which includes the crust and rigid uppermost portion of the upper mantle, is separated into a number of tectonic plates that move across the plastically deforming, solid, upper mantle, which is called the asthenosphere. There is an intimate coupling between the movement of the plates on the surface and the convection of the mantle: oceanic plate motions and mantle convection currents always move in the same direction, because the oceanic lithosphere is the rigid upper thermal boundary layer of the convecting mantle. This coupling between rigid plates moving on the surface of the Earth and the convecting mantle is called plate tectonics.</t>
  </si>
  <si>
    <t>When was 7 Lincoln Square completed?</t>
  </si>
  <si>
    <t>field candidates</t>
  </si>
  <si>
    <t>Masaaki Shirakawa</t>
  </si>
  <si>
    <t>A construction project</t>
  </si>
  <si>
    <t>less workers are required</t>
  </si>
  <si>
    <t>The Daleks (a.k.a. The Mutants)</t>
  </si>
  <si>
    <t>Imperialism has played an important role in the histories of Japan, Korea, the Assyrian Empire, the Chinese Empire, the Roman Empire, Greece, the Byzantine Empire, the Persian Empire, the Ottoman Empire, Ancient Egypt, the British Empire, India, and many other empires. Imperialism was a basic component to the conquests of Genghis Khan during the Mongol Empire, and of other war-lords. Historically recognized Muslim empires number in the dozens. Sub-Saharan Africa has also featured dozens of empires that predate the European colonial era, for example the Ethiopian Empire, Oyo Empire, Asante Union, Luba Empire, Lunda Empire, and Mutapa Empire. The Americas during the pre-Columbian era also had large empires such as the Aztec Empire and the Incan Empire.</t>
  </si>
  <si>
    <t>The first episode of Doctor Who premiered the day after what famous event in history?</t>
  </si>
  <si>
    <t>bits</t>
  </si>
  <si>
    <t>How many kilometers is Warsaw from the Carpathian Mountains?</t>
  </si>
  <si>
    <t>What did Luther seek to restore?</t>
  </si>
  <si>
    <t>What kind of arches does Norman architecture have?</t>
  </si>
  <si>
    <t>Leonard Goldenson announced a merger proposal with what company in December 1965?</t>
  </si>
  <si>
    <t>big O notation</t>
  </si>
  <si>
    <t>How cold does this region of Victoria get in the winner?</t>
  </si>
  <si>
    <t>Where was the meeting held when the NFL owners voted on the location for Super Bowl 50?</t>
  </si>
  <si>
    <t>Walloon</t>
  </si>
  <si>
    <t>the Alter Rhein</t>
  </si>
  <si>
    <t>jailer</t>
  </si>
  <si>
    <t>Turtles and jellyfish can eat large quantities of what?</t>
  </si>
  <si>
    <t>The immune system also produces what molecules in order to allow for tumor destruction by the complement system?</t>
  </si>
  <si>
    <t>Catholic</t>
  </si>
  <si>
    <t>Luke Kuechly.</t>
  </si>
  <si>
    <t>What did Tesla develop in 1887?</t>
  </si>
  <si>
    <t>Universities</t>
  </si>
  <si>
    <t>sea water</t>
  </si>
  <si>
    <t>new personality</t>
  </si>
  <si>
    <t>hormones</t>
  </si>
  <si>
    <t>What public entity of learning is often target of civil disobedience?</t>
  </si>
  <si>
    <t>What is a ctenophora?</t>
  </si>
  <si>
    <t>What was the program in the first Children's program block to be broadcast in HD?</t>
  </si>
  <si>
    <t>Other than his scientific achievements what was Tesla famous for?</t>
  </si>
  <si>
    <t>Song Emperor</t>
  </si>
  <si>
    <t>What makes the Wells Fargo Center stand out?</t>
  </si>
  <si>
    <t>green chloroplast lineage</t>
  </si>
  <si>
    <t>Misconduct by teachers, especially sexual misconduct, has been getting increased scrutiny from the media and the courts. A study by the American Association of University Women reported that 9.6% of students in the United States claim to have received unwanted sexual attention from an adult associated with education; be they a volunteer, bus driver, teacher, administrator or other adult; sometime during their educational career.</t>
  </si>
  <si>
    <t>turbulent history of the city and country</t>
  </si>
  <si>
    <t>The armed forces are regularly deployed in peacekeeping missions around the world. Further, in the aftermath of the national elections of December 2007 and the violence that subsequently engulfed the country, a commission of inquiry, the Waki Commission, commended its readiness and adjudged it to "have performed its duty well." Nevertheless, there have been serious allegations of human rights violations, most recently while conducting counter-insurgency operations in the Mt Elgon area and also in the district of Mandera central.</t>
  </si>
  <si>
    <t>over 12 million inhabitants</t>
  </si>
  <si>
    <t>gaseous</t>
  </si>
  <si>
    <t>How many total touchdowns did Cam Newton score?</t>
  </si>
  <si>
    <t>spiritus nitroaereus or just nitroaereus</t>
  </si>
  <si>
    <t>interacting and working directly with students</t>
  </si>
  <si>
    <t>8,477 km</t>
  </si>
  <si>
    <t>781</t>
  </si>
  <si>
    <t>27% ownership stake</t>
  </si>
  <si>
    <t>What brought Warsaw's stock exchange to a stop?</t>
  </si>
  <si>
    <t>Which Denver player took the ball to the Panthers 14 yard line?</t>
  </si>
  <si>
    <t>Where was the Charles Porter steam engine indicator shown?</t>
  </si>
  <si>
    <t>In 1893, George Westinghouse won the bid to light the 1893 World's Columbian Exposition in Chicago with alternating current, beating out a General Electric bid by one million dollars. This World's Fair devoted a building to electrical exhibits. It was a key event in the history of AC power, as Westinghouse demonstrated the safety, reliability, and efficiency of a fully integrated alternating current system to the American public. At the Columbian Exposition, under a banner announcing the "Tesla Polyphase System", Tesla demonstrated a series of electrical effects previously performed throughout America and Europe,:76 included using high-voltage, high-frequency alternating current to light a wireless gas-discharge lamp.:79 An observer noted:</t>
  </si>
  <si>
    <t>5 million</t>
  </si>
  <si>
    <t>the Justinian plague that was prevalent in the Eastern Roman Empire from 541 to 700 CE.</t>
  </si>
  <si>
    <t>Victory Square</t>
  </si>
  <si>
    <t>the Centre for Life</t>
  </si>
  <si>
    <t>oceans</t>
  </si>
  <si>
    <t>Tanzania</t>
  </si>
  <si>
    <t>Darian Stewart</t>
  </si>
  <si>
    <t>Museum of Manufactures</t>
  </si>
  <si>
    <t>Who is most likely to teach a child at home?</t>
  </si>
  <si>
    <t>cloud storage</t>
  </si>
  <si>
    <t>via the Metro Light Rail system</t>
  </si>
  <si>
    <t>What do wages work in the same way as for any other good?</t>
  </si>
  <si>
    <t>Fryderyk Chopin University of Music</t>
  </si>
  <si>
    <t>expelled water drives them backwards very quickly</t>
  </si>
  <si>
    <t>What did some of the Islamist groups supported by the West later become to be seen as?</t>
  </si>
  <si>
    <t>What is another term for x-ray imaging?</t>
  </si>
  <si>
    <t>How many tons of Saharan dust falls on the Amazon Basin each year?</t>
  </si>
  <si>
    <t>water disturbances created by the cilia</t>
  </si>
  <si>
    <t>2,000</t>
  </si>
  <si>
    <t>Newtonian equations</t>
  </si>
  <si>
    <t>What type of surveys show the location of stratigraphic units in the subsurface?</t>
  </si>
  <si>
    <t>An algorithm for X which reduces to C would us to do what?</t>
  </si>
  <si>
    <t>When did Luther introduce the new worship?</t>
  </si>
  <si>
    <t>As northwest Europe slowly began to warm up from 22,000 years ago onward, frozen subsoil and expanded alpine glaciers began to thaw and fall-winter snow covers melted in spring. Much of the discharge was routed to the Rhine and its downstream extension. Rapid warming and changes of vegetation, to open forest, began about 13,000 BP. By 9000 BP, Europe was fully forested. With globally shrinking ice-cover, ocean water levels rose and the English Channel and North Sea re-inundated. Meltwater, adding to the ocean and land subsidence, drowned the former coasts of Europe transgressionally.</t>
  </si>
  <si>
    <t>What did the the Europeans think the peoples in the tropics were in need of?</t>
  </si>
  <si>
    <t>Where did the Broncos stay at for Super Bowl 50?</t>
  </si>
  <si>
    <t>draining the surrounding land and polders</t>
  </si>
  <si>
    <t>An attorney</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</si>
  <si>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</si>
  <si>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President</t>
  </si>
  <si>
    <t>near their current locations</t>
  </si>
  <si>
    <t>What position did the tax collector that arrested Thoreau get?</t>
  </si>
  <si>
    <t>where voters were supposed to line up behind their favoured candidates instead of a secret ballot</t>
  </si>
  <si>
    <t>What did people vote the Doctor Who series as in a 2011 online vote?</t>
  </si>
  <si>
    <t>Who challenged Kublai Khan's right to succeed Mongke Khan?</t>
  </si>
  <si>
    <t>Rather than Roman numerals, what did the NFL decide to use?</t>
  </si>
  <si>
    <t>seal of approval</t>
  </si>
  <si>
    <t>Creon, the current King of Thebes</t>
  </si>
  <si>
    <t>add O2 instead of CO2</t>
  </si>
  <si>
    <t>What are the 3 post popular libraries for undergraduates in the Harvard system?</t>
  </si>
  <si>
    <t>Where does the Nederrijn change it's name?</t>
  </si>
  <si>
    <t>artifact</t>
  </si>
  <si>
    <t>Mercedes-Benz Superdome</t>
  </si>
  <si>
    <t>mechanical energy</t>
  </si>
  <si>
    <t>poor soil.</t>
  </si>
  <si>
    <t>In science, alumni include astronomers Carl Sagan, a prominent contributor to the scientific research of extraterrestrial life, and Edwin Hubble, known for "Hubble's Law", NASA astronaut John M. Grunsfeld, geneticist James Watson, best known as one of the co-discoverers of the structure of DNA, experimental physicist Luis Alvarez, popular environmentalist David Suzuki, balloonist Jeannette Piccard, biologists Ernest Everett Just and Lynn Margulis, computer scientist Richard Hamming, the creator of the Hamming Code, lithium-ion battery developer John B. Goodenough, mathematician and Fields Medal recipient Paul Joseph Cohen, and geochemist Clair Cameron Patterson, who developed the uranium-lead dating method into lead-lead dating. Nuclear physicist and researcher Stanton Friedman, who worked on some early projects involving nuclear-powered spacecraft propulsion systems, is also a graduate (M.Sc).</t>
  </si>
  <si>
    <t>Networks affiliates approved a two-year affiliate agreement in 2002. In September, Disney Chairman/CEO Michael Eisner outlined a proposed realignment of the ABC broadcast network day parts with the similar unit in its cable channels: ABC Saturday mornings with Disney Channels (Toon &amp; Playhouse), ABC daytime with Soapnet and ABC prime time with ABC Family. 2002 saw the debut of the network's first hit reality series, The Bachelor (the elimination-style dating show's success led to a spinoff, The Bachelorette, which premiered the following year, as well as two additional spinoffs that later debuted in the early 2010s).</t>
  </si>
  <si>
    <t>What characteristic did Tesla say helped his scientific abilities?</t>
  </si>
  <si>
    <t>Johann Tetzel</t>
  </si>
  <si>
    <t>independent schools</t>
  </si>
  <si>
    <t>100</t>
  </si>
  <si>
    <t>Excessive bureaucratic red tape is one of the reasons for what type of ownership?</t>
  </si>
  <si>
    <t>Gasquet</t>
  </si>
  <si>
    <t>How many people did Hamas kill between 2000 to 2007?</t>
  </si>
  <si>
    <t>What year did Doctor Who first show on TV?</t>
  </si>
  <si>
    <t>13.34%</t>
  </si>
  <si>
    <t>Which city is the fifth-largest city in California?</t>
  </si>
  <si>
    <t>incompetent, inefficient, or neglectful</t>
  </si>
  <si>
    <t>What made emigration to these colonies attractive?</t>
  </si>
  <si>
    <t>NP-complete knapsack</t>
  </si>
  <si>
    <t>gauge the prevalence of public sector corruption in various countries</t>
  </si>
  <si>
    <t>On 8 February 2007</t>
  </si>
  <si>
    <t>his hotel room</t>
  </si>
  <si>
    <t>After each election to the Scottish Parliament, at the beginning of each parliamentary session, Parliament elects one MSP to serve as Presiding Officer, the equivalent of the speaker (currently Tricia Marwick), and two MSPs to serve as deputies (currently Elaine Smith and John Scott). The Presiding Officer and deputies are elected by a secret ballot of the 129 MSPs, which is the only secret ballot conducted in the Scottish Parliament. Principally, the role of the Presiding Officer is to chair chamber proceedings and the Scottish Parliamentary Corporate Body. When chairing meetings of the Parliament, the Presiding Officer and his/her deputies must be politically impartial. During debates, the Presiding Officer (or the deputy) is assisted by the parliamentary clerks, who give advice on how to interpret the standing orders that govern the proceedings of meetings. A vote clerk sits in front of the Presiding Officer and operates the electronic voting equipment and chamber clocks.</t>
  </si>
  <si>
    <t>The BBC drama department's serials division produced the programme for 26 seasons, broadcast on BBC 1. Falling viewing numbers, a decline in the public perception of the show and a less-prominent transmission slot saw production suspended in 1989 by Jonathan Powell, controller of BBC 1. Although (as series co-star Sophie Aldred reported in the documentary Doctor Who: More Than 30 Years in the TARDIS) it was effectively, if not formally, cancelled with the decision not to commission a planned 27th series of the show for transmission in 1990, the BBC repeatedly affirmed that the series would return.</t>
  </si>
  <si>
    <t>How many yards was the missed field goal?</t>
  </si>
  <si>
    <t>cut off the French frontier forts further to the west and south</t>
  </si>
  <si>
    <t>Maciot de Bethencourt</t>
  </si>
  <si>
    <t>Intractable problems lacking polynomial time solutions necessarily negate the practical efficacy of what type of algorithm?</t>
  </si>
  <si>
    <t>What type of electric current is needed for electrolysis?</t>
  </si>
  <si>
    <t>weakness in school discipline</t>
  </si>
  <si>
    <t>Which material is the Gloucester Candlestick made from?</t>
  </si>
  <si>
    <t>the Presiding Officer</t>
  </si>
  <si>
    <t>Who was limited by Denver's defense?</t>
  </si>
  <si>
    <t>What is a particular problem in biology that would benefit from determining that P = NP?</t>
  </si>
  <si>
    <t>7</t>
  </si>
  <si>
    <t>other parts of an object</t>
  </si>
  <si>
    <t>32%</t>
  </si>
  <si>
    <t>How much did Sky bid to win the 4 broadcast pacakges they bought?</t>
  </si>
  <si>
    <t>a hybrid Bermuda 419 turf.</t>
  </si>
  <si>
    <t>What serves as a biological barrier by competing for space and food in the GI tract?</t>
  </si>
  <si>
    <t>What should be the main goal of not using punishment in a just system?</t>
  </si>
  <si>
    <t>What do a plant's chloroplasts descend from?</t>
  </si>
  <si>
    <t>What is the second largest contrubtor to Kenyas GDP?</t>
  </si>
  <si>
    <t>a data network based on this voice-phone network was designed to connect GE's four computer sales and service centers</t>
  </si>
  <si>
    <t>Rheinrinne</t>
  </si>
  <si>
    <t>Paramount paid fo, 10 Cloverfield Lane and which other film trailer to be aired during the game?</t>
  </si>
  <si>
    <t>doctrine of Satyagraha</t>
  </si>
  <si>
    <t>What route connects Fresno with the California Central Valley?</t>
  </si>
  <si>
    <t>Articles 106 and 107</t>
  </si>
  <si>
    <t>What typeface are the letters in the iconic ABC logo reminiscent of?</t>
  </si>
  <si>
    <t>Between 1991 and 2000, the total area of forest lost in the Amazon rose from 415,000 to 587,000 square kilometres (160,000 to 227,000 sq mi), with most of the lost forest becoming pasture for cattle. Seventy percent of formerly forested land in the Amazon, and 91% of land deforested since 1970, is used for livestock pasture. Currently, Brazil is the second-largest global producer of soybeans after the United States. New research however, conducted by Leydimere Oliveira et al., has shown that the more rainforest is logged in the Amazon, the less precipitation reaches the area and so the lower the yield per hectare becomes. So despite the popular perception, there has been no economical advantage for Brazil from logging rainforest zones and converting these to pastoral fields.</t>
  </si>
  <si>
    <t>territory east of the Mississippi to Great Britain</t>
  </si>
  <si>
    <t>colonial</t>
  </si>
  <si>
    <t>Robert Boyle</t>
  </si>
  <si>
    <t>body and blood of Christ</t>
  </si>
  <si>
    <t>When less workers are required, what happens to the job market?</t>
  </si>
  <si>
    <t>Since 2005, what is the gender of Doctor Who's primary traveling companion?</t>
  </si>
  <si>
    <t>What is the native format for the Walt Disney Company's US TV properties?</t>
  </si>
  <si>
    <t>Johann von Staupitz,</t>
  </si>
  <si>
    <t>March 2003</t>
  </si>
  <si>
    <t>Walt Disney Presents</t>
  </si>
  <si>
    <t>odd prime</t>
  </si>
  <si>
    <t>In addition, there are $2 million worth of other ancillary events, including a week-long event at the Santa Clara Convention Center, a beer, wine and food festival at Bellomy Field at Santa Clara University, and a pep rally. A professional fundraiser will aid in finding business sponsors and individual donors, but still may need the city council to help fund the event. Additional funding will be provided by the city council, which has announced plans to set aside seed funding for the event.</t>
  </si>
  <si>
    <t>members of the Organization of Arab Petroleum Exporting Countries</t>
  </si>
  <si>
    <t>How many Doctor Who Christmas Specials have been shown?</t>
  </si>
  <si>
    <t>does not infringe the rights of others</t>
  </si>
  <si>
    <t>John Pell</t>
  </si>
  <si>
    <t>the Seventh</t>
  </si>
  <si>
    <t>As far as programming is concerned, four of ABC's marquee shows of the 1970s ended their runs during the mid-1980s: Laverne &amp; Shirley ended its run in 1983, Happy Days and Three's Company ended in 1984 (with the latter producing a short-lived spinoff that year), while The Love Boat ended its run in 1986. After nearly a decade of ratings trouble, NBC had regained the ratings lead among the Big Three networks in 1984 on the success of series such as The Cosby Show, Cheers and Miami Vice. To counteract NBC, ABC decided to refocus itself on comedies and family-oriented series beginning in the mid-1980s including Mr. Belvedere, Roseanne, Who's the Boss?, Just the Ten of Us, The Wonder Years, Full House and Perfect Strangers.</t>
  </si>
  <si>
    <t>Arizona Cardinals</t>
  </si>
  <si>
    <t>4,686 Mau Mau</t>
  </si>
  <si>
    <t>legislation to limit foreign ownership of broadcasting properties</t>
  </si>
  <si>
    <t>What region of China is Hebei part of?</t>
  </si>
  <si>
    <t>the phycobilin phycoerytherin</t>
  </si>
  <si>
    <t>contrasts</t>
  </si>
  <si>
    <t>Are there any regions where the Treaty of European Union excludes from jurisdiction?</t>
  </si>
  <si>
    <t>What do power station steam turbines use as a cold sink in the absence of CHP?</t>
  </si>
  <si>
    <t>What type of outlook do some of the Muslims in London have?</t>
  </si>
  <si>
    <t>Opportunistic bands of Normans successfully established a foothold in Southern Italy (the Mezzogiorno). Probably as the result of returning pilgrims' stories, the Normans entered the Mezzogiorno as warriors in 1017 at the latest. In 999, according to Amatus of Montecassino, Norman pilgrims returning from Jerusalem called in at the port of Salerno when a Saracen attack occurred. The Normans fought so valiantly that Prince Guaimar III begged them to stay, but they refused and instead offered to tell others back home of the prince's request. William of Apulia tells that, in 1016, Norman pilgrims to the shrine of the Archangel Michael at Monte Gargano were met by Melus of Bari, a Lombard nobleman and rebel, who persuaded them to return with more warriors to help throw off the Byzantine rule, which they did.</t>
  </si>
  <si>
    <t>Germany and the United Kingdom</t>
  </si>
  <si>
    <t>a river crevice</t>
  </si>
  <si>
    <t>its solution requires significant resources</t>
  </si>
  <si>
    <t>sequential hermaphrodites</t>
  </si>
  <si>
    <t>What titles are the President given?</t>
  </si>
  <si>
    <t>Imperialism is most often associated with which sovereignty?</t>
  </si>
  <si>
    <t>Edward John Noble, the owner of Life Savers candy, drugstore chain Rexall and New York City radio station WMCA, purchased the network for $8 million. Due to FCC ownership rules, the transaction, which was to include the purchase of three RCA stations by Noble, would require him to resell his station with the FCC's approval. The Commission authorized the transaction on October 12, 1943. Soon afterward, the Blue Network was purchased by the new company Noble founded, the American Broadcasting System. Noble subsequently acquired the rights to the "American Broadcasting Company" name from George B. Storer in 1944; its parent company adopted the corporate name American Broadcasting Companies, Inc. Woods retained his position as president and CEO of ABC until December 1949, and was subsequently promoted to vice-chairman of the board before leaving ABC altogether on June 30, 1951.</t>
  </si>
  <si>
    <t>multiplying two integers</t>
  </si>
  <si>
    <t>the Parliament</t>
  </si>
  <si>
    <t>NP-hard</t>
  </si>
  <si>
    <t>What is the main religion in Kenya?</t>
  </si>
  <si>
    <t>The element is found in almost all biomolecules that are important to (or generated by) life. Only a few common complex biomolecules, such as squalene and the carotenes, contain no oxygen. Of the organic compounds with biological relevance, carbohydrates contain the largest proportion by mass of oxygen. All fats, fatty acids, amino acids, and proteins contain oxygen (due to the presence of carbonyl groups in these acids and their ester residues). Oxygen also occurs in phosphate (PO3−
4) groups in the biologically important energy-carrying molecules ATP and ADP, in the backbone and the purines (except adenine) and pyrimidines of RNA and DNA, and in bones as calcium phosphate and hydroxylapatite.</t>
  </si>
  <si>
    <t>the Miller–Rabin primality test</t>
  </si>
  <si>
    <t>epoch-making oratory</t>
  </si>
  <si>
    <t>What articles state that unless conferred, powers remain with member states?</t>
  </si>
  <si>
    <t>How many paintings did John Sheeshanks give to the museum?</t>
  </si>
  <si>
    <t>Which massive lake did the Mongolians call tenggis?</t>
  </si>
  <si>
    <t>Which Super Bowl halftime show did Beyoncé headline?</t>
  </si>
  <si>
    <t>Why do Islamists need democratic elections?</t>
  </si>
  <si>
    <t>1802</t>
  </si>
  <si>
    <t>punishment</t>
  </si>
  <si>
    <t>What part of the Earth is composed of mostly of silicates of iron and magnesium?</t>
  </si>
  <si>
    <t>unfair</t>
  </si>
  <si>
    <t>Mohamed Morsi</t>
  </si>
  <si>
    <t>When is the funfair held in Newcastle?</t>
  </si>
  <si>
    <t>basic channels</t>
  </si>
  <si>
    <t>their disastrous financial situation</t>
  </si>
  <si>
    <t>new fleet of trains</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</si>
  <si>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</si>
  <si>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a substance like wood gains overall weight in burning</t>
  </si>
  <si>
    <t>What is an important personal decision for civil disobedients?</t>
  </si>
  <si>
    <t>In 2007, what company purchased ABC Radio properties?</t>
  </si>
  <si>
    <t>What did the Salafi movement put emphasis on?</t>
  </si>
  <si>
    <t>What did Luther use as accompaniment to his hymns?</t>
  </si>
  <si>
    <t>What type of immune cells help to destroy abnormal cells in tumors?</t>
  </si>
  <si>
    <t>Sleep hormone release supports formation of immune memory by initiating what immune response?</t>
  </si>
  <si>
    <t>What kind of cpDNA does maize have?</t>
  </si>
  <si>
    <t>What type of housing was erected in Warsaw as part of the Bricks for Warsaw process?</t>
  </si>
  <si>
    <t>The Lunar Module (LM) was designed to descend from lunar orbit to land two astronauts on the Moon and take them back to orbit to rendezvous with the Command Module. Not designed to fly through the Earth's atmosphere or return to Earth, its fuselage was designed totally without aerodynamic considerations, and was of an extremely lightweight construction. It consisted of separate descent and ascent stages, each with its own engine. The descent stage contained storage for the descent propellant, surface stay consumables, and surface exploration equipment. The ascent stage contained the crew cabin, ascent propellant, and a reaction control system. The initial LM model weighed approximately 33,300 pounds (15,100 kg), and allowed surface stays up to around 34 hours. An Extended Lunar Module weighed over 36,200 pounds (16,400 kg), and allowed surface stays of over 3 days.</t>
  </si>
  <si>
    <t>Which architect, famous for designing London's St. Paul Cathedral, is represented in the RIBA collection?</t>
  </si>
  <si>
    <t>What position did Mark Woods take on at the new American Broadcasting Company?</t>
  </si>
  <si>
    <t>When was the current parliament of Scotland convened?</t>
  </si>
  <si>
    <t>at Brough Park in Byker</t>
  </si>
  <si>
    <t>he had noticed damaged film in his laboratory</t>
  </si>
  <si>
    <t>Which is older the British Empire or the Ethiopian Empire?</t>
  </si>
  <si>
    <t>When some species, including Bathyctena chuni, Euplokamis stationis and Eurhamphaea vexilligera, are disturbed, they produce secretions (ink) that luminesce at much the same wavelengths as their bodies. Juveniles will luminesce more brightly in relation to their body size than adults, whose luminescence is diffused over their bodies. Detailed statistical investigation has not suggested the function of ctenophores' bioluminescence nor produced any correlation between its exact color and any aspect of the animals' environments, such as depth or whether they live in coastal or mid-ocean waters.</t>
  </si>
  <si>
    <t>Did the plague spread in Scandinavia or Germany first?</t>
  </si>
  <si>
    <t>rapid apoptosis</t>
  </si>
  <si>
    <t>Hoesung Lee</t>
  </si>
  <si>
    <t>What encouraged trade under the Yuan?</t>
  </si>
  <si>
    <t>Besides Africa, where did Germany have imperial interests?</t>
  </si>
  <si>
    <t>to punish the Miami people of Pickawillany</t>
  </si>
  <si>
    <t>sparking and the high maintenance</t>
  </si>
  <si>
    <t>For a phylum with relatively few species, ctenophores have a wide range of body plans. Coastal species need to be tough enough to withstand waves and swirling sediment particles, while some oceanic species are so fragile that it is very difficult to capture them intact for study. In addition oceanic species do not preserve well, and are known mainly from photographs and from observers' notes. Hence most attention has until recently concentrated on three coastal genera – Pleurobrachia, Beroe and Mnemiopsis. At least two textbooks base their descriptions of ctenophores on the cydippid Pleurobrachia.</t>
  </si>
  <si>
    <t>they produce secretions (ink) that luminesce at much the same wavelengths as their bodies</t>
  </si>
  <si>
    <t>Which borough of Newcastle had a population around 259,000?</t>
  </si>
  <si>
    <t>Who is required to verify and have existing utility lines marked?</t>
  </si>
  <si>
    <t>Which basin does the dust falls over into?</t>
  </si>
  <si>
    <t>What company relaunched Who Wants to Be a Millionaire as a syndicated program?</t>
  </si>
  <si>
    <t>"No, that's no good"</t>
  </si>
  <si>
    <t>Victoria is the centre of dairy farming in Australia. It is home to 60% of Australia's 3 million dairy cattle and produces nearly two-thirds of the nation's milk, almost 6.4 billion litres. The state also has 2.4 million beef cattle, with more than 2.2 million cattle and calves slaughtered each year. In 2003–04, Victorian commercial fishing crews and aquaculture industry produced 11,634 tonnes of seafood valued at nearly A$109 million. Blacklipped abalone is the mainstay of the catch, bringing in A$46 million, followed by southern rock lobster worth A$13.7 million. Most abalone and rock lobster is exported to Asia.</t>
  </si>
  <si>
    <t>Oxygen is released in cellular respiration by?</t>
  </si>
  <si>
    <t>the University of Chicago campus</t>
  </si>
  <si>
    <t>photosynthetic function</t>
  </si>
  <si>
    <t>What fueled Luther's  concept of Christ and His Salvation?</t>
  </si>
  <si>
    <t>Treaties establishing the European Union</t>
  </si>
  <si>
    <t>What is not considered appropriate disclipine?</t>
  </si>
  <si>
    <t>uncivilized</t>
  </si>
  <si>
    <t>When was the ability to use radioactive isotopes to date rock formations developed?</t>
  </si>
  <si>
    <t>leading a Spirit-filled and Christ-like life aimed toward love</t>
  </si>
  <si>
    <t>What did Shrewsbury note about the plague?</t>
  </si>
  <si>
    <t>Trinity-St. Paul's Episcopal Church</t>
  </si>
  <si>
    <t>When did ABC announce the restructure of ABC radio?</t>
  </si>
  <si>
    <t>a + bi</t>
  </si>
  <si>
    <t>Organization of Arab Petroleum Exporting Countries</t>
  </si>
  <si>
    <t>the Arctic</t>
  </si>
  <si>
    <t>a sheath into which it can be withdrawn</t>
  </si>
  <si>
    <t>Milka, Angelina and Marica</t>
  </si>
  <si>
    <t>run IP over ATM or a version of MPLS</t>
  </si>
  <si>
    <t>Thomas Edison and George Westinghouse</t>
  </si>
  <si>
    <t>What didn't Newton's mechanics affext?</t>
  </si>
  <si>
    <t>No Child Left Behind</t>
  </si>
  <si>
    <t>normal faulting and through the ductile stretching and thinning</t>
  </si>
  <si>
    <t>What was the Disneyland anthology series retitled in 1958?</t>
  </si>
  <si>
    <t>What was compounding seen as being in the locomotive construction industry?</t>
  </si>
  <si>
    <t>genetic branches</t>
  </si>
  <si>
    <t>What were Tesla's sisters' names?</t>
  </si>
  <si>
    <t>Calendar of Saints</t>
  </si>
  <si>
    <t>how many yards did Newton get for passes in the 2015 season?</t>
  </si>
  <si>
    <t>What other doctrines did Luther disavow about saints?</t>
  </si>
  <si>
    <t>Jacksonville's popularity for films earned it what title?</t>
  </si>
  <si>
    <t>Under which Directive did the EU harmonize restrictions on restrictions on marketing and advertising?</t>
  </si>
  <si>
    <t>Besides the North Sea and the Irish Channel, what else was lowered in the last cold phase?</t>
  </si>
  <si>
    <t>Much of the city's tax base dissipated</t>
  </si>
  <si>
    <t>Ware</t>
  </si>
  <si>
    <t>In which direction did the water on the eastern side flow?</t>
  </si>
  <si>
    <t>the Electorate of Brandenburg and Electorate of the Palatinate</t>
  </si>
  <si>
    <t>Second</t>
  </si>
  <si>
    <t xml:space="preserve">What part do events in Victoria's economy  play? </t>
  </si>
  <si>
    <t>horizontal</t>
  </si>
  <si>
    <t>mass production</t>
  </si>
  <si>
    <t>due to the death of Elisabeth Sladen</t>
  </si>
  <si>
    <t>Egg of Columbus</t>
  </si>
  <si>
    <t>How many tons does the Hereford Screen weigh?</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</si>
  <si>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</si>
  <si>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diverges</t>
  </si>
  <si>
    <t>Gilded Age</t>
  </si>
  <si>
    <t>companions</t>
  </si>
  <si>
    <t>Channel 4 HD</t>
  </si>
  <si>
    <t>Where did France focus its efforts to rebuild its empire?</t>
  </si>
  <si>
    <t>How many plant species are estimated to be in the Amazon region?</t>
  </si>
  <si>
    <t>by department,</t>
  </si>
  <si>
    <t>Black's Law Dictionary</t>
  </si>
  <si>
    <t>Victorian Alps</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</si>
  <si>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</si>
  <si>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the Golden Gate Bridge.</t>
  </si>
  <si>
    <t>Antibodies transported from the mother to an infant via the placenta is an example of what type of short-lived immunity?</t>
  </si>
  <si>
    <t>Since its foundation</t>
  </si>
  <si>
    <t>Who founded the Muslim Brotherhood?</t>
  </si>
  <si>
    <t>n = 2</t>
  </si>
  <si>
    <t>the carbon cycle</t>
  </si>
  <si>
    <t>After the 1940s</t>
  </si>
  <si>
    <t>Ford, Chrysler, and GM</t>
  </si>
  <si>
    <t>In which year did Genghis Khan strike against the Tanguts?</t>
  </si>
  <si>
    <t>1700</t>
  </si>
  <si>
    <t>From 1947 to 1967, how much did the price of oil increase?</t>
  </si>
  <si>
    <t>the Ten Commandments</t>
  </si>
  <si>
    <t>end of World War I</t>
  </si>
  <si>
    <t>cytotoxic or immunosuppressive</t>
  </si>
  <si>
    <t>regenerate</t>
  </si>
  <si>
    <t>Tetzel</t>
  </si>
  <si>
    <t>Saddam Hussein's</t>
  </si>
  <si>
    <t>a plantar fasciitis injury</t>
  </si>
  <si>
    <t>Which nation contains the majority of the amazon forest?</t>
  </si>
  <si>
    <t>In what year did developers Billings &amp; Meyering acquire the Alta Vista Tract?</t>
  </si>
  <si>
    <t>Which Mongol leader was most opposed to Jochi as Genghis Khan's successor?</t>
  </si>
  <si>
    <t>3.6% of the U.S population, or</t>
  </si>
  <si>
    <t>in regard to indulgences for the dead</t>
  </si>
  <si>
    <t>Where is the Apostles located?</t>
  </si>
  <si>
    <t>the steam turbine</t>
  </si>
  <si>
    <t>itinerant farmers</t>
  </si>
  <si>
    <t>How much of GDP does manufactoriing account for?</t>
  </si>
  <si>
    <t>Who were the two lay preachers that Wesley ordained as presbyters?</t>
  </si>
  <si>
    <t>After Huguenots fled France, their last remaining bastion was where?</t>
  </si>
  <si>
    <t>friend</t>
  </si>
  <si>
    <t>It was founded in 1852</t>
  </si>
  <si>
    <t>conditions of static equilibrium</t>
  </si>
  <si>
    <t>What is the most critical resource measured to in assessing the determination of a Turing machine's ability to solve any given set of problems?</t>
  </si>
  <si>
    <t>In what series did ABC present it's 1950s film adaptations in?</t>
  </si>
  <si>
    <t>Who is also known at the father of the hydrogen bomb?</t>
  </si>
  <si>
    <t>Where does the Rhine river's measurement end?</t>
  </si>
  <si>
    <t>an artifact</t>
  </si>
  <si>
    <t>fee per unit of connection time</t>
  </si>
  <si>
    <t>World War I</t>
  </si>
  <si>
    <t>Plant cells respond to the molecules associated with pathogens known as what?</t>
  </si>
  <si>
    <t>Other theories of the word's origin can be generally classed as what?</t>
  </si>
  <si>
    <t>attacked the British column</t>
  </si>
  <si>
    <t>Modern English</t>
  </si>
  <si>
    <t>What do platyctenida use their pharynx for?</t>
  </si>
  <si>
    <t>At the time of the Marburg Colloquy, Suleiman the Magnificent was besieging Vienna with a vast Ottoman army. Luther had argued against resisting the Turks in his 1518 Explanation of the Ninety-five Theses, provoking accusations of defeatism. He saw the Turks as a scourge sent to punish Christians by God, as agents of the Biblical apocalypse that would destroy the antichrist, whom Luther believed to be the papacy, and the Roman Church. He consistently rejected the idea of a Holy War, "as though our people were an army of Christians against the Turks, who were enemies of Christ. This is absolutely contrary to Christ's doctrine and name". On the other hand, in keeping with his doctrine of the two kingdoms, Luther did support non-religious war against the Turks. In 1526, he argued in Whether Soldiers can be in a State of Grace that national defence is reason for a just war. By 1529, in On War against the Turk, he was actively urging Emperor Charles V and the German people to fight a secular war against the Turks. He made clear, however, that the spiritual war against an alien faith was separate, to be waged through prayer and repentance. Around the time of the Siege of Vienna, Luther wrote a prayer for national deliverance from the Turks, asking God to "give to our emperor perpetual victory over our enemies".</t>
  </si>
  <si>
    <t>Martin Luther (/ˈluːθər/ or /ˈluːðər/; German: [ˈmaɐ̯tiːn ˈlʊtɐ] ( listen); 10 November 1483 – 18 February 1546) was a German professor of theology, composer, priest, former monk and a seminal figure in the Protestant Reformation. Luther came to reject several teachings and practices of the Late Medieval Catholic Church. He strongly disputed the claim that freedom from God's punishment for sin could be purchased with money. He proposed an academic discussion of the power and usefulness of indulgences in his Ninety-Five Theses of 1517. His refusal to retract all of his writings at the demand of Pope Leo X in 1520 and the Holy Roman Emperor Charles V at the Diet of Worms in 1521 resulted in his excommunication by the Pope and condemnation as an outlaw by the Emperor.</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</si>
  <si>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</si>
  <si>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are in contact with the stroma</t>
  </si>
  <si>
    <t>phagocytic cells</t>
  </si>
  <si>
    <t>in the Pleistocene epoch</t>
  </si>
  <si>
    <t>Colonies were a sign of what amongst European countries?</t>
  </si>
  <si>
    <t>ordinary Eastern or bubonic plague</t>
  </si>
  <si>
    <t>may have entered Europe in two waves</t>
  </si>
  <si>
    <t>John Sutcliffe</t>
  </si>
  <si>
    <t>What can the non-elected members from the Scottish Government not do?</t>
  </si>
  <si>
    <t>healthcare</t>
  </si>
  <si>
    <t>Apollo ran from 1961 to 1972, and was supported by the two-man Gemini program which ran concurrently with it from 1962 to 1966. Gemini missions developed some of the space travel techniques that were necessary for the success of the Apollo missions. Apollo used Saturn family rockets as launch vehicles. Apollo/Saturn vehicles were also used for an Apollo Applications Program, which consisted of Skylab, a space station that supported three manned missions in 1973–74, and the Apollo–Soyuz Test Project, a joint Earth orbit mission with the Soviet Union in 1975.</t>
  </si>
  <si>
    <t>Which group seeks to reconceive and promote Biblical holiness in today's church?</t>
  </si>
  <si>
    <t>What was started after these new programs were in place?</t>
  </si>
  <si>
    <t>What was persistent unemployment have a negative effect on?</t>
  </si>
  <si>
    <t>colony of Georgia</t>
  </si>
  <si>
    <t>case law by the Court of Justice</t>
  </si>
  <si>
    <t>In 1735, where did John and Charles Wesley teach the gospel in America?</t>
  </si>
  <si>
    <t>What gender is less willing to travel or relocate for work?</t>
  </si>
  <si>
    <t>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t>
  </si>
  <si>
    <t>brain drain</t>
  </si>
  <si>
    <t>10,000</t>
  </si>
  <si>
    <t>Lavoisier</t>
  </si>
  <si>
    <t>lens-shaped</t>
  </si>
  <si>
    <t>Why are newly discovered oil sold at a higher price?</t>
  </si>
  <si>
    <t>What other areas did the Apollo missions help spur advancements in?</t>
  </si>
  <si>
    <t>ABC News Now</t>
  </si>
  <si>
    <t>When did ESPN take over responsibility for ABC's sports division?</t>
  </si>
  <si>
    <t>down</t>
  </si>
  <si>
    <t>all</t>
  </si>
  <si>
    <t>After a punt from both teams, Carolina got on track with a 9-play, 73-yard scoring drive. Newton completed 4 of 4 passes for 51 yards and rushed twice for 25 yards, while Jonathan Stewart finished the drive with a 1-yard touchdown run, cutting the score to 10–7 with 11:28 left in the second quarter. Later on, Broncos receiver Jordan Norwood received Brad Nortman's short 28-yard punt surrounded by Panthers players, but none of them attempted to make a tackle, apparently thinking Norwood had called a fair catch. Norwood had not done so, and with no resistance around him, he took off for a Super Bowl record 61-yard return before Mario Addison dragged him down on the Panthers 14-yard line. Despite Denver's excellent field position, they could not get the ball into the end zone, so McManus kicked a 33-yard field goal that increased their lead to 13–7.</t>
  </si>
  <si>
    <t>Where was the language Luther used in his translations spoken?</t>
  </si>
  <si>
    <t>Hong Kong in 1894</t>
  </si>
  <si>
    <t>green light</t>
  </si>
  <si>
    <t>April 2008</t>
  </si>
  <si>
    <t>74</t>
  </si>
  <si>
    <t>53%</t>
  </si>
  <si>
    <t>involving orogenic wedges</t>
  </si>
  <si>
    <t>What feature will enrich the the pedestrian friendly environment after restoration?</t>
  </si>
  <si>
    <t>to constantly expand investment</t>
  </si>
  <si>
    <t>Numerical models</t>
  </si>
  <si>
    <t>Sir George Gilbert Scott</t>
  </si>
  <si>
    <t>economic growth</t>
  </si>
  <si>
    <t>to "float" (rise and fall according to market demand)</t>
  </si>
  <si>
    <t>What did Olivier Roy state underwent a remarkable shift in the second half of the 20th century?</t>
  </si>
  <si>
    <t>causing fish stocks to collapse</t>
  </si>
  <si>
    <t>What was the verdict on other alleged errors?</t>
  </si>
  <si>
    <t>FMCG manufacturing, metal processing, steel and electronic manufacturing and food processing</t>
  </si>
  <si>
    <t>suspect's talking to criminal investigators</t>
  </si>
  <si>
    <t>a sin</t>
  </si>
  <si>
    <t>cytotoxic or immunosuppressive drugs</t>
  </si>
  <si>
    <t>Fort Presque Isle (near present-day Erie, Pennsylvania</t>
  </si>
  <si>
    <t>What type of numbers demonstrate a flaw with the Fermat primality test?</t>
  </si>
  <si>
    <t>German Nazi colonial administration</t>
  </si>
  <si>
    <t>Who were two of Kublai's Chinese advisers?</t>
  </si>
  <si>
    <t>What is the primary mission of the Daleks?</t>
  </si>
  <si>
    <t>reordering of government and society in accordance with the Shari'a</t>
  </si>
  <si>
    <t>What does the word Rheinrinne translate to?</t>
  </si>
  <si>
    <t>Waterlogged</t>
  </si>
  <si>
    <t>What order did British make of French?</t>
  </si>
  <si>
    <t>What is the most important item for civil disobedience to follow through?</t>
  </si>
  <si>
    <t>Manchuria</t>
  </si>
  <si>
    <t>1347</t>
  </si>
  <si>
    <t>Shaq Thompson</t>
  </si>
  <si>
    <t>the north</t>
  </si>
  <si>
    <t>in which it can make laws</t>
  </si>
  <si>
    <t>circuit and single-node X-ray-producing devices</t>
  </si>
  <si>
    <t>Who helped designed the Main Quadrangles?</t>
  </si>
  <si>
    <t>a phylum of animals</t>
  </si>
  <si>
    <t>What other event made the BBC concerned that viewers had not seen the premier of Doctor Who?</t>
  </si>
  <si>
    <t>nursing homes</t>
  </si>
  <si>
    <t>the Southern Border Region</t>
  </si>
  <si>
    <t>Who recorded the theme played for season 18?</t>
  </si>
  <si>
    <t>What position does Demaryius Thomas play?</t>
  </si>
  <si>
    <t>to coordinate the response to the embargo</t>
  </si>
  <si>
    <t>When did Kublai attack Xiangyang?</t>
  </si>
  <si>
    <t>Wesleyan theology s</t>
  </si>
  <si>
    <t>poor and the middle class</t>
  </si>
  <si>
    <t>Whilst this is the consensus viewpoint amongst the majority of academics, some teachers and parents advocate a more assertive and confrontational style of discipline.[citation needed] Such individuals claim that many problems with modern schooling stem from the weakness in school discipline and if teachers exercised firm control over the classroom they would be able to teach more efficiently. This viewpoint is supported by the educational attainment of countries—in East Asia for instance—that combine strict discipline with high standards of education.[citation needed]</t>
  </si>
  <si>
    <t>characteristics</t>
  </si>
  <si>
    <t>many celebrated seasons</t>
  </si>
  <si>
    <t>the 7–4–2–3 system was adopted</t>
  </si>
  <si>
    <t>Bermuda 419 turf</t>
  </si>
  <si>
    <t>When was the Holocene?</t>
  </si>
  <si>
    <t>How many research centers does the university run on campus?</t>
  </si>
  <si>
    <t>the U.S.</t>
  </si>
  <si>
    <t>When is the suspended team scheduled to return?</t>
  </si>
  <si>
    <t>Harvey Martin</t>
  </si>
  <si>
    <t>What is one work by Olivier Messiaen?</t>
  </si>
  <si>
    <t>Milton Latham</t>
  </si>
  <si>
    <t>highest terrace</t>
  </si>
  <si>
    <t>Which continents are represented in the V&amp;A's textiles collection?</t>
  </si>
  <si>
    <t>sleep deprivation</t>
  </si>
  <si>
    <t>pyramids of severed heads</t>
  </si>
  <si>
    <t>Bantu and Nilotic</t>
  </si>
  <si>
    <t>HgO</t>
  </si>
  <si>
    <t>What has recently undergone extensive restoration?</t>
  </si>
  <si>
    <t>What player first won the Heisman Trophy for the university?</t>
  </si>
  <si>
    <t>Bacteria often secrete what kind of proteins to ingest a physical barrier?</t>
  </si>
  <si>
    <t>Who invited Washington to dine with him?</t>
  </si>
  <si>
    <t>What company owns the American Broadcasting Company?</t>
  </si>
  <si>
    <t>the geochemical evolution of rock units</t>
  </si>
  <si>
    <t>In what year did John and Charles Wesley come to America to teach the gospel?</t>
  </si>
  <si>
    <t>intermediate network nodes asynchronously using first-in, first-out buffering</t>
  </si>
  <si>
    <t>With the show's 2005 revival, executive producer Russell T Davies stated his intention to reintroduce classic icons of Doctor Who one step at a time: the Autons with the Nestene Consciousness and Daleks in series 1, Cybermen in series 2, the Macra and the Master in series 3, the Sontarans and Davros in series 4, and the Time Lords (Rassilon) in the 2009–10 Specials. Davies' successor, Steven Moffat, has continued the trend by reviving the Silurians in series 5, Cybermats in series 6, the Great Intelligence and the Ice Warriors in Series 7, and Zygons in the 50th Anniversary Special. Since its 2005 return, the series has also introduced new recurring aliens: Slitheen (Raxacoricofallapatorian), Ood, Judoon, Weeping Angels and the Silence.</t>
  </si>
  <si>
    <t>1.4 times normal</t>
  </si>
  <si>
    <t>Oxygen toxicity to the lungs and central nervous system</t>
  </si>
  <si>
    <t>In large parts, Newcastle still retains a medieval street layout. Narrow alleys or 'chares', most of which can only be traversed by foot, still exist in abundance, particularly around the riverside. Stairs from the riverside to higher parts of the city centre and the extant Castle Keep, originally recorded in the 14th century, remain intact in places. Close, Sandhill and Quayside contain modern buildings as well as structures dating from the 15th–18th centuries, including Bessie Surtees House, the Cooperage and Lloyds Quayside Bars, Derwentwater House and "House of Tides", a restaurant situated at a Grade I-listed 16th century merchant's house at 28–30 Close.</t>
  </si>
  <si>
    <t>What Huguenot area is designated as a historical landmark?</t>
  </si>
  <si>
    <t>sell prescription drugs without requiring a prescription</t>
  </si>
  <si>
    <t>more than 70</t>
  </si>
  <si>
    <t>How many hymns of Luther were included in the Achtliederbuch?</t>
  </si>
  <si>
    <t>How much money was Francovich allowed to claim from the Italian goverment in damages?</t>
  </si>
  <si>
    <t>Tesla theorized that the application of electricity to the brain enhanced intelligence. In 1912, he crafted "a plan to make dull students bright by saturating them unconsciously with electricity," wiring the walls of a schoolroom and, "saturating [the schoolroom] with infinitesimal electric waves vibrating at high frequency. The whole room will thus, Mr. Tesla claims, be converted into a health-giving and stimulating electromagnetic field or 'bath.'" The plan was, at least provisionally approved by then superintendent of New York City schools, William H. Maxwell.</t>
  </si>
  <si>
    <t>Which theorem states that every large even integer can be written as a prime summed with a semiprime?</t>
  </si>
  <si>
    <t>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</si>
  <si>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The correlation between capitalism, aristocracy, and imperialism has long been debated among historians and political theorists. Much of the debate was pioneered by such theorists as J. A. Hobson (1858–1940), Joseph Schumpeter (1883–1950), Thorstein Veblen (1857–1929), and Norman Angell (1872–1967).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</si>
  <si>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Every May since 1987, the University of Chicago has held the University of Chicago Scavenger Hunt, in which large teams of students compete to obtain notoriously esoteric items from a list. Since 1963, the Festival of the Arts (FOTA) takes over campus for 7–10 days of exhibitions and interactive artistic endeavors. Every January, the university holds a week-long winter festival, Kuviasungnerk/Kangeiko, which include early morning exercise routines and fitness workshops. The university also annually holds a summer carnival and concert called Summer Breeze that hosts outside musicians, and is home to Doc Films, a student film society founded in 1932 that screens films nightly at the university. Since 1946, the university has organized the Latke-Hamantash Debate, which involves humorous discussions about the relative merits and meanings of latkes and hamantashen.</t>
  </si>
  <si>
    <t>Most went to Cuba</t>
  </si>
  <si>
    <t>In Ireland, private schools (Irish: scoil phríobháideach) are unusual because a certain number of teacher's salaries are paid by the State. If the school wishes to employ extra teachers they are paid for with school fees, which tend to be relatively low in Ireland compared to the rest of the world. There is, however, a limited element of state assessment of private schools, because of the requirement that the state ensure that children receive a certain minimum education; Irish private schools must still work towards the Junior Certificate and the Leaving Certificate, for example. Many private schools in Ireland also double as boarding schools. The average fee is around €5,000 annually for most schools, but some of these schools also provide boarding and the fees may then rise up to €25,000 per year. The fee-paying schools are usually run by a religious order, i.e., the Society of Jesus or Congregation of Christian Brothers, etc.</t>
  </si>
  <si>
    <t>Ong Khan</t>
  </si>
  <si>
    <t>CBS broadcast Super Bowl 50 in the U.S., and charged an average of $5 million for a 30-second commercial during the game. The Super Bowl 50 halftime show was headlined by the British rock group Coldplay with special guest performers Beyoncé and Bruno Mars, who headlined the Super Bowl XLVII and Super Bowl XLVIII halftime shows, respectively. It was the third-most watched U.S. broadcast ever.</t>
  </si>
  <si>
    <t>the Italian physicist Galileo Ferraris</t>
  </si>
  <si>
    <t>1913</t>
  </si>
  <si>
    <t>What are some supplementary sources of European Union law?</t>
  </si>
  <si>
    <t>How many barrels of oil is it estimated Kenya has?</t>
  </si>
  <si>
    <t>St. Lawrence</t>
  </si>
  <si>
    <t>Roughly how many clubs are ran at the university?</t>
  </si>
  <si>
    <t>never ratified</t>
  </si>
  <si>
    <t>The new British command was not in place until July. When he arrived in Albany, Abercrombie refused to take any significant actions until Loudoun approved them. Montcalm took bold action against his inertia. Building on Vaudreuil's work harassing the Oswego garrison, Montcalm executed a strategic feint by moving his headquarters to Ticonderoga, as if to presage another attack along Lake George. With Abercrombie pinned down at Albany, Montcalm slipped away and led the successful attack on Oswego in August. In the aftermath, Montcalm and the Indians under his command disagreed about the disposition of prisoners' personal effects. The Europeans did not consider them prizes and prevented the Indians from stripping the prisoners of their valuables, which angered the Indians.</t>
  </si>
  <si>
    <t>What helped support the Command Module with a propulsion engine and propellants?</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</si>
  <si>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</si>
  <si>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corrupt in its ways</t>
  </si>
  <si>
    <t>What famous civil rights leader called Harvard home?</t>
  </si>
  <si>
    <t>The city has an extensive neoclassical centre referred to as Tyneside Classical largely developed in the 1830s by Richard Grainger and John Dobson, and recently extensively restored. Broadcaster and writer Stuart Maconie described Newcastle as England's best-looking city and the late German-born British scholar of architecture, Nikolaus Pevsner, describes Grey Street as one of the finest streets in England. The street curves down from Grey's Monument towards the valley of the River Tyne and was voted England's finest street in 2005 in a survey of BBC Radio 4 listeners. In the Google Street View awards of 2010, Grey Street came 3rd in the British picturesque category. Osborne Road came 4th in the foodie street category. A portion of Grainger Town was demolished in the 1960s to make way for the Eldon Square Shopping Centre, including all but one side of the original Eldon Square itself.</t>
  </si>
  <si>
    <t>he may have intercepted Marconi's European experiments</t>
  </si>
  <si>
    <t>the principles of legal certainty and good faith</t>
  </si>
  <si>
    <t>What company did Eisner become president of when he left ABC in 1976?</t>
  </si>
  <si>
    <t>Building construction</t>
  </si>
  <si>
    <t>What type of works from Asia are included in the V&amp;A's British galleries?</t>
  </si>
  <si>
    <t>What is the yearly cost of some notable prep schools in New England?</t>
  </si>
  <si>
    <t>1855 colonial constitution</t>
  </si>
  <si>
    <t>League of Augsburg</t>
  </si>
  <si>
    <t>post-World War I</t>
  </si>
  <si>
    <t>primes</t>
  </si>
  <si>
    <t>What complexity class is characterized by a computational tasks and efficient algorithms?</t>
  </si>
  <si>
    <t>How many people were on the test flight of the AS-206?</t>
  </si>
  <si>
    <t>Where did Aristotle believe the natural place for earth and water elements?</t>
  </si>
  <si>
    <t>bishops</t>
  </si>
  <si>
    <t>the Faroe Islands</t>
  </si>
  <si>
    <t>Luther's writings circulated widely, reaching France, England, and Italy as early as 1519. Students thronged to Wittenberg to hear Luther speak. He published a short commentary on Galatians and his Work on the Psalms. This early part of Luther's career was one of his most creative and productive. Three of his best-known works were published in 1520: To the Christian Nobility of the German Nation, On the Babylonian Captivity of the Church, and On the Freedom of a Christian.</t>
  </si>
  <si>
    <t>the Tyne and Wear Passenger Transport Executive</t>
  </si>
  <si>
    <t>Harvard Yard</t>
  </si>
  <si>
    <t>What was the trend of female student population from 1970s and deyond?</t>
  </si>
  <si>
    <t>Manning was the number one pick in which draft?</t>
  </si>
  <si>
    <t>plastid that lacks chlorophyll</t>
  </si>
  <si>
    <t>in 1185</t>
  </si>
  <si>
    <t>What does Warsaw's mixture of architectural styles reflect?</t>
  </si>
  <si>
    <t>granted sacramental authority</t>
  </si>
  <si>
    <t>rebellion</t>
  </si>
  <si>
    <t>a pivotal event</t>
  </si>
  <si>
    <t>Cape Town</t>
  </si>
  <si>
    <t>When was the IPCC Fourth Assessment Report published?</t>
  </si>
  <si>
    <t>What has having an EU Citizenship increased?</t>
  </si>
  <si>
    <t>geographical societies in Europe</t>
  </si>
  <si>
    <t>Australian Broadcasting Corporation</t>
  </si>
  <si>
    <t>competition between workers</t>
  </si>
  <si>
    <t>What is the name of one type of modern primality test?</t>
  </si>
  <si>
    <t>What was the occupation of Tesla's father?</t>
  </si>
  <si>
    <t>when builders ask for too little money to complete the project</t>
  </si>
  <si>
    <t>Royal</t>
  </si>
  <si>
    <t>quick-release, outward opening door</t>
  </si>
  <si>
    <t>roughly spherical and highly refractive</t>
  </si>
  <si>
    <t>9 March 1508</t>
  </si>
  <si>
    <t>RSA algorithm</t>
  </si>
  <si>
    <t>Who was brought it to work on the museum after the death of Captain Francis Fowke?</t>
  </si>
  <si>
    <t>skin damage</t>
  </si>
  <si>
    <t>Who provided a philosophical discussion of force?</t>
  </si>
  <si>
    <t>What radio station is located at 103.5FM on the dial in Denver?</t>
  </si>
  <si>
    <t>ten times more</t>
  </si>
  <si>
    <t>it infringed on democratic freedoms</t>
  </si>
  <si>
    <t>What food bacteria is an example of intracellular pathogenesis?</t>
  </si>
  <si>
    <t>Rivera</t>
  </si>
  <si>
    <t>a Commission proposal</t>
  </si>
  <si>
    <t>the Bureau of Buddhist and Tibetan Affairs</t>
  </si>
  <si>
    <t>74 per cent, or 260 of the 352 votes</t>
  </si>
  <si>
    <t>When were the earliest Doctor Who books available?</t>
  </si>
  <si>
    <t>surrendering either its continental North American possessions east of the Mississippi or the Caribbean islands of Guadeloupe and Martinique</t>
  </si>
  <si>
    <t>2.2 inches</t>
  </si>
  <si>
    <t>Who was responsible for the decorations of the Centre Refreshment Room?</t>
  </si>
  <si>
    <t>the wilderness of the Maine district and down the Chaudière River</t>
  </si>
  <si>
    <t>Dikes</t>
  </si>
  <si>
    <t>Compounding was not popular in the construction of what machines?</t>
  </si>
  <si>
    <t>$20,000</t>
  </si>
  <si>
    <t>negative long-term</t>
  </si>
  <si>
    <t>marine triple expansion</t>
  </si>
  <si>
    <t>What court case desegregated schools in the United States?</t>
  </si>
  <si>
    <t>To monitor what event would measuring radiance from vegetation provide information?</t>
  </si>
  <si>
    <t>returned to New York amid news that a massacre had occurred at Fort William Henry.</t>
  </si>
  <si>
    <t>8</t>
  </si>
  <si>
    <t xml:space="preserve">what does vBNS stand for </t>
  </si>
  <si>
    <t>Charles W. Eliot</t>
  </si>
  <si>
    <t>In what year did Edmond's characterize a "good" algorithm?</t>
  </si>
  <si>
    <t>evening</t>
  </si>
  <si>
    <t>chest pains</t>
  </si>
  <si>
    <t>When was the French and Indian War?</t>
  </si>
  <si>
    <t>uses unfermented grape juice</t>
  </si>
  <si>
    <t>red</t>
  </si>
  <si>
    <t>What are Apicomplexans similar to?</t>
  </si>
  <si>
    <t>principal's office.</t>
  </si>
  <si>
    <t>8.4%</t>
  </si>
  <si>
    <t>animals and humans performimg various actions</t>
  </si>
  <si>
    <t>In what city is the Moscone Center located?</t>
  </si>
  <si>
    <t>Where does Luther place Salvation?</t>
  </si>
  <si>
    <t>claimed by both sides</t>
  </si>
  <si>
    <t>secular authorities</t>
  </si>
  <si>
    <t>4 weeks</t>
  </si>
  <si>
    <t>cup</t>
  </si>
  <si>
    <t>What is the German term for segregating students based on their parents' wealth?</t>
  </si>
  <si>
    <t>anyone with knowledge or skills</t>
  </si>
  <si>
    <t>clinical pharmacists</t>
  </si>
  <si>
    <t>What is the major US city that the is the university located?</t>
  </si>
  <si>
    <t>If a and q are coprime, which theorem holds that an arithmetic progression has an infinite number of primes?</t>
  </si>
  <si>
    <t>Matter particles are shown as what kind of lines in a Feynman diagram?</t>
  </si>
  <si>
    <t>to New York City</t>
  </si>
  <si>
    <t>damage</t>
  </si>
  <si>
    <t>asynchronously using first-in, first-out buffering</t>
  </si>
  <si>
    <t>actual sea level rise was above the top of the range</t>
  </si>
  <si>
    <t>degree to which these flags retain their original colors remains unknown</t>
  </si>
  <si>
    <t>seismic waves</t>
  </si>
  <si>
    <t>When is the last time a fumble return touchdown happened in a Super Bowl?</t>
  </si>
  <si>
    <t>Interest groups and government agencies that were concerned with energy were no match for who?</t>
  </si>
  <si>
    <t>The Doctor rarely travels alone and often brings one or more companions to share these adventures. His companions are usually humans, as he has found a fascination with planet Earth. He often finds events that pique his curiosity as he tries to prevent evil forces from harming innocent people or changing history, using only his ingenuity and minimal resources, such as his versatile sonic screwdriver. As a Time Lord, the Doctor has the ability to regenerate when his body is mortally damaged, taking on a new appearance and personality. The Doctor has gained numerous reoccurring enemies during his travels, including the Daleks, the Cybermen, and the Master, another renegade Time Lord.</t>
  </si>
  <si>
    <t>Greg Olsen</t>
  </si>
  <si>
    <t>Which descendant of Genghis Khan is remembered as having reunified China?</t>
  </si>
  <si>
    <t>438,000</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</si>
  <si>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</si>
  <si>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internal energies of the system</t>
  </si>
  <si>
    <t>What spelling of Genghis most closely matches its probable pronunciation?</t>
  </si>
  <si>
    <t>Red Turban Rebellion</t>
  </si>
  <si>
    <t>What studio does ABC own at 1500 Broadway in NYC?</t>
  </si>
  <si>
    <t>She gives a stirring speech</t>
  </si>
  <si>
    <t>How many hundred of years was Scotland directly governed by the parliament of Great Britain?</t>
  </si>
  <si>
    <t>high pressure</t>
  </si>
  <si>
    <t>3.62</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</si>
  <si>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</si>
  <si>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Necessity-based entrepreneurship</t>
  </si>
  <si>
    <t>What can increase the tension force on a load?</t>
  </si>
  <si>
    <t>Who did Warsaw serve as the seat for in 1529?</t>
  </si>
  <si>
    <t>wine as well as the bread</t>
  </si>
  <si>
    <t>firm, clear</t>
  </si>
  <si>
    <t>a roof</t>
  </si>
  <si>
    <t>James Lafayette</t>
  </si>
  <si>
    <t>each six months</t>
  </si>
  <si>
    <t>The traveling salesman problem is an example of what type of problem?</t>
  </si>
  <si>
    <t>Keraites</t>
  </si>
  <si>
    <t>What would be needed to host a larger population?</t>
  </si>
  <si>
    <t>7 January 1900</t>
  </si>
  <si>
    <t>Most species are hermaphrodites</t>
  </si>
  <si>
    <t>Satya Nadella</t>
  </si>
  <si>
    <t>What would a teacher do for someone who is cocky?</t>
  </si>
  <si>
    <t>Marriott</t>
  </si>
  <si>
    <t>To whom was Johann Eck the assistant?</t>
  </si>
  <si>
    <t>political figures</t>
  </si>
  <si>
    <t>punishment essay</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</si>
  <si>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</si>
  <si>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hate</t>
  </si>
  <si>
    <t>May 21, 2013,</t>
  </si>
  <si>
    <t>sexual</t>
  </si>
  <si>
    <t>six membraned chloroplast</t>
  </si>
  <si>
    <t>Who holds an annual International Arts Fair in Newcastle?</t>
  </si>
  <si>
    <t>Who published Tesla's writings?</t>
  </si>
  <si>
    <t>July 18, 2006</t>
  </si>
  <si>
    <t>What year did Börte's give birth to Jochi?</t>
  </si>
  <si>
    <t>each party's strength in Parliament</t>
  </si>
  <si>
    <t>A prime number (or a prime) is a natural number greater than 1 that has no positive divisors other than 1 and itself. A natural number greater than 1 that is not a prime number is called a composite number. For example, 5 is prime because 1 and 5 are its only positive integer factors, whereas 6 is composite because it has the divisors 2 and 3 in addition to 1 and 6. The fundamental theorem of arithmetic establishes the central role of primes in number theory: any integer greater than 1 can be expressed as a product of primes that is unique up to ordering. The uniqueness in this theorem requires excluding 1 as a prime because one can include arbitrarily many instances of 1 in any factorization, e.g., 3, 1 · 3, 1 · 1 · 3, etc. are all valid factorizations of 3.</t>
  </si>
  <si>
    <t>Euglenophytes are a group of common flagellated protists that contain chloroplasts derived from a green alga. Euglenophyte chloroplasts have three membranes—it is thought that the membrane of the primary endosymbiont was lost, leaving the cyanobacterial membranes, and the secondary host's phagosomal membrane. Euglenophyte chloroplasts have a pyrenoid and thylakoids stacked in groups of three. Starch is stored in the form of paramylon, which is contained in membrane-bound granules in the cytoplasm of the euglenophyte.</t>
  </si>
  <si>
    <t>1330 Avenue of the Americas in Manhattan</t>
  </si>
  <si>
    <t xml:space="preserve">In cases with shared medium how is it delivered </t>
  </si>
  <si>
    <t>Vietnam War</t>
  </si>
  <si>
    <t>Catholic orthodoxy</t>
  </si>
  <si>
    <t>double membrane</t>
  </si>
  <si>
    <t>When did the y. pestis reach England?</t>
  </si>
  <si>
    <t>as a scourge</t>
  </si>
  <si>
    <t>Thomas</t>
  </si>
  <si>
    <t>The church conference</t>
  </si>
  <si>
    <t>What was introduces into the Black Sea?</t>
  </si>
  <si>
    <t>Which areas of Northern Europe practiced those religions?</t>
  </si>
  <si>
    <t>Jacob Van Braam as an interpreter; Christopher Gist, a company surveyor working in the area; and a few Mingo led by Tanaghrisson</t>
  </si>
  <si>
    <t>immunoglobulins and T cell receptors</t>
  </si>
  <si>
    <t>for fear of their lives</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</si>
  <si>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</si>
  <si>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When did the second series of Torchwood play?</t>
  </si>
  <si>
    <t>The individual</t>
  </si>
  <si>
    <t>international footballers</t>
  </si>
  <si>
    <t>Landgrave of Hesse</t>
  </si>
  <si>
    <t>Who is elected at the beginning of each term?</t>
  </si>
  <si>
    <t>Cydippids combs are controlled by what?</t>
  </si>
  <si>
    <t>When have Lutheran Churches repudiated Luther's statements about the Jews?</t>
  </si>
  <si>
    <t>Where is the Z-ring?</t>
  </si>
  <si>
    <t>Approximately how many items are in the costume collection of the V&amp;A?</t>
  </si>
  <si>
    <t>pivotal event</t>
  </si>
  <si>
    <t>What are those from Jacksonville sometimes called?</t>
  </si>
  <si>
    <t>in April 1887</t>
  </si>
  <si>
    <t>one that supports Th1</t>
  </si>
  <si>
    <t>5 to 15 years</t>
  </si>
  <si>
    <t>Where did Charles de Gaulle and the Free French run operations during World War 2?</t>
  </si>
  <si>
    <t>24 September 2007</t>
  </si>
  <si>
    <t>aboral organ</t>
  </si>
  <si>
    <t>leftist/communist/nationalist insurgents/opposition</t>
  </si>
  <si>
    <t>former Strathclyde Regional Council debating chamber in Glasgow</t>
  </si>
  <si>
    <t>On 8 February 2007, BSkyB announced its intention to replace its three free-to-air digital terrestrial channels with four subscription channels. It was proposed that these channels would offer a range of content from the BSkyB portfolio including sport (including English Premier League Football), films, entertainment and news. The announcement came a day after Setanta Sports confirmed that it would launch in March as a subscription service on the digital terrestrial platform, and on the same day that NTL's services re-branded as Virgin Media. However, industry sources believe BSkyB will be forced to shelve plans to withdraw its channels from Freeview and replace them with subscription channels, due to possible lost advertising revenue.</t>
  </si>
  <si>
    <t>What magnetic and electric force acts on a charge?</t>
  </si>
  <si>
    <t>What measure of a computational problem broadly defines the inherent difficulty of the solution?</t>
  </si>
  <si>
    <t>His wife Katharina</t>
  </si>
  <si>
    <t>harder</t>
  </si>
  <si>
    <t>Who is subject to vetting?</t>
  </si>
  <si>
    <t>What are the components of drug therapy?</t>
  </si>
  <si>
    <t>As Jamukha and Temüjin drifted apart in their friendship, each began consolidating power, and soon became rivals. Jamukha supported the traditional Mongolian aristocracy, while Temüjin followed a meritocratic method, and attracted a broader, though lower class, range of followers. Due to his earlier defeat of the Merkits, and a proclamation by the shaman Kokochu that the Eternal Blue Sky had set aside the world for Temüjin, Temüjin began rising to power. In 1186, Temüjin was elected khan of the Mongols. However, Jamukha, threatened by Temüjin's rapid ascent, quickly moved to stop Temüjin's ambitions. In 1187, he launched an attack against his former friend with an army of thirty thousand troops. Temüjin hastily gathered together his followers to defend against the attack, but he was decisively beaten in the Battle of Dalan Balzhut. Jamukha horrified people greatly and harmed his image by boiling seventy young male captives alive in cauldrons, alienating many of his potential followers and eliciting sympathy for Temüjin. Toghrul, as Temüjin's patron, was exiled to the Qara Khitai. The life of Temüjin for the next ten years is very unclear, as historical records are mostly silent on that period.</t>
  </si>
  <si>
    <t>any natural number n &gt; 3</t>
  </si>
  <si>
    <t>two-thirds</t>
  </si>
  <si>
    <t>What are the skin cells that can be transformed into tumors known as?</t>
  </si>
  <si>
    <t>in France</t>
  </si>
  <si>
    <t>immune surveillance</t>
  </si>
  <si>
    <t>What magnetic character do triplet O2 have?</t>
  </si>
  <si>
    <t>nullification</t>
  </si>
  <si>
    <t>Where did the black death originate?</t>
  </si>
  <si>
    <t>the lost chloroplast's existence</t>
  </si>
  <si>
    <t>32,463</t>
  </si>
  <si>
    <t>How many acres does the V&amp;A cover?</t>
  </si>
  <si>
    <t>Peter Howell</t>
  </si>
  <si>
    <t>coin in the coffer</t>
  </si>
  <si>
    <t>&gt;500 Da</t>
  </si>
  <si>
    <t>In recent years the characteristic that has strongly correlated with health in developed countries is income inequality. Creating an index of "Health and Social Problems" from nine factors, authors Richard Wilkinson and Kate Pickett found health and social problems "more common in countries with bigger income inequalities", and more common among states in the US with larger income inequalities. Other studies have confirmed this relationship. The UNICEF index of "child well-being in rich countries", studying 40 indicators in 22 countries, correlates with greater equality but not per capita income.</t>
  </si>
  <si>
    <t>What is the name of the residential treatment program the university runs?</t>
  </si>
  <si>
    <t>1939</t>
  </si>
  <si>
    <t>prostaglandins</t>
  </si>
  <si>
    <t>By the 1970s</t>
  </si>
  <si>
    <t>Taihō Code</t>
  </si>
  <si>
    <t>How did Luther persuade Archbishop Albrecht to stop the sale of indulgences?</t>
  </si>
  <si>
    <t>general principles of European Union law</t>
  </si>
  <si>
    <t>facilitate student learning</t>
  </si>
  <si>
    <t>the world's oceans</t>
  </si>
  <si>
    <t>50th anniversary special</t>
  </si>
  <si>
    <t>Sky TV bills</t>
  </si>
  <si>
    <t>Later chronicles of Genghis Khan's death implicate a princess from what empire in his death?</t>
  </si>
  <si>
    <t>What nationality is Hoesung Lee?</t>
  </si>
  <si>
    <t>100–150 species</t>
  </si>
  <si>
    <t>extracurricular</t>
  </si>
  <si>
    <t>Joseph Swan</t>
  </si>
  <si>
    <t>the dot</t>
  </si>
  <si>
    <t>How many miners died in the typhoid outbreak of 1854?</t>
  </si>
  <si>
    <t>a parliamentary majority</t>
  </si>
  <si>
    <t>Which religion did Kublai prefer?</t>
  </si>
  <si>
    <t>a financial instrument that was usable across a large number of merchants and also allowed cardholders to revolve a balance</t>
  </si>
  <si>
    <t>What will maidens be able to predict by floating their wreaths down the Vistula?</t>
  </si>
  <si>
    <t>What is God's expression of eternal will, according to Luther?</t>
  </si>
  <si>
    <t>What is issued once construction is complete and a final inspection has been passed?</t>
  </si>
  <si>
    <t>the prime number intervals between emergences make it very difficult for predators to evolve that could specialize as predators on Magicicadas</t>
  </si>
  <si>
    <t>imaginative geography</t>
  </si>
  <si>
    <t>In 1542, Luther read a Latin translation of the Qur'an. He went on to produce several critical pamphlets on Islam, which he called "Mohammedanism" or "the Turk". Though Luther saw the Muslim faith as a tool of the devil, he was indifferent to its practice: "Let the Turk believe and live as he will, just as one lets the papacy and other false Christians live." He opposed banning the publication of the Qur'an, wanting it exposed to scrutiny.</t>
  </si>
  <si>
    <t>Who often plays the Fourth Doctor in comedy parodies?</t>
  </si>
  <si>
    <t>PSPACE</t>
  </si>
  <si>
    <t>How many parts does the consideration of a bill in Stage 3 have?</t>
  </si>
  <si>
    <t>Universal</t>
  </si>
  <si>
    <t>Which NASA location came around last to the idea of the LOR?</t>
  </si>
  <si>
    <t>20–18</t>
  </si>
  <si>
    <t>The succession of Genghis Khan was already a significant topic during the later years of his reign, as he reached old age. The long running paternity discussion about Genghis' oldest son Jochi was particularly contentious because of the seniority of Jochi among the brothers. According to traditional historical accounts, the issue over Jochi's paternity was voiced most strongly by Chagatai. In The Secret History of the Mongols, just before the invasion of the Khwarezmid Empire by Genghis Khan, Chagatai declared before his father and brothers that he would never accept Jochi as Genghis Khan's successor. In response to this tension, and possibly for other reasons, Ögedei was appointed as successor.</t>
  </si>
  <si>
    <t>Collingwood Street,</t>
  </si>
  <si>
    <t>What was the name of the Doctor Who-related song released in 1988?</t>
  </si>
  <si>
    <t>What does high inequality go hand-in-hand with?</t>
  </si>
  <si>
    <t>the ultimate authority of member states, its factual commitment to human rights, and the democratic will of the people</t>
  </si>
  <si>
    <t>Lt Col Paul von Lettow-Vorbeck</t>
  </si>
  <si>
    <t>145</t>
  </si>
  <si>
    <t>the meeting of the Church's General Assembly</t>
  </si>
  <si>
    <t>61%</t>
  </si>
  <si>
    <t>their effects on the motion of the body</t>
  </si>
  <si>
    <t>How many tons of dust are blown from the Sahara each year?</t>
  </si>
  <si>
    <t>What role does John Elway currently have in the Broncos franchise?</t>
  </si>
  <si>
    <t>US$10 a week raise</t>
  </si>
  <si>
    <t>Who refused to act until Loudoun approved plans?</t>
  </si>
  <si>
    <t>What year did Tesla die?</t>
  </si>
  <si>
    <t>antibonding</t>
  </si>
  <si>
    <t>the winter of 1973–74</t>
  </si>
  <si>
    <t>480i</t>
  </si>
  <si>
    <t>What are three examples of complexity classes associated with definitions established by probabilistic Turing machines?</t>
  </si>
  <si>
    <t>How many Medieval Warm Period reconstructions covered 1,000+ years?</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</si>
  <si>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</si>
  <si>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Who won the Super Bowl MVP?</t>
  </si>
  <si>
    <t>West by the Alter Rhein</t>
  </si>
  <si>
    <t>thylakoid network</t>
  </si>
  <si>
    <t>St. Bartholomew's Day massacre</t>
  </si>
  <si>
    <t>Air</t>
  </si>
  <si>
    <t>What Star Trek episode has a nod to Doctor Who?</t>
  </si>
  <si>
    <t>Slovene-American author Louis Adamic</t>
  </si>
  <si>
    <t>Black Sea</t>
  </si>
  <si>
    <t>wards</t>
  </si>
  <si>
    <t>Santa Clara, California.</t>
  </si>
  <si>
    <t>What is the balance for positive reinforcement?</t>
  </si>
  <si>
    <t>War of Currents</t>
  </si>
  <si>
    <t>10%</t>
  </si>
  <si>
    <t>When the recovery between the widening gap between the richest citizens and rest of the nation slow?</t>
  </si>
  <si>
    <t>In which case did the Court of Justice state that refusal to admit a lawyer to the Belgian bar because he did not have Belgian heritage wasn't able to be justified?</t>
  </si>
  <si>
    <t>In what year did Tesla demonstrate his alternating current system?</t>
  </si>
  <si>
    <t>What article of the Grundgesetz grants the right to make private schools?</t>
  </si>
  <si>
    <t>Who took up the path of violence?</t>
  </si>
  <si>
    <t>mitochondrial double membrane</t>
  </si>
  <si>
    <t>What was the first recorded settlement in what became Newcastle?</t>
  </si>
  <si>
    <t>biostratigraphers</t>
  </si>
  <si>
    <t>A specific algorithm demonstrating T(n) represents what measure of time complexity?</t>
  </si>
  <si>
    <t>cytosol</t>
  </si>
  <si>
    <t>temperatures</t>
  </si>
  <si>
    <t>Newton was the number one pick in which draft?</t>
  </si>
  <si>
    <t>passing a stream of clean, dry air through one bed of a pair of identical zeolite molecular sieves</t>
  </si>
  <si>
    <t>Where does the proportion of shared and converted houses in 2011 put this dwelling type in the color-coded brackets?</t>
  </si>
  <si>
    <t>few British troops</t>
  </si>
  <si>
    <t>red algal endosymbiont's original cell membrane</t>
  </si>
  <si>
    <t>Tamara de Lempicka was a famous artist born in Warsaw. She was born Maria Górska in Warsaw to wealthy parents and in 1916 married a Polish lawyer Tadeusz Łempicki.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</si>
  <si>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suite of network protocols created by Digital Equipment Corporation</t>
  </si>
  <si>
    <t>Approximately how many gems in Reverend Chauncy Hare Townshend's collection was given to the museum?</t>
  </si>
  <si>
    <t>AUSTPAC was an Australian public X.25 network operated by Telstra</t>
  </si>
  <si>
    <t>In what complexity class do complement problems of NP problems exist?</t>
  </si>
  <si>
    <t>What year did ABC's "TGIF" end?</t>
  </si>
  <si>
    <t>a larger challenge to the legal system that permits those decisions to be taken</t>
  </si>
  <si>
    <t>ITV Tyne Tees was based at City Road for over 40 years after its launch in January 1959. In 2005 it moved to a new facility on The Watermark business park next to the MetroCentre in Gateshead. The entrance to studio 5 at the City Road complex gave its name to the 1980s music television programme, The Tube. BBC North East and Cumbria is located to the north of the city on Barrack Road, Spital Tongues, in a building known, as the result of its colouring, as the Pink Palace. It is from here that the Corporation broadcasts the Look North television regional news programme and local radio station BBC Radio Newcastle.</t>
  </si>
  <si>
    <t>British telecommunications company</t>
  </si>
  <si>
    <t>several</t>
  </si>
  <si>
    <t>Kingdom of Sicily</t>
  </si>
  <si>
    <t>turbine type</t>
  </si>
  <si>
    <t>movable pulleys</t>
  </si>
  <si>
    <t>Michelangelo (sculpture)</t>
  </si>
  <si>
    <t>With what word was Tesla's sociability described?</t>
  </si>
  <si>
    <t>The official record high temperature for Fresno is 115 °F (46.1 °C), set on July 8, 1905, while the official record low is 17 °F (−8 °C), set on January 6, 1913. The average windows for 100 °F (37.8 °C)+, 90 °F (32.2 °C)+, and freezing temperatures are June 1 thru September 13, April 26 thru October 9, and December 10 thru January 28, respectively, and no freeze occurred between in the 1983/1984 season. Annual rainfall has ranged from 23.57 inches (598.7 mm) in the “rain year” from July 1982 to June 1983 down to 4.43 inches (112.5 mm) from July 1933 to June 1934. The most rainfall in one month was 9.54 inches (242.3 mm) in November 1885 and the most rainfall in 24 hours 3.55 inches (90.2 mm) on November 18, 1885. Measurable precipitation falls on an average of 48 days annually. Snow is a rarity; the heaviest snowfall at the airport was 2.2 inches (0.06 m) on January 21, 1962.</t>
  </si>
  <si>
    <t>For the Canadian broadcast, Christopher Eccleston recorded special video introductions for each episode (including a trivia question as part of a viewer contest) and excerpts from the Doctor Who Confidential documentary were played over the closing credits; for the broadcast of "The Christmas Invasion" on 26 December 2005, Billie Piper recorded a special video introduction. CBC began airing series two on 9 October 2006 at 20:00 E/P (20:30 in Newfoundland and Labrador), shortly after that day's CFL double header on Thanksgiving in most of the country.[citation needed]</t>
  </si>
  <si>
    <t>Where did the first Huguenot colonists settle?</t>
  </si>
  <si>
    <t>Approximately how many items comprise the jewelry collection of the V&amp;A?</t>
  </si>
  <si>
    <t>What was the source of the Rhine in the last Ice Age?</t>
  </si>
  <si>
    <t>What philosophies underlay Chinese medicine?</t>
  </si>
  <si>
    <t>7000 years</t>
  </si>
  <si>
    <t>What type of musical instruments did the Yuan bring to China?</t>
  </si>
  <si>
    <t>solar power</t>
  </si>
  <si>
    <t>Why might rats not be responsible for the plague?</t>
  </si>
  <si>
    <t>What actor did sign language for the National Anthem at Superbowl 50?</t>
  </si>
  <si>
    <t>What does ctenophore use to capture prey?</t>
  </si>
  <si>
    <t>Who was appointed Genghis Khan's successor?</t>
  </si>
  <si>
    <t>Geologists use a number of field, laboratory, and numerical modeling methods to decipher Earth history and understand the processes that occur on and inside the Earth. In typical geological investigations, geologists use primary information related to petrology (the study of rocks), stratigraphy (the study of sedimentary layers), and structural geology (the study of positions of rock units and their deformation). In many cases, geologists also study modern soils, rivers, landscapes, and glaciers; investigate past and current life and biogeochemical pathways, and use geophysical methods to investigate the subsurface.</t>
  </si>
  <si>
    <t>There are 13 natural reserves in Warsaw – among others, Bielany Forest, Kabaty Woods, Czerniaków Lake. About 15 kilometres (9 miles) from Warsaw, the Vistula river's environment changes strikingly and features a perfectly preserved ecosystem, with a habitat of animals that includes the otter, beaver and hundreds of bird species. There are also several lakes in Warsaw – mainly the oxbow lakes, like Czerniaków Lake, the lakes in the Łazienki or Wilanów Parks, Kamionek Lake. There are lot of small lakes in the parks, but only a few are permanent – the majority are emptied before winter to clean them of plants and sediments.</t>
  </si>
  <si>
    <t>Who did President Kibaki run against?</t>
  </si>
  <si>
    <t>15 kilometres</t>
  </si>
  <si>
    <t>When was the confederation of the Rhine?</t>
  </si>
  <si>
    <t>Who ordered Loudoun to attack Louisbourg?</t>
  </si>
  <si>
    <t>Who was Tesla influenced by while in school?</t>
  </si>
  <si>
    <t>sake of research</t>
  </si>
  <si>
    <t>self and non-self molecules</t>
  </si>
  <si>
    <t>more like true larvae</t>
  </si>
  <si>
    <t>What group did Luther want to understand his works?</t>
  </si>
  <si>
    <t>Where do the branches Waal and Nederrijn-Lek discharge to?</t>
  </si>
  <si>
    <t>1969</t>
  </si>
  <si>
    <t>Chéngjísī Hán,</t>
  </si>
  <si>
    <t>What area in modern-day Canada received Huguenot immigrants?</t>
  </si>
  <si>
    <t>1264</t>
  </si>
  <si>
    <t>After Washington had returned to Williamsburg, Dinwiddie ordered him to lead a larger force to assist Trent in his work. While en route, Washington learned of Trent's retreat. Since Tanaghrisson had promised support to the British, Washington continued toward Fort Duquesne and met with the Mingo leader. Learning of a French scouting party in the area, Washington, with Tanaghrisson and his party, surprised the Canadians on May 28 in what became known as the Battle of Jumonville Glen. They killed many of the Canadians, including their commanding officer, Joseph Coulon de Jumonville, whose head was reportedly split open by Tanaghrisson with a tomahawk. The historian Fred Anderson suggests that Tanaghrisson was acting to gain the support of the British and regain authority over his own people. They had been inclined to support the French, with whom they had long trading relationships. One of Tanaghrisson's men told Contrecoeur that Jumonville had been killed by British musket fire.</t>
  </si>
  <si>
    <t>Alex Haley</t>
  </si>
  <si>
    <t>Who designed the garden for the University Library?</t>
  </si>
  <si>
    <t>In which cardinal direction from Los Angeles is San Diego?</t>
  </si>
  <si>
    <t>What did Newton's mechanics affect?</t>
  </si>
  <si>
    <t>ctDNA, or cpDNA</t>
  </si>
  <si>
    <t>early 11th century</t>
  </si>
  <si>
    <t>financier J. P. Morgan</t>
  </si>
  <si>
    <t>biomolecules</t>
  </si>
  <si>
    <t>What folks are likely to use words like "howay" and "hadaway"?</t>
  </si>
  <si>
    <t>154</t>
  </si>
  <si>
    <t>Where can the entire sedimentary sequence of the Grand Canyon be seen in less than the length of a meter?</t>
  </si>
  <si>
    <t>The bend on the Rhine goes from the West to what direction?</t>
  </si>
  <si>
    <t>First World War.</t>
  </si>
  <si>
    <t>In what year did the Norman's invade at Bannow Bay?</t>
  </si>
  <si>
    <t>John Wesley and Charles Wesley</t>
  </si>
  <si>
    <t>the 50-yard line</t>
  </si>
  <si>
    <t>The USGS</t>
  </si>
  <si>
    <t>5½</t>
  </si>
  <si>
    <t>sentence</t>
  </si>
  <si>
    <t>To what extent did Fermat confirm the validity of Fermat numbers?</t>
  </si>
  <si>
    <t>by purposely damaging their photosynthetic system</t>
  </si>
  <si>
    <t>occurrence</t>
  </si>
  <si>
    <t>Writers whose papers are in the library are as diverse as Charles Dickens and Beatrix Potter. Illuminated manuscripts in the library dating from the 12th to 16th centuries include: the Eadwine Psalter[citation needed], Canterbury; Pocket Book of Hours, Reims; Missal from the Royal Abbey of Saint Denis, Paris; the Simon Marmion Book of Hours, Bruges; 1524 Charter illuminated by Lucas Horenbout, London; the Armagnac manuscript of the trial and rehabilitation of Joan of Arc, Rouen. also the Victorian period is represented by William Morris.</t>
  </si>
  <si>
    <t>the foot of the mast</t>
  </si>
  <si>
    <t>Rhine</t>
  </si>
  <si>
    <t>What area in South Africa accepted Huguenot colonists?</t>
  </si>
  <si>
    <t>United States Census Bureau</t>
  </si>
  <si>
    <t>was a form of anthrax</t>
  </si>
  <si>
    <t>creates immunological memory</t>
  </si>
  <si>
    <t>How many total yards did Denver gain?</t>
  </si>
  <si>
    <t>Stagg Field</t>
  </si>
  <si>
    <t>What does wealth disparity make the economy more prone to?</t>
  </si>
  <si>
    <t>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The Swiss cities, however, did not sign these agreements.</t>
  </si>
  <si>
    <t>mannerist architecture</t>
  </si>
  <si>
    <t>gradient of potentials</t>
  </si>
  <si>
    <t>Nurses</t>
  </si>
  <si>
    <t>The flushing action of what expels pathogens from the eyes?</t>
  </si>
  <si>
    <t>expect the death of a heretic</t>
  </si>
  <si>
    <t>TFEU article 294</t>
  </si>
  <si>
    <t>Frank Burnet</t>
  </si>
  <si>
    <t>closed system</t>
  </si>
  <si>
    <t>What was the teacher's role while the child was with them?</t>
  </si>
  <si>
    <t>Why did France choose to give up continental lands?</t>
  </si>
  <si>
    <t>1.7 billion years ago</t>
  </si>
  <si>
    <t>Doctor Who and the Curse of Fatal Death</t>
  </si>
  <si>
    <t>What do chloroplasts in mesophyll cells store carbon dioxide in?</t>
  </si>
  <si>
    <t>Sunni pan-Islamism</t>
  </si>
  <si>
    <t>€25,000 per year</t>
  </si>
  <si>
    <t>Who was rewarded with building the CSM?</t>
  </si>
  <si>
    <t>What does it mean when currencies are left to "float?"</t>
  </si>
  <si>
    <t>conservative Muslims</t>
  </si>
  <si>
    <t>After reopening, where will the art pieces be located after restoration?</t>
  </si>
  <si>
    <t>How much did Disney sell it's stake in Eurosport for in 2000?</t>
  </si>
  <si>
    <t>catalytic cascade</t>
  </si>
  <si>
    <t>granted the Protestants equality with Catholics</t>
  </si>
  <si>
    <t>internal strife</t>
  </si>
  <si>
    <t>Mayow</t>
  </si>
  <si>
    <t>Which material is the Becket Casket made from?</t>
  </si>
  <si>
    <t>abuse of dominant position</t>
  </si>
  <si>
    <t>Under intense light</t>
  </si>
  <si>
    <t>major national and international patient information projects</t>
  </si>
  <si>
    <t>use the proceedings as a forum</t>
  </si>
  <si>
    <t>discontinued</t>
  </si>
  <si>
    <t>What does the chloroplast peripheral reticulum do?</t>
  </si>
  <si>
    <t>bits of metal</t>
  </si>
  <si>
    <t>To whom did Toghrul refuse to give his daughter in marriage, angering Temüjin?</t>
  </si>
  <si>
    <t>journalism</t>
  </si>
  <si>
    <t>Article 5</t>
  </si>
  <si>
    <t>the 1990s</t>
  </si>
  <si>
    <t>What was he hoping to stimulate with the toe squishing?</t>
  </si>
  <si>
    <t>Confucian governmental practices and examinations</t>
  </si>
  <si>
    <t>higher</t>
  </si>
  <si>
    <t>Elisabeth Sladen</t>
  </si>
  <si>
    <t>What do some researchers believe is the earliest-diverging animal phylum is?</t>
  </si>
  <si>
    <t>regional cities</t>
  </si>
  <si>
    <t>Along with giving the offender his "just deserts", achieving crime control via incapacitation and deterrence is a major goal of criminal punishment. Brownlee argues, "Bringing in deterrence at the level of justification detracts from the law’s engagement in a moral dialogue with the offender as a rational person because it focuses attention on the threat of punishment and not the moral reasons to follow this law." Leonard Hubert Hoffmann writes, "In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t>
  </si>
  <si>
    <t>These chloroplasts, which can be traced back directly to a cyanobacterial ancestor, are known as primary plastids ("plastid" in this context means almost the same thing as chloroplast). All primary chloroplasts belong to one of three chloroplast lineages—the glaucophyte chloroplast lineage, the rhodophyte, or red algal chloroplast lineage, or the chloroplastidan, or green chloroplast lineage. The second two are the largest, and the green chloroplast lineage is the one that contains the land plants.</t>
  </si>
  <si>
    <t>a certain number of teacher's salaries are paid by the State</t>
  </si>
  <si>
    <t>new and enlarged bridges, a shuttle service and/or a tram</t>
  </si>
  <si>
    <t>trunnion</t>
  </si>
  <si>
    <t>3:00 a.m</t>
  </si>
  <si>
    <t>the steps of Nairobi's Harambee House</t>
  </si>
  <si>
    <t>Kenya won several medals during the Beijing Olympics, six gold, four silver and four bronze, making it Africa's most successful nation in the 2008 Olympics. New athletes gained attention, such as Pamela Jelimo, the women's 800m gold medalist who went ahead to win the IAAF Golden League jackpot, and Samuel Wanjiru who won the men's marathon. Retired Olympic and Commonwealth Games champion Kipchoge Keino helped usher in Kenya's ongoing distance dynasty in the 1970s and was followed by Commonwealth Champion Henry Rono's spectacular string of world record performances. Lately, there has been controversy in Kenyan athletics circles, with the defection of a number of Kenyan athletes to represent other countries, chiefly Bahrain and Qatar. The Kenyan Ministry of Sports has tried to stop the defections, but they have continued anyway, with Bernard Lagat the latest, choosing to represent the United States. Most of these defections occur because of economic or financial factors. Some elite Kenyan runners who cannot qualify for their country's strong national team find it easier to qualify by running for other countries.[citation needed]</t>
  </si>
  <si>
    <t>How do both chloroplast membranes compare to cyanobacterium's original double membranes?</t>
  </si>
  <si>
    <t>What is another term for the pivot mounting?</t>
  </si>
  <si>
    <t>a "unit</t>
  </si>
  <si>
    <t>Spain</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</si>
  <si>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</si>
  <si>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Temecula and Murrieta</t>
  </si>
  <si>
    <t>UCLA</t>
  </si>
  <si>
    <t>What is the Proto-Germanic adoption of the Gaulish name of the Rhine?</t>
  </si>
  <si>
    <t>Doctor Who is a British science-fiction television programme produced by the BBC since 1963. The programme depicts the adventures of the Doctor, a Time Lord—a space and time-travelling humanoid alien. He explores the universe in his TARDIS, a sentient time-travelling space ship. Its exterior appears as a blue British police box, which was a common sight in Britain in 1963 when the series first aired. Accompanied by companions, the Doctor combats a variety of foes, while working to save civilisations and help people in need.</t>
  </si>
  <si>
    <t>Dublin</t>
  </si>
  <si>
    <t>Civil disobedients' refraining from violence is also said to help preserve society's tolerance of civil disobedience</t>
  </si>
  <si>
    <t>Were the centers profitable</t>
  </si>
  <si>
    <t>According to polynomial time reduction squaring can ultimately be logically reduced to what?</t>
  </si>
  <si>
    <t>What does connecting different Sky Q boxes enable them to do?</t>
  </si>
  <si>
    <t>become utterly debased</t>
  </si>
  <si>
    <t>the Factory Project</t>
  </si>
  <si>
    <t>Turing machine</t>
  </si>
  <si>
    <t>complete list of primes up to  is known</t>
  </si>
  <si>
    <t>signing of the Treaty of Paris on 10 February 1763</t>
  </si>
  <si>
    <t>77</t>
  </si>
  <si>
    <t>allow for U.S authorship of a 'new world' which was to be characterized by geographical order</t>
  </si>
  <si>
    <t>Which regions have temperate climates?</t>
  </si>
  <si>
    <t>What is a mechanical barrier in insects that protects the insect?</t>
  </si>
  <si>
    <t>Glucocorticoids</t>
  </si>
  <si>
    <t>2015</t>
  </si>
  <si>
    <t>voluminous</t>
  </si>
  <si>
    <t>Who recovered the strip ball?</t>
  </si>
  <si>
    <t>5,000</t>
  </si>
  <si>
    <t>Luther's 1524 creedal hymn "Wir glauben all an einen Gott" ("We All Believe in One True God") is a three-stanza confession of faith prefiguring Luther's 1529 three-part explanation of the Apostles' Creed in the Small Catechism. Luther's hymn, adapted and expanded from an earlier German creedal hymn, gained widespread use in vernacular Lutheran liturgies as early as 1525. Sixteenth-century Lutheran hymnals also included "Wir glauben all" among the catechetical hymns, although 18th-century hymnals tended to label the hymn as Trinitarian rather than catechetical, and 20th-century Lutherans rarely use the hymn because of the perceived difficulty of its tune.</t>
  </si>
  <si>
    <t>coining the modern name packet switching</t>
  </si>
  <si>
    <t>What happens when the immune system less active than normal?</t>
  </si>
  <si>
    <t>What aspects of life does Islamism seek to integrate itself into?</t>
  </si>
  <si>
    <t>As a result, chloroplasts in C4 mesophyll cells and bundle sheath cells are specialized for each stage of photosynthesis. In mesophyll cells, chloroplasts are specialized for the light reactions, so they lack rubisco, and have normal grana and thylakoids, which they use to make ATP and NADPH, as well as oxygen. They store CO2 in a four-carbon compound, which is why the process is called C4 photosynthesis. The four-carbon compound is then transported to the bundle sheath chloroplasts, where it drops off CO2 and returns to the mesophyll. Bundle sheath chloroplasts do not carry out the light reactions, preventing oxygen from building up in them and disrupting rubisco activity. Because of this, they lack thylakoids organized into grana stacks—though bundle sheath chloroplasts still have free-floating thylakoids in the stroma where they still carry out cyclic electron flow, a light-driven method of synthesizing ATP to power the Calvin cycle without generating oxygen. They lack photosystem II, and only have photosystem I—the only protein complex needed for cyclic electron flow. Because the job of bundle sheath chloroplasts is to carry out the Calvin cycle and make sugar, they often contain large starch grains.</t>
  </si>
  <si>
    <t>The LOR method had the advantage of allowing the lander spacecraft to be used as a "lifeboat" in the event of a failure of the command ship. Some documents prove this theory was discussed before and after the method was chosen. A 1964 MSC study concluded, "The LM [as lifeboat] ... was finally dropped, because no single reasonable CSM failure could be identified that would prohibit use of the SPS." Ironically, just such a failure happened on Apollo 13 when an oxygen tank explosion left the command ship without electrical power. The Lunar Module provided propulsion, electrical power and life support to get the crew home safely.</t>
  </si>
  <si>
    <t>Unlike confirmation and profession of faith, what is a sacrament in the UMC?</t>
  </si>
  <si>
    <t>After the Dornbirner Ach was diverted, where does the Rhine flow now?</t>
  </si>
  <si>
    <t>May through September</t>
  </si>
  <si>
    <t>452.8 ft</t>
  </si>
  <si>
    <t>How much of Victoria's farmland grows hay?</t>
  </si>
  <si>
    <t>Search the Collections</t>
  </si>
  <si>
    <t>The Bank of America Tower was previously known as what?</t>
  </si>
  <si>
    <t>Excellent job opportunities</t>
  </si>
  <si>
    <t>What rules does the IPCC have to follow?</t>
  </si>
  <si>
    <t>Gamma delta T cells share the characteristics of what other types of T cells?</t>
  </si>
  <si>
    <t>Brazilian National Institute of Amazonian Research</t>
  </si>
  <si>
    <t>How many divisions are required to verify the primality of the number 37?</t>
  </si>
  <si>
    <t>Book of Discipline</t>
  </si>
  <si>
    <t>Jean Auguste Dominique Ingres,</t>
  </si>
  <si>
    <t>Khasar</t>
  </si>
  <si>
    <t>distributed</t>
  </si>
  <si>
    <t>What does ATP store?</t>
  </si>
  <si>
    <t>the entire length of the lake</t>
  </si>
  <si>
    <t>What can proplastids become?</t>
  </si>
  <si>
    <t>no</t>
  </si>
  <si>
    <t>As of the census of 2000, there were 427,652 people, 140,079 households, and 97,915 families residing in the city. The population density was 4,097.9 people per square mile (1,582.2/km²). There were 149,025 housing units at an average density of 1,427.9 square miles (3,698 km2). The racial makeup of the city was 50.2% White, 8.4% Black or African American, 1.6% Native American, 11.2% Asian (about a third of which is Hmong), 0.1% Pacific Islander, 23.4% from other races, and 5.2% from two or more races. Hispanic or Latino of any race were 39.9% of the population.</t>
  </si>
  <si>
    <t>Word and Image department</t>
  </si>
  <si>
    <t>According to the Riemann hypothesis, all zeroes of the ζ-function have real part equal to 1/2 except for what values of s?</t>
  </si>
  <si>
    <t>Von Miller</t>
  </si>
  <si>
    <t>the 1855 colonial constitution</t>
  </si>
  <si>
    <t>6 feet 2 inches</t>
  </si>
  <si>
    <t>look at both the possibilities of setting up a second university in Kenya as well as the reforming of the entire education system</t>
  </si>
  <si>
    <t>What did the Islamic State proclaim itself in 2014?</t>
  </si>
  <si>
    <t>How did the Kikuyu people live?</t>
  </si>
  <si>
    <t>another customer might overhear about the drugs that they take</t>
  </si>
  <si>
    <t>Who conceptualized the piston?</t>
  </si>
  <si>
    <t>Which Broncos player intercepted Newton on the Panthers' next set of downs?</t>
  </si>
  <si>
    <t>If you were to take a train west or south out of the city of Fresno, which railroad would you take?</t>
  </si>
  <si>
    <t>pre-Heian Imperial court</t>
  </si>
  <si>
    <t>SFX magazine</t>
  </si>
  <si>
    <t>How many NFL teams have finished the regular season with one loss?</t>
  </si>
  <si>
    <t>Voters outside the city limits</t>
  </si>
  <si>
    <t>Barro found there is little relation between income inequality and rates of what?</t>
  </si>
  <si>
    <t>Demaryius Thomas</t>
  </si>
  <si>
    <t>How old was Manning at the beginning of the 2015 season?</t>
  </si>
  <si>
    <t>CYCLADES</t>
  </si>
  <si>
    <t>ABC-DuMont</t>
  </si>
  <si>
    <t>How much of Australia's milk is produced in Victoria?</t>
  </si>
  <si>
    <t>37° 9' 58.23"</t>
  </si>
  <si>
    <t>Who created ABC's Wide World of Sports?</t>
  </si>
  <si>
    <t>Disruptions in sleep can lead to increase in what chronic conditions?</t>
  </si>
  <si>
    <t>When does rain typically fall in Jacksonville?</t>
  </si>
  <si>
    <t>How many teams can boast a 15–1 regular season record?</t>
  </si>
  <si>
    <t>Jamukha, and his protector, Toghrul Khan</t>
  </si>
  <si>
    <t>1206</t>
  </si>
  <si>
    <t>According to Ellen Churchill Semple what type of climate was necessary for humans to become fully human?</t>
  </si>
  <si>
    <t>What was the first point of the Reformation?</t>
  </si>
  <si>
    <t>20th Century Fox, Lionsgate, Paramount Pictures, Universal Studios and Walt Disney Studios paid for movie trailers to be aired during the Super Bowl. Fox paid for Deadpool, X-Men: Apocalypse, Independence Day: Resurgence and Eddie the Eagle, Lionsgate paid for Gods of Egypt, Paramount paid for Teenage Mutant Ninja Turtles: Out of the Shadows and 10 Cloverfield Lane, Universal paid for The Secret Life of Pets and the debut trailer for Jason Bourne and Disney paid for Captain America: Civil War, The Jungle Book and Alice Through the Looking Glass.[citation needed]</t>
  </si>
  <si>
    <t>The Cestida ("belt animals") are ribbon-shaped planktonic animals, with the mouth and aboral organ aligned in the middle of opposite edges of the ribbon. There is a pair of comb-rows along each aboral edge, and tentilla emerging from a groove all along the oral edge, which stream back across most of the wing-like body surface. Cestids can swim by undulating their bodies as well as by the beating of their comb-rows. There are two known species, with worldwide distribution in warm, and warm-temperate waters: Cestum veneris ("Venus' girdle") is among the largest ctenophores – up to 1.5 meters (4.9 ft) long, and can undulate slowly or quite rapidly. Velamen parallelum, which is typically less than 20 centimeters (0.66 ft) long, can move much faster in what has been described as a "darting motion".</t>
  </si>
  <si>
    <t>Tower District</t>
  </si>
  <si>
    <t>longitudinal waves</t>
  </si>
  <si>
    <t>Rhind</t>
  </si>
  <si>
    <t>Nonconservative forces other than friction</t>
  </si>
  <si>
    <t>northern China</t>
  </si>
  <si>
    <t>Kenya has proven deposits of oil in Turkana and the commercial viability was just discovered. Tullow Oil estimates Kenya's oil reserves to be around 10 billion barrels. Exploration is still continuing to determine if there are more reserves. Kenya currently imports all crude petroleum requirements. Kenya, east Africa's largest economy, has no strategic reserves and relies solely on oil marketers' 21-day oil reserves required under industry regulations. Petroleum accounts for 20% to 25% of the national import bill.</t>
  </si>
  <si>
    <t>What is used by certain wealthy groups to obtain policies financially beneficial for them?</t>
  </si>
  <si>
    <t>Amherst</t>
  </si>
  <si>
    <t>In what year did Tesla go to Budapest?</t>
  </si>
  <si>
    <t>Riverside</t>
  </si>
  <si>
    <t>What job did Tesla's father have in Gospic?</t>
  </si>
  <si>
    <t>a number of stages</t>
  </si>
  <si>
    <t>Which's of Genghis Khan's successors could not be successor because of his age?</t>
  </si>
  <si>
    <t>the Catholic Church in the region</t>
  </si>
  <si>
    <t>What is reduced by using plastid transformation for gene modification?</t>
  </si>
  <si>
    <t>Were the tapes able to be restored and processed without destroying historical legitimacy or did some aspects of the tapes lose legitimacy?</t>
  </si>
  <si>
    <t>Jamboree Business Parks belongs to which business center?</t>
  </si>
  <si>
    <t>What band is considered by many to be the first black metal group?</t>
  </si>
  <si>
    <t>Who headlined the Super Bowl 50 halftime show?</t>
  </si>
  <si>
    <t>80%</t>
  </si>
  <si>
    <t>Since 7500 yr ago, a situation with tides and currents, very similar to present has existed. Rates of sea-level rise had dropped so far, that natural sedimentation by the Rhine and coastal processes together, could compensate the transgression by the sea; in the last 7000 years, the coast line was roughly at the same location. In the southern North Sea, due to ongoing tectonic subsidence, the sea level is still rising, at the rate of about 1–3 cm (0.39–1.18 in) per century (1 metre or 39 inches in last 3000 years).</t>
  </si>
  <si>
    <t>a background check and psychiatric evaluation</t>
  </si>
  <si>
    <t>the need for alliances</t>
  </si>
  <si>
    <t>William Smith</t>
  </si>
  <si>
    <t>What was the total number of patents that Tesla had?</t>
  </si>
  <si>
    <t>Westwood One</t>
  </si>
  <si>
    <t>upper Danube</t>
  </si>
  <si>
    <t>45–60 nanometers across</t>
  </si>
  <si>
    <t xml:space="preserve">What app did viewers use to watch the game on their smartphones? </t>
  </si>
  <si>
    <t>What is the name of ESPN's streaming service that is analogous to WATCH ABC?</t>
  </si>
  <si>
    <t>Who is the chair of the IPCC?</t>
  </si>
  <si>
    <t>What protein does Staphylococcus aureus produce to make antibodies ineffective?</t>
  </si>
  <si>
    <t>technology</t>
  </si>
  <si>
    <t>What virus did Walter Reed discover?</t>
  </si>
  <si>
    <t>The influence of India can be seen in which religious art objects from Thailand, Burma and Cambodia?</t>
  </si>
  <si>
    <t>Doctor Who has been satirised and spoofed on many occasions by comedians including Spike Milligan (a Dalek invades his bathroom — Milligan, naked, hurls a soap sponge at it) and Lenny Henry. Jon Culshaw frequently impersonates the Fourth Doctor in the BBC Dead Ringers series. Doctor Who fandom has also been lampooned on programs such as Saturday Night Live, The Chaser's War on Everything, Mystery Science Theater 3000, Family Guy, American Dad!, Futurama, South Park, Community as Inspector Spacetime, The Simpsons and The Big Bang Theory.</t>
  </si>
  <si>
    <t>By 1998, the vBNS had grown to connect more than 100 universities and research and engineering institutions via 12 national points of presence with DS-3</t>
  </si>
  <si>
    <t>lupus erythematosus</t>
  </si>
  <si>
    <t>Tesla Polyphase System</t>
  </si>
  <si>
    <t>The "Big Five" game animals of Africa, that is the lion, leopard, buffalo, rhinoceros, and elephant, can be found in Kenya and in the Masai Mara in particular. A significant population of other wild animals, reptiles and birds can be found in the national parks and game reserves in the country. The annual animal migration occurs between June and September with millions of animals taking part, attracting valuable foreign tourism. Two million wildebeest migrate a distance of 2,900 kilometres (1,802 mi) from the Serengeti in neighbouring Tanzania to the Masai Mara in Kenya, in a constant clockwise fashion, searching for food and water supplies. This Serengeti Migration of the wildebeest is a curious spectacle listed among the 10 Natural Wonders of Africa.</t>
  </si>
  <si>
    <t>dukes</t>
  </si>
  <si>
    <t>How are existing teachers and non-teachers vetted?</t>
  </si>
  <si>
    <t>Terra preta (black earth)</t>
  </si>
  <si>
    <t>luxurious parks and royal gardens</t>
  </si>
  <si>
    <t>1349</t>
  </si>
  <si>
    <t>Who asked Luther to return to the city?</t>
  </si>
  <si>
    <t>What does the Ten Commandments ask of the Christians?</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</si>
  <si>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</si>
  <si>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Who took control of Qara Khitai after fleeing Temüjin's Mongol Empire?</t>
  </si>
  <si>
    <t xml:space="preserve">In what year did Tesla die? </t>
  </si>
  <si>
    <t>Six soundtrack releases have been released since 2005. The first featured tracks from the first two series, the second and third featured music from the third and fourth series respectively. The fourth was released on 4 October 2010 as a two disc special edition and contained music from the 2008–2010 specials (The Next Doctor to End of Time Part 2). The soundtrack for Series 5 was released on 8 November 2010. In February 2011, a soundtrack was released for the 2010 Christmas special: "A Christmas Carol", and in December 2011 the soundtrack for Series 6 was released, both by Silva Screen Records.</t>
  </si>
  <si>
    <t>25 percent</t>
  </si>
  <si>
    <t>Dublin, Cork, Youghal and Waterford</t>
  </si>
  <si>
    <t>What trend increases the organic composition of capital over the long term?</t>
  </si>
  <si>
    <t>various allied groups</t>
  </si>
  <si>
    <t>Tugh Temur</t>
  </si>
  <si>
    <t>In 1935, in an annual birthday celebration interview, Tesla announced a method of transmitting mechanical energy with minimal loss over any terrestrial distance, a related new means of communication, and a method of accurately determining the location of underground mineral deposits.</t>
  </si>
  <si>
    <t>What is similar to literacy that a teacher would teach?</t>
  </si>
  <si>
    <t>CD40 ligand</t>
  </si>
  <si>
    <t>What part of cryptophyte chloroplasts is similar to chlorarachniophytes?</t>
  </si>
  <si>
    <t>The catechism</t>
  </si>
  <si>
    <t>What is the process by which the adaptive immune system is evaded by the chainging of non-essential epitopes called?</t>
  </si>
  <si>
    <t>weekly screenings of all available classic episodes</t>
  </si>
  <si>
    <t>Why did Toghun Temur dismiss Toghtogha?</t>
  </si>
  <si>
    <t>What was the catalyst that created greater interest in renewable resources?</t>
  </si>
  <si>
    <t>three.</t>
  </si>
  <si>
    <t>Denver</t>
  </si>
  <si>
    <t>What stipend do students enrolled in priority courses receive?</t>
  </si>
  <si>
    <t>Upper Rhine Graben</t>
  </si>
  <si>
    <t>NP-complete</t>
  </si>
  <si>
    <t>1237</t>
  </si>
  <si>
    <t>WMO</t>
  </si>
  <si>
    <t>Old Rhine Bridge</t>
  </si>
  <si>
    <t>What includes pressure terms when calculating area in volume?</t>
  </si>
  <si>
    <t>Who criticised the security bill?</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</si>
  <si>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</si>
  <si>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After what higher learning model was the school designed?</t>
  </si>
  <si>
    <t>When forces are from the presence of differnet objects, what law gives symmetry?</t>
  </si>
  <si>
    <t>February 8, 1974</t>
  </si>
  <si>
    <t>Who did Kublai make the ruler of Korea?</t>
  </si>
  <si>
    <t>his cultural contribution</t>
  </si>
  <si>
    <t>more equality</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</si>
  <si>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</si>
  <si>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The popular neighborhood known as the Tower District is centered around the historic Tower Theatre, which is included on the National List of Historic Places. The theater was built in 1939 and is at Olive and Wishon Avenues in the heart of the Tower District. (The name of the theater refers to a well-known landmark water tower, which is actually in another nearby area). The Tower District neighborhood is just north of downtown Fresno proper, and one-half mile south of Fresno City College. Although the neighborhood was known as a residential area prior, the early commercial establishments of the Tower District began with small shops and services that flocked to the area shortly after World War II. The character of small local businesses largely remains today. To some extent, the businesses of the Tower District were developed due to the proximity of the original Fresno Normal School, (later renamed California State University at Fresno). In 1916 the college moved to what is now the site of Fresno City College one-half mile north of the Tower District.</t>
  </si>
  <si>
    <t>How much less steam did the Corliss engine use compared to the Watt engine?</t>
  </si>
  <si>
    <t>Weston</t>
  </si>
  <si>
    <t>the Pittsburgh Steelers</t>
  </si>
  <si>
    <t>Who was the Chairman and CEO of Disney in 2002?</t>
  </si>
  <si>
    <t>to national networks</t>
  </si>
  <si>
    <t>What is the typical annual cost for an Irish private school?</t>
  </si>
  <si>
    <t>his positive role is underrated</t>
  </si>
  <si>
    <t>What cultures were part of Kublai's administration?</t>
  </si>
  <si>
    <t>Chloroplasts' main role is to conduct photosynthesis, where the photosynthetic pigment chlorophyll captures the energy from sunlight and converts it and stores it in the energy-storage molecules ATP and NADPH while freeing oxygen from water. They then use the ATP and NADPH to make organic molecules from carbon dioxide in a process known as the Calvin cycle. Chloroplasts carry out a number of other functions, including fatty acid synthesis, much amino acid synthesis, and the immune response in plants. The number of chloroplasts per cell varies from 1 in algae up to 100 in plants like Arabidopsis and wheat.</t>
  </si>
  <si>
    <t>wireless</t>
  </si>
  <si>
    <t>Gamal Abdul Nasser</t>
  </si>
  <si>
    <t>early 1960s</t>
  </si>
  <si>
    <t>Who designed the  Möllendorff Dinner Service?</t>
  </si>
  <si>
    <t>wheel series Warner Bros. Presents</t>
  </si>
  <si>
    <t>What is the process of adding structure to real property or construction of buildings?</t>
  </si>
  <si>
    <t>What language did the Court of Justice accept to be required to teach in a Dublin college in Groner v Minister for Education?</t>
  </si>
  <si>
    <t>two or more</t>
  </si>
  <si>
    <t>typhus, smallpox and respiratory infections</t>
  </si>
  <si>
    <t>"design build" contract</t>
  </si>
  <si>
    <t>to gain the support of the British and regain authority over his own people</t>
  </si>
  <si>
    <t>What devices have been credited as the moving force of the Industrial Revolution?</t>
  </si>
  <si>
    <t>life expectancy is lower</t>
  </si>
  <si>
    <t>lack of understanding of the legal ramifications,</t>
  </si>
  <si>
    <t>What spacecraft did the Soviets use to send animals to space and around the moon's orbit?</t>
  </si>
  <si>
    <t>along the St. Lawrence River valley</t>
  </si>
  <si>
    <t>opposition to the decisions of non-governmental agencies such as trade unions, banks, and private universities</t>
  </si>
  <si>
    <t>ATL, NUT or NASUWT</t>
  </si>
  <si>
    <t>Zorro</t>
  </si>
  <si>
    <t>What part of Luther's career was one of his most productive?</t>
  </si>
  <si>
    <t>Tesla</t>
  </si>
  <si>
    <t>to complete the construction of Wardenclyffe.</t>
  </si>
  <si>
    <t>At what rate is Orange County developing its business centers?</t>
  </si>
  <si>
    <t>What Khitan leader defected to the Mongols?</t>
  </si>
  <si>
    <t>assuming the task of interpreting the treaties, and accelerating economic and political integration</t>
  </si>
  <si>
    <t>legislation can be blocked by a majority in Parliament, a minority in the Council, and a majority in the Commission</t>
  </si>
  <si>
    <t>Luther came to understand justification as entirely the work of God. This teaching by Luther was clearly expressed in his 1525 publication On the Bondage of the Will, which was written in response to On Free Will by Desiderius Erasmus (1524). Luther based his position on predestination on St. Paul's epistle to the Ephesians 2:8–10. Against the teaching of his day that the righteous acts of believers are performed in cooperation with God, Luther wrote that Christians receive such righteousness entirely from outside themselves; that righteousness not only comes from Christ but actually is the righteousness of Christ, imputed to Christians (rather than infused into them) through faith. "That is why faith alone makes someone just and fulfills the law," he wrote. "Faith is that which brings the Holy Spirit through the merits of Christ." Faith, for Luther, was a gift from God; the experience of being justified by faith was "as though I had been born again." His entry into Paradise, no less, was a discovery about "the righteousness of God" – a discovery that "the just person" of whom the Bible speaks (as in Romans 1:17) lives by faith. He explained his concept of "justification" in the Smalcald Articles:</t>
  </si>
  <si>
    <t>Des Moines College, Kalamazoo College, Butler University, and Stetson University</t>
  </si>
  <si>
    <t>Isaac Newton</t>
  </si>
  <si>
    <t>There are eight rows of combs that run from near the mouth to the opposite end, and are spaced evenly round the body. The "combs" beat in a metachronal rhythm rather like that of a Mexican wave. From each balancer in the statocyst a ciliary groove runs out under the dome and then splits to connect with two adjacent comb rows, and in some species runs all the way along the comb rows. This forms a mechanical system for transmitting the beat rhythm from the combs to the balancers, via water disturbances created by the cilia.</t>
  </si>
  <si>
    <t>Where did Tesla return to in 1873?</t>
  </si>
  <si>
    <t>Iran has assisted what type of groups in Iraq?</t>
  </si>
  <si>
    <t>infantry</t>
  </si>
  <si>
    <t>Educational Institute of Scotland</t>
  </si>
  <si>
    <t>Christmas Eve</t>
  </si>
  <si>
    <t>What persons were not allowed to settle in New France?</t>
  </si>
  <si>
    <t>small</t>
  </si>
  <si>
    <t>In 2010</t>
  </si>
  <si>
    <t>around 850</t>
  </si>
  <si>
    <t>Who does not take a position on the canonicity of Doctor Who stories by other media?</t>
  </si>
  <si>
    <t>A new arrangement of the theme, once again by Gold, was introduced in the 2007 Christmas special episode, "Voyage of the Damned"; Gold returned as composer for the 2010 series. He was responsible for a new version of the theme which was reported to have had a hostile reception from some viewers. In 2011, the theme tune charted at number 228 of radio station Classic FM's Hall of Fame, a survey of classical music tastes. A revised version of Gold's 2010 arrangement had its debut over the opening titles of the 2012 Christmas special "The Snowmen", and a further revision of the arrangement was made for the 50th Anniversary special "The Day of the Doctor" in November 2013.[citation needed]</t>
  </si>
  <si>
    <t>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t>
  </si>
  <si>
    <t>What has the tendency to increase wages in a field or job position?</t>
  </si>
  <si>
    <t>giving</t>
  </si>
  <si>
    <t>Newcomen</t>
  </si>
  <si>
    <t>service to the neighbor</t>
  </si>
  <si>
    <t>relatively large protein complexes</t>
  </si>
  <si>
    <t>How much has global mean surface air temperature changed in the last century?</t>
  </si>
  <si>
    <t>an occupancy permit</t>
  </si>
  <si>
    <t>How many yards did the interception gain when the ball was tipped away from Manning?</t>
  </si>
  <si>
    <t>What type of movement is the Muslim Brotherhood?</t>
  </si>
  <si>
    <t>What flood impacted the Meuse?</t>
  </si>
  <si>
    <t>entirely symbolic</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</si>
  <si>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</si>
  <si>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1966</t>
  </si>
  <si>
    <t>The image of the TARDIS has become firmly linked to the show in the public's consciousness; BBC scriptwriter Anthony Coburn, who lived in the resort of Herne Bay, Kent, was one of the people who conceived the idea of a police box as a time machine. In 1996, the BBC applied for a trade mark to use the TARDIS' blue police box design in merchandising associated with Doctor Who. In 1998, the Metropolitan Police Authority filed an objection to the trade mark claim; but in 2002, the Patent Office ruled in favour of the BBC.</t>
  </si>
  <si>
    <t>Who was given the esteemed status of MVP for Super Bowl 50?</t>
  </si>
  <si>
    <t>What was the significance of British win?</t>
  </si>
  <si>
    <t>Against what does reactive oxygen play in plant defense?</t>
  </si>
  <si>
    <t>In 1785 James Hutton presented what paper to the Royal Society of Edinburgh?</t>
  </si>
  <si>
    <t>Chuck Howley</t>
  </si>
  <si>
    <t>Nonconservative</t>
  </si>
  <si>
    <t>What was the Presidential Working Party on the Second University commissioned to do?</t>
  </si>
  <si>
    <t>What company reached a deal to also stream its ABC affiliates?</t>
  </si>
  <si>
    <t>held secular leanings or who had introduced or promoted Western/foreign ideas and practices into Islamic societies</t>
  </si>
  <si>
    <t>Which mission did Schmitt finally land on the moon?</t>
  </si>
  <si>
    <t>The Parish Church of St Andrew is</t>
  </si>
  <si>
    <t>strong</t>
  </si>
  <si>
    <t>his butchery</t>
  </si>
  <si>
    <t>Ctenophora are less complex than which other phylum?</t>
  </si>
  <si>
    <t>Count Ludwig von Nassau-Saarbrücken</t>
  </si>
  <si>
    <t>When was Operation Market Garden?</t>
  </si>
  <si>
    <t>eighteenth century,</t>
  </si>
  <si>
    <t>When was the Rhine crisis?</t>
  </si>
  <si>
    <t>Where did American troops remain stationed after Saddam's defeat?</t>
  </si>
  <si>
    <t>Viking</t>
  </si>
  <si>
    <t>1948</t>
  </si>
  <si>
    <t>Susan Foreman</t>
  </si>
  <si>
    <t>primes that is unique up to ordering</t>
  </si>
  <si>
    <t>Untersee</t>
  </si>
  <si>
    <t>The Computer Science Network</t>
  </si>
  <si>
    <t>waxy cuticle</t>
  </si>
  <si>
    <t>October 1948</t>
  </si>
  <si>
    <t>Throughout the centuries, the Kenyan Coast has played host to many merchants and explorers. Among the cities that line the Kenyan coast is the City of Malindi. It has remained an important Swahili settlement since the 14th century and once rivalled Mombasa for dominance in the African Great Lakes region. Malindi has traditionally been a friendly port city for foreign powers. In 1414, the Chinese trader and explorer Zheng He representing the Ming Dynasty visited the East African coast on one of his last 'treasure voyages'. Malindi authorities welcomed the Portuguese explorer Vasco da Gama in 1498.</t>
  </si>
  <si>
    <t>“capability deprivation”</t>
  </si>
  <si>
    <t>What type of destination is the area around Grey's Monument?</t>
  </si>
  <si>
    <t>decrease in the price of skilled labor</t>
  </si>
  <si>
    <t>understates the uncertainty associated with climate models</t>
  </si>
  <si>
    <t>the tax rate</t>
  </si>
  <si>
    <t>On 6 November 1915, a Reuters news agency report from London had the 1915 Nobel Prize in Physics awarded to Thomas Edison and Nikola Tesla; however, on 15 November, a Reuters story from Stockholm stated the prize that year was being awarded to Sir William Henry Bragg and William Lawrence Bragg "for their services in the analysis of crystal structure by means of X-rays.":245 There were unsubstantiated rumors at the time that Tesla and/or Edison had refused the prize.:245 The Nobel Foundation said, "Any rumor that a person has not been given a Nobel Prize because he has made known his intention to refuse the reward is ridiculous"; a recipient could only decline a Nobel Prize after he is announced a winner.:245</t>
  </si>
  <si>
    <t>rationing</t>
  </si>
  <si>
    <t>naval Battle of the Restigouche</t>
  </si>
  <si>
    <t>What is needed to pack electrons densely together?</t>
  </si>
  <si>
    <t>$5 million in cash</t>
  </si>
  <si>
    <t>What year did the Denver Broncos secure a Super Bowl title for the third time?</t>
  </si>
  <si>
    <t>Acura</t>
  </si>
  <si>
    <t>What famous July Fourth holiday movie did Fox pay to advertise a sequel of during the Super Bowl?</t>
  </si>
  <si>
    <t>quick and decisive</t>
  </si>
  <si>
    <t>greater equality but not per capita income</t>
  </si>
  <si>
    <t>Who lives no longer on average than Greeks and New Zealanders?</t>
  </si>
  <si>
    <t>about twice as much</t>
  </si>
  <si>
    <t>Of what were materials that left little residue thought to contain?</t>
  </si>
  <si>
    <t>Carolina</t>
  </si>
  <si>
    <t>Who was the male singer who performed as a special guest during Super Bowl 50?</t>
  </si>
  <si>
    <t>When do the stated Treaties apply?</t>
  </si>
  <si>
    <t>colonies</t>
  </si>
  <si>
    <t>Seamans</t>
  </si>
  <si>
    <t>What do beroids typically eat?</t>
  </si>
  <si>
    <t>the danger</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</si>
  <si>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</si>
  <si>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What do the three richest people in the world posses more of than the lowest 48 nations together?</t>
  </si>
  <si>
    <t>Which two religions did Tesla express respect for?</t>
  </si>
  <si>
    <t>by stimulating the growth of local seed production and agro-dealer networks for distribution and marketing</t>
  </si>
  <si>
    <t>assimilation</t>
  </si>
  <si>
    <t>The Hawaiian Islands are made up almost entirely of what?</t>
  </si>
  <si>
    <t>Tesla would be killed through overwork</t>
  </si>
  <si>
    <t>How many drugs approved by the FDA in 2013 were specialty drugs?</t>
  </si>
  <si>
    <t>Wisdom, Compassion, Justice and Integrity</t>
  </si>
  <si>
    <t>a small portion of the population lives off unearned property income</t>
  </si>
  <si>
    <t>Pittsburgh Steelers</t>
  </si>
  <si>
    <t>What bacteria lives inside a protective capsule that serves to prevent cell lysis?</t>
  </si>
  <si>
    <t>The mayor of Warsaw is called President. Generally, in Poland, the mayors of bigger cities are called presidents – i.e. such cities, which have over 100,000 people or these, where already was president before 1990. The first Warsaw President was Jan Andrzej Menich (1695–1696). Between 1975 and 1990 the Warsaw Presidents was simultaneously the Warsaw Voivode. Since 1990 the President of Warsaw had been elected by the City council. In the years of 1994–1999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</si>
  <si>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broken wing and leg</t>
  </si>
  <si>
    <t>use the proceedings as a forum to inform the jury and the public of the political circumstances surrounding the case</t>
  </si>
  <si>
    <t>17,786,419</t>
  </si>
  <si>
    <t>cholera</t>
  </si>
  <si>
    <t>Where was the location of the 2003 Rose revolution?</t>
  </si>
  <si>
    <t>Evidence for what types of structures were found in 2003?</t>
  </si>
  <si>
    <t>What is the ABC affiliate that serves Lima, Ohio?</t>
  </si>
  <si>
    <t>Apologie" of William the Silent</t>
  </si>
  <si>
    <t>What Panther defender was called for holding on third down?</t>
  </si>
  <si>
    <t>protection and integrated its members into his own tribe.</t>
  </si>
  <si>
    <t>What type of education is home schooling?</t>
  </si>
  <si>
    <t>One of the oldest depictions of civil disobedience is in Sophocles' play Antigone, in which Antigone, one of the daughters of former King of Thebes, Oedipus, defies Creon, the current King of Thebes, who is trying to stop her from giving her brother Polynices a proper burial. She gives a stirring speech in which she tells him that she must obey her conscience rather than human law. She is not at all afraid of the death he threatens her with (and eventually carries out), but she is afraid of how her conscience will smite her if she does not do this.</t>
  </si>
  <si>
    <t>711,988</t>
  </si>
  <si>
    <t>large-scale Jewish conversion</t>
  </si>
  <si>
    <t>Private Bill Committees</t>
  </si>
  <si>
    <t>Which timeline is further expanded in the fourth scale?</t>
  </si>
  <si>
    <t>What district of Warsaw chose the President between 1994 and 1999?</t>
  </si>
  <si>
    <t>What group bought Cyprus after the Norman conquest?</t>
  </si>
  <si>
    <t>What can a teacher use to help students learn?</t>
  </si>
  <si>
    <t>helical thylakoid</t>
  </si>
  <si>
    <t>the 1950s</t>
  </si>
  <si>
    <t>1080i HD</t>
  </si>
  <si>
    <t>How many 2015 season interceptions did the Panthers' defense get?</t>
  </si>
  <si>
    <t>March 200</t>
  </si>
  <si>
    <t>flammable cabin and space suit materials.</t>
  </si>
  <si>
    <t>Łazienki Park</t>
  </si>
  <si>
    <t>Jacob Van Braam</t>
  </si>
  <si>
    <t>Whenever he encountered British merchants or fur-traders, Céloron informed them of the French claims on the territory and told them to leave</t>
  </si>
  <si>
    <t>iteratively</t>
  </si>
  <si>
    <t>Stadtholder William III of Orange</t>
  </si>
  <si>
    <t>Opposition politicians, human rights groups, and nine Western countries</t>
  </si>
  <si>
    <t>What did Tesla's teachers believe he was doing while in school?</t>
  </si>
  <si>
    <t>declared Japan a "nonfriendly" country</t>
  </si>
  <si>
    <t>Until the early 1980s, industry was a major source of water pollution. Although many plants and factories can be found along the Rhine up into Switzerland, it is along the Lower Rhine that the bulk of them are concentrated, as the river passes the major cities of Cologne, Düsseldorf and Duisburg. Duisburg is the home of Europe's largest inland port and functions as a hub to the sea ports of Rotterdam, Antwerp and Amsterdam. The Ruhr, which joins the Rhine in Duisburg, is nowadays a clean river, thanks to a combination of stricter environmental controls, a transition from heavy industry to light industry and cleanup measures, such as the reforestation of Slag and brownfields. The Ruhr currently provides the region with drinking water. It contributes 70 m3/s (2,500 cu ft/s) to the Rhine. Other rivers in the Ruhr Area, above all, the Emscher, still carry a considerable degree of pollution.</t>
  </si>
  <si>
    <t>estates of the Holy Roman Empire</t>
  </si>
  <si>
    <t>a satellite platform</t>
  </si>
  <si>
    <t>By what process can active immunity be generated in an artificial manner?</t>
  </si>
  <si>
    <t>What did Tesla's device work from the output of?</t>
  </si>
  <si>
    <t>When did the four rightly guided Caliphs die?</t>
  </si>
  <si>
    <t>Proving that any of these classes are unequal</t>
  </si>
  <si>
    <t>November 1979</t>
  </si>
  <si>
    <t>In what series was the Master reintroduced?</t>
  </si>
  <si>
    <t>an eccentric,</t>
  </si>
  <si>
    <t xml:space="preserve">What was DATANET 1 </t>
  </si>
  <si>
    <t>Approximately how many paintings comprise the museum's collections of South and South-East Asian art?</t>
  </si>
  <si>
    <t>What is the region called that is the largest conurbation of the Rhine?</t>
  </si>
  <si>
    <t>Although Kenya is the most industrially developed country in the African Great Lakes region, manufacturing still accounts for only 14% of the GDP. Industrial activity, concentrated around the three largest urban centres, Nairobi, Mombasa and Kisumu, is dominated by food-processing industries such as grain milling, beer production, and sugarcane crushing, and the fabrication of consumer goods, e.g., vehicles from kits. There is a cement production industry.[citation needed] Kenya has an oil refinery that processes imported crude petroleum into petroleum products, mainly for the domestic market. In addition, a substantial and expanding informal sector commonly referred to as Jua Kali engages in small-scale manufacturing of household goods, motor-vehicle parts, and farm implements.[citation needed]</t>
  </si>
  <si>
    <t>What was the name of the infamous German Gestapo prison?</t>
  </si>
  <si>
    <t>When did the last batch of students that followed the former system graudate?</t>
  </si>
  <si>
    <t>$170 billion</t>
  </si>
  <si>
    <t>fighting horsemen</t>
  </si>
  <si>
    <t>How did the 2001 IPCC report compare to reality on temperature levels?</t>
  </si>
  <si>
    <t>1702 and 1709</t>
  </si>
  <si>
    <t>What year did the the Saints hit a 13-0 record?</t>
  </si>
  <si>
    <t>What are cancerous tumors of the skin known as?</t>
  </si>
  <si>
    <t>7–4–2–3</t>
  </si>
  <si>
    <t>What Doctor Who episode won a Hugo Award in 2010?</t>
  </si>
  <si>
    <t>Archbishop Albrecht of Mainz and Magdeburg</t>
  </si>
  <si>
    <t>Roentgen rays</t>
  </si>
  <si>
    <t xml:space="preserve">What lake connects the Rhine to Lake Constance? </t>
  </si>
  <si>
    <t>multiple access scheme</t>
  </si>
  <si>
    <t>scientific papers and independently documented results from other scientific bodies</t>
  </si>
  <si>
    <t>The Republic of Kenya is named after Mount Kenya. The origin of the name Kenya is not clear, but perhaps linked to the Kikuyu, Embu and Kamba words Kirinyaga, Kirenyaa and Kiinyaa which mean "God's resting place" in all three languages. If so, then the British may not so much have mispronounced it ('Keenya'), as misspelled it. Prehistoric volcanic eruptions of Mount Kenya (now extinct) may have resulted in its association with divinity and creation among the indigenous Bantu ethnic groups, who are the native inhabitants of the agricultural land surrounding Mount Kenya.[original research?]</t>
  </si>
  <si>
    <t>6,000 square kilometres</t>
  </si>
  <si>
    <t>What does corporal punishment cause a student?</t>
  </si>
  <si>
    <t>fertile highlands</t>
  </si>
  <si>
    <t>"Roentgen rays" or "X-Rays"</t>
  </si>
  <si>
    <t xml:space="preserve">What South African Vice Consul did Harvard students blockade the speech of? </t>
  </si>
  <si>
    <t>Who influenced Bismark besides his neighbors?</t>
  </si>
  <si>
    <t>How many total acres is Woodward Park?</t>
  </si>
  <si>
    <t>Because of their soft, gelatinous bodies, ctenophores are extremely rare as fossils, and fossils that have been interpreted as ctenophores have been found only in lagerstätten, places where the environment was exceptionally suited to preservation of soft tissue. Until the mid-1990s only two specimens good enough for analysis were known, both members of the crown group, from the early Devonian (Emsian) period. Three additional putative species were then found in the Burgess Shale and other Canadian rocks of similar age, about 505 million years ago in the mid-Cambrian period. All three apparently lacked tentacles but had between 24 and 80 comb rows, far more than the 8 typical of living species. They also appear to have had internal organ-like structures unlike anything found in living ctenophores. One of the fossil species first reported in 1996 had a large mouth, apparently surrounded by a folded edge that may have been muscular. Evidence from China a year later suggests that such ctenophores were widespread in the Cambrian, but perhaps very different from modern species – for example one fossil's comb-rows were mounted on prominent vanes. The Ediacaran Eoandromeda could putatively represent a comb jelly.</t>
  </si>
  <si>
    <t>to distribute chloroplasts so that they can take shelter behind each other or spread out</t>
  </si>
  <si>
    <t>What answer denotes that an algorithm has accepted an input string?</t>
  </si>
  <si>
    <t>the Charleston Orange district</t>
  </si>
  <si>
    <t>In Scotland, anyone wishing to teach must be registered with the General Teaching Council for Scotland (GTCS). Teaching in Scotland is an all graduate profession and the normal route for graduates wishing to teach is to complete a programme of Initial Teacher Education (ITE) at one of the seven Scottish Universities who offer these courses. Once successfully completed, "Provisional Registration" is given by the GTCS which is raised to "Full Registration" status after a year if there is sufficient evidence to show that the "Standard for Full Registration" has been met.</t>
  </si>
  <si>
    <t>nineteenth</t>
  </si>
  <si>
    <t>What was the capital of Khwarezmia before the Mongol invasion?</t>
  </si>
  <si>
    <t>How many species of Ctenophora have been validated?</t>
  </si>
  <si>
    <t>Professional</t>
  </si>
  <si>
    <t>Where do most teachers get their credentials from?</t>
  </si>
  <si>
    <t>Teacher's colleges certify, govern and enforce what for teachers?</t>
  </si>
  <si>
    <t>Notable alumni in the field of government and politics include the founder of modern community organizing Saul Alinsky, Obama campaign advisor and top political advisor to President Bill Clinton David Axelrod, Attorney General and federal judge Robert Bork, Attorney General Ramsey Clark, Prohibition agent Eliot Ness, Supreme Court Justice John Paul Stevens, Prime Minister of Canada William Lyon Mackenzie King, 11th Prime Minister of Poland Marek Belka, Governor of the Bank of Japan Masaaki Shirakawa, the first female African-American Senator Carol Moseley Braun, United States Senator from Vermont and 2016 Democratic Presidential Candidate Bernie Sanders, and former World Bank President Paul Wolfowitz.</t>
  </si>
  <si>
    <t>5 million people</t>
  </si>
  <si>
    <t>The Colorado experiments had prepared Tesla for the establishment of the trans-Atlantic wireless telecommunications facility known as Wardenclyffe near Shoreham, Long Island.</t>
  </si>
  <si>
    <t>some hornworts and algae</t>
  </si>
  <si>
    <t>Peanuts</t>
  </si>
  <si>
    <t>humoral immunity versus cell-mediated immunity</t>
  </si>
  <si>
    <t>1573</t>
  </si>
  <si>
    <t>What remained an important issue in Scottish national identity for many years?</t>
  </si>
  <si>
    <t>What pushed up the Pyrenees?</t>
  </si>
  <si>
    <t>teacher's colleges</t>
  </si>
  <si>
    <t>Centrum</t>
  </si>
  <si>
    <t>When was Sky Digital launched?</t>
  </si>
  <si>
    <t>What did Luther's area and tradition believe Jews to be guilty of?</t>
  </si>
  <si>
    <t>What conviction did many Poles have regarding how the Varsovians thought of themselves?</t>
  </si>
  <si>
    <t>ceramic stoves</t>
  </si>
  <si>
    <t>immunoinformatics</t>
  </si>
  <si>
    <t>override the chlorophyll green</t>
  </si>
  <si>
    <t>How many forced fumbles did Von Miller have during the Super Bowl 50 game?</t>
  </si>
  <si>
    <t>What are two complexity classes between L and P?</t>
  </si>
  <si>
    <t>first millennium AD</t>
  </si>
  <si>
    <t>What year did Doctor Who finally return to television?</t>
  </si>
  <si>
    <t>President Agnew</t>
  </si>
  <si>
    <t>signals from the chloroplast that regulate gene expression in the nucleus</t>
  </si>
  <si>
    <t>principle of nonviolent protest</t>
  </si>
  <si>
    <t>US is concerned about confrontation of the Middle East with which other country?</t>
  </si>
  <si>
    <t>the Court of Justice of the European Union</t>
  </si>
  <si>
    <t>Where was the Space Task Group located?</t>
  </si>
  <si>
    <t>until after the end of the Mexican War</t>
  </si>
  <si>
    <t>How do students rate teachers that they feel are enthusiastic?</t>
  </si>
  <si>
    <t>High pressure steam engines were small enough that they could be used in what application?</t>
  </si>
  <si>
    <t>108</t>
  </si>
  <si>
    <t>What two scientists were proponents of the humoral theory of immunity?</t>
  </si>
  <si>
    <t>Who caused the dissolution of the Holy Roman Empire?</t>
  </si>
  <si>
    <t>Luther justified his opposition to the rebels on three grounds. First, in choosing violence over lawful submission to the secular government, they were ignoring Christ's counsel to "Render unto Caesar the things that are Caesar's"; St. Paul had written in his epistle to the Romans 13:1–7 that all authorities are appointed by God and therefore should not be resisted. This reference from the Bible forms the foundation for the doctrine known as the Divine Right of Kings, or, in the German case, the divine right of the princes. Second, the violent actions of rebelling, robbing, and plundering placed the peasants "outside the law of God and Empire", so they deserved "death in body and soul, if only as highwaymen and murderers." Lastly, Luther charged the rebels with blasphemy for calling themselves "Christian brethren" and committing their sinful acts under the banner of the Gospel.</t>
  </si>
  <si>
    <t>New Holland</t>
  </si>
  <si>
    <t>Toyota Hilux</t>
  </si>
  <si>
    <t>cortisol and catecholamines</t>
  </si>
  <si>
    <t>According to Wilson's theorem, what factorial must be divisible by n if some integer n &gt; 4 is to be considered composite?</t>
  </si>
  <si>
    <t>For a long time, it was thought that the Amazon rainforest was only ever sparsely populated, as it was impossible to sustain a large population through agriculture given the poor soil. Archeologist Betty Meggers was a prominent proponent of this idea, as described in her book Amazonia: Man and Culture in a Counterfeit Paradise. She claimed that a population density of 0.2 inhabitants per square kilometre (0.52/sq mi) is the maximum that can be sustained in the rainforest through hunting, with agriculture needed to host a larger population. However, recent anthropological findings have suggested that the region was actually densely populated. Some 5 million people may have lived in the Amazon region in AD 1500, divided between dense coastal settlements, such as that at Marajó, and inland dwellers. By 1900 the population had fallen to 1 million and by the early 1980s it was less than 200,000.</t>
  </si>
  <si>
    <t>What scale does trade liberalization shift economic inequality from?</t>
  </si>
  <si>
    <t>young men who had not fought</t>
  </si>
  <si>
    <t>What put a hierarchical structure in place?</t>
  </si>
  <si>
    <t>Which company did Mrs Foster work for?</t>
  </si>
  <si>
    <t>In what magazine did Tesla talk about reflecting electricity off of submarine's hulls?</t>
  </si>
  <si>
    <t>1705</t>
  </si>
  <si>
    <t>What architecture type came before Norman in England?</t>
  </si>
  <si>
    <t>Hollywood</t>
  </si>
  <si>
    <t>What Jacksonville community is known for having heavy ties to the Navy?</t>
  </si>
  <si>
    <t>1805</t>
  </si>
  <si>
    <t>natural specificity of the immune system</t>
  </si>
  <si>
    <t>These attacks resonated with conservative Muslims and the problem did not go away with Saddam's defeat either, since American troops remained stationed in the kingdom, and a de facto cooperation with the Palestinian-Israeli peace process developed. Saudi Arabia attempted to compensate for its loss of prestige among these groups by repressing those domestic Islamists who attacked it (bin Laden being a prime example), and increasing aid to Islamic groups (Islamist madrassas around the world and even aiding some violent Islamist groups) that did not, but its pre-war influence on behalf of moderation was greatly reduced. One result of this was a campaign of attacks on government officials and tourists in Egypt, a bloody civil war in Algeria and Osama bin Laden's terror attacks climaxing in the 9/11 attack.</t>
  </si>
  <si>
    <t>What was the date of the very first episode of Doctor Who?</t>
  </si>
  <si>
    <t>N–S rift system</t>
  </si>
  <si>
    <t>What film did Lionsgate pay to have the trailer aired during the Super Bowl?</t>
  </si>
  <si>
    <t>Fundamental rights, as in human rights, were first recognised by the European Court of Justice in the late 60s and fundamental rights are now regarded as integral part of the general principles of European Union law. As such the European Court of Justice is bound to draw inspiration from the constitutional traditions common to the member states. Therefore, the European Court of Justice cannot uphold measures which are incompatible with fundamental rights recognised and protected in the constitutions of member states. The European Court of Justice also found that "international treaties for the protection of human rights on which the member states have collaborated or of which they are signatories, can supply guidelines which should be followed within the framework of Community law."</t>
  </si>
  <si>
    <t>What is it called when there is an active attempt to overthrow a government or belief system?</t>
  </si>
  <si>
    <t>Taking evidence from witnesses is one of committees' what?</t>
  </si>
  <si>
    <t>continental art 1600–1800</t>
  </si>
  <si>
    <t>How many seats must a political party have to be represented on the Parliamentary Bureau?</t>
  </si>
  <si>
    <t>all spheres of life</t>
  </si>
  <si>
    <t>Who did the Panthers play in their division championship game?</t>
  </si>
  <si>
    <t>Who can be in the Victorian cabinet?</t>
  </si>
  <si>
    <t>M. Theo Kearney</t>
  </si>
  <si>
    <t>Qutb's</t>
  </si>
  <si>
    <t>statocyst</t>
  </si>
  <si>
    <t>Levi's Stadium.</t>
  </si>
  <si>
    <t>What does someone who completes the Initial Teacher Education (ITE) program get?</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</si>
  <si>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</si>
  <si>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Who did John Elway play for in Super Bowl XXXIII?</t>
  </si>
  <si>
    <t>Thomas Davis</t>
  </si>
  <si>
    <t>Approximately how books did Alexander Dyce bequeathed to the museum?</t>
  </si>
  <si>
    <t>September 1944</t>
  </si>
  <si>
    <t>CBS provided digital streams of the game via CBSSports.com, and the CBS Sports apps on tablets, Windows 10, Xbox One and other digital media players (such as Chromecast and Roku). Due to Verizon Communications exclusivity, streaming on smartphones was only provided to Verizon Wireless customers via the NFL Mobile service. The ESPN Deportes Spanish broadcast was made available through WatchESPN.</t>
  </si>
  <si>
    <t>Which is the largest city not connected to an interstate highway?</t>
  </si>
  <si>
    <t>the establishment of a new and independent Ethics and Anti-Corruption Commission</t>
  </si>
  <si>
    <t>What do Beriods use as teeth?</t>
  </si>
  <si>
    <t>Westinghouse Electric</t>
  </si>
  <si>
    <t>canceled</t>
  </si>
  <si>
    <t>because of tensions over slavery and the power of bishops in the denomination</t>
  </si>
  <si>
    <t>Victorian schools are either publicly or privately funded. Public schools, also known as state or government schools, are funded and run directly by the Victoria Department of Education . Students do not pay tuition fees, but some extra costs are levied. Private fee-paying schools include parish schools run by the Roman Catholic Church and independent schools similar to British public schools. Independent schools are usually affiliated with Protestant churches. Victoria also has several private Jewish and Islamic primary and secondary schools. Private schools also receive some public funding. All schools must comply with government-set curriculum standards. In addition, Victoria has four government selective schools, Melbourne High School for boys, MacRobertson Girls' High School for girls, the coeducational schools John Monash Science School, Nossal High School and Suzanne Cory High School, and The Victorian College of the Arts Secondary School. Students at these schools are exclusively admitted on the basis of an academic selective entry test.</t>
  </si>
  <si>
    <t>1300</t>
  </si>
  <si>
    <t>Who acts as laborer, paymaster, and design team for a renovation project?</t>
  </si>
  <si>
    <t>some teachers and parents advocate</t>
  </si>
  <si>
    <t>red brick and Portland stone</t>
  </si>
  <si>
    <t>strong sedimentation in the western Rhine Delta</t>
  </si>
  <si>
    <t>What is an anda?</t>
  </si>
  <si>
    <t>1928</t>
  </si>
  <si>
    <t>When were competition rules included in the Treaty of Rome?</t>
  </si>
  <si>
    <t>Temüjin-üge</t>
  </si>
  <si>
    <t>Ice Ages</t>
  </si>
  <si>
    <t>the Treaty of Rome 1957 and the Maastricht Treaty 1992</t>
  </si>
  <si>
    <t>2p − 1</t>
  </si>
  <si>
    <t>Which show was voted most violent of the BBC shows in a 1972 survey?</t>
  </si>
  <si>
    <t>The neighborhood of Sunnyside is on Fresno's far southeast side, bounded by Chestnut Avenue to the West. Its major thoroughfares are Kings Canyon Avenue and Clovis Avenue. Although parts of Sunnyside are within the City of Fresno, much of the neighborhood is a "county island" within Fresno County. Largely developed in the 1950s through the 1970s, it has recently experienced a surge in new home construction. It is also the home of the Sunnyside Country Club, which maintains a golf course designed by William P. Bell.</t>
  </si>
  <si>
    <t>through contact with Persian traders</t>
  </si>
  <si>
    <t>high-speed interconnection</t>
  </si>
  <si>
    <t>How did the final Song emperor die?</t>
  </si>
  <si>
    <t>It was not until the late 1950s that the ABC network became a serious contender to NBC and CBS, and this was in large part due to the diverse range of programming that met the expectations of the public, such as westerns and detective series. Despite an almost 500% increase in advertising revenues between 1953 and 1958, the network only had a national reach of between 10% and 18% of the total U.S. population, as it still had relatively fewer affiliates than NBC and CBS. In 1957, ABC Entertainment president Ollie Treiz discovered that the locally produced variety show Bandstand had pulled very strong ratings in the Philadelphia market on WFIL-TV; Treiz ultimately negotiated a deal to take the show national, under the revised title American Bandstand; the show quickly became a social phenomenon by presenting new musical talent and dances to America's youth and helped make a star out of its host, Dick Clark.</t>
  </si>
  <si>
    <t>How long was the longest Doctor Who Christmas Special?</t>
  </si>
  <si>
    <t xml:space="preserve">In what decade was seafloor spreading discovered? </t>
  </si>
  <si>
    <t>workers in the poor countries</t>
  </si>
  <si>
    <t>Who developed the actinide concept?</t>
  </si>
  <si>
    <t>what other digital TV service took Sky UK Limited's most popular spot?</t>
  </si>
  <si>
    <t>What were Tyneside flats built as?</t>
  </si>
  <si>
    <t>Super Bowl XXXVIII</t>
  </si>
  <si>
    <t>What is resposible for speeding up or slowing down an object?</t>
  </si>
  <si>
    <t>−12.6 °C (9.3 °F)</t>
  </si>
  <si>
    <t>was never ratified</t>
  </si>
  <si>
    <t>a vestigial red algal derived chloroplast</t>
  </si>
  <si>
    <t>illegal</t>
  </si>
  <si>
    <t>What modern city did Khanbaliq become?</t>
  </si>
  <si>
    <t>In modern times, what is said about civil disobedience?</t>
  </si>
  <si>
    <t>capture Niagara, Crown Point and Duquesne, he proposed attacks on Fort Frontenac on the north shore of Lake Ontario</t>
  </si>
  <si>
    <t>The black plague ravaged Europe for three years followed by what country?</t>
  </si>
  <si>
    <t>religious freedom</t>
  </si>
  <si>
    <t>drug choice, dose, route, frequency, and duration of therapy</t>
  </si>
  <si>
    <t>Who donated Rodin's works to the V&amp;A?</t>
  </si>
  <si>
    <t xml:space="preserve">What is the time period of this statistic? </t>
  </si>
  <si>
    <t>In private schools, what language are classes taught in?</t>
  </si>
  <si>
    <t>元朝</t>
  </si>
  <si>
    <t xml:space="preserve"> what is Internet2</t>
  </si>
  <si>
    <t>Carlo Crivelli's Virgin and Child)</t>
  </si>
  <si>
    <t>Duarte Barbosa</t>
  </si>
  <si>
    <t>one astronaut</t>
  </si>
  <si>
    <t>gravity</t>
  </si>
  <si>
    <t>British America and New France</t>
  </si>
  <si>
    <t>the Great Internet Mersenne Prime Search, what was the prize for finding a prime with at least 10 million digits?</t>
  </si>
  <si>
    <t>pupils are free to choose a private school</t>
  </si>
  <si>
    <t>What concept explains why objects continue in constant motion?</t>
  </si>
  <si>
    <t>Who was the Most Valuable Player for the 2015 NFL season?</t>
  </si>
  <si>
    <t>What is the main gap to continued urbanization?</t>
  </si>
  <si>
    <t>What state constitutional amendments make reference to the government funding religious schools?</t>
  </si>
  <si>
    <t>When did Luther produce a hymnic version of the Lord's Prayer?</t>
  </si>
  <si>
    <t>Why was AC electricity gaining popularity?</t>
  </si>
  <si>
    <t>ideas</t>
  </si>
  <si>
    <t>peptidoglycan wall between their double membrane</t>
  </si>
  <si>
    <t>every two years</t>
  </si>
  <si>
    <t>How many academic minors does the university grant in total?</t>
  </si>
  <si>
    <t>shipping</t>
  </si>
  <si>
    <t>Who performed the funeral for Martin Luther?</t>
  </si>
  <si>
    <t>What is another notable university in Warsaw after the University of Warsaw?</t>
  </si>
  <si>
    <t>Who was elected President in November 1960?</t>
  </si>
  <si>
    <t>What secret did he sever family ties to keep hidden?</t>
  </si>
  <si>
    <t>What halftime performer previously headlined Super Bowl XLVIII?</t>
  </si>
  <si>
    <t>the Super Bowl</t>
  </si>
  <si>
    <t>Commission v Italy the Court of Justice</t>
  </si>
  <si>
    <t>secondary or post-secondary</t>
  </si>
  <si>
    <t>How long did the fighting last in Seven Years War?</t>
  </si>
  <si>
    <t>extremist militant</t>
  </si>
  <si>
    <t>7.5%</t>
  </si>
  <si>
    <t>the Colorado River</t>
  </si>
  <si>
    <t>What did NASA record over the older archived tapes?</t>
  </si>
  <si>
    <t>What is the second level of territorial division in Poland?</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</si>
  <si>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</si>
  <si>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In addition to teaching within the family, where else is informal teaching done?</t>
  </si>
  <si>
    <t>How many Catholic schools were in Victoria?</t>
  </si>
  <si>
    <t>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t>
  </si>
  <si>
    <t>woodblocks</t>
  </si>
  <si>
    <t>Elders in full connection are each a member of what?</t>
  </si>
  <si>
    <t>Europe</t>
  </si>
  <si>
    <t>Where is the Science Village located?</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</si>
  <si>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(1277–1347) invented a suspension method for reducing dislocated joints, which he performed using anesthetics. The Mongol physician Hu Sihui described the importance of a healthy diet in a 1330 medical treatise.</t>
  </si>
  <si>
    <t>What is the name of the current refurbishment the system is undergoing?</t>
  </si>
  <si>
    <t>James Clerk Maxwell</t>
  </si>
  <si>
    <t>nearly three hundred years</t>
  </si>
  <si>
    <t>Along with electric motors, what power sources overtook steam engines in the 20th century?</t>
  </si>
  <si>
    <t>the mother, for whom devastating damage may result from an unacceptable pregnancy</t>
  </si>
  <si>
    <t>increase the chloroplast's surface area for cross-membrane transport</t>
  </si>
  <si>
    <t>2008</t>
  </si>
  <si>
    <t>how graphs are encoded as binary strings</t>
  </si>
  <si>
    <t>March 1879</t>
  </si>
  <si>
    <t>Edward Teller</t>
  </si>
  <si>
    <t>Bento de Moura Portugal</t>
  </si>
  <si>
    <t>What culture's arrival in Scotland is know as the "Davidian Revolution"?</t>
  </si>
  <si>
    <t>Oxygen gas</t>
  </si>
  <si>
    <t>What are the phagocytes that are located in tissues in contact with the external environment called?</t>
  </si>
  <si>
    <t>Where did Kublai build his administration's strength?</t>
  </si>
  <si>
    <t>The main gallery was redesigned in 1994, the glass balustrade on the staircase and mezzanine are the work of Danny Lane, the gallery covering contemporary glass opened in 2004 and the sacred silver and stained-glass gallery in 2005. In this latter gallery stained glass is displayed alongside silverware starting in the 12th century and continuing to the present. Some of the most outstanding stained glass, dated 1243–48 comes from the Sainte-Chapelle, is displayed along with other examples in the new Medieval &amp; Renaissance galleries. The important 13th-century glass beaker known as the Luck of Edenhall is also displayed in these galleries. Examples of British stained glass are displayed in the British Galleries. One of the most spectacular items in the collection is the chandelier by Dale Chihuly in the rotunda at the Museum's main entrance.</t>
  </si>
  <si>
    <t>an evaluation of the appropriateness of the drug therapy</t>
  </si>
  <si>
    <t>mannerist</t>
  </si>
  <si>
    <t>When was Spanish takeover of Louisiana Territory complete?</t>
  </si>
  <si>
    <t>Danish DFDS Seaways</t>
  </si>
  <si>
    <t>In what decades was Dudley Simpson most active in contributing to Doctor Who?</t>
  </si>
  <si>
    <t>Pegasus satellites,</t>
  </si>
  <si>
    <t>radioactivity</t>
  </si>
  <si>
    <t>liquid oxygen tank exploded</t>
  </si>
  <si>
    <t>fund his Colorado Springs experiments</t>
  </si>
  <si>
    <t>electric lamps</t>
  </si>
  <si>
    <t>What did Josel ask the city of Strasbourg to forbid the sale of?</t>
  </si>
  <si>
    <t>it obscures the fact that Indians fought on both sides of the conflict</t>
  </si>
  <si>
    <t>change cultural traditions, social customs, religious beliefs, etc</t>
  </si>
  <si>
    <t>$57,000</t>
  </si>
  <si>
    <t>The Taliban were spawned by the thousands of madrasahs the Deobandi movement established for impoverished Afghan refugees and supported by governmental and religious groups in neighboring Pakistan. The Taliban differed from other Islamist movements to the point where they might be more properly described as Islamic fundamentalist or neofundamentalist, interested in spreading "an idealized and systematized version of conservative tribal village customs" under the label of Sharia to an entire country. Their ideology was also described as being influenced by Wahhabism, and the extremist jihadism of their guest Osama bin Laden.</t>
  </si>
  <si>
    <t>fault-tolerant, efficient routing method</t>
  </si>
  <si>
    <t>a world revolution</t>
  </si>
  <si>
    <t>Who led the North American Huguenot colonial expedition?</t>
  </si>
  <si>
    <t>Why was Wesley compelled to break with standard practice and ordain two of his lay preachers as presbyters?</t>
  </si>
  <si>
    <t>screenings of all available classic episodes</t>
  </si>
  <si>
    <t>18 July 2000</t>
  </si>
  <si>
    <t>city hall</t>
  </si>
  <si>
    <t>a torn ACL</t>
  </si>
  <si>
    <t>Was is the name of the Torchwood series that was mostly based in the US?</t>
  </si>
  <si>
    <t>113</t>
  </si>
  <si>
    <t>Who took Thomas Murphy's place after the Disney acquisition of ABC?</t>
  </si>
  <si>
    <t>late</t>
  </si>
  <si>
    <t>Guo Shoujing</t>
  </si>
  <si>
    <t>Franklin Institute</t>
  </si>
  <si>
    <t>Why did the university eventually leave the conference?</t>
  </si>
  <si>
    <t>Which artist who had a major influence on the Gothic Revival is represented in the V&amp;A's British galleries?</t>
  </si>
  <si>
    <t>vocational schools</t>
  </si>
  <si>
    <t>1,986 m</t>
  </si>
  <si>
    <t>Which woman took a leadership role in the Mongol Empire while succession was being determined?</t>
  </si>
  <si>
    <t>the World Meteorological Organization (WMO) and the United Nations Environment Programme (UNEP)</t>
  </si>
  <si>
    <t>The crew of Apollo 8 sent the first live televised pictures of the Earth and the Moon back to Earth, and read from the creation story in the Book of Genesis, on Christmas Eve, 1968. An estimated one-quarter of the population of the world saw—either live or delayed—the Christmas Eve transmission during the ninth orbit of the Moon. The mission and Christmas provided an inspiring end to 1968, which had been a troubled year for the US, marked by Vietnam War protests, race riots, and the assassinations of civil rights leader Martin Luther King, Jr., and Senator Robert F. Kennedy.</t>
  </si>
  <si>
    <t>San Jose.</t>
  </si>
  <si>
    <t>During the Southern Song dynasty the descendant of Confucius at Qufu, the Duke Yansheng Kong Duanyou fled south with the Song Emperor to Quzhou, while the newly established Jin dynasty (1115–1234)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</si>
  <si>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When the law is a direct target of the protest, what is this called?</t>
  </si>
  <si>
    <t>were longitudinal waves</t>
  </si>
  <si>
    <t>MHC I (major histocompatibility complex)</t>
  </si>
  <si>
    <t>a placebo effect</t>
  </si>
  <si>
    <t>How many customers does Sky UK Limited have as a pay-TV broadcaster as of 2015?</t>
  </si>
  <si>
    <t>7th century</t>
  </si>
  <si>
    <t>opened the gates</t>
  </si>
  <si>
    <t>in effect</t>
  </si>
  <si>
    <t>1854</t>
  </si>
  <si>
    <t>Which part of the immune system protects the brain?</t>
  </si>
  <si>
    <t>because one can include arbitrarily many instances of 1 in any factorization</t>
  </si>
  <si>
    <t>between June and September</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</si>
  <si>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</si>
  <si>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most became nonfunctional pseudogenes</t>
  </si>
  <si>
    <t>issues</t>
  </si>
  <si>
    <t>phagosomal</t>
  </si>
  <si>
    <t>peaceable revolution</t>
  </si>
  <si>
    <t>ignored the warning</t>
  </si>
  <si>
    <t>Town Moor</t>
  </si>
  <si>
    <t>a method which pre-allocates dedicated network bandwidth</t>
  </si>
  <si>
    <t>a six membraned chloroplast</t>
  </si>
  <si>
    <t>Huguenots furnished two new regiments</t>
  </si>
  <si>
    <t>first major work to challenge the bubonic plague theory directly,</t>
  </si>
  <si>
    <t>the defense of the St. Lawrence</t>
  </si>
  <si>
    <t>What is an annual meeting of all the officers of the church and any interested members?</t>
  </si>
  <si>
    <t>When was the charter for this church signed?</t>
  </si>
  <si>
    <t>0.2 inhabitants</t>
  </si>
  <si>
    <t>The analysis of stratigraphic sections such as drill cores is done by who?</t>
  </si>
  <si>
    <t>oxide</t>
  </si>
  <si>
    <t>The next major step occurred when James Watt developed (1763–1775)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</si>
  <si>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In the article's title, what did the machine hope to end?</t>
  </si>
  <si>
    <t>The inland delta at the mouth of the Rhine is with what Lake?</t>
  </si>
  <si>
    <t>Which famous Indian took a plea and put himself at the mercy of the courts?</t>
  </si>
  <si>
    <t>to submit to the punishment prescribed by law</t>
  </si>
  <si>
    <t>What do unstable 6-carbon molecules become?</t>
  </si>
  <si>
    <t>Lake Balkhash,</t>
  </si>
  <si>
    <t>What street does Nikolaus Pevsner think is one of the finest in England?</t>
  </si>
  <si>
    <t>How many Frenchman won Battle of Carillon?</t>
  </si>
  <si>
    <t>Border Reiver surnames</t>
  </si>
  <si>
    <t>Caldwell</t>
  </si>
  <si>
    <t>How far is Fresno from Los Angeles?</t>
  </si>
  <si>
    <t>peace</t>
  </si>
  <si>
    <t>What did Jim Gray cover?</t>
  </si>
  <si>
    <t>What were requests made to British?</t>
  </si>
  <si>
    <t>When did the General Conference of the Methodist Episcopal Church split into two conferences?</t>
  </si>
  <si>
    <t>How many electorates does the State of Victoria have?</t>
  </si>
  <si>
    <t>At what wavelength do the spectrophotometric bands peak?</t>
  </si>
  <si>
    <t xml:space="preserve">Where was the Continental Edison Company located? </t>
  </si>
  <si>
    <t>NASA also had to make funds available</t>
  </si>
  <si>
    <t>By how much did Labour lead Lain Gray retain East Lothian?</t>
  </si>
  <si>
    <t>1993</t>
  </si>
  <si>
    <t>Britain's imperialist ambitions can be seen as early as the sixteenth century. In 1599 the British East India Company was established and was chartered by Queen Elizabeth in the following year. With the establishment of trading posts in India, the British were able to maintain strength relative to others empires such as the Portuguese who already had set up trading posts in India. In 1767 political activity caused exploitation of the East India Company causing the plundering of the local economy, almost bringing the company into bankruptcy.</t>
  </si>
  <si>
    <t>gift of God's grace</t>
  </si>
  <si>
    <t>When did the United States withdraw from the Bretton Woods Accord?</t>
  </si>
  <si>
    <t>Alter Rhein</t>
  </si>
  <si>
    <t>a Qara-Khitay (Khitan</t>
  </si>
  <si>
    <t>Tim Allen</t>
  </si>
  <si>
    <t>When was the basis for the Social Chapter developed?</t>
  </si>
  <si>
    <t>outdated</t>
  </si>
  <si>
    <t xml:space="preserve">What is an example of an NP-intermediate problem not known to exist in P or NP-complete? </t>
  </si>
  <si>
    <t>sculptures, friezes and tombs</t>
  </si>
  <si>
    <t>What drove residents to quieter suburban housing?</t>
  </si>
  <si>
    <t>To whom has the Antwerp City Hall doors in the V&amp;A collection been attributed?</t>
  </si>
  <si>
    <t>What landmark was Tesla asked about in regards to electricity in 1893?</t>
  </si>
  <si>
    <t>Whose former headquarters was the WSE located in until 2000?</t>
  </si>
  <si>
    <t>What isn't economic growth sufficient for progress on?</t>
  </si>
  <si>
    <t>What type of income is the vast majority of the population dependent on?</t>
  </si>
  <si>
    <t xml:space="preserve">What is the estimated death toll for Polish civilians? </t>
  </si>
  <si>
    <t>What is one example of a unique factorization domain?</t>
  </si>
  <si>
    <t>If the average U.S. worker were to complete an additional year of school, what amount of growth would be generated over 5 years?</t>
  </si>
  <si>
    <t>How many membranes do apicoplasts have?</t>
  </si>
  <si>
    <t>In what year was Doctor Who rated the third greatest show of the 2000's?</t>
  </si>
  <si>
    <t>Uighurs of the Kingdom of Qocho</t>
  </si>
  <si>
    <t>relativity</t>
  </si>
  <si>
    <t>coal</t>
  </si>
  <si>
    <t>How many episodes were in The Daleks' Master Plan?</t>
  </si>
  <si>
    <t>What is the term for catching the motivation expressed by the teacher?</t>
  </si>
  <si>
    <t>What type of theater do the neighborhoods feature?</t>
  </si>
  <si>
    <t>shown to have more efficient solutions</t>
  </si>
  <si>
    <t xml:space="preserve">Who was Tesla's secretary? </t>
  </si>
  <si>
    <t>Where did Moncalm slip away to attack, left largely unprotected?</t>
  </si>
  <si>
    <t>Steven Bochco</t>
  </si>
  <si>
    <t>What is the lake known as which was created by the rise of the Andes Mountains?</t>
  </si>
  <si>
    <t>1752 Treaty of Logstown</t>
  </si>
  <si>
    <t>fort San Mateo</t>
  </si>
  <si>
    <t>What advancements besides military technology did Europe achieve?</t>
  </si>
  <si>
    <t>The capture of Warũhiũ Itote (aka General China) on 15 January 1954 and the subsequent interrogation led to a better understanding of the Mau Mau command structure. Operation Anvil opened on 24 April 1954, after weeks of planning by the army with the approval of the War Council. The operation effectively placed Nairobi under military siege, and the occupants were screened and the Mau Mau supporters moved to detention camps. The Home Guard formed the core of the government's strategy as it was composed of loyalist Africans, not foreign forces like the British Army and King's African Rifles. By the end of the emergency, the Home Guard had killed 4,686 Mau Mau, amounting to 42% of the total insurgents. The capture of Dedan Kimathi on 21 October 1956 in Nyeri signified the ultimate defeat of the Mau Mau and essentially ended the military offensive. During this period, substantial governmental changes to land tenure occurred. The most important of these was the Swynnerton Plan, which was used to both reward loyalists and punish Mau Mau.</t>
  </si>
  <si>
    <t>southwest</t>
  </si>
  <si>
    <t>5th Avenue laboratory fire of March 1895</t>
  </si>
  <si>
    <t>Murray Gold</t>
  </si>
  <si>
    <t xml:space="preserve">This network influenced  later models of </t>
  </si>
  <si>
    <t>the Broncos</t>
  </si>
  <si>
    <t>present a rock concert</t>
  </si>
  <si>
    <t>guilty of doing no wrong</t>
  </si>
  <si>
    <t>Where does HAMAS want to establish an Islamic state?</t>
  </si>
  <si>
    <t>many imperial powers</t>
  </si>
  <si>
    <t>What did Paul Rose say Luther added to German thought?</t>
  </si>
  <si>
    <t>Mombasa</t>
  </si>
  <si>
    <t>Lindau</t>
  </si>
  <si>
    <t>Who led a Mongol attack on the Song dynasty?</t>
  </si>
  <si>
    <t>critical</t>
  </si>
  <si>
    <t>What rank for most populous city in the European Union does Warsaw hold?</t>
  </si>
  <si>
    <t>Science and Discovery</t>
  </si>
  <si>
    <t>What character on Coupling is a Doctor Who fan?</t>
  </si>
  <si>
    <t>In what year did Malaysia receive its independence?</t>
  </si>
  <si>
    <t>A function problem</t>
  </si>
  <si>
    <t>eventually split the earth in two</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</si>
  <si>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</si>
  <si>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What type of plea is sometimes taken as an act of disobedience?</t>
  </si>
  <si>
    <t>After a general debate on the final form of the bill</t>
  </si>
  <si>
    <t>The first Methodist clergy were ordained by John Wesley, a priest of the Church of England, because of the crisis caused by the American Revolution which isolated the Methodists in the States from the Church of England and its sacraments. Today, the clergy includes men and women who are ordained by bishops as elders and deacons and are appointed to various ministries. Elders in the United Methodist Church itenerate and are subject to the authority and appointment of their bishops. They generally serve as pastors in local congregations. Deacons are in service ministry and may serve as musicians, liturgists, educators, business administrators, and a number of other areas. Elders and deacons are required to obtain a master's degree (generally an M.Div.), or another equivalent degree, before commissioning and then ultimately ordination. Elders in full connection are each a member of their Annual Conference Order of Elders. Likewise each deacon in full connection is a member of their Annual Conference Order of Deacons.</t>
  </si>
  <si>
    <t>Where did the Exposition take place?</t>
  </si>
  <si>
    <t>the Jin</t>
  </si>
  <si>
    <t>Calvin cycle</t>
  </si>
  <si>
    <t>Of what length are engine cycle events when the simplest valve gears are used?</t>
  </si>
  <si>
    <t>30 to 50 thousand inhabitants</t>
  </si>
  <si>
    <t>a pair of tentilla-bearing tentacles</t>
  </si>
  <si>
    <t>How many companies were listed on the WSE on August 2009?</t>
  </si>
  <si>
    <t>When did ISIL pledge allegiance to al-Qaeda?</t>
  </si>
  <si>
    <t>inciting internal revolt among Kuchlug's supporters</t>
  </si>
  <si>
    <t>Blackburne</t>
  </si>
  <si>
    <t>little Hugos, or those who want Hugo.</t>
  </si>
  <si>
    <t>What percentage of Filipino tertiary education takes place in private schools?</t>
  </si>
  <si>
    <t>Revolutionary civil disobedience</t>
  </si>
  <si>
    <t>a red algal derived chloroplast</t>
  </si>
  <si>
    <t>Old Rhine</t>
  </si>
  <si>
    <t>β-defensins</t>
  </si>
  <si>
    <t>a specially made wooden paddle</t>
  </si>
  <si>
    <t>Gold</t>
  </si>
  <si>
    <t>toward the Atlantic</t>
  </si>
  <si>
    <t>being drafted into the Austro-Hungarian Army</t>
  </si>
  <si>
    <t xml:space="preserve">During what time did the rainforest spanned a narrow band? </t>
  </si>
  <si>
    <t>"comb" and the Greek suffix -φορος meaning "carrying"</t>
  </si>
  <si>
    <t>the 12th century</t>
  </si>
  <si>
    <t>Going to jail accomplished what goal of civil disobedience?</t>
  </si>
  <si>
    <t>electron microscopy</t>
  </si>
  <si>
    <t>In a purely capitalist mode of production (i.e. where professional and labor organizations cannot limit the number of workers) the workers wages will not be controlled by these organizations, or by the employer, but rather by the market. Wages work in the same way as prices for any other good. Thus, wages can be considered as a function of market price of skill. And therefore, inequality is driven by this price. Under the law of supply and demand, the price of skill is determined by a race between the demand for the skilled worker and the supply of the skilled worker. "On the other hand, markets can also concentrate wealth, pass environmental costs on to society, and abuse workers and consumers." "Markets, by themselves, even when they are stable, often lead to high levels of inequality, outcomes that are widely viewed as unfair." Employers who offer a below market wage will find that their business is chronically understaffed. Their competitors will take advantage of the situation by offering a higher wage the best of their labor. For a businessman who has the profit motive as the prime interest, it is a losing proposition to offer below or above market wages to workers.</t>
  </si>
  <si>
    <t>When was Warsaw's stock exchange brought back to life?</t>
  </si>
  <si>
    <t>Where is Harvard stadium located?</t>
  </si>
  <si>
    <t>How are the pyrenoid and thylakoids arranged?</t>
  </si>
  <si>
    <t>What happened to Dane?</t>
  </si>
  <si>
    <t>Who was the head of the company?</t>
  </si>
  <si>
    <t>1.3 million</t>
  </si>
  <si>
    <t>Where does the Delta in the Netherlands begin?</t>
  </si>
  <si>
    <t>What aspect of the economy did Genghis Khan exploit for intelligence gathering?</t>
  </si>
  <si>
    <t>Who identified gravity as a force?</t>
  </si>
  <si>
    <t>What theorems are responsible for determining questions of time and space requirements?</t>
  </si>
  <si>
    <t>What was the total nominal GDP of Warsaw in 2010?</t>
  </si>
  <si>
    <t>Where is Kenya place on the scale in 2012?</t>
  </si>
  <si>
    <t>What did Thoreau ask a public figure the taxman to do?</t>
  </si>
  <si>
    <t>What antibody is transported from the mother to baby across the placenta?</t>
  </si>
  <si>
    <t>What is a popular strolling destination for the Varsovians?</t>
  </si>
  <si>
    <t>15 °C</t>
  </si>
  <si>
    <t>When was the announcement for the LOR made after being delayed?</t>
  </si>
  <si>
    <t>Treaties apply as soon as they enter into force, unless stated otherwise, and are generally concluded for an unlimited period</t>
  </si>
  <si>
    <t>When did the university decide to start multimillion-dollar expansion projects?</t>
  </si>
  <si>
    <t>What Newcastle road heads west to Carlisle?</t>
  </si>
  <si>
    <t>Virginia</t>
  </si>
  <si>
    <t>What is a derogatory term for the Christian academies that arose in the wake of school desegregation?</t>
  </si>
  <si>
    <t>highly respected</t>
  </si>
  <si>
    <t>1516</t>
  </si>
  <si>
    <t>killed in a horse-riding accident</t>
  </si>
  <si>
    <t>vote</t>
  </si>
  <si>
    <t>What happened to most of Tesla's work from this time?</t>
  </si>
  <si>
    <t>early part</t>
  </si>
  <si>
    <t>dampening the fire</t>
  </si>
  <si>
    <t xml:space="preserve">What contributed to water pollution in the Rhine? </t>
  </si>
  <si>
    <t>What was Disney-ABC International Television previously known as?</t>
  </si>
  <si>
    <t>What trading route joined Khwarezmia and the Mongol Empire?</t>
  </si>
  <si>
    <t>What kind of government does Kenya have?</t>
  </si>
  <si>
    <t>what the climate was like millions of years ago</t>
  </si>
  <si>
    <t>What is the name of the Bungie Inc. founder who is also a university graduate?</t>
  </si>
  <si>
    <t>Directives</t>
  </si>
  <si>
    <t>What did the museum acquire from the Royal College of Science?</t>
  </si>
  <si>
    <t>The role of teacher is often formal and ongoing, carried out at a school or other place of formal education. In many countries, a person who wishes to become a teacher must first obtain specified professional qualifications or credentials from a university or college. These professional qualifications may include the study of pedagogy, the science of teaching. Teachers, like other professionals, may have to continue their education after they qualify, a process known as continuing professional development. Teachers may use a lesson plan to facilitate student learning, providing a course of study which is called the curriculum.</t>
  </si>
  <si>
    <t>Karakorum</t>
  </si>
  <si>
    <t>This projection was not included in the final summary for policymakers. The IPCC has since acknowledged that the date is incorrect, while reaffirming that the conclusion in the final summary was robust. They expressed regret for "the poor application of well-established IPCC procedures in this instance". The date of 2035 has been correctly quoted by the IPCC from the WWF report, which has misquoted its own source, an ICSI report "Variations of Snow and Ice in the past and at present on a Global and Regional Scale".</t>
  </si>
  <si>
    <t>What was the name of the eastern half of the colony of 1788?</t>
  </si>
  <si>
    <t>12 May 1705</t>
  </si>
  <si>
    <t>English Channel</t>
  </si>
  <si>
    <t>the object's weight</t>
  </si>
  <si>
    <t>farm tractors</t>
  </si>
  <si>
    <t>a simple majority vote</t>
  </si>
  <si>
    <t>What does a big O notation hide?</t>
  </si>
  <si>
    <t>When did Costa v ENEL take place?</t>
  </si>
  <si>
    <t>72 minutes</t>
  </si>
  <si>
    <t>How many guests attended the dinner celebrating the opening of the Grainger Market?</t>
  </si>
  <si>
    <t>some Asian, African and Caribbean countries</t>
  </si>
  <si>
    <t>the Golden Gate</t>
  </si>
  <si>
    <t>between</t>
  </si>
  <si>
    <t>What armed group stopped the uprising at Ballarat?</t>
  </si>
  <si>
    <t>a partnership with Level 3 Communications to launch a brand new nationwide network</t>
  </si>
  <si>
    <t>What type of assistance to out of town students is the Muslim Brotherhood known for?</t>
  </si>
  <si>
    <t>strong,</t>
  </si>
  <si>
    <t>John Simm</t>
  </si>
  <si>
    <t>that grace of God which sustains the believers in the journey toward Christian Perfection</t>
  </si>
  <si>
    <t>What was Kublai's favorite sect of Tibetan Buddhism?</t>
  </si>
  <si>
    <t>In addition to the traveling salesman problem, what is another example of a function problem?</t>
  </si>
  <si>
    <t>9</t>
  </si>
  <si>
    <t>numerous foundations were laid out</t>
  </si>
  <si>
    <t>"white flight"</t>
  </si>
  <si>
    <t>the Liao dynasty</t>
  </si>
  <si>
    <t>What right do private schools have that public schools don't?</t>
  </si>
  <si>
    <t>Where is cyclic photophosphorylation common?</t>
  </si>
  <si>
    <t>Drogo</t>
  </si>
  <si>
    <t>Prague</t>
  </si>
  <si>
    <t>How did Mongol armies lure enemy groups out of their defensive positions?</t>
  </si>
  <si>
    <t>"It's Scotland's oil"</t>
  </si>
  <si>
    <t>female</t>
  </si>
  <si>
    <t>committees</t>
  </si>
  <si>
    <t>the bound on the complexity of reductions</t>
  </si>
  <si>
    <t>How old was Peyton Manning when he played in Super Bowl 50?</t>
  </si>
  <si>
    <t>How long is the section of the Rhine near Chur?</t>
  </si>
  <si>
    <t>The V&amp;A library's collection of illuminated manuscripts are dated to which centuries?</t>
  </si>
  <si>
    <t>6.7</t>
  </si>
  <si>
    <t xml:space="preserve">Where is the Rhine? </t>
  </si>
  <si>
    <t>adviser</t>
  </si>
  <si>
    <t>pad 37</t>
  </si>
  <si>
    <t>When do treaties apply?</t>
  </si>
  <si>
    <t>U.S authorship of a 'new world'</t>
  </si>
  <si>
    <t>third most abundant</t>
  </si>
  <si>
    <t>Who do coordinating lead authors report to?</t>
  </si>
  <si>
    <t>What century did the name of the Rhine come from?</t>
  </si>
  <si>
    <t>What is the mortality rate of the modern bubonic plague?</t>
  </si>
  <si>
    <t>twice as much</t>
  </si>
  <si>
    <t>1064</t>
  </si>
  <si>
    <t>feed water</t>
  </si>
  <si>
    <t>Southern California is also home to the Port of Los Angeles, the United States' busiest commercial port; the adjacent Port of Long Beach, the United States' second busiest container port; and the Port of San Diego.</t>
  </si>
  <si>
    <t>separately from physicians</t>
  </si>
  <si>
    <t>The study also found that there were two previously unknown but related clades (genetic branches) of the Y. pestis genome associated with medieval mass graves. These clades (which are thought to be extinct) were found to be ancestral to modern isolates of the modern Y. pestis strains Y. p. orientalis and Y. p. medievalis, suggesting the plague may have entered Europe in two waves. Surveys of plague pit remains in France and England indicate the first variant entered Europe through the port of Marseille around November 1347 and spread through France over the next two years, eventually reaching England in the spring of 1349, where it spread through the country in three epidemics. Surveys of plague pit remains from the Dutch town of Bergen op Zoom showed the Y. pestis genotype responsible for the pandemic that spread through the Low Countries from 1350 differed from that found in Britain and France, implying Bergen op Zoom (and possibly other parts of the southern Netherlands) was not directly infected from England or France in 1349 and suggesting a second wave of plague, different from those in Britain and France, may have been carried to the Low Countries from Norway, the Hanseatic cities or another site.</t>
  </si>
  <si>
    <t>Engineering News-Record (ENR)</t>
  </si>
  <si>
    <t>What was Tesla's father's original plans for Tesla?</t>
  </si>
  <si>
    <t>Who did Luther say that Christians must not slacken in following?</t>
  </si>
  <si>
    <t>itself</t>
  </si>
  <si>
    <t>three or four</t>
  </si>
  <si>
    <t>charged particle beam</t>
  </si>
  <si>
    <t>Budapest Telephone Exchange</t>
  </si>
  <si>
    <t>23 years</t>
  </si>
  <si>
    <t>How much Saharan dust is blown and falls upon the Caribbean Sea each year?</t>
  </si>
  <si>
    <t>What was the Yuan's unofficial state religion?</t>
  </si>
  <si>
    <t>18-karat gold-plated</t>
  </si>
  <si>
    <t>aggressiveness</t>
  </si>
  <si>
    <t>If two integers are multiplied and output a value, what is this expression set called?</t>
  </si>
  <si>
    <t>How much does Victoria produce in Australian pears?</t>
  </si>
  <si>
    <t>What schools do preparatory schools prepare British children to attend?</t>
  </si>
  <si>
    <t>What's the name of Newcastle's speedway team?</t>
  </si>
  <si>
    <t>1169</t>
  </si>
  <si>
    <t>What dual titles did Frederick William hold?</t>
  </si>
  <si>
    <t>William Iron Arm</t>
  </si>
  <si>
    <t>A block of West End Avenue that houses an ABC News building was renamed for what ABC anchor?</t>
  </si>
  <si>
    <t>Residential construction can generate what is not carefully planned?</t>
  </si>
  <si>
    <t>Who confirmed Watt's discovery of latent heat?</t>
  </si>
  <si>
    <t>six years</t>
  </si>
  <si>
    <t>civil</t>
  </si>
  <si>
    <t>progressive</t>
  </si>
  <si>
    <t>Newton's First</t>
  </si>
  <si>
    <t>a vital part of marine food chains</t>
  </si>
  <si>
    <t>sacramental union</t>
  </si>
  <si>
    <t>survived many wars, conflicts and invasions</t>
  </si>
  <si>
    <t>What act sets the term for judging the boundaries of sanity to which individuals wishing to sit on the SP must adhere?</t>
  </si>
  <si>
    <t>How many games did the Panthers lose in the regular season before Super Bowl 50?</t>
  </si>
  <si>
    <t>steam locomotives</t>
  </si>
  <si>
    <t>the computational model</t>
  </si>
  <si>
    <t>Mainichi Broadcasting System</t>
  </si>
  <si>
    <t>sequenced delivery of data to the host</t>
  </si>
  <si>
    <t>an average 182 million</t>
  </si>
  <si>
    <t>Luther wrote "Aus tiefer Not schrei ich zu dir" ("From depths of woe I cry to you") in 1523 as a hymnic version of Psalm 130 and sent it as a sample to encourage evangelical colleagues to write psalm-hymns for use in German worship. In a collaboration with Paul Speratus, this and seven other hymns were published in the Achtliederbuch, the first Lutheran hymnal. In 1524 Luther developed his original four-stanza psalm paraphrase into a five-stanza Reformation hymn that developed the theme of "grace alone" more fully. Because it expressed essential Reformation doctrine, this expanded version of "Aus tiefer Not" was designated as a regular component of several regional Lutheran liturgies and was widely used at funerals, including Luther's own. Along with Erhart Hegenwalt's hymnic version of Psalm 51, Luther's expanded hymn was also adopted for use with the fifth part of Luther's catechism, concerning confession.</t>
  </si>
  <si>
    <t>What replica was used for player introductions?</t>
  </si>
  <si>
    <t>an Australian public X.25 network</t>
  </si>
  <si>
    <t>20 million years ago</t>
  </si>
  <si>
    <t>Diocles of Carystus</t>
  </si>
  <si>
    <t>Access can be via a dial-up terminal to a PAD, or, by linking a permanent X.25 node to the network</t>
  </si>
  <si>
    <t>What did Queen Elizabeth II open in Newcastle in 1981?</t>
  </si>
  <si>
    <t>Who was the chief executive officer when the service began?</t>
  </si>
  <si>
    <t>Quasiturbine</t>
  </si>
  <si>
    <t>1804</t>
  </si>
  <si>
    <t>When did Zhu publish 'Jade Mirror of the Four Unknowns'?</t>
  </si>
  <si>
    <t>permanent pulmonary fibrosis</t>
  </si>
  <si>
    <t>Achtliederbuch</t>
  </si>
  <si>
    <t>About the time of the first landing in 1969, it was decided to use an existing Saturn V to launch the Skylab orbital laboratory pre-built on the ground, replacing the original plan to construct it in orbit from several Saturn IB launches; this eliminated Apollo 20. NASA's yearly budget also began to shrink in light of the successful landing, and NASA also had to make funds available for the development of the upcoming Space Shuttle. By 1971, the decision was made to also cancel missions 18 and 19. The two unused Saturn Vs became museum exhibits at the John F. Kennedy Space Center on Merritt Island, Florida, George C. Marshall Space Center in Huntsville, Alabama, Michoud Assembly Facility in New Orleans, Louisiana, and Lyndon B. Johnson Space Center in Houston, Texas.</t>
  </si>
  <si>
    <t>the exploitation of the valuable assets and supplies of the nation that was conquered</t>
  </si>
  <si>
    <t>In order to compete with CNN, ABC proposed a 24-hour news channel called ABC Cable News, with plans to launch the network in 1995; however, the plan would ultimately be shelved by company management. ABC would reattempt such a concept in July 2004 with the launch of ABC News Now, a 24-hour news channel distributed for viewing on the Internet and mobile phones. On August 29, 1994, ABC purchased Flint, Michigan affiliate WJRT-TV and WTVG in Toledo, Ohio (which was previously affiliated with ABC from 1958 to 1970) from SJL Broadcast Management, with the latter switching to ABC once its contract with NBC expired two months after the purchase was finalized in early 1995. Both stations were acquired as a contingency plan in the event that CBS reached an affiliation deal with WXYZ-TV (to replace WJBK, which switched to Fox as a result of that network's group affiliation agreement with New World Communications) in order to allow the network to retain some over-the-air presence in the Detroit market (the E.W. Scripps Company and ABC would reach a group affiliation deal that renewed affiliation agreements with WXYZ and WEWS, and switch four other stations, including two whose Fox affiliations were displaced by the New World deal, with the network).</t>
  </si>
  <si>
    <t>Cobb, Shepley, Rutan and Coolidge, Holabird &amp; Roche, and other architectural firms</t>
  </si>
  <si>
    <t>What was the Chinese name for the Central Secretariat?</t>
  </si>
  <si>
    <t>More in the present prevalence of civil disobedience has turned and said to be?</t>
  </si>
  <si>
    <t>Smith and Jones</t>
  </si>
  <si>
    <t>a computer network funded by the U.S. National Science Foundation (NSF)</t>
  </si>
  <si>
    <t>At the same time he made attempts to help grow ABC, Goldenson had been trying since mid-1953 to provide content for the network by contacting his old acquaintances in Hollywood, with whom he had worked when UPT was a subsidiary of Paramount Pictures. ABC's merger with UPT led to the creation of relationships with Hollywood's film production studios, breaking a quarantine that had existed at that time between film and television, the latter of which had previously been more connected to radio. ABC's flagship productions at the time were The Lone Ranger, based on the radio program of the same title, and The Adventures of Ozzie and Harriet, the latter of which (at 13 seasons, running from 1952 to 1965) held the record for the longest-running prime time comedy in U.S. television history, until it was surpassed by The Simpsons in 2002.</t>
  </si>
  <si>
    <t>During the 2006 Israel-Lebanon conflict</t>
  </si>
  <si>
    <t>What was Joseph Haas arrested for?</t>
  </si>
  <si>
    <t>31–24</t>
  </si>
  <si>
    <t>How many LEA-funded 11 to 18 schools are there in Newcastle?</t>
  </si>
  <si>
    <t>ABC bought 20 acres of land in Hollwood in 1949 that would become what studio?</t>
  </si>
  <si>
    <t>75% of the labour force</t>
  </si>
  <si>
    <t>720 feet</t>
  </si>
  <si>
    <t>How did the principle treaties that form the European Union begin?</t>
  </si>
  <si>
    <t>The graph isomorphism problem</t>
  </si>
  <si>
    <t>Why did oil start getting priced in terms of gold?</t>
  </si>
  <si>
    <t>confrontational</t>
  </si>
  <si>
    <t>3 million</t>
  </si>
  <si>
    <t>upper lake</t>
  </si>
  <si>
    <t>IAAF Golden League jackpot</t>
  </si>
  <si>
    <t>marine waters worldwide.</t>
  </si>
  <si>
    <t>the river Deabolis</t>
  </si>
  <si>
    <t>conferences</t>
  </si>
  <si>
    <t>Pierre Bayle</t>
  </si>
  <si>
    <t>On what date was Victoria declared independent from New South Wales?</t>
  </si>
  <si>
    <t>Who organized the trees of the Amazon into four categories?</t>
  </si>
  <si>
    <t>Who is generally considered on the same level as physicians, lawyers, engineers, and accountants (Chartered or CPA)?</t>
  </si>
  <si>
    <t>According to the wealth concentration theory, what advantage do the wealthy have in accumulating new wealth?</t>
  </si>
  <si>
    <t>Where did British settlers live?</t>
  </si>
  <si>
    <t>the turbine casing</t>
  </si>
  <si>
    <t>high density</t>
  </si>
  <si>
    <t>In China, this person inferred that the land was formed by erosion of the mountains and by silt deposition, what was his name?</t>
  </si>
  <si>
    <t>Richard E. Grant</t>
  </si>
  <si>
    <t>What did Tesla call his electrical effects in 1893?</t>
  </si>
  <si>
    <t>What difficulties was Shirly having?</t>
  </si>
  <si>
    <t>gastric acid</t>
  </si>
  <si>
    <t>Cytotoxic drugs</t>
  </si>
  <si>
    <t>along the middle</t>
  </si>
  <si>
    <t>874.3 square miles</t>
  </si>
  <si>
    <t>Santa Clara University</t>
  </si>
  <si>
    <t>Brompton district of the Royal Borough of Kensington and Chelsea</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</si>
  <si>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</si>
  <si>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self molecules</t>
  </si>
  <si>
    <t>submit to the punishment prescribed by law</t>
  </si>
  <si>
    <t>What gave its name to the 1980s music television program "The Tube"?</t>
  </si>
  <si>
    <t>arrest Luther</t>
  </si>
  <si>
    <t>over 2,</t>
  </si>
  <si>
    <t>What position did Tesla hold in the Central Telegraph Office?</t>
  </si>
  <si>
    <t>Which two courts apply European Union law?</t>
  </si>
  <si>
    <t>"semi-legal"</t>
  </si>
  <si>
    <t>Staten Island</t>
  </si>
  <si>
    <t>Who is known as the father of the modern steam railways?</t>
  </si>
  <si>
    <t>79 individual libraries</t>
  </si>
  <si>
    <t>over $40 million</t>
  </si>
  <si>
    <t>Who claimed that the name Black Death first appeared in 1631?</t>
  </si>
  <si>
    <t>When did Zwilling and Karistadt become active at Wittenberg?</t>
  </si>
  <si>
    <t>What are sometimes present in the boiler's firebox crown?</t>
  </si>
  <si>
    <t>an algorithm</t>
  </si>
  <si>
    <t>Polish Academy of Sciences</t>
  </si>
  <si>
    <t>Pieper</t>
  </si>
  <si>
    <t>What type of motivators are food and shelter considered?</t>
  </si>
  <si>
    <t>How many stations did Boston have in 1952?</t>
  </si>
  <si>
    <t>What channel did ABC proposed to compete with cable news company CNN?</t>
  </si>
  <si>
    <t>random noise</t>
  </si>
  <si>
    <t>Luther's Commentary on Genesis contains a passage which concludes that "the soul does not sleep (anima non sic dormit), but wakes (sed vigilat) and experiences visions". Francis Blackburne in 1765 argued that John Jortin misread this and other passages from Luther, while Gottfried Fritschel pointed out in 1867 that it actually refers to the soul of a man "in this life" (homo enim in hac vita) tired from his daily labour (defatigus diurno labore) who at night enters his bedchamber (sub noctem intrat in cubiculum suum) and whose sleep is interrupted by dreams.</t>
  </si>
  <si>
    <t>45</t>
  </si>
  <si>
    <t>If the teacher focuses on maintaining order, what does this take time away from?</t>
  </si>
  <si>
    <t>Sky+</t>
  </si>
  <si>
    <t>destroy civilization</t>
  </si>
  <si>
    <t>How many bus companies provide service to the city of Newcastle?</t>
  </si>
  <si>
    <t>Wonjong</t>
  </si>
  <si>
    <t>Arabic</t>
  </si>
  <si>
    <t>income inequality</t>
  </si>
  <si>
    <t>half a mile northwest of the Yard</t>
  </si>
  <si>
    <t>What did the Kyoto Protocol try to address?</t>
  </si>
  <si>
    <t>What additional srevice did BSkyB offer besides Video on Demand that they claimed offered "substantially more value"?</t>
  </si>
  <si>
    <t>A column from which Moorish palace and fortress complex in Granada, Spain, is included in the V&amp;A collection?</t>
  </si>
  <si>
    <t>of marginal significance</t>
  </si>
  <si>
    <t>deterministic algorithm</t>
  </si>
  <si>
    <t>orange-red zeaxanthin</t>
  </si>
  <si>
    <t>In 1973, Nixon named William E. Simon as the first Administrator of the Federal Energy Office, a short-term organization created to coordinate the response to the embargo. Simon allocated states the same amount of domestic oil for 1974 that each had consumed in 1972, which worked for states whose populations were not increasing. In other states, lines at gasoline stations were common. The American Automobile Association reported that in the last week of February 1974, 20% of American gasoline stations had no fuel.</t>
  </si>
  <si>
    <t>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"we" the West and "them" the East, or "here" in the West and "there"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t>
  </si>
  <si>
    <t>New York City mayor Fiorello La Guardia</t>
  </si>
  <si>
    <t>What are the agents detected by the immune system called?</t>
  </si>
  <si>
    <t>Luke Kuechly</t>
  </si>
  <si>
    <t>in modern times, become utterly debased</t>
  </si>
  <si>
    <t>LoyalKaspar</t>
  </si>
  <si>
    <t>the early 1990s</t>
  </si>
  <si>
    <t>non-cryogenic</t>
  </si>
  <si>
    <t xml:space="preserve">What position does Brandon Marshall currently play? </t>
  </si>
  <si>
    <t>How would the geographical societies in Europe support certain travelers?</t>
  </si>
  <si>
    <t>mathematical models of computation</t>
  </si>
  <si>
    <t>What area was Kublai trying to capture by attacking Xiangyang?</t>
  </si>
  <si>
    <t>KREEP</t>
  </si>
  <si>
    <t>humans</t>
  </si>
  <si>
    <t>Bermuda 419</t>
  </si>
  <si>
    <t>What guide states the Univeristy of Chicago is known for their heavy workload and academic difficulty?</t>
  </si>
  <si>
    <t>What city, along with Hamilton, Wellington and Christchurch, is one of the largest in New Zealand?</t>
  </si>
  <si>
    <t>18,000 regulars, militia and Native American allies</t>
  </si>
  <si>
    <t>1997 Treaty of Amsterdam</t>
  </si>
  <si>
    <t>What is the most important type of Norman art preserved in churches?</t>
  </si>
  <si>
    <t>It is likely that a multicomponent, adaptive immune system arose with the first vertebrates, as invertebrates do not generate lymphocytes or an antibody-based humoral response. Many species, however, utilize mechanisms that appear to be precursors of these aspects of vertebrate immunity. Immune systems appear even in the structurally most simple forms of life, with bacteria using a unique defense mechanism, called the restriction modification system to protect themselves from viral pathogens, called bacteriophages. Prokaryotes also possess acquired immunity, through a system that uses CRISPR sequences to retain fragments of the genomes of phage that they have come into contact with in the past, which allows them to block virus replication through a form of RNA interference. Offensive elements of the immune systems are also present in unicellular eukaryotes, but studies of their roles in defense are few.</t>
  </si>
  <si>
    <t>What does 'plastid' mean?</t>
  </si>
  <si>
    <t>spiritually or symbolically present</t>
  </si>
  <si>
    <t>How many were in Langlades expedition?</t>
  </si>
  <si>
    <t>How many firms were existing in 2005?</t>
  </si>
  <si>
    <t>the inner chloroplast membrane</t>
  </si>
  <si>
    <t>Ollie Treiz</t>
  </si>
  <si>
    <t>conscription</t>
  </si>
  <si>
    <t>In the fall quarter of 2014, how many students signed up for the university's professional schools?</t>
  </si>
  <si>
    <t>on the web</t>
  </si>
  <si>
    <t>German vernacular</t>
  </si>
  <si>
    <t>What nationality was Konstantin Mereschkowski?</t>
  </si>
  <si>
    <t>What is considered the Mother Church of American Methodism?</t>
  </si>
  <si>
    <t>Marquis de Vaudreuil.</t>
  </si>
  <si>
    <t>On what day does a General Question Time take place?</t>
  </si>
  <si>
    <t>X-ray-producing devices</t>
  </si>
  <si>
    <t>vector quantities</t>
  </si>
  <si>
    <t>What football program was debuted by ABC in 1970?</t>
  </si>
  <si>
    <t>Hiding behind (or 'watching from behind') the sofa</t>
  </si>
  <si>
    <t>Who has the role of holding the Scottish Government to account?</t>
  </si>
  <si>
    <t>In the definition based off the mountain range, which region would the desert portions of north Los Angeles County be included in?</t>
  </si>
  <si>
    <t>Who filed an objection to the BBC using the blue police box in Doctor Who merchandise?</t>
  </si>
  <si>
    <t>late 1870s</t>
  </si>
  <si>
    <t>Building construction is the process of adding structure to real property or construction of buildings. The majority of building construction jobs are small renovations, such as addition of a room, or renovation of a bathroom. Often, the owner of the property acts as laborer, paymaster, and design team for the entire project. Although building construction projects typically include various common elements, such as design, financial, estimating and legal considerations, many projects of varying sizes reach undesirable end results, such as structural collapse, cost overruns, and/or litigation. For this reason, those with experience in the field make detailed plans and maintain careful oversight during the project to ensure a positive outcome.</t>
  </si>
  <si>
    <t>In the case Geven v Land Nordrhein-Westfalen, how many hours was the Dutch woman in question working in Germany?</t>
  </si>
  <si>
    <t>What position did Newton play during Super Bowl 50?</t>
  </si>
  <si>
    <t>1988</t>
  </si>
  <si>
    <t>What was the purpose of CSNET</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</si>
  <si>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</si>
  <si>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at the Cape of Good Hope</t>
  </si>
  <si>
    <t>Henry Young Darracott Scott</t>
  </si>
  <si>
    <t>Private schooling in the United States has been debated by educators, lawmakers and parents, since the beginnings of compulsory education in Massachusetts in 1852. The Supreme Court precedent appears to favor educational choice, so long as states may set standards for educational accomplishment. Some of the most relevant Supreme Court case law on this is as follows: Runyon v. McCrary, 427 U.S. 160 (1976); Wisconsin v. Yoder, 406 U.S. 205 (1972); Pierce v. Society of Sisters, 268 U.S. 510 (1925); Meyer v. Nebraska, 262 U.S. 390 (1923).</t>
  </si>
  <si>
    <t>43 million tons</t>
  </si>
  <si>
    <t>banned the growing of coffee, introduced a hut tax, and the landless were granted less and less land in exchange for their labour</t>
  </si>
  <si>
    <t>three hundred</t>
  </si>
  <si>
    <t>The Brain of Morbius</t>
  </si>
  <si>
    <t>Were the restored tapes able to have color added to them to enhance the picture or did they remain black and white?</t>
  </si>
  <si>
    <t>How much did it cost to build Levi's Stadium?</t>
  </si>
  <si>
    <t>during the 1980s</t>
  </si>
  <si>
    <t>physical barriers</t>
  </si>
  <si>
    <t>Where did Tetzel overstate his teachings?</t>
  </si>
  <si>
    <t>The Sexual Ethics Task Force of The United Methodist Church</t>
  </si>
  <si>
    <t>orogenic wedges</t>
  </si>
  <si>
    <t>24–10</t>
  </si>
  <si>
    <t>magnetic tape shortage</t>
  </si>
  <si>
    <t>Who did Temüjin's mother adopt to help integrate the tribes he conquered?</t>
  </si>
  <si>
    <t>Yassa code</t>
  </si>
  <si>
    <t>proportionally to the number of votes received in the second vote of the ballot using the d'Hondt method</t>
  </si>
  <si>
    <t>about 500</t>
  </si>
  <si>
    <t>What did Luther tell monks and nuns about their vows?</t>
  </si>
  <si>
    <t>Gateshead</t>
  </si>
  <si>
    <t>What theoretical device is attributed to Alan Turing?</t>
  </si>
  <si>
    <t>better relevant income</t>
  </si>
  <si>
    <t>Development of the fertilized eggs is direct, in other words there is no distinctive larval form, and juveniles of all groups generally resemble miniature cydippid adults. In the genus Beroe the juveniles, like the adults, lack tentacles and tentacle sheaths. In most species the juveniles gradually develop the body forms of their parents. In some groups, such as the flat, bottom-dwelling platyctenids, the juveniles behave more like true larvae, as they live among the plankton and thus occupy a different ecological niche from their parents and attain the adult form by a more radical metamorphosis, after dropping to the sea-floor.</t>
  </si>
  <si>
    <t>condenser</t>
  </si>
  <si>
    <t>Caspian Sea</t>
  </si>
  <si>
    <t>The Hoppings, reputedly the largest travelling fair in Europe, takes place on Newcastle Town Moor every June. The event has its origins in the Temperance Movement during the early 1880s and coincides with the annual race week at High Gosforth Park. Newcastle Community Green Festival, which claims to be the UK's biggest free community environmental festival, also takes place every June, in Leazes Park. The Northern Rock Cyclone, a cycling festival, takes place within, or starting from, Newcastle in June. The Northern Pride Festival and Parade is held in Leazes Park and in the city's Gay Community in mid July. The Ouseburn Festival, a family oriented weekend festival near the city centre, incorporating a "Family Fun Day" and "Carnival Day", is held in late July.</t>
  </si>
  <si>
    <t>since at least the mid-14th century</t>
  </si>
  <si>
    <t>How did the Yuan come to have the 4 schools of medicine?</t>
  </si>
  <si>
    <t>Who intercepted a Manning pass, giving the ball back to the Panthers?</t>
  </si>
  <si>
    <t>Brothers &amp; Sisters</t>
  </si>
  <si>
    <t>the "Golden Super Bowl"</t>
  </si>
  <si>
    <t>One in five</t>
  </si>
  <si>
    <t>NP-hard problems</t>
  </si>
  <si>
    <t>smart ticketing</t>
  </si>
  <si>
    <t>What do some theories claim about civil disobedience?</t>
  </si>
  <si>
    <t>Which artist has a piece of his artwork located at the Fulton Mall?</t>
  </si>
  <si>
    <t>Scottish Parliament Building</t>
  </si>
  <si>
    <t>By what process is singlet oxygen made in the tropophere?</t>
  </si>
  <si>
    <t>before Braddock's departure</t>
  </si>
  <si>
    <t>When did Robert Crispin go up against the Turks?</t>
  </si>
  <si>
    <t>Halo</t>
  </si>
  <si>
    <t xml:space="preserve"> Seamans' establishment of an ad-hoc committee headed by his special technical assistant Nicholas E. Golovin in July 1961, to recommend a launch vehicle to be used in the Apollo program, represented a turning point in NASA's mission mode decision. This committee recognized that the chosen mode was an important part of the launch vehicle choice, and recommended in favor of a hybrid EOR-LOR mode. Its consideration of LOR —as well as Houbolt's ceaseless work— played an important role in publicizing the workability of the approach. In late 1961 and early 1962, members of the Manned Spacecraft Center began to come around to support LOR, including the newly hired deputy director of the Office of Manned Space Flight, Joseph Shea, who became a champion of LOR. The engineers at Marshall Space Flight Center (MSFC) took longer to become convinced of its merits, but their conversion was announced by Wernher von Braun at a briefing in June 1962.</t>
  </si>
  <si>
    <t>FBI ordered the Alien Property Custodian to seize Tesla's belongings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</si>
  <si>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</si>
  <si>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What did Gou use for astronomy?</t>
  </si>
  <si>
    <t>church bishops</t>
  </si>
  <si>
    <t>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t>
  </si>
  <si>
    <t>for a system to function</t>
  </si>
  <si>
    <t>an official school sport</t>
  </si>
  <si>
    <t>494,665</t>
  </si>
  <si>
    <t>The 2012 study showed teachers experienced more stress than whom?</t>
  </si>
  <si>
    <t>lowland South American</t>
  </si>
  <si>
    <t xml:space="preserve">Who killed Harold II? </t>
  </si>
  <si>
    <t>Ohio Company of Virginia</t>
  </si>
  <si>
    <t>they contain striated muscle,</t>
  </si>
  <si>
    <t>mesoglea</t>
  </si>
  <si>
    <t>B</t>
  </si>
  <si>
    <t>1/(1-p)n</t>
  </si>
  <si>
    <t>the mesoglea</t>
  </si>
  <si>
    <t>Tesla was raised an Orthodox Christian. Later in his life, he did not consider himself to be a "believer in the orthodox sense," and opposed religious fanaticism. Despite this, he had a profound respect for both Buddhism and Christianity.</t>
  </si>
  <si>
    <t xml:space="preserve">Other than 7 and 13, what other year interval do cicadas pupate? </t>
  </si>
  <si>
    <t>Duval County</t>
  </si>
  <si>
    <t>How many times was Manning intercepted during the 2015 season?</t>
  </si>
  <si>
    <t>Who halted the advance of Hulagu Khan across the Middle East?</t>
  </si>
  <si>
    <t>papal theologians and envoys</t>
  </si>
  <si>
    <t>Along with toys, where are oscillating cylinder steam engines typically used?</t>
  </si>
  <si>
    <t>Teenage Mutant Ninja Turtles</t>
  </si>
  <si>
    <t>Who became the King of the Canary Islands?</t>
  </si>
  <si>
    <t>advanced research and education networking</t>
  </si>
  <si>
    <t>electrified, swirling in circles with blue halos of St. Elmo's fire around their wings</t>
  </si>
  <si>
    <t>What is the name of the fund that focuses on youth, community and sustainable environments?</t>
  </si>
  <si>
    <t>How does Victoria rank as to population density?</t>
  </si>
  <si>
    <t>What are some proposals to connect campuses?</t>
  </si>
  <si>
    <t>a suspect's talking to criminal investigators</t>
  </si>
  <si>
    <t>What system was adopted for education?</t>
  </si>
  <si>
    <t>new Apollo spacesuit</t>
  </si>
  <si>
    <t>excerpts from the Doctor Who Confidential documentary</t>
  </si>
  <si>
    <t>How many kgs of moon rocks did the program bring back?</t>
  </si>
  <si>
    <t>the Parliament of Victoria</t>
  </si>
  <si>
    <t>What can't Parliament do that causes equality and democracy to be deficient?</t>
  </si>
  <si>
    <t>What makes DNA vulnerable to deamination?</t>
  </si>
  <si>
    <t>Which American show changed the views of Romanians during the cold war?</t>
  </si>
  <si>
    <t>musicians</t>
  </si>
  <si>
    <t>University President Robert Maynard Hutchins de-emphasized varsity athletics in 1939</t>
  </si>
  <si>
    <t>secular and sacred covering both Christian (Roman Catholic, Anglican and Greek Orthodox) and Jewish liturgical vessels and items</t>
  </si>
  <si>
    <t>Warszawa</t>
  </si>
  <si>
    <t>dating to 1338–39</t>
  </si>
  <si>
    <t>government.</t>
  </si>
  <si>
    <t>Building printing is making it possible to flexibly construct small commercial buildings and private habitations in what amount of time?</t>
  </si>
  <si>
    <t>When did the Spanish and Portuguese colonies gain their independance.</t>
  </si>
  <si>
    <t>jet of expelled water drives them backwards very quickly.</t>
  </si>
  <si>
    <t>What part is added to the uniflow engine to resolve the issue in the counterflow cycle?</t>
  </si>
  <si>
    <t>central location</t>
  </si>
  <si>
    <t>Who is the new companion for the 10th series of the revival?</t>
  </si>
  <si>
    <t>To which trading route did Genghis Khan bring a stable political climate?</t>
  </si>
  <si>
    <t>Acasta gneiss</t>
  </si>
  <si>
    <t>What, on the part of a teacher, can result in a decrease in student performance</t>
  </si>
  <si>
    <t>John Houghton,</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</si>
  <si>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</si>
  <si>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The Social Chapter is a chapter of what treaty?</t>
  </si>
  <si>
    <t>Where is the principle of proportionality recognized in the EC treaty?</t>
  </si>
  <si>
    <t>homologous recombination</t>
  </si>
  <si>
    <t>a carboxysome</t>
  </si>
  <si>
    <t>growth</t>
  </si>
  <si>
    <t>paid professionals</t>
  </si>
  <si>
    <t>The 1970s allowed which network to move in to first place in the ratings?</t>
  </si>
  <si>
    <t>What was used to from political alliances among the Mongolian tribal confederations?</t>
  </si>
  <si>
    <t>What leader of the Swiss reformation was a student of Lefevre?</t>
  </si>
  <si>
    <t>private universities</t>
  </si>
  <si>
    <t>weight</t>
  </si>
  <si>
    <t>Four thousand</t>
  </si>
  <si>
    <t>through his writing</t>
  </si>
  <si>
    <t>Who may assign Elders?</t>
  </si>
  <si>
    <t>What kind of force does not exist under Newton's third law?</t>
  </si>
  <si>
    <t>What played during the closing credits of the Doctor Who episodes?</t>
  </si>
  <si>
    <t>Where were Luther's hymns included?</t>
  </si>
  <si>
    <t>the Mission Council (usually consisting of church bishops)</t>
  </si>
  <si>
    <t>Annual Conference Order of Deacons</t>
  </si>
  <si>
    <t>hatred of the Jews</t>
  </si>
  <si>
    <t>What are two examples of measurements are bound within algorithms to establish complexity classes?</t>
  </si>
  <si>
    <t>22</t>
  </si>
  <si>
    <t>p is not a prime factor of q.</t>
  </si>
  <si>
    <t>rainfall in the basin during the LGM was lower</t>
  </si>
  <si>
    <t>What is the present-day location of this church?</t>
  </si>
  <si>
    <t>10–20</t>
  </si>
  <si>
    <t>What additional membranes do secondary chloroplasts have?</t>
  </si>
  <si>
    <t>The Hay Wain.</t>
  </si>
  <si>
    <t>other members</t>
  </si>
  <si>
    <t>380 years</t>
  </si>
  <si>
    <t>What treaty ended the Wars of Religion?</t>
  </si>
  <si>
    <t>factories</t>
  </si>
  <si>
    <t>leptin, pituitary growth hormone, and prolactin</t>
  </si>
  <si>
    <t>cannot initiate legislation against the Commission's wishes</t>
  </si>
  <si>
    <t>Some modern scholars, such as Fielding H. Garrison, are of the opinion that the origin of the science of geology can be traced to Persia after the Muslim conquests had come to an end. Abu al-Rayhan al-Biruni (973–1048 CE) was one of the earliest Persian geologists, whose works included the earliest writings on the geology of India, hypothesizing that the Indian subcontinent was once a sea. Drawing from Greek and Indian scientific literature that were not destroyed by the Muslim conquests, the Persian scholar Ibn Sina (Avicenna, 981–1037) proposed detailed explanations for the formation of mountains, the origin of earthquakes, and other topics central to modern geology, which provided an essential foundation for the later development of the science. In China, the polymath Shen Kuo (1031–1095)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</si>
  <si>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Ethelred II</t>
  </si>
  <si>
    <t>800 CE</t>
  </si>
  <si>
    <t>quantitative statements</t>
  </si>
  <si>
    <t>How many scientists called to change the IPCC in Feb 2010?</t>
  </si>
  <si>
    <t>the South Coast Metro</t>
  </si>
  <si>
    <t>Who was on Celeron's expedition?</t>
  </si>
  <si>
    <t>drawn by the convenience of the railroad and worried about flooding</t>
  </si>
  <si>
    <t>static friction</t>
  </si>
  <si>
    <t>The Command Module (CM) was the conical crew cabin, designed to carry three astronauts from launch to lunar orbit and back to an Earth ocean landing. It was the only component of the Apollo spacecraft to survive without major configuration changes as the program evolved from the early Apollo study designs. Its exterior was covered with an ablative heat shield, and had its own reaction control system (RCS) engines to control its attitude and steer its atmospheric entry path. Parachutes were carried to slow its descent to splashdown. The module was 11.42 feet (3.48 m) tall, 12.83 feet (3.91 m) in diameter, and weighed approximately 12,250 pounds (5,560 kg).</t>
  </si>
  <si>
    <t>unacceptable pregnancy. In</t>
  </si>
  <si>
    <t>the southeast of the garden (the site of the "Brompton Boilers"),</t>
  </si>
  <si>
    <t>Cambrian sessile frond-like fossil Stromatoveris</t>
  </si>
  <si>
    <t>What legitimate dynasty came after the Yuan?</t>
  </si>
  <si>
    <t>What cells are the second arm of the innate immune system?</t>
  </si>
  <si>
    <t>During the Bronco's playoff games, who did not throw at all?</t>
  </si>
  <si>
    <t>a practical Carnot cycle</t>
  </si>
  <si>
    <t>(rise and fall according to market demand</t>
  </si>
  <si>
    <t>international drug suppliers, rather than consumers</t>
  </si>
  <si>
    <t>After the merger between ABC and Capital Cities was completed, what was the resulting company known as?</t>
  </si>
  <si>
    <t>What protection comes after the innate response?</t>
  </si>
  <si>
    <t>a Western Union superintendent</t>
  </si>
  <si>
    <t>colonizing</t>
  </si>
  <si>
    <t>Ford, Chrysler, and GM, respectively</t>
  </si>
  <si>
    <t>What station did the 20th anniversary special show before being shown on BBC?</t>
  </si>
  <si>
    <t>Why did Tesla avoid by fleeing Smiljan?</t>
  </si>
  <si>
    <t>Where was there a weakness in British supply chain?</t>
  </si>
  <si>
    <t>How was the civil disobedience shown in Antigone?</t>
  </si>
  <si>
    <t>recreational</t>
  </si>
  <si>
    <t>Higher rates of health and social problems are just two of examples of effects from what?</t>
  </si>
  <si>
    <t>How many intercpetions did Newton have in Super Bowl 50?</t>
  </si>
  <si>
    <t>60</t>
  </si>
  <si>
    <t>immediate French withdrawal</t>
  </si>
  <si>
    <t>Luther had published his German translation of the New Testament in 1522, and he and his collaborators completed the translation of the Old Testament in 1534, when the whole Bible was published. He continued to work on refining the translation until the end of his life. Others had translated the Bible into German, but Luther tailored his translation to his own doctrine. When he was criticised for inserting the word "alone" after "faith" in Romans 3:28, he replied in part: "[T]he text itself and the meaning of St. Paul urgently require and demand it. For in that very passage he is dealing with the main point of Christian doctrine, namely, that we are justified by faith in Christ without any works of the Law. ... But when works are so completely cut away – and that must mean that faith alone justifies – whoever would speak plainly and clearly about this cutting away of works will have to say, 'Faith alone justifies us, and not works'."</t>
  </si>
  <si>
    <t>the square root of n.</t>
  </si>
  <si>
    <t>What does the Rhine merge with outside of Germany?</t>
  </si>
  <si>
    <t>What types of recordings at Johnson Space Center were used to help restore the original tapes?</t>
  </si>
  <si>
    <t>Treaty provisions</t>
  </si>
  <si>
    <t>There are several museums and galleries in Newcastle, including the Centre for Life with its Science Village; the Discovery Museum a museum highlighting life on Tyneside, including Tyneside's shipbuilding heritage, and inventions which changed the world; the Great North Museum; in 2009 the Newcastle on Tyne Museum of Antiquities merged with the Great North Museum (Hancock Museum); Seven Stories a museum dedicated to children's books, the Side Gallery historical and contemporary photography from around the world and Northern England and the Newburn Hall Motor Museum.</t>
  </si>
  <si>
    <t>Late Show with Stephen Colbert</t>
  </si>
  <si>
    <t>What is it called when steam propels a turbo generator with electric motor propulsion?</t>
  </si>
  <si>
    <t>week 7,</t>
  </si>
  <si>
    <t>The use of what device represented the last major evolution of the steam engine?</t>
  </si>
  <si>
    <t>Jacksonville is the most populous city in Florida, and the twelfth most populous city in the United States. As of 2010[update], there were 821,784 people and 366,273 households in the city. Jacksonville has the country's tenth-largest Arab population, with a total population of 5,751 according to the 2000 United States Census. Jacksonville has Florida's largest Filipino American community, with 25,033 in the metropolitan area as of the 2010 Census. Much of Jacksonville's Filipino community served in or has ties to the United States Navy.</t>
  </si>
  <si>
    <t>The original theme was composed by Ron Grainer and realised by Delia Derbyshire of the BBC Radiophonic Workshop, with assistance from Dick Mills. The various parts were built up using musique concrète techniques, by creating tape loops of an individually struck piano string and individual test oscillators and filters. The Derbyshire arrangement served, with minor edits, as the theme tune up to the end of season 17 (1979–80). It is regarded as a significant and innovative piece of electronic music, recorded well before the availability of commercial synthesisers or multitrack mixers. Each note was individually created by cutting, splicing, speeding up and slowing down segments of analogue tape containing recordings of a single plucked string, white noise, and the simple harmonic waveforms of test-tone oscillators, intended for calibrating equipment and rooms, not creating music. New techniques were invented to allow mixing of the music, as this was before the era of multitrack tape machines. On hearing the finished result, Grainer asked, "Did I write that?"[citation needed]</t>
  </si>
  <si>
    <t>Who designed The Forest tapestry in the V&amp;A collection?</t>
  </si>
  <si>
    <t>Francis Blackburne</t>
  </si>
  <si>
    <t>Who was the first chair of the IPCC?</t>
  </si>
  <si>
    <t>On July 31, 1995, The Walt Disney Company announced an agreement to merge with Capital Cities/ABC for $19 billion. Disney shareholders approved the merger at a special conference in New York City on January 4, 1996, with the acquisition of Capital Cities/ABC being completed on February 9; following the sale, Disney renamed its new subsidiary ABC Inc. In addition to the ABC network, the Disney acquisition integrated ABC's ten owned-and-operated television and 21 radio stations; its 80% interest in ESPN, ownership interests in The History Channel, A&amp;E Television Networks, and Lifetime Entertainment; and Capital Cities/ABC's magazine and newspaper properties into the company. As FCC ownership rules forbade the company from keeping both it and KABC-TV, Disney sold Los Angeles independent station KCAL-TV to Young Broadcasting for $387 million. On April 4, Disney sold the four newspapers that ABC had controlled under Capital Cities to Knight Ridder for $1.65 billion. Following the merger, Thomas S. Murphy left ABC with Robert Iger taking his place as president and CEO. Around the time of the merger, Disney's television production units had already produced series for the network such as Home Improvement and Boy Meets World, while the deal also allowed ABC access to Disney's children's programming library for its Saturday morning block. In 1998, ABC premiered the Aaron Sorkin-created sitcom Sports Night, centering on the travails of the staff of a SportsCenter-style sports news program; despite earning critical praise and multiple Emmy Awards, the series was cancelled in 2000 after two seasons.</t>
  </si>
  <si>
    <t>Ediacaran eoandromeda can be regarded to represent what?</t>
  </si>
  <si>
    <t>Queen Victoria</t>
  </si>
  <si>
    <t>Dogg Pound</t>
  </si>
  <si>
    <t>roughly 60,000 European settlers</t>
  </si>
  <si>
    <t>through various associations and other arrangements</t>
  </si>
  <si>
    <t>accessory pigments</t>
  </si>
  <si>
    <t>leaders of the opposition parties and other MSPs</t>
  </si>
  <si>
    <t>Embedded in the thylakoid membranes are important protein complexes which carry out the light reactions of photosynthesis. Photosystem II and photosystem I contain light-harvesting complexes with chlorophyll and carotenoids that absorb light energy and use it to energize electrons. Molecules in the thylakoid membrane use the energized electrons to pump hydrogen ions into the thylakoid space, decreasing the pH and turning it acidic. ATP synthase is a large protein complex that harnesses the concentration gradient of the hydrogen ions in the thylakoid space to generate ATP energy as the hydrogen ions flow back out into the stroma—much like a dam turbine.</t>
  </si>
  <si>
    <t>Walt Disney and his brother Roy contacted Goldenson at the end of 1953 for ABC to agree to finance part of the Disneyland project in exchange for producing a television program for the network. Walt wanted ABC to invest $500,000 and accrued a guarantee of $4.5 million in additional loans, a third of the budget intended for the park. Around 1954, ABC agreed to finance Disneyland in exchange for the right to broadcast a new Sunday night program, Disneyland, which debuted on the network on October 27, 1954 as the first of many anthology television programs that Disney would broadcast over the course of the next 50 years.</t>
  </si>
  <si>
    <t>feldspar mineral anorthite</t>
  </si>
  <si>
    <t>the Court of Justice</t>
  </si>
  <si>
    <t>What are examples of economic actors?</t>
  </si>
  <si>
    <t>What book did Martin Luther translate to impact German culture?</t>
  </si>
  <si>
    <t>What anthropologists are also university alumni members?</t>
  </si>
  <si>
    <t>colonizing, influencing, and annexing</t>
  </si>
  <si>
    <t>What does NADPH store?</t>
  </si>
  <si>
    <t>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1361–62, 1369, 1379–83, 1389–93, and throughout the first half of the 15th century. An outbreak in 1471 took as much as 10–15% of the population, while the death rate of the plague of 1479–80 could have been as high as 20%. The most general outbreaks in Tudor and Stuart England seem to have begun in 1498, 1535, 1543, 1563, 1589, 1603, 1625, and 1636, and ended with the Great Plague of London in 1665.</t>
  </si>
  <si>
    <t>In what episode did Doctor Who acknowledge having had a brother?</t>
  </si>
  <si>
    <t>elected MSPs</t>
  </si>
  <si>
    <t>What did Mueller have experience with prior to joining the space program?</t>
  </si>
  <si>
    <t>Who was the first president and director of programming for ABC Entertainment?</t>
  </si>
  <si>
    <t>The ABC logo has evolved many times since the network's creation in 1943. The network's first logo, introduced in 1946, consisted of a television screen containing the letters "T" and "V", with a vertical ABC microphone in the center, referencing the network's roots in radio. When the ABC-UPT merger was finalized in 1953, the network introduced a new logo based on the seal of the Federal Communications Commission, with the letters "ABC" enclosed in a circular shield surmounted by the bald eagle. In 1957, just before the television network began its first color broadcasts, the ABC logo consisted of a tiny lowercase "abc" in the center of a large lowercase letter a, a design known as the "ABC Circle A".</t>
  </si>
  <si>
    <t>The working fluid in a Rankine cycle can operate as a closed loop system, where the working fluid is recycled continuously, or may be an "open loop" system, where the exhaust steam is directly released to the atmosphere, and a separate source of water feeding the boiler is supplied. Normally water is the fluid of choice due to its favourable properties, such as non-toxic and unreactive chemistry, abundance, low cost, and its thermodynamic properties. Mercury is the working fluid in the mercury vapor turbine. Low boiling hydrocarbons can be used in a binary cycle.</t>
  </si>
  <si>
    <t>tool of the devil</t>
  </si>
  <si>
    <t>Where is the Congress Hall located?</t>
  </si>
  <si>
    <t>cameras</t>
  </si>
  <si>
    <t>What color was used to create the 50-yard line in Levi's Stadium for the season leading up to the Super Bowl 50 game?</t>
  </si>
  <si>
    <t>UNESCO World Heritage Site</t>
  </si>
  <si>
    <t>three-part explanation of the Apostles' Creed</t>
  </si>
  <si>
    <t>returned to Earth</t>
  </si>
  <si>
    <t>Telnet Used what  Interface technology</t>
  </si>
  <si>
    <t>What castle currently houses the Centre for Contemporary Art?</t>
  </si>
  <si>
    <t>How many yards did Newton throw for in 2015?</t>
  </si>
  <si>
    <t>the devil's people</t>
  </si>
  <si>
    <t>Who gave her royal assent to the Scotland Act of 1998?</t>
  </si>
  <si>
    <t>Wilson's geographer.</t>
  </si>
  <si>
    <t>Verizon Wireless customers</t>
  </si>
  <si>
    <t>There are 34 cities in southern California that have a population exceeding what number?</t>
  </si>
  <si>
    <t>[256kn + 1, 256k(n + 1) − 1].</t>
  </si>
  <si>
    <t>Cologne, Germany</t>
  </si>
  <si>
    <t>responding to investigators' questions</t>
  </si>
  <si>
    <t>How much did Capital Cities Communications purchase ABC and its properties for?</t>
  </si>
  <si>
    <t>a balance between different viewpoints and political parties</t>
  </si>
  <si>
    <t>Who was appointed as second in command to Lor Loudoun in 1756?</t>
  </si>
  <si>
    <t>180°</t>
  </si>
  <si>
    <t>A non-deterministic Turing machine</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</si>
  <si>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</si>
  <si>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What percentage of electricity was made by steam turbine in the 1990s?</t>
  </si>
  <si>
    <t>public interest</t>
  </si>
  <si>
    <t>Near Sargans</t>
  </si>
  <si>
    <t>Time magazine</t>
  </si>
  <si>
    <t>27%</t>
  </si>
  <si>
    <t>Prince of Płock</t>
  </si>
  <si>
    <t>What led to Newcastle's fall from power as military advisor?</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</si>
  <si>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</si>
  <si>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all populated continents</t>
  </si>
  <si>
    <t>1803</t>
  </si>
  <si>
    <t>The most frequent musical contributor during the first 15 years was Dudley Simpson, who is also well known for his theme and incidental music for Blake's 7, and for his haunting theme music and score for the original 1970s version of The Tomorrow People. Simpson's first Doctor Who score was Planet of Giants (1964) and he went on to write music for many adventures of the 1960s and 1970s, including most of the stories of the Jon Pertwee/Tom Baker periods, ending with The Horns of Nimon (1979). He also made a cameo appearance in The Talons of Weng-Chiang (as a Music hall conductor).</t>
  </si>
  <si>
    <t>1941</t>
  </si>
  <si>
    <t>Rugby is also a growing sport in southern California, particularly at the high school level, with increasing numbers of schools adding rugby as an official school sport.</t>
  </si>
  <si>
    <t>power source</t>
  </si>
  <si>
    <t>Who did Luther strike out against in later years?</t>
  </si>
  <si>
    <t>What is the result of the Calvin cycle?</t>
  </si>
  <si>
    <t>races of highest 'social efficiency'"</t>
  </si>
  <si>
    <t>he could feel a sharp stinging pain where it entered his body</t>
  </si>
  <si>
    <t>arrested</t>
  </si>
  <si>
    <t>How may yards did Peyton Manning throw?</t>
  </si>
  <si>
    <t>Who can enforce European Union law?</t>
  </si>
  <si>
    <t>sgraffito</t>
  </si>
  <si>
    <t>replication forks form</t>
  </si>
  <si>
    <t>How many women were employed in construction in 2011?</t>
  </si>
  <si>
    <t>local</t>
  </si>
  <si>
    <t>Chloroplast</t>
  </si>
  <si>
    <t>Tesla, like many of his era, became a proponent of an imposed selective breeding version of eugenics. His opinion stemmed from the belief that humans' "pity" had interfered with the natural "ruthless workings of nature," rather than from conceptions of a "master race" or inherent superiority of one person over another. His advocacy of it was, however, to push it further. In a 1937 interview, he stated:</t>
  </si>
  <si>
    <t>a vitamin D receptor</t>
  </si>
  <si>
    <t>When was the most recent Super Bowl hosted in the South Florida/Miami area?</t>
  </si>
  <si>
    <t>From Italy, the disease spread northwest across Europe, striking France, Spain, Portugal and England by June 1348, then turned and spread east through Germany and Scandinavia from 1348 to 1350. It was introduced in Norway in 1349 when a ship landed at Askøy, then spread to Bjørgvin (modern Bergen) and Iceland. Finally it spread to northwestern Russia in 1351. The plague was somewhat less common in parts of Europe that had smaller trade relations with their neighbours, including the Kingdom of Poland, the majority of the Basque Country, isolated parts of Belgium and the Netherlands, and isolated alpine villages throughout the continent.</t>
  </si>
  <si>
    <t>How can you find the absolute age of sedimentary rock units which do not contain radioactive isotopes?</t>
  </si>
  <si>
    <t>the Church of St Thomas the Martyr</t>
  </si>
  <si>
    <t>On 7 January 1900, Tesla left Colorado Springs.[citation needed] His lab was torn down in 1904, and its contents were sold two years later to satisfy a debt.</t>
  </si>
  <si>
    <t>What was the secondary endosymbiotic event?</t>
  </si>
  <si>
    <t>When was this naturalization act passed?</t>
  </si>
  <si>
    <t>Who was yersinia pestis named for?</t>
  </si>
  <si>
    <t>Which country had trading posts in India before Britain?</t>
  </si>
  <si>
    <t>Constructing a project that fails to adhere to codes does not benefit whom?</t>
  </si>
  <si>
    <t>deterministically</t>
  </si>
  <si>
    <t>What do closed rivers serve as after they close?</t>
  </si>
  <si>
    <t>What does child well-being in rich countries correlate most to?</t>
  </si>
  <si>
    <t>What will cause the lake near the Rhine to silt up?</t>
  </si>
  <si>
    <t>For a long time, number theory in general, and the study of prime numbers in particular, was seen as the canonical example of pure mathematics, with no applications outside of the self-interest of studying the topic with the exception of use of prime numbered gear teeth to distribute wear evenly. In particular, number theorists such as British mathematician G. H. Hardy prided themselves on doing work that had absolutely no military significance. However, this vision was shattered in the 1970s, when it was publicly announced that prime numbers could be used as the basis for the creation of public key cryptography algorithms. Prime numbers are also used for hash tables and pseudorandom number generators.</t>
  </si>
  <si>
    <t>Thomson cruise lines</t>
  </si>
  <si>
    <t>Systemic acquired resistance (SAR)</t>
  </si>
  <si>
    <t>meritocracy</t>
  </si>
  <si>
    <t>A small fraction of the cold water flow from Lake Constance goes to what other lake?</t>
  </si>
  <si>
    <t>fundraising</t>
  </si>
  <si>
    <t>When is the oldest armed seal of Warsaw from?</t>
  </si>
  <si>
    <t>What army was pushing deep into Polish territory to pursue the Germans in 1944?</t>
  </si>
  <si>
    <t>In what year was Fort Coligny destroyed?</t>
  </si>
  <si>
    <t>WatchESPN.</t>
  </si>
  <si>
    <t>What was the name of Theodore Roosevelt’s policy of imperialism?</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</si>
  <si>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</si>
  <si>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simple majority vote</t>
  </si>
  <si>
    <t>William Smilie</t>
  </si>
  <si>
    <t>Where in South Carolina did Huguenot nobility settle?</t>
  </si>
  <si>
    <t>biological structures and processes within an organism</t>
  </si>
  <si>
    <t>What percentage of Newcastle's population is it believed the Bolivians account for?</t>
  </si>
  <si>
    <t>Who did Tesla work for in the 1880s?</t>
  </si>
  <si>
    <t>direct patient care services that optimizes the use of medication and promotes health, wellness, and disease prevention</t>
  </si>
  <si>
    <t>In December 2014, President Uhuru Kenyatta signed a Security Laws Amendment Bill, which supporters of the law suggested was necessary to guard against armed groups. Opposition politicians, human rights groups, and nine Western countries criticised the security bill, arguing that it infringed on democratic freedoms. The governments of the United States, Britain, Germany and France also collectively issued a press statement cautioning about the law's potential impact. Through the Jubillee Coalition, the Bill was later passed on 19 December in the National Assembly under acrimonious circumstances.</t>
  </si>
  <si>
    <t>about 10,000</t>
  </si>
  <si>
    <t>Bauhaus</t>
  </si>
  <si>
    <t>second-largest city</t>
  </si>
  <si>
    <t>Khitan rulers</t>
  </si>
  <si>
    <t>$759,900</t>
  </si>
  <si>
    <t>For which TV season did color first become a dominant format?</t>
  </si>
  <si>
    <t>Advances in polynomial algebra were made by mathematicians during the Yuan era. The mathematician Zhu Shijie (1249–1314) solved simultaneous equations with up to four unknowns using a rectangular array of coefficients, equivalent to modern matrices. Zhu used a method of elimination to reduce the simultaneous equations to a single equation with only one unknown. His method is described in the Jade Mirror of the Four Unknowns, written in 1303. The opening pages contain a diagram of Pascal's triangle. The summation of a finite arithmetic series is also covered in the book.</t>
  </si>
  <si>
    <t>The censuring of the Santer Commission  resulted in which main case?</t>
  </si>
  <si>
    <t>social welfare</t>
  </si>
  <si>
    <t>show globe</t>
  </si>
  <si>
    <t>How many yards did the Carolina Panthers gain in the 487 in the NFC Championship Game?</t>
  </si>
  <si>
    <t>What did the BankAmericard allow customers do to that they couldn't do with previous financial instruments?</t>
  </si>
  <si>
    <t>What is the redundant concept coming from momentum conservation?</t>
  </si>
  <si>
    <t>Super Bowl</t>
  </si>
  <si>
    <t>Approximately how many musical instruments were loaned to the Horniman Museum?</t>
  </si>
  <si>
    <t>synthesize a small fraction of their proteins</t>
  </si>
  <si>
    <t>Who ruled Cyprus in 1191?</t>
  </si>
  <si>
    <t>waldzither</t>
  </si>
  <si>
    <t>Which areas were least vulnerable to disease?</t>
  </si>
  <si>
    <t>youth-oriented programming</t>
  </si>
  <si>
    <t>Before he died, what did Tesla's father ask him to do?</t>
  </si>
  <si>
    <t>1874</t>
  </si>
  <si>
    <t>Who was Cromwell's allies?</t>
  </si>
  <si>
    <t>What are the specific divisors of all even numbers larger than 2?</t>
  </si>
  <si>
    <t>What are presented to parliament in addition to the bill itself?</t>
  </si>
  <si>
    <t>How far is Fresno City College from the Tower District?</t>
  </si>
  <si>
    <t>What funds cannot be used if a teacher is not registered?</t>
  </si>
  <si>
    <t>Which musical group did the V&amp;A present in July 1973 as part of its youth outreach programme?</t>
  </si>
  <si>
    <t>What is the Rhine Gorge known for?</t>
  </si>
  <si>
    <t>The UMC stands in oppopsition to the creation of embroys for the sake of what?</t>
  </si>
  <si>
    <t>Issues dealt with at Westminster are not ones who is able to deal with?</t>
  </si>
  <si>
    <t>computational problem</t>
  </si>
  <si>
    <t>the convenience of the railroad and worried about flooding</t>
  </si>
  <si>
    <t>What are the two major thoroughfares of Sunnyside?</t>
  </si>
  <si>
    <t>Kenia and Kegnia</t>
  </si>
  <si>
    <t xml:space="preserve">What position does DeMarcus currently play? </t>
  </si>
  <si>
    <t>In one experiment, Lavoisier observed that there was no overall increase in weight when tin and air were heated in a closed container. He noted that air rushed in when he opened the container, which indicated that part of the trapped air had been consumed. He also noted that the tin had increased in weight and that increase was the same as the weight of the air that rushed back in. This and other experiments on combustion were documented in his book Sur la combustion en général, which was published in 1777. In that work, he proved that air is a mixture of two gases; 'vital air', which is essential to combustion and respiration, and azote (Gk. ἄζωτον "lifeless"), which did not support either. Azote later became nitrogen in English, although it has kept the name in French and several other European languages.</t>
  </si>
  <si>
    <t>a mouth that can usually be closed by muscles; a pharynx ("throat"); a wider area in the center that acts as a stomach; and a system of internal canals.</t>
  </si>
  <si>
    <t>Why did the oil ministers agree to a cut in oil production?</t>
  </si>
  <si>
    <t>producers of the show</t>
  </si>
  <si>
    <t>In what year was a program study done on the modules labeled as Block I and Block II?</t>
  </si>
  <si>
    <t>Britain and Holland</t>
  </si>
  <si>
    <t>various locations throughout the world</t>
  </si>
  <si>
    <t>Where does the largest part of Kenya's power come from?</t>
  </si>
  <si>
    <t>processed to remove random noise and camera shake without destroying historical legitimacy</t>
  </si>
  <si>
    <t>What is the term for a task that generally lends itself to being solved by a computer?</t>
  </si>
  <si>
    <t>the Red Turban rebels</t>
  </si>
  <si>
    <t>Antigone was a play made by whom?</t>
  </si>
  <si>
    <t>How many museums comprise Harvard Art Museums?</t>
  </si>
  <si>
    <t>What title was given to Genghis Khan posthumously?</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</si>
  <si>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</si>
  <si>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Bethencourt took the title of King of the Canary Islands, as vassal to Henry III of Castile. In 1418, Jean's nephew Maciot de Bethencourt sold the rights to the islands to Enrique Pérez de Guzmán, 2nd Count de Niebla.</t>
  </si>
  <si>
    <t>Where was his unfinished project called?</t>
  </si>
  <si>
    <t>aerobic</t>
  </si>
  <si>
    <t>white</t>
  </si>
  <si>
    <t>Luther's other major works on the Jews were his 60,000-word treatise Von den Juden und Ihren Lügen (On the Jews and Their Lies), and Vom Schem Hamphoras und vom Geschlecht Christi (On the Holy Name and the Lineage of Christ), both published in 1543, three years before his death. Luther argued that the Jews were no longer the chosen people but "the devil's people", and referred to them with violent, vile language. Citing Deuteronomy 13, wherein Moses commands the killing of idolaters and the burning of their cities and property as an offering to God, Luther called for a "scharfe Barmherzigkeit" ("sharp mercy") against the Jews "to see whether we might save at least a few from the glowing flames." Luther advocated setting synagogues on fire, destroying Jewish prayerbooks, forbidding rabbis from preaching, seizing Jews' property and money, and smashing up their homes, so that these "envenomed worms" would be forced into labour or expelled "for all time". In Robert Michael's view, Luther's words "We are at fault in not slaying them" amounted to a sanction for murder. "God's anger with them is so intense," Luther concluded, "that gentle mercy will only tend to make them worse, while sharp mercy will reform them but little. Therefore, in any case, away with them!"</t>
  </si>
  <si>
    <t>Warsaw Summer Jazz Days is one of the many what hosted by Warsaw?</t>
  </si>
  <si>
    <t>the Tyne and Wear Passenger Transport Executive.</t>
  </si>
  <si>
    <t>Oedipus</t>
  </si>
  <si>
    <t>Approximately how many architectural photographs does the V&amp;A hold in its collection?</t>
  </si>
  <si>
    <t>prints and architectural drawings</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</si>
  <si>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</si>
  <si>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lawyer</t>
  </si>
  <si>
    <t>two-thirds majority</t>
  </si>
  <si>
    <t>How many yards was the field goal Gano made to make the score 16-10?</t>
  </si>
  <si>
    <t>What happens to the jellyfish nematocysts when they are eaten by the haeckelia?</t>
  </si>
  <si>
    <t>Who was the Super Bowl 50 MVP?</t>
  </si>
  <si>
    <t>the thylakoids and intermembrane space</t>
  </si>
  <si>
    <t>Where is Genghis Khan's presumed to have been delivered?</t>
  </si>
  <si>
    <t>near the top end of the range given by IPCC's 2001 projection</t>
  </si>
  <si>
    <t>bars, cafés and clubs</t>
  </si>
  <si>
    <t>McGann and Eccleston's Doctors</t>
  </si>
  <si>
    <t>What parts of plants have chloroplasts?</t>
  </si>
  <si>
    <t>Whose work  corrected Aristotle's physics in the seventeenth century?</t>
  </si>
  <si>
    <t>What is the name of Elementary Schools?</t>
  </si>
  <si>
    <t>How high do plague fevers run?</t>
  </si>
  <si>
    <t>he moved south, he drove off or captured British traders</t>
  </si>
  <si>
    <t>In 2000, ABC started an internet based campaign focused on what?</t>
  </si>
  <si>
    <t>What was restored in the sculpture gallery during its renovated in 2006?</t>
  </si>
  <si>
    <t>10,006,721</t>
  </si>
  <si>
    <t>How long is the term of a Judicial Council member?</t>
  </si>
  <si>
    <t>Super Bowl Opening Night.</t>
  </si>
  <si>
    <t>By whom is European Law applied by?</t>
  </si>
  <si>
    <t>What magazine did Tesla talk to about the strange signals?</t>
  </si>
  <si>
    <t>What was first battle in 1754?</t>
  </si>
  <si>
    <t>37</t>
  </si>
  <si>
    <t>special oxygen chambers</t>
  </si>
  <si>
    <t>Graham Gano</t>
  </si>
  <si>
    <t>What is the name of another compelling continuation of the Fermat primality test?</t>
  </si>
  <si>
    <t>What did the Church do when Luther refused to retract his writings?</t>
  </si>
  <si>
    <t>48.8 °C (119.8 °F)</t>
  </si>
  <si>
    <t>Charles Darwin</t>
  </si>
  <si>
    <t>is the product of the host's cell membrane infolding to form a vesicle to surround the ancestral cyanobacterium</t>
  </si>
  <si>
    <t>In what episode did Dudley Simpson play a music conductor?</t>
  </si>
  <si>
    <t>students</t>
  </si>
  <si>
    <t>What comedy featuring stand up comedian Tim Allen debuted in 1991?</t>
  </si>
  <si>
    <t>What register did Chris Keates think that some teachers should not be placed on?</t>
  </si>
  <si>
    <t>explored the mountains in hunter's garb</t>
  </si>
  <si>
    <t>Richard Lindzen</t>
  </si>
  <si>
    <t>punts</t>
  </si>
  <si>
    <t>9:00 a.m. until 6:00 p.m. or later</t>
  </si>
  <si>
    <t>What was the final score for Super Bowl XXXIII?</t>
  </si>
  <si>
    <t>When did Washington reach Fort Le Boeuf?</t>
  </si>
  <si>
    <t>How are the certain costs which are difficult to avoid shared?</t>
  </si>
  <si>
    <t>What was the Plos Pathogens paper about?</t>
  </si>
  <si>
    <t xml:space="preserve">What is the largest city the Rhine runs through? </t>
  </si>
  <si>
    <t>What did the sparks do to the insulation?</t>
  </si>
  <si>
    <t>rounded</t>
  </si>
  <si>
    <t>16,000 species</t>
  </si>
  <si>
    <t>When was this committee by Seaman established?</t>
  </si>
  <si>
    <t>Parris Island</t>
  </si>
  <si>
    <t>University of Chicago Laboratory Schools</t>
  </si>
  <si>
    <t>violence that subsequently engulfed the country</t>
  </si>
  <si>
    <t>Deacons</t>
  </si>
  <si>
    <t>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30–60% of Europe's total population. In total, the plague reduced the world population from an estimated 450 million down to 350–375 million in the 14th century. The world population as a whole did not recover to pre-plague levels until the 17th century. The plague recurred occasionally in Europe until the 19th century.</t>
  </si>
  <si>
    <t>high cost of medications and drug-related technology</t>
  </si>
  <si>
    <t>Which animal that lives in the Amazon river may produce a deadly shock?</t>
  </si>
  <si>
    <t>Who has the power to initiate legislation within the European Union?</t>
  </si>
  <si>
    <t>What was Henry IV known as before taking the throne?</t>
  </si>
  <si>
    <t>No appointment is official fixed until what occurs?</t>
  </si>
  <si>
    <t>Juvenile platyctenids act like what?</t>
  </si>
  <si>
    <t>oscillating cylinder</t>
  </si>
  <si>
    <t>What physical quantities do not have direction?</t>
  </si>
  <si>
    <t>What county was Newcastle a part of until 1400?</t>
  </si>
  <si>
    <t>David.</t>
  </si>
  <si>
    <t>the 50th Super Bowl</t>
  </si>
  <si>
    <t>How were most city officials elected in the 1960s?</t>
  </si>
  <si>
    <t>the Commentaries on the Classic of Changes (I Ching)</t>
  </si>
  <si>
    <t>What country is ABC broadcast in, in contrast to Disney's other channels?</t>
  </si>
  <si>
    <t>What is an apicoplast?</t>
  </si>
  <si>
    <t>What older dynasty was replaced by the Western Liao, or Qara Khitai?</t>
  </si>
  <si>
    <t>What is the name of the state that the megaregion expands to in the east?</t>
  </si>
  <si>
    <t>less than $1.25</t>
  </si>
  <si>
    <t>cycling festival,</t>
  </si>
  <si>
    <t>3 and 14 hours a week</t>
  </si>
  <si>
    <t>Mike Figgis</t>
  </si>
  <si>
    <t>The official opening by Queen Victoria was on 22 June 1857. In the following year, late night openings were introduced, made possible by the use of gas lighting. This was to enable in the words of Cole "to ascertain practically what hours are most convenient to the working classes"—this was linked to the use of the collections of both applied art and science as educational resources to help boost productive industry. In these early years the practical use of the collection was very much emphasised as opposed to that of "High Art" at the National Gallery and scholarship at the British Museum. George Wallis (1811–1891), the first Keeper of Fine Art Collection, passionately promoted the idea of wide art education through the museum collections. This led to the transfer to the museum of the School of Design that had been founded in 1837 at Somerset House; after the transfer it was referred to as the Art School or Art Training School, later to become the Royal College of Art which finally achieved full independence in 1949. From the 1860s to the 1880s the scientific collections had been moved from the main museum site to various improvised galleries to the west of Exhibition Road. In 1893 the "Science Museum" had effectively come into existence when a separate director was appointed.</t>
  </si>
  <si>
    <t>shocked</t>
  </si>
  <si>
    <t>What is the name of world renowned cellist is a former Harvard student?</t>
  </si>
  <si>
    <t>to cause their repeal</t>
  </si>
  <si>
    <t>When did Luther save the group of nuns from the convent?</t>
  </si>
  <si>
    <t>The corruption found by the Committee of Independent Experts resulted to the creation of what office?</t>
  </si>
  <si>
    <t>Thesis 86,</t>
  </si>
  <si>
    <t>Sri Lanka</t>
  </si>
  <si>
    <t>When did the lightening event happen?</t>
  </si>
  <si>
    <t>president</t>
  </si>
  <si>
    <t>It was not until the 1965–66 season that color became the dominant format for the three broadcast television networks. ABC, meanwhile, remained in third place and still needed money to grow itself into a major competitor. However, ABC's issues with its transition to color became secondary compared to the network's financial problems; in 1964, the network found itself, as Goldenson later wrote in the 1991 book "Beating the Odds: The Untold Story Behind the Rise of ABC", "in the middle of a war [where] the battlefield was Wall Street". Many companies sought to take over ABC, including Norton Simon, General Electric, International Telephone and Telegraph and Litton Industries.</t>
  </si>
  <si>
    <t>twenty-five widows who settled in Dover</t>
  </si>
  <si>
    <t>When was vetting introduced?</t>
  </si>
  <si>
    <t>Pierre Pictet</t>
  </si>
  <si>
    <t>Luther devised the catechism as a method of imparting the basics of Christianity to the congregations. In 1529, he wrote the Large Catechism, a manual for pastors and teachers, as well as a synopsis, the Small Catechism, to be memorised by the people themselves. The catechisms provided easy-to-understand instructional and devotional material on the Ten Commandments, the Apostles' Creed, the Lord's Prayer, baptism, and the Lord's Supper. Luther incorporated questions and answers in the catechism so that the basics of Christian faith would not just be learned by rote, "the way monkeys do it", but understood.</t>
  </si>
  <si>
    <t>What is distribution of income from labor due to the differences of?</t>
  </si>
  <si>
    <t>What award was given to Corliss?</t>
  </si>
  <si>
    <t>What is the name of the holding company for BSkyB?</t>
  </si>
  <si>
    <t>1290</t>
  </si>
  <si>
    <t>The show has received recognition as one of Britain's finest television programmes, winning the 2006 British Academy Television Award for Best Drama Series and five consecutive (2005–2010) awards at the National Television Awards during Russell T Davies' tenure as executive producer. In 2011, Matt Smith became the first Doctor to be nominated for a BAFTA Television Award for Best Actor and in 2016, Michelle Gomez became the first female to receive a BAFTA nomination for the series, getting a Best Supporting Actress nomination for her work as Missy.</t>
  </si>
  <si>
    <t>organic solvents</t>
  </si>
  <si>
    <t>How many major bus stations are in the city of Newcastle?</t>
  </si>
  <si>
    <t>Where was it shown to have a 0.3% prevalence of sexual abuse by professionals?</t>
  </si>
  <si>
    <t>"ensure that in the interpretation and application of the Treaties the law is observed"</t>
  </si>
  <si>
    <t>The University of Chicago (UChicago, Chicago, or U of C) is a private research university in Chicago. The university, established in 1890, consists of The College, various graduate programs, interdisciplinary committees organized into four academic research divisions and seven professional schools. Beyond the arts and sciences, Chicago is also well known for its professional schools, which include the Pritzker School of Medicine, the University of Chicago Booth School of Business, the Law School, the School of Social Service Administration, the Harris School of Public Policy Studies, the Graham School of Continuing Liberal and Professional Studies and the Divinity School. The university currently enrolls approximately 5,000 students in the College and around 15,000 students overall.</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</si>
  <si>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</si>
  <si>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Charles L. Hutchinson</t>
  </si>
  <si>
    <t>What are Phycobilins?</t>
  </si>
  <si>
    <t>early</t>
  </si>
  <si>
    <t>Some have generalized the meaning of the word imperialism down to general-purpose what?</t>
  </si>
  <si>
    <t>telecommunications</t>
  </si>
  <si>
    <t>What is European Union Law?</t>
  </si>
  <si>
    <t>What fields of study did Martin Luther prefer?</t>
  </si>
  <si>
    <t>special university classes</t>
  </si>
  <si>
    <t>Archbishop of Trier</t>
  </si>
  <si>
    <t>the third étude</t>
  </si>
  <si>
    <t>Selznick library</t>
  </si>
  <si>
    <t>receptors</t>
  </si>
  <si>
    <t>creating a comprehensive drug therapy plan for patient-specific problems</t>
  </si>
  <si>
    <t>What is dramatic gesturing an example of?</t>
  </si>
  <si>
    <t>What is negatively correlated to the duration of economic growth?</t>
  </si>
  <si>
    <t>Doctor Who finally returned with the episode "Rose" on BBC One on 26 March 2005. There have since been nine further series in 2006–2008 and 2010–2015, and Christmas Day specials every year since 2005. No full series was filmed in 2009, although four additional specials starring David Tennant were made. In 2010, Steven Moffat replaced Davies as head writer and executive producer. In January 2016, Moffat announced that he would step down after the 2017 finale, to be replaced by Chris Chibnall in 2018. In addition, Series 10 will debut in Spring 2017, with a Christmas special broadcast in 2016.</t>
  </si>
  <si>
    <t>Neo-Confucianism and also devoted himself in Buddhism</t>
  </si>
  <si>
    <t>Terra preta (black earth), which is distributed over large areas in the Amazon forest, is now widely accepted as a product of indigenous soil management. The development of this fertile soil allowed agriculture and silviculture in the previously hostile environment; meaning that large portions of the Amazon rainforest are probably the result of centuries of human management, rather than naturally occurring as has previously been supposed. In the region of the Xingu tribe, remains of some of these large settlements in the middle of the Amazon forest were found in 2003 by Michael Heckenberger and colleagues of the University of Florida. Among those were evidence of roads, bridges and large plazas.</t>
  </si>
  <si>
    <t>What degree is now mandatory in the U.S. in order to be a licensed pharmacist?</t>
  </si>
  <si>
    <t>Jacksonville</t>
  </si>
  <si>
    <t>World War I,</t>
  </si>
  <si>
    <t>What do later versions of the Lord's Prayer hymn still use?</t>
  </si>
  <si>
    <t>The first historical reference to Warsaw dates back to the year 1313, at a time when Kraków served as the Polish capital city. Due to its central location between the Polish–Lithuanian Commonwealth's capitals of Kraków and Vilnius, Warsaw became the capital of the Commonwealth and of the Crown of the Kingdom of Poland when King Sigismund III Vasa moved his court from Kraków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</si>
  <si>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On what English calendar is Luther commemorated?</t>
  </si>
  <si>
    <t>Where is the chloroplast peripheral reticulum usually found?</t>
  </si>
  <si>
    <t>active</t>
  </si>
  <si>
    <t>Paul Samuelson</t>
  </si>
  <si>
    <t>Los Angeles (at 3.7 million people) and San Diego (at 1.3 million people), both in southern California, are the two largest cities in all of California (and two of the eight largest cities in the United States). In southern California there are also twelve cities with more than 200,000 residents and 34 cities over 100,000 in population. Many of southern California's most developed cities lie along or in close proximity to the coast, with the exception of San Bernardino and Riverside.</t>
  </si>
  <si>
    <t>When were the elections that produced a higher vote by Protestant Nazi sympathizers than by Catholics?</t>
  </si>
  <si>
    <t>evolution of the German language</t>
  </si>
  <si>
    <t>What other former halftime show performer joined Coldplay and Beyoncé for the Super Bowl 50 halftime show?</t>
  </si>
  <si>
    <t>How much rain per year does Fresno get on average?</t>
  </si>
  <si>
    <t>What is an example of an immunosuppressive drug that prevents T cell activity by altering signal transduction pathways?</t>
  </si>
  <si>
    <t>When did embankment of the major Rhine distributaries take palce?</t>
  </si>
  <si>
    <t>39</t>
  </si>
  <si>
    <t>c1750</t>
  </si>
  <si>
    <t>Chebyshev</t>
  </si>
  <si>
    <t>The programme's first serial, An Unearthly Child, shows that the Doctor has a granddaughter, Susan Foreman. In the 1967 serial, Tomb of the Cybermen, when Victoria Waterfield doubts the Doctor can remember his family because of, "being so ancient", the Doctor says that he can when he really wants to—"The rest of the time they sleep in my mind". The 2005 series reveals that the Ninth Doctor thought he was the last surviving Time Lord, and that his home planet had been destroyed; in "The Empty Child" (2005), Dr. Constantine states that, "Before the war even began, I was a father and a grandfather. Now I am neither." The Doctor remarks in response, "Yeah, I know the feeling." In "Smith and Jones" (2007), when asked if he had a brother, he replied, "No, not any more." In both "Fear Her" (2006) and "The Doctor's Daughter" (2008), he states that he had, in the past, been a father.</t>
  </si>
  <si>
    <t>Harvard</t>
  </si>
  <si>
    <t>government schools formerly reserved for white children</t>
  </si>
  <si>
    <t>up to four minutes</t>
  </si>
  <si>
    <t>reach locations not on the private network</t>
  </si>
  <si>
    <t>10 times</t>
  </si>
  <si>
    <t>What injury did Thomas Davis suffer during the playoff games?</t>
  </si>
  <si>
    <t>"Bricks for Warsaw"</t>
  </si>
  <si>
    <t>St. George's United Methodist Church</t>
  </si>
  <si>
    <t>Gateshead Music and Arts Centre</t>
  </si>
  <si>
    <t>at the Moscone Center</t>
  </si>
  <si>
    <t>Which part of China had people ranked higher in the class system?</t>
  </si>
  <si>
    <t>Before Rollo's arrival, its populations did not differ from Picardy or the Île-de-France, which were considered "Frankish". Earlier Viking settlers had begun arriving in the 880s, but were divided between colonies in the east (Roumois and Pays de Caux) around the low Seine valley and in the west in the Cotentin Peninsula, and were separated by traditional pagii, where the population remained about the same with almost no foreign settlers. Rollo's contingents who raided and ultimately settled Normandy and parts of the Atlantic coast included Danes, Norwegians, Norse–Gaels, Orkney Vikings, possibly Swedes, and Anglo-Danes from the English Danelaw under Norse control.</t>
  </si>
  <si>
    <t>What protestant religions made Northern European counties safe for Huguenot immigration?</t>
  </si>
  <si>
    <t>What bargain did his father make with him if Tesla recovered?</t>
  </si>
  <si>
    <t>The transportation law allows personal aircraft to share the roadways with what?</t>
  </si>
  <si>
    <t>Where are teachers recruited from?</t>
  </si>
  <si>
    <t>What New Orleans stadium was considered for Super Bowl 50?</t>
  </si>
  <si>
    <t>What was Tesla's belief as to the selling price of the biplane?</t>
  </si>
  <si>
    <t>A strike by what entity resulted in a halt to production for network programs in the 2007-2008 season?</t>
  </si>
  <si>
    <t>In what year was Henry Ware elected to chair?</t>
  </si>
  <si>
    <t>What organization has continued to be a major disruptive force in Palestine?</t>
  </si>
  <si>
    <t>Dendritic cells present antigens to what cells of the adaptive nervous system?</t>
  </si>
  <si>
    <t>What directions the local church to offer membership preparation to all people?</t>
  </si>
  <si>
    <t>Where does the Rhine river's measurement begin?</t>
  </si>
  <si>
    <t>Virginia in the South to Nova Scotia in the North</t>
  </si>
  <si>
    <t>When did Wesley appoint Thomas Coke as bishop?</t>
  </si>
  <si>
    <t>adjustable spring-loaded valve</t>
  </si>
  <si>
    <t>When did sideline jackets and hats start to feature gold-trimmed logos?</t>
  </si>
  <si>
    <t>the southern and central parts of France</t>
  </si>
  <si>
    <t>Beyoncé</t>
  </si>
  <si>
    <t>Janet Gray</t>
  </si>
  <si>
    <t>What is the low-power station that serves Birmingham, Alabama for ABC?</t>
  </si>
  <si>
    <t>computational resource</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</si>
  <si>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</si>
  <si>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did he hope to locate underground?</t>
  </si>
  <si>
    <t>members</t>
  </si>
  <si>
    <t>a ciliary groove</t>
  </si>
  <si>
    <t>a combination of poor management, internal divisions, and effective Canadian scouts, French regular forces, and Indian warrior allies</t>
  </si>
  <si>
    <t>What team di the Broncos tie a Super Bowl record for in sacks?</t>
  </si>
  <si>
    <t>In which point did the drainage basin of the Amazon split?</t>
  </si>
  <si>
    <t>Chloroplasts</t>
  </si>
  <si>
    <t>Who had Toghtogha tried to defeat?</t>
  </si>
  <si>
    <t>platoon</t>
  </si>
  <si>
    <t>orbital scientific instrument package</t>
  </si>
  <si>
    <t>Has there ever been anyone charged with importing drugs from Canada for personal medicinal use?</t>
  </si>
  <si>
    <t>What was Martin Parry's role in the IPCC?</t>
  </si>
  <si>
    <t>Where does a private school get funding to operate?</t>
  </si>
  <si>
    <t>"Beating the Odds: The Untold Story Behind the Rise of ABC"</t>
  </si>
  <si>
    <t>$20.4 billion</t>
  </si>
  <si>
    <t>Who did the US provide aid to, to fight against the Soviet Union?</t>
  </si>
  <si>
    <t>general disobedience</t>
  </si>
  <si>
    <t>Morocco and Ethiopia</t>
  </si>
  <si>
    <t>the convecting mantle</t>
  </si>
  <si>
    <t>Most imperialism was carried out using which method of transport?</t>
  </si>
  <si>
    <t>What is the minimum distance between a patient's home and the nearest pharmacy that allows a physician to give out medication?</t>
  </si>
  <si>
    <t>When did BSkyB announce it's intention to replace it's free-to-air digital channels?</t>
  </si>
  <si>
    <t>hotel room</t>
  </si>
  <si>
    <t>When did President Uhuru Kenyatta sign a Security Law Amendment Bill?</t>
  </si>
  <si>
    <t>symbolic illegal protests</t>
  </si>
  <si>
    <t>Maria Fold and Thrust Belt</t>
  </si>
  <si>
    <t>Uni in the USA</t>
  </si>
  <si>
    <t>Killer T</t>
  </si>
  <si>
    <t>clapping their lobes</t>
  </si>
  <si>
    <t>absolute ages</t>
  </si>
  <si>
    <t>What type of outcomes can even stable markets lead to?</t>
  </si>
  <si>
    <t>What was the basis mentioned for the develpment of the general theory of relativity?</t>
  </si>
  <si>
    <t>leaf-shaped buildings</t>
  </si>
  <si>
    <t>it is neither zero nor a unit</t>
  </si>
  <si>
    <t xml:space="preserve">What year was the university's first president given his position? </t>
  </si>
  <si>
    <t>The Master is the Doctor's archenemy, a renegade Time Lord who desires to rule the universe. Conceived as "Professor Moriarty to the Doctor's Sherlock Holmes", the character first appeared in 1971. As with the Doctor, the role has been portrayed by several actors, since the Master is a Time Lord as well and able to regenerate; the first of these actors was Roger Delgado, who continued in the role until his death in 1973. The Master was briefly played by Peter Pratt and Geoffrey Beevers until Anthony Ainley took over and continued to play the character until Doctor Who's hiatus in 1989. The Master returned in the 1996 television movie of Doctor Who, and was played by American actor Eric Roberts.</t>
  </si>
  <si>
    <t>late 19th century.</t>
  </si>
  <si>
    <t>Lake George</t>
  </si>
  <si>
    <t>February 9, 1953</t>
  </si>
  <si>
    <t>ACL tears</t>
  </si>
  <si>
    <t>essentially holy people</t>
  </si>
  <si>
    <t>What report had the correct date?</t>
  </si>
  <si>
    <t>What is the term for the set of all connected graphs related to this decision problem?</t>
  </si>
  <si>
    <t>seawater</t>
  </si>
  <si>
    <t>What animals does the Vistula river's ecosystem include?</t>
  </si>
  <si>
    <t>When was Scotland invaded by William?</t>
  </si>
  <si>
    <t>Santa Clara Marriott.</t>
  </si>
  <si>
    <t>6th century BC</t>
  </si>
  <si>
    <t>low latitude</t>
  </si>
  <si>
    <t>technological changes and globalization</t>
  </si>
  <si>
    <t>Which running back did the Panthers waive?</t>
  </si>
  <si>
    <t>science-fiction</t>
  </si>
  <si>
    <t>The IPCC Fourth Assessment Report (AR4) published in 2007 featured a graph showing 12 proxy based temperature reconstructions, including the three highlighted in the 2001 Third Assessment Report (TAR); Mann, Bradley &amp; Hughes 1999 as before, Jones et al. 1998 and Briffa 2000 had both been calibrated by newer studies. In addition, analysis of the Medieval Warm Period cited reconstructions by Crowley &amp; Lowery 2000 (as cited in the TAR) and Osborn &amp; Briffa 2006. Ten of these 14 reconstructions covered 1,000 years or longer. Most reconstructions shared some data series, particularly tree ring data, but newer reconstructions used additional data and covered a wider area, using a variety of statistical methods. The section discussed the divergence problem affecting certain tree ring data.</t>
  </si>
  <si>
    <t>the first six years</t>
  </si>
  <si>
    <t>Prior to the arrival of the French, the area now known as Jacksonville was previously inhabited by what people?</t>
  </si>
  <si>
    <t>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t>
  </si>
  <si>
    <t>Liberal Party</t>
  </si>
  <si>
    <t>peoples university</t>
  </si>
  <si>
    <t>kinescope recordings</t>
  </si>
  <si>
    <t>chloroplasts have a third plastid-dividing ring located in the chloroplast's intermembrane space</t>
  </si>
  <si>
    <t>1377</t>
  </si>
  <si>
    <t>Sky</t>
  </si>
  <si>
    <t>fundamental theorem of arithmetic</t>
  </si>
  <si>
    <t>Apollo 12</t>
  </si>
  <si>
    <t>What is another way of learning that is not formal?</t>
  </si>
  <si>
    <t>different classifications of workers</t>
  </si>
  <si>
    <t>Which newspaper defined southern California?</t>
  </si>
  <si>
    <t>5 pm</t>
  </si>
  <si>
    <t>Prevenient grace,</t>
  </si>
  <si>
    <t>In what year was the 40th anniversary of ABC's founding?</t>
  </si>
  <si>
    <t>Where does the diatom endosymbiont store starch?</t>
  </si>
  <si>
    <t>Who in Warsaw has the power of legislative action?</t>
  </si>
  <si>
    <t>How do you determine the acceleration of a rope when two people are pulling it?</t>
  </si>
  <si>
    <t>Whose saying about freeing souls from purgatory was often quoted?</t>
  </si>
  <si>
    <t>France's claim to the region was superior to that of the British</t>
  </si>
  <si>
    <t>arms</t>
  </si>
  <si>
    <t xml:space="preserve">What is the definition of agency as it relates to capabilities? </t>
  </si>
  <si>
    <t>tribes led by Jamukha</t>
  </si>
  <si>
    <t>environmental factors</t>
  </si>
  <si>
    <t>What is the edge of the moraine plateau called?</t>
  </si>
  <si>
    <t>a village</t>
  </si>
  <si>
    <t>0.2 inhabitants per square kilometre</t>
  </si>
  <si>
    <t>Who was the broadcaster for Super Bowl 50 in the United States?</t>
  </si>
  <si>
    <t>What was done to counteract the overpopulation of mnemiopsis in The Black Sea?</t>
  </si>
  <si>
    <t>activities of muggers, arsonists, draft evaders, campaign hecklers, campus militants, anti-war demonstrators, juvenile delinquents and political assassins</t>
  </si>
  <si>
    <t>Due to its central location</t>
  </si>
  <si>
    <t>inequality first increases</t>
  </si>
  <si>
    <t>How much dust is blown out of the Sahara each year?</t>
  </si>
  <si>
    <t>long lasting detrimental effect</t>
  </si>
  <si>
    <t>What did Carolina face in the opening drive that they had not faced the entire postseason?</t>
  </si>
  <si>
    <t>Grover Cleveland</t>
  </si>
  <si>
    <t>in the student</t>
  </si>
  <si>
    <t>What was the Warsaw Pact war plan?</t>
  </si>
  <si>
    <t>Spanish moss</t>
  </si>
  <si>
    <t>chronic and complex disease states such as cancer, hepatitis, and rheumatoid arthritis</t>
  </si>
  <si>
    <t>What do increased greenhouse gases cause?</t>
  </si>
  <si>
    <t>After an unmanned LM test flight AS-206, a crew would fly the first Block II CSM and LM in a dual mission known as AS-207/208, or AS-278 (each spacecraft would be launched on a separate Saturn IB.) The Block II crew positions were titled Commander (CDR) Command Module Pilot (CMP) and Lunar Module Pilot (LMP). The astronauts would begin wearing a new Apollo spacesuit, designed to accommodate lunar extravehicular activity (EVA). The traditional visor helmet was replaced with a clear "fishbowl" type for greater visibility, and the lunar surface EVA suit would include a water-cooled undergarment.</t>
  </si>
  <si>
    <t>translation initiation</t>
  </si>
  <si>
    <t>Who created the theme used in 1986?</t>
  </si>
  <si>
    <t>(n − 1)!</t>
  </si>
  <si>
    <t>Which English sculptor who became the leading portrait sculptor in Regency era Britain is represented in the V&amp;A collection?</t>
  </si>
  <si>
    <t>Rocks on top of a fault that are cut are always older or younger than the fault itself?</t>
  </si>
  <si>
    <t>90.20 K</t>
  </si>
  <si>
    <t xml:space="preserve">How are AUSTPAC connections made </t>
  </si>
  <si>
    <t>Vγ9/Vδ2 T cells</t>
  </si>
  <si>
    <t>until the empire fell</t>
  </si>
  <si>
    <t>Ancient Egypt</t>
  </si>
  <si>
    <t>the 1978 Supreme Court case of FCC v. Pacifica Foundation</t>
  </si>
  <si>
    <t>south side of the garden</t>
  </si>
  <si>
    <t>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Llívia, a Catalan enclave close to Puigcerdà, also now a museum, dates back to the 15th century, keeping albarellos from the 16th and 17th centuries, old prescription books and antique drugs.</t>
  </si>
  <si>
    <t>increasingly</t>
  </si>
  <si>
    <t>Who is the current captian of the cricket team?</t>
  </si>
  <si>
    <t>the father of Chilaun</t>
  </si>
  <si>
    <t>Kurt H. Debus,</t>
  </si>
  <si>
    <t>30 °C</t>
  </si>
  <si>
    <t>What was Temur Khan's Chinese-style name?</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</si>
  <si>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</si>
  <si>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Which of Luther's hymn was the main one for Advent?</t>
  </si>
  <si>
    <t xml:space="preserve">What happens to the GDP growth of a country if the income share of the top 20 percent increases, according to IMF staff economists? </t>
  </si>
  <si>
    <t>Kenya has a warm and humid tropical climate on its Indian Ocean coastline. The climate is cooler in the savannah grasslands around the capital city, Nairobi, and especially closer to Mount Kenya, which has snow permanently on its peaks. Further inland, in the Nyanza region, there is a hot and dry climate which becomes humid around Lake Victoria, the largest tropical fresh-water lake in the world. This gives way to temperate and forested hilly areas in the neighboring western region. The north-eastern regions along the border with Somalia and Ethiopia are arid and semi-arid areas with near-desert landscapes. Kenya is known for its safaris, diverse climate and geography, and expansive wildlife reserves and national parks such as the East and West Tsavo National Park, the Maasai Mara, Lake Nakuru National Park, and Aberdares National Park. Kenya has several world heritage sites such as Lamu and numerous beaches, including in Diani, Bamburi and Kilifi, where international yachting competitions are held every year.</t>
  </si>
  <si>
    <t>solvents</t>
  </si>
  <si>
    <t>To where is most of the abalone and lobster caught in Victorian waters shipped?</t>
  </si>
  <si>
    <t>Treaty of Rome 1957 and the Maastricht Treaty 1992</t>
  </si>
  <si>
    <t>What is the term for the lack of obsevable free quarks?</t>
  </si>
  <si>
    <t>In the most common construction procurement, who acts as the project coordinator?</t>
  </si>
  <si>
    <t>What is the largest city in all of California?</t>
  </si>
  <si>
    <t>he had noticed damaged film in his laboratory in previous experiments</t>
  </si>
  <si>
    <t>What are MPs unable to vote upon?</t>
  </si>
  <si>
    <t>their functions</t>
  </si>
  <si>
    <t>two atoms</t>
  </si>
  <si>
    <t>invasion failed</t>
  </si>
  <si>
    <t>What does the title Gür Khan mean?</t>
  </si>
  <si>
    <t>Daidu in the north</t>
  </si>
  <si>
    <t>higher rates</t>
  </si>
  <si>
    <t>In 1939, c. 1,300,000 people lived in Warsaw, but in 1945 – only 420,000. During the first years after the war, the population growth was c. 6%, so shortly the city started to suffer from the lack of flats and of areas for new houses. The first remedial measure was the Warsaw area enlargement (1951) –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 even though since 1990 there are no limitations to residency registration anymore.</t>
  </si>
  <si>
    <t>Green</t>
  </si>
  <si>
    <t>the Amboise plot</t>
  </si>
  <si>
    <t>defensins and zinc</t>
  </si>
  <si>
    <t>What is the approximate turbine entry temperature of a gas turbine?</t>
  </si>
  <si>
    <t>Of what region was Saxony a part?</t>
  </si>
  <si>
    <t>similarity to the checks and balances system of the U.S. and many other governments</t>
  </si>
  <si>
    <t>Who selected the first Apollo crew?</t>
  </si>
  <si>
    <t>market and technology realities</t>
  </si>
  <si>
    <t>What percentage of a high pressure engine's efficiency has the Energiprojekt AB engine achieved?</t>
  </si>
  <si>
    <t xml:space="preserve">Who was the War of Currents waged between? </t>
  </si>
  <si>
    <t>Charles W. Eliot, president 1869–1909,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</si>
  <si>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In 1893 Richard Dean Adams, who headed up the Niagara Falls Cataract Construction Company sought Tesla's opinion on what system would be best to transmit power generated at the falls. Over several years there had been a series of proposals and open competitions on how best to utilize power generated by the falls with many systems being proposed by several US and European companies including two-phase and three-phase AC, high-voltage DC, and even compressed air. Adams pumped Tesla for information about the current state of all the competing systems. Tesla advised Adams that a two-phased system would be the most reliable and that there was a Westinghouse system to light incandescent bulbs using two-phase alternating current. Based on Tesla's advice and Westinghouse's demonstration that they could build a complete AC system at the Columbian Exposition, a contract for building a two-phase AC generating system at the Niagara Falls was awarded to Westinghouse Electric. A further contract to build the AC distribution system was awarded to General Electric.</t>
  </si>
  <si>
    <t>driving Israel out of the Gaza Strip</t>
  </si>
  <si>
    <t>Where was Halford Mackinder born?</t>
  </si>
  <si>
    <t>What is an additional meaning intended when the word prime is used?</t>
  </si>
  <si>
    <t>a line of five stars arranged in the sky</t>
  </si>
  <si>
    <t>New Jersey, Rhode Island and Delaware</t>
  </si>
  <si>
    <t>What type of government investigations apply to civil disobedience?</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</si>
  <si>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</si>
  <si>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pine</t>
  </si>
  <si>
    <t>According to the Nobel Foundation what has to happen before someone can decline a prize?</t>
  </si>
  <si>
    <t>What, rather than Islamism, requires explanation?</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</si>
  <si>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</si>
  <si>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How many years does the V&amp;A's collections span?</t>
  </si>
  <si>
    <t>Department of State Affairs</t>
  </si>
  <si>
    <t>The success of pathogens is predicated on their ability to do what?</t>
  </si>
  <si>
    <t>When did rapid warming begin and help vegetation?</t>
  </si>
  <si>
    <t>Franz Pieper</t>
  </si>
  <si>
    <t>Doctor of Pharmacy</t>
  </si>
  <si>
    <t>What types of waves do seismologists use to image the interior of the Earth?</t>
  </si>
  <si>
    <t>How is Temüjin written in pinyin?</t>
  </si>
  <si>
    <t>double coronation</t>
  </si>
  <si>
    <t>Amazonia: Man and Culture in a Counterfeit Paradise</t>
  </si>
  <si>
    <t>Guinness World Records</t>
  </si>
  <si>
    <t>What fish living in the Amazon river is known to bit humans?</t>
  </si>
  <si>
    <t>How much did Westinghouse pay for Tesla's designs?</t>
  </si>
  <si>
    <t>When did British government give land for development of Ohio Country?</t>
  </si>
  <si>
    <t>Brotherhood</t>
  </si>
  <si>
    <t>A modern example of school discipline in North America and Western Europe relies upon the idea of an assertive teacher who is prepared to impose their will upon a class. Positive reinforcement is balanced with immediate and fair punishment for misbehavior and firm, clear boundaries define what is appropriate and inappropriate behavior. Teachers are expected to respect their students; sarcasm and attempts to humiliate pupils are seen as falling outside of what constitutes reasonable discipline.[verification needed]</t>
  </si>
  <si>
    <t>civil rebellion</t>
  </si>
  <si>
    <t>if they were non-discriminatory</t>
  </si>
  <si>
    <t>John Harvard</t>
  </si>
  <si>
    <t>Parachutes</t>
  </si>
  <si>
    <t>What is the name of the French colony established in 1564?</t>
  </si>
  <si>
    <t>automobiles</t>
  </si>
  <si>
    <t>decreases</t>
  </si>
  <si>
    <t>Which country rationed gasoline and heating gas?</t>
  </si>
  <si>
    <t>Lunar Roving Vehicle (LRV)</t>
  </si>
  <si>
    <t>Who protected Jamukha after he escaped the conflict with Temüjin?</t>
  </si>
  <si>
    <t>Who expounded the Three Laws of Motion?</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</si>
  <si>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</si>
  <si>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tidal currents</t>
  </si>
  <si>
    <t>the Rhine</t>
  </si>
  <si>
    <t>a trained monkey</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</si>
  <si>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</si>
  <si>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Mike Tolbert</t>
  </si>
  <si>
    <t>What type of measurements result under Schrodinger equations when using operators instead of Newtonian variables?</t>
  </si>
  <si>
    <t>pollution</t>
  </si>
  <si>
    <t>What sections of Church dogma did Luther come to view in another way?</t>
  </si>
  <si>
    <t>Prussia</t>
  </si>
  <si>
    <t>Who are commonly associated with the algorithm typically considered the most effective with respect to finite polynomial hierarchy and graph isomorphism?</t>
  </si>
  <si>
    <t>What governing body appoints commissioners and the board of European Central Bank?</t>
  </si>
  <si>
    <t>What UN resolution endorsed the IPCC?</t>
  </si>
  <si>
    <t>the Eleventh</t>
  </si>
  <si>
    <t>boycotts</t>
  </si>
  <si>
    <t>Marshall Cohen</t>
  </si>
  <si>
    <t>Who was the final Prime Minister of East Germany?</t>
  </si>
  <si>
    <t>During the First Sino-Japanese War in 1894, Japan absorbed Taiwan. As a result of the Russo-Japanese War in 1905, Japan took part of Sakhalin Island from Russia. Korea was annexed in 1910. During World War I, Japan took German-leased territories in China’s Shandong Province, as well as the Mariana, Caroline, and Marshall Islands. In 1918, Japan occupied parts of far eastern Russia and parts of eastern Siberia as a participant in the Siberian Intervention. In 1931 Japan conquered Manchuria from China. During the Second Sino-Japanese War in 1937, Japan's military invaded central China and by the end of the Pacific War, Japan had conquered much of the Far East, including Hong Kong, Vietnam, Cambodia, Myanmar, the Philippines, Indonesia, part of New Guinea and some islands of the Pacific Ocean. Japan also invaded Thailand, pressuring the country into a Thai/Japanese alliance. Its colonial ambitions were ended by the victory of the United States in the Second World War and the following treaties which remanded those territories to American administration or their original owners.</t>
  </si>
  <si>
    <t>Which new subdivision of ABC films produced programming for U.S. syndication?</t>
  </si>
  <si>
    <t>On what date was the record low temperature in Fresno?</t>
  </si>
  <si>
    <t>Where was Temüjin's patron Toghrul exiled?</t>
  </si>
  <si>
    <t>His poor physical health made him short-tempered and even harsher in his writings and comments. His wife Katharina was overheard saying, "Dear husband, you are too rude," and he responded, "They are teaching me to be rude." In 1545 and 1546 Luther preached three times in the Market Church in Halle, staying with his friend Justus Jonas during Christmas.</t>
  </si>
  <si>
    <t>Which amino acids contain sulfur?</t>
  </si>
  <si>
    <t>Who exclusively broadcast the game in Spanish after reaching an agreement with the NFL and CBS?</t>
  </si>
  <si>
    <t>foundations were laid out</t>
  </si>
  <si>
    <t>What did Luther add to his catechisms?</t>
  </si>
  <si>
    <t>In what part of the city did residents suffer from a lack of city services?</t>
  </si>
  <si>
    <t xml:space="preserve"> Where were missing patents later found?</t>
  </si>
  <si>
    <t>How old was Chopin when he moved to Warsaw with his family?</t>
  </si>
  <si>
    <t>What was the guiding principle of the Mongol Empire code of conduct?</t>
  </si>
  <si>
    <t>contain their own DNA,</t>
  </si>
  <si>
    <t>Islamist</t>
  </si>
  <si>
    <t>When a consolidation referendum was held in 1967, voters approved the plan. On October 1, 1968, the governments merged to create the Consolidated City of Jacksonville. Fire, police, health &amp; welfare, recreation, public works, and housing &amp; urban development were all combined under the new government. In honor of the occasion, then-Mayor Hans Tanzler posed with actress Lee Meredith behind a sign marking the new border of the "Bold New City of the South" at Florida 13 and Julington Creek. The Better Jacksonville Plan, promoted as a blueprint for Jacksonville's future and approved by Jacksonville voters in 2000, authorized a half-penny sales tax. This would generate most of the revenue required for the $2.25 billion package of major projects that included road &amp; infrastructure improvements, environmental preservation, targeted economic development and new or improved public facilities.</t>
  </si>
  <si>
    <t>unification</t>
  </si>
  <si>
    <t>German Te Deum</t>
  </si>
  <si>
    <t>What is the largest denomination within the wider Methodist movement?</t>
  </si>
  <si>
    <t>25 nm</t>
  </si>
  <si>
    <t>In what year did the Amazon experience its worst drought of recent history?</t>
  </si>
  <si>
    <t>carbon</t>
  </si>
  <si>
    <t>the mortgage banker</t>
  </si>
  <si>
    <t>In addition to a new body, what else changes about the Doctor?</t>
  </si>
  <si>
    <t>cryptography</t>
  </si>
  <si>
    <t>Who was the deputy administrator of NASA in 1960?</t>
  </si>
  <si>
    <t>What impact did the high school education movement have on the wages of skilled workers?</t>
  </si>
  <si>
    <t>A deterministic Turing machine</t>
  </si>
  <si>
    <t>What does education in an area where there is high demand for workers tend to create?</t>
  </si>
  <si>
    <t>Who dominates the world of long distance running?</t>
  </si>
  <si>
    <t>a hundred</t>
  </si>
  <si>
    <t>How old was Tesla when he died?</t>
  </si>
  <si>
    <t>English and Swahili</t>
  </si>
  <si>
    <t>contained in P or equal to P.</t>
  </si>
  <si>
    <t>typical of Eastern bloc countries</t>
  </si>
  <si>
    <t>process of colonizing, influencing, and annexing other parts of the world</t>
  </si>
  <si>
    <t>because of its advantages in long-distance, high-voltage transmission</t>
  </si>
  <si>
    <t>northwest across Europe</t>
  </si>
  <si>
    <t>the Archangel Michael</t>
  </si>
  <si>
    <t>at Charles-Ferdinand University</t>
  </si>
  <si>
    <t>Houston</t>
  </si>
  <si>
    <t>Photosynthesis uses which energy to for oxygen from water?</t>
  </si>
  <si>
    <t>CYCLADES packet switching network</t>
  </si>
  <si>
    <t>Arab</t>
  </si>
  <si>
    <t>What textile industry did the Huguenots contribute to in Ireland?</t>
  </si>
  <si>
    <t>their finances</t>
  </si>
  <si>
    <t>Newcastle Mela</t>
  </si>
  <si>
    <t>William III of Orange</t>
  </si>
  <si>
    <t>That Special Feeling</t>
  </si>
  <si>
    <t>lung</t>
  </si>
  <si>
    <t>Little Horn</t>
  </si>
  <si>
    <t>The largest share of Kenya's electricity supply comes from hydroelectric stations at dams along the upper Tana River, as well as the Turkwel Gorge Dam in the west. A petroleum-fired plant on the coast, geothermal facilities at Olkaria (near Nairobi), and electricity imported from Uganda make up the rest of the supply. Kenya's installed capacity stood at 1,142 megawatts between 2001 and 2003. The state-owned Kenya Electricity Generating Company (KenGen), established in 1997 under the name of Kenya Power Company, handles the generation of electricity, while Kenya Power handles the electricity transmission and distribution system in the country. Shortfalls of electricity occur periodically, when drought reduces water flow. To become energy sufficient, Kenya aims to build a nuclear power plant by 2017.</t>
  </si>
  <si>
    <t>What is the name of the TV scrambling system BSkyB uses?</t>
  </si>
  <si>
    <t>The Carolina Panthers</t>
  </si>
  <si>
    <t>quiescent</t>
  </si>
  <si>
    <t>What did Kublai's government have to balance between?</t>
  </si>
  <si>
    <t>Why would a teacher's college exist?</t>
  </si>
  <si>
    <t>The Muslim Brotherhood's competence compares well against what type of local governments?</t>
  </si>
  <si>
    <t>embroidery</t>
  </si>
  <si>
    <t>The collection includes about 1130 British and 650 European oil paintings, 6800 British watercolours, pastels and 2000 miniatures, for which the museum holds the national collection. Also on loan to the museum, from Her Majesty the Queen Elizabeth II, are the Raphael Cartoons: the seven surviving (there were ten) full scale designs for tapestries in the Sistine Chapel, of the lives of Peter and Paul from the Gospels and the Acts of the Apostles. There is also on display a fresco by Pietro Perugino dated 1522 from the church of Castello at Fontignano (Perugia) and is amongst the painter's last works. One of the largest objects in the collection is the Spanish tempera on wood, 670 x 486 cm, retable of St George, c. 1400, consisting of numerous scenes and painted by Andrés Marzal De Sax in Valencia.</t>
  </si>
  <si>
    <t>inertia</t>
  </si>
  <si>
    <t>Who teaches in secondary schools?</t>
  </si>
  <si>
    <t>Architects</t>
  </si>
  <si>
    <t>160 kPa (about 1.6 atm)</t>
  </si>
  <si>
    <t>8,000 years ago</t>
  </si>
  <si>
    <t>The university agreed to grant a degree to any graduate of affiliate schoos that did what?</t>
  </si>
  <si>
    <t>On the other hand, Luther also points out that the Ten Commandments – when considered not as God's condemning judgment but as an expression of his eternal will, that is, of the natural law – also positively teach how the Christian ought to live. This has traditionally been called the "third use of the law." For Luther, also Christ's life, when understood as an example, is nothing more than an illustration of the Ten Commandments, which a Christian should follow in his or her vocations on a daily basis.</t>
  </si>
  <si>
    <t>Who ordained the first Methodist clergy?</t>
  </si>
  <si>
    <t>In the Presidential elections, President Kibaki under the Party of National Unity ran for re-election against the main opposition party, the Orange Democratic Movement (ODM). The elections were seen to have been flawed with international observers saying that they were below international standards. After a split which took a crucial 8% of the votes away from the ODM to the newly formed Orange Democratic Movement-Kenya (ODM-K)'s candidate, Kalonzo Musyoka, the race tightened between ODM candidate Raila Odinga and Kibaki. As the count came into the Electoral Commission of Kenya (ECK) headquarters, Odinga was shown to have a slight, and then substantial lead as the results from his strongholds came in early. As the ECK continued to count the votes, Kibaki closed the gap and then overtook his opponent by a substantial margin after votes from his stronghold arrived later. This led to protests and open discrediting of the ECK for complicity and to Odinga declaring himself the "people's president" and calling for a recount.</t>
  </si>
  <si>
    <t>the Chinese</t>
  </si>
  <si>
    <t>Thomas Newcomen</t>
  </si>
  <si>
    <t>What are the little tentacles that cydippids have called?</t>
  </si>
  <si>
    <t>the amount of time for which they are allowed to speak</t>
  </si>
  <si>
    <t>90,000</t>
  </si>
  <si>
    <t>West Irvine</t>
  </si>
  <si>
    <t>Thermochemical techniques</t>
  </si>
  <si>
    <t>Dimensions in Time featured what prominent soap opera?</t>
  </si>
  <si>
    <t>To whom did William Maclure submit the map?</t>
  </si>
  <si>
    <t>Who was Warsaw under the administration of when it came under the rule of the General Goverment?</t>
  </si>
  <si>
    <t>Researches and Writings of Nikola Tesla</t>
  </si>
  <si>
    <t>Along with trusts, what other non-profits are allowed to run schools in India?</t>
  </si>
  <si>
    <t>6 December 1989</t>
  </si>
  <si>
    <t>What was his belief as to what nature was supposed to be?</t>
  </si>
  <si>
    <t>What is the high end of the temperature range in winter?</t>
  </si>
  <si>
    <t>silent film</t>
  </si>
  <si>
    <t>Who funds the IPCC's Secretary?</t>
  </si>
  <si>
    <t>earn as much as a healthy young man</t>
  </si>
  <si>
    <t>Chinese</t>
  </si>
  <si>
    <t>Professional sports teams in Southern California include teams from the NFL (Los Angeles Rams, San Diego Chargers); NBA (Los Angeles Lakers, Los Angeles Clippers); MLB (Los Angeles Dodgers, Los Angeles Angels of Anaheim, San Diego Padres); NHL (Los Angeles Kings, Anaheim Ducks); and MLS (LA Galaxy).</t>
  </si>
  <si>
    <t>In what year was the ordination order of transitional deacon abolished?</t>
  </si>
  <si>
    <t>1162</t>
  </si>
  <si>
    <t>During 2012-2013, how many student were able to take the Core classes at a single time?</t>
  </si>
  <si>
    <t>Who was Tesla's main influence in Karlovac?</t>
  </si>
  <si>
    <t>Warszowa</t>
  </si>
  <si>
    <t>What are Plastoglobuli made of?</t>
  </si>
  <si>
    <t>can produce both eggs and sperm at the same time</t>
  </si>
  <si>
    <t>Canadian Radio-television and Telecommunications Commission</t>
  </si>
  <si>
    <t>1916</t>
  </si>
  <si>
    <t>Istanbul</t>
  </si>
  <si>
    <t>What organization is John Schmitt and Ben Zipperer members of?</t>
  </si>
  <si>
    <t>In education, teachers facilitate student learning, often in a school or academy or perhaps in another environment such as outdoors. A teacher who teaches on an individual basis may be described as a tutor.</t>
  </si>
  <si>
    <t>Church of Santa Maria Novella in Florence, Italy</t>
  </si>
  <si>
    <t>a million</t>
  </si>
  <si>
    <t>What is another type of accountant other than a CPA?</t>
  </si>
  <si>
    <t>Who bought the rights?</t>
  </si>
  <si>
    <t>Which Newton turnover resulted in seven points for Denver?</t>
  </si>
  <si>
    <t>Nevada</t>
  </si>
  <si>
    <t>Where are the rows of combs located?</t>
  </si>
  <si>
    <t>Polonia Warsaw</t>
  </si>
  <si>
    <t>William Hartnell and Patrick Troughton</t>
  </si>
  <si>
    <t>What can the IPCC's report deadlines cause to be omitted?</t>
  </si>
  <si>
    <t>In early Pleistocene, what direction did the Rhine flow?</t>
  </si>
  <si>
    <t>embargo</t>
  </si>
  <si>
    <t>What did Mongols worship?</t>
  </si>
  <si>
    <t>What is the field of studying immunogenicity through bioinformatics known as?</t>
  </si>
  <si>
    <t>What event happened 66 million years ago?</t>
  </si>
  <si>
    <t>Pharmacists provide direct patient care services that optimizes the use of medication and promotes health, wellness, and disease prevention. Clinical pharmacists care for patients in all health care settings, but the clinical pharmacy movement initially began inside hospitals and clinics. Clinical pharmacists often collaborate with physicians and other healthcare professionals to improve pharmaceutical care. Clinical pharmacists are now an integral part of the interdisciplinary approach to patient care. They often participate in patient care rounds drug product selection.</t>
  </si>
  <si>
    <t>between the 1960s and 1990s</t>
  </si>
  <si>
    <t>The television network has eight owned-and-operated and over 232 affiliated television stations throughout the United States and its territories. Most Canadians have access to at least one U.S.-based ABC affiliate, either over-the-air (in areas located within proximity to the Canada–United States border) or through a cable, satellite or IPTV provider, although most ABC programs are subject to simultaneous substitution regulations imposed by the Canadian Radio-television and Telecommunications Commission that allow pay television providers to replace an American station's signal with the feed of a Canadian broadcaster to protect domestic programming rights and advertising revenue. ABC News provides news and features content for select radio stations owned by Citadel Broadcasting, which purchased the ABC Radio properties in 2007.</t>
  </si>
  <si>
    <t>a line of five stars</t>
  </si>
  <si>
    <t>field trips</t>
  </si>
  <si>
    <t>X-Rays</t>
  </si>
  <si>
    <t>Where can one find the formerly Huguenot farms in South Africa?</t>
  </si>
  <si>
    <t>What conditions must be met to prescribe a controlled substance?</t>
  </si>
  <si>
    <t>What title was the Social Charter set to be included into the Maastricht treaty under?</t>
  </si>
  <si>
    <t>18 April 1521</t>
  </si>
  <si>
    <t>three bodies of water:</t>
  </si>
  <si>
    <t>dummy upper stages</t>
  </si>
  <si>
    <t>technologies and ideas.</t>
  </si>
  <si>
    <t>What was the naval base called?</t>
  </si>
  <si>
    <t>Swabian League</t>
  </si>
  <si>
    <t>Cryptophytes, or cryptomonads are a group of algae that contain a red-algal derived chloroplast. Cryptophyte chloroplasts contain a nucleomorph that superficially resembles that of the chlorarachniophytes. Cryptophyte chloroplasts have four membranes, the outermost of which is continuous with the rough endoplasmic reticulum. They synthesize ordinary starch, which is stored in granules found in the periplastid space—outside the original double membrane, in the place that corresponds to the red alga's cytoplasm. Inside cryptophyte chloroplasts is a pyrenoid and thylakoids in stacks of two.</t>
  </si>
  <si>
    <t>true larvae</t>
  </si>
  <si>
    <t>How far is Newcastle's airport from the center of town?</t>
  </si>
  <si>
    <t>Who was the game's leading rusher?</t>
  </si>
  <si>
    <t>carbon cycle</t>
  </si>
  <si>
    <t>The United Methodist Church understands itself to be part of the holy catholic (or universal) church and it recognizes the historic ecumenical creeds, the Apostle's Creed and the Nicene Creed; which are used frequently in services of worship. The Book of Discipline also recognizes the importance of the Chalcedonian Creed of the Council of Chalcedon. It upholds the concept of the "visible and invisible Church," meaning that all who are truly believers in every age belong to the holy Church invisible, while the United Methodist Church is a branch of the Church visible, to which all believers must be connected as it is the only institution wherein the Word of God is preached and the Sacraments are administered.</t>
  </si>
  <si>
    <t>When was the term "regeneration" first used?</t>
  </si>
  <si>
    <t>Gemini program</t>
  </si>
  <si>
    <t>rational and progressive</t>
  </si>
  <si>
    <t>Galileo Galilei,</t>
  </si>
  <si>
    <t>What are pharmacists in the United Kingdom being increasingly paid for?</t>
  </si>
  <si>
    <t>What words are inscribed on the mace of parliament?</t>
  </si>
  <si>
    <t>the incandescent lightbulb</t>
  </si>
  <si>
    <t>the Connectional Table</t>
  </si>
  <si>
    <t>annually</t>
  </si>
  <si>
    <t>Following the Cretaceous–Paleogene extinction event, the extinction of the dinosaurs and the wetter climate may have allowed the tropical rainforest to spread out across the continent. From 66–34 Mya, the rainforest extended as far south as 45°. Climate fluctuations during the last 34 million years have allowed savanna regions to expand into the tropics. During the Oligocene, for example, the rainforest spanned a relatively narrow band. It expanded again during the Middle Miocene, then retracted to a mostly inland formation at the last glacial maximum. However, the rainforest still managed to thrive during these glacial periods, allowing for the survival and evolution of a broad diversity of species.</t>
  </si>
  <si>
    <t>40 nanometers across</t>
  </si>
  <si>
    <t>USSR's invasion</t>
  </si>
  <si>
    <t>What team lost Super Bowl XXXIII?</t>
  </si>
  <si>
    <t>Evita and The Wiz</t>
  </si>
  <si>
    <t>X-ray</t>
  </si>
  <si>
    <t>How did Vaudreuil react when Johnson was seen as larger threat?</t>
  </si>
  <si>
    <t>Burlington Northern Santa Fe Railway and Union Pacific Railroad</t>
  </si>
  <si>
    <t>sparking</t>
  </si>
  <si>
    <t>3.5 million</t>
  </si>
  <si>
    <t>right", "just", or "true",</t>
  </si>
  <si>
    <t>mouth of the Monongahela River</t>
  </si>
  <si>
    <t>the south-east of Australia</t>
  </si>
  <si>
    <t>deficiencies existed in Command Module design, workmanship and quality control</t>
  </si>
  <si>
    <t>How long was each Doctor Who episode in the 2005 revival series (including ads)?</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</si>
  <si>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</si>
  <si>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When did Konstantin Mereschkowski suggest the origin of chloroplasts?</t>
  </si>
  <si>
    <t>life on Tyneside</t>
  </si>
  <si>
    <t>What is Tesla's home country?</t>
  </si>
  <si>
    <t>What subtle tool can be used in an informal imperialistic situation to expand a controlled area?</t>
  </si>
  <si>
    <t>What interfered with Kublai's second invasion of Japan?</t>
  </si>
  <si>
    <t>Reserved matters</t>
  </si>
  <si>
    <t>What percentage of private school students go to Catholic schools?</t>
  </si>
  <si>
    <t>negotiations for a settlement</t>
  </si>
  <si>
    <t>very drought resistant</t>
  </si>
  <si>
    <t>How long ago did oxygen reach 10% of its present level?</t>
  </si>
  <si>
    <t>What type of microscope is used by petrologists?</t>
  </si>
  <si>
    <t>WatchESPN</t>
  </si>
  <si>
    <t>When was the competence for the Union to create criminal sentences for ecological crimes contested?</t>
  </si>
  <si>
    <t>American_Broadcasting_Company</t>
  </si>
  <si>
    <t>Alberto Calderón</t>
  </si>
  <si>
    <t>a number of Kenyan athletes to represent other countries</t>
  </si>
  <si>
    <t>What are two anti-inflammatory molecules that peak during awake hours?</t>
  </si>
  <si>
    <t>Which conjecture holds that every even integer n greater than 2 can be expressed as a sum of two primes?</t>
  </si>
  <si>
    <t>secretary</t>
  </si>
  <si>
    <t>entirely devoted to the obdurate Jews, whom it was a matter of great urgency to expel from all German territory,</t>
  </si>
  <si>
    <t>he could set the earth's crust into such a state of vibration that it would rise and fall hundreds of feet and practically destroy civilization</t>
  </si>
  <si>
    <t>What South African law recognized two types of schools?</t>
  </si>
  <si>
    <t>What northern province in France has a large protestant population?</t>
  </si>
  <si>
    <t>setup phase</t>
  </si>
  <si>
    <t>spacecraft to be used as a "lifeboat"</t>
  </si>
  <si>
    <t>DeAngelo Williams</t>
  </si>
  <si>
    <t>What organization predicted that the Amazon forest could survive only three years of drought?</t>
  </si>
  <si>
    <t>This was the first Super Bowl to feature a quarterback on both teams who was the #1 pick in their draft classes. Manning was the #1 selection of the 1998 NFL draft, while Newton was picked first in 2011. The matchup also pits the top two picks of the 2011 draft against each other: Newton for Carolina and Von Miller for Denver. Manning and Newton also set the record for the largest age difference between opposing Super Bowl quarterbacks at 13 years and 48 days (Manning was 39, Newton was 26).</t>
  </si>
  <si>
    <t>In 1735, who did John and Charles Wesley teach the gospel to in America?</t>
  </si>
  <si>
    <t>What are the exceptions in the constitution  that require special considerations to amend?</t>
  </si>
  <si>
    <t>Daily Mail</t>
  </si>
  <si>
    <t>1606</t>
  </si>
  <si>
    <t>What service did Verizon customers need to use to stream the game on their smartphones?</t>
  </si>
  <si>
    <t>Department of Justice</t>
  </si>
  <si>
    <t>pancake-shaped</t>
  </si>
  <si>
    <t>the first FCC-licensed public data network in the United States</t>
  </si>
  <si>
    <t>The UMC supports research on what cells retrieved from umbilical cords?</t>
  </si>
  <si>
    <t>When have humans started impacting the delta?</t>
  </si>
  <si>
    <t>50%</t>
  </si>
  <si>
    <t>The Church supports those persons who conscientiously oppose what?</t>
  </si>
  <si>
    <t>How much is China's investment in Kenya?</t>
  </si>
  <si>
    <t>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−F on the first body. F and −F are equal in magnitude and opposite in direction. This law is sometimes referred to as the action-reaction law, with F called the "action" and −F the "reaction". The action and the reaction are simultaneous:</t>
  </si>
  <si>
    <t>excitement</t>
  </si>
  <si>
    <t>sleeps</t>
  </si>
  <si>
    <t>How is most plants' cpDNA arranged?</t>
  </si>
  <si>
    <t>What is circuit switching characterized by</t>
  </si>
  <si>
    <t>Besides drugs, what else do specialty pharmacies provide?</t>
  </si>
  <si>
    <t>November 22,</t>
  </si>
  <si>
    <t>A different arrangement was recorded by Peter Howell for season 18 (1980), which was in turn replaced by Dominic Glynn's arrangement for the season-long serial The Trial of a Time Lord in season 23 (1986). Keff McCulloch provided the new arrangement for the Seventh Doctor's era which lasted from season 24 (1987) until the series' suspension in 1989. American composer John Debney created a new arrangement of Ron Grainer's original theme for Doctor Who in 1996. For the return of the series in 2005, Murray Gold provided a new arrangement which featured samples from the 1963 original with further elements added; in the 2005 Christmas episode "The Christmas Invasion", Gold introduced a modified closing credits arrangement that was used up until the conclusion of the 2007 series.[citation needed]</t>
  </si>
  <si>
    <t>What two governors agreed to a truce to protect their young colonies?</t>
  </si>
  <si>
    <t>What will be obtained as part of longer term plans for improvements to Newcastle's train system?</t>
  </si>
  <si>
    <t>the Portuguese</t>
  </si>
  <si>
    <t>Chemical</t>
  </si>
  <si>
    <t>December 3</t>
  </si>
  <si>
    <t>closed Huguenot schools</t>
  </si>
  <si>
    <t>additional French forces</t>
  </si>
  <si>
    <t>governments merged to create the Consolidated City of Jacksonville</t>
  </si>
  <si>
    <t>On what type of exponentiation does the Diffie–Hellman key exchange depend on?</t>
  </si>
  <si>
    <t>What was the win/loss ratio in 2015 for the Carolina Panthers during their regular season?</t>
  </si>
  <si>
    <t>undifferentiated proplastids found in the zygote, or fertilized egg</t>
  </si>
  <si>
    <t>Other predecessors of the Reformed church included the pro-reform and Gallican Roman Catholics, such as Jacques Lefevre (c. 1455–1536). The Gallicans briefly achieved independence for the French church, on the principle that the religion of France could not be controlled by the Bishop of Rome, a foreign power. During the Protestant Reformation, Lefevre, a professor at the University of Paris, published his French translation of the New Testament in 1523, followed by the whole Bible in the French language in 1530. William Farel was a student of Lefevre who went on to become a leader of the Swiss Reformation, establishing a Protestant government in Geneva. Jean Cauvin (John Calvin), another student at the University of Paris, also converted to Protestantism. Long after the sect was suppressed by Francis I, the remaining French Waldensians, then mostly in the Luberon region, sought to join William Farel, Calvin and the Reformation, and Olivetan published a French Bible for them. The French Confession of 1559 shows a decidedly Calvinistic influence. Sometime between 1550 and 1580, members of the Reformed church in France came to be commonly known as Huguenots.[citation needed]</t>
  </si>
  <si>
    <t>What type of treaty was the Lisbon Treaty?</t>
  </si>
  <si>
    <t>the New England Patriots</t>
  </si>
  <si>
    <t>Who lost 3 yards on a tackle by Shaq Thompson?</t>
  </si>
  <si>
    <t>Which organizations most commonly divide and promote the state?</t>
  </si>
  <si>
    <t>What venue did Super Bowl 50 take place in?</t>
  </si>
  <si>
    <t>Seven Stories</t>
  </si>
  <si>
    <t>In cases where the criminalized behavior is pure speech, civil disobedience can consist simply of engaging in the forbidden speech. An example would be WBAI's broadcasting the track "Filthy Words" from a George Carlin comedy album, which eventually led to the 1978 Supreme Court case of FCC v. Pacifica Foundation. Threatening government officials is another classic way of expressing defiance toward the government and unwillingness to stand for its policies. For example, Joseph Haas was arrested for allegedly sending an email to the Lebanon, New Hampshire city councilors stating, "Wise up or die."</t>
  </si>
  <si>
    <t>When did Maududi found the Jamaat-e-Islami party?</t>
  </si>
  <si>
    <t>distributed computing</t>
  </si>
  <si>
    <t>vary</t>
  </si>
  <si>
    <t>the currently known fundamental forces</t>
  </si>
  <si>
    <t>The United Methodist Church is</t>
  </si>
  <si>
    <t>The UMC prohibits the celebration of what type of unions?</t>
  </si>
  <si>
    <t>overinflated</t>
  </si>
  <si>
    <t>What is the 16th century known as the start of?</t>
  </si>
  <si>
    <t>to catalog everything</t>
  </si>
  <si>
    <t>a Mediterranean climate</t>
  </si>
  <si>
    <t>vitamin D receptor</t>
  </si>
  <si>
    <t>over 330</t>
  </si>
  <si>
    <t>fifteen</t>
  </si>
  <si>
    <t>3D printing technology</t>
  </si>
  <si>
    <t>What gorge is between the Bingen and Bonn?</t>
  </si>
  <si>
    <t>French irregular forces (Canadian scouts and Indians)</t>
  </si>
  <si>
    <t>things that are a matter of custom or expectation</t>
  </si>
  <si>
    <t>Montreal Protocol</t>
  </si>
  <si>
    <t>blurring of theological and confessional differences in the interests of unity</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</si>
  <si>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</si>
  <si>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Besides fats, fatty acids, and amino acids,what other organic compounds contain oxygen?</t>
  </si>
  <si>
    <t>land</t>
  </si>
  <si>
    <t>What did Lavoisier perceive the air had lost as much as the tin had gained</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</si>
  <si>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</si>
  <si>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a constitutional impasse in which two public agencies</t>
  </si>
  <si>
    <t>Italian and French Renaissance</t>
  </si>
  <si>
    <t>lion, leopard, buffalo, rhinoceros, and elephant</t>
  </si>
  <si>
    <t>convergent boundaries</t>
  </si>
  <si>
    <t>Transform boundaries</t>
  </si>
  <si>
    <t>Under what law is value of a worker determined?</t>
  </si>
  <si>
    <t>major car brands</t>
  </si>
  <si>
    <t>What German general and fighter pilot was of Huguenot ancestry?</t>
  </si>
  <si>
    <t>Who bought the factory in 2005?</t>
  </si>
  <si>
    <t>Whose trains serve destinations in Yorkshire?</t>
  </si>
  <si>
    <t>half a mile</t>
  </si>
  <si>
    <t>Michael Eisner</t>
  </si>
  <si>
    <t>In the United Kingdom, BBC Radio 5 Live and 5 Live Sports Extra will carry the contest. The BBC will carry its own British English broadcast, with Greg Brady, Darren Fletcher and Rocky Boiman on commentary.</t>
  </si>
  <si>
    <t>Europe itself.</t>
  </si>
  <si>
    <t>Who succeeded Dick Clark on ABC's New Year's broadcasts?</t>
  </si>
  <si>
    <t>Where is the Apache Point Observatory located?</t>
  </si>
  <si>
    <t>the coastal beaches and the game reserves</t>
  </si>
  <si>
    <t>a somewhat larger number of "contributing authors"</t>
  </si>
  <si>
    <t>12%</t>
  </si>
  <si>
    <t>When did Michael Eisner first join ABC?</t>
  </si>
  <si>
    <t>School corporal punishment</t>
  </si>
  <si>
    <t>code-word describing the activities of muggers, arsonists, draft evaders</t>
  </si>
  <si>
    <t>What other activities does the UNFCCC require the IPCC to run?</t>
  </si>
  <si>
    <t>entirely separate companies</t>
  </si>
  <si>
    <t>Why are chloroplasts of interest in GMO crops?</t>
  </si>
  <si>
    <t>a thin film of oxide</t>
  </si>
  <si>
    <t>proteolysis</t>
  </si>
  <si>
    <t>DIC Entertainment</t>
  </si>
  <si>
    <t>What was the civil war against Ragibagh also called?</t>
  </si>
  <si>
    <t>Australian Labor Party</t>
  </si>
  <si>
    <t>Approximately one million</t>
  </si>
  <si>
    <t xml:space="preserve">Where does the Lek join? </t>
  </si>
  <si>
    <t>internal migration and urbanisation</t>
  </si>
  <si>
    <t>the key bed</t>
  </si>
  <si>
    <t>Worldvision Enterprises</t>
  </si>
  <si>
    <t>American Baptist Education Society</t>
  </si>
  <si>
    <t>Herbert Bayer</t>
  </si>
  <si>
    <t>Who was Count of Melfi</t>
  </si>
  <si>
    <t>Which company has been able to air multiple ads at a steep discount?</t>
  </si>
  <si>
    <t>Vetra and I Germanica and XX Valeria were the two legions for what?</t>
  </si>
  <si>
    <t>about 3.5 billion people</t>
  </si>
  <si>
    <t>Abercrombie</t>
  </si>
  <si>
    <t>What was the name of France's primary colony in the New World?</t>
  </si>
  <si>
    <t>In what type of work was Luther prolific?</t>
  </si>
  <si>
    <t>What is the English translation of Kunskapsskolan?</t>
  </si>
  <si>
    <t>How man volumes does the The University of Chicago Library system hold?</t>
  </si>
  <si>
    <t>In what year was the first known experiments on combustion and air conducted?</t>
  </si>
  <si>
    <t>What is a major importance of Southern California in relation to California and the United States?</t>
  </si>
  <si>
    <t>What year was the conflict with the Song dynasty concluded?</t>
  </si>
  <si>
    <t>Tower Theatre</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</si>
  <si>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</si>
  <si>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the northeast</t>
  </si>
  <si>
    <t>building construction, heavy and civil engineering construction, and specialty trade contractors</t>
  </si>
  <si>
    <t>What crew did Eisele eventually get relocated to after having surgery and not making the first mission?</t>
  </si>
  <si>
    <t>How much heavier is oxygen 18 than oxygen 16?</t>
  </si>
  <si>
    <t>Where school class sizes are typically 40 to 50 students, maintaining order in the classroom can divert the teacher from instruction, leaving little opportunity for concentration and focus on what is being taught. In response, teachers may concentrate their attention on motivated students, ignoring attention-seeking and disruptive students. The result of this is that motivated students, facing demanding university entrance examinations, receive disproportionate resources. Given the emphasis on attainment of university places, administrators and governors may regard this policy as appropriate.</t>
  </si>
  <si>
    <t>The United States is divided into how many jurisdictions?</t>
  </si>
  <si>
    <t>What was added to the the church of St. Andrew in 1726?</t>
  </si>
  <si>
    <t>Who claimed Luther's writings were a blueprint of actions against Jews?</t>
  </si>
  <si>
    <t>Who does the wage gap between genders provide an advantage?</t>
  </si>
  <si>
    <t>strong and weak forces</t>
  </si>
  <si>
    <t>He insisted that, since forgiveness was God's alone to grant, those who claimed that indulgences absolved buyers from all punishments and granted them salvation were in error. Christians, he said, must not slacken in following Christ on account of such false assurances.</t>
  </si>
  <si>
    <t>A or μ</t>
  </si>
  <si>
    <t>Fringe or splinter movements</t>
  </si>
  <si>
    <t>greater return of capital</t>
  </si>
  <si>
    <t>where is the Victoria and Albert Museum located?</t>
  </si>
  <si>
    <t>When was Al-Banna assassinated?</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</si>
  <si>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</si>
  <si>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Wesleyan theology stands at a unique cross-roads between evangelical and sacramental, between liturgical and charismatic, and between Anglo-Catholic and Reformed theology and practice. It has been characterized as Arminian theology with an emphasis on the work of the Holy Spirit to bring holiness into the life of the participating believer. The United Methodist Church believes in prima scriptura, seeing the Holy Bible as the primary authority in the Church and using sacred tradition, reason, and experience to interpret it, with the aid of the Holy Spirit (see Wesleyan Quadrilateral). Therefore, according to The Book of Discipline, United Methodist theology is at once "catholic, evangelical, and reformed." Today, the UMC is generally considered one of the more moderate and tolerant denominations with respect to race, gender, and ideology, though the denomination itself actually includes a very wide spectrum of attitudes. Comparatively, the UMC stands to the right of liberal and progressive Protestant groups such as the United Church of Christ and the Episcopal Church on certain issues (especially regarding sexuality), but to the left of historically conservative evangelical traditions such as the Southern Baptists and Pentecostalism, in regard to theological matters such as social justice and Biblical interpretation. However, it should be noted that the UMC is made up of a broad diversity of thought, and so there are many clergy and laity within the UMC that hold differing viewpoints on such theological matters.</t>
  </si>
  <si>
    <t>What kind of membrane came from the host?</t>
  </si>
  <si>
    <t>How many seasons did The Love Boat run for?</t>
  </si>
  <si>
    <t>on a phased basis</t>
  </si>
  <si>
    <t>Pope</t>
  </si>
  <si>
    <t>Gamma delta T cells (γδ T cells) possess an alternative T cell receptor (TCR) as opposed to CD4+ and CD8+ (αβ) T cells and share the characteristics of helper T cells, cytotoxic T cells and NK cells. The conditions that produce responses from γδ T cells are not fully understood. Like other 'unconventional' T cell subsets bearing invariant TCRs, such as CD1d-restricted Natural Killer T cells, γδ T cells straddle the border between innate and adaptive immunity. On one hand, γδ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Vγ9/Vδ2 T cells respond within hours to common molecules produced by microbes, and highly restricted Vδ1+ T cells in epithelia respond to stressed epithelial cells.</t>
  </si>
  <si>
    <t>Chinatown</t>
  </si>
  <si>
    <t>What is the average plant biosmass?</t>
  </si>
  <si>
    <t>What word was Luther criticized for adding in Romans3:28?</t>
  </si>
  <si>
    <t>some of the Huguenots were nobles trying to establish separate centers of power in southern France</t>
  </si>
  <si>
    <t>Prince Albert appears within the main arch above the twin entrances, Queen Victoria above the frame around the arches and entrance, sculpted by Alfred Drury. These façades surround four levels of galleries. Other areas designed by Webb include the Entrance Hall and Rotunda, the East and West Halls, the areas occupied by the shop and Asian Galleries as well as the Costume Gallery. The interior makes much use of marble in the entrance hall and flanking staircases, although the galleries as originally designed were white with restrained classical detail and mouldings, very much in contrast to the elaborate decoration of the Victorian galleries, although much of this decoration was removed in the early 20th century.</t>
  </si>
  <si>
    <t>the world systems theory</t>
  </si>
  <si>
    <t>Where was Shirley planning an expedition?</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</si>
  <si>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</si>
  <si>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What is floridean?</t>
  </si>
  <si>
    <t>army and the populace</t>
  </si>
  <si>
    <t>Class II MHC molecules</t>
  </si>
  <si>
    <t>nonviolent civil disobedience</t>
  </si>
  <si>
    <t>Who stated he wanted Israel to vanish?</t>
  </si>
  <si>
    <t>altered the existing treaties</t>
  </si>
  <si>
    <t>Was the bubonic plague spread faster or slower than modern bubonic plague?</t>
  </si>
  <si>
    <t>What runs from the riverside to higher parts of the city center?</t>
  </si>
  <si>
    <t>What is the name of the first Doctor Who serial?</t>
  </si>
  <si>
    <t>George Stigler</t>
  </si>
  <si>
    <t>Privy Council</t>
  </si>
  <si>
    <t>American Philosophical Society</t>
  </si>
  <si>
    <t>the Conservatives</t>
  </si>
  <si>
    <t>Who revolted in the Ispah Rebellion?</t>
  </si>
  <si>
    <t>How can function problems typically be restated?</t>
  </si>
  <si>
    <t>all punishments</t>
  </si>
  <si>
    <t>peat swamps or small ponds</t>
  </si>
  <si>
    <t>Who is the quarterback for the Carolina Panthers?</t>
  </si>
  <si>
    <t>What computational problem is commonly associated with prime factorization?</t>
  </si>
  <si>
    <t>sending an email to the Lebanon, New Hampshire city councilors</t>
  </si>
  <si>
    <t>The abolition of the Ottoman Caliphate is believed to have ended what system?</t>
  </si>
  <si>
    <t>"On the Computational Complexity of Algorithms"</t>
  </si>
  <si>
    <t>Kenya African National Union</t>
  </si>
  <si>
    <t>What has been the main reason for the shift to the view that income inequality harms growth?</t>
  </si>
  <si>
    <t>Sava Kosanović</t>
  </si>
  <si>
    <t>disciples</t>
  </si>
  <si>
    <t>Construction is the process of constructing a building or infrastructure. Construction differs from manufacturing in that manufacturing typically involves mass production of similar items without a designated purchaser, while construction typically takes place on location for a known client. Construction as an industry comprises six to nine percent of the gross domestic product of developed countries. Construction starts with planning,[citation needed] design, and financing and continues until the project is built and ready for use.</t>
  </si>
  <si>
    <t>its nucleomorph and outermost two membranes</t>
  </si>
  <si>
    <t>235</t>
  </si>
  <si>
    <t>financial commitment</t>
  </si>
  <si>
    <t>In what English colony were Huguenot settlers promised land?</t>
  </si>
  <si>
    <t>What ruined Richard's plans to reach Acre?</t>
  </si>
  <si>
    <t>downward</t>
  </si>
  <si>
    <t>What direction did Watson say the mistake went in?</t>
  </si>
  <si>
    <t>Charles Conrad and Alan Bean were on what spacecraft to the moon?</t>
  </si>
  <si>
    <t>In what sector are jobs beginning to increase?</t>
  </si>
  <si>
    <t>destroy the antichrist</t>
  </si>
  <si>
    <t>As a result, by 1206 Temüjin had managed to unite or subdue the Merkits, Naimans, Mongols, Keraites, Tatars, Uyghurs, and other disparate smaller tribes under his rule. It was a monumental feat for the "Mongols" (as they became known collectively). At a Khuruldai, a council of Mongol chiefs, Temüjin was acknowledged as "Khan" of the consolidated tribes and took the new title "Genghis Khan". The title Khagan was not conferred on Genghis until after his death, when his son and successor, Ögedei, took the title for himself and extended it posthumously to his father (as he was also to be posthumously declared the founder of the Yuan dynasty). This unification of all confederations by Genghis Khan established peace between previously warring tribes and a single political and military force under Genghis Khan.</t>
  </si>
  <si>
    <t>Bauffet's Point</t>
  </si>
  <si>
    <t>How many items is the University Library home to?</t>
  </si>
  <si>
    <t>What is key to getting the skills needed for high demand jobs?</t>
  </si>
  <si>
    <t>Levi's Stadium in the San Francisco Bay Area at Santa Clara</t>
  </si>
  <si>
    <t>1413</t>
  </si>
  <si>
    <t>The Apollo program, also known as Project Apollo, was the third United States human spaceflight program carried out by the National Aeronautics and Space Administration (NASA), which accomplished landing the first humans on the Moon from 1969 to 1972. First conceived during Dwight D. Eisenhower's administration as a three-man spacecraft to follow the one-man Project Mercury which put the first Americans in space, Apollo was later dedicated to President John F. Kennedy's national goal of "landing a man on the Moon and returning him safely to the Earth" by the end of the 1960s, which he proposed in a May 25, 1961, address to Congress. Project Mercury was followed by the two-man Project Gemini (1962–66). The first manned flight of Apollo was in 1968.</t>
  </si>
  <si>
    <t>1912</t>
  </si>
  <si>
    <t>The amazon rainforest became a mostly inland forest around which global event?</t>
  </si>
  <si>
    <t>all numbers up to n = 2 · 1017</t>
  </si>
  <si>
    <t>Complexity classes are generally classified into what?</t>
  </si>
  <si>
    <t>Mutual</t>
  </si>
  <si>
    <t>When was the Brotherhood first banned in Egypt?</t>
  </si>
  <si>
    <t>When was the last Super Bowl in California?</t>
  </si>
  <si>
    <t>Somewhere around a billion years ago, a free-living cyanobacterium entered an early eukaryotic cell, either as food or as an internal parasite, but managed to escape the phagocytic vacuole it was contained in. The two innermost lipid-bilayer membranes that surround all chloroplasts correspond to the outer and inner membranes of the ancestral cyanobacterium's gram negative cell wall, and not the phagosomal membrane from the host, which was probably lost. The new cellular resident quickly became an advantage, providing food for the eukaryotic host, which allowed it to live within it. Over time, the cyanobacterium was assimilated, and many of its genes were lost or transferred to the nucleus of the host. Some of its proteins were then synthesized in the cytoplasm of the host cell, and imported back into the chloroplast (formerly the cyanobacterium).</t>
  </si>
  <si>
    <t>When was ABC1 discontinued because of low viewership?</t>
  </si>
  <si>
    <t>regional burden sharing conflicts</t>
  </si>
  <si>
    <t>The United Methodist Church is one tradition within the Christian Church. The United Methodist Church is active in ecumenical relations with other Christian groups and denominations. It is a member of the National Council of Churches, the World Council of Churches, Churches Uniting in Christ, and Christian Churches Together. In addition, it voted to seek observer status in the National Association of Evangelicals and in the World Evangelical Fellowship. However, there are some in The United Methodist Church who feel that false ecumenism might result in the "blurring of theological and confessional differences in the interests of unity."</t>
  </si>
  <si>
    <t>What is the Catholic doctrine of fides caritate formata?</t>
  </si>
  <si>
    <t>The development of plate tectonics provided a physical basis for many observations of the solid Earth. Long linear regions of geologic features could be explained as plate boundaries. Mid-ocean ridges, high regions on the seafloor where hydrothermal vents and volcanoes exist, were explained as divergent boundaries, where two plates move apart. Arcs of volcanoes and earthquakes were explained as convergent boundaries, where one plate subducts under another. Transform boundaries, such as the San Andreas fault system, resulted in widespread powerful earthquakes. Plate tectonics also provided a mechanism for Alfred Wegener's theory of continental drift, in which the continents move across the surface of the Earth over geologic time. They also provided a driving force for crustal deformation, and a new setting for the observations of structural geology. The power of the theory of plate tectonics lies in its ability to combine all of these observations into a single theory of how the lithosphere moves over the convecting mantle.</t>
  </si>
  <si>
    <t>adaptive immune system.</t>
  </si>
  <si>
    <t>American attack on Iraq</t>
  </si>
  <si>
    <t>the Los Angeles Area</t>
  </si>
  <si>
    <t>Henry Ives Cobb</t>
  </si>
  <si>
    <t>In what year did "The Eleventh Hour" play?</t>
  </si>
  <si>
    <t>a peoples university</t>
  </si>
  <si>
    <t>What city was former WWE NXT champion Neville born in?</t>
  </si>
  <si>
    <t>different animals and humans performimg various actions</t>
  </si>
  <si>
    <t>substantially increased the asking price</t>
  </si>
  <si>
    <t>When did Herve serve as a Byzantine general?</t>
  </si>
  <si>
    <t>What other entity was established at the same time as the European Convention on Human Rights?</t>
  </si>
  <si>
    <t xml:space="preserve">Where does the Rhine encounter it's tributary the Neckar? </t>
  </si>
  <si>
    <t>What does Kuznets' curve predict about income inequality given time?</t>
  </si>
  <si>
    <t>Who is the producer of Doctor Who?</t>
  </si>
  <si>
    <t>Who selects and hires the best ideas and appropriate contractors?</t>
  </si>
  <si>
    <t>all photosynthetic function</t>
  </si>
  <si>
    <t>Apollo 8 was planned to be the D mission in December 1968, crewed by McDivitt, Scott and Schweickart, launched on a Saturn V instead of two Saturn IBs. In the summer it had become clear that the LM would not be ready in time. Rather than waste the Saturn V on another simple Earth-orbiting mission, ASPO Manager George Low suggested the bold step of sending Apollo 8 to orbit the Moon instead, deferring the D mission to the next mission in March 1969, and eliminating the E mission. This would keep the program on track. The Soviet Union had sent animals around the Moon on September 15, 1968, aboard Zond 5, and it was believed they might soon repeat the feat with human cosmonauts. The decision was not announced publicly until successful completion of Apollo 7. Gemini veterans Frank Borman and James Lovell, and rookie William Anders captured the world's attention by making 10 lunar orbits in 20 hours, transmitting television pictures of the lunar surface on Christmas Eve, and returning safely to Earth.</t>
  </si>
  <si>
    <t>Endosymbiotic gene transfer</t>
  </si>
  <si>
    <t>When did Tesla make these claims?</t>
  </si>
  <si>
    <t>What types of preparation do pharmacists have?</t>
  </si>
  <si>
    <t>Whose writings were widely quoted by the Third Reich?</t>
  </si>
  <si>
    <t>how the Christian ought to live</t>
  </si>
  <si>
    <t>Which channels did Frank Marx think would be requisitioned by the U.S. Army?</t>
  </si>
  <si>
    <t>What innovation in Mongolian language is credited to Genghis Khan?</t>
  </si>
  <si>
    <t>international students</t>
  </si>
  <si>
    <t>What was Tesla's attitude toward the idea that matter could be turned into energy?</t>
  </si>
  <si>
    <t>1769</t>
  </si>
  <si>
    <t>Germany referred to which area more so than an actual country?</t>
  </si>
  <si>
    <t>individual</t>
  </si>
  <si>
    <t>How many membranes does Durinskia's chloroplast have?</t>
  </si>
  <si>
    <t>What is the concrete choice typically assumed by most complexity-theoretic theorems?</t>
  </si>
  <si>
    <t>How does the IPCC prepare Special Reports?</t>
  </si>
  <si>
    <t>the Ohio Company</t>
  </si>
  <si>
    <t>anti-Jewish rhetoric</t>
  </si>
  <si>
    <t>electric motors and internal combustion</t>
  </si>
  <si>
    <t>local militia companies</t>
  </si>
  <si>
    <t>circular</t>
  </si>
  <si>
    <t>Luther's hymns were included in early Lutheran hymnals and spread the ideas of the Reformation. He supplied four of eight songs of the First Lutheran hymnal Achtliederbuch, 18 of 26 songs of the Erfurt Enchiridion, and 24 of the 32 songs in the first choral hymnal with settings by Johann Walter, Eyn geystlich Gesangk Buchleyn, all published in 1524.</t>
  </si>
  <si>
    <t>Grand Canal d'Alsace</t>
  </si>
  <si>
    <t>the Scottish Parliament</t>
  </si>
  <si>
    <t>We are beggars,</t>
  </si>
  <si>
    <t>The filling pharmacy has a corresponding responsibility to ensure that the prescription is valid</t>
  </si>
  <si>
    <t>Huntington Boulevard</t>
  </si>
  <si>
    <t>western Europe</t>
  </si>
  <si>
    <t>What disease did Tesla contract in 1873?</t>
  </si>
  <si>
    <t>the late 1340s</t>
  </si>
  <si>
    <t>young and the elderly</t>
  </si>
  <si>
    <t>What did Lepidodinium viride lose?</t>
  </si>
  <si>
    <t>a rendezvous —let alone a docking</t>
  </si>
  <si>
    <t>oceanic species</t>
  </si>
  <si>
    <t>In the shallow crust</t>
  </si>
  <si>
    <t>18–49</t>
  </si>
  <si>
    <t>(WBMA-LD</t>
  </si>
  <si>
    <t>S.W.A.T</t>
  </si>
  <si>
    <t>Civil Disobedience is mainly performed by what population group?</t>
  </si>
  <si>
    <t>What type of insect employs the use of prime numbers in its evolutionary strategy?</t>
  </si>
  <si>
    <t>Doctor Who follows the adventures of the primary character, a rogue Time Lord from the planet Gallifrey, who simply goes by the name "The Doctor". He fled from Gallifrey in a stolen Mark I Type 40 TARDIS – "Time and Relative Dimension in Space" – time machine which allows him to travel across time and space. The TARDIS has a "chameleon circuit" which normally allows the machine to take on the appearance of local objects as a disguise. However, the Doctor's TARDIS remains fixed as a blue British Police box due to a malfunction in the chameleon circuit.</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</si>
  <si>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</si>
  <si>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in the late 1870s</t>
  </si>
  <si>
    <t>Republic of Kenya</t>
  </si>
  <si>
    <t>waste of resources</t>
  </si>
  <si>
    <t xml:space="preserve">Plate tectonics can be seen as the intimate coupling between rigid plates on the surface of the Earth and what? </t>
  </si>
  <si>
    <t>more unusual resources</t>
  </si>
  <si>
    <t>In modern times, firms may offer themselves as what for a construction project?</t>
  </si>
  <si>
    <t>Passenger Transport Executive</t>
  </si>
  <si>
    <t>either to a thylakoid or to another plastoglobulus attached to a thylakoid</t>
  </si>
  <si>
    <t>By when did most of France's Colonies gain independence?</t>
  </si>
  <si>
    <t>What about Luther declined as his antisemitism increased?</t>
  </si>
  <si>
    <t>What type of soil is considered a product of soil management by indigenous peoples in the Amazon Forest?</t>
  </si>
  <si>
    <t>Deacons are called by God, affirmed by the church, and ordained by a bishop to servant leadership within the church.They are ordained to ministries of word, service, compassion, and justice. They may be appointed to ministry within the local church or to an extension ministry that supports the mission of the church. Deacons give leadership, preach the Word, contribute in worship, conduct marriages, bury the dead, and aid the church in embodying its mission within the world. Deacons assist elders in the sacraments of Holy Communion and Baptism, and may be granted sacramental authority if they are appointed as the pastor in a local church. Deacons serve a term of 2–3 years as provisional deacons prior to their ordination.</t>
  </si>
  <si>
    <t>When Tesla attempted to photograph Mark Twain, what was the only thing that showed up on the image?</t>
  </si>
  <si>
    <t>economic center</t>
  </si>
  <si>
    <t>How long are students required to learn Welsh?</t>
  </si>
  <si>
    <t>David Suzuki,</t>
  </si>
  <si>
    <t>What was William Johnson's role in British military?</t>
  </si>
  <si>
    <t>corruption and bribery</t>
  </si>
  <si>
    <t>In what year did Harvard end its early admission program?</t>
  </si>
  <si>
    <t>faunal succession</t>
  </si>
  <si>
    <t>"As to the Summons you send me to retire, I do not think myself obliged to obey it."</t>
  </si>
  <si>
    <t>How far is Jacksonville from Miami?</t>
  </si>
  <si>
    <t xml:space="preserve">Telnet was sold to </t>
  </si>
  <si>
    <t>its North American provinces</t>
  </si>
  <si>
    <t>How frequent is snow in the Southwest of the state?</t>
  </si>
  <si>
    <t>kinematic</t>
  </si>
  <si>
    <t>Vision 2030</t>
  </si>
  <si>
    <t>How many children did Luther and his wife have?</t>
  </si>
  <si>
    <t>WHen did ARPNET and SITA become operational</t>
  </si>
  <si>
    <t>What happens when bathocyroe and ocyropsis clap their lobes together?</t>
  </si>
  <si>
    <t>McGann and Eccleston's</t>
  </si>
  <si>
    <t>How much did the Milton Friedman Institute roughly cost?</t>
  </si>
  <si>
    <t>What kind of chloroplasts do diatoms have?</t>
  </si>
  <si>
    <t>To what level would the polynomial time hierarchy collapse if graph isomorphism is NP-complete?</t>
  </si>
  <si>
    <t>between 1859 and 1865</t>
  </si>
  <si>
    <t>What is the nickname for the ABC facility built at Columbus Avenue and West 66th Street?</t>
  </si>
  <si>
    <t>increased communication and trade</t>
  </si>
  <si>
    <t>50th</t>
  </si>
  <si>
    <t>Noble acquired a loan from what entity to keep ABC solvent in 1951?</t>
  </si>
  <si>
    <t>What is the name for a form of oxygen in which electrons are paired?</t>
  </si>
  <si>
    <t>1525</t>
  </si>
  <si>
    <t>Why might customers order from internet pharmacies?</t>
  </si>
  <si>
    <t>How is the opening of the Grainger Market documented in the Laing Art Gallery?</t>
  </si>
  <si>
    <t>What was Iqbal studying in England and Germany?</t>
  </si>
  <si>
    <t>negative long-term impact on the health</t>
  </si>
  <si>
    <t>Other than for its resort feel, what is Palm Springs popular for?</t>
  </si>
  <si>
    <t>legal equality of all individuals, including women</t>
  </si>
  <si>
    <t>carbon dioxide</t>
  </si>
  <si>
    <t>How many biomolecules contain no oxygen?</t>
  </si>
  <si>
    <t>What role did Luther play in other areas' churches?</t>
  </si>
  <si>
    <t>when Germany started to build her own colonial empire</t>
  </si>
  <si>
    <t>What was the result of the disobedience protesting the nuclear site?</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</si>
  <si>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</si>
  <si>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computation time</t>
  </si>
  <si>
    <t>What was apolitical Islam?</t>
  </si>
  <si>
    <t>Refined Hindu and Buddhist sculptures</t>
  </si>
  <si>
    <t>semantical problems</t>
  </si>
  <si>
    <t>10 November 1483</t>
  </si>
  <si>
    <t>What was published in February of 2007?</t>
  </si>
  <si>
    <t>four public charter schools</t>
  </si>
  <si>
    <t>When Sunday Night Football premiered, to which network did Monday Night Football move?</t>
  </si>
  <si>
    <t>What did Warsz own?</t>
  </si>
  <si>
    <t>Who was the MVP of Super Bowl XLI?</t>
  </si>
  <si>
    <t>by the accidental introduction of the Mnemiopsis-eating North American ctenophore Beroe ovata,</t>
  </si>
  <si>
    <t>Liberals</t>
  </si>
  <si>
    <t>ingredients for medicines, sold tobacco and patent medicines</t>
  </si>
  <si>
    <t>markets</t>
  </si>
  <si>
    <t>Romantic Rhine</t>
  </si>
  <si>
    <t>Pliocene period</t>
  </si>
  <si>
    <t>What non-Chinese empire did the Yuan dynasty succeed?</t>
  </si>
  <si>
    <t>temperate</t>
  </si>
  <si>
    <t>What have many HT members graduated to joining?</t>
  </si>
  <si>
    <t>Where did Kublai move the Mongol capital to?</t>
  </si>
  <si>
    <t>next day</t>
  </si>
  <si>
    <t>By 1897, how much had Tesla, Brown, and Peck received in royalties and licenses over the patents?</t>
  </si>
  <si>
    <t>The V&amp;A is looking to open a branded gallery in which city in Scotland?</t>
  </si>
  <si>
    <t>How much of the GDP was agriculture in 2005?</t>
  </si>
  <si>
    <t>up to 30%</t>
  </si>
  <si>
    <t>idealized point particles</t>
  </si>
  <si>
    <t>There have also been many references to Doctor Who in popular culture and other science fiction, including Star Trek: The Next Generation ("The Neutral Zone") and Leverage. In the Channel 4 series Queer as Folk (created by later Doctor Who executive producer Russell T. Davies), the character of Vince was portrayed as an avid Doctor Who fan, with references appearing many times throughout in the form of clips from the programme. In a similar manner, the character of Oliver on Coupling (created and written by current show runner Steven Moffat) is portrayed as a Doctor Who collector and enthusiast. References to Doctor Who have also appeared in the young adult fantasy novels Brisingr and High Wizardry, the video game Rock Band, the soap opera EastEnders, the Adult Swim comedy show Robot Chicken, the Family Guy episodes "Blue Harvest" and "420", and the game RuneScape. It has also be referenced in Destroy All Humans! 2, by civilians in the game's variation of England, and in Apollo Justice: Ace Attorney.</t>
  </si>
  <si>
    <t>Deacons serve a term of 2–3 years as provisional deacons prior to their ordination.</t>
  </si>
  <si>
    <t xml:space="preserve">What supplanted Frame Relay and X.25 </t>
  </si>
  <si>
    <t>Priestley</t>
  </si>
  <si>
    <t>, 23–16,</t>
  </si>
  <si>
    <t>In the range between 1980 and 1990, what did demand for grow?</t>
  </si>
  <si>
    <t>Who decides who gets to address the members of Parliament to share their thoughts on issues of faith?</t>
  </si>
  <si>
    <t>Ed Lee</t>
  </si>
  <si>
    <t>to serve and protect the public interest</t>
  </si>
  <si>
    <t>construction of the center was conducted by Kurt H. Debus, a member of Dr. Wernher von Braun's</t>
  </si>
  <si>
    <t>What are engines using four expansion stages known as?</t>
  </si>
  <si>
    <t>tutor</t>
  </si>
  <si>
    <t>over 100</t>
  </si>
  <si>
    <t>65.5 million years ago</t>
  </si>
  <si>
    <t>exploitation of the valuable assets and supplies of the nation that was conquered</t>
  </si>
  <si>
    <t>#P</t>
  </si>
  <si>
    <t>spiritual cures</t>
  </si>
  <si>
    <t>Methodist institutions may be named after a biblical figure (e.g., "St. James UMC"). Methodists also honor notable heroes and heroines of the Christian faith and look to these prominent saints as providing examples of holy living and commitment to Christ that are worthy of imitation (see 1 Corinthians 11:1). Such exemplary saints include martyrs, confessors of the Faith, evangelists, or important biblical figures such as Saint Matthew, Lutheran theologian and martyr to the Nazis Dietrich Bonhoeffer, Salvation Army Founder William Booth, African missionary David Livingstone and Methodism's revered founder John Wesley are among many cited as Protestant saints.</t>
  </si>
  <si>
    <t>Healing services involve the laying on of hands and what else?</t>
  </si>
  <si>
    <t>American Revolution</t>
  </si>
  <si>
    <t>How high is Victoria's Mount Bogong?</t>
  </si>
  <si>
    <t>Pleurobrachia, Beroe and Mnemiopsis</t>
  </si>
  <si>
    <t>Why did GM, Ford and Chrysler introduced fuel-efficient and small cars to the US market?</t>
  </si>
  <si>
    <t>Thompson</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</si>
  <si>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blood–brain barrier, blood–cerebrospinal fluid barrier, and similar fluid–brain barriers separate the peripheral immune system from the neuroimmune system which protects the brain.</t>
  </si>
  <si>
    <t>What was the general consensus Johnson came to regarding America's progress on going to space and reaching a position of leadership?</t>
  </si>
  <si>
    <t>theory of relativity</t>
  </si>
  <si>
    <t>within the borders of Warsaw</t>
  </si>
  <si>
    <t>a residual of the force</t>
  </si>
  <si>
    <t>Throughout its history, the United Methodist Church has placed great emphasis on the importance of education. As such, the United Methodist Church established and is affiliated with around one hundred colleges and universities in the United States, including Syracuse University, Boston University, Emory University, Duke University, Drew University, University of Denver, University of Evansville, and Southern Methodist University. Most are members of the International Association of Methodist-related Schools, Colleges, and Universities. The church operates three hundred sixty schools and institutions overseas.</t>
  </si>
  <si>
    <t>Which linebacker led the Broncos in tackles?</t>
  </si>
  <si>
    <t>What technique was used to decorate the east side of the building?</t>
  </si>
  <si>
    <t>modern canalized section</t>
  </si>
  <si>
    <t>The S-IVB-200 was used in what stage of the Saturn V?</t>
  </si>
  <si>
    <t>What does it mean for a knot to be considered indecomposable?</t>
  </si>
  <si>
    <t>Strang is an Anglo-Saxon word which means what in modern English?</t>
  </si>
  <si>
    <t>Ladner</t>
  </si>
  <si>
    <t>Among the most well-known experiments in structural geology are those involving orogenic wedges, which are zones in which mountains are built along convergent tectonic plate boundaries. In the analog versions of these experiments, horizontal layers of sand are pulled along a lower surface into a back stop, which results in realistic-looking patterns of faulting and the growth of a critically tapered (all angles remain the same) orogenic wedge. Numerical models work in the same way as these analog models, though they are often more sophisticated and can include patterns of erosion and uplift in the mountain belt. This helps to show the relationship between erosion and the shape of the mountain range. These studies can also give useful information about pathways for metamorphism through pressure, temperature, space, and time.</t>
  </si>
  <si>
    <t>Who designed the Hereford Screen?</t>
  </si>
  <si>
    <t>his friendship</t>
  </si>
  <si>
    <t>What field of computer science is primarily concerned with determining the likelihood of whether or not a problem can ultimately be solved using algorithms?</t>
  </si>
  <si>
    <t>merchant ships.</t>
  </si>
  <si>
    <t>fund travelers</t>
  </si>
  <si>
    <t>the immune system</t>
  </si>
  <si>
    <t>What was the Rhine considered to invaders in WWII?</t>
  </si>
  <si>
    <t>Golovin</t>
  </si>
  <si>
    <t>When the Rhine emerges from Lake Constance which way does it flow?</t>
  </si>
  <si>
    <t>In addition to the Riemann hypothesis, many more conjectures revolving about primes have been posed. Often having an elementary formulation, many of these conjectures have withstood a proof for decades: all four of Landau's problems from 1912 are still unsolved. One of them is Goldbach's conjecture, which asserts that every even integer n greater than 2 can be written as a sum of two primes. As of February 2011[update], this conjecture has been verified for all numbers up to n = 2 · 1017. Weaker statements than this have been proven, for example Vinogradov's theorem says that every sufficiently large odd integer can be written as a sum of three primes. Chen's theorem says that every sufficiently large even number can be expressed as the sum of a prime and a semiprime, the product of two primes. Also, any even integer can be written as the sum of six primes. The branch of number theory studying such questions is called additive number theory.</t>
  </si>
  <si>
    <t>the Moselle</t>
  </si>
  <si>
    <t>What theory was arrived at in 1811 that presented the assumption of diatomic molecules?</t>
  </si>
  <si>
    <t>opportunity-based</t>
  </si>
  <si>
    <t>In what year did the affiliate program end?</t>
  </si>
  <si>
    <t>the fall of 1937</t>
  </si>
  <si>
    <t>to recover market share</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</si>
  <si>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</si>
  <si>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a consortium of several contractors</t>
  </si>
  <si>
    <t>Olympic class</t>
  </si>
  <si>
    <t>construction service firms (e.g., engineering, architecture) and construction managers</t>
  </si>
  <si>
    <t>What does the template for bills passed by the Scottish Parliament include?</t>
  </si>
  <si>
    <t>Baiju</t>
  </si>
  <si>
    <t>the Santer Commission</t>
  </si>
  <si>
    <t>In which direction does the west side of Fresno neighborhood lie to the 99 freeway?</t>
  </si>
  <si>
    <t>When was the Ottoman Caliphate abolished?</t>
  </si>
  <si>
    <t>What doctrine did the doctrine of the Principles of Geology successfully promote?</t>
  </si>
  <si>
    <t>The rainforest contains several species that can pose a hazard. Among the largest predatory creatures are the black caiman, jaguar, cougar, and anaconda. In the river, electric eels can produce an electric shock that can stun or kill, while piranha are known to bite and injure humans. Various species of poison dart frogs secrete lipophilic alkaloid toxins through their flesh. There are also numerous parasites and disease vectors. Vampire bats dwell in the rainforest and can spread the rabies virus. Malaria, yellow fever and Dengue fever can also be contracted in the Amazon region.</t>
  </si>
  <si>
    <t>comb jelly.</t>
  </si>
  <si>
    <t>Who was the founder of CBS?</t>
  </si>
  <si>
    <t>ABC Sports</t>
  </si>
  <si>
    <t>Widener</t>
  </si>
  <si>
    <t>More than 26,000 square kilometres (10,000 sq mi) of Victorian farmland are sown for grain, mostly in the state's west. More than 50% of this area is sown for wheat, 33% for barley and 7% for oats. A further 6,000 square kilometres (2,300 sq mi) is sown for hay. In 2003–04, Victorian farmers produced more than 3 million tonnes of wheat and 2 million tonnes of barley. Victorian farms produce nearly 90% of Australian pears and third of apples. It is also a leader in stone fruit production. The main vegetable crops include asparagus, broccoli, carrots, potatoes and tomatoes. Last year, 121,200 tonnes of pears and 270,000 tonnes of tomatoes were produced.</t>
  </si>
  <si>
    <t>Who is to blame for acting unjustly?</t>
  </si>
  <si>
    <t>cleats</t>
  </si>
  <si>
    <t>55 mph</t>
  </si>
  <si>
    <t>George B. Storer</t>
  </si>
  <si>
    <t>Class I MHC</t>
  </si>
  <si>
    <t>€27,814</t>
  </si>
  <si>
    <t>Albany</t>
  </si>
  <si>
    <t>arrest</t>
  </si>
  <si>
    <t>Melbourne Cricket Ground</t>
  </si>
  <si>
    <t>after 1850</t>
  </si>
  <si>
    <t>In what year did Luther get his degree?</t>
  </si>
  <si>
    <t>Oxygen gas can also be produced through electrolysis of water into molecular oxygen and hydrogen. DC electricity must be used: if AC is used, the gases in each limb consist of hydrogen and oxygen in the explosive ratio 2:1. Contrary to popular belief, the 2:1 ratio observed in the DC electrolysis of acidified water does not prove that the empirical formula of water is H2O unless certain assumptions are made about the molecular formulae of hydrogen and oxygen themselves. A similar method is the electrocatalytic O
2 evolution from oxides and oxoacids. Chemical catalysts can be used as well, such as in chemical oxygen generators or oxygen candles that are used as part of the life-support equipment on submarines, and are still part of standard equipment on commercial airliners in case of depressurization emergencies. Another air separation technology involves forcing air to dissolve through ceramic membranes based on zirconium dioxide by either high pressure or an electric current, to produce nearly pure O
2 gas.</t>
  </si>
  <si>
    <t>marginally more than normal</t>
  </si>
  <si>
    <t>In the fall of 1949, ABC found itself in the position of an outsider, with less coverage than two of its competing networks, CBS and NBC, even though it was on par with them in some major cities and had a headstart over its third rival at the time, the DuMont Television Network. Before the freeze ended in 1952, there were only 108 existing television stations in the United States; a few major cities (such as Boston) had only two television stations, many other cities (such as Pittsburgh and St. Louis) had only one, and still many others (such as Denver and Portland) did not yet have any television service. The result was a strange period where television flourished in certain areas and network radio remained the main source of broadcast entertainment and news in others.</t>
  </si>
  <si>
    <t>What did Lindzen criticize about the Summary for Policymakers?</t>
  </si>
  <si>
    <t>novel medications that need to be properly stored, administered, carefully monitored, and clinically managed</t>
  </si>
  <si>
    <t>NASA's current human spaceflight capability, and funded construction of its Johnson Space Center and Kennedy Space Center</t>
  </si>
  <si>
    <t>According to the United States Census Bureau, the city has a total area of 874.3 square miles (2,264 km2), making Jacksonville the largest city in land area in the contiguous United States; of this, 86.66% (757.7 sq mi or 1,962 km2) is land and ; 13.34% (116.7 sq mi or 302 km2) is water. Jacksonville surrounds the town of Baldwin. Nassau County lies to the north, Baker County lies to the west, and Clay and St. Johns County lie to the south; the Atlantic Ocean lies to the east, along with the Jacksonville Beaches. The St. Johns River divides the city. The Trout River, a major tributary of the St. Johns River, is located entirely within Jacksonville.</t>
  </si>
  <si>
    <t>How did war start?</t>
  </si>
  <si>
    <t>In 2009, Disney reached an agreement to buy what percentage stake in Hulu?</t>
  </si>
  <si>
    <t>What year was the last time a fumble return touchdown like this occurred?</t>
  </si>
  <si>
    <t>Doctor of Pharmacy (Pharm. D.)</t>
  </si>
  <si>
    <t>exposed to scrutiny.</t>
  </si>
  <si>
    <t>the Hungarians under Ferenc Deák</t>
  </si>
  <si>
    <t>On some nights how late did Tesla work until?</t>
  </si>
  <si>
    <t>What was Tesla's plan to make students "bright"?</t>
  </si>
  <si>
    <t>When did the Jin dynasty end?</t>
  </si>
  <si>
    <t>2p + 1 with p prime</t>
  </si>
  <si>
    <t>dynamo electric machine commutators</t>
  </si>
  <si>
    <t>Some Huguenots settled in Bedfordshire, one of the main centres of the British lace industry at the time. Although 19th century sources have asserted that some of these refugees were lacemakers and contributed to the East Midlands lace industry, this is contentious. The only reference to immigrant lacemakers in this period is of twenty-five widows who settled in Dover, and there is no contemporary documentation to support there being Huguenot lacemakers in Bedfordshire. The implication that the style of lace known as 'Bucks Point' demonstrates a Huguenot influence, being a "combination of Mechlin patterns on Lille ground", is fallacious: what is now known as Mechlin lace did not develop until first half of the eighteenth century and lace with Mechlin patterns and Lille ground did not appear until the end of the 18th century, when it was widely copied throughout Europe.</t>
  </si>
  <si>
    <t>How many protein-encoding genes are there in Chromatophore DNA?</t>
  </si>
  <si>
    <t>What do the reactive forms of oxygen produce in organisms?</t>
  </si>
  <si>
    <t>increasing use of technology</t>
  </si>
  <si>
    <t xml:space="preserve">What was produced at tesla's company? </t>
  </si>
  <si>
    <t>helper T cells, cytotoxic T cells</t>
  </si>
  <si>
    <t>38</t>
  </si>
  <si>
    <t>NFL</t>
  </si>
  <si>
    <t>Who was Ralph in charge of being at war with?</t>
  </si>
  <si>
    <t>Al-Muwaffaq</t>
  </si>
  <si>
    <t>99.4</t>
  </si>
  <si>
    <t>352 votes</t>
  </si>
  <si>
    <t>on the West Side</t>
  </si>
  <si>
    <t>Who if the commissioner of the NFL?</t>
  </si>
  <si>
    <t>Commentary on Genesis</t>
  </si>
  <si>
    <t>the entire diatom endosymbiont</t>
  </si>
  <si>
    <t>endowments</t>
  </si>
  <si>
    <t>gilt bronze</t>
  </si>
  <si>
    <t>How many paid holiday days does the Working Time directive require workers to have each year?</t>
  </si>
  <si>
    <t>Who recovered Tolbert's fumble?</t>
  </si>
  <si>
    <t>For each of the 28 member states, how many Commissioner's are represented for each one?</t>
  </si>
  <si>
    <t>What powered Tesla's high energy terminal vacuum tube?</t>
  </si>
  <si>
    <t>1973–74</t>
  </si>
  <si>
    <t>The Open Championship golf and The Wimbledon tennis tournaments</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</si>
  <si>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</si>
  <si>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What is generally considered to be the most basic iteration of a Turing machine?</t>
  </si>
  <si>
    <t>720p high definition</t>
  </si>
  <si>
    <t>What year did Newton hold the number one draft pick position?</t>
  </si>
  <si>
    <t>The Lobata have a pair of lobes, which are muscular, cuplike extensions of the body that project beyond the mouth. Their inconspicuous tentacles originate from the corners of the mouth, running in convoluted grooves and spreading out over the inner surface of the lobes (rather than trailing far behind, as in the Cydippida). Between the lobes on either side of the mouth, many species of lobates have four auricles, gelatinous projections edged with cilia that produce water currents that help direct microscopic prey toward the mouth. This combination of structures enables lobates to feed continuously on suspended planktonic prey.</t>
  </si>
  <si>
    <t>In the early 1970s, ABC completed its transition to color; the decade as a whole would mark a turning point for ABC, as it began to pass CBS and NBC in the ratings to become the first place network. It also began to use behavioral and demographic data to better determine what types of sponsors to sell advertising slots to and provide programming that would appeal towards certain audiences. ABC's gains in audience share were greatly helped by the fact that several smaller markets had grown large enough to allow full-time affiliations from all three networks.</t>
  </si>
  <si>
    <t>Renaissance</t>
  </si>
  <si>
    <t>Tracy Wolfson</t>
  </si>
  <si>
    <t>Who makes formal appointment or dismissal decisions?</t>
  </si>
  <si>
    <t>What class is most commonly not ascribed to the graph isomorphism problem in spite of definitive determination?</t>
  </si>
  <si>
    <t>what is the fee range for accessing BSkyB's EPG?</t>
  </si>
  <si>
    <t>Who was the quarterback for the Broncos 2015 season?</t>
  </si>
  <si>
    <t>in a modern context</t>
  </si>
  <si>
    <t>central truths of Christianity</t>
  </si>
  <si>
    <t>in King George's reign</t>
  </si>
  <si>
    <t>a much larger conflict between France and Great Britain</t>
  </si>
  <si>
    <t>the noisiest city in the whole of the UK</t>
  </si>
  <si>
    <t>Central Bridge</t>
  </si>
  <si>
    <t>cubic interpolation formula</t>
  </si>
  <si>
    <t>6.4 nanometers</t>
  </si>
  <si>
    <t>About how many cubic meters of make-up water is used by a 700-megawatt coal-fired power plant for evaporative cooling hourly?</t>
  </si>
  <si>
    <t>the American Institute of Electrical Engineers</t>
  </si>
  <si>
    <t>Puritan</t>
  </si>
  <si>
    <t>What was the episode name of Simpson's first Doctor Who score?</t>
  </si>
  <si>
    <t>2.666 million</t>
  </si>
  <si>
    <t>Sky service</t>
  </si>
  <si>
    <t>£26,719</t>
  </si>
  <si>
    <t>What channel did ABC launch in 1981 that focused on cultural and arts programming?</t>
  </si>
  <si>
    <t>send aid and sometimes to go themselves to fight for their faith</t>
  </si>
  <si>
    <t>Tyneside Classical</t>
  </si>
  <si>
    <t>sediment load</t>
  </si>
  <si>
    <t>Vince Lombardi Trophy</t>
  </si>
  <si>
    <t>cilia</t>
  </si>
  <si>
    <t>What has replaced the former shipping premises?</t>
  </si>
  <si>
    <t>The modern trend in design is toward integration of what?</t>
  </si>
  <si>
    <t>To what place did he bring the injured pigeons to take care of them?</t>
  </si>
  <si>
    <t>What is the original meaning of the word Norman?</t>
  </si>
  <si>
    <t>Camp Pendleton</t>
  </si>
  <si>
    <t>The Earth's crust</t>
  </si>
  <si>
    <t>What is the largest main branch of the Rhine?</t>
  </si>
  <si>
    <t>The serials The Deadly Assassin and Mawdryn Undead and the 1996 TV film would later establish that a Time Lord can only regenerate 12 times, for a total of 13 incarnations. This line became stuck in the public consciousness despite not often being repeated, and was recognised by producers of the show as a plot obstacle for when the show finally had to regenerate the Doctor a thirteenth time. The episode "The Time of the Doctor" depicted the Doctor acquiring a new cycle of regenerations, starting from the Twelfth Doctor, due to the Eleventh Doctor being the product of the Doctor's twelfth regeneration from his original set.</t>
  </si>
  <si>
    <t>survival</t>
  </si>
  <si>
    <t>To Luther, what were all baptized Christians considered to be?</t>
  </si>
  <si>
    <t>the entertainment division</t>
  </si>
  <si>
    <t>Who may change the date by up to a month, on the proposal of the PO?</t>
  </si>
  <si>
    <t>United Kingdom, Australia, Canada and the United States</t>
  </si>
  <si>
    <t>$37.6 billion</t>
  </si>
  <si>
    <t>What is beta carotene?</t>
  </si>
  <si>
    <t>In what year was the first geological map of the U.S. produced?</t>
  </si>
  <si>
    <t>armed</t>
  </si>
  <si>
    <t>What was the first international event broadcast by ABC?</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</si>
  <si>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</si>
  <si>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"cellular" and "humoral"</t>
  </si>
  <si>
    <t>1748</t>
  </si>
  <si>
    <t>Who made the first to measure value of the Newton Universal Gravitation Constant?</t>
  </si>
  <si>
    <t>What can cause salaries to go higher than the range?</t>
  </si>
  <si>
    <t>What is the name of the stadium in Miami that was considered?</t>
  </si>
  <si>
    <t>winds up</t>
  </si>
  <si>
    <t>three-fourths</t>
  </si>
  <si>
    <t>Which hall was used as Parliament's principle committee room?</t>
  </si>
  <si>
    <t>Scottish Government.</t>
  </si>
  <si>
    <t>Given the strength of French forces at Louisbourg, what did Loudoun do?</t>
  </si>
  <si>
    <t>An important decision for civil disobedients is whether or not to plead guilty. There is much debate on this point, as some believe that it is a civil disobedient's duty to submit to the punishment prescribed by law, while others believe that defending oneself in court will increase the possibility of changing the unjust law. It has also been argued that either choice is compatible with the spirit of civil disobedience. ACT-UP's Civil Disobedience Training handbook states that a civil disobedient who pleads guilty is essentially stating, "Yes, I committed the act of which you accuse me. I don't deny it; in fact, I am proud of it. I feel I did the right thing by violating this particular law; I am guilty as charged," but that pleading not guilty sends a message of, "Guilt implies wrong-doing. I feel I have done no wrong. I may have violated some specific laws, but I am guilty of doing no wrong. I therefore plead not guilty." A plea of no contest is sometimes regarded as a compromise between the two. One defendant accused of illegally protesting nuclear power, when asked to enter his plea, stated, "I plead for the beauty that surrounds us"; this is known as a "creative plea," and will usually be interpreted as a plea of not guilty.</t>
  </si>
  <si>
    <t>1978</t>
  </si>
  <si>
    <t>Near the end of his life, Tesla walked to the park every day to feed the pigeons and even brought injured ones into his hotel room to nurse back to health. He said that he had been visited by a specific injured white pigeon daily. Tesla spent over $2,000, including building a device that comfortably supported her so her bones could heal, to fix her broken wing and leg. Tesla stated,</t>
  </si>
  <si>
    <t>Sherwood Boehlert, chairman of the House Science Committee</t>
  </si>
  <si>
    <t>What type of impact does opportunity-based entrepreneurship tend to have on economic growth?</t>
  </si>
  <si>
    <t>What kind of chloroplasts do Euglenophytes have?</t>
  </si>
  <si>
    <t>How many nations contain "Amazonas" in their names?</t>
  </si>
  <si>
    <t>at various locations throughout the world.</t>
  </si>
  <si>
    <t>1981</t>
  </si>
  <si>
    <t>the mid-sixties</t>
  </si>
  <si>
    <t>no French regular army troops were stationed in North America,</t>
  </si>
  <si>
    <t>100,000 soldiers</t>
  </si>
  <si>
    <t>The 2010 United States Census reported that Fresno had a population of 494,665. The population density was 4,404.5 people per square mile (1,700.6/km²). The racial makeup of Fresno was 245,306 (49.6%) White, 40,960 (8.3%) African American, 8,525 (1.7%) Native American, 62,528 (12.6%) Asian (3.6% Hmong, 1.7% Indian, 1.2% Filipino, 1.2% Laotian, 1.0% Thai, 0.8% Cambodian, 0.7% Chinese, 0.5% Japanese, 0.4% Vietnamese, 0.2% Korean), 849 (0.2%) Pacific Islander, 111,984 (22.6%) from other races, and 24,513 (5.0%) from two or more races. Hispanic or Latino of any race were 232,055 persons (46.9%). Among the Hispanic population, 42.7% of the total population are Mexican, 0.4% Salvadoran, and 0.4% Puerto Rican. Non-Hispanic Whites were 30.0% of the population in 2010, down from 72.6% in 1970.</t>
  </si>
  <si>
    <t>Mongol peace</t>
  </si>
  <si>
    <t>What do students learn about in confirmation and membership preparation classes?</t>
  </si>
  <si>
    <t>Distinguished Service Medal,</t>
  </si>
  <si>
    <t>What measurement do scientists used to determine the quality of water?</t>
  </si>
  <si>
    <t>Why did Tesla go to Karlovac?</t>
  </si>
  <si>
    <t>Whose role is to design the works, prepare the specifications and produce construction drawings, administer the contract, tender the works, and manage the works from inception to completion</t>
  </si>
  <si>
    <t>neuroimmune system</t>
  </si>
  <si>
    <t>$474 million</t>
  </si>
  <si>
    <t>In January 2010</t>
  </si>
  <si>
    <t>1 August 1944</t>
  </si>
  <si>
    <t>June 6, 1951</t>
  </si>
  <si>
    <t>Newton's Second Law</t>
  </si>
  <si>
    <t>The original logo used for the First Doctor</t>
  </si>
  <si>
    <t>The Internet2 community, in partnership with Qwest</t>
  </si>
  <si>
    <t>In 1523, Luther wrote that Jesus Christ was born a Jew which discouraged mistreatment of the Jews and advocated their conversion by proving that the Old Testament could be shown to speak of Jesus Christ. However, as the Reformation continued, Luther began to lose hope in large-scale Jewish conversion to Christianity. In his later years, Luther grew more hostile toward the Jews, writing against them with the kind of venom he had already unleashed on the Anabaptists, Zwinglianism, and the papacy. His 1543 treatise Von den Juden und ihren Lügen (On the Jews and Their Lies) took its place among other anti-Jewish literature of the times, although historians acknowledge that this treatise was particularly extreme, even by the standards of sixteenth century Europe. In it, he takes a hardline against Judaism, writing that synagogues and Jewish homes should be destroyed, their money confiscated, and liberty curtailed. These statements and their influence on antisemitism have contributed to his controversial status.</t>
  </si>
  <si>
    <t>hunting</t>
  </si>
  <si>
    <t>reciprocating</t>
  </si>
  <si>
    <t>the Qara Khitai, Caucasus, Khwarezmid Empire, Western Xia and Jin dynasties</t>
  </si>
  <si>
    <t>Lake Rhine</t>
  </si>
  <si>
    <t>What did Tesla write?</t>
  </si>
  <si>
    <t>to clean them of plants and sediments</t>
  </si>
  <si>
    <t>What has increased sediment and delta growth also produced in the Rhine?</t>
  </si>
  <si>
    <t>When was the cabinet-level Energy Department created?</t>
  </si>
  <si>
    <t>When were the Normans in Normandy?</t>
  </si>
  <si>
    <t>BBC Radiophonic Workshop</t>
  </si>
  <si>
    <t>Where did Tesla run to avoid the army draft?</t>
  </si>
  <si>
    <t>How many years does the V&amp;A glass collection cover?</t>
  </si>
  <si>
    <t>some complexity classes</t>
  </si>
  <si>
    <t>renewal of hostilities in the Arab–Israeli conflict</t>
  </si>
  <si>
    <t>The adaptive immune system recognizes non-self antigens during a process called what?</t>
  </si>
  <si>
    <t>Lucas–Lehmer test</t>
  </si>
  <si>
    <t>When was the ABC Pictures division eventually dissolved?</t>
  </si>
  <si>
    <t>The French acquired a copy of the British war plans, including the activities of Shirley and Johnson. Shirley's efforts to fortify Oswego were bogged down in logistical difficulties, exacerbated by Shirley's inexperience in managing large expeditions. In conjunction, Shirley was made aware that the French were massing for an attack on Fort Oswego in his absence when he planned to attack Fort Niagara. As a response, Shirley left garrisons at Oswego, Fort Bull, and Fort Williams (the latter two located on the Oneida Carry between the Mohawk River and Wood Creek at present-day Rome, New York). Supplies for use in the projected attack on Niagara were cached at Fort Bull.</t>
  </si>
  <si>
    <t>infinite</t>
  </si>
  <si>
    <t>reduced moist tropical vegetation cover in the basin</t>
  </si>
  <si>
    <t>the world famous Safari Rally</t>
  </si>
  <si>
    <t>allotrope</t>
  </si>
  <si>
    <t>Rhine Gutter</t>
  </si>
  <si>
    <t>132 million tons</t>
  </si>
  <si>
    <t>its distinctive flared base</t>
  </si>
  <si>
    <t>Inland Empire</t>
  </si>
  <si>
    <t>major economic center</t>
  </si>
  <si>
    <t>How many square kilometers is the Amazon Basin?</t>
  </si>
  <si>
    <t>self and non-self</t>
  </si>
  <si>
    <t>an individual</t>
  </si>
  <si>
    <t>Alfred Drury</t>
  </si>
  <si>
    <t>What modern math concept did Zhu Shijie do work similar to?</t>
  </si>
  <si>
    <t>Jerome Wiesner</t>
  </si>
  <si>
    <t>a competition between rival lighting systems</t>
  </si>
  <si>
    <t>July 24.</t>
  </si>
  <si>
    <t>contain their own DNA</t>
  </si>
  <si>
    <t>in 1259</t>
  </si>
  <si>
    <t>dispersed population and distance</t>
  </si>
  <si>
    <t>draftsman</t>
  </si>
  <si>
    <t>not specifically reserved</t>
  </si>
  <si>
    <t>three-carbon molecules</t>
  </si>
  <si>
    <t>What did Mongolian President Tsakhiagian Elbegdorj note was significantly punished by Genghis Khan's laws?</t>
  </si>
  <si>
    <t>About what year was the atmospheric engine invented?</t>
  </si>
  <si>
    <t>every June</t>
  </si>
  <si>
    <t>308</t>
  </si>
  <si>
    <t>the BBC National Orchestra of Wales</t>
  </si>
  <si>
    <t>In his defense of Doctor Who, what did Philip Howard compare to the London property market?</t>
  </si>
  <si>
    <t>How many branches does the Rhine branch into?</t>
  </si>
  <si>
    <t>his means of seizing power</t>
  </si>
  <si>
    <t>If you do not know both magnitude and direction of two forces on an object, what would you call that situation?</t>
  </si>
  <si>
    <t>doctrine of transubstantiation during Mass</t>
  </si>
  <si>
    <t>What US war caused a high amount of civil disobedience?</t>
  </si>
  <si>
    <t>rhetoric</t>
  </si>
  <si>
    <t>Taliban</t>
  </si>
  <si>
    <t>What is the most distinctive feature of ctenophora?</t>
  </si>
  <si>
    <t>1735</t>
  </si>
  <si>
    <t>VA, the Indian Health Service, and NIH</t>
  </si>
  <si>
    <t>grandson</t>
  </si>
  <si>
    <t>What hypothesis is associated with the complexity class of P viewed as a mathematical abstraction with efficient algorithmic functionality?</t>
  </si>
  <si>
    <t>the judges</t>
  </si>
  <si>
    <t>Qutb</t>
  </si>
  <si>
    <t>manage the pharmacy department</t>
  </si>
  <si>
    <t>What received a battering during the Siege of Newcastle?</t>
  </si>
  <si>
    <t>coin in the coffer rings, the soul from purgatory</t>
  </si>
  <si>
    <t>0.519</t>
  </si>
  <si>
    <t>What did Houghton say is necessary for any changes to the SPM?</t>
  </si>
  <si>
    <t>What style was the Warsaw Philharmony edifice built in?</t>
  </si>
  <si>
    <t>What early Greek wrote about experiments on air and combustion?</t>
  </si>
  <si>
    <t>east end</t>
  </si>
  <si>
    <t>, helped to increase local producer prices by 20–25%</t>
  </si>
  <si>
    <t>Sybilla</t>
  </si>
  <si>
    <t>the seal of the Federal Communications Commission</t>
  </si>
  <si>
    <t>reduced consumer demand</t>
  </si>
  <si>
    <t>rapidly</t>
  </si>
  <si>
    <t>attacked the British column, killing and capturing several hundred men, women, children, and slaves.</t>
  </si>
  <si>
    <t>1996 General Conference the</t>
  </si>
  <si>
    <t>some extra costs</t>
  </si>
  <si>
    <t>In February 2010, in response to controversies regarding claims in the Fourth Assessment Report, five climate scientists – all contributing or lead IPCC report authors – wrote in the journal Nature calling for changes to the IPCC. They suggested a range of new organizational options, from tightening the selection of lead authors and contributors, to dumping it in favor of a small permanent body, or even turning the whole climate science assessment process into a moderated "living" Wikipedia-IPCC. Other recommendations included that the panel employ a full-time staff and remove government oversight from its processes to avoid political interference.</t>
  </si>
  <si>
    <t>a roof extension</t>
  </si>
  <si>
    <t>What type of motivators are achievement and self determination considered?</t>
  </si>
  <si>
    <t>Southern California, often abbreviated SoCal, is a geographic and cultural region that generally comprises California's southernmost 10 counties. The region is traditionally described as "eight counties", based on demographics and economic ties: Imperial, Los Angeles, Orange, Riverside, San Bernardino, San Diego, Santa Barbara, and Ventura. The more extensive 10-county definition, including Kern and San Luis Obispo counties, is also used based on historical political divisions. Southern California is a major economic center for the state of California and the United States.</t>
  </si>
  <si>
    <t>Where did Old Briton call home?</t>
  </si>
  <si>
    <t>charity and good works</t>
  </si>
  <si>
    <t>6 million Lira</t>
  </si>
  <si>
    <t>photons</t>
  </si>
  <si>
    <t>Who had five sacks in nine games as a Carolina Panthers starter?</t>
  </si>
  <si>
    <t>Monarch</t>
  </si>
  <si>
    <t>Where were the Germanic tribes originally located?</t>
  </si>
  <si>
    <t>oscillating</t>
  </si>
  <si>
    <t>papal dispensation</t>
  </si>
  <si>
    <t>where water is costly</t>
  </si>
  <si>
    <t>Duke William II</t>
  </si>
  <si>
    <t>What was the name of Börte's second male child?</t>
  </si>
  <si>
    <t>Citadel Broadcasting</t>
  </si>
  <si>
    <t>Which successor to Henry resumed persecution of the Huguenots?</t>
  </si>
  <si>
    <t>However, the rainforest still managed to thrive during these glacial periods, allowing for the survival and evolution of a broad diversity of species.</t>
  </si>
  <si>
    <t>Where does two thirds of the Rhine flow outside of Germany?</t>
  </si>
  <si>
    <t>What industry was centered in Bedfordshire?</t>
  </si>
  <si>
    <t>In how many places is oxygen stored in its cycle?</t>
  </si>
  <si>
    <t>Who has loaned the Raphael Cartoons to the museum?</t>
  </si>
  <si>
    <t>Who killed Begter, Temüjin's half-brother?</t>
  </si>
  <si>
    <t>1816</t>
  </si>
  <si>
    <t>Royal Borough of Kensington and Chelsea</t>
  </si>
  <si>
    <t>What local radio station is broadcast by the Corporation from the Pink Palace?</t>
  </si>
  <si>
    <t>What are the agents the immune system detects known as?</t>
  </si>
  <si>
    <t>What gets transferred to students who are receptive to the teacher?</t>
  </si>
  <si>
    <t>Chaffee</t>
  </si>
  <si>
    <t>Newton's Universal Gravitation Constant,</t>
  </si>
  <si>
    <t>ABC news provides content for radio stations owned by what company?</t>
  </si>
  <si>
    <t>Supreme Court case of FCC v. Pacifica Foundation</t>
  </si>
  <si>
    <t>high art and folk music</t>
  </si>
  <si>
    <t>entire length</t>
  </si>
  <si>
    <t>What stature did pharmacists have in the pre-Heian Imperial court?</t>
  </si>
  <si>
    <t>The last plague outbreak ravaged Oslo in 1654.</t>
  </si>
  <si>
    <t>the prime number intervals between emergences make it very difficult for predators to evolve</t>
  </si>
  <si>
    <t>Dai Ön Ulus, also rendered as Ikh Yuan Üls or Yekhe Yuan Ulus</t>
  </si>
  <si>
    <t>countries with bigger income inequalities</t>
  </si>
  <si>
    <t>Other than Scotland's Chief Law Officer, from whence are most ministers drawn from amongst?</t>
  </si>
  <si>
    <t>Richard Trevithick</t>
  </si>
  <si>
    <t>How many people were in French North American Colonies?</t>
  </si>
  <si>
    <t>What is the name of the movement that seeks renewed use of steam power in the modern era?</t>
  </si>
  <si>
    <t>What helps the process of free movement of goods?</t>
  </si>
  <si>
    <t>substantially increasing the atmospheric concentrations of the greenhouse gases</t>
  </si>
  <si>
    <t>James E. Webb</t>
  </si>
  <si>
    <t>the StubHub Center</t>
  </si>
  <si>
    <t>The central garden was redesigned by Kim Wilkie and opened as the John Madejski Garden, on 5 July 2005. The design is a subtle blend of the traditional and modern, the layout is formal; there is an elliptical water feature lined in stone with steps around the edge which may be drained to use the area for receptions, gatherings or exhibition purposes. This is in front of the bronze doors leading to the refreshment rooms, a central path flanked by lawns leads to the sculpture gallery; the north, east and west sides have herbaceous borders along the museum walls with paths in front which continues along the south façade; in the two corners by the north façade there is planted an American Sweetgum tree; the southern, eastern and western edges of the lawns have glass planters which contain orange and lemon trees in summer, these are replaced by bay trees in winter.</t>
  </si>
  <si>
    <t>Additionally, multiple Doctors have returned in new adventures together in audio dramas based on the series. Peter Davison, Colin Baker and Sylvester McCoy appeared together in the 1999 audio adventure The Sirens of Time. To celebrate the 40th anniversary in 2003, an audio drama titled Zagreus featuring Paul McGann, Colin Baker, Sylvester McCoy and Peter Davison was released with additional archive recordings of Jon Pertwee. Again in 2003, Colin Baker and Sylvester McCoy appeared together in the audio adventure Project: Lazarus. In 2010, Peter Davison, Colin Baker, Sylvester McCoy and Paul McGann came together again to star in the audio drama The Four Doctors.</t>
  </si>
  <si>
    <t>When was there a sharp rise in nationalism in Scotland?</t>
  </si>
  <si>
    <t>three astronauts</t>
  </si>
  <si>
    <t>What goal does Islamism have when it comes to society and government?</t>
  </si>
  <si>
    <t>Dominic Glynn</t>
  </si>
  <si>
    <t>the New Collegiate Division</t>
  </si>
  <si>
    <t>Richard Allen and Absalom Jones were licensed by what church?</t>
  </si>
  <si>
    <t>wool</t>
  </si>
  <si>
    <t>As of February 2011, how many numbers has Goldbach's conjecture been proven to?</t>
  </si>
  <si>
    <t>Apollo 17</t>
  </si>
  <si>
    <t>What is the prize offered for finding a solution to P=NP?</t>
  </si>
  <si>
    <t>Analysis of what kind of deposits from the Amazon Fan indicates a change in rainfall in the Amazon basin?</t>
  </si>
  <si>
    <t>orbital scientific instrument</t>
  </si>
  <si>
    <t>Computer Science Network</t>
  </si>
  <si>
    <t>What type of writings did the reading of the Qur'an bring out in Luther?</t>
  </si>
  <si>
    <t>1191</t>
  </si>
  <si>
    <t>What was Genghis Khan's tribes burial custom?</t>
  </si>
  <si>
    <t>rare and desired</t>
  </si>
  <si>
    <t>exploitation</t>
  </si>
  <si>
    <t>to protect the King's land in the Ohio Valley from the British</t>
  </si>
  <si>
    <t>With the 2011 cancellation of Supernanny, Extreme Makeover: Home Edition became the only remaining program on the network's schedule that was broadcast in 4:3 standard definition. All of the network's programming has been presented in HD since January 2012 (with the exception of certain holiday specials produced prior to 2005 – such as the Peanuts specials and Rudolph's Shiny New Year – which continue to be presented in 4:3 SD), when Extreme Makeover: Home Edition ended its run as a regular series and One Life to Live (which had been presented in 16:9 standard definition since 2010) also ended its ABC run. The affiliate-syndicated Saturday morning E/I block Litton's Weekend Aventure is also broadcast in HD, and was the first children's program block on any U.S. broadcast network to feature programs available in the format upon its September 2011 debut.</t>
  </si>
  <si>
    <t>high growth rates</t>
  </si>
  <si>
    <t>Alfred Drury.</t>
  </si>
  <si>
    <t xml:space="preserve">How was coal transferred from the river banks to colliers? </t>
  </si>
  <si>
    <t>The issues of conflicting territorial claims between British and French colonies</t>
  </si>
  <si>
    <t>What are alternate English spelling of Genghis?</t>
  </si>
  <si>
    <t>Vγ9/Vδ2</t>
  </si>
  <si>
    <t>What is the grace that "goes before us?"</t>
  </si>
  <si>
    <t>monthly subscription</t>
  </si>
  <si>
    <t>In which etude of Neumes rythmiques do the primes 41, 43, 47 and 53 appear in?</t>
  </si>
  <si>
    <t>What is one of the reason that underdeveloped nations received aid from the oil income?</t>
  </si>
  <si>
    <t>How does most plants' cpDNA replicate?</t>
  </si>
  <si>
    <t>In 1893</t>
  </si>
  <si>
    <t>ignoring Christ's counsel</t>
  </si>
  <si>
    <t>Civil Service Tribunal</t>
  </si>
  <si>
    <t>What would a teacher do for someone who is timid?</t>
  </si>
  <si>
    <t>1809</t>
  </si>
  <si>
    <t>the south</t>
  </si>
  <si>
    <t>Which museum was among those that loaned more modern works for the new sculpture galleries?</t>
  </si>
  <si>
    <t>How many solo sacks did Von Miller have in the game?</t>
  </si>
  <si>
    <t>February 7</t>
  </si>
  <si>
    <t>Why aren't some forms of Hæmatococcus pluvialis green?</t>
  </si>
  <si>
    <t>How much does it cost to gain entry to a parliament meeting?</t>
  </si>
  <si>
    <t>the Red Sea</t>
  </si>
  <si>
    <t>What station aired the Super Bowl?</t>
  </si>
  <si>
    <t>older than the fault</t>
  </si>
  <si>
    <t>Tethys sea</t>
  </si>
  <si>
    <t>more specialized medications</t>
  </si>
  <si>
    <t>What was the usual type of school discipline?</t>
  </si>
  <si>
    <t>NL and NC</t>
  </si>
  <si>
    <t>The plain moraine plateau has only a few natural and artificial ponds and also groups of clay pits. The pattern of the Vistula terraces is asymmetrical. The left side consist mainly of two levels: the highest one contains former flooded terraces and the lowest one the flood plain terrace. The contemporary flooded terrace still has visible valleys and ground depressions with water systems coming from the Vistula old – riverbed. They consist of still quite natural streams and lakes as well as the pattern of drainage ditches. The right side of Warsaw has a different pattern of geomorphological forms. There are several levels of the plain Vistula terraces (flooded as well as former flooded once) and only small part and not so visible moraine escarpment. Aeolian sand with a number of dunes parted by peat swamps or small ponds cover the highest terrace. These are mainly forested areas (pine forest).</t>
  </si>
  <si>
    <t>Cobham's thesis</t>
  </si>
  <si>
    <t>the 1970s</t>
  </si>
  <si>
    <t>reliance on teaching fellows</t>
  </si>
  <si>
    <t>Where does a canonball dropped from the crow's nest of a ship actually land?</t>
  </si>
  <si>
    <t>What type of degree must a teacher have, at a minimum?</t>
  </si>
  <si>
    <t>Governon Robert Dinwiddie had an investment in what significan company?</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</si>
  <si>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Atatürk.</t>
  </si>
  <si>
    <t>How many times has a Super Bowl taken place at Miami's Sun Life Stadium?</t>
  </si>
  <si>
    <t>28.5°E</t>
  </si>
  <si>
    <t>The rocks collected from the Moon are extremely old compared to rocks found on Earth, as measured by radiometric dating techniques. They range in age from about 3.2 billion years for the basaltic samples derived from the lunar maria, to about 4.6 billion years for samples derived from the highlands crust. As such, they represent samples from a very early period in the development of the Solar System, that are largely absent on Earth. One important rock found during the Apollo Program is dubbed the Genesis Rock, retrieved by astronauts David Scott and James Irwin during the Apollo 15 mission. This anorthosite rock is composed almost exclusively of the calcium-rich feldspar mineral anorthite, and is believed to be representative of the highland crust. A geochemical component called KREEP was discovered, which has no known terrestrial counterpart. KREEP and the anorthositic samples have been used to infer that the outer portion of the Moon was once completely molten (see lunar magma ocean).</t>
  </si>
  <si>
    <t>the top row of windows</t>
  </si>
  <si>
    <t>Francis Aidan Gasquet</t>
  </si>
  <si>
    <t>How many receptions did Cotchery  get for the 2015 season?</t>
  </si>
  <si>
    <t>the metal locking screw on the camera lens</t>
  </si>
  <si>
    <t>Khanbaliq</t>
  </si>
  <si>
    <t>creditor protection, labour rights to participate in work, or the public interest in collecting taxes</t>
  </si>
  <si>
    <t>What condition what must be satisfied in order for 1/p to be expressed in base q instead of base 10 and still have a period of p - 1?</t>
  </si>
  <si>
    <t>allow for U.S authorship of a 'new world'</t>
  </si>
  <si>
    <t>Seerhein</t>
  </si>
  <si>
    <t>What was the horsepower put out by the turbines in Waterside Power Station</t>
  </si>
  <si>
    <t>What is the law of thermodynamics associated with closed system heat exchange?</t>
  </si>
  <si>
    <t>tundra</t>
  </si>
  <si>
    <t>How many contributing authors does an IPCC report chapter have?</t>
  </si>
  <si>
    <t>Egyptians against the British occupation in the 1919 Revolution.</t>
  </si>
  <si>
    <t>The Port of Long Beach belongs to which region of California?</t>
  </si>
  <si>
    <t>genetic disease</t>
  </si>
  <si>
    <t>In U.S. states, what happens to the life expectancy in less economically equal ones?</t>
  </si>
  <si>
    <t>When did Archbishop Albrecht send Luther's letter containing the 95 Theses to Rome?</t>
  </si>
  <si>
    <t>Philo of Byzantium</t>
  </si>
  <si>
    <t>What applies to equally to constant velocity motion as it does to rest.</t>
  </si>
  <si>
    <t>5,500,000 square kilometres (2,100,000 sq mi) are covered by the rainforest.</t>
  </si>
  <si>
    <t>In what year was the Kalven Report issued?</t>
  </si>
  <si>
    <t>The movements of the lobates combs are controlled by what?</t>
  </si>
  <si>
    <t>In bays</t>
  </si>
  <si>
    <t>Rhind papyrus</t>
  </si>
  <si>
    <t>Downtown Fresno</t>
  </si>
  <si>
    <t>Where was the Muslim Brotherhood founded?</t>
  </si>
  <si>
    <t>What dynasty shared artistic inspiration with the Yuan?</t>
  </si>
  <si>
    <t>in the 12th century</t>
  </si>
  <si>
    <t>How high did the Doctor Who theme go on the radio charts?</t>
  </si>
  <si>
    <t>the Marquis de Vaudreuil</t>
  </si>
  <si>
    <t>What was the Brazilian French colony called?</t>
  </si>
  <si>
    <t>Who defeated the rebels at the Battle of Frankenhausen?</t>
  </si>
  <si>
    <t>a dispute over control of the confluence of the Allegheny and Monongahela rivers</t>
  </si>
  <si>
    <t>1870</t>
  </si>
  <si>
    <t xml:space="preserve">What did the Apple system assign automatically </t>
  </si>
  <si>
    <t>WBAI's broadcasting Some of George Carlin's comedy eventually led to what?</t>
  </si>
  <si>
    <t>What are phycobilisomes?</t>
  </si>
  <si>
    <t>The sculpture of Amida Nyorai that is included in the V&amp;A's Japanese art collection is dated to which century?</t>
  </si>
  <si>
    <t>What percentage of the population of Warsaw was Jewish in 1897?</t>
  </si>
  <si>
    <t>The current 8–4–4 system was launched in January 1985. It put more emphasis on vocational subjects on the assumption that the new structure would enable school drop-outs at all levels either to be self-employed or to secure employment in the informal sector. In January 2003, the Government of Kenya announced the introduction of free primary education. As a result, primary school enrolment increased by about 70%. Secondary and tertiary education enrolment has not increased proportionally because payment is still required for attendance. In 2007 the government issued a statement declaring that from 2008, secondary education would be heavily subsidiszed, with the government footing all tuition fees.</t>
  </si>
  <si>
    <t>2,249</t>
  </si>
  <si>
    <t>impossible</t>
  </si>
  <si>
    <t>What is the largest port in Europe called?</t>
  </si>
  <si>
    <t>The Bachelorette</t>
  </si>
  <si>
    <t>How many rival princes were involved in assassinating Gegeen?</t>
  </si>
  <si>
    <t>What was the cause for the issues with city funding?</t>
  </si>
  <si>
    <t>In a type III secretion system, proteins are transported to the host cell in order to do what?</t>
  </si>
  <si>
    <t>During withdrawal from Fort William Henry, what did some Indian allies of French do?</t>
  </si>
  <si>
    <t>How much did it cost to build the stadium where Super Bowl 50 was played?</t>
  </si>
  <si>
    <t>What is the Latin name for Black Death?</t>
  </si>
  <si>
    <t>A multi-tape Turing machine requires what type of time for a solution?</t>
  </si>
  <si>
    <t>The UK</t>
  </si>
  <si>
    <t>How many times has the South Florida/Miami area hosted the Super Bowl?</t>
  </si>
  <si>
    <t>a tool of the devil</t>
  </si>
  <si>
    <t>the West Side</t>
  </si>
  <si>
    <t>What other CBS talk show played, after the main one that began immediately after Super Bowl 50?</t>
  </si>
  <si>
    <t>teachers</t>
  </si>
  <si>
    <t>How much literature has been written regarding civil disobedience?</t>
  </si>
  <si>
    <t>the series' revival in 2005</t>
  </si>
  <si>
    <t>steep and steady decline</t>
  </si>
  <si>
    <t>Temülen</t>
  </si>
  <si>
    <t>K-9 and Company</t>
  </si>
  <si>
    <t>What Canadian investor sought ABC's help in launching a station in 1960?</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</si>
  <si>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</si>
  <si>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The embargo had a negative influence on the US economy by causing immediate demands to address the threats to U.S. energy security. On an international level, the price increases changed competitive positions in many industries, such as automobiles. Macroeconomic problems consisted of both inflationary and deflationary impacts. The embargo left oil companies searching for new ways to increase oil supplies, even in rugged terrain such as the Arctic. Finding oil and developing new fields usually required five to ten years before significant production.</t>
  </si>
  <si>
    <t>How much of the sun is made up of oxygen?</t>
  </si>
  <si>
    <t>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("Bent Rhine") past Utrecht, first Leidse Rijn ("Rhine of Leiden") and then, Oude Rijn ("Old Rhine").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t>
  </si>
  <si>
    <t>Who applies European Union law?</t>
  </si>
  <si>
    <t>When was this edict declared?</t>
  </si>
  <si>
    <t>What does the WG I Summary for Policymakers report say human activities are doing to greenhouse gases?</t>
  </si>
  <si>
    <t>On what other calendar is Luther commemorated?</t>
  </si>
  <si>
    <t>second-most populous</t>
  </si>
  <si>
    <t>Annam</t>
  </si>
  <si>
    <t xml:space="preserve">What was the corporate entity American Broadcasting-Paramount Theatres renamed in 1965? </t>
  </si>
  <si>
    <t>large cilia</t>
  </si>
  <si>
    <t>While the concept of a "social market economy" was only introduced into EU law in 2007, free movement and trade were central to European development since the Treaty of Rome 1957. According to the standard theory of comparative advantage, two countries can both benefit from trade even if one of them has a less productive economy in all respects. Like in other regional organisations such as the North American Free Trade Association, or the World Trade Organisation, breaking down barriers to trade, and enhancing free movement of goods, services, labour and capital, is meant to reduce consumer prices. It was originally theorised that a free trade area had a tendency to give way to a customs union, which led to a common market, then monetary union, then union of monetary and fiscal policy, political and eventually a full union characteristic of a federal state. In Europe, however, those stages were considerably mixed, and it remains unclear whether the "endgame" should be the same as a state, traditionally understood. In practice free trade, without standards to ensure fair trade, can benefit some people and groups within countries (particularly big business) much more than others, but will burden people who lack bargaining power in an expanding market, particularly workers, consumers, small business, developing industries, and communities. The Treaty on the Functioning of the European Union articles 28 to 37 establish the principle of free movement of goods in the EU, while articles 45 to 66 require free movement of persons, services and capital. These so-called "four freedoms" were thought to be inhibited by physical barriers (e.g. customs), technical barriers (e.g. differing laws on safety, consumer or environmental standards) and fiscal barriers (e.g. different Value Added Tax rates). The tension in the law is that the free movement and trade is not supposed to spill over into a licence for unrestricted commercial profit. The Treaties limit free trade, to prioritise other values such as public health, consumer protection, labour rights, fair competition, and environmental improvement. Increasingly the Court of Justice has taken the view that the specific goals of free trade are underpinned by the general aims of the treaty for improvement of people's well being.</t>
  </si>
  <si>
    <t>Lake Balkhash</t>
  </si>
  <si>
    <t>six series of theses</t>
  </si>
  <si>
    <t>27,814</t>
  </si>
  <si>
    <t>26.7%</t>
  </si>
  <si>
    <t>Upper Rhine</t>
  </si>
  <si>
    <t>How many ministries of the Scottish government does a committee typically correspond to?</t>
  </si>
  <si>
    <t>General Conference</t>
  </si>
  <si>
    <t>How much did San Francisco get for providing services for the Super Bowl?</t>
  </si>
  <si>
    <t>open loop</t>
  </si>
  <si>
    <t>How can the deposition of compliment kill invader cells directly?</t>
  </si>
  <si>
    <t>What was Marin's orders?</t>
  </si>
  <si>
    <t>28</t>
  </si>
  <si>
    <t>What did he work on refining until the end of his life?</t>
  </si>
  <si>
    <t>Fußach</t>
  </si>
  <si>
    <t>the flail of God</t>
  </si>
  <si>
    <t>areas cleared of forest are visible to the naked eye</t>
  </si>
  <si>
    <t>Due to the fact that the bureaucracy was dominated by El Temür, Tugh Temür is known for his cultural contribution instead. He adopted many measures honoring Confucianism and promoting Chinese cultural values. His most concrete effort to patronize Chinese learning was founding the Academy of the Pavilion of the Star of Literature (Chinese: 奎章閣學士院),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經世大典). Tugh Temür supported Zhu Xi's Neo-Confucianism and also devoted himself in Buddhism.</t>
  </si>
  <si>
    <t>What French animation studio did ABC purchase in 1993?</t>
  </si>
  <si>
    <t>tuition fees</t>
  </si>
  <si>
    <t>June 1521</t>
  </si>
  <si>
    <t>How did Tesla know he was being struck by the particle?</t>
  </si>
  <si>
    <t>The variant forms of the name of the Rhine in modern languages are all derived from the Gaulish name Rēnos, which was adapted in Roman-era geography (1st century BC) as Greek Ῥῆνος (Rhēnos), Latin Rhenus.[note 3] The spelling with Rh- in English Rhine as well as in German Rhein and French Rhin is due to the influence of Greek orthography, while the vocalisation -i- is due to the Proto-Germanic adoption of the Gaulish name as *Rīnaz, via Old Frankish giving Old English Rín, Old High German Rīn, Dutch Rijn (formerly also spelled Rhijn)). The diphthong in modern German Rhein (also adopted in Romansh Rein, Rain) is a Central German development of the early modern period, the Alemannic name Rī(n) retaining the older vocalism,[note 4] as does Ripuarian Rhing, while Palatine has diphthongized Rhei, Rhoi. Spanish is with French in adopting the Germanic vocalism Rin-, while Italian, Occitan and Portuguese retain the Latin Ren-.</t>
  </si>
  <si>
    <t>Jim Gray</t>
  </si>
  <si>
    <t>teacher salaries</t>
  </si>
  <si>
    <t>How many years must a local pastor attend a course of study at United Methodist approved seminary?</t>
  </si>
  <si>
    <t>Who discovered the Compton Effect?</t>
  </si>
  <si>
    <t xml:space="preserve">What is the record number of touchdowns Cam Newton has had? </t>
  </si>
  <si>
    <t>When did the first French language bible appear?</t>
  </si>
  <si>
    <t>CBS</t>
  </si>
  <si>
    <t xml:space="preserve">How far did the second block, AS-202, travel downrange in km? </t>
  </si>
  <si>
    <t>What function is related to prime numbers?</t>
  </si>
  <si>
    <t>the Welsh</t>
  </si>
  <si>
    <t>steroid hormone calcitriol</t>
  </si>
  <si>
    <t>heavy civil or heavy engineering</t>
  </si>
  <si>
    <t>Duncan</t>
  </si>
  <si>
    <t>How do cestids swim?</t>
  </si>
  <si>
    <t>What flows between the Bingen and Bonn?</t>
  </si>
  <si>
    <t>week 7</t>
  </si>
  <si>
    <t>How many times more did the other nations have to pay for oil after the surprise attack?</t>
  </si>
  <si>
    <t>establish, equip, manage and maintain national and public libraries</t>
  </si>
  <si>
    <t>The Melbourne Cricket Ground</t>
  </si>
  <si>
    <t>slug</t>
  </si>
  <si>
    <t>When was the final legislative proposals for a Scottish Assembly passed?</t>
  </si>
  <si>
    <t>Gender</t>
  </si>
  <si>
    <t>complex silicates</t>
  </si>
  <si>
    <t>What country was under the control of Norman barons?</t>
  </si>
  <si>
    <t>The present Mediterranean Sea descends from what sea?</t>
  </si>
  <si>
    <t>A typical configuration is to run IP over ATM or a version of MPLS</t>
  </si>
  <si>
    <t>The earlier they surrendered to the Mongols</t>
  </si>
  <si>
    <t>two months</t>
  </si>
  <si>
    <t>the lack of reliable statistics</t>
  </si>
  <si>
    <t>pH or available iron</t>
  </si>
  <si>
    <t>Stage 3</t>
  </si>
  <si>
    <t>tropical</t>
  </si>
  <si>
    <t>Why would one want to give a speech?</t>
  </si>
  <si>
    <t>35</t>
  </si>
  <si>
    <t>seven central conferences: Africa, Congo, West Africa, Central &amp; Southern Europe, Germany, Northern Europe and the Philippines.</t>
  </si>
  <si>
    <t>Ibn Sina</t>
  </si>
  <si>
    <t>What is an example of a mechanical barrier on leaves?</t>
  </si>
  <si>
    <t>educational</t>
  </si>
  <si>
    <t>12.5 acres</t>
  </si>
  <si>
    <t>Dornbirner Ach</t>
  </si>
  <si>
    <t>How did Tetzel state that the soul could leave purgatory?</t>
  </si>
  <si>
    <t>Southern_California</t>
  </si>
  <si>
    <t>Since then, and so far, general relativity has been acknowledged as the theory that best explains gravity. In GR, gravitation is not viewed as a force, but rather, objects moving freely in gravitational fields travel under their own inertia in straight lines through curved space-time – defined as the shortest space-time path between two space-time events. From the perspective of the object, all motion occurs as if there were no gravitation whatsoever. It is only when observing the motion in a global sense that the curvature of space-time can be observed and the force is inferred from the object's curved path. Thus, the straight line path in space-time is seen as a curved line in space, and it is called the ballistic trajectory of the object. For example, a basketball thrown from the ground moves in a parabola, as it is in a uniform gravitational field. Its space-time trajectory (when the extra ct dimension is added) is almost a straight line, slightly curved (with the radius of curvature of the order of few light-years). The time derivative of the changing momentum of the object is what we label as "gravitational force".</t>
  </si>
  <si>
    <t>What type of authority are ambulatory care pharmacists given in the U.S. federal health care system?</t>
  </si>
  <si>
    <t>the heart</t>
  </si>
  <si>
    <t>How many of the prior Super Bowl MVPs appeared together at the pregame show?</t>
  </si>
  <si>
    <t>Who taped video intros for Doctor Who shows in Canada, that included a trivia question?</t>
  </si>
  <si>
    <t>new storage space for books in the Art Library</t>
  </si>
  <si>
    <t>What network was launched by ABC in 2004?</t>
  </si>
  <si>
    <t>nineteenth century</t>
  </si>
  <si>
    <t>Luther's rediscovery of "Christ and His salvation" was the first of two points that became the foundation for the Reformation. His railing against the sale of indulgences was based on it.</t>
  </si>
  <si>
    <t>However, this oft-quoted saying of Tetzel was by no means representative of contemporary Catholic teaching on indulgences, but rather a reflection of his capacity to exaggerate. Yet if Tetzel overstated the matter in regard to indulgences for the dead, his teaching on indulgences for the living was in line with Catholic dogma of the time.</t>
  </si>
  <si>
    <t>At what speed did the turbine operate?</t>
  </si>
  <si>
    <t>15,100 kg</t>
  </si>
  <si>
    <t>the concept Distributed Adaptive Message Block Switching</t>
  </si>
  <si>
    <t>What compounds in the stomach protect against ingested pathogens?</t>
  </si>
  <si>
    <t>triplet-stacked</t>
  </si>
  <si>
    <t>45,000 pounds</t>
  </si>
  <si>
    <t>worst</t>
  </si>
  <si>
    <t>a four-carbon compound</t>
  </si>
  <si>
    <t>death</t>
  </si>
  <si>
    <t>"Apologie"</t>
  </si>
  <si>
    <t>How did von Lettow conduct his group?</t>
  </si>
  <si>
    <t>peacekeeping</t>
  </si>
  <si>
    <t>Who did Britain exploit in India?</t>
  </si>
  <si>
    <t>Cengiz Han</t>
  </si>
  <si>
    <t>Prophet Mohammad</t>
  </si>
  <si>
    <t>Mainau</t>
  </si>
  <si>
    <t>What was the name of Temüjin's laws?</t>
  </si>
  <si>
    <t>When was Tesla returned to Gospic?</t>
  </si>
  <si>
    <t>the Naimans</t>
  </si>
  <si>
    <t>higher GDP growth</t>
  </si>
  <si>
    <t>In the United States, each state determines the requirements for getting a license to teach in public schools. Teaching certification generally lasts three years, but teachers can receive certificates that last as long as ten years. Public school teachers are required to have a bachelor's degree and the majority must be certified by the state in which they teach. Many charter schools do not require that their teachers be certified, provided they meet the standards to be highly qualified as set by No Child Left Behind. Additionally, the requirements for substitute/temporary teachers are generally not as rigorous as those for full-time professionals. The Bureau of Labor Statistics estimates that there are 1.4 million elementary school teachers, 674,000 middle school teachers, and 1 million secondary school teachers employed in the U.S.</t>
  </si>
  <si>
    <t>random access machines</t>
  </si>
  <si>
    <t>lunar orbital sensors and cameras</t>
  </si>
  <si>
    <t>fast forwarding of accessed content</t>
  </si>
  <si>
    <t>population levels would start to drop to a sustainable level</t>
  </si>
  <si>
    <t>How much did Silas B. Cobb pledge to the university?</t>
  </si>
  <si>
    <t>Alpha Phi Omega</t>
  </si>
  <si>
    <t>Oxygen is the oxidant</t>
  </si>
  <si>
    <t>reflective</t>
  </si>
  <si>
    <t>Who will carry the game throughout all of North America?</t>
  </si>
  <si>
    <t>What does the beroida have instead of feeding appendages?</t>
  </si>
  <si>
    <t>For what occasion was he put on the cover?</t>
  </si>
  <si>
    <t>How many primary affiliates did CBS have in 1954?</t>
  </si>
  <si>
    <t>Westernizing Muslims</t>
  </si>
  <si>
    <t>Compared to other Australian cities, what is the size of Melbourne?</t>
  </si>
  <si>
    <t>in an adult plant's apical meristems</t>
  </si>
  <si>
    <t>Where is the Rhine Bridge?</t>
  </si>
  <si>
    <t>Why are researchers struggling to identify the history of the plague?</t>
  </si>
  <si>
    <t>Stephen Eilmann asks why show public civil disobedience instead what is a better idea?</t>
  </si>
  <si>
    <t>the United Nations</t>
  </si>
  <si>
    <t>Inertia</t>
  </si>
  <si>
    <t>was more active and lived longer</t>
  </si>
  <si>
    <t xml:space="preserve">What is the name of the Bronco's head coach, who was hired after John Fox? </t>
  </si>
  <si>
    <t>How did Luther broaden the Reformation in terms of prophecy?</t>
  </si>
  <si>
    <t>solar</t>
  </si>
  <si>
    <t>consumption</t>
  </si>
  <si>
    <t>Warsaw Uprising Monument</t>
  </si>
  <si>
    <t>least prejudiced</t>
  </si>
  <si>
    <t>What is  the time rate of change of electric charge?</t>
  </si>
  <si>
    <t>modular</t>
  </si>
  <si>
    <t>support from China for a planned $2.5 billion railway</t>
  </si>
  <si>
    <t>Since the 1980s</t>
  </si>
  <si>
    <t>nucleomorph and outermost two membranes</t>
  </si>
  <si>
    <t>What did the use of steam engines in farming lead to?</t>
  </si>
  <si>
    <t>Invocavit Sermons</t>
  </si>
  <si>
    <t>The Pleistocene epoch takes place during which period?</t>
  </si>
  <si>
    <t>resist responding to investigators' questions</t>
  </si>
  <si>
    <t>What was the bubonic plague mechanism reliant on?</t>
  </si>
  <si>
    <t>French_and_Indian_War</t>
  </si>
  <si>
    <t>planktonic plants</t>
  </si>
  <si>
    <t>The European Court of Justice</t>
  </si>
  <si>
    <t>the MetroCentre</t>
  </si>
  <si>
    <t>The stress tensor</t>
  </si>
  <si>
    <t>prophecy of the Little Horn</t>
  </si>
  <si>
    <t>Who was the original pilot for the first Apollo mission?</t>
  </si>
  <si>
    <t>Who sacked Newton with 11 seconds left in the first half?</t>
  </si>
  <si>
    <t>hold a set speed</t>
  </si>
  <si>
    <t>On 28 February 2008, Kibaki and Odinga signed an agreement on the formation of a coalition government in which Odinga would become Kenya's second Prime Minister. Under the deal, the president would appoint cabinet ministers from both PNU and ODM camps depending on each party's strength in Parliament. The agreement stipulated that the cabinet would include a vice-president and two deputy Prime Ministers. After debates, it was passed by Parliament, the coalition would hold until the end of the current Parliament or if either of the parties withdraws from the deal before then.</t>
  </si>
  <si>
    <t>Which entity developed the principles of European Union Law?</t>
  </si>
  <si>
    <t>the river's natural course due to number of canalisation projects completed in the 19th and 20th century</t>
  </si>
  <si>
    <t>What is the hottest temperature record for Fresno?</t>
  </si>
  <si>
    <t>the 1994 Works Council Directive</t>
  </si>
  <si>
    <t>political support</t>
  </si>
  <si>
    <t>Ikh Zasag</t>
  </si>
  <si>
    <t>How much does the Rhine discharge at the Dutch border?</t>
  </si>
  <si>
    <t>Cévennes region in the south</t>
  </si>
  <si>
    <t>Raghuram Rajan</t>
  </si>
  <si>
    <t>most</t>
  </si>
  <si>
    <t>What city later became Beijing?</t>
  </si>
  <si>
    <t>1767</t>
  </si>
  <si>
    <t>What did Gasquet think the plague was?</t>
  </si>
  <si>
    <t>constructed complete on the ground</t>
  </si>
  <si>
    <t>Batu</t>
  </si>
  <si>
    <t>Egypt's premier Mahmud Fami Naqrashi</t>
  </si>
  <si>
    <t>How many societal class divisions were in the plan Kublai rejected?</t>
  </si>
  <si>
    <t>30% loss</t>
  </si>
  <si>
    <t>6800</t>
  </si>
  <si>
    <t>Who is parodied on programs such as Saturday Night Live and The Simpsons?</t>
  </si>
  <si>
    <t>revolutionary</t>
  </si>
  <si>
    <t>electromagnetic force</t>
  </si>
  <si>
    <t>How did the 2001 IPCC report compare to reality for 2001-2006?</t>
  </si>
  <si>
    <t>What type of authority do Sudbury schools prefer?</t>
  </si>
  <si>
    <t>up to 3 pence in the pound</t>
  </si>
  <si>
    <t>A BBC audience research survey conducted in 1972 found that, by their own definition of violence ("any act[s] which may cause physical and/or psychological injury, hurt or death to persons, animals or property, whether intentional or accidental") Doctor Who was the most violent of the drama programmes the corporation produced at the time. The same report found that 3% of the surveyed audience regarded the show as "very unsuitable" for family viewing. Responding to the findings of the survey in The Times newspaper, journalist Philip Howard maintained that, "to compare the violence of Dr Who, sired by a horse-laugh out of a nightmare, with the more realistic violence of other television series, where actors who look like human beings bleed paint that looks like blood, is like comparing Monopoly with the property market in London: both are fantasies, but one is meant to be taken seriously."</t>
  </si>
  <si>
    <t>Complexity theory classifies problems based on what primary attribute?</t>
  </si>
  <si>
    <t>What remain unsolved problems with the Kyoto Protocol?</t>
  </si>
  <si>
    <t>Which articles of the Free Movement of Workers Regulation set out the primary provisions on equal treatment of workers?</t>
  </si>
  <si>
    <t>What is the largest suspension bridge in Germany?</t>
  </si>
  <si>
    <t xml:space="preserve">X.25 uses what type network type </t>
  </si>
  <si>
    <t>Service Module engine</t>
  </si>
  <si>
    <t>primes up to 10,006,721</t>
  </si>
  <si>
    <t>How many nations are within the Amazon Basin?</t>
  </si>
  <si>
    <t>What does the W and Z boson exchange create?</t>
  </si>
  <si>
    <t>When did Polonia Warsaw win the country's championship prior to 2000?</t>
  </si>
  <si>
    <t>the cause was a form of anthrax</t>
  </si>
  <si>
    <t>water pollution</t>
  </si>
  <si>
    <t>poor quality green light</t>
  </si>
  <si>
    <t>A function problem is an example of what?</t>
  </si>
  <si>
    <t>3,468</t>
  </si>
  <si>
    <t>John Wesley,</t>
  </si>
  <si>
    <t>World Heritage Site</t>
  </si>
  <si>
    <t>it consumes ATP and oxygen, releases CO2, and produces no sugar</t>
  </si>
  <si>
    <t>What can be the result of a change in an organization?</t>
  </si>
  <si>
    <t>electrical, water, sewage, phone, and cable facilities</t>
  </si>
  <si>
    <t>pigeons</t>
  </si>
  <si>
    <t>When extensive time is required to sort integers, this represents what case complexity?</t>
  </si>
  <si>
    <t>Golden Gate Bridge.</t>
  </si>
  <si>
    <t>beaches</t>
  </si>
  <si>
    <t>Who won the elections in 1992 and 1997?</t>
  </si>
  <si>
    <t>Synthetic aperture radar (SAR)</t>
  </si>
  <si>
    <t>The original logo used for the First Doctor (and briefly for the Second Doctor) was reused in a slightly modified format for the 50th anniversary special "The Day of the Doctor" during the Eleventh Doctor's run. The logo used in the television movie featuring the Eighth Doctor was an updated version of the logo used for the Third Doctor. The logo from 1973–80 was used for the Third Doctor's final season and for the majority of the Fourth Doctor's tenure. The following logo, while most associated with the Fifth Doctor, was also used for the Fourth Doctor's final season. The logo used for the Ninth Doctor was slightly edited for the Tenth Doctor, but it retained the same general appearance. The logo used for the Eleventh Doctor had the "DW" TARDIS insignia placed to the right in 2012, but the same font remained, albeit with a slight edit to the texture every episode, with the texture relating to some aspect of the story. The logo for the Twelfth Doctor had the "DW" TARDIS insignia removed and the font was subtly altered, as well as made slightly larger. As of 2014, the logo used for the Third and Eighth Doctors is the primary logo used on all media and merchandise relating to past Doctors, and the current Doctor Who logo is used for all merchandise relating to the current Doctor.</t>
  </si>
  <si>
    <t>What contributed to the severity of the plague?</t>
  </si>
  <si>
    <t>What delimits the delta of the Rhine in the East?</t>
  </si>
  <si>
    <t>How much did Capital Cities/ABC report in revenues in 1990?</t>
  </si>
  <si>
    <t>events</t>
  </si>
  <si>
    <t>National Electric Light Association</t>
  </si>
  <si>
    <t>government land</t>
  </si>
  <si>
    <t>What was Nicholas Storch ?</t>
  </si>
  <si>
    <t>What type of manufacturing plant is Victoria soon losing?</t>
  </si>
  <si>
    <t>1368–1644</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</si>
  <si>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</si>
  <si>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Where was war fought?</t>
  </si>
  <si>
    <t>Park Ujazdowski</t>
  </si>
  <si>
    <t>stabilize the rest of the chloroplast</t>
  </si>
  <si>
    <t>they contain striated muscle</t>
  </si>
  <si>
    <t>Captain Francis Fowke</t>
  </si>
  <si>
    <t>second Prime Minister</t>
  </si>
  <si>
    <t>1564</t>
  </si>
  <si>
    <t>A fine tribute to the fall of Warsaw and history of Poland can be found in the Warsaw Uprising Museum and in the Katyń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</si>
  <si>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What has given a boost to manufacturing in recent years?</t>
  </si>
  <si>
    <t xml:space="preserve">What is considered the epitome of the Rhine romanticism? </t>
  </si>
  <si>
    <t>Lippe</t>
  </si>
  <si>
    <t>1878</t>
  </si>
  <si>
    <t>The three-stage Saturn V was designed to send a fully fueled CSM and LM to the Moon. It was 33 feet (10.1 m) in diameter and stood 363 feet (110.6 m) tall with its 96,800-pound (43,900 kg) lunar payload. Its capability grew to 103,600 pounds (47,000 kg) for the later advanced lunar landings. The S-IC first stage burned RP-1/LOX for a rated thrust of 7,500,000 pounds-force (33,400 kN), which was upgraded to 7,610,000 pounds-force (33,900 kN). The second and third stages burned liquid hydrogen, and the third stage was a modified version of the S-IVB, with thrust increased to 230,000 lbf (1,020 kN) and capability to restart the engine for translunar injection after reaching a parking orbit.</t>
  </si>
  <si>
    <t>revolution or invasion</t>
  </si>
  <si>
    <t>theses against Agricola</t>
  </si>
  <si>
    <t>Mazda, Mitsubishi and Isuzu joined partnership with which American car company?</t>
  </si>
  <si>
    <t>Was the LM intended to return to Earth at all?</t>
  </si>
  <si>
    <t>Space</t>
  </si>
  <si>
    <t>Downtown Riverside</t>
  </si>
  <si>
    <t>medication management system development, deployment and optimization</t>
  </si>
  <si>
    <t>Who put on a Doctor Who exhibition in 1991?</t>
  </si>
  <si>
    <t>What can result from disorders of the immune system?</t>
  </si>
  <si>
    <t>When is the game's media day usually held?</t>
  </si>
  <si>
    <t>The Rhine forms an inland delta into which lake?</t>
  </si>
  <si>
    <t>small renovations</t>
  </si>
  <si>
    <t>What metal was used in Inalchuq's execution?</t>
  </si>
  <si>
    <t>performance of three to five million viewers was seen as poor</t>
  </si>
  <si>
    <t>Which denomination has more of an individualistic streak?</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</si>
  <si>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TGF-β, which suppresses the activity of macrophages and lymphocytes. In addition, immunological tolerance may develop against tumor antigens, so the immune system no longer attacks the tumor cells.</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</si>
  <si>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</si>
  <si>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Romana</t>
  </si>
  <si>
    <t>Keraite</t>
  </si>
  <si>
    <t>565 °C</t>
  </si>
  <si>
    <t>Article 34 meant states could be responsible for what?</t>
  </si>
  <si>
    <t>What are FtsZ1 and FtsZ2?</t>
  </si>
  <si>
    <t>What are environmentalists concerned about having released from the Amazon region?</t>
  </si>
  <si>
    <t>What did Tesla think could improve the brain's intelligence?</t>
  </si>
  <si>
    <t>What public policy school found it's home in the building that Ludwig Mies van der Rohe designed?</t>
  </si>
  <si>
    <t>the election of the UK Labour Party to government in 1997</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</si>
  <si>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</si>
  <si>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Besh Baliq, Almaliq, and Samarqand</t>
  </si>
  <si>
    <t>What type of antenna was used for communication on the lunar flights?</t>
  </si>
  <si>
    <t>invaginations</t>
  </si>
  <si>
    <t>Which fort was rebuilt in 1964?</t>
  </si>
  <si>
    <t>What is Victoria's largest non-Christian religion?</t>
  </si>
  <si>
    <t>What group can amend the Victorian constitution?</t>
  </si>
  <si>
    <t>How many refugees emigrated to the Dutch Republic?</t>
  </si>
  <si>
    <t>What contributed to the decreased inequality between trained and untrained workers?</t>
  </si>
  <si>
    <t>What important legislation was passed by Congress for the television industry in 1961?</t>
  </si>
  <si>
    <t>idea of torments</t>
  </si>
  <si>
    <t>The plague disease, caused by Yersinia pestis, is enzootic (commonly present) in populations of fleas carried by ground rodents, including marmots, in various areas including Central Asia, Kurdistan, Western Asia, Northern India and Uganda. Nestorian graves dating to 1338–39 near Lake Issyk Kul in Kyrgyzstan have inscriptions referring to plague and are thought by many epidemiologists to mark the outbreak of the epidemic, from which it could easily have spread to China and India. In October 2010, medical geneticists suggested that all three of the great waves of the plague originated in China. In China, the 13th century Mongol conquest caused a decline in farming and trading. However, economic recovery had been observed at the beginning of the 14th century. In the 1330s a large number of natural disasters and plagues led to widespread famine, starting in 1331, with a deadly plague arriving soon after. Epidemics that may have included plague killed an estimated 25 million Chinese and other Asians during the 15 years before it reached Constantinople in 1347.</t>
  </si>
  <si>
    <t>How many affiliated stations does ABC currently have?</t>
  </si>
  <si>
    <t>silicon</t>
  </si>
  <si>
    <t>ten times their own weight</t>
  </si>
  <si>
    <t>What city in Victoria is called the sporting capital of Australia?</t>
  </si>
  <si>
    <t>Gan</t>
  </si>
  <si>
    <t>an idealized and systematized version of conservative tribal village customs</t>
  </si>
  <si>
    <t>Which Belgian footballer claimed that he should be allowed to transfer from one football club to another when his contract was fulfilled?</t>
  </si>
  <si>
    <t>32</t>
  </si>
  <si>
    <t>What do scholars sometimes assert that Luther believed about what faith and reason were to each other?</t>
  </si>
  <si>
    <t>Braddock</t>
  </si>
  <si>
    <t>Distinguished Service Medal</t>
  </si>
  <si>
    <t>"fire-in-the-hole"</t>
  </si>
  <si>
    <t>public charter schools on the South Side of Chicago</t>
  </si>
  <si>
    <t>In 1952, when the release of the FCC's Sixth Report and Order announced the end of its freeze on new station license applications, among the issues the Commission was slated to address was whether to approve the UPT-ABC merger. One FCC Commissioner saw the possibility of ABC, funded by UPT, becoming a viable and competitive third television network. On February 9, 1953, the FCC approved UPT's purchase of ABC in exchange for $25 million in shares. The merged company, renamed American Broadcasting-Paramount Theatres, Inc. and headquartered in the Paramount Building at 1501 Broadway in Manhattan, owned six AM and several FM radio stations, five television stations and 644 cinemas in 300 U.S. cities. To comply with FCC ownership restrictions in effect at the time that barred common ownership of two television stations in the same market, UPT sold its Chicago television station, WBKB-TV, to CBS (which subsequently changed the station's call letters to WBBM-TV) for $6 million, while it kept ABC's existing Chicago station, WENR-TV. The merged company acquired the WBKB call letters for channel 7, which would eventually become WLS-TV. Goldenson began to sell some of the older theaters to help finance the new television network.</t>
  </si>
  <si>
    <t>What is the name brand of the personal video recorder that BSkyB offers?</t>
  </si>
  <si>
    <t>grew up in substantial privilege</t>
  </si>
  <si>
    <t>Michael Mullett</t>
  </si>
  <si>
    <t>Who is the founder of modern community organizing?</t>
  </si>
  <si>
    <t>What are the two different types of immunity?</t>
  </si>
  <si>
    <t>What can concentrate wealth, pass environmental costs on to society and abuse both workers and consumers?</t>
  </si>
  <si>
    <t>What is an example of a controlled substance?</t>
  </si>
  <si>
    <t>What are committees in the Scottish Parliament compared to other systems?</t>
  </si>
  <si>
    <t>The complexity class P is often seen as a mathematical abstraction modeling those computational tasks that admit an efficient algorithm. This hypothesis is called the Cobham–Edmonds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</si>
  <si>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is an important factor contributing to inequality for individuals?</t>
  </si>
  <si>
    <t>Conservative researchers have argued that income inequality is not significant because consumption, rather than income should be the measure of inequality, and inequality of consumption is less extreme than inequality of income in the US. Will Wilkinson of the libertarian Cato Institute states that "the weight of the evidence shows that the run-up in consumption inequality has been considerably less dramatic than the rise in income inequality," and consumption is more important than income. According to Johnson, Smeeding, and Tory, consumption inequality was actually lower in 2001 than it was in 1986. The debate is summarized in "The Hidden Prosperity of the Poor" by journalist Thomas B. Edsall. Other studies have not found consumption inequality less dramatic than household income inequality, and the CBO's study found consumption data not "adequately" capturing "consumption by high-income households" as it does their income, though it did agree that household consumption numbers show more equal distribution than household income.</t>
  </si>
  <si>
    <t>For what invention was U.S. Patent 1,655,114 granted?</t>
  </si>
  <si>
    <t>Sutcliffe</t>
  </si>
  <si>
    <t>What makes energy changes in a closed system?</t>
  </si>
  <si>
    <t>Who helped find sponsors and donors to help with the cost?</t>
  </si>
  <si>
    <t>traditional salute of a knight winning a bout</t>
  </si>
  <si>
    <t>crust</t>
  </si>
  <si>
    <t>Peter Jennings</t>
  </si>
  <si>
    <t>torque variability</t>
  </si>
  <si>
    <t>second level</t>
  </si>
  <si>
    <t>necessary for a state’s survival</t>
  </si>
  <si>
    <t>The main façade, built from red brick and Portland stone, stretches 720 feet (220 m) along Cromwell Gardens and was designed by Aston Webb after winning a competition in 1891 to extend the museum. Construction took place between 1899 and 1909. Stylistically it is a strange hybrid, although much of the detail belongs to the Renaissance there are medieval influences at work. The main entrance consisting of a series of shallow arches supported by slender columns and niches with twin doors separated by pier is Romanesque in form but Classical in detail. Likewise the tower above the main entrance has an open work crown surmounted by a statue of fame, a feature of late Gothic architecture and a feature common in Scotland, but the detail is Classical. The main windows to the galleries are also mullioned and transomed, again a Gothic feature, the top row of windows are interspersed with statues of many of the British artists whose work is displayed in the museum.</t>
  </si>
  <si>
    <t>Apollo 17 was significant for what reason?</t>
  </si>
  <si>
    <t>Paul Baran developed the concept Distributed Adaptive Message Block Switching</t>
  </si>
  <si>
    <t>organic compounds</t>
  </si>
  <si>
    <t>Where are Proplastids usually found?</t>
  </si>
  <si>
    <t>Static friction balances what force when there is no movement of an object on a surface?</t>
  </si>
  <si>
    <t>OPEC raised the posted price of oil</t>
  </si>
  <si>
    <t>his or her vocations on a daily basis</t>
  </si>
  <si>
    <t>free gift</t>
  </si>
  <si>
    <t>captured the mermaid</t>
  </si>
  <si>
    <t>How many Kenyans are living below the poverty level?</t>
  </si>
  <si>
    <t>prime number</t>
  </si>
  <si>
    <t xml:space="preserve">What finite hierarchy implies that the graph isomorphism problem is NP-complete? </t>
  </si>
  <si>
    <t>Type II hypersensitivity</t>
  </si>
  <si>
    <t>How is the time needed to obtain the solution to a problem calculated?</t>
  </si>
  <si>
    <t>How many teams have had a 15-1 record for the regular season?</t>
  </si>
  <si>
    <t>To which year is the earliest known piece of English silver with a dated hallmark is dated?</t>
  </si>
  <si>
    <t>23 November 1963</t>
  </si>
  <si>
    <t>"vector quantities"</t>
  </si>
  <si>
    <t>mucus</t>
  </si>
  <si>
    <t>a stroke</t>
  </si>
  <si>
    <t>a closed system</t>
  </si>
  <si>
    <t>stress tensor</t>
  </si>
  <si>
    <t>centripetal</t>
  </si>
  <si>
    <t xml:space="preserve">How many modern types of primality tests for general numbers n are there? </t>
  </si>
  <si>
    <t>After what event did the Spanish concede Florida to Britain?</t>
  </si>
  <si>
    <t>Along with mills and mines, in what industrial locations did steam drive machines?</t>
  </si>
  <si>
    <t>What petroleum company was a Super Bowl sponsor?</t>
  </si>
  <si>
    <t>What network uses a red version of the new ABC logo?</t>
  </si>
  <si>
    <t>passed</t>
  </si>
  <si>
    <t>Merwede-Oude Maas</t>
  </si>
  <si>
    <t>Scottish_Parliament</t>
  </si>
  <si>
    <t>What did the  fossils found in the Burgess Shale lack?</t>
  </si>
  <si>
    <t>between 1268 and 1273</t>
  </si>
  <si>
    <t>Minister of the Interior</t>
  </si>
  <si>
    <t>the Fifth, Sixth and Seventh Doctors</t>
  </si>
  <si>
    <t>monitoring of atmospheric oxygen levels show a global downward trend</t>
  </si>
  <si>
    <t>When did the British defeat New France?</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</si>
  <si>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</si>
  <si>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pointed into the Sun.</t>
  </si>
  <si>
    <t>Where was the 1893 World's Columbian Exposition held?</t>
  </si>
  <si>
    <t>If law breaking is not done in a public manor it is not considered what term?</t>
  </si>
  <si>
    <t>What month, every four years, are the ordinary general elections held on?</t>
  </si>
  <si>
    <t>How many large public parks does Fresno have?</t>
  </si>
  <si>
    <t xml:space="preserve">What was developed for the Air Force </t>
  </si>
  <si>
    <t>museum</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</si>
  <si>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</si>
  <si>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What is one result of civil rebellion?</t>
  </si>
  <si>
    <t>the City council</t>
  </si>
  <si>
    <t>The tentacles of cydippid ctenophores are typically fringed with tentilla ("little tentacles"), although a few genera have simple tentacles without these sidebranches. The tentacles and tentilla are densely covered with microscopic colloblasts that capture prey by sticking to it. Colloblasts are specialized mushroom-shaped cells in the outer layer of the epidermis, and have three main components: a domed head with vesicles (chambers) that contain adhesive; a stalk that anchors the cell in the lower layer of the epidermis or in the mesoglea; and a spiral thread that coils round the stalk and is attached to the head and to the root of the stalk. The function of the spiral thread is uncertain, but it may absorb stress when prey tries to escape, and thus prevent the collobast from being torn apart. In addition to colloblasts, members of the genus Haeckelia, which feed mainly on jellyfish, incorporate their victims' stinging nematocytes into their own tentacles – some cnidaria-eating nudibranchs similarly incorporate nematocytes into their bodies for defense. The tentilla of Euplokamis differ significantly from those of other cydippids: they contain striated muscle, a cell type otherwise unknown in the phylum Ctenophora; and they are coiled when relaxed, while the tentilla of all other known ctenophores elongate when relaxed. Euplokamis' tentilla have three types of movement that are used in capturing prey: they may flick out very quickly (in 40 to 60 milliseconds); they can wriggle, which may lure prey by behaving like small planktonic worms; and they coil round prey. The unique flicking is an uncoiling movement powered by contraction of the striated muscle. The wriggling motion is produced by smooth muscles, but of a highly specialized type. Coiling around prey is accomplished largely by the return of the tentilla to their inactive state, but the coils may be tightened by smooth muscle.</t>
  </si>
  <si>
    <t>How many counties initially made up the definition of southern California?</t>
  </si>
  <si>
    <t>justice</t>
  </si>
  <si>
    <t>The Watermark business park</t>
  </si>
  <si>
    <t>Neil Shubin and Paul Sereno</t>
  </si>
  <si>
    <t>Where is St Aloysius' College located?</t>
  </si>
  <si>
    <t>What is the escape of the steam unlikely to accomplish in all but the smallest boilers?</t>
  </si>
  <si>
    <t>about 50% oxygen composition at standard pressure</t>
  </si>
  <si>
    <t>analysis of algorithms and computability theory</t>
  </si>
  <si>
    <t>When violence is used, what is civil disobedience sometimes called?</t>
  </si>
  <si>
    <t>terrorist groups</t>
  </si>
  <si>
    <t>What do chloroplasts use their ribosomes for?</t>
  </si>
  <si>
    <t>Who created the nation's first aviation community?</t>
  </si>
  <si>
    <t>relatively equal</t>
  </si>
  <si>
    <t>What happens to the packet at the destination</t>
  </si>
  <si>
    <t>Miller–Urey experiment</t>
  </si>
  <si>
    <t>poor</t>
  </si>
  <si>
    <t>Edmonton, Canada</t>
  </si>
  <si>
    <t>16 national science academies</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</si>
  <si>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</si>
  <si>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Small Catechism</t>
  </si>
  <si>
    <t>those who already hold wealth</t>
  </si>
  <si>
    <t>Luther treated Jews in a like way as he treated what group?</t>
  </si>
  <si>
    <t>What is the name of the gallery devoted to Chinese art?</t>
  </si>
  <si>
    <t>Whose army liberated Warsaw in 1806?</t>
  </si>
  <si>
    <t>When did Luther receive a degree in Biblical studies?</t>
  </si>
  <si>
    <t>How were the men who did tasks like those of today's pharmacists viewed in Japan in the Asuka and Nara periods?</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</si>
  <si>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</si>
  <si>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commercial</t>
  </si>
  <si>
    <t>the Williamite war</t>
  </si>
  <si>
    <t>northwestern Russia</t>
  </si>
  <si>
    <t>temperance movement</t>
  </si>
  <si>
    <t>When do members proceed to vote on whether they agree to the principles of the final bill?</t>
  </si>
  <si>
    <t>What period opened the Tethys Ocean?</t>
  </si>
  <si>
    <t>in committee</t>
  </si>
  <si>
    <t>Luther's anti-Jewish works</t>
  </si>
  <si>
    <t>The Greens</t>
  </si>
  <si>
    <t>The shape of the Rhine delta is determined by two bifurcations: first, at Millingen aan de Rijn, the Rhine splits into Waal and Pannerdens Kanaal, which changes its name to Nederrijn at Angeren, and second near Arnhem, the IJssel branches off from the Nederrijn. This creates three main flows, two of which change names rather often. The largest and southern main branch begins as Waal and continues as Boven Merwede ("Upper Merwede"), Beneden Merwede ("Lower Merwede"), Noord River ("North River"), Nieuwe Maas ("New Meuse"), Het Scheur ("the Rip") and Nieuwe Waterweg ("New Waterway"). The middle flow begins as Nederrijn, then changes into Lek, then joins the Noord, thereby forming Nieuwe Maas. The northern flow keeps the name IJssel until it flows into Lake IJsselmeer. Three more flows carry significant amounts of water: the Nieuwe Merwede ("New Merwede"), which branches off from the southern branch where it changes from Boven to Beneden Merwede; the Oude Maas ("Old Meuse"), which branches off from the southern branch where it changes from Beneden Merwede into Noord, and Dordtse Kil, which branches off from Oude Maas.</t>
  </si>
  <si>
    <t>3,600</t>
  </si>
  <si>
    <t>The outside of the CM was covered in what kind of material?</t>
  </si>
  <si>
    <t>sediment</t>
  </si>
  <si>
    <t>Is the Lisbon Treaty one that would alter existing treaties or replace them?</t>
  </si>
  <si>
    <t>Temüjin began his ascent to power by offering himself as an ally (or, according to other sources, a vassal) to his father's anda (sworn brother or blood brother) Toghrul, who was Khan of the Keraites, and is better known by the Chinese title "Wang Khan", which the Jurchen Jin dynasty granted him in 1197. This relationship was first reinforced when Börte was captured by the Merkits. Temüjin turned to Toghrul for support, and in response, Toghrul offered his vassal 20,000 of his Keraite warriors and suggested that he also involve his childhood friend Jamukha, who had himself become Khan (ruler) of his own tribe, the Jadaran.</t>
  </si>
  <si>
    <t>agriculture and silviculture</t>
  </si>
  <si>
    <t xml:space="preserve">WHy was the Merit network formed in Michigan </t>
  </si>
  <si>
    <t>pharma</t>
  </si>
  <si>
    <t>£42,090</t>
  </si>
  <si>
    <t>Where are the upper Rhine and upper Danube crossed?</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</si>
  <si>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</si>
  <si>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Who did the North declare for during the English civil war?</t>
  </si>
  <si>
    <t>Which border does the megaregion extend over?</t>
  </si>
  <si>
    <t>below 0 °C (32 °F)</t>
  </si>
  <si>
    <t>mantle</t>
  </si>
  <si>
    <t>In the 1530s and 1540s, printed images of Luther that emphasized his monumental size were crucial to the spread of Protestantism. In contrast to images of frail Catholic saints, Luther was presented as a stout man with a "double chin, strong mouth, piercing deep-set eyes, fleshy face, and squat neck." He was shown to be physically imposing, an equal in stature to the secular German princes with whom he would join forces to spread Lutheranism. His large body also let the viewer know that he did not shun earthly pleasures like drinking—behavior that was a stark contrast to the ascetic life of the medieval religious orders. Famous images from this period include the woodcuts by Hans Brosamer (1530) and Lucas Cranach the Elder and Lucas Cranach the Younger (1546).</t>
  </si>
  <si>
    <t>2.4m customers</t>
  </si>
  <si>
    <t>poles</t>
  </si>
  <si>
    <t>elimination of French power</t>
  </si>
  <si>
    <t>plague of Athens in 430 BC</t>
  </si>
  <si>
    <t>In 1844,</t>
  </si>
  <si>
    <t>Bill Aken</t>
  </si>
  <si>
    <t>declining state of mind</t>
  </si>
  <si>
    <t>sold</t>
  </si>
  <si>
    <t>What is the name for a problem that meets Ladner's assertion?</t>
  </si>
  <si>
    <t>home viewers who made tape recordings of the show</t>
  </si>
  <si>
    <t>What was the name of the serial where the Valeyard appears?</t>
  </si>
  <si>
    <t>What is one condition that an element p of R must satisfy in order to be considered a prime element?</t>
  </si>
  <si>
    <t>What were the cultural origins of the engineers and technology adopted by the Mongol military?</t>
  </si>
  <si>
    <t>othering</t>
  </si>
  <si>
    <t>For about how long would the extended LM allow a surface stay on the moon?</t>
  </si>
  <si>
    <t>Who sacked Cam Newton at the end of the half?</t>
  </si>
  <si>
    <t>pharmacists are expected to become more integral within the health care system</t>
  </si>
  <si>
    <t>Which phylum is more complex than sponges?</t>
  </si>
  <si>
    <t>Who is elected to serve as the Presiding Officer at the beginning of each parliamentary session?</t>
  </si>
  <si>
    <t>Muslim medicine</t>
  </si>
  <si>
    <t>buried lead plates</t>
  </si>
  <si>
    <t>A mermaid stopped to rest on the sandy beach by what village?</t>
  </si>
  <si>
    <t>Which California venue was one of three considered for Super Bowl 50?</t>
  </si>
  <si>
    <t>increased by 0.3 to 0.6 °C</t>
  </si>
  <si>
    <t>the Santa Clara Marriott</t>
  </si>
  <si>
    <t>Planetary geologists have measured different abundances of oxygen isotopes in samples from the Earth, the Moon, Mars, and meteorites, but were long unable to obtain reference values for the isotope ratios in the Sun, believed to be the same as those of the primordial solar nebula. Analysis of a silicon wafer exposed to the solar wind in space and returned by the crashed Genesis spacecraft has shown that the Sun has a higher proportion of oxygen-16 than does the Earth. The measurement implies that an unknown process depleted oxygen-16 from the Sun's disk of protoplanetary material prior to the coalescence of dust grains that formed the Earth.</t>
  </si>
  <si>
    <t>2.5 billion years ago</t>
  </si>
  <si>
    <t>Pleurobrachia</t>
  </si>
  <si>
    <t>Peterloo massacre</t>
  </si>
  <si>
    <t>their main method of locomotion</t>
  </si>
  <si>
    <t>How much of a voting majority must there be to effectively censure the Commission?</t>
  </si>
  <si>
    <t>What is the CJEU's duty?</t>
  </si>
  <si>
    <t>In what year did the scavenger hunt begin?</t>
  </si>
  <si>
    <t>How many major immune responses do plants have?</t>
  </si>
  <si>
    <t>What are the factors that are contributing to the desire to have SR 99 improved to be of interstate standards?</t>
  </si>
  <si>
    <t>to select their students</t>
  </si>
  <si>
    <t>What do you have to cross to reach the chloroplast in many secondary plastids?</t>
  </si>
  <si>
    <t>April through October, 6am to 10pm and November through March, 6am to 7pm</t>
  </si>
  <si>
    <t xml:space="preserve">When was the Apollo project conceived? </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</si>
  <si>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</si>
  <si>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What does the local council hope will help cut down traffic congestion in Newcastle?</t>
  </si>
  <si>
    <t>electrical power generation</t>
  </si>
  <si>
    <t>1775</t>
  </si>
  <si>
    <t>What is one of the largest and most modern oncological institutions in Europe?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</si>
  <si>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</si>
  <si>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Harrison Schmitt</t>
  </si>
  <si>
    <t>How much money was spent on other festivities in the Bay area to help celebrate the coming Super Bowl 50?</t>
  </si>
  <si>
    <t>IPCC</t>
  </si>
  <si>
    <t>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t>
  </si>
  <si>
    <t>Steelers</t>
  </si>
  <si>
    <t>What omen was Genghis Khan reported to have seen assuring his coming victory against the Tanguts?</t>
  </si>
  <si>
    <t>at least 40%</t>
  </si>
  <si>
    <t>the whole curriculum</t>
  </si>
  <si>
    <t>Samuel C. Phillips</t>
  </si>
  <si>
    <t>time and space hierarchy theorems</t>
  </si>
  <si>
    <t>Besides Confucianism, Buddhism, and Islam, what religions were tolerated during the Yuan?</t>
  </si>
  <si>
    <t>Formal imperialism</t>
  </si>
  <si>
    <t>Observations on the Geology of the United States explanatory of a Geological Map</t>
  </si>
  <si>
    <t>double displacement loop</t>
  </si>
  <si>
    <t>Mercury</t>
  </si>
  <si>
    <t>the west</t>
  </si>
  <si>
    <t>to orbit the Moon</t>
  </si>
  <si>
    <t>Timucua</t>
  </si>
  <si>
    <t>What is the name of the current King of Thebes in the play?</t>
  </si>
  <si>
    <t>in 2011 and 2012</t>
  </si>
  <si>
    <t>How many cathedrals does Newcastle have?</t>
  </si>
  <si>
    <t>Fossils found that were believed to be ctenophores were how old?</t>
  </si>
  <si>
    <t>12.5</t>
  </si>
  <si>
    <t>Why do stromules exist?</t>
  </si>
  <si>
    <t>British and Europeans who were based in Britain</t>
  </si>
  <si>
    <t>do not disturb" sign</t>
  </si>
  <si>
    <t>United_Methodist_Church</t>
  </si>
  <si>
    <t>The Three Doctors</t>
  </si>
  <si>
    <t>the American Baptist Education Society</t>
  </si>
  <si>
    <t>1968</t>
  </si>
  <si>
    <t>Besides viniculture, what is the other dominate economic sector in the middle rhine?</t>
  </si>
  <si>
    <t>Which episode was Matt Smith's final one as Doctor Who?</t>
  </si>
  <si>
    <t xml:space="preserve">Who is credited with the modern name for this system </t>
  </si>
  <si>
    <t>How many turnovers did Cam Newton have?</t>
  </si>
  <si>
    <t>in May 1888</t>
  </si>
  <si>
    <t>What do Germans call private schools?</t>
  </si>
  <si>
    <t>Westinghouse</t>
  </si>
  <si>
    <t>change of heart</t>
  </si>
  <si>
    <t>up to 1.5 meters (4.9 ft) long</t>
  </si>
  <si>
    <t>What do you get when you figure the sum of forces with vector addition?</t>
  </si>
  <si>
    <t>The mountain ranges tail off into what kind of geographical formation?</t>
  </si>
  <si>
    <t>Guy de Lusignan</t>
  </si>
  <si>
    <t>When is the earliest Britain had an imperialist policy?</t>
  </si>
  <si>
    <t>What is the name of the donor who helped establish the Hutchinson Commons?</t>
  </si>
  <si>
    <t>However, in 1883–84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</si>
  <si>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Shark Tank was based on what other reality show?</t>
  </si>
  <si>
    <t>freshwater lake</t>
  </si>
  <si>
    <t>CALIPSO</t>
  </si>
  <si>
    <t>a body of treaties and legislation</t>
  </si>
  <si>
    <t>How far apart are the outer PD ring's filaments?</t>
  </si>
  <si>
    <t>What role did Michael Oppenheimer have in the IPCC's reports?</t>
  </si>
  <si>
    <t>1281</t>
  </si>
  <si>
    <t>geological period of the Ice Ages</t>
  </si>
  <si>
    <t>the south side of the garden</t>
  </si>
  <si>
    <t>Where are many hospital pharmacies located?</t>
  </si>
  <si>
    <t>Tesla's legacy has endured in books, films, radio, TV, music, live theater, comics and video games. The impact of the technologies invented or envisioned by Tesla is a recurring theme in several types of science fiction.</t>
  </si>
  <si>
    <t>his circuit and single-node X-ray-producing devices</t>
  </si>
  <si>
    <t>What is referred to as the Diamond Strip?</t>
  </si>
  <si>
    <t>Who designed the plaster work in the Art Library?</t>
  </si>
  <si>
    <t>secular</t>
  </si>
  <si>
    <t>between New France and the British colonies</t>
  </si>
  <si>
    <t>oxygen chambers</t>
  </si>
  <si>
    <t>oxygen tank was redesigned</t>
  </si>
  <si>
    <t>Ted Heath</t>
  </si>
  <si>
    <t>Which district in Fresno is known as the center for the heavy metal community?</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</si>
  <si>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</si>
  <si>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Great Khan</t>
  </si>
  <si>
    <t>The vast majority of Kenyans are Christian (83%), with 47.7% regarding themselves as Protestant and 23.5% as Roman Catholic of the Latin Rite. The Presbyterian Church of East Africa has 3 million followers in Kenya and the surrounding countries. There are smaller conservative Reformed churches, the Africa Evangelical Presbyterian Church, the Independent Presbyterian Church in Kenya, and the Reformed Church of East Africa. 621,200 of Kenyans are Orthodox Christians. Notably, Kenya has the highest number of Quakers in the world, with around 133,000 members. The only Jewish synagogue in the country is located in the capital, Nairobi.</t>
  </si>
  <si>
    <t>, John F. Kennedy</t>
  </si>
  <si>
    <t>Terra nullius</t>
  </si>
  <si>
    <t>What was the BBC hoping that an independent production firm would do for Doctor Who?</t>
  </si>
  <si>
    <t>1995.</t>
  </si>
  <si>
    <t>Trevathan</t>
  </si>
  <si>
    <t>constant flooding and strong sedimentation</t>
  </si>
  <si>
    <t>cigarette advertising from all television and radio networks</t>
  </si>
  <si>
    <t>religious freedom in the Polish–Lithuanian Commonwealth</t>
  </si>
  <si>
    <t>at Stanford University</t>
  </si>
  <si>
    <t>What is the chloroplast polypeptide synthesized on?</t>
  </si>
  <si>
    <t>31 October</t>
  </si>
  <si>
    <t>What is an abbreviation for the Church of Jesus Christ of Latter-day Saints?</t>
  </si>
  <si>
    <t>Who did the Panthers beat in the divisional round?</t>
  </si>
  <si>
    <t>Which of his future general's fathers helped Temüjin escape the Tayichi'ud?</t>
  </si>
  <si>
    <t>Along with public schools, what type of school was recognized under the South African Schools Act?</t>
  </si>
  <si>
    <t>When did the DFDS ferry service to Sweden case operation?</t>
  </si>
  <si>
    <t>What is attributed to the income inequality in the United States?</t>
  </si>
  <si>
    <t>Philippines</t>
  </si>
  <si>
    <t>Where did Luther go on 17 July 1505?</t>
  </si>
  <si>
    <t>adult plant's apical meristems</t>
  </si>
  <si>
    <t>"Rhine-kilometers"</t>
  </si>
  <si>
    <t>public official</t>
  </si>
  <si>
    <t>Word and Image Department</t>
  </si>
  <si>
    <t>What does the sector known as Jua Kali engage in?</t>
  </si>
  <si>
    <t>What was the North American portion of War of Austrian Succession?</t>
  </si>
  <si>
    <t>lasting damage</t>
  </si>
  <si>
    <t>normal grana and thylakoids</t>
  </si>
  <si>
    <t>Where was the 1857 riot?</t>
  </si>
  <si>
    <t>a transparent dome made of long, immobile cilia</t>
  </si>
  <si>
    <t>Colonel (later Major General) Henry Young Darracott Scott</t>
  </si>
  <si>
    <t>necessity defense</t>
  </si>
  <si>
    <t>How much can the SP alter income tax in Scotland?</t>
  </si>
  <si>
    <t>In what city is the last Huguenot congregation in the US?</t>
  </si>
  <si>
    <t>Who were special guests for the Super Bowl halftime show?</t>
  </si>
  <si>
    <t>Who did Shirley leave at Oswego?</t>
  </si>
  <si>
    <t>In what year did Tesla's father die?</t>
  </si>
  <si>
    <t>Super Bowl 50 featured numerous records from individuals and teams. Denver won despite being massively outgained in total yards (315 to 194) and first downs (21 to 11). Their 194 yards and 11 first downs were both the lowest totals ever by a Super Bowl winning team. The previous record was 244 yards by the Baltimore Ravens in Super Bowl XXXV. Only seven other teams had ever gained less than 200 yards in a Super Bowl, and all of them had lost. The Broncos' seven sacks tied a Super Bowl record set by the Chicago Bears in Super Bowl XX. Kony Ealy tied a Super Bowl record with three sacks. Jordan Norwood's 61-yard punt return set a new record, surpassing the old record of 45 yards set by John Taylor in Super Bowl XXIII. Denver was just 1-of-14 on third down, while Carolina was barely better at 3-of-15. The two teams' combined third down conversion percentage of 13.8 was a Super Bowl low. Manning and Newton had quarterback passer ratings of 56.6 and 55.4, respectively, and their added total of 112 is a record lowest aggregate passer rating for a Super Bowl. Manning became the oldest quarterback ever to win a Super Bowl at age 39, and the first quarterback ever to win a Super Bowl with two different teams, while Gary Kubiak became the first head coach to win a Super Bowl with the same franchise he went to the Super Bowl with as a player.</t>
  </si>
  <si>
    <t>able to vote on domestic legislation that applies only to England, Wales and Northern Ireland</t>
  </si>
  <si>
    <t>sometimes called blue-green algae</t>
  </si>
  <si>
    <t>What has allowed for the Savanna region to expand into the tropics?</t>
  </si>
  <si>
    <t>Which logo had the DW Tardis insignia removed?</t>
  </si>
  <si>
    <t>Who lead the school back to leading research institution in 2oth century?</t>
  </si>
  <si>
    <t>Downtown</t>
  </si>
  <si>
    <t>some 2,000</t>
  </si>
  <si>
    <t>Within the EU, which court believes they have the final word deciding on EU's competence?</t>
  </si>
  <si>
    <t>judged "wrong" by an individual conscience</t>
  </si>
  <si>
    <t>official school sport</t>
  </si>
  <si>
    <t>97</t>
  </si>
  <si>
    <t>Peter Capaldi</t>
  </si>
  <si>
    <t>On whose comments is the posting on the door based?</t>
  </si>
  <si>
    <t>Who is most likely to be doing formal teaching?</t>
  </si>
  <si>
    <t>What is the last name of the player who finally recovered the ball Newton lost in the fourth quarter?</t>
  </si>
  <si>
    <t>How did William Shirley feel about French advancement?</t>
  </si>
  <si>
    <t>Whose thesis states that the solution to a problem is solvable with reasonable resources assuming it allows for a polynomial time algorithm?</t>
  </si>
  <si>
    <t>Pliocene</t>
  </si>
  <si>
    <t>How do academic results in former Model C schools compare to other schools?</t>
  </si>
  <si>
    <t>Hearst Television</t>
  </si>
  <si>
    <t>lack of remorse</t>
  </si>
  <si>
    <t>in obtaining cost-effective medication and avoiding the unnecessary use of medication that may have side-effects</t>
  </si>
  <si>
    <t>The Curse of the Daleks</t>
  </si>
  <si>
    <t>What group operates St Dominic's College in Wanganui?</t>
  </si>
  <si>
    <t>The receptors on a killer T cell must bind to how many MHC: antigen complexes in order to activate the cell?</t>
  </si>
  <si>
    <t>What type of district is southern California home to many of?</t>
  </si>
  <si>
    <t>The motto of the Muslim Brotherhood specifies what as being their constitution?</t>
  </si>
  <si>
    <t>that power which enables us to love and motivates us to seek a relationship with God through Jesus Christ.</t>
  </si>
  <si>
    <t>13 June 1525,</t>
  </si>
  <si>
    <t>scariest TV show of all time</t>
  </si>
  <si>
    <t>What conjecture holds that there is an infinite amount of twin primes?</t>
  </si>
  <si>
    <t>How many tree species were found in one square kilometer of Ecuadorian rainforest in 2001?</t>
  </si>
  <si>
    <t>The Cast Courts display plaster casts of what objects?</t>
  </si>
  <si>
    <t xml:space="preserve">DEC originally had 3 layers but evolved into how many layers </t>
  </si>
  <si>
    <t>indigenous territories</t>
  </si>
  <si>
    <t>the Tower District</t>
  </si>
  <si>
    <t>historians</t>
  </si>
  <si>
    <t>Meuse estuary</t>
  </si>
  <si>
    <t>What type of group is The Islamic State?</t>
  </si>
  <si>
    <t>Annam (Dai Viet)</t>
  </si>
  <si>
    <t>The zeta function</t>
  </si>
  <si>
    <t>Chinggis Khaan International Airport</t>
  </si>
  <si>
    <t>the Harris School of Public Policy Studies</t>
  </si>
  <si>
    <t>Who was added to party as Washington went on the way?</t>
  </si>
  <si>
    <t>The General Conference of the United Methodist Church</t>
  </si>
  <si>
    <t>$465 million</t>
  </si>
  <si>
    <t>bark of mulberry trees</t>
  </si>
  <si>
    <t>Where were non-condensing direct-drive locomotives notably used for fast passenger trains?</t>
  </si>
  <si>
    <t>Open Door Policy</t>
  </si>
  <si>
    <t>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compressions.:133–134:38-1–38-11</t>
  </si>
  <si>
    <t>many</t>
  </si>
  <si>
    <t>protests toward public policy</t>
  </si>
  <si>
    <t>unions</t>
  </si>
  <si>
    <t>What are chares?</t>
  </si>
  <si>
    <t>The Saturn IB was an upgraded version of the Saturn I. The S-IB first stage increased the thrust to 1,600,000 pounds-force (7,120 kN), and the second stage replaced the S-IV with the S-IVB-200, powered by a single J-2 engine burning liquid hydrogen fuel with LOX, to produce 200,000 lbf (890 kN) of thrust. A restartable version of the S-IVB was used as the third stage of the Saturn V. The Saturn IB could send over 40,000 pounds (18,100 kg) into low Earth orbit, sufficient for a partially fueled CSM or the LM. Saturn IB launch vehicles and flights were designated with an AS-200 series number, "AS" indicating "Apollo Saturn" and the "2" indicating the second member of the Saturn rocket family.</t>
  </si>
  <si>
    <t>sevenfold</t>
  </si>
  <si>
    <t>the Jews</t>
  </si>
  <si>
    <t>Sky Active</t>
  </si>
  <si>
    <t>£21,000</t>
  </si>
  <si>
    <t>with the signal being viewed on a fluorescent screen</t>
  </si>
  <si>
    <t>Who were Chu'Tsai's forefathers?</t>
  </si>
  <si>
    <t>In how many countries did Tesla hold patents?</t>
  </si>
  <si>
    <t>On what date was oxygen liquefied in a stable form?</t>
  </si>
  <si>
    <t>the same force of gravity if the acceleration due to gravity decreased as an inverse square law.</t>
  </si>
  <si>
    <t>gold rushes</t>
  </si>
  <si>
    <t>In what year did Joseph Priestley recognize oxygen?</t>
  </si>
  <si>
    <t>Queen Bees</t>
  </si>
  <si>
    <t>What was the Chinese name of Gou's calendar?</t>
  </si>
  <si>
    <t>Who was this season's NFL MVP?</t>
  </si>
  <si>
    <t>French troops put down the Camisard uprisings between what years?</t>
  </si>
  <si>
    <t>In which year did the gallery of Indian art open?</t>
  </si>
  <si>
    <t>American Civil Rights Movement</t>
  </si>
  <si>
    <t>Robert Zimmer</t>
  </si>
  <si>
    <t>theory of general relativity (GR)</t>
  </si>
  <si>
    <t>micrometeorite impacts.</t>
  </si>
  <si>
    <t>Geochronologists</t>
  </si>
  <si>
    <t>average workers</t>
  </si>
  <si>
    <t>The Mitchell Tower is designed to look like what Oxford tower?</t>
  </si>
  <si>
    <t>second Gleichschaltung</t>
  </si>
  <si>
    <t>The Skirmish of the Brick Church</t>
  </si>
  <si>
    <t>cylinders and valve gear</t>
  </si>
  <si>
    <t>What is the name of another type of prime here p+1 or p-1 takes a certain shape?</t>
  </si>
  <si>
    <t>What did Lempicka represent better than anyone else?</t>
  </si>
  <si>
    <t>In 1990, what was the longest running primetime entertainment program in ABC's history?</t>
  </si>
  <si>
    <t>Why did Temüjin kill those of Jamukha's followers that had betrayed their leader?</t>
  </si>
  <si>
    <t>concrete</t>
  </si>
  <si>
    <t xml:space="preserve">The 4 sales and service centers are viewed as </t>
  </si>
  <si>
    <t>river</t>
  </si>
  <si>
    <t>What do young Ctenophores generaly look like?</t>
  </si>
  <si>
    <t>Voyage of the Damned</t>
  </si>
  <si>
    <t>1527</t>
  </si>
  <si>
    <t>Yuri Gagarin</t>
  </si>
  <si>
    <t>enhanced transit infrastructure, possible shuttles open to the public, and park space which will also be publicly accessible</t>
  </si>
  <si>
    <t>Kenya's various ethnic groups typically speak their mother tongues within their own communities</t>
  </si>
  <si>
    <t>to constantly expand investment, material resources and manpower</t>
  </si>
  <si>
    <t>What year did BSkyB acquire Sky Italia?</t>
  </si>
  <si>
    <t>What was a popular type of variety show during the Yuan?</t>
  </si>
  <si>
    <t>the 2006 Israel-Lebanon conflict</t>
  </si>
  <si>
    <t>Southern California is home to Los Angeles International Airport, the second-busiest airport in the United States by passenger volume (see World's busiest airports by passenger traffic) and the third by international passenger volume (see Busiest airports in the United States by international passenger traffic); San Diego International Airport the busiest single runway airport in the world; Van Nuys Airport, the world's busiest general aviation airport; major commercial airports at Orange County, Bakersfield, Ontario, Burbank and Long Beach; and numerous smaller commercial and general aviation airports.</t>
  </si>
  <si>
    <t>What is the translation of Siebengebirge?</t>
  </si>
  <si>
    <t>How is unregistered property held in informal form?</t>
  </si>
  <si>
    <t>to emphasize academics over athletics</t>
  </si>
  <si>
    <t>middle period of classical antiquity</t>
  </si>
  <si>
    <t>2,400</t>
  </si>
  <si>
    <t>if the EU does not comply with its basic constitutional rights and principles</t>
  </si>
  <si>
    <t>ramification</t>
  </si>
  <si>
    <t>What is sometimes impossible to model?</t>
  </si>
  <si>
    <t>NASCAR</t>
  </si>
  <si>
    <t>QuickBooks.</t>
  </si>
  <si>
    <t>hunter's garb</t>
  </si>
  <si>
    <t>What native chief travelled to French fort and threatened Marin?</t>
  </si>
  <si>
    <t>What is the most successful team sport in Kenya?</t>
  </si>
  <si>
    <t>was present somewhere in Europe in every year between 1346 and 1671</t>
  </si>
  <si>
    <t>extreme change</t>
  </si>
  <si>
    <t>permit ministers to officiate same-sex weddings</t>
  </si>
  <si>
    <t>glucose monomers in the chloroplast</t>
  </si>
  <si>
    <t>What is another function that primes have that the number 1 does not?</t>
  </si>
  <si>
    <t>non-religious</t>
  </si>
  <si>
    <t>What kind of territories are being destroyed by ecocide in the Amazon?</t>
  </si>
  <si>
    <t>Kubiak</t>
  </si>
  <si>
    <t>What device is used to treat various conditions such as carbon monoxide poisoning?</t>
  </si>
  <si>
    <t>What was the name given to a section of Kearney Boulevard in efforts to change the areas image?</t>
  </si>
  <si>
    <t>What is the effect of testosterone on the male immune system?</t>
  </si>
  <si>
    <t>measuring the water's biochemical oxygen demand</t>
  </si>
  <si>
    <t>extension of the Florida East Coast Railway further south</t>
  </si>
  <si>
    <t>German-language publications,</t>
  </si>
  <si>
    <t>What college is Jake Rosenfield associated with?</t>
  </si>
  <si>
    <t>Uighurs surrendered peacefully without violently resisting</t>
  </si>
  <si>
    <t>What do all member states agree takes precedence over national law?</t>
  </si>
  <si>
    <t>1,320 kilometres (820 miles)</t>
  </si>
  <si>
    <t>The Ruhr</t>
  </si>
  <si>
    <t>Name a text that might be used by a religious teacher to teach.</t>
  </si>
  <si>
    <t>The Central Region, consisting of present-day Hebei, Shandong, Shanxi, the south-eastern part of present-day Inner Mongolia and the Henan areas to the north of the Yellow River, was considered the most important region of the dynasty and directly governed by the Central Secretariat (or Zhongshu Sheng) at Khanbaliq (modern Beijing); similarly, another top-level administrative department called the Bureau of Buddhist and Tibetan Affairs (or Xuanzheng Yuan) held administrative rule over the whole of modern-day Tibet and a part of Sichuan, Qinghai and Kashmir.</t>
  </si>
  <si>
    <t>Fermat primality test</t>
  </si>
  <si>
    <t>girls</t>
  </si>
  <si>
    <t>What portion of Luther's last statement was in German?</t>
  </si>
  <si>
    <t>What is the annual construction industry revenue in 2014?</t>
  </si>
  <si>
    <t>DuMont Television Network</t>
  </si>
  <si>
    <t>non-deterministic time</t>
  </si>
  <si>
    <t>When was this proclamation issued?</t>
  </si>
  <si>
    <t>rocks, algae, or the body surfaces of other invertebrates</t>
  </si>
  <si>
    <t>the kilogram-force (</t>
  </si>
  <si>
    <t>What happened to the rate of deforestation in the Amazon region of Brazil between 2004 and 2014?</t>
  </si>
  <si>
    <t>In what year did Raymond Sullivan publish a study of rudimentary sets?</t>
  </si>
  <si>
    <t>three days.</t>
  </si>
  <si>
    <t>What did John Dobson describe Newcastle as?</t>
  </si>
  <si>
    <t>Since Denver chose white, what colors did Carolina wear in Super Bowl 50?</t>
  </si>
  <si>
    <t>Where was Austrian Polytechnic located?</t>
  </si>
  <si>
    <t>What type of steam engines produced most power up to the early 20th century?</t>
  </si>
  <si>
    <t>Who was responsible for the glass balustrade on the staircase and mezzanine in the main gallery?</t>
  </si>
  <si>
    <t>right</t>
  </si>
  <si>
    <t>workforce consultation in businesses</t>
  </si>
  <si>
    <t>superintendent of New York City schools</t>
  </si>
  <si>
    <t>For how long did Huguenots continue to use French names?</t>
  </si>
  <si>
    <t>a sword</t>
  </si>
  <si>
    <t>pigment-filled plastids</t>
  </si>
  <si>
    <t>United Methodist Church (UMC)</t>
  </si>
  <si>
    <t>When did Tesla's father die?</t>
  </si>
  <si>
    <t>over 2,000</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</si>
  <si>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</si>
  <si>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What does the thylakoid membrane use the energized electrons for?</t>
  </si>
  <si>
    <t>What do other smaller venues of Newcastle tend to feature?</t>
  </si>
  <si>
    <t>When did Luther and his wife live?</t>
  </si>
  <si>
    <t>I may have violated some specific laws, but I am guilty of doing no wrong</t>
  </si>
  <si>
    <t>several of the central truths of Christianity</t>
  </si>
  <si>
    <t xml:space="preserve">When did the Pope warned Luther of excommunication? </t>
  </si>
  <si>
    <t>Why were Southern Chinese ranked lower?</t>
  </si>
  <si>
    <t>General Electric</t>
  </si>
  <si>
    <t>When did the Democratic Republic of Afghanistan collapse?</t>
  </si>
  <si>
    <t>civil rebellion are justified by appeal to constitutional defects, rebellion is much more</t>
  </si>
  <si>
    <t>Festival of the Arts</t>
  </si>
  <si>
    <t>What year was the University of Warsaw established?</t>
  </si>
  <si>
    <t>ring theory</t>
  </si>
  <si>
    <t>Sky Digital platform</t>
  </si>
  <si>
    <t>Who was the first Doctor to travel with a married couple?</t>
  </si>
  <si>
    <t>12th/13th-century nobleman</t>
  </si>
  <si>
    <t>How did the committee raise the money?</t>
  </si>
  <si>
    <t>Sophocles demonstrated civil disobedience in a play that was called?</t>
  </si>
  <si>
    <t>Coptic</t>
  </si>
  <si>
    <t>Since what year has the UMC been exploring a possible merger with three historically African-American denominations?</t>
  </si>
  <si>
    <t>dioxygen</t>
  </si>
  <si>
    <t>What anitrust regulator had doubts about the ITT and ABC merger?</t>
  </si>
  <si>
    <t>Sierra Freeway</t>
  </si>
  <si>
    <t>What rank does Doctor Who hold in a list of the 100 Greatest Kids' TV Shows?</t>
  </si>
  <si>
    <t>Bugenhagen</t>
  </si>
  <si>
    <t>The paternity of which of Genghis Khan's sons was disputed?</t>
  </si>
  <si>
    <t>What do current ctenophores have that fossils found did not have?</t>
  </si>
  <si>
    <t>The university was a founding force behind what conference?</t>
  </si>
  <si>
    <t>Latin monastery at Sant'Eufemia.</t>
  </si>
  <si>
    <t>1241</t>
  </si>
  <si>
    <t>135 feet</t>
  </si>
  <si>
    <t>How much of the Rhine flow does Ijssel carry?</t>
  </si>
  <si>
    <t>pathogens</t>
  </si>
  <si>
    <t>authors Richard Wilkinson and Kate Pickett</t>
  </si>
  <si>
    <t>What chemist managed to make enough liquid oxygen to use for study?</t>
  </si>
  <si>
    <t>1st century AD to the present,</t>
  </si>
  <si>
    <t>breaking the law for self-gratification</t>
  </si>
  <si>
    <t>When did Luther's writings to spread to France, England and Italy?</t>
  </si>
  <si>
    <t>Jules Ferry thought that the "higher races" have a duty to what?</t>
  </si>
  <si>
    <t>What two resources commonly consumed by alternate models are typically known to vary?</t>
  </si>
  <si>
    <t>What practice do some internet pharmacies engage in?</t>
  </si>
  <si>
    <t>regain authority over his own people</t>
  </si>
  <si>
    <t>a broken arm</t>
  </si>
  <si>
    <t>April 1991</t>
  </si>
  <si>
    <t>X reduces to Y</t>
  </si>
  <si>
    <t>In January 1519, at Altenburg in Saxony, the papal nuncio Karl von Miltitz adopted a more conciliatory approach. Luther made certain concessions to the Saxon, who was a relative of the Elector, and promised to remain silent if his opponents did. The theologian Johann Eck, however, was determined to expose Luther's doctrine in a public forum. In June and July 1519, he staged a disputation with Luther's colleague Andreas Karlstadt at Leipzig and invited Luther to speak. Luther's boldest assertion in the debate was that Matthew 16:18 does not confer on popes the exclusive right to interpret scripture, and that therefore neither popes nor church councils were infallible. For this, Eck branded Luther a new Jan Hus, referring to the Czech reformer and heretic burned at the stake in 1415. From that moment, he devoted himself to Luther's defeat.</t>
  </si>
  <si>
    <t>many of its genes were lost or transferred to the nucleus of the host</t>
  </si>
  <si>
    <t>How might gravity effects be observed differently according to Newton?</t>
  </si>
  <si>
    <t>How much is terra preta distributed over the Amazon forest?</t>
  </si>
  <si>
    <t>What type of medal did NASA give the astronauts who visited space and the moon?</t>
  </si>
  <si>
    <t>Apollo 6</t>
  </si>
  <si>
    <t>Subordinate to the General Conference are the jurisdictional and central conferences which also meet every four years. The United States is divided into five jurisdictions: Northeastern, Southeastern, North Central, South Central and Western. Outside the United States the church is divided into seven central conferences: Africa, Congo, West Africa, Central &amp; Southern Europe, Germany, Northern Europe and the Philippines. The main purpose of the jurisdictions and central conferences is to elect and appoint bishops, the chief administrators of the church. Bishops thus elected serve Episcopal Areas, which consist of one or more Annual Conferences.</t>
  </si>
  <si>
    <t>the Netherlands</t>
  </si>
  <si>
    <t>hot and dry</t>
  </si>
  <si>
    <t>professional misconduct</t>
  </si>
  <si>
    <t>Chicago's physics department</t>
  </si>
  <si>
    <t>In 1874</t>
  </si>
  <si>
    <t>simple people</t>
  </si>
  <si>
    <t>mother-of-pearl</t>
  </si>
  <si>
    <t>kip</t>
  </si>
  <si>
    <t>How common was the form of corporal punishment in the past?</t>
  </si>
  <si>
    <t>the Art Deco style</t>
  </si>
  <si>
    <t>Hungarians</t>
  </si>
  <si>
    <t>r 20% to 25%</t>
  </si>
  <si>
    <t>What type of city has Warsaw been for as long as it's been a city?</t>
  </si>
  <si>
    <t>entire length of the lake</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</si>
  <si>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</si>
  <si>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What type of person can not be attributed civil disobedience?</t>
  </si>
  <si>
    <t>the innate immune system versus the adaptive immune system</t>
  </si>
  <si>
    <t>A statement made by Chris Keates caused issues with whom?</t>
  </si>
  <si>
    <t>The V&amp;A has the world's most comprehensive collection of sculptures from which period?</t>
  </si>
  <si>
    <t>pharmacy legislation</t>
  </si>
  <si>
    <t>the type of reduction being used</t>
  </si>
  <si>
    <t>Michelangelo</t>
  </si>
  <si>
    <t>Crew members</t>
  </si>
  <si>
    <t>How does the secondary theory say most cpDNA replicates?</t>
  </si>
  <si>
    <t>How many people were on the project that followed Project Mercury?</t>
  </si>
  <si>
    <t>respect</t>
  </si>
  <si>
    <t>When did OPEC start to readjust oil prices?</t>
  </si>
  <si>
    <t>The Parish Church of St Andrew</t>
  </si>
  <si>
    <t>In response to American aid to Israel</t>
  </si>
  <si>
    <t>What does the IPCC rely on for research?</t>
  </si>
  <si>
    <t>Which border does the Rhine flow from the south?</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</si>
  <si>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</si>
  <si>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</si>
  <si>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division</t>
  </si>
  <si>
    <t>Sierra Sky Park</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</si>
  <si>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</si>
  <si>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In what sort of places are dry cooling towers used?</t>
  </si>
  <si>
    <t>the university's off-campus rental policies.</t>
  </si>
  <si>
    <t>How many kilometers of acres of the Ecuadorian rainforest is supported?</t>
  </si>
  <si>
    <t>Who did the Broncos play in the last week of the regular season?</t>
  </si>
  <si>
    <t>What theologian differed in views about the soul from Luther?</t>
  </si>
  <si>
    <t>13 years and 48 days</t>
  </si>
  <si>
    <t>What were two of Fresno's most beautiful architectural buildings that are now demolished?</t>
  </si>
  <si>
    <t>Who handled the color commentary for Denver's radio stations?</t>
  </si>
  <si>
    <t>Welfare Cash Card</t>
  </si>
  <si>
    <t>What was the occupation of Joseph Priestley?</t>
  </si>
  <si>
    <t>Approximately how many drawings of the Italian architect Andrea Palladio is in the RIBA collection?</t>
  </si>
  <si>
    <t>What was the ultimate development of the horizontal engine?</t>
  </si>
  <si>
    <t>their cleats</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</si>
  <si>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</si>
  <si>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is the name of the village that once existed in what is now downtown Jacksonville?</t>
  </si>
  <si>
    <t>ongoing tectonic subsidence</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</si>
  <si>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</si>
  <si>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Politics: U.N. Secretary General Ban Ki-moon; American political leaders John Hancock, John Adams, John Quincy Adams, Rutherford B. Hayes, Theodore Roosevelt, Franklin D. Roosevelt, John F. Kennedy, Al Gore, George W. Bush and Barack Obama; Chilean President Sebastián Piñera; Colombian President Juan Manuel Santos; Costa Rican President José María Figueres; Mexican Presidents Felipe Calderón, Carlos Salinas de Gortari and Miguel de la Madrid; Mongolian President Tsakhiagiin Elbegdorj; Peruvian President Alejandro Toledo; Taiwanese President Ma Ying-jeou; Canadian Governor General David Lloyd Johnston; Indian Member of Parliament Jayant Sinha; Albanian Prime Minister Fan S. Noli; Canadian Prime Ministers Mackenzie King and Pierre Trudeau; Greek Prime Minister Antonis Samaras; Israeli Prime Minister Benjamin Netanyahu; former Pakistani Prime Minister Benazir Bhutto; U. S. Secretary of Housing and Urban Development Shaun Donovan; Canadian political leader Michael Ignatieff; Pakistani Members of Provincial Assembly Murtaza Bhutto and Sanam Bhutto; Bangladesh Minister of Finance Abul Maal Abdul Muhith; President of Puntland Abdiweli Mohamed Ali; U.S. Ambassador to the European Union Anthony Luzzatto Gardner.</t>
  </si>
  <si>
    <t>14%</t>
  </si>
  <si>
    <t>How many PD rings are there?</t>
  </si>
  <si>
    <t>What is a kind of defense response that makes the entire plant resistant to a particular agent?</t>
  </si>
  <si>
    <t>non-governmental agencies</t>
  </si>
  <si>
    <t>Who did Alexander I marry?</t>
  </si>
  <si>
    <t>attempted to enter the test site</t>
  </si>
  <si>
    <t>socialism in one country</t>
  </si>
  <si>
    <t>The Eleventh Doctor</t>
  </si>
  <si>
    <t>How were British able to cut supplies to Louisbourg?</t>
  </si>
  <si>
    <t>second half of the 20th Century</t>
  </si>
  <si>
    <t>Anglo-Saxon</t>
  </si>
  <si>
    <t>oppidum Ubiorum</t>
  </si>
  <si>
    <t>a more fundamental electroweak interaction</t>
  </si>
  <si>
    <t>Genghis Khan's children</t>
  </si>
  <si>
    <t>What do extremely unequal societies tend to be?</t>
  </si>
  <si>
    <t>opened the gates to the Mongols</t>
  </si>
  <si>
    <t>Which entity is the secondary legislative body?</t>
  </si>
  <si>
    <t>combustion chamber</t>
  </si>
  <si>
    <t>Immunodeficiency</t>
  </si>
  <si>
    <t>The largest brand of what store in the UK is located in Kingston Park?</t>
  </si>
  <si>
    <t>Saudi</t>
  </si>
  <si>
    <t>Where do many merchants and explorers go?</t>
  </si>
  <si>
    <t>What did the Church claim could be avoided with money?</t>
  </si>
  <si>
    <t>How large are Cytoplasmic ribosomes?</t>
  </si>
  <si>
    <t>Kenya Independence Act</t>
  </si>
  <si>
    <t>What kind of immune system do bacteria have?</t>
  </si>
  <si>
    <t>Ban Ki-moon</t>
  </si>
  <si>
    <t xml:space="preserve">In the layered model of the Earth, the mantle has two layers below it. What are they? </t>
  </si>
  <si>
    <t>early 1546</t>
  </si>
  <si>
    <t>a global scale</t>
  </si>
  <si>
    <t>What is the main denomination of Christians in Kenya?</t>
  </si>
  <si>
    <t>Who treats the majority of the population medically?</t>
  </si>
  <si>
    <t>whether it would do more harm than good.</t>
  </si>
  <si>
    <t>the shortest space-time path between two space-time events.</t>
  </si>
  <si>
    <t>Major roads in the area include the A1 (Gateshead Newcastle Western Bypass), stretching north to Edinburgh and south to London; the A19 heading south past Sunderland and Middlesbrough to York and Doncaster; the A69 heading west to Carlisle; the A696, which becomes the A68 heads past Newcastle Airport and up through central Northumberland and central Scottish Borders, the A167, the old "Great North Road", heading south to Gateshead, Chester-le-Street, Durham and Darlington; and the A1058 "Coast Road", which runs from Jesmond to the east coast between Tynemouth and Cullercoats. Many of these designations are recent—upon completion of the Western Bypass, and its designation as the new line of the A1, the roads between this and the A1's former alignment through the Tyne Tunnel were renumbered, with many city centre roads changing from a 6-prefix to their present 1-prefix numbers. In November 2011 the capacity of the Tyne Tunnel was increased when a project to build a second road tunnel and refurbish the first tunnel was completed.</t>
  </si>
  <si>
    <t xml:space="preserve">How is packet mode communication implemented </t>
  </si>
  <si>
    <t>Doctor Who – The Ultimate Adventure</t>
  </si>
  <si>
    <t>The initial LM weighed how much in kgs?</t>
  </si>
  <si>
    <t>Who kidnapped Temüjin's first wife soon after they were married?</t>
  </si>
  <si>
    <t>failed to set up an insurance fund for employees to claim unpaid wages if their employers had gone insolvent</t>
  </si>
  <si>
    <t>Which direction did the Rhine flow during the last cold phase?</t>
  </si>
  <si>
    <t>What group started peace meetings?</t>
  </si>
  <si>
    <t>Catechism</t>
  </si>
  <si>
    <t>Who was a man studying medicinal applicants of plants in Ancient Greece?</t>
  </si>
  <si>
    <t>What is a synonym for chloroplast DNA?</t>
  </si>
  <si>
    <t>cut throat competition</t>
  </si>
  <si>
    <t>an unknown process</t>
  </si>
  <si>
    <t>Western medicine was also practiced in China by the Nestorian Christians of the Yuan court, where it was sometimes labeled as huihui or Muslim medicine. The Nestorian physician Jesus the Interpreter founded the Office of Western Medicine in 1263 during the reign of Kublai. Huihui doctors staffed at two imperial hospitals were responsible for treating the imperial family and members of the court. Chinese physicians opposed Western medicine because its humoral system contradicted the yin-yang and wuxing philosophy underlying traditional Chinese medicine. No Chinese translation of Western medical works is known, but it is possible that the Chinese had access to Avicenna's The Canon of Medicine.</t>
  </si>
  <si>
    <t>When did Jamaa Islamiya renounce violence?</t>
  </si>
  <si>
    <t>What other health issues did Luther have?</t>
  </si>
  <si>
    <t>must be publicly announced</t>
  </si>
  <si>
    <t>What is a recent civil disobedience done in a group form?</t>
  </si>
  <si>
    <t>over large areas</t>
  </si>
  <si>
    <t>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"violent economic and political shocks" reduced inequality. Moreover, Piketty argues that the "magical" Kuznets curve hypothesis, with its emphasis on the balancing of economic growth in the long run, cannot account for the significant increase in economic inequality throughout the developed world since the 1970s.</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</si>
  <si>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</si>
  <si>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What time period did the geoglyphs date back to?</t>
  </si>
  <si>
    <t>What university won the award for Most IT enabled organisation?</t>
  </si>
  <si>
    <t>How does HT strive to amass power?</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</si>
  <si>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Shōsōin, in Japan.</t>
  </si>
  <si>
    <t>Who led the Mongolian Borjigin clan?</t>
  </si>
  <si>
    <t>What language is spoken in Kenya?</t>
  </si>
  <si>
    <t>What Queen opened the first covered railway station in the world?</t>
  </si>
  <si>
    <t>scourge</t>
  </si>
  <si>
    <t>How old was Tesla when he wrote that he'd completed his dynamic theory of gravity?</t>
  </si>
  <si>
    <t>"macrocilia"</t>
  </si>
  <si>
    <t>Ciliary rosettes pump water into what to control buoyancy?</t>
  </si>
  <si>
    <t>10,000 m2</t>
  </si>
  <si>
    <t>Bible translation</t>
  </si>
  <si>
    <t>Lenin</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</si>
  <si>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</si>
  <si>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to render certain laws ineffective, to cause their repeal, or to exert pressure to get one's political wishes on some other issue</t>
  </si>
  <si>
    <t>Luther had been suffering from ill health for years, including Ménière's disease, vertigo, fainting, tinnitus, and a cataract in one eye. From 1531 to 1546, his health deteriorated further. The years of struggle with Rome, the antagonisms with and among his fellow reformers, and the scandal which ensued from the bigamy of the Philip of Hesse incident, in which Luther had played a leading role, all may have contributed. In 1536, he began to suffer from kidney and bladder stones, and arthritis, and an ear infection ruptured an ear drum. In December 1544, he began to feel the effects of angina.</t>
  </si>
  <si>
    <t>internal colonialism</t>
  </si>
  <si>
    <t>major national and international patient information projects and health system interoperability goals</t>
  </si>
  <si>
    <t>To which year has the Rococo Augustus Rex Bureau Cabinet been dated?</t>
  </si>
  <si>
    <t>At which Super Bowl did Beyonce headline the halftime show?</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</si>
  <si>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</si>
  <si>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 xml:space="preserve">Who was the mayor of San Francisco during Super Bowl 50? </t>
  </si>
  <si>
    <t>Where is the European Court of justice likely to get inspiration from?</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</si>
  <si>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</si>
  <si>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Where is the neighborhood of Sunnyside located in Fresno?</t>
  </si>
  <si>
    <t>Who was Thomas Commerford Martin?</t>
  </si>
  <si>
    <t>What is an examine of work that a centrifugal governor-equipped steam engine wasn't suitable for?</t>
  </si>
  <si>
    <t>Jellyfish ans sea anemones belong to what phylum?</t>
  </si>
  <si>
    <t>What has been analyzed to compare Amazon rainfall in the past and present?</t>
  </si>
  <si>
    <t>What did the richest 400 Americans have as children that helped them be successful adults?</t>
  </si>
  <si>
    <t>What is the name of the supposition that any number larger than 2 can be represented as the sum of two primes?</t>
  </si>
  <si>
    <t>divide</t>
  </si>
  <si>
    <t>the datagram model</t>
  </si>
  <si>
    <t>pressure terms associated with forces that act normal to the cross-sectional area (the matrix diagonals of the tensor) as well as shear terms</t>
  </si>
  <si>
    <t>avoiding the unnecessary use of medication that may have side-effects</t>
  </si>
  <si>
    <t>5–8 μm</t>
  </si>
  <si>
    <t>Geoglyphs dating to what period were found in deforested land along the Amazon River?</t>
  </si>
  <si>
    <t>zeta function</t>
  </si>
  <si>
    <t>When did Tesla get his US citizenship?</t>
  </si>
  <si>
    <t>Rutherford Grammar School</t>
  </si>
  <si>
    <t>explore computer networking</t>
  </si>
  <si>
    <t>increased flooding and sedimentation</t>
  </si>
  <si>
    <t>High Sheriff</t>
  </si>
  <si>
    <t>US/Canada</t>
  </si>
  <si>
    <t>What sin were the leaders the extremists attacked guilty of?</t>
  </si>
  <si>
    <t>King of England</t>
  </si>
  <si>
    <t>the Financial crisis of 2007–08</t>
  </si>
  <si>
    <t>cell division, protein routing, and even disease resistance</t>
  </si>
  <si>
    <t>Battle of Cedar Creek</t>
  </si>
  <si>
    <t>When did the formation of the Holocene Rhine-Meuse delta begin?</t>
  </si>
  <si>
    <t>poor soil</t>
  </si>
  <si>
    <t>high atmospheric CO2 concentrations</t>
  </si>
  <si>
    <t>Watt</t>
  </si>
  <si>
    <t>quadruple expansion engines</t>
  </si>
  <si>
    <t>Liao</t>
  </si>
  <si>
    <t>In Tibetan Buddhism the teachers of Dharma in Tibet are most commonly called a Lama. A Lama who has through phowa and siddhi consciously determined to be reborn, often many times, in order to continue their Bodhisattva vow is called a Tulku.</t>
  </si>
  <si>
    <t>packets</t>
  </si>
  <si>
    <t>if the head of government of a country were to refuse to enforce a decision of that country's highest court</t>
  </si>
  <si>
    <t>The central highlands were already home to over a million members of the Kikuyu people, most of whom had no land claims in European terms and lived as itinerant farmers. To protect their interests, the settlers banned the growing of coffee, introduced a hut tax, and the landless were granted less and less land in exchange for their labour. A massive exodus to the cities ensued as their ability to provide a living from the land dwindled. There were 80,000 white settlers living in Kenya in the 1950s.</t>
  </si>
  <si>
    <t>Several public-key cryptography algorithms, such as RSA and the Diffie–Hellman key exchange, are based on large prime numbers (for example, 512-bit primes are frequently used for RSA and 1024-bit primes are typical for Diffie–Hellman.). RSA relies on the assumption that it is much easier (i.e., more efficient) to perform the multiplication of two (large) numbers x and y than to calculate x and y (assumed coprime) if only the product xy is known. The Diffie–Hellman key exchange relies on the fact that there are efficient algorithms for modular exponentiation, while the reverse operation the discrete logarithm is thought to be a hard problem.</t>
  </si>
  <si>
    <t>The French church in Portarlington was built when?</t>
  </si>
  <si>
    <t>Antibody-dependent hypersensitivity belongs to what class of hypersensitivity?</t>
  </si>
  <si>
    <t>Y. pestis was the causative agent of the epidemic plague</t>
  </si>
  <si>
    <t>Where was an elected assembly to be set up, under the terms of the Scotland Act of 1978?</t>
  </si>
  <si>
    <t>deformations</t>
  </si>
  <si>
    <t>XX</t>
  </si>
  <si>
    <t>that X-rays were longitudinal waves, such as those produced in waves in plasmas.</t>
  </si>
  <si>
    <t>Fresno County Courthouse (demolished), the Fresno Carnegie Public Library</t>
  </si>
  <si>
    <t>1890s</t>
  </si>
  <si>
    <t>What was the name for the new radio concept designed by Allen Shaw?</t>
  </si>
  <si>
    <t>the Ouseburn valley</t>
  </si>
  <si>
    <t>seclude himself</t>
  </si>
  <si>
    <t>What countries are used as an example of harsher discipline with successful education?</t>
  </si>
  <si>
    <t>European People's Party</t>
  </si>
  <si>
    <t>Pittard Sullivan</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</si>
  <si>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Kućma was erected in memory of the largest insurrection of World War II.</t>
  </si>
  <si>
    <t>free radical</t>
  </si>
  <si>
    <t>What happens first if a Directive's deadline for implementation is not met?</t>
  </si>
  <si>
    <t>unit-dose</t>
  </si>
  <si>
    <t>Which genus of ctenophores does not have cydipped-like larvae?</t>
  </si>
  <si>
    <t>What caused the US public to condemn the occupation of the philippines?</t>
  </si>
  <si>
    <t>What are three kinds of phagocytes?</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</si>
  <si>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</si>
  <si>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1978.</t>
  </si>
  <si>
    <t>standards of practice for the teaching profession</t>
  </si>
  <si>
    <t>open spaces</t>
  </si>
  <si>
    <t>Venus</t>
  </si>
  <si>
    <t>Where was ITV Tyne Tees based for over 40 years?</t>
  </si>
  <si>
    <t>the balance of religious beliefs</t>
  </si>
  <si>
    <t>This vibrant and culturally diverse area of retail businesses and residences experienced a renewal after a significant decline in the late 1960s and 1970s.[citation needed] After decades of neglect and suburban flight, the neighborhood revival followed the re-opening of the Tower Theatre in the late 1970s, which at that time showed second and third run movies, along with classic films. Roger Rocka's Dinner Theater &amp; Good Company Players also opened nearby in 1978,[citation needed] at Olive and Wishon Avenues. Fresno native Audra McDonald performed in the leading roles of Evita and The Wiz at the theater while she was a high school student. McDonald subsequently became a leading performer on Broadway in New York City and a Tony award winning actress. Also in the Tower District is Good Company Players' 2nd Space Theatre.</t>
  </si>
  <si>
    <t>New ownership rules by the FCC in 1985 allowed broadcasters to own a maximum of how many stations?</t>
  </si>
  <si>
    <t>extensive, electrified, passenger system</t>
  </si>
  <si>
    <t>the Lek</t>
  </si>
  <si>
    <t>What are upper-level secondary schools called?</t>
  </si>
  <si>
    <t>corrupt</t>
  </si>
  <si>
    <t>a new investigation into the role of Yersinia pestis in the Black Death</t>
  </si>
  <si>
    <t>removed in a condenser</t>
  </si>
  <si>
    <t>Where is much of the work of the Scottish Parliament done?</t>
  </si>
  <si>
    <t>Who was the first quarterback to take two teams to more than one Super Bowl?</t>
  </si>
  <si>
    <t>sexual misconduct</t>
  </si>
  <si>
    <t>creative plea</t>
  </si>
  <si>
    <t>Newcastle Diamonds</t>
  </si>
  <si>
    <t>What is the main reason consulting pharmacists are increasingly working directly with patients?</t>
  </si>
  <si>
    <t>During the 16th and 17th centuries</t>
  </si>
  <si>
    <t>Thanksgiving</t>
  </si>
  <si>
    <t>a data network</t>
  </si>
  <si>
    <t>relation to the state and its laws</t>
  </si>
  <si>
    <t>On 24 March 1879,</t>
  </si>
  <si>
    <t>What was the ideal duty of a Newcomen engine?</t>
  </si>
  <si>
    <t>the usual academic subjects</t>
  </si>
  <si>
    <t>the Old Rhine Bridge at Constance</t>
  </si>
  <si>
    <t>world systems theory</t>
  </si>
  <si>
    <t>credible claims of corruption were made with regard to recruitment  and procurement of Armoured Personnel Carriers</t>
  </si>
  <si>
    <t>hash tables and pseudorandom number generators</t>
  </si>
  <si>
    <t>1978 Supreme Court case of FCC v. Pacifica Foundation</t>
  </si>
  <si>
    <t>February 1082</t>
  </si>
  <si>
    <t>Egyptian Islamic Jihad organization</t>
  </si>
  <si>
    <t>most densely populated</t>
  </si>
  <si>
    <t>three-carbon molecules called 3-phosphoglyceric acid</t>
  </si>
  <si>
    <t>contemporary Orient, "</t>
  </si>
  <si>
    <t>early twentieth century</t>
  </si>
  <si>
    <t>Regis Philbin</t>
  </si>
  <si>
    <t>In many countries, what kind of pay gap is there?</t>
  </si>
  <si>
    <t>What shape is Chlamydomonas's chloroplasts?</t>
  </si>
  <si>
    <t>The Panthers seemed primed to score on their opening drive of the second half when Newton completed a 45-yard pass to Ted Ginn Jr. on the Denver 35-yard line on their second offensive play. But the Broncos defense halted the drive on the 26-yard line, and it ended with no points when Graham Gano hit the uprights on a 44-yard field goal attempt. After the miss, Manning completed a pair of passes to Emmanuel Sanders for gains of 25 and 22 yards, setting up McManus' 33-yard field goal that gave the Broncos a 16–7 lead. Carolina got off to another strong start after the kickoff, with Newton completing a 42-yard pass to Corey Brown. But once again they came up empty, this time as a result of a Newton pass that bounced off the hands of Ginn and was intercepted by safety T. J. Ward. Ward fumbled the ball during the return, but Trevathan recovered it to enable Denver to keep possession.</t>
  </si>
  <si>
    <t>"vulgarity and violence</t>
  </si>
  <si>
    <t>Andreas Schimper</t>
  </si>
  <si>
    <t>What was Goldenson's 1991 book about ABC titled?</t>
  </si>
  <si>
    <t>the subsequent interrogation led to a better understanding of the Mau Mau command structure</t>
  </si>
  <si>
    <t>What grew on a global scale as a result of imperialism?</t>
  </si>
  <si>
    <t>during the Roman Empire</t>
  </si>
  <si>
    <t>What was the name given to the regions in which the pro - slavery southerners lived?</t>
  </si>
  <si>
    <t>What did Philo incorrectly assume that the air became?</t>
  </si>
  <si>
    <t>Đuka Tesla (née Mandić)</t>
  </si>
  <si>
    <t>1959</t>
  </si>
  <si>
    <t>Warner Bros. Presents</t>
  </si>
  <si>
    <t>What organization's teaching did Luther reject?</t>
  </si>
  <si>
    <t>southern and central parts of France,</t>
  </si>
  <si>
    <t>pep</t>
  </si>
  <si>
    <t>How many schools of medicine were recognized in China?</t>
  </si>
  <si>
    <t>Harold L. Neal</t>
  </si>
  <si>
    <t>They viewed the economic value of the Caribbean islands' sugar cane to be greater and easier to defend than the furs from the continent</t>
  </si>
  <si>
    <t>Rudyard Kipling was an influential spokesman for what?</t>
  </si>
  <si>
    <t>the Bayeux Tapestry</t>
  </si>
  <si>
    <t>principle of inclusions and components</t>
  </si>
  <si>
    <t>flammable</t>
  </si>
  <si>
    <t>an intuitive understanding</t>
  </si>
  <si>
    <t>a Tatar chieftain, Temüjin-üge, whom his father had just captured</t>
  </si>
  <si>
    <t>data on transportation, sewer, hazardous waste and water</t>
  </si>
  <si>
    <t>What type of company is Van Gend en Loos?</t>
  </si>
  <si>
    <t>Where did many Spanish Catholic move after British takeover in Florida?</t>
  </si>
  <si>
    <t>NCAA's Division III</t>
  </si>
  <si>
    <t>highways</t>
  </si>
  <si>
    <t>What country currently has a group who call themselves Huguenots?</t>
  </si>
  <si>
    <t>Dewar</t>
  </si>
  <si>
    <t>What part of the innate immune system identifies microbes and triggers immune response?</t>
  </si>
  <si>
    <t>The shortcomings of Aristotelian physics would not be fully corrected until the 17th century work of Galileo Galilei, who was influenced by the late Medieval idea that objects in forced motion carried an innate force of impetus. Galileo constructed an experiment in which stones and cannonballs were both rolled down an incline to disprove the Aristotelian theory of motion early in the 17th century. He showed that the bodies were accelerated by gravity to an extent that was independent of their mass and argued that objects retain their velocity unless acted on by a force, for example friction.</t>
  </si>
  <si>
    <t>What literary reference compares the Master to Doctor Who?</t>
  </si>
  <si>
    <t>What years did this occupation take place?</t>
  </si>
  <si>
    <t>Plasmodium falciparum</t>
  </si>
  <si>
    <t>What effect did breathing Priestley's discovered gas have on the experiment's mouse?</t>
  </si>
  <si>
    <t>Apollo was grounded</t>
  </si>
  <si>
    <t>In addition to Who Wants to Be a Millionaire, the network entered the 2000s with hits held over from the previous decade such as The Practice, NYPD Blue and The Wonderful World of Disney and new series such as My Wife and Kids and According to Jim, all of which managed to help ABC stay ahead of the competition in the ratings in spite of the later departure of Millionaire. 2000 saw the end of "TGIF", which was struggling to find new hits (with Boy Meets World and Sabrina, the Teenage Witch, the latter of which moved to The WB in September 2000, beginning to wane as well by this point) following the loss of Family Matters and Step by Step to CBS as part of its own failed attempt at a family-oriented Friday comedy block in the 1997–98 season. Outside of Friday stalwart 20/20, Friday nights remained a weak spot for ABC for the next 11 years.</t>
  </si>
  <si>
    <t>about 30 kPa (1.4 times normal)</t>
  </si>
  <si>
    <t>a man's presence</t>
  </si>
  <si>
    <t>Education in Wales differs in certain respects from education elsewhere in the United Kingdom. For example, a significant number of students all over Wales are educated either wholly or largely through the medium of Welsh: in 2008/09, 22 per cent of classes in maintained primary schools used Welsh as the sole or main medium of instruction. Welsh medium education is available to all age groups through nurseries, schools, colleges and universities and in adult education; lessons in the language itself are compulsory for all pupils until the age of 16.</t>
  </si>
  <si>
    <t>"Old Briton" ignored the warning</t>
  </si>
  <si>
    <t xml:space="preserve">What  things did the network concentrate on </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</si>
  <si>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</si>
  <si>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Mstislav the Bold of Halych and Mstislav III of Kiev</t>
  </si>
  <si>
    <t>logistical</t>
  </si>
  <si>
    <t>Polonez</t>
  </si>
  <si>
    <t>within the Church of England</t>
  </si>
  <si>
    <t>2009</t>
  </si>
  <si>
    <t>Electorate of Brandenburg and Electorate of the Palatinate</t>
  </si>
  <si>
    <t xml:space="preserve">What does the Premier of Victoria need to lead in the Legislative Assembly? </t>
  </si>
  <si>
    <t>the bigamy of the Philip of Hesse incident</t>
  </si>
  <si>
    <t>62</t>
  </si>
  <si>
    <t>Which empire bordered the Mongol Empire to the west in 1218?</t>
  </si>
  <si>
    <t>Who was the Associate Administrator that Houbolt spoke with?</t>
  </si>
  <si>
    <t>What is cpDNA's replication similar to?</t>
  </si>
  <si>
    <t>What did Luther expound to be greater than sin?</t>
  </si>
  <si>
    <t>counties or powiats</t>
  </si>
  <si>
    <t>What is the name of one impressive continuation of the Fermat primality test?</t>
  </si>
  <si>
    <t>coronary thrombosis</t>
  </si>
  <si>
    <t>How much energy loss did he expect would occur?</t>
  </si>
  <si>
    <t>explanation of the Apostles' Creed</t>
  </si>
  <si>
    <t>The View and The Chew</t>
  </si>
  <si>
    <t>heat and pressure</t>
  </si>
  <si>
    <t>"teleforce" weapon</t>
  </si>
  <si>
    <t>Whose works helped Tesla recover from illness?</t>
  </si>
  <si>
    <t>When did Luther write to Melanchhon about God's grace?</t>
  </si>
  <si>
    <t>Of all their agreements with Hollywood producers in the 50s, which was the most iconic for ABC?</t>
  </si>
  <si>
    <t>anti-aircraft purposes</t>
  </si>
  <si>
    <t>the most efficient algorithm</t>
  </si>
  <si>
    <t>Second World War</t>
  </si>
  <si>
    <t>With the death of Captain Francis Fowke, Royal Engineers the next architect to work at the museum was Colonel (later Major General) Henry Young Darracott Scott, also of the Royal Engineers. He designed to the north west of the garden the five-storey School for Naval Architects (also known as the science schools), now the Henry Cole Wing in 1867–72. Scott's assistant J.W. Wild designed the impressive staircase that rises the full height of the building, made from Cadeby stone the steps are 7 feet (2.1 m) in length, the balustrades and columns are Portland stone. It is now used to jointly house the prints and architectural drawings of the V&amp;A (prints, drawings, paintings and photographs) and Royal Institute of British Architects (RIBA Drawings and Archives Collections); and the Sackler Centre for arts education, which opened in 2008.</t>
  </si>
  <si>
    <t>1186</t>
  </si>
  <si>
    <t>nominate speakers</t>
  </si>
  <si>
    <t>Invertebrates do not generate what type of cells that are a part of the vertebrate adaptive immune system?</t>
  </si>
  <si>
    <t xml:space="preserve">Turing machines are commonly employed to define what? </t>
  </si>
  <si>
    <t>diverse</t>
  </si>
  <si>
    <t>individually</t>
  </si>
  <si>
    <t>consumer prices</t>
  </si>
  <si>
    <t>22 October 2006</t>
  </si>
  <si>
    <t>Nearly 3,000</t>
  </si>
  <si>
    <t>What has caused savanna regions to grow into the South American tropics in the last 34 million years?</t>
  </si>
  <si>
    <t>28,000</t>
  </si>
  <si>
    <t>The Northern Pride Festival and Parade</t>
  </si>
  <si>
    <t xml:space="preserve">In the layered model of the Earth, the outermost layer is what? </t>
  </si>
  <si>
    <t>Other than the curriculum led learning, there are also National and Public Library Services led by the Kenya National Library Service (KNLS). KNLS is the body mandated to establish, equip, manage and maintain national and public libraries in the country. In addition, some of the counties within the country have either established or taken over libraries within their regions. Nairobi County operates four libraries within their network, which included the McMillan Memorial Library located at the central business district of Nairobi. A public library is seen as a peoples university since it is open to all irrespective of age, literacy level and has materials relevant to people of all walks of life.</t>
  </si>
  <si>
    <t>What language other than English has the Scottish Parliament had meetings in?</t>
  </si>
  <si>
    <t>prime number theorem</t>
  </si>
  <si>
    <t>signing of the Treaty of Aix-la-Chapelle</t>
  </si>
  <si>
    <t>groups of large, stiffened cilia</t>
  </si>
  <si>
    <t>Following the election of the UK Labour Party to government in 1997, the UK formally subscribed to the Agreement on Social Policy, which allowed it to be included with minor amendments as the Social Chapter of the 1997 Treaty of Amsterdam. The UK subsequently adopted the main legislation previously agreed under the Agreement on Social Policy, the 1994 Works Council Directive, which required workforce consultation in businesses, and the 1996 Parental Leave Directive. In the 10 years following the 1997 Treaty of Amsterdam and adoption of the Social Chapter the European Union has undertaken policy initiatives in various social policy areas, including labour and industry relations, equal opportunity, health and safety, public health, protection of children, the disabled and elderly, poverty, migrant workers, education, training and youth.</t>
  </si>
  <si>
    <t>prohibited emigration</t>
  </si>
  <si>
    <t>Which major network was the most watched for the 2000-01 season?</t>
  </si>
  <si>
    <t>31 October 1517</t>
  </si>
  <si>
    <t>little</t>
  </si>
  <si>
    <t>validated the Service Module engine and the Command Module heat shield.</t>
  </si>
  <si>
    <t>the Wankel engine</t>
  </si>
  <si>
    <t>What was notable about the butterflies?</t>
  </si>
  <si>
    <t>for Tesla to further develop and produce a new lighting system</t>
  </si>
  <si>
    <t>What rituals did Kublai follow to help his image?</t>
  </si>
  <si>
    <t>Greater Sacramento</t>
  </si>
  <si>
    <t>Eastern Europe</t>
  </si>
  <si>
    <t>What was the king's first approach to the Huguenots?</t>
  </si>
  <si>
    <t>Alan Dershowitz and Lawrence Lessig</t>
  </si>
  <si>
    <t>the Song Emperor</t>
  </si>
  <si>
    <t>Gothic Revival</t>
  </si>
  <si>
    <t>Who first described dynamic equilibrium?</t>
  </si>
  <si>
    <t>The Panthers used the San Jose State practice facility and stayed at the San Jose Marriott. The Broncos practiced at Stanford University and stayed at the Santa Clara Marriott.</t>
  </si>
  <si>
    <t>Who explained that inertial reference frames equaled reference frames subject to constant acceleration?</t>
  </si>
  <si>
    <t>all the normal forms of parental discipline</t>
  </si>
  <si>
    <t>Kromme Rijn</t>
  </si>
  <si>
    <t>What is the group called that does not agree with government at all?</t>
  </si>
  <si>
    <t>What do Cydippids use to capture their prey?</t>
  </si>
  <si>
    <t>graze cattle on it.</t>
  </si>
  <si>
    <t>Which pharmacists are likely to seek additional education following pharmacy school?</t>
  </si>
  <si>
    <t>What is necessary to disobey?</t>
  </si>
  <si>
    <t>Defense Secretary</t>
  </si>
  <si>
    <t>What does pumping water into the mesoglea do?</t>
  </si>
  <si>
    <t>Why did the Methodist Protestant Church split from the Methodist Episcopal Church?</t>
  </si>
  <si>
    <t>Class II MHC</t>
  </si>
  <si>
    <t>Mueller</t>
  </si>
  <si>
    <t>While in Limassol, Richard the Lion-Heart married Berengaria of Navarre, first-born daughter of King Sancho VI of Navarre. The wedding was held on 12 May 1191 at the Chapel of St. George and it was attended by Richard's sister Joan, whom he had brought from Sicily. The marriage was celebrated with great pomp and splendor. Among other grand ceremonies was a double coronation: Richard caused himself to be crowned King of Cyprus, and Berengaria Queen of England and Queen of Cyprus as well.</t>
  </si>
  <si>
    <t>What tribe uses GPS devices to map lands?</t>
  </si>
  <si>
    <t>What tool do stratigraphers use to see their data in three dimensions?</t>
  </si>
  <si>
    <t>cannot be written as the knot sum of two nontrivial knots</t>
  </si>
  <si>
    <t>Buddhism and Christianity</t>
  </si>
  <si>
    <t>Price controls</t>
  </si>
  <si>
    <t>How many Americans are richer than more than half of all citizens?</t>
  </si>
  <si>
    <t>Jim Nantz and Phil Simms</t>
  </si>
  <si>
    <t>Jessé de Forest</t>
  </si>
  <si>
    <t>Newton was limited by Denver's defense</t>
  </si>
  <si>
    <t>Brad Nortman</t>
  </si>
  <si>
    <t>what was invented in 1880 that revolutionized warfare?</t>
  </si>
  <si>
    <t>stream</t>
  </si>
  <si>
    <t>absolute value</t>
  </si>
  <si>
    <t>On October 6, 1973</t>
  </si>
  <si>
    <t>large cars</t>
  </si>
  <si>
    <t>How often do trains journey to King's Cross?</t>
  </si>
  <si>
    <t>What happened to the crew onboard during the plugs-out test?</t>
  </si>
  <si>
    <t>Who normally manages a construction job?</t>
  </si>
  <si>
    <t>Luther objected to a saying attributed to Johann Tetzel that "As soon as the coin in the coffer rings, the soul from purgatory (also attested as 'into heaven') springs."</t>
  </si>
  <si>
    <t>five</t>
  </si>
  <si>
    <t>San Francisco Bay Area's</t>
  </si>
  <si>
    <t>Where is Samuel Marsden Collegiate School located?</t>
  </si>
  <si>
    <t>improved markedly</t>
  </si>
  <si>
    <t>Why is Warsaw's flora very rich in species?</t>
  </si>
  <si>
    <t>deportation</t>
  </si>
  <si>
    <t>What did Distributed Adaptive Message Block Switching do</t>
  </si>
  <si>
    <t>Emperor Wenzong</t>
  </si>
  <si>
    <t>Who called their system the "Tesla Polyphase System"?</t>
  </si>
  <si>
    <t>Hyperbaric (high-pressure) medicine uses special oxygen chambers to increase the partial pressure of O
2 around the patient and, when needed, the medical staff. Carbon monoxide poisoning, gas gangrene, and decompression sickness (the 'bends') are sometimes treated using these devices. Increased O
2 concentration in the lungs helps to displace carbon monoxide from the heme group of hemoglobin. Oxygen gas is poisonous to the anaerobic bacteria that cause gas gangrene, so increasing its partial pressure helps kill them. Decompression sickness occurs in divers who decompress too quickly after a dive, resulting in bubbles of inert gas, mostly nitrogen and helium, forming in their blood. Increasing the pressure of O
2 as soon as possible is part of the treatment.</t>
  </si>
  <si>
    <t>inside hospitals and clinics</t>
  </si>
  <si>
    <t>status superior to all others in health-related fields</t>
  </si>
  <si>
    <t>Cadeby</t>
  </si>
  <si>
    <t>Thoreau</t>
  </si>
  <si>
    <t>their low ratio of organic matter to salt and water</t>
  </si>
  <si>
    <t>communist</t>
  </si>
  <si>
    <t>What is name of the function used for the largest integer not greater than the number in question?</t>
  </si>
  <si>
    <t>What other compensation did Tesla get from Westinghouse?</t>
  </si>
  <si>
    <t>, Joseph Shea</t>
  </si>
  <si>
    <t>arrows</t>
  </si>
  <si>
    <t>cysteine and methionine</t>
  </si>
  <si>
    <t>Desilu Productions</t>
  </si>
  <si>
    <t>union of the Methodist Church (USA) and the Evangelical United Brethren Church</t>
  </si>
  <si>
    <t>10 billion</t>
  </si>
  <si>
    <t>the likelihood of damage</t>
  </si>
  <si>
    <t>the actual sea level rise was above the top of the range</t>
  </si>
  <si>
    <t>What symbol was employed until early in the 20th century?</t>
  </si>
  <si>
    <t>many of the nomadic tribes of Northeast Asia</t>
  </si>
  <si>
    <t>the least onerous must be adopted</t>
  </si>
  <si>
    <t>What characteristic of oxygen makes it necessary to life?</t>
  </si>
  <si>
    <t>What impact did the high school education movement have on the presence of skilled workers?</t>
  </si>
  <si>
    <t>66 lb</t>
  </si>
  <si>
    <t>What was the percentage of Black or African-Americans living in the city?</t>
  </si>
  <si>
    <t>When was Isiah Bowman appointed to President Wilson's Inquiry?</t>
  </si>
  <si>
    <t>What was the first US state to have compulsory education?</t>
  </si>
  <si>
    <t>government agencies and large companies (mostly banks and airlines) to build their own dedicated networks</t>
  </si>
  <si>
    <t>the Jin dynasty</t>
  </si>
  <si>
    <t>late 19th century</t>
  </si>
  <si>
    <t>12 January</t>
  </si>
  <si>
    <t>Frederick II the Great</t>
  </si>
  <si>
    <t>very badly disposed towards the French, and are entirely devoted to the English</t>
  </si>
  <si>
    <t>What company had a contest to win a free Super Bowl commercial?</t>
  </si>
  <si>
    <t>NFL Mobile</t>
  </si>
  <si>
    <t>mild and sunny.</t>
  </si>
  <si>
    <t>after sustaining an injury which would be fatal to most other species</t>
  </si>
  <si>
    <t>Approximately how many objects comprise the museum's collections of South and South-East Asian art?</t>
  </si>
  <si>
    <t>pay off a papal dispensation for his tenure</t>
  </si>
  <si>
    <t>the Earth</t>
  </si>
  <si>
    <t>stratigraphic correlation</t>
  </si>
  <si>
    <t>What country uses the Bowl of Hygieia as a symbol of pharmacy?</t>
  </si>
  <si>
    <t>imperialism</t>
  </si>
  <si>
    <t>What do the former Midlothian County Buildings face?</t>
  </si>
  <si>
    <t>practical Carnot cycle</t>
  </si>
  <si>
    <t>What dynasty did Genghis Khan plan to attack after conquering Western Xia?</t>
  </si>
  <si>
    <t>the majority of the seats</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</si>
  <si>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</si>
  <si>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What strains of y. pestis were found in the mass graves?</t>
  </si>
  <si>
    <t>Who is a bill referred to for a ruling on whether it's within the powers of the Parliament?</t>
  </si>
  <si>
    <t>What choice did French have for surrendering land?</t>
  </si>
  <si>
    <t>What are two examples of cytotoxic or immunosuppressive drugs?</t>
  </si>
  <si>
    <t>.2 billion years for the basaltic samples derived from the lunar maria, to about 4.6 billion years for samples derived from the highlands crust</t>
  </si>
  <si>
    <t>no known case</t>
  </si>
  <si>
    <t>What is the search feature on the V&amp;A website called?</t>
  </si>
  <si>
    <t>In which year did John Forster bequeathed his large collection of books to the museum?</t>
  </si>
  <si>
    <t>Supreme Court</t>
  </si>
  <si>
    <t>Apollo 13</t>
  </si>
  <si>
    <t>legend</t>
  </si>
  <si>
    <t>An adobe that provides less utility to one person than another is an example of reduced what?</t>
  </si>
  <si>
    <t>12 May 1191</t>
  </si>
  <si>
    <t>Delüün Boldog</t>
  </si>
  <si>
    <t>use of the name was incorrect all these services were managed by the same people within one department of KPN contributed to the confusion</t>
  </si>
  <si>
    <t>What is another term for excessive compression?</t>
  </si>
  <si>
    <t>How much Saharan dust remains in the air over the Amazon each year?</t>
  </si>
  <si>
    <t>What two radio networks did RCA own?</t>
  </si>
  <si>
    <t>The costume collection is the most comprehensive in Britain, containing over 14,000 outfits plus accessories, mainly dating from 1600 to the present. Costume sketches, design notebooks, and other works on paper are typically held by the Word and Image department. Because everyday clothing from previous eras has not generally survived, the collection is dominated by fashionable clothes made for special occasions. One of the first significant gifts of costume came in 1913 when the V&amp;A received the Talbot Hughes collection containing 1,442 costumes and items as a gift from Harrods following its display at the nearby department store.</t>
  </si>
  <si>
    <t>randomized algorithms</t>
  </si>
  <si>
    <t>Martin Luther married Katharina von Bora, one of 12 nuns he had helped escape from the Nimbschen Cistercian convent in April 1523, when he arranged for them to be smuggled out in herring barrels. "Suddenly, and while I was occupied with far different thoughts," he wrote to Wenceslaus Link, "the Lord has plunged me into marriage." At the time of their marriage, Katharina was 26 years old and Luther was 41 years old.</t>
  </si>
  <si>
    <t>the best engineering school</t>
  </si>
  <si>
    <t>1269</t>
  </si>
  <si>
    <t xml:space="preserve">Packet Switching contrast with what other principal </t>
  </si>
  <si>
    <t>What country boarders the south of Kenya?</t>
  </si>
  <si>
    <t>relationship contracting where the emphasis is on a co-operative relationship</t>
  </si>
  <si>
    <t>equality in the income distribution</t>
  </si>
  <si>
    <t>Carey</t>
  </si>
  <si>
    <t>Clair Cameron Patterson</t>
  </si>
  <si>
    <t>At what age did British Gas plc force their workers to retire?</t>
  </si>
  <si>
    <t>Who is the sole governing authority capable of initiating legislative proposals?</t>
  </si>
  <si>
    <t>Waal</t>
  </si>
  <si>
    <t>39.</t>
  </si>
  <si>
    <t>Executive Vice President of Football Operations and General Manager.</t>
  </si>
  <si>
    <t>former monastery,</t>
  </si>
  <si>
    <t>the movements of nature, movements of free and unequal durations</t>
  </si>
  <si>
    <t>From whom did Genghis Khan learn seige warfare?</t>
  </si>
  <si>
    <t xml:space="preserve">What was Apple Talk </t>
  </si>
  <si>
    <t>The United Methodist Church upholds the sanctity of human life both of the child and the mother. As a result, the church is "reluctant to affirm abortion as an acceptable practice," and condemns the use of late-term or partial birth abortion except as a medical necessity. The denomination as a whole is committed to "assist[ing] the ministry of crisis pregnancy centers and pregnancy resource centers that compassionately help women find feasible alternatives to abortion." Still, the denomination is pro-choice and also "was a founding member of the Religious Coalition for Reproductive Choice...[and] 2008 General Conference [went] on record in support of the work of the Religious Coalition for Reproductive Choice".</t>
  </si>
  <si>
    <t>On which date was Genghis Khan's palace rediscovered by archeaologists?</t>
  </si>
  <si>
    <t>What do the Ten Commandments teach Christians how to do?</t>
  </si>
  <si>
    <t>In some rural areas in the United Kingdom, there are dispensing physicians who are allowed to both prescribe and dispense prescription-only medicines to their patients from within their practices. The law requires that the GP practice be located in a designated rural area and that there is also a specified, minimum distance (currently 1.6 kilometres) between a patient's home and the nearest retail pharmacy. This law also exists in Austria for general physicians if the nearest pharmacy is more than 4 kilometers away, or where none is registered in the city.</t>
  </si>
  <si>
    <t>What does the sea monster with a female upper body hold in its claws?</t>
  </si>
  <si>
    <t>Humans in tropical environments were considered what?</t>
  </si>
  <si>
    <t xml:space="preserve">What distinct quality of combustion was  absent from philogiston theory? </t>
  </si>
  <si>
    <t>What kind of fiction is Tesla's work featured in?</t>
  </si>
  <si>
    <t>What would be lower if there were fewer people?</t>
  </si>
  <si>
    <t>In ring theory</t>
  </si>
  <si>
    <t>Killer T cells</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</si>
  <si>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</si>
  <si>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What has the infrastructure done a lot of over the past years?</t>
  </si>
  <si>
    <t>Who designs both the "50" as well as the Trophy?</t>
  </si>
  <si>
    <t>Where was the Manned Spacecraft Center located?</t>
  </si>
  <si>
    <t>By what name is that first Huguenot church known today?</t>
  </si>
  <si>
    <t>the rainforest was reduced to small, isolated refugia separated by open forest and grassland</t>
  </si>
  <si>
    <t>100–150</t>
  </si>
  <si>
    <t>an increase in the input size</t>
  </si>
  <si>
    <t>essential Reformation doctrine</t>
  </si>
  <si>
    <t>Boycotting, refusing to pay taxes, sit ins, and draft dodging all make what harder?</t>
  </si>
  <si>
    <t>Oxygen condenses at 90.20 K (−182.95 °C, −297.31 °F), and freezes at 54.36 K (−218.79 °C, −361.82 °F). Both liquid and solid O
2 are clear substances with a light sky-blue color caused by absorption in the red (in contrast with the blue color of the sky, which is due to Rayleigh scattering of blue light). High-purity liquid O
2 is usually obtained by the fractional distillation of liquefied air. Liquid oxygen may also be produced by condensation out of air, using liquid nitrogen as a coolant. It is a highly reactive substance and must be segregated from combustible materials.</t>
  </si>
  <si>
    <t>In what year did Harvard win an Intercolleiate Sailing Association National Championship?</t>
  </si>
  <si>
    <t>The function of long-lived memory cells is an example of what kind of immune response?</t>
  </si>
  <si>
    <t>Catholic Church in France</t>
  </si>
  <si>
    <t xml:space="preserve">In June 1884, where did Tesla relocate? </t>
  </si>
  <si>
    <t>Since its foundation, the Treaties sought to enable people to pursue their life goals in any country through free movement. Reflecting the economic nature of the project, the European Community originally focused upon free movement of workers: as a "factor of production". However, from the 1970s, this focus shifted towards developing a more "social" Europe. Free movement was increasingly based on "citizenship", so that people had rights to empower them to become economically and socially active, rather than economic activity being a precondition for rights. This means the basic "worker" rights in TFEU article 45 function as a specific expression of the general rights of citizens in TFEU articles 18 to 21. According to the Court of Justice, a "worker" is anybody who is economically active, which includes everyone in an employment relationship, "under the direction of another person" for "remuneration". A job, however, need not be paid in money for someone to be protected as a worker. For example, in Steymann v Staatssecretaris van Justitie, a German man claimed the right to residence in the Netherlands, while he volunteered plumbing and household duties in the Bhagwan community, which provided for everyone's material needs irrespective of their contributions. The Court of Justice held that Mr Steymann was entitled to stay, so long as there was at least an "indirect quid pro quo" for the work he did. Having "worker" status means protection against all forms of discrimination by governments, and employers, in access to employment, tax, and social security rights. By contrast a citizen, who is "any person having the nationality of a Member State" (TFEU article 20(1)), has rights to seek work, vote in local and European elections, but more restricted rights to claim social security. In practice, free movement has become politically contentious as nationalist political parties have manipulated fears about immigrants taking away people's jobs and benefits (paradoxically at the same time). Nevertheless, practically "all available research finds little impact" of "labour mobility on wages and employment of local workers".</t>
  </si>
  <si>
    <t>What weapon does Spike Milligan use against a Dalek?</t>
  </si>
  <si>
    <t>financial strain</t>
  </si>
  <si>
    <t>When did Tamara marry a lawyer?</t>
  </si>
  <si>
    <t>qu</t>
  </si>
  <si>
    <t>What year did consolidation cause Jacksonville to become part of Duval County?</t>
  </si>
  <si>
    <t>St. Johns</t>
  </si>
  <si>
    <t>the Eldon Square Shopping Centre</t>
  </si>
  <si>
    <t>the colony of Georgia</t>
  </si>
  <si>
    <t>the concept of force</t>
  </si>
  <si>
    <t>ulemas</t>
  </si>
  <si>
    <t>Who is expected to lead the family in spiritual mentorship?</t>
  </si>
  <si>
    <t>Faith is that which brings the Holy Spirit through the merits of Christ</t>
  </si>
  <si>
    <t>Rather than the fuel, what is oxygen to a fire?</t>
  </si>
  <si>
    <t>reduces</t>
  </si>
  <si>
    <t>In the 1930s, radio in the United States was dominated by three companies: the Columbia Broadcasting System (CBS), the Mutual Broadcasting System and the National Broadcasting Company (NBC). The last was owned by electronics manufacturer Radio Corporation of America (RCA), which owned two radio networks that each ran different varieties of programming, NBC Blue and NBC Red. The NBC Blue Network was created in 1927 for the primary purpose of testing new programs on markets of lesser importance than those served by NBC Red, which served the major cities, and to test drama series.</t>
  </si>
  <si>
    <t>from 2009 onwards</t>
  </si>
  <si>
    <t>giving her brother Polynices a proper burial</t>
  </si>
  <si>
    <t xml:space="preserve">What did Davies call his system </t>
  </si>
  <si>
    <t>What kind of shows were used as counterprogramming by ABC in the Fall of 1959?</t>
  </si>
  <si>
    <t>Who increased British military resources in colonies?</t>
  </si>
  <si>
    <t>ruin him</t>
  </si>
  <si>
    <t>In what venue did Super Bowl XIX take place?</t>
  </si>
  <si>
    <t>What did the IPCC apologize for?</t>
  </si>
  <si>
    <t>In another incident, around 1177, he was captured in a raid and held prisoner by his father's former allies, the Tayichi'ud. The Tayichi'ud enslaved Temüjin (reportedly with a cangue, a sort of portable stocks), but with the help of a sympathetic guard, the father of Chilaun (who later became a general of Genghis Khan), he was able to escape from the ger (yurt) in the middle of the night by hiding in a river crevice.[citation needed] It was around this time that Jelme and Bo'orchu, two of Genghis Khan's future generals, joined forces with him. Temüjin's reputation also became widespread after his escape from the Tayichi'ud.</t>
  </si>
  <si>
    <t>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ABC has also aired the Miss America pageant from 1954 to 1956, 1997 to 2005 (with the television rights being assumed by cable channel TLC in 2006, when the pageant moved from its longtime homebase in Atlantic City to Las Vegas, before returning to Atlantic City in 2013) and since 2011. Under its current contract with the Miss America Organization, ABC will continue to broadcast the pageant through 2016.</t>
  </si>
  <si>
    <t>26,000 square kilometres</t>
  </si>
  <si>
    <t>What kind of war did Luther support against the Turks, even if he did not oppose a religious war?</t>
  </si>
  <si>
    <t>The atomic number of the periodic table for oxygen?</t>
  </si>
  <si>
    <t>"the dot"</t>
  </si>
  <si>
    <t>economic separation</t>
  </si>
  <si>
    <t>What is another name for teaching within the family?</t>
  </si>
  <si>
    <t>invasion of the Khwarezmid Empire</t>
  </si>
  <si>
    <t>Historically, the Methodist Church has supported the temperance movement. John Wesley warned against the dangers of drinking in his famous sermon, "The Use of Money," and in his letter to an alcoholic. At one time, Methodist ministers had to take a pledge not to drink and encouraged their congregations to do the same. Today the United Methodist Church states that it "affirms our long-standing support of abstinence from alcohol as a faithful witness to God's liberating and redeeming love for persons." In fact, the United Methodist Church uses unfermented grape juice in the sacrament of Holy Communion, thus "expressing pastoral concern for recovering alcoholics, enabling the participation of children and youth, and supporting the church's witness of abstinence." Moreover, in 2011 and 2012, The United Methodist Church's General Board of Church and Society called on all United Methodists to abstain from alcohol for Lent.</t>
  </si>
  <si>
    <t>monthly fee</t>
  </si>
  <si>
    <t>Whose needs will the growth in pharmacy informatics meet?</t>
  </si>
  <si>
    <t>How do centripetal forces act in relation to vectors of velocity?</t>
  </si>
  <si>
    <t>Asian, African and Caribbean</t>
  </si>
  <si>
    <t>fire-resistant</t>
  </si>
  <si>
    <t>Diffie–Hellman</t>
  </si>
  <si>
    <t>Kenya's largest source of foreign direct investment</t>
  </si>
  <si>
    <t>While most Internet pharmacies sell prescription drugs and require a valid prescription, some Internet pharmacies sell prescription drugs without requiring a prescription. Many customers order drugs from such pharmacies to avoid the "inconvenience" of visiting a doctor or to obtain medications which their doctors were unwilling to prescribe. However, this practice has been criticized as potentially dangerous, especially by those who feel that only doctors can reliably assess contraindications, risk/benefit ratios, and an individual's overall suitability for use of a medication. There also have been reports of such pharmacies dispensing substandard products.</t>
  </si>
  <si>
    <t>Newcastle College</t>
  </si>
  <si>
    <t>What term is shorthand for antibody generators?</t>
  </si>
  <si>
    <t>University of Chicago scholars have played a major role in the development of various academic disciplines, including: the Chicago school of economics, the Chicago school of sociology, the law and economics movement in legal analysis, the Chicago school of literary criticism, the Chicago school of religion, and the behavioralism school of political science. Chicago's physics department helped develop the world's first man-made, self-sustaining nuclear reaction beneath the university's Stagg Field. Chicago's research pursuits have been aided by unique affiliations with world-renowned institutions like the nearby Fermilab and Argonne National Laboratory, as well as the Marine Biological Laboratory. The university is also home to the University of Chicago Press, the largest university press in the United States. With an estimated completion date of 2020, the Barack Obama Presidential Center will be housed at the university and include both the Obama presidential library and offices of the Obama Foundation.</t>
  </si>
  <si>
    <t>V&amp;A Museum of Childhood</t>
  </si>
  <si>
    <t>Board Certified Ambulatory Care Pharmacist</t>
  </si>
  <si>
    <t>Who made their Super Bowl commercial debut with Nintendo?</t>
  </si>
  <si>
    <t>What was the average duty of a low-pressure Watt engine?</t>
  </si>
  <si>
    <t>What was the first problem astronauts encountered during the plugs-out test?</t>
  </si>
  <si>
    <t>Any number larger than 1 can be represented as a product of what?</t>
  </si>
  <si>
    <t>claimants' "Sky TV bills</t>
  </si>
  <si>
    <t>Einstein</t>
  </si>
  <si>
    <t>the Church of St Thomas</t>
  </si>
  <si>
    <t>Norman</t>
  </si>
  <si>
    <t>prosperity</t>
  </si>
  <si>
    <t>by clapping their lobes</t>
  </si>
  <si>
    <t>Battle of Jumonville Glen in May 1754,</t>
  </si>
  <si>
    <t>What color were the Bronco's uniforms in Super Bowl 50?</t>
  </si>
  <si>
    <t>What present day county is New Rochelle in?</t>
  </si>
  <si>
    <t>Almost all ctenophores are predators</t>
  </si>
  <si>
    <t>What was Sadat seeking by releasing Islamists from prison?</t>
  </si>
  <si>
    <t>the application of electricity</t>
  </si>
  <si>
    <t>What is the derivative of an object's changing momentum called?</t>
  </si>
  <si>
    <t>electrical, water, sewage, phone, and cable</t>
  </si>
  <si>
    <t>multiple paths between any two points</t>
  </si>
  <si>
    <t>was not covered in any newspapers</t>
  </si>
  <si>
    <t>What is lower in countries with more inequality for the top 21 industrialized countries?</t>
  </si>
  <si>
    <t>plain, old, Bible Christianity"</t>
  </si>
  <si>
    <t>orientalism and tropicality</t>
  </si>
  <si>
    <t>What impact does workers working harder have on productivity of a business?</t>
  </si>
  <si>
    <t>the established Church</t>
  </si>
  <si>
    <t>Austria</t>
  </si>
  <si>
    <t>Mary Leakey and Louis Leakey</t>
  </si>
  <si>
    <t>The party, or parties, that hold the majority of seats in the Parliament</t>
  </si>
  <si>
    <t>170 billion</t>
  </si>
  <si>
    <t>What company was formed by the merger of Sky Television and British Satellite Broadcasting?</t>
  </si>
  <si>
    <t>When was the Imperial Library Directorate established?</t>
  </si>
  <si>
    <t>1.4 and 5.8 °C</t>
  </si>
  <si>
    <t>unnatural</t>
  </si>
  <si>
    <t>What are two official bodies of the UMC governing coalition?</t>
  </si>
  <si>
    <t>When did Tesla go to Tomingaj?</t>
  </si>
  <si>
    <t>How did Celeron handle meeting with Old Briton?</t>
  </si>
  <si>
    <t>Beating the Odds: The Untold Story Behind the Rise of ABC</t>
  </si>
  <si>
    <t>How many piston strokes occur in an engine cycle?</t>
  </si>
  <si>
    <t>Quebec</t>
  </si>
  <si>
    <t>1762</t>
  </si>
  <si>
    <t>Dolby Digital</t>
  </si>
  <si>
    <t>eliminate the position of Prime Minister and simultaneously reduce the powers of the President</t>
  </si>
  <si>
    <t>the Franklin Institute</t>
  </si>
  <si>
    <t>How many extended metropolitan areas are there?</t>
  </si>
  <si>
    <t>Who was named the president and CEO of ABC after Goldenson suffered a heart attack?</t>
  </si>
  <si>
    <t>What Senate committee did Singer speak to in July 2000?</t>
  </si>
  <si>
    <t>What two bodies must the Parliament go through first to pass legislation?</t>
  </si>
  <si>
    <t>Islamic</t>
  </si>
  <si>
    <t>four days</t>
  </si>
  <si>
    <t>Who constructed Newcastle's station?</t>
  </si>
  <si>
    <t>long-run economic growth</t>
  </si>
  <si>
    <t>What does it mean for a disease to be enzootic?</t>
  </si>
  <si>
    <t>What did Martin Luther fear after a lightening bolt struck near him?</t>
  </si>
  <si>
    <t>In 1928, Tesla received his last patent, U.S. Patent 1,655,114, for a biplane capable of taking off vertically (VTOL aircraft) and then be "gradually tilted through manipulation of the elevator devices" in flight until it was flying like a conventional plane. Tesla thought the plane would sell for less than $1,000.:251 Although the aircraft was probably impractical, it may be the earliest known design for what became the tiltrotor/tilt-wing concept as well as the earliest proposal for the use of turbine engines in rotor aircraft.[improper synthesis?]</t>
  </si>
  <si>
    <t>1946</t>
  </si>
  <si>
    <t>What resolution were the Eyevision cameras changed to?</t>
  </si>
  <si>
    <t>What country has such unmanageable students that many teachers do not discipline them?</t>
  </si>
  <si>
    <t>the work of leading theoretical physicists</t>
  </si>
  <si>
    <t>about 3,000 miles (4,800 km) between June and November 1749.</t>
  </si>
  <si>
    <t>Vaudreuil and Montcalm were minimally resupplied in 1758, as the British blockade of the French coastline limited French shipping. The situation in New France was further exacerbated by a poor harvest in 1757, a difficult winter, and the allegedly corrupt machinations of François Bigot, the intendant of the territory. His schemes to supply the colony inflated prices and were believed by Montcalm to line his pockets and those of his associates. A massive outbreak of smallpox among western tribes led many of them to stay away from trading in 1758. While many parties to the conflict blamed others (the Indians blamed the French for bringing "bad medicine" as well as denying them prizes at Fort William Henry), the disease was probably spread through the crowded conditions at William Henry after the battle. Montcalm focused his meager resources on the defense of the St. Lawrence, with primary defenses at Carillon, Quebec, and Louisbourg, while Vaudreuil argued unsuccessfully for a continuation of the raiding tactics that had worked quite effectively in previous years.</t>
  </si>
  <si>
    <t>filmmakers</t>
  </si>
  <si>
    <t>molten silver</t>
  </si>
  <si>
    <t>A simple case of dynamic equilibrium occurs in constant velocity motion across a surface with kinetic friction. In such a situation, a force is applied in the direction of motion while the kinetic friction force exactly opposes the applied force. This results in zero net force, but since the object started with a non-zero velocity, it continues to move with a non-zero velocity. Aristotle misinterpreted this motion as being caused by the applied force. However, when kinetic friction is taken into consideration it is clear that there is no net force causing constant velocity motion.</t>
  </si>
  <si>
    <t>The UMC supports federal funding for research on embryos created for IVF that remain after the procreative efforts have ceased, if the embryos were provided for research instead of being destroyed, were not obtained by sale, and those donating had given prior informed consent for the research purposes. The UMC stands in "opposition to the creation of embryos for the sake of research" as "a human embryo, even at its earliest stages, commands our reverence." It supports research on stem cells retrieved from umbilical cords and adult stem cells, stating that there are "few moral questions" raised by this issue.</t>
  </si>
  <si>
    <t>1755</t>
  </si>
  <si>
    <t>Miami's Sun Life Stadium</t>
  </si>
  <si>
    <t>the FBI ordered the Alien Property Custodian to seize Tesla's belongings</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</si>
  <si>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Łazienki park (a didactic-research unit of the University of Warsaw) as well as by the Park of Culture and Rest in Powsin (a unit of the Polish Academy of Science).</t>
  </si>
  <si>
    <t>The Brotherhood was the only opposition group in Egypt able to do what during elections?</t>
  </si>
  <si>
    <t>According to reduction, if X and Y can be solved by the same algorithm then X performs what function in relationship to Y?</t>
  </si>
  <si>
    <t>pity</t>
  </si>
  <si>
    <t>What English chemist showed that fire only needed nitoaereus?</t>
  </si>
  <si>
    <t>quality rental units</t>
  </si>
  <si>
    <t>sacramental authority</t>
  </si>
  <si>
    <t>When large groups of people all boycott a system or don't pay taxes it can be considered?</t>
  </si>
  <si>
    <t>265.7 nautical miles</t>
  </si>
  <si>
    <t>Breathing pure O
2 in space applications, such as in some modern space suits, or in early spacecraft such as Apollo, causes no damage due to the low total pressures used. In the case of spacesuits, the O
2 partial pressure in the breathing gas is, in general, about 30 kPa (1.4 times normal), and the resulting O
2 partial pressure in the astronaut's arterial blood is only marginally more than normal sea-level O
2 partial pressure (for more information on this, see space suit and arterial blood gas).</t>
  </si>
  <si>
    <t>In what way did Lavoisier see that the tin he used in his experiment had increased?</t>
  </si>
  <si>
    <t>When did the Iranian government enjoy something of a resurgence?</t>
  </si>
  <si>
    <t>What was the time on the clock when Carolina got the ball to their 24-yard line in the fourth quarter?</t>
  </si>
  <si>
    <t>Conrad of Montferrat</t>
  </si>
  <si>
    <t>ideological</t>
  </si>
  <si>
    <t>Where in China is Genghis Khan most favorably viewed today?</t>
  </si>
  <si>
    <t>What does the U.S. economic and social model have substantial levels of?</t>
  </si>
  <si>
    <t>What does the ctenophora use to swim?</t>
  </si>
  <si>
    <t>based on his observation of fossil animal shells in a geological stratum in a mountain hundreds of miles from the ocean</t>
  </si>
  <si>
    <t>Some people describe what between individuals or groups as imperialism or colonialism?</t>
  </si>
  <si>
    <t>Where did Turabi place students sympathetic to his views?</t>
  </si>
  <si>
    <t>What skin-related symptom appears from the pneumonic plague?</t>
  </si>
  <si>
    <t>What suffered considerably for Warsaw when it had an Eastern Bloc economy?</t>
  </si>
  <si>
    <t>not</t>
  </si>
  <si>
    <t>Prince Albert</t>
  </si>
  <si>
    <t>How much oxygen is found is a liter of fresh water under normal conditions?</t>
  </si>
  <si>
    <t>rich and well socially standing</t>
  </si>
  <si>
    <t>marginally more</t>
  </si>
  <si>
    <t>prohibits the celebration of same-sex unions.</t>
  </si>
  <si>
    <t>San Francisco Bay Area's Levi's Stadium</t>
  </si>
  <si>
    <t>the center of the curving path</t>
  </si>
  <si>
    <t>opportunistic</t>
  </si>
  <si>
    <t>confirmed and amended</t>
  </si>
  <si>
    <t>18th and 19th centuries</t>
  </si>
  <si>
    <t>How many miles across the Atlantic Ocean does Saharan dust travel?</t>
  </si>
  <si>
    <t>What leader led the Dutch Revolt and wrote Apologie?</t>
  </si>
  <si>
    <t>Where does the Newcastle Student Radio station broadcast from during terms?</t>
  </si>
  <si>
    <t>temperatures and sea levels have been rising at or above the maximum rates proposed</t>
  </si>
  <si>
    <t>When was the colony destroyed?</t>
  </si>
  <si>
    <t>through confirmation and sometimes the profession of faith.</t>
  </si>
  <si>
    <t>Who did Martin Luther marry?</t>
  </si>
  <si>
    <t>regulations and directives which are based on the Treaties</t>
  </si>
  <si>
    <t>Who is the biggest and most advanced economy in east and central Africa?</t>
  </si>
  <si>
    <t>How long ago did cyanobacteria enter a cell?</t>
  </si>
  <si>
    <t>What part of the Rhine flows through North Rhine-Westphalia?</t>
  </si>
  <si>
    <t>What Philadelphia institution did Tesla give a demonstration to?</t>
  </si>
  <si>
    <t>Which country is the most dependent on Arab oil?</t>
  </si>
  <si>
    <t>In what year did the university first see a drop in applications?</t>
  </si>
  <si>
    <t>The Annual Conference</t>
  </si>
  <si>
    <t>racket</t>
  </si>
  <si>
    <t>Queen Elizabeth II</t>
  </si>
  <si>
    <t>necessary</t>
  </si>
  <si>
    <t>Smiljan</t>
  </si>
  <si>
    <t>trade magazine for the construction industry</t>
  </si>
  <si>
    <t>licensed local pastor</t>
  </si>
  <si>
    <t>When is the first reference in history to Warsaw?</t>
  </si>
  <si>
    <t>detailed treatment with statistical mechanics</t>
  </si>
  <si>
    <t>L</t>
  </si>
  <si>
    <t>In 2013, ABC's identity was revamped by what design agency?</t>
  </si>
  <si>
    <t>Thomas B. Edsall</t>
  </si>
  <si>
    <t>1041</t>
  </si>
  <si>
    <t>lithosphere</t>
  </si>
  <si>
    <t>mathematical by-product</t>
  </si>
  <si>
    <t>Whose puppet did Islamists accuse the Saudi regime of being?</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</si>
  <si>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</si>
  <si>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How many housing units were there in 2000?</t>
  </si>
  <si>
    <t>Transcendentalist Unitarian</t>
  </si>
  <si>
    <t>When was John Gallagher born?</t>
  </si>
  <si>
    <t>the priesthood</t>
  </si>
  <si>
    <t>Collier's Weekly</t>
  </si>
  <si>
    <t xml:space="preserve">Who has the Islamic Liberation Party attempted to assassinate? </t>
  </si>
  <si>
    <t>200,000 lbf (890 kN) of thrust</t>
  </si>
  <si>
    <t xml:space="preserve">what did he patent in 1891? </t>
  </si>
  <si>
    <t>Sir William Henry Bragg and William Lawrence Bragg</t>
  </si>
  <si>
    <t>After liberation</t>
  </si>
  <si>
    <t>non-specific</t>
  </si>
  <si>
    <t>North American provinces</t>
  </si>
  <si>
    <t>Other than San Bernardino, what is the name of the other city that maintains the districts including University Town?</t>
  </si>
  <si>
    <t>What was the name of the event at the The Embarcadero that was held prior to Super Bowl 50 to help show off some of the things that San Francisco has to offer?</t>
  </si>
  <si>
    <t>What entity was rumored to be sold by ABC in between May and September 2005?</t>
  </si>
  <si>
    <t>What does zhèng mean?</t>
  </si>
  <si>
    <t>More than 1 million</t>
  </si>
  <si>
    <t>The UMC was a founding member of what coalition?</t>
  </si>
  <si>
    <t>constructed the King's Road</t>
  </si>
  <si>
    <t>2 weeks each year</t>
  </si>
  <si>
    <t>his arrest was not covered in any newspapers</t>
  </si>
  <si>
    <t>What is the main component of the aboral organ?</t>
  </si>
  <si>
    <t>interior valleys</t>
  </si>
  <si>
    <t>Who long was the broadcast delay claimed to be the first time the series premiered?</t>
  </si>
  <si>
    <t>Which Doctors were featured in The Four Doctors?</t>
  </si>
  <si>
    <t>high-gain S-band</t>
  </si>
  <si>
    <t>low-light conditions</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</si>
  <si>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</si>
  <si>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What are the "Big Five" animals in Kenya?</t>
  </si>
  <si>
    <t>joining the easterly flow toward the Atlantic.</t>
  </si>
  <si>
    <t>When did Genghis Khan become Great Khan?</t>
  </si>
  <si>
    <t>oxygen-16</t>
  </si>
  <si>
    <t>the architect or engineer</t>
  </si>
  <si>
    <t>What happened during the Apollo 7 test mission to elicit them a lesser version of the DSM?</t>
  </si>
  <si>
    <t>What scientist created the Daleks, by mutation?</t>
  </si>
  <si>
    <t>IPCC author Richard Lindzen has made a number of criticisms of the TAR. Among his criticisms, Lindzen has stated that the WGI Summary for Policymakers (SPM) does not faithfully summarize the full WGI report. For example, Lindzen states that the SPM understates the uncertainty associated with climate models. John Houghton, who was a co-chair of TAR WGI, has responded to Lindzen's criticisms of the SPM. Houghton has stressed that the SPM is agreed upon by delegates from many of the world's governments, and that any changes to the SPM must be supported by scientific evidence.</t>
  </si>
  <si>
    <t>secondary school teachers</t>
  </si>
  <si>
    <t>Why was ABC forced to sell its interests in international networks in the 70s?</t>
  </si>
  <si>
    <t>as a draftsman</t>
  </si>
  <si>
    <t>John Dobson</t>
  </si>
  <si>
    <t>steam turbine plant</t>
  </si>
  <si>
    <t>closure temperature</t>
  </si>
  <si>
    <t>Joseph Priestley</t>
  </si>
  <si>
    <t>Céloron threatened "Old Briton" with severe consequences</t>
  </si>
  <si>
    <t>October</t>
  </si>
  <si>
    <t>unit-dose, or a single dose of medicine</t>
  </si>
  <si>
    <t>What Super Bowl was the last where a fumble was returned for a touchdown?</t>
  </si>
  <si>
    <t>How much higher was the rate of deforestation in 2000, to 2005 compared to 1995 to 2000?</t>
  </si>
  <si>
    <t>What do professional athletes seek to boost from breathing oxygen?</t>
  </si>
  <si>
    <t>Which episode featured the return of William Hartnell?</t>
  </si>
  <si>
    <t>When were the shortcomings of Aristotle's physics overcome?</t>
  </si>
  <si>
    <t>Irish</t>
  </si>
  <si>
    <t>How old was Toghun Temur when he became emperor?</t>
  </si>
  <si>
    <t>What early Huguenot Church was established in England?</t>
  </si>
  <si>
    <t>fabricating evidence or committing perjury</t>
  </si>
  <si>
    <t>early vertebrates</t>
  </si>
  <si>
    <t>allowed agriculture and silviculture</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</si>
  <si>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Jumièges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</si>
  <si>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How many destinations are available worldwide from Newcastle's airport?</t>
  </si>
  <si>
    <t>eighty seconds</t>
  </si>
  <si>
    <t>renewal</t>
  </si>
  <si>
    <t>What device is used to test the magnetic attractions involved in liquid oxygen?</t>
  </si>
  <si>
    <t>"The Bill for this Act of the Scottish Parliament was passed by the Parliament on [Date] and received royal assent on [Date]".</t>
  </si>
  <si>
    <t>From 2004 to 2005 Harvard reduced the number of students earning Latin honors from 90% to what?</t>
  </si>
  <si>
    <t>What are construction managers?</t>
  </si>
  <si>
    <t>Who ranked Warsaw as the 32nd most liveable city in the world?</t>
  </si>
  <si>
    <t>Who said Barton's investigation was "misguided and illegitimate"?</t>
  </si>
  <si>
    <t>If input size is is equal to n, what can respectively be assumed is the function of n?</t>
  </si>
  <si>
    <t>Temperance</t>
  </si>
  <si>
    <t>What type of materials inside the cabin were removed to help prevent more fire hazards in the future?</t>
  </si>
  <si>
    <t>complexity resources</t>
  </si>
  <si>
    <t>Besides declaring Luther to be an outlaw and banning his works, what else was decided?</t>
  </si>
  <si>
    <t>How much of Poland's national income does Warsaw produce?</t>
  </si>
  <si>
    <t>Where did support from governmental and religious groups come from?</t>
  </si>
  <si>
    <t>Who founded the Ming dynasty?</t>
  </si>
  <si>
    <t>integers of quadratic number fields</t>
  </si>
  <si>
    <t>Disney</t>
  </si>
  <si>
    <t>Where was the location of the colonial government that administered the new colony?</t>
  </si>
  <si>
    <t>two political parties would share power equally</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</si>
  <si>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</si>
  <si>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James Bryant Conant</t>
  </si>
  <si>
    <t>jet of expelled water drives them backwards very quickly</t>
  </si>
  <si>
    <t>socialism in one country'</t>
  </si>
  <si>
    <t>second use of the law</t>
  </si>
  <si>
    <t>Where is the famous rock the Rhine flows around?</t>
  </si>
  <si>
    <t>What is the city centre of Warsaw called in Polish?</t>
  </si>
  <si>
    <t>What entity began producing television series for ABC in 1962?</t>
  </si>
  <si>
    <t>November 22</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</si>
  <si>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</si>
  <si>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About many students attend Kunskapsskolan schools?</t>
  </si>
  <si>
    <t>How many bits are often in the primes used for RSA public key cryptography algorithms?</t>
  </si>
  <si>
    <t>Members of which organizations are disqualified from sitting in the SP as elected MSPs?</t>
  </si>
  <si>
    <t>Switzerland and the Netherlands.</t>
  </si>
  <si>
    <t>What can be seen between hadrons?</t>
  </si>
  <si>
    <t>Who is the vice-chair of the IPCC?</t>
  </si>
  <si>
    <t>has little foundation in truth</t>
  </si>
  <si>
    <t>Duel</t>
  </si>
  <si>
    <t>was the public switched data network operated by the Dutch PTT Telecom</t>
  </si>
  <si>
    <t>oxygen tank</t>
  </si>
  <si>
    <t>damage to the skin was not caused by the Roentgen rays, but by the ozone generated in contact with the skin</t>
  </si>
  <si>
    <t>How much do estimations of the population during the plague vary?</t>
  </si>
  <si>
    <t>most cost efficient bidder</t>
  </si>
  <si>
    <t>lower incomes</t>
  </si>
  <si>
    <t>Which US President visited Jacksonville in 1888?</t>
  </si>
  <si>
    <t>Whose saying about purgatory did Martin Luther object to?</t>
  </si>
  <si>
    <t>20 minutes</t>
  </si>
  <si>
    <t>£304m</t>
  </si>
  <si>
    <t>learn about Church and the Methodist-Christian theological tradition in order to profess their ultimate faith in Christ.</t>
  </si>
  <si>
    <t>What power is available to Australian private schools but generally not present in public schools?</t>
  </si>
  <si>
    <t>Along with 10 Cloverfield Lane, what Paramount trailer appeared during the Super Bowl?</t>
  </si>
  <si>
    <t>largest Filipino American community</t>
  </si>
  <si>
    <t>illustration of the Ten Commandments</t>
  </si>
  <si>
    <t>the treatment</t>
  </si>
  <si>
    <t>connecting the same string multiple times to the same object through the use of a set-up that uses movable pulleys,</t>
  </si>
  <si>
    <t>Emmanuel Sanders</t>
  </si>
  <si>
    <t>How many organizations issued the joint statement on climate change?</t>
  </si>
  <si>
    <t>king of France</t>
  </si>
  <si>
    <t>Who got a safe conduct pass for Luther to come and leave the event?</t>
  </si>
  <si>
    <t>The mermaid</t>
  </si>
  <si>
    <t>trust in Christ</t>
  </si>
  <si>
    <t>In the US, who decides on the requirements for teachers?</t>
  </si>
  <si>
    <t>Emmerich Rhine Bridge,</t>
  </si>
  <si>
    <t>the college</t>
  </si>
  <si>
    <t>Shamanist, Buddhist or Christian</t>
  </si>
  <si>
    <t>regulates the practice of pharmacists and pharmacy technicians</t>
  </si>
  <si>
    <t>£1.3bn</t>
  </si>
  <si>
    <t>a fragment of the Cloth of St Gereon</t>
  </si>
  <si>
    <t>What makes day length constant on Earth?</t>
  </si>
  <si>
    <t>What cataloging system was used by the National Art Library from the 1980s to the 1990s?</t>
  </si>
  <si>
    <t>Who did Genghis Khan unite before he began conquering the rest of Eurasia?</t>
  </si>
  <si>
    <t>Johannes Agricola</t>
  </si>
  <si>
    <t>"internal colonialism"</t>
  </si>
  <si>
    <t>In August 1999, ABC premiered a special series event, Who Wants to Be a Millionaire, a game show based on the British program of the same title. Hosted throughout its ABC tenure by Regis Philbin, the program became a major ratings success throughout its initial summer run, which led ABC to renew Millionaire as a regular series, returning on January 18, 2000. At its peak, the program aired as much as six nights a week. Buoyed by Millionaire, during the 1999–2000 season, ABC became the first network to move from third to first place in the ratings during a single television season. Millionaire ended its run on the network's primetime lineup after three years in 2002, with Buena Vista Television relaunching the show as a syndicated program (under that incarnation's original host Meredith Vieira) in September of that year.</t>
  </si>
  <si>
    <t>Warsaw Escarpment</t>
  </si>
  <si>
    <t>industrialized nations increased their reserves</t>
  </si>
  <si>
    <t>What is the world's busiest general aviation airport?</t>
  </si>
  <si>
    <t>remove government oversight from its processes</t>
  </si>
  <si>
    <t>rotation</t>
  </si>
  <si>
    <t>NASA immediately convened an accident review board, overseen by both houses of Congress. While the determination of responsibility for the accident was complex, the review board concluded that "deficiencies existed in Command Module design, workmanship and quality control." At the insistence of NASA Administrator Webb, North American removed Harrison Storms as Command Module program manager. Webb also reassigned Apollo Spacecraft Program Office (ASPO) Manager Joseph Francis Shea, replacing him with George Low.</t>
  </si>
  <si>
    <t>action-reaction pairs</t>
  </si>
  <si>
    <t>Whose theory did Tesla disagree with?</t>
  </si>
  <si>
    <t xml:space="preserve">What did Baran develop during research at RAND </t>
  </si>
  <si>
    <t>The Super Bowl 50 Host Committee has vowed to be "the most giving Super Bowl ever", and will dedicate 25 percent of all money it raises for philanthropic causes in the Bay Area. The committee created the 50 fund as its philanthropic initiative and focuses on providing grants to aid with youth development, community investment and sustainable environments.</t>
  </si>
  <si>
    <t>'The Pink Triangle'</t>
  </si>
  <si>
    <t>Wilson's theorem</t>
  </si>
  <si>
    <t>in protest against the occupation of Prussia by Napoleon</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</si>
  <si>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</si>
  <si>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When did Mongke Khan die?</t>
  </si>
  <si>
    <t>The theatre collection starts from the time of which famous Elizabethan playwright?</t>
  </si>
  <si>
    <t>Who called themselves the "People's President"?</t>
  </si>
  <si>
    <t>What monarchy did western troops protect?</t>
  </si>
  <si>
    <t>Apollo Extension Series</t>
  </si>
  <si>
    <t>How many dairy cows are there in Australia?</t>
  </si>
  <si>
    <t>the statistical behaviour</t>
  </si>
  <si>
    <t>around 300,000</t>
  </si>
  <si>
    <t>Beroe</t>
  </si>
  <si>
    <t>How do regimes fight against cultural imperialism?</t>
  </si>
  <si>
    <t>Who were the current rights holders for the Primer League?</t>
  </si>
  <si>
    <t>Classifying the stages of what is important to mapping aspects of the Amazon?</t>
  </si>
  <si>
    <t>lived in poverty and were ill treated</t>
  </si>
  <si>
    <t>In The Church of Jesus Christ of Latter-day Saints (LDS Church), the teacher is an office in the Aaronic priesthood, generally conferred on young boys or recent converts, and has little in common with the "spiritual teacher" archetype. The role of "spiritual teacher" may be filled by many individuals in the LDS Church, often a trusted friend, who may hold any office, from Elder to Bishop, or no office at all. The emphasis on spiritual mentorship in the LDS Church is similar to that in the more "low-church" traditions of Protestantism, with a stronger emphasis placed on the husband and father of a family to provide spiritual guidance for all of his family, ideally in consultation with his wife, even if the husband is not a member of the LDS Church, based on interpretatios of certain Biblical texts which proclaim the spiritual authority of husbands in marriage. Even Priesthood representatives are expected to defer to the father of the house when in his home. Further, additional spiritual guidance is offered by those holding the office of Patriarch, which is supposed by Latter-day Saints to grant certain gifts of the Spirit, such as the ability to prophesy, to its holders. This guidance is generally offered during a ceremony called the patriarchal blessing.</t>
  </si>
  <si>
    <t>Hadrian's Wall</t>
  </si>
  <si>
    <t>John Sutcliffe.</t>
  </si>
  <si>
    <t>What are two of its subsystems?</t>
  </si>
  <si>
    <t>CBS set the base rate for a 30-second advertisement at $5,000,000, a record high price for a Super Bowl ad. As of January 26, the advertisements had not yet sold out. CBS mandated that all advertisers purchase a package covering time on both the television and digital broadcasts of the game, meaning that for the first time, digital streams of the game would carry all national advertising in pattern with the television broadcast. This would be the final year in a multi-year contract with Anheuser-Busch InBev that allowed the beer manufacturer to air multiple advertisements during the game at a steep discount. It was also the final year that Doritos, a longtime sponsor of the game, held its "Crash the Super Bowl" contest that allowed viewers to create their own Doritos ads for a chance to have it aired during the game. Nintendo and The Pokémon Company also made their Super Bowl debut, promoting the 20th anniversary of the Pokémon video game and media franchise.</t>
  </si>
  <si>
    <t>Small Catechism,</t>
  </si>
  <si>
    <t>Why was the 36 acres leased?</t>
  </si>
  <si>
    <t>On what theorem is the formula that frequently generates the number 2 and all other primes precisely once based on?</t>
  </si>
  <si>
    <t>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t>
  </si>
  <si>
    <t>ctDNA</t>
  </si>
  <si>
    <t>Grumman</t>
  </si>
  <si>
    <t>ideal pulleys</t>
  </si>
  <si>
    <t>Teaching Christians how they should live is what use of the law?</t>
  </si>
  <si>
    <t>What does a receiver have to be equipped with to view encrypted content?</t>
  </si>
  <si>
    <t>Packet_switching</t>
  </si>
  <si>
    <t>Colorado Desert</t>
  </si>
  <si>
    <t>What California city last hosted the Super Bowl?</t>
  </si>
  <si>
    <t>What was the name of the stadium that the teams played in?</t>
  </si>
  <si>
    <t>s = −2, −4</t>
  </si>
  <si>
    <t>Approximately how many European oil paintings does the museum have?</t>
  </si>
  <si>
    <t>behavioral and demographic data</t>
  </si>
  <si>
    <t>In some countries, formal education can take place through home schooling. Informal learning may be assisted by a teacher occupying a transient or ongoing role, such as a family member, or by anyone with knowledge or skills in the wider community setting.</t>
  </si>
  <si>
    <t>community-based</t>
  </si>
  <si>
    <t>punish</t>
  </si>
  <si>
    <t>Ögedei Khan</t>
  </si>
  <si>
    <t>In what country is a background check required?</t>
  </si>
  <si>
    <t xml:space="preserve">What does computational complexity theory most specifically seek to answer? </t>
  </si>
  <si>
    <t>How much of Jacksonville is made up of water?</t>
  </si>
  <si>
    <t>Where were Tetzel's teachings in line with Church dogma?</t>
  </si>
  <si>
    <t>In the Rankine cycle, what does water turn into when heated?</t>
  </si>
  <si>
    <t>1317</t>
  </si>
  <si>
    <t>Parliament Square, High Street and George IV Bridge</t>
  </si>
  <si>
    <t>all health care settings</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</si>
  <si>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</si>
  <si>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 xml:space="preserve">What does the Beroe eat? </t>
  </si>
  <si>
    <t>to conduct photosynthesis</t>
  </si>
  <si>
    <t>The Lower Rhine flows through North Rhine-Westphalia. Its banks are usually heavily populated and industrialized, in particular the agglomerations Cologne, Düsseldorf and Ruhr area. Here the Rhine flows through the largest conurbation in Germany, the Rhine-Ruhr region. One of the most important cities in this region is Duisburg with the largest river port in Europe (Duisport). The region downstream of Duisburg is more agricultural. In Wesel, 30 km downstream of Duisburg, is located the western end of the second east-west shipping route, the Wesel-Datteln Canal, which runs parallel to the Lippe. Between Emmerich and Cleves the Emmerich Rhine Bridge, the longest suspension bridge in Germany, crosses the 400 m wide river. Near Krefeld, the river crosses the Uerdingen line, the line which separates the areas where Low German and High German are spoken.</t>
  </si>
  <si>
    <t>Germanic tribes crossed the Rhine in the Migration period, by the 5th century establishing the kingdoms of Francia on the Lower Rhine, Burgundy on the Upper Rhine and Alemannia on the High Rhine. This "Germanic Heroic Age" is reflected in medieval legend, such as the Nibelungenlied which tells of the hero Siegfried killing a dragon on the Drachenfels (Siebengebirge) ("dragons rock"), near Bonn at the Rhine and of the Burgundians and their court at Worms, at the Rhine and Kriemhild's golden treasure, which was thrown into the Rhine by Hagen.</t>
  </si>
  <si>
    <t>standardized</t>
  </si>
  <si>
    <t>When forces are acting on an extended body, what do you need to account for motion effects?</t>
  </si>
  <si>
    <t>Wilson's</t>
  </si>
  <si>
    <t>sent small numbers of settlers to its colonies,</t>
  </si>
  <si>
    <t>When did Augustus die?</t>
  </si>
  <si>
    <t>The central highlands</t>
  </si>
  <si>
    <t>some teachers and parents</t>
  </si>
  <si>
    <t>Communication complexity is an example of what type of measure?</t>
  </si>
  <si>
    <t>Where did he live while he was looking good?</t>
  </si>
  <si>
    <t>requested by governments.</t>
  </si>
  <si>
    <t>Mediterranean</t>
  </si>
  <si>
    <t>Between about 1964 and 1973, large amounts of older material stored in the BBC's various video tape and film libraries were either destroyed,[note 3] wiped, or suffered from poor storage which led to severe deterioration from broadcast quality. This included many old episodes of Doctor Who, mostly stories featuring the first two Doctors: William Hartnell and Patrick Troughton. In all, 97 of 253 episodes produced during the first six years of the programme are not held in the BBC's archives (most notably seasons 3, 4, &amp; 5, from which 79 episodes are missing). In 1972, almost all episodes then made were known to exist at the BBC, while by 1978 the practice of wiping tapes and destroying "spare" film copies had been brought to a stop.</t>
  </si>
  <si>
    <t>Where did Temüjin hide during his escape from the Tayichi'ud?</t>
  </si>
  <si>
    <t>What did al-Gama'a al-Islamiyya use to get its way?</t>
  </si>
  <si>
    <t>eleven separate academic units</t>
  </si>
  <si>
    <t>delivery of these messages by store and forward switching</t>
  </si>
  <si>
    <t>the correct interpretation of water's composition</t>
  </si>
  <si>
    <t>The inside of a ctenophore is lined with what?</t>
  </si>
  <si>
    <t>a Scottish Parliament</t>
  </si>
  <si>
    <t>the date</t>
  </si>
  <si>
    <t>at elevated partial pressures</t>
  </si>
  <si>
    <t>What is the main difference between online pharmacies and community pharmacies?</t>
  </si>
  <si>
    <t>steeper tax</t>
  </si>
  <si>
    <t>Sky UK Limited is formerly known by what name?</t>
  </si>
  <si>
    <t>very low</t>
  </si>
  <si>
    <t>How many points did Carolina lead the NFL in scoring for offensive plays?</t>
  </si>
  <si>
    <t>Hymn for the Weekend</t>
  </si>
  <si>
    <t>one of his wife's ladies-in-waiting</t>
  </si>
  <si>
    <t>What entity sparked the growth of Fresno Station?</t>
  </si>
  <si>
    <t>How far did the sea level drop in the ice ages?</t>
  </si>
  <si>
    <t>nonphotosynthetic eukaryote engulfed a chloroplast-containing alga but failed to digest it</t>
  </si>
  <si>
    <t>Acasta gneiss of the Slave craton in northwestern Canada</t>
  </si>
  <si>
    <t>US$100,000</t>
  </si>
  <si>
    <t>December 25</t>
  </si>
  <si>
    <t>top row of windows</t>
  </si>
  <si>
    <t>What do chloroplasts do like mitochondria?</t>
  </si>
  <si>
    <t>In what way do idea strings transmit tesion forces?</t>
  </si>
  <si>
    <t>City of Edinburgh Council</t>
  </si>
  <si>
    <t>patient care skills</t>
  </si>
  <si>
    <t>set of triples</t>
  </si>
  <si>
    <t>Owen Daniels</t>
  </si>
  <si>
    <t>manufacturing</t>
  </si>
  <si>
    <t>Where is the Tyneside Bar located?</t>
  </si>
  <si>
    <t>Who is the current Premier of Victoria?</t>
  </si>
  <si>
    <t>What does a 2013 report on Nigeria suggest it's growth has done?</t>
  </si>
  <si>
    <t>overseas</t>
  </si>
  <si>
    <t>What is another type of public key cryptography algorithm?</t>
  </si>
  <si>
    <t>natural ecosystem</t>
  </si>
  <si>
    <t>Who funds the IPCC's Deputy Secretary?</t>
  </si>
  <si>
    <t>What factors negatively impacted Jacksonville following the war?</t>
  </si>
  <si>
    <t>The university experienced its share of student unrest during the 1960s, beginning in 1962, when students occupied President George Beadle's office in a protest over the university's off-campus rental policies. After continued turmoil, a university committee in 1967 issued what became known as the Kalven Report. The report, a two-page statement of the university's policy in "social and political action," declared that "To perform its mission in the society, a university must sustain an extraordinary environment of freedom of inquiry and maintain an independence from political fashions, passions, and pressures." The report has since been used to justify decisions such as the university's refusal to divest from South Africa in the 1980s and Darfur in the late 2000s.</t>
  </si>
  <si>
    <t>On 23 June 2005, Rep. Joe Barton, chairman of the House Committee on Energy and Commerce wrote joint letters with Ed Whitfield, Chairman of the Subcommittee on Oversight and Investigations demanding full records on climate research, as well as personal information about their finances and careers, from Mann, Bradley and Hughes. Sherwood Boehlert, chairman of the House Science Committee, said this was a "misguided and illegitimate investigation" apparently aimed at intimidating scientists, and at his request the U.S. National Academy of Sciences arranged for its National Research Council to set up a special investigation. The National Research Council's report agreed that there were some statistical failings, but these had little effect on the graph, which was generally correct. In a 2006 letter to Nature, Mann, Bradley, and Hughes pointed out that their original article had said that "more widespread high-resolution data are needed before more confident conclusions can be reached" and that the uncertainties were "the point of the article".</t>
  </si>
  <si>
    <t>he could feel a sharp stinging pain</t>
  </si>
  <si>
    <t>What shape is Oedogonium's chloroplasts?</t>
  </si>
  <si>
    <t>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Rhône, including the Aar. Since that time, the Rhine has added the watershed above Lake Constance (Vorderrhein, Hinterrhein, Alpenrhein; captured from the Rhône), the upper reaches of the Main, beyond Schweinfurt and the Vosges Mountains, captured from the Meuse, to its watershed.</t>
  </si>
  <si>
    <t>role of nineteenth-century maps</t>
  </si>
  <si>
    <t>only the single number 1</t>
  </si>
  <si>
    <t>−2, −4, ...,</t>
  </si>
  <si>
    <t>What was Tesla on his way to do when he was struck by the cab?</t>
  </si>
  <si>
    <t>small-scale manufacturing</t>
  </si>
  <si>
    <t>Though unkown, what are the most commonly ascribed attributes of L in relation to P</t>
  </si>
  <si>
    <t>upper Tana River, as well as the Turkwel Gorge</t>
  </si>
  <si>
    <t>Connectional Table</t>
  </si>
  <si>
    <t>New Orleans' Mercedes-Benz Superdome</t>
  </si>
  <si>
    <t>During the 20th century, historians John Gallagher (1919–1980) and Ronald Robinson (1920–1999)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</si>
  <si>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Who actually won the prize?</t>
  </si>
  <si>
    <t>Shiphrah and Puah refused a direct order of Pharaoh but misrepresented how they did it</t>
  </si>
  <si>
    <t>What acquired condition results in immunodeficiency in humans?</t>
  </si>
  <si>
    <t>villes de sûreté</t>
  </si>
  <si>
    <t>Observations on the Geology of the United States</t>
  </si>
  <si>
    <t>about 3 miles</t>
  </si>
  <si>
    <t>What are we unsure of about how chloroplasts make methionine precursors?</t>
  </si>
  <si>
    <t>Which country refused to content to changes in the Treaty of Lisbon 2007?</t>
  </si>
  <si>
    <t>the races of highest 'social efficiency'"</t>
  </si>
  <si>
    <t>sea</t>
  </si>
  <si>
    <t>If two thirds of the Rhine flows through Waal, where does the other third flow through?</t>
  </si>
  <si>
    <t>The Trial of a Time Lord</t>
  </si>
  <si>
    <t>When using a probabilistic algorithm, how is the probability that the number is composite expressed mathematically?</t>
  </si>
  <si>
    <t>The Book of Roger</t>
  </si>
  <si>
    <t>Robert A. Millikan</t>
  </si>
  <si>
    <t>Dai Ön Ulus</t>
  </si>
  <si>
    <t>What is the land area of Jacksonville?</t>
  </si>
  <si>
    <t>What's the name of the green space north of the center of Newcastle?</t>
  </si>
  <si>
    <t>What is the highest reference hospital in all of Poland?</t>
  </si>
  <si>
    <t>What ctenophore was accidentally introduced into The Black Sea?</t>
  </si>
  <si>
    <t>What type of shadow does the North Pennines cast?</t>
  </si>
  <si>
    <t>coastal beaches and the game reserves,</t>
  </si>
  <si>
    <t>Magdalen Tower</t>
  </si>
  <si>
    <t>electronic</t>
  </si>
  <si>
    <t>Fringe</t>
  </si>
  <si>
    <t>seven months old</t>
  </si>
  <si>
    <t>What happened to the rate of flow in the Rhine during the Rhine straightening program?</t>
  </si>
  <si>
    <t>Battle of Hastings</t>
  </si>
  <si>
    <t>Polish United Workers' Party</t>
  </si>
  <si>
    <t>Alexius Komnenos</t>
  </si>
  <si>
    <t>Sky_(United_Kingdom)</t>
  </si>
  <si>
    <t>Economic_inequality</t>
  </si>
  <si>
    <t>Besides the analytic property of numbers, what other property of numbers does number theory focus on?</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</si>
  <si>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</si>
  <si>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Shi Tianze, Liu Heima</t>
  </si>
  <si>
    <t>What decade marked ABC's transition to color programming?</t>
  </si>
  <si>
    <t>What company released the CD versions of the Doctor Who stories?</t>
  </si>
  <si>
    <t>cartels</t>
  </si>
  <si>
    <t>22n + 1</t>
  </si>
  <si>
    <t>conflicting territorial claims between British and French colonies in North America</t>
  </si>
  <si>
    <t>beroids</t>
  </si>
  <si>
    <t>What did the Amazon rainforest do during the Middle Miocene?</t>
  </si>
  <si>
    <t>Baillie-PSW,</t>
  </si>
  <si>
    <t>basic necessities</t>
  </si>
  <si>
    <t>instruction</t>
  </si>
  <si>
    <t>quarterback</t>
  </si>
  <si>
    <t>Starch</t>
  </si>
  <si>
    <t>Han Chinese, Khitans, Jurchens, Mongols, and Tibetan Buddhists</t>
  </si>
  <si>
    <t xml:space="preserve">In what language was most of the statement written? </t>
  </si>
  <si>
    <t>1672</t>
  </si>
  <si>
    <t>payload capacity</t>
  </si>
  <si>
    <t>San Jose Marriott</t>
  </si>
  <si>
    <t>Which monarchs was the Victoria and Albert Museum named after?</t>
  </si>
  <si>
    <t>British merchants or fur-traders, Céloron informed them of the French claims on the territory and told them to leave.</t>
  </si>
  <si>
    <t>What did Luther think was required to stop the violence?</t>
  </si>
  <si>
    <t>middle-distance and long-distance athletics</t>
  </si>
  <si>
    <t>artifact of the potential field</t>
  </si>
  <si>
    <t>level fell significantly</t>
  </si>
  <si>
    <t>in recent decades</t>
  </si>
  <si>
    <t>Standard Industrial Classification</t>
  </si>
  <si>
    <t>Another green space in Newcastle is the Town Moor, lying immediately north of the city centre. It is larger than London's famous Hyde Park and Hampstead Heath put together and the freemen of the city have the right to graze cattle on it. The right incidentally extends to the pitch of St. James' Park, Newcastle United Football Club's ground, though this is not exercised, although the Freemen do collect rent for the loss of privilege. Honorary freemen include Bob Geldof, King Harald V of Norway, Bobby Robson, Alan Shearer, the late Nelson Mandela and the Royal Shakespeare Company. The Hoppings funfair, said to be the largest travelling funfair in Europe, is held here annually in June.</t>
  </si>
  <si>
    <t>September 2001</t>
  </si>
  <si>
    <t>Who was appointed to be ABC's president by Noble in 1950?</t>
  </si>
  <si>
    <t>letters were used instead of numbers</t>
  </si>
  <si>
    <t>"right", "just", or "true"</t>
  </si>
  <si>
    <t>Which area of China did Japan conquer in 1931?</t>
  </si>
  <si>
    <t>What century was Newcastle's port developed in?</t>
  </si>
  <si>
    <t>eliminate all multiples of 1</t>
  </si>
  <si>
    <t>In what kind of fluid are pressure differences caused by direction of forces over gradients?</t>
  </si>
  <si>
    <t>soluble components (molecules)</t>
  </si>
  <si>
    <t>What is a chemical secreted by tumors that suppresses the immune response?</t>
  </si>
  <si>
    <t>What could someone be investigated for?</t>
  </si>
  <si>
    <t xml:space="preserve">What did Tesla work as after dropping out? </t>
  </si>
  <si>
    <t>Super Bowl XLV</t>
  </si>
  <si>
    <t>While acknowledging the central role economic growth can potentially play in human development, poverty reduction and the achievement of the Millennium Development Goals, it is becoming widely understood amongst the development community that special efforts must be made to ensure poorer sections of society are able to participate in economic growth. The effect of economic growth on poverty reduction – the growth elasticity of poverty – can depend on the existing level of inequality. For instance, with low inequality a country with a growth rate of 2% per head and 40% of its population living in poverty, can halve poverty in ten years, but a country with high inequality would take nearly 60 years to achieve the same reduction. In the words of the Secretary General of the United Nations Ban Ki-Moon: "While economic growth is necessary, it is not sufficient for progress on reducing poverty."</t>
  </si>
  <si>
    <t>Anabaptists, Zwinglianism, and the papacy</t>
  </si>
  <si>
    <t>What was the name of the storm that hit Jacksonville in May of 2012?</t>
  </si>
  <si>
    <t>What are numbers greater than 1 that can be divided by 3 or more numbers called?</t>
  </si>
  <si>
    <t>Thomas Piketty</t>
  </si>
  <si>
    <t>Climate fluctuations during the last 34 million years have allowed savanna regions to expand into the tropics.</t>
  </si>
  <si>
    <t>national anthem</t>
  </si>
  <si>
    <t>Cologne</t>
  </si>
  <si>
    <t>use of a decentralized network with multiple paths between any two points, dividing user messages into message blocks, later called packets</t>
  </si>
  <si>
    <t>In what year did Tesla receive a Nobel Prize bid?</t>
  </si>
  <si>
    <t>avoid prohibitively costly dowry demands</t>
  </si>
  <si>
    <t>What sort of waves did he claim to observe?</t>
  </si>
  <si>
    <t>Temüjin was probably born in 1162 in Delüün Boldog, near Burkhan Khaldun mountain and the Onon and Kherlen rivers in modern-day northern Mongolia, not far from the current capital Ulaanbaatar. The Secret History of the Mongols reports that Temüjin was born with a blood clot grasped in his fist, a traditional sign that he was destined to become a great leader. He was the second-oldest son of his father Yesügei, a Khamag Mongol's major chief of the Kiyad and an ally of Toghrul Khan of the Keraite tribe, and the oldest son of his mother Hoelun. According to the Secret History, Temüjin was named after a Tatar chieftain, Temüjin-üge, whom his father had just captured.</t>
  </si>
  <si>
    <t>Despite being traditionall described as "eight counties", how many counties does this region actually have?</t>
  </si>
  <si>
    <t>females</t>
  </si>
  <si>
    <t>Who designed the golf course located at the Sunnyside Country Club?</t>
  </si>
  <si>
    <t>How much of Afghanistan did the Taliban take over?</t>
  </si>
  <si>
    <t>mouth of the Monongahela River (the site of present-day Pittsburgh, Pennsylvania)</t>
  </si>
  <si>
    <t>key bed</t>
  </si>
  <si>
    <t>boat</t>
  </si>
  <si>
    <t>Lessing</t>
  </si>
  <si>
    <t>150,000</t>
  </si>
  <si>
    <t>At what point in the day was the couple married?</t>
  </si>
  <si>
    <t>at four</t>
  </si>
  <si>
    <t>complexity</t>
  </si>
  <si>
    <t>the network and the connected users</t>
  </si>
  <si>
    <t>What did Hamas win in the January 2006 legislative election?</t>
  </si>
  <si>
    <t>Which entities have had to develop principles dedicated to conflict resolution between laws of different systems?</t>
  </si>
  <si>
    <t>pharmacists practicing in hospitals</t>
  </si>
  <si>
    <t>the public.</t>
  </si>
  <si>
    <t>San Mateo</t>
  </si>
  <si>
    <t>Colonel (later Major General) Henry Young Darracott Scott,</t>
  </si>
  <si>
    <t>best, worst and average</t>
  </si>
  <si>
    <t>What are EU Regulations essentially the same as in the case mentioned?</t>
  </si>
  <si>
    <t>Due to pressure from film studios wanting to increase their production, as the major networks began airing theatrically released films, ABC joined CBS and NBC in broadcasting films on Sunday nights in 1962, with the launch of the ABC Sunday Night Movie, which debuted a year behind its competitors and was initially presented in black-and-white. Despite a significant increase in viewership (with its audience share having increased to 33% from the 15% share it had in 1953), ABC remained in third place; the company had a total revenue of $15.5 million, a third of the revenue pulled in by CBS at the same period. To catch up, ABC followed up The Flintstones with another animated series from Hanna-Barbera, The Jetsons, which debuted on September 23, 1962 as the first television series to be broadcast in color on the network. On April 1, 1963, ABC debuted the soap opera General Hospital, which would go on to become the television network's long-running entertainment program. That year also saw the premiere of The Fugitive (on September 17), a drama series centering on a man on the run after being accused of committing a murder he did not commit.</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</si>
  <si>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尚書省),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</si>
  <si>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Giovanni Branca</t>
  </si>
  <si>
    <t>Type I hypersensitivity</t>
  </si>
  <si>
    <t>force and violence and refusal to submit to arrest</t>
  </si>
  <si>
    <t>What are the two integer responses to a decision problem?</t>
  </si>
  <si>
    <t>From December 1539, Luther became implicated in the bigamy of Philip I, Landgrave of Hesse, who wanted to marry one of his wife's ladies-in-waiting. Philip solicited the approval of Luther, Melanchthon, and Bucer, citing as a precedent the polygamy of the patriarchs. The theologians were not prepared to make a general ruling, and they reluctantly advised the landgrave that if he was determined, he should marry secretly and keep quiet about the matter. As a result, on 4 March 1540, Philip married a second wife, Margarethe von der Saale, with Melanchthon and Bucer among the witnesses. However, Philip was unable to keep the marriage secret, and he threatened to make Luther's advice public. Luther told him to "tell a good, strong lie" and deny the marriage completely, which Philip did during the subsequent public controversy. In the view of Luther's biographer Martin Brecht, "giving confessional advice for Philip of Hesse was one of the worst mistakes Luther made, and, next to the landgrave himself, who was directly responsible for it, history chiefly holds Luther accountable". Brecht argues that Luther's mistake was not that he gave private pastoral advice, but that he miscalculated the political implications. The affair caused lasting damage to Luther's reputation.</t>
  </si>
  <si>
    <t>achieving crime control via incapacitation and deterrence</t>
  </si>
  <si>
    <t>worked as weavers</t>
  </si>
  <si>
    <t>Richard Allen and Absalom Jones</t>
  </si>
  <si>
    <t>After the Capital Cities - ABC merger, Frederick Pierce was named to what position?</t>
  </si>
  <si>
    <t>What was the most important governmental change to land tenure?</t>
  </si>
  <si>
    <t>Time and Relative Dimension in Space</t>
  </si>
  <si>
    <t>earn Chartered Teacher Status</t>
  </si>
  <si>
    <t>Imperialism and colonialism both assert a states dominance over what?</t>
  </si>
  <si>
    <t>What is the mayor of Warsaw called?</t>
  </si>
  <si>
    <t>What did Martin Luther believe achieved God's Grace?</t>
  </si>
  <si>
    <t>Luther and his wife moved into a former monastery, "The Black Cloister," a wedding present from the new elector John the Steadfast (1525–32). They embarked on what appeared to have been a happy and successful marriage, though money was often short. Between bearing six children, Hans – June 1526; Elizabeth – 10 December 1527, who died within a few months; Magdalene – 1529, who died in Luther's arms in 1542; Martin – 1531; Paul – January 1533; and Margaret – 1534; Katharina helped the couple earn a living by farming the land and taking in boarders. Luther confided to Michael Stiefel on 11 August 1526: "My Katie is in all things so obliging and pleasing to me that I would not exchange my poverty for the riches of Croesus."</t>
  </si>
  <si>
    <t>nomads</t>
  </si>
  <si>
    <t>Which three doctors were in The Sirens of Time?</t>
  </si>
  <si>
    <t>lack of understanding of the legal ramifications, or due to a fear of seeming rude.</t>
  </si>
  <si>
    <t>What is generated between a surface and an object that is being pushed?</t>
  </si>
  <si>
    <t>Who thought the world could be split into climatic zones?</t>
  </si>
  <si>
    <t>the greatest antisemite of his time,</t>
  </si>
  <si>
    <t>harvests of their Chinese tenants</t>
  </si>
  <si>
    <t>What kind of climate does southern California maintain?</t>
  </si>
  <si>
    <t>extends a vitamin D receptor</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</si>
  <si>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</si>
  <si>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is the process of vaccination also known as?</t>
  </si>
  <si>
    <t>city council</t>
  </si>
  <si>
    <t>effective</t>
  </si>
  <si>
    <t>Cévennes</t>
  </si>
  <si>
    <t>prayer of the dying</t>
  </si>
  <si>
    <t>(Exodus 1: 15-19)</t>
  </si>
  <si>
    <t>When did he talk about his thoughts on gender?</t>
  </si>
  <si>
    <t>d'Hondt</t>
  </si>
  <si>
    <t>The Social Charter was subsequently adopted in 1989 by 11 of the then 12 member states. The UK refused to sign the Social Charter and was exempt from the legislation covering Social Charter issues unless it agreed to be bound by the legislation. The UK subsequently was the only member state to veto the Social Charter being included as the "Social Chapter" of the 1992 Maastricht Treaty - instead, an Agreement on Social Policy was added as a protocol. Again, the UK was exempt from legislation arising from the protocol, unless it agreed to be bound by it. The protocol was to become known as "Social Chapter", despite not actually being a chapter of the Maastricht Treaty. To achieve aims of the Agreement on Social Policy the European Union was to "support and complement" the policies of member states. The aims of the Agreement on Social Policy are:</t>
  </si>
  <si>
    <t>Amazon basin</t>
  </si>
  <si>
    <t>Miller–Rabin primality test</t>
  </si>
  <si>
    <t>Fritschel</t>
  </si>
  <si>
    <t>What Denver player had 109 tackels for the 2015 season?</t>
  </si>
  <si>
    <t>Why did he walk?</t>
  </si>
  <si>
    <t>What does refusing to preach the Ten Commandments not do?</t>
  </si>
  <si>
    <t>What is the dispensary subject to in a majority of countries?</t>
  </si>
  <si>
    <t>Downtown Burbank is an example of what kind of district?</t>
  </si>
  <si>
    <t>Scots, Gaelic, or any other language with the agreement of the Presiding Officer</t>
  </si>
  <si>
    <t>Z</t>
  </si>
  <si>
    <t>that allowed local area networks to be established ad hoc without the requirement for a centralized router or server</t>
  </si>
  <si>
    <t>In addition to the negative consequences of sleep deprivation, sleep and the intertwined circadian system have been shown to have strong regulatory effects on immunological functions affecting both the innate and the adaptive immunity. First, during the early slow-wave-sleep stage, a sudden drop in blood levels of cortisol, epinephrine, and norepinephrine induce increased blood levels of the hormones leptin, pituitary growth hormone, and prolactin. These signals induce a pro-inflammatory state through the production of the pro-inflammatory cytokines interleukin-1, interleukin-12, TNF-alpha and IFN-gamma. These cytokines then stimulate immune functions such as immune cells activation, proliferation, and differentiation. It is during this time that undifferentiated, or less differentiated, like naïve and central memory T cells, peak (i.e. during a time of a slowly evolving adaptive immune response). In addition to these effects, the milieu of hormones produced at this time (leptin, pituitary growth hormone, and prolactin) support the interactions between APCs and T-cells, a shift of the Th1/Th2 cytokine balance towards one that supports Th1, an increase in overall Th cell proliferation, and naïve T cell migration to lymph nodes. This milieu is also thought to support the formation of long-lasting immune memory through the initiation of Th1 immune responses.</t>
  </si>
  <si>
    <t>Which logo was used for the third Doctor Who's last season?</t>
  </si>
  <si>
    <t>aerospace</t>
  </si>
  <si>
    <t>When did the Germanic tribes claim territory in north and west Europe?</t>
  </si>
  <si>
    <t>red-algal derived chloroplast</t>
  </si>
  <si>
    <t>English, mathematics and natural science</t>
  </si>
  <si>
    <t>How many soldiers were in each Tumen?</t>
  </si>
  <si>
    <t>Lake Constance</t>
  </si>
  <si>
    <t>Who was the duke in the battle of Hastings?</t>
  </si>
  <si>
    <t>In what unit is the size of the input measured?</t>
  </si>
  <si>
    <t>Holland, Prussia, and South Africa</t>
  </si>
  <si>
    <t>Kenya Certificate of Secondary Education</t>
  </si>
  <si>
    <t>over 100%</t>
  </si>
  <si>
    <t>15 June 1899</t>
  </si>
  <si>
    <t>What type of text is the Quran?</t>
  </si>
  <si>
    <t>political unity of China and much of central Asia</t>
  </si>
  <si>
    <t>What is the gauge of the Victorian rail lines?</t>
  </si>
  <si>
    <t>When did representatives start working on the finer details of the deal?</t>
  </si>
  <si>
    <t>Budapest</t>
  </si>
  <si>
    <t>cocoa butter</t>
  </si>
  <si>
    <t>Approximately 1,000</t>
  </si>
  <si>
    <t>How many original treaties establishing the EU protected fundamental rights?</t>
  </si>
  <si>
    <t>540,800</t>
  </si>
  <si>
    <t>optimal health outcomes</t>
  </si>
  <si>
    <t>In what month and year was the revised Manual of Regulations for Private Schools released?</t>
  </si>
  <si>
    <t xml:space="preserve">What does each packet includ in connectionless mode </t>
  </si>
  <si>
    <t>What forest is by Warsaw's southern border?</t>
  </si>
  <si>
    <t>Ranging from about 1 millimeter (0.039 in) to 1.5 meters (4.9 ft) in size, ctenophores are the largest non-colonial animals that use cilia ("hairs") as their main method of locomotion. Most species have eight strips, called comb rows, that run the length of their bodies and bear comb-like bands of cilia, called "ctenes," stacked along the comb rows so that when the cilia beat, those of each comb touch the comb below. The name "ctenophora" means "comb-bearing", from the Greek κτείς (stem-form κτεν-) meaning "comb" and the Greek suffix -φορος meaning "carrying".</t>
  </si>
  <si>
    <t>EAT! NewcastleGateshead</t>
  </si>
  <si>
    <t>What form of oxygen do marine animals acquire in greater amounts during cooler climatic conditions?</t>
  </si>
  <si>
    <t>What uprising began in 1351?</t>
  </si>
  <si>
    <t>MSP</t>
  </si>
  <si>
    <t>post-secondary degree Bachelor's Degree</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</si>
  <si>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</si>
  <si>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What is the Super Bowl program called that gives local companies business opportunities for the Super Bowl?</t>
  </si>
  <si>
    <t>32,583</t>
  </si>
  <si>
    <t>When did the Court of Justice rule that the Commission could only propose that there must be some criminal sanctions?</t>
  </si>
  <si>
    <t>Colonel Monckton, in the sole British success that year, captured Fort Beauséjour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Île Saint-Jean), the only clashes of any size were at Petitcodiac in 1755 and at Bloody Creek near Annapolis Royal in 1757.</t>
  </si>
  <si>
    <t>the study of positions of rock units and their deformation</t>
  </si>
  <si>
    <t>What nominal title did Yuan emperors have?</t>
  </si>
  <si>
    <t>What kind of measurements define accelerlations?</t>
  </si>
  <si>
    <t>Early Gothic</t>
  </si>
  <si>
    <t>up to three-fourths of the population</t>
  </si>
  <si>
    <t>over 1,000</t>
  </si>
  <si>
    <t>Pearl Mackie as Bill</t>
  </si>
  <si>
    <t>September 8, 2007</t>
  </si>
  <si>
    <t>In September 1971</t>
  </si>
  <si>
    <t>alternative T cell receptor (TCR)</t>
  </si>
  <si>
    <t>two points</t>
  </si>
  <si>
    <t>Avogadro's law</t>
  </si>
  <si>
    <t>What is the population of the second largest city in California?</t>
  </si>
  <si>
    <t>Theatre Museum</t>
  </si>
  <si>
    <t>Luther wrote "Ach Gott, vom Himmel sieh darein" ("Oh God, look down from heaven"). "Nun komm, der Heiden Heiland" (Now come, Savior of the gentiles), based on Veni redemptor gentium, became the main hymn (Hauptlied) for Advent. He transformed A solus ortus cardine to "Christum wir sollen loben schon" ("We should now praise Christ") and Veni Creator Spiritus to "Komm, Gott Schöpfer, Heiliger Geist" ("Come, Holy Spirit, Lord God"). He wrote two hymns on the Ten Commandments, "Dies sind die heilgen Zehn Gebot" and "Mensch, willst du leben seliglich". His "Gelobet seist du, Jesu Christ" ("Praise be to You, Jesus Christ") became the main hymn for Christmas. He wrote for Pentecost "Nun bitten wir den Heiligen Geist", and adopted for Easter "Christ ist erstanden" (Christ is risen), based on Victimae paschali laudes. "Mit Fried und Freud ich fahr dahin", a paraphrase of Nunc dimittis, was intended for Purification, but became also a funeral hymn. He paraphrased the Te Deum as "Herr Gott, dich loben wir" with a simplified form of the melody. It became known as the German Te Deum.</t>
  </si>
  <si>
    <t>Radio Corporation of America (RCA)</t>
  </si>
  <si>
    <t>Migration period</t>
  </si>
  <si>
    <t>What might the fees to attend an Irish boarding school rise to?</t>
  </si>
  <si>
    <t>Golden Super Bowl</t>
  </si>
  <si>
    <t>Richard I</t>
  </si>
  <si>
    <t>What made Luther even more short tempered than usual?</t>
  </si>
  <si>
    <t>What does the transport and storage demand for safety in dealing with oxygen?</t>
  </si>
  <si>
    <t>Before the formation of which planet, did Sol lose oxygen 16?</t>
  </si>
  <si>
    <t>After detecting stress in a cell</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</si>
  <si>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Máel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</si>
  <si>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Colin Baker and Sylvester McCoy</t>
  </si>
  <si>
    <t>Polynomial time reductions are an example of what?</t>
  </si>
  <si>
    <t>What body in India provides policy directions to schools?</t>
  </si>
  <si>
    <t>What ethnic neighborhood in Fresno had primarily Japanese residents in 1940?</t>
  </si>
  <si>
    <t>a delay costs money</t>
  </si>
  <si>
    <t>Where is the Hyde Park Day School located?</t>
  </si>
  <si>
    <t>Dock Street</t>
  </si>
  <si>
    <t>What type of homes is Fresno known for?</t>
  </si>
  <si>
    <t>colonies of British America and New France</t>
  </si>
  <si>
    <t>When did Setanta Sports say it would launch as a subscription service?</t>
  </si>
  <si>
    <t>John Mayow</t>
  </si>
  <si>
    <t>What gender are most species of Ctenophores?</t>
  </si>
  <si>
    <t>When was San Francisco voted to be the location for Super Bowl 50?</t>
  </si>
  <si>
    <t>Why did the demand for rentals decrease?</t>
  </si>
  <si>
    <t>stronger</t>
  </si>
  <si>
    <t>avoid trivialization</t>
  </si>
  <si>
    <t>two poles</t>
  </si>
  <si>
    <t>benefits of good works could be obtained by donating money to the church</t>
  </si>
  <si>
    <t>A few galleries were redesigned in the 1990s including the Indian, Japanese, Chinese, iron work, the main glass galleries and the main silverware gallery which was further enhanced in 2002 when some of the Victorian decoration was recreated. This included two of the ten columns having their ceramic decoration replaced and the elaborate painted designs restored on the ceiling. As part of the 2006 renovation the mosaic floors in the sculpture gallery were restored—most of the Victorian floors were covered in linoleum after the Second World War. After the success of the British Galleries, opened in 2001, it was decided to embark on a major redesign of all the galleries in the museum; this is known as "FuturePlan", and was created in consultation with the exhibition designers and masterplanners Metaphor. The plan is expected to take about ten years and was started in 2002. To date several galleries have been redesigned, notably, in 2002: the main Silver Gallery, Contemporary; in 2003: Photography, the main entrance, The Painting Galleries; in 2004: the tunnel to the subway leading to South Kensington tube station, New signage throughout the museum, architecture, V&amp;A and RIBA reading rooms and stores, metalware, Members' Room, contemporary glass, the Gilbert Bayes sculpture gallery; in 2005: portrait miniatures, prints and drawings, displays in Room 117, the garden, sacred silver and stained glass; in 2006: Central Hall Shop, Islamic Middle East, the new café, sculpture galleries. Several designers and architects have been involved in this work. Eva Jiřičná designed the enhancements to the main entrance and rotunda, the new shop, the tunnel and the sculpture galleries. Gareth Hoskins was responsible for contemporary and architecture, Softroom, Islamic Middle East and the Members' Room, McInnes Usher McKnight Architects (MUMA) were responsible for the new Cafe and designed the new Medieval and Renaissance galleries which opened in 2009.</t>
  </si>
  <si>
    <t>a type of "blood poisoning"</t>
  </si>
  <si>
    <t>Chris Keates</t>
  </si>
  <si>
    <t xml:space="preserve">Purpose of Telnet </t>
  </si>
  <si>
    <t>private conferences</t>
  </si>
  <si>
    <t>neither zero nor a unit</t>
  </si>
  <si>
    <t>green chloroplast</t>
  </si>
  <si>
    <t>What comedy block debuted in 1989 for ABC?</t>
  </si>
  <si>
    <t>What does the word prime generally suggest?</t>
  </si>
  <si>
    <t>seafloor spreading</t>
  </si>
  <si>
    <t>Hassan al-Turabi</t>
  </si>
  <si>
    <t>Which Senator was a strong advocate for the Pico Act?</t>
  </si>
  <si>
    <t>How long was Warsaw the capital of the Polish-Lithuanian Commonwealth?</t>
  </si>
  <si>
    <t>broken arm</t>
  </si>
  <si>
    <t>How many Victorians are Buddhist?</t>
  </si>
  <si>
    <t>Who is responsible for operating the electronic voting equipment and chamber clocks?</t>
  </si>
  <si>
    <t>electromagnetic</t>
  </si>
  <si>
    <t>help preserve society's tolerance of civil disobedience</t>
  </si>
  <si>
    <t>American Football Conference</t>
  </si>
  <si>
    <t>Derek Wolfe and Malik Jackson</t>
  </si>
  <si>
    <t>Where is Polonia's home venue located?</t>
  </si>
  <si>
    <t>Based on his industry experience on Air Force missile projects, Mueller realized some skilled managers could be found among high-ranking officers in the United States Air Force, so he got Webb's permission to recruit General Samuel C. Phillips, who gained a reputation for his effective management of the Minuteman program, as OMSF program controller. Phillips' superior officer Bernard A. Schriever agreed to loan Phillips to NASA, along with a staff of officers under him, on the condition that Phillips be made Apollo Program Director. Mueller agreed, and Phillips managed Apollo from January 1964, until it achieved the first manned landing in July 1969, after which he returned to Air Force duty.</t>
  </si>
  <si>
    <t>slash and burn</t>
  </si>
  <si>
    <t>What did the Court of Justice reason were controlled in all member states in Josemans v Burgemeester van Maastricht?</t>
  </si>
  <si>
    <t>governors of British East Africa (as the Protectorate was generally known) and German East Africa</t>
  </si>
  <si>
    <t xml:space="preserve">What department in the U.S. spearheaded the efforts against Islamism? </t>
  </si>
  <si>
    <t>What name was given to the western half of the colony?</t>
  </si>
  <si>
    <t>El Temür</t>
  </si>
  <si>
    <t>What is the name of Newcastle's first full-time community radio station?</t>
  </si>
  <si>
    <t>The climate is cooler</t>
  </si>
  <si>
    <t>What team was the NFC champion?</t>
  </si>
  <si>
    <t>What was the number of times the Denver Broncos played in a Super Bowl by the time they reached Super Bowl 50?</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</si>
  <si>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</si>
  <si>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with Polymerase Chain Reaction (PCR)</t>
  </si>
  <si>
    <t>hold the majority of seats</t>
  </si>
  <si>
    <t>cling to and creep on surfaces</t>
  </si>
  <si>
    <t>her or his capacity as public official</t>
  </si>
  <si>
    <t>Brock Osweiler</t>
  </si>
  <si>
    <t>arbitrary integers</t>
  </si>
  <si>
    <t>Super Bowl 50 determined the NFL champion for what season?</t>
  </si>
  <si>
    <t>Hamburg merchants and traders</t>
  </si>
  <si>
    <t>Melbourne</t>
  </si>
  <si>
    <t>risen</t>
  </si>
  <si>
    <t>could be profitable</t>
  </si>
  <si>
    <t>21,000</t>
  </si>
  <si>
    <t>Edinburgh Pentlands</t>
  </si>
  <si>
    <t>DC traction motor</t>
  </si>
  <si>
    <t>use in the ARPANET</t>
  </si>
  <si>
    <t>regain authority over his own people. They had been inclined to support the French, with whom they had long trading relationships</t>
  </si>
  <si>
    <t>What archdiocese is Warsaw the seat of?</t>
  </si>
  <si>
    <t>5,500,000</t>
  </si>
  <si>
    <t>How did the drive end for the Panthers?</t>
  </si>
  <si>
    <t>What organization offers monetary awards for identifying primes with at least 100 million digits?</t>
  </si>
  <si>
    <t>667,000 firms</t>
  </si>
  <si>
    <t>492.1 km</t>
  </si>
  <si>
    <t>What do some people protest against?</t>
  </si>
  <si>
    <t>How many of the six total packages available to broadcasters was Setanta awarded?</t>
  </si>
  <si>
    <t>When was there a reduction in the number of Scottish MPs?</t>
  </si>
  <si>
    <t>circuit switching is characterized by a fee per unit of connection time</t>
  </si>
  <si>
    <t>the two cyanobacterial membranes, sometimes the eaten alga's cell membrane, and the phagosomal vacuole from the host's cell membrane</t>
  </si>
  <si>
    <t>in the chloroplasts of C4 plants</t>
  </si>
  <si>
    <t>lost in the 5th Avenue laboratory fire of March 1895</t>
  </si>
  <si>
    <t>lengthening rubbing surfaces</t>
  </si>
  <si>
    <t>What sea were Ctenophores accidently introduced?</t>
  </si>
  <si>
    <t>What is the name of the mystical type of Islam?</t>
  </si>
  <si>
    <t>What festival takes place in April in Newcastle?</t>
  </si>
  <si>
    <t>24 March 1879</t>
  </si>
  <si>
    <t>Who owns the rail lines in Victoria?</t>
  </si>
  <si>
    <t>the sum of divisors function</t>
  </si>
  <si>
    <t>the Huguenots had their own militia</t>
  </si>
  <si>
    <t>What immune system is activated by the innate response?</t>
  </si>
  <si>
    <t>American Association of University Women</t>
  </si>
  <si>
    <t>John Pell, Lord of Pelham Manor</t>
  </si>
  <si>
    <t>Which articles state that the member states' rights to deliver public services may not be obstructed?</t>
  </si>
  <si>
    <t>How many tackles did Von Miller get during the game?</t>
  </si>
  <si>
    <t>What is the lowest ranking one of the counties could have in terms of most populous counties in the United States?</t>
  </si>
  <si>
    <t>ARPANET</t>
  </si>
  <si>
    <t>How many tonnes of tomatoes does Victoria produce?</t>
  </si>
  <si>
    <t>the superior and the norm</t>
  </si>
  <si>
    <t>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"antiforms", or where it buckles downwards, creating "synforms".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t>
  </si>
  <si>
    <t>In the final years of the apartheid era, parents at white government schools were given the option to convert to a "semi-private" form called Model C, and many of these schools changed their admissions policies to accept children of other races. Following the transition to democracy, the legal form of "Model C" was abolished, however, the term continues to be used to describe government schools formerly reserved for white children.. These schools tend to produce better academic results than government schools formerly reserved for other race groups . Former "Model C" schools are not private schools, as they are state-controlled. All schools in South Africa (including both independent schools and public schools) have the right to set compulsory school fees, and formerly model C schools tend to set much higher school fees than other public schools.</t>
  </si>
  <si>
    <t>Nieuwe Maas</t>
  </si>
  <si>
    <t>What does motion at a constant velocity equal?</t>
  </si>
  <si>
    <t>In 1987, a United Methodist church court in New Hampshire defrocked Methodist minister Rose Mary Denman for openly living with a same-sex partner. In 2005, clergy credentials were removed from Irene Elizabeth Stroud after she was convicted in a church trial of violating church law by engaging in a lesbian relationship; this conviction was later upheld by the Judicial Council, the highest court in the denomination. The Judicial Council also affirmed that a Virginia pastor had the right to deny local church membership to a man in an openly gay relationship. This affirmation, however, was based upon a senior pastor's right to judge the readiness of a congregant to join as a full member of the church. However, at the same time, the UMC Judicial Council, in 2008, ruled that conferences can determine their own policy related to transgender pastors, and therefore some regional conferences have voted to recognize ordained transgender pastors. The Baltimore-Washington Conference of the UMC has approved the appointment of an openly partnered lesbian to the provisional diaconate.</t>
  </si>
  <si>
    <t>incorrectly</t>
  </si>
  <si>
    <t>tribes that did not want to do business with the British</t>
  </si>
  <si>
    <t>When were the Wars of Religion fought?</t>
  </si>
  <si>
    <t>36</t>
  </si>
  <si>
    <t>What does Rosenfield feel plays the most significant role in expanding the income gap?</t>
  </si>
  <si>
    <t>Céloron threatened "Old Briton"</t>
  </si>
  <si>
    <t>Mohandas Gandhi</t>
  </si>
  <si>
    <t>What law connects relative velocities with inertia?</t>
  </si>
  <si>
    <t>Internet Protocol (IP)</t>
  </si>
  <si>
    <t>muggers, arsonists, draft evaders, campaign hecklers, campus militants, anti-war demonstrators, juvenile delinquents and political assassins</t>
  </si>
  <si>
    <t>Steven Moffat</t>
  </si>
  <si>
    <t>the Hostmen</t>
  </si>
  <si>
    <t>What is it called when the tax rate and base amount increase simultaneously?</t>
  </si>
  <si>
    <t>Mankind</t>
  </si>
  <si>
    <t>elementary school teachers</t>
  </si>
  <si>
    <t>Which reason is given sometimes to plead not guilty involving these matters?</t>
  </si>
  <si>
    <t>Tatar chieftain, Temüjin-üge</t>
  </si>
  <si>
    <t>Who controlled Sicily before the Normans?</t>
  </si>
  <si>
    <t>foreign</t>
  </si>
  <si>
    <t>National Science Foundation Network</t>
  </si>
  <si>
    <t>Mount Bogong</t>
  </si>
  <si>
    <t>bays</t>
  </si>
  <si>
    <t>Commission v France</t>
  </si>
  <si>
    <t>punish the Miami people of Pickawillany for not following Céloron's orders to cease trading with the British</t>
  </si>
  <si>
    <t>In what year did Doctor Who state that he was the last Time Lord?</t>
  </si>
  <si>
    <t>loss of soil fertility and weed invasion</t>
  </si>
  <si>
    <t>Braddock (with George Washington as one of his aides) led about 1,500 army troops and provincial militia on an expedition in June 1755 to take Fort Duquesne. The expedition was a disaster. It was attacked by French and Indian soldiers ambushing them from up in trees and behind logs. Braddock called for a retreat. He was killed. Approximately 1,000 British soldiers were killed or injured. The remaining 500 British troops, led by George Washington, retreated to Virginia. Two future opponents in the American Revolutionary War, Washington and Thomas Gage, played key roles in organizing the retreat.</t>
  </si>
  <si>
    <t>chloroplast division</t>
  </si>
  <si>
    <t>Who directed Luther away from self-reflection and towards the merits of Christ?</t>
  </si>
  <si>
    <t>Whose authority did Luther's theology oppose?</t>
  </si>
  <si>
    <t>Low doses of anti-inflammatories are sometimes used with what classes of drugs?</t>
  </si>
  <si>
    <t>financial assets</t>
  </si>
  <si>
    <t>What position at ABC did Thomas Murphy stay on for after stepping down as president?</t>
  </si>
  <si>
    <t>Baltimore-Washington Conference of the UMC</t>
  </si>
  <si>
    <t>When did he talk about his beliefs in an interview?</t>
  </si>
  <si>
    <t>What Republic has maintained its control of Iran?</t>
  </si>
  <si>
    <t>propose a range of preincident population figures from as high as 7 million to as low as 4 million</t>
  </si>
  <si>
    <t>What yard line was the Broncos on when Manning lost the ball in the fourth quarter?</t>
  </si>
  <si>
    <t>Zachęta National Gallery of Art</t>
  </si>
  <si>
    <t>Purus Arch</t>
  </si>
  <si>
    <t>inauspicious typhoon</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</si>
  <si>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</si>
  <si>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How do students learn about the church?</t>
  </si>
  <si>
    <t>value of the Caribbean islands' sugar</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</si>
  <si>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</si>
  <si>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NBA</t>
  </si>
  <si>
    <t>What did this agitation provide later generations material for?</t>
  </si>
  <si>
    <t>What famous English physicist and mathematician was depicted in the main bronze door entrance of the museum?</t>
  </si>
  <si>
    <t>When were the Financial Interest and Syndication Rules repealed?</t>
  </si>
  <si>
    <t>What ruler, besides John of Saxony and Philip of Hesse, formed the Schmalkaldic League?</t>
  </si>
  <si>
    <t>over 14,000</t>
  </si>
  <si>
    <t>9.75/10.600 GHz</t>
  </si>
  <si>
    <t>propose a range of preincident population figures</t>
  </si>
  <si>
    <t>What kind of T cells kill cells that are infected with pathogens?</t>
  </si>
  <si>
    <t>48.8 °C</t>
  </si>
  <si>
    <t>the perspective of the object</t>
  </si>
  <si>
    <t>What does the TARDIS look like?</t>
  </si>
  <si>
    <t>map out their ancestral lands to help strengthen their territorial claims</t>
  </si>
  <si>
    <t>AvtoZAZ</t>
  </si>
  <si>
    <t>the Schrödinger equation</t>
  </si>
  <si>
    <t>Who stated that John Jortin misunderstood Luther?</t>
  </si>
  <si>
    <t>What was Newton's quarterback rating for 2015?</t>
  </si>
  <si>
    <t>How was Luther presented as an image to spread Protestantism?</t>
  </si>
  <si>
    <t>Besançon Hugues</t>
  </si>
  <si>
    <t>expendable nature of the worker</t>
  </si>
  <si>
    <t>increased scrutiny on teacher misconduct</t>
  </si>
  <si>
    <t>To which year has the Antwerp City Hall doors in the V&amp;A collection been dated?</t>
  </si>
  <si>
    <t>What type of organization would need large quantities of pure oxygen?</t>
  </si>
  <si>
    <t>Vampire</t>
  </si>
  <si>
    <t>When did the Methodist Protestant Church split from the Methodist Episcopal Church?</t>
  </si>
  <si>
    <t>in a number of stages</t>
  </si>
  <si>
    <t>In 1935</t>
  </si>
  <si>
    <t>The Taliban was so different from other moments that they could be more accurately described as being what?</t>
  </si>
  <si>
    <t>Looking beyond the manned lunar landings, NASA investigated several post-lunar applications for Apollo hardware. The Apollo Extension Series (Apollo X,) proposed up to 30 flights to Earth orbit, using the space in the Spacecraft Lunar Module Adapter (SLA) to house a small orbital laboratory (workshop). Astronauts would continue to use the CSM as a ferry to the station. This study was followed by design of a larger orbital workshop to be built in orbit from an empty S-IVB Saturn upper stage, and grew into the Apollo Applications Program (AAP). The workshop was to be supplemented by Apollo Telescope Missions, which would replace the LM's descent stage equipment and engine with a solar telescope observatory. The most ambitious plan called for using an empty S-IVB as an interplanetary spacecraft for a Venus fly-by mission.</t>
  </si>
  <si>
    <t>Eyn geystlich Gesangk Buchleyn</t>
  </si>
  <si>
    <t>Who was Kaidu's grandfather?</t>
  </si>
  <si>
    <t>poet</t>
  </si>
  <si>
    <t>TLC</t>
  </si>
  <si>
    <t>What was the name of the first Doctor Who story released as an LP?</t>
  </si>
  <si>
    <t>the holy catholic (or universal) church</t>
  </si>
  <si>
    <t>What is the exam at the end of Form Four?</t>
  </si>
  <si>
    <t>the classical element fire</t>
  </si>
  <si>
    <t>foot of the mast</t>
  </si>
  <si>
    <t>What does ATP mean?</t>
  </si>
  <si>
    <t>What day was the Super Bowl played on?</t>
  </si>
  <si>
    <t>Van de Graaff generator</t>
  </si>
  <si>
    <t>hydrocarbon</t>
  </si>
  <si>
    <t>Arthur Woolf</t>
  </si>
  <si>
    <t>steeper tax progressivity applied to social spending</t>
  </si>
  <si>
    <t>How many years could separate outbreaks of the black death?</t>
  </si>
  <si>
    <t>Bayeux Tapestry</t>
  </si>
  <si>
    <t>true Islamic</t>
  </si>
  <si>
    <t>A Machine to End War</t>
  </si>
  <si>
    <t>What is Jacksonville's hottest recorded temperature?</t>
  </si>
  <si>
    <t>The largest objects in the V&amp;A ceramics and glass collection were produced in which countries?</t>
  </si>
  <si>
    <t>How much of the population of Earth ended up seeing the images of the Earth and the Moon?</t>
  </si>
  <si>
    <t>external combustion engines</t>
  </si>
  <si>
    <t>parallel importers like Mr Dassonville</t>
  </si>
  <si>
    <t>$40 per barrel</t>
  </si>
  <si>
    <t>In what treatment are nonconservative and conservative forces described?</t>
  </si>
  <si>
    <t>behind the foot of the mast</t>
  </si>
  <si>
    <t>What slogan accompanied the 40th anniversary logo for ABC?</t>
  </si>
  <si>
    <t>After apartheid, what types of schools are referred to as "Model C" schools?</t>
  </si>
  <si>
    <t>s in the Swiss canton of Graubünden in the southeastern Swiss Alps,</t>
  </si>
  <si>
    <t>What is another name for a coal supply bin?</t>
  </si>
  <si>
    <t>Zagreus</t>
  </si>
  <si>
    <t>protest should be maintained all the way</t>
  </si>
  <si>
    <t>Nairobi, Mombasa and Kisumu</t>
  </si>
  <si>
    <t>Who was the ABC Entertainment president in 1957?</t>
  </si>
  <si>
    <t>Chloroplasts have their own ribosomes, which they use to synthesize a small fraction of their proteins. Chloroplast ribosomes are about two-thirds the size of cytoplasmic ribosomes (around 17 nm vs 25 nm). They take mRNAs transcribed from the chloroplast DNA and translate them into protein. While similar to bacterial ribosomes, chloroplast translation is more complex than in bacteria, so chloroplast ribosomes include some chloroplast-unique features. Small subunit ribosomal RNAs in several Chlorophyta and euglenid chloroplasts lack motifs for shine-dalgarno sequence recognition, which is considered essential for translation initiation in most chloroplasts and prokaryotes. Such loss is also rarely observed in other plastids and prokaryotes.</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</si>
  <si>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</si>
  <si>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get their issue onto the table</t>
  </si>
  <si>
    <t>dislodge the French</t>
  </si>
  <si>
    <t>Other than the Automobile Club of Southern California, what other AAA Auto Club chose to simplify the divide?</t>
  </si>
  <si>
    <t>What are rhodoplasts' phycobilin pigments combined into?</t>
  </si>
  <si>
    <t>Sweden</t>
  </si>
  <si>
    <t>peer tuitions and the school's financial endowment</t>
  </si>
  <si>
    <t>world famous Safari Rally</t>
  </si>
  <si>
    <t>forceful taking of property</t>
  </si>
  <si>
    <t>How many passengers a year does the rail network in Newcastle carry?</t>
  </si>
  <si>
    <t>In what year did Nikola Tesla emigrate to the United States?</t>
  </si>
  <si>
    <t>Ravens</t>
  </si>
  <si>
    <t>Who besides the british colonized Africa?</t>
  </si>
  <si>
    <t>girls and women</t>
  </si>
  <si>
    <t>Which series version had a negative reception from some Doctor Who viewers?</t>
  </si>
  <si>
    <t>£34m per year</t>
  </si>
  <si>
    <t>considerable impact</t>
  </si>
  <si>
    <t>Thomas de Maiziere serves what role in the German cabinet?</t>
  </si>
  <si>
    <t>Eadweard Muybridge's</t>
  </si>
  <si>
    <t>What is the primary purpose of chloroplasts?</t>
  </si>
  <si>
    <t>Port of Long Beach</t>
  </si>
  <si>
    <t>What does the IPCC not do?</t>
  </si>
  <si>
    <t>University of Chicago scholars played a major part in what development?</t>
  </si>
  <si>
    <t>by the eastern border</t>
  </si>
  <si>
    <t>1935</t>
  </si>
  <si>
    <t>Where was ABC Marine World opened?</t>
  </si>
  <si>
    <t>availability of the Bible in vernacular languages</t>
  </si>
  <si>
    <t>standard measurement scale</t>
  </si>
  <si>
    <t>How much of Paris' population was killed by the plague?</t>
  </si>
  <si>
    <t>quarter square</t>
  </si>
  <si>
    <t>singing of German hymns in connection with worship</t>
  </si>
  <si>
    <t>The Hoppings funfair</t>
  </si>
  <si>
    <t>Louis Adamic</t>
  </si>
  <si>
    <t>geochemical evolution of rock units</t>
  </si>
  <si>
    <t>Where did Martin Luther go to school?</t>
  </si>
  <si>
    <t>Squillace</t>
  </si>
  <si>
    <t>Kearney Park</t>
  </si>
  <si>
    <t>Tony Hawk</t>
  </si>
  <si>
    <t>Europeans who were based in Britain</t>
  </si>
  <si>
    <t>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t>
  </si>
  <si>
    <t>the European Court</t>
  </si>
  <si>
    <t>model results, reports from government agencies and non-governmental organizations, and industry journals</t>
  </si>
  <si>
    <t>LDS Church</t>
  </si>
  <si>
    <t>p − 1 or a divisor of p − 1</t>
  </si>
  <si>
    <t>Juan Manuel Santos</t>
  </si>
  <si>
    <t>What kind of chloroplasts do cryptophytes have?</t>
  </si>
  <si>
    <t>Australian Broadcasting Corporation (ABC)</t>
  </si>
  <si>
    <t>What kind of university is the University of Chicago?</t>
  </si>
  <si>
    <t>What was Luther involved in dealing with the minds in Mansfeld?</t>
  </si>
  <si>
    <t>the next day:</t>
  </si>
  <si>
    <t>a time-sharing system, based on Kemney's work at Dartmouth—which used a computer on loan from GE—could be profitable</t>
  </si>
  <si>
    <t>When did the General Sejm make Warsaw it's permanent seat?</t>
  </si>
  <si>
    <t>October 2010</t>
  </si>
  <si>
    <t>In which year were the North and South Courts opened?</t>
  </si>
  <si>
    <t>unified electromagnetic force</t>
  </si>
  <si>
    <t>In December 1878, Tesla left Graz and severed all relations with his family to hide the fact that he dropped out of school. His friends thought that he had drowned in the Mur River. Tesla went to Maribor (now in Slovenia), where he worked as a draftsman for 60 florins a month. He spent his spare time playing cards with local men on the streets. In March 1879, Milutin Tesla went to Maribor to beg his son to return home, but Nikola refused. Nikola suffered a nervous breakdown at around the same time.</t>
  </si>
  <si>
    <t>Jonathan Stewart</t>
  </si>
  <si>
    <t>Where are a bulk of factories concentrated along the Rhine?</t>
  </si>
  <si>
    <t>unstable six-carbon molecules</t>
  </si>
  <si>
    <t>Approximately how many silver and gold objects does the V&amp;A have it its collection?</t>
  </si>
  <si>
    <t>What is one of the largest music schools in Europe?</t>
  </si>
  <si>
    <t>Where on the side are the two Cast Courts located?</t>
  </si>
  <si>
    <t>nuclear force</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</si>
  <si>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</si>
  <si>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Though Turabi proclaimed his support for the democratic process, he strictly applied what after coming into power?</t>
  </si>
  <si>
    <t>In late November 2015, reports surfaced stating that "multiple acts" would perform during the halftime show. On December 3, the league confirmed that the show would be headlined by the British rock group Coldplay. On January 7, 2016, Pepsi confirmed to the Associated Press that Beyoncé, who headlined the Super Bowl XLVII halftime show and collaborated with Coldplay on the single "Hymn for the Weekend", would be making an appearance. Bruno Mars, who headlined the Super Bowl XLVIII halftime show, and Mark Ronson also performed.</t>
  </si>
  <si>
    <t>1924</t>
  </si>
  <si>
    <t>Henry Cole,</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</si>
  <si>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</si>
  <si>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the doctrine of transubstantiation</t>
  </si>
  <si>
    <t>Presbyterian Church</t>
  </si>
  <si>
    <t>What is a lower rate of social goods an effect of?</t>
  </si>
  <si>
    <t>Early in the fourth quarter, The Broncos drove to what yard line of the Panthers?</t>
  </si>
  <si>
    <t>Which khanates had converted to Islam?</t>
  </si>
  <si>
    <t>both sides withdrawing from the field</t>
  </si>
  <si>
    <t>Which leading English tapestry workshop in the late 17th century and early 18th century is represented in the V&amp;A collection?</t>
  </si>
  <si>
    <t>Brazil</t>
  </si>
  <si>
    <t>100–106 °F</t>
  </si>
  <si>
    <t>Who financed General Electric's attempts to takeover Westinghouse?</t>
  </si>
  <si>
    <t>projected rises in sea levels</t>
  </si>
  <si>
    <t>Scholars and observers</t>
  </si>
  <si>
    <t>multi-cultural city</t>
  </si>
  <si>
    <t>Which company had a commercial aired for free as a result of the Quickbooks contest?</t>
  </si>
  <si>
    <t>In 2007, what was the high end of the salary range?</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</si>
  <si>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</si>
  <si>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What rule did some native live under?</t>
  </si>
  <si>
    <t>Developments in which scientists influenced the creation of pharmacology in medieval Islam?</t>
  </si>
  <si>
    <t>In what episode is it brought up that the First Doctor might not actually be the first Doctor?</t>
  </si>
  <si>
    <t>The network's flagship owned-and-operated station, WJZ-TV in New York City (later re-called WABC-TV), signed on the air on August 10, 1948, with its first broadcast running for two hours that evening. ABC's other owned-and-operated stations launched over the course of the next 13 months: WENR-TV in Chicago signed on the air on September 17, while WXYZ-TV in Detroit went on the air on October 9, 1948. In October 1948, as a result of an influx of television station license applications that it had issued as well as a study it undertook on the use of the VHF spectrum for broadcasting purposes, the FCC implemented a freeze on new station applications. However, KGO-TV in San Francisco, which had received its license prior to the freeze, made its debut on May 5, 1949. On May 7, 1949, Billboard revealed that ABC had proposed an investment of $6.25 million, of which it would spend $2.5 million to convert 20 acres (80,937 m2) of land in Hollywood into what would become The Prospect Studios, and construct a transmitter on Mount Wilson, in anticipation of the launch of KECA-TV, which was scheduled to begin operations on August 1 (but would not actually sign on until September 16).</t>
  </si>
  <si>
    <t>What new name was given to the media day?</t>
  </si>
  <si>
    <t>In 1784</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</si>
  <si>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</si>
  <si>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majority of the seats</t>
  </si>
  <si>
    <t>said, "As to the Summons you send me to retire, I do not think myself obliged to obey it."</t>
  </si>
  <si>
    <t>Deforestation</t>
  </si>
  <si>
    <t>major division</t>
  </si>
  <si>
    <t>freemen</t>
  </si>
  <si>
    <t>What country did the Normans invade in 1169?</t>
  </si>
  <si>
    <t>The Northern Pride Festival</t>
  </si>
  <si>
    <t>By how many kilometers does the traveling salesman problem seek to classify a route between the 15 largest cities in Germany?</t>
  </si>
  <si>
    <t>energy from the flowing hydrogen ions</t>
  </si>
  <si>
    <t>simplest</t>
  </si>
  <si>
    <t>What are muroplasts?</t>
  </si>
  <si>
    <t>What kinds of growth did Kublai encourage?</t>
  </si>
  <si>
    <t>Roman-era</t>
  </si>
  <si>
    <t>What has an equivalence between mass and space-time?</t>
  </si>
  <si>
    <t>the historical era</t>
  </si>
  <si>
    <t>12 December 1963</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</si>
  <si>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</si>
  <si>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What type of parenting role does a teacher take on?</t>
  </si>
  <si>
    <t>How many base pairs are there in Chromatophore DNA?</t>
  </si>
  <si>
    <t>gravitational</t>
  </si>
  <si>
    <t>Orthodox Christian</t>
  </si>
  <si>
    <t>What hit reality series debuted for ABC in 2002?</t>
  </si>
  <si>
    <t>90 to 95</t>
  </si>
  <si>
    <t>Jebe</t>
  </si>
  <si>
    <t>Who was the Most Valuable Player of Super Bowl 50?</t>
  </si>
  <si>
    <t>plants and algae</t>
  </si>
  <si>
    <t>Olivier Messiaen</t>
  </si>
  <si>
    <t>The Amazon rainforest (Portuguese: Floresta Amazônica or Amazônia; Spanish: Selva Amazónica, Amazonía or usually Amazonia; French: Forêt amazonienne; Dutch: Amazoneregenwoud), also known in English as Amazonia or the Amazon Jungle, is a moist broadleaf forest that covers most of the Amazon basin of South America. This basin encompasses 7,000,000 square kilometres (2,700,000 sq mi), of which 5,500,000 square kilometres (2,100,000 sq mi) are covered by the rainforest. This region includes territory belonging to nine nations. The majority of the forest is contained within Brazil, with 60% of the rainforest, followed by Peru with 13%, Colombia with 10%, and with minor amounts in Venezuela, Ecuador, Bolivia, Guyana, Suriname and French Guiana. States or departments in four nations contain "Amazonas" in their names. The Amazon represents over half of the planet's remaining rainforests, and comprises the largest and most biodiverse tract of tropical rainforest in the world, with an estimated 390 billion individual trees divided into 16,000 species.</t>
  </si>
  <si>
    <t>Black's Law</t>
  </si>
  <si>
    <t>colonial rule would be considered what type of imperialism?</t>
  </si>
  <si>
    <t>44</t>
  </si>
  <si>
    <t>anchor the pre-game and halftime coverage</t>
  </si>
  <si>
    <t>What happened in 1992 in a UK-wide process?</t>
  </si>
  <si>
    <t>the Florida legislature</t>
  </si>
  <si>
    <t>Blaine Amendments</t>
  </si>
  <si>
    <t>What did Graham Twigg publish in 1984?</t>
  </si>
  <si>
    <t>Nepali</t>
  </si>
  <si>
    <t>Since Thoreau was not a well known writer what happened when he was arrested?</t>
  </si>
  <si>
    <t>What was the pedestrian mall renamed?</t>
  </si>
  <si>
    <t>Science Magazine's</t>
  </si>
  <si>
    <t>T cell</t>
  </si>
  <si>
    <t>How many ABC affiliates does the E. W. Scripps Company own?</t>
  </si>
  <si>
    <t>Marshall</t>
  </si>
  <si>
    <t>Philo of Byzantium ____ surmised that air converted to fire</t>
  </si>
  <si>
    <t>the southeast part of Khwarzemia</t>
  </si>
  <si>
    <t>Persistent unemployment has what effect on long-term economic growth?</t>
  </si>
  <si>
    <t>4000 years</t>
  </si>
  <si>
    <t>a military coup d'état</t>
  </si>
  <si>
    <t>How tall is the Bank of America Tower?</t>
  </si>
  <si>
    <t>Teachers are required to be registered with the Teaching Council; under Section 30 of the Teaching Council Act 2001, a person employed in any capacity in a recognised teaching post - who is not registered with the Teaching Council - may not be paid from Oireachtas funds.</t>
  </si>
  <si>
    <t>an increase in the land available for cultivation</t>
  </si>
  <si>
    <t>Whose tune did Luther adapt for the hymn of Psalm 67?</t>
  </si>
  <si>
    <t>ICRISAT</t>
  </si>
  <si>
    <t>chlorophyll a and phycobilins</t>
  </si>
  <si>
    <t>What Carolina player was injured in the NFC Championship Game?</t>
  </si>
  <si>
    <t>On what game console was the CBS Sports app available?</t>
  </si>
  <si>
    <t>What was the ratio of men to women at Harvard/Radcliffe?</t>
  </si>
  <si>
    <t>What is the minimum required if you want to teach in Canada?</t>
  </si>
  <si>
    <t>What was the U.S. Information Agency charged with doing during the Cold War?</t>
  </si>
  <si>
    <t>Today, Warsaw has some of the best medical facilities in Poland and East-Central Europe. The city is home to the Children's Memorial Health Institute (CMHI), the highest-reference hospital in all of Poland, as well as an active research and education center. While the Maria Skłodowska-Curie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</si>
  <si>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An increase in imported cars into North America</t>
  </si>
  <si>
    <t>Lake Constance consists of three bodies of water: the Obersee ("upper lake"), the Untersee ("lower lake"), and a connecting stretch of the Rhine, called the Seerhein ("Lake Rhine"). The lake is situated in Germany, Switzerland and Austria near the Alps. Specifically, its shorelines lie in the German states of Bavaria and Baden-Württemberg, the Austrian state of Vorarlberg, and the Swiss cantons of Thurgau and St. Gallen. The Rhine flows into it from the south following the Swiss-Austrian border. It is located at approximately 47°39′N 9°19′E﻿ / ﻿47.650°N 9.317°E﻿ / 47.650; 9.317.</t>
  </si>
  <si>
    <t>What kind of marriage was this ?</t>
  </si>
  <si>
    <t>Palm Springs</t>
  </si>
  <si>
    <t>The most widely accepted estimate for the Middle East, including Iraq, Iran and Syria, during this time, is for a death rate of about a third. The Black Death killed about 40% of Egypt's population. Half of Paris's population of 100,000 people died. In Italy, the population of Florence was reduced from 110–120 thousand inhabitants in 1338 down to 50 thousand in 1351. At least 60% of the population of Hamburg and Bremen perished, and a similar percentage of Londoners may have died from the disease as well. Interestingly while contemporary reports account of mass burial pits being created in response to the large numbers of dead, recent scientific investigations of a burial pit in Central London found well-preserved individuals to be buried in isolated, evenly spaced graves, suggesting at least some pre-planning and Christian burials at this time. Before 1350, there were about 170,000 settlements in Germany, and this was reduced by nearly 40,000 by 1450. In 1348, the plague spread so rapidly that before any physicians or government authorities had time to reflect upon its origins, about a third of the European population had already perished. In crowded cities, it was not uncommon for as much as 50% of the population to die. The disease bypassed some areas, and the most isolated areas were less vulnerable to contagion. Monks and priests were especially hard hit since they cared for victims of the Black Death.</t>
  </si>
  <si>
    <t>The legislation allowed California to be admitted to the Union as what kind of state?</t>
  </si>
  <si>
    <t>What percent of the labor force work in agriculture?</t>
  </si>
  <si>
    <t>overseas colonies</t>
  </si>
  <si>
    <t>Singlet</t>
  </si>
  <si>
    <t>What is the total number of professors, instructors, and lecturers at Harvard?</t>
  </si>
  <si>
    <t>However, a problem emerged regarding the directions taken by ABC and UPT. In 1950, Noble appointed Robert Kintner to be ABC's president while he himself served as its CEO, a position he would hold until his death in 1958. Despite the promise of non-interference between ABC and UPT, Goldenson had to intervene in ABC's decisions because of financial problems and the FCC's long period of indecision. Goldenson added to the confusion when, in October 1954, he proposed a merger between UPT and the DuMont Television Network, which was also mired in financial trouble. As part of this merger, the network would have been renamed "ABC-DuMont" for five years, and DuMont would have received $5 million in cash, room on the schedule for existing DuMont programming, and guaranteed advertising time for DuMont Laboratories receivers. In addition, to comply with FCC ownership restrictions, it would have been required to sell either WABC-TV or DuMont owned-and-operated station WABD in the New York City market, as well as two other stations. The merged ABC-DuMont would have had the resources to compete with CBS and NBC.</t>
  </si>
  <si>
    <t>How quick was the effect of Luther's preaching?</t>
  </si>
  <si>
    <t>Which Carolina Panthers wide receiver suffered a torn ACL before the season began?</t>
  </si>
  <si>
    <t>Tesla noted the hazards of working with his circuit and single-node X-ray-producing devices. In his many notes on the early investigation of this phenomenon, he attributed the skin damage to various causes. He believed early on that damage to the skin was not caused by the Roentgen rays, but by the ozone generated in contact with the skin, and to a lesser extent, by nitrous acid. Tesla incorrectly believed that X-rays were longitudinal waves, such as those produced in waves in plasmas. These plasma waves can occur in force-free magnetic fields.</t>
  </si>
  <si>
    <t>When did Wei Yilin die?</t>
  </si>
  <si>
    <t>Following the initial success of these series, ABC revamped its Friday night schedule around family-friendly comedies in the late 1980s, culminating in the 1989 debut of the "TGIF" block (which promotions referenced stood for "Thank Goodness It's Funny"). Many of the series featured during the run of the block were produced by Miller-Boyett Productions, a Warner Bros.-based studio that briefly programmed the entire Friday lineup during the 1990–91 season (with Going Places joining Family Matters, Full House and Perfect Strangers on the "TGIF" schedule) and through its development deal with Paramount Television prior to 1986 (as Miller-Milkis, and later, Miller-Milkis-Boyett Productions), had earlier produced Happy Days and its various spinoffs among other series for the network.</t>
  </si>
  <si>
    <t>North and West Africa</t>
  </si>
  <si>
    <t>In what years did Doctor Who originally show on TV?</t>
  </si>
  <si>
    <t>53,423</t>
  </si>
  <si>
    <t>How old was Peyton Manning in 2015?</t>
  </si>
  <si>
    <t>Which famous evolutionist was influenced by the book Principles of Geology?</t>
  </si>
  <si>
    <t>In what year did student decide to occupy the president's office?</t>
  </si>
  <si>
    <t>What percentage of primary schools used Welsh primarily or exclusively?</t>
  </si>
  <si>
    <t>The spin of what can produce a magnetic effect to oxygen molecules?</t>
  </si>
  <si>
    <t>What are new responsibilities pharmacy technicians now deal with?</t>
  </si>
  <si>
    <t>What approach did Oppenheimer advocate?</t>
  </si>
  <si>
    <t>7500 yr ago</t>
  </si>
  <si>
    <t>What was the nickname for the test where, during abort mode, the ascent engine was started and fired?</t>
  </si>
  <si>
    <t>The Genghis Khan Mausoleum</t>
  </si>
  <si>
    <t>How many chloroplasts per cell does algae have?</t>
  </si>
  <si>
    <t>How long did plague last in the Ottoman empire?</t>
  </si>
  <si>
    <t>What was intended for the site of the former boiler house?</t>
  </si>
  <si>
    <t>sworn brother or blood brother)</t>
  </si>
  <si>
    <t>As a norm, what day of the week is the traditional Media Day held prior to a Super Bowl?</t>
  </si>
  <si>
    <t>material about live performance</t>
  </si>
  <si>
    <t>guidance</t>
  </si>
  <si>
    <t>On 7 January 1943, at the age of 86, Tesla died alone in room 3327 of the New Yorker Hotel. His body was later found by maid Alice Monaghan after she had entered Tesla's room, ignoring the "do not disturb" sign that Tesla had placed on his door two days earlier. Assistant medical examiner H.W. Wembly examined the body and ruled that the cause of death had been coronary thrombosis. Tesla's remains were taken to the Frank E. Campbell Funeral Home at Madison Ave. and 81st St. A long-time friend and supporter of Tesla, Hugo Gernsback, commissioned a sculptor to create a death mask, now displayed in the Nikola Tesla Museum.</t>
  </si>
  <si>
    <t>Iroquois rule, and were limited by them in authority to make agreements</t>
  </si>
  <si>
    <t>Graham Gano kicked a field goal of how many yards?</t>
  </si>
  <si>
    <t>Combs are called what?</t>
  </si>
  <si>
    <t>glasses with one darkened lens</t>
  </si>
  <si>
    <t>AAUW</t>
  </si>
  <si>
    <t>husband and father</t>
  </si>
  <si>
    <t>What size are adult Ctenophora?</t>
  </si>
  <si>
    <t>beginning in early September and ending in mid-May</t>
  </si>
  <si>
    <t>How many scalar equations were formed into a set by James Maxwell?</t>
  </si>
  <si>
    <t>By August 2010 how many public schools did Victoria have?</t>
  </si>
  <si>
    <t>internal combustion</t>
  </si>
  <si>
    <t>What did Luther expound happened to souls after death?</t>
  </si>
  <si>
    <t>What percentage was the increase of agricultural products in 2003-04?</t>
  </si>
  <si>
    <t>ultraviolet radiation</t>
  </si>
  <si>
    <t>two public agencies, especially two equally sovereign branches of government, conflict.</t>
  </si>
  <si>
    <t>How much lower was the North Sea in the last cold phase than it is today?</t>
  </si>
  <si>
    <t>a storm</t>
  </si>
  <si>
    <t>27-30%</t>
  </si>
  <si>
    <t>When was the third period of high viewership for the Doctor Who series?</t>
  </si>
  <si>
    <t>What type of number generators make use of prime numbers?</t>
  </si>
  <si>
    <t>233</t>
  </si>
  <si>
    <t>The West saw the East as what?</t>
  </si>
  <si>
    <t>What is a prasinophyte?</t>
  </si>
  <si>
    <t>a Z-ring</t>
  </si>
  <si>
    <t>What theorem remains valid in unique factorization domains?</t>
  </si>
  <si>
    <t>The Grainger Market replaced an earlier market originally built in 1808 called the Butcher Market. The Grainger Market itself, was opened in 1835 and was Newcastle's first indoor market. At the time of its opening in 1835 it was said to be one of the largest and most beautiful markets in Europe. The opening was celebrated with a grand dinner attended by 2000 guests, and the Laing Art Gallery has a painting of this event. With the exception of the timber roof which was destroyed by a fire in 1901 and replaced by latticed-steel arches the Market is largely in its original condition. The Grainger Market architecture, like most in Grainger Town, which are either grade I or II listed, was listed grade I in 1954 by English Heritage.</t>
  </si>
  <si>
    <t>Nairobi</t>
  </si>
  <si>
    <t>natural science</t>
  </si>
  <si>
    <t>an international data communications network</t>
  </si>
  <si>
    <t>3%</t>
  </si>
  <si>
    <t>45°</t>
  </si>
  <si>
    <t>How many base pairs are there in Synechococcus DNA?</t>
  </si>
  <si>
    <t>impact process effects</t>
  </si>
  <si>
    <t>Los Angeles Area</t>
  </si>
  <si>
    <t>Why have modern Lutherans stopped using the hymn?</t>
  </si>
  <si>
    <t>What is the name associated with the eight areas that make up a part of southern California?</t>
  </si>
  <si>
    <t>Africa's most successful nation in the 2008 Olympics</t>
  </si>
  <si>
    <t>Christian education</t>
  </si>
  <si>
    <t>the lead melts</t>
  </si>
  <si>
    <t>What religion did Henry renounce upon ascending the throne?</t>
  </si>
  <si>
    <t>The smaller galleries cover Korea, the Himalayan kingdoms and South East Asia. Korean displays include green-glazed ceramics, silk embroideries from officials' robes and gleaming boxes inlaid with mother-of-pearl made between 500 AD and 2000. Himalayan items include important early Nepalese bronze sculptures, repoussé work and embroidery. Tibetan art from the 14th to the 19th century is represented by notable 14th- and 15th-century religious images in wood and bronze, scroll paintings and ritual objects. Art from Thailand, Burma, Cambodia, Indonesia and Sri Lanka in gold, silver, bronze, stone, terracotta and ivory represents these rich and complex cultures, the displays span the 6th to 19th centuries. Refined Hindu and Buddhist sculptures reflect the influence of India; items on show include betel-nut cutters, ivory combs and bronze palanquin hooks.</t>
  </si>
  <si>
    <t>Ted Fujita</t>
  </si>
  <si>
    <t>What analyst did not agree with the ruling of the incomplete pass?</t>
  </si>
  <si>
    <t>How much was BSkyB going to pay for the Primier League rights?</t>
  </si>
  <si>
    <t>What did the benefits agency think sports channels on a TV bill meant?</t>
  </si>
  <si>
    <t>Who matters the most for economic growth?</t>
  </si>
  <si>
    <t>the empire fell</t>
  </si>
  <si>
    <t>The Waters of Mars</t>
  </si>
  <si>
    <t>Upon hearing the final product, what was the creator quoted as saying?</t>
  </si>
  <si>
    <t>radiography</t>
  </si>
  <si>
    <t>2014</t>
  </si>
  <si>
    <t>Who was the #2 pick in the 2011 NFL Draft?</t>
  </si>
  <si>
    <t>What happens when starch grains become overly large?</t>
  </si>
  <si>
    <t>recruitment  and procurement of Armoured Personnel Carriers</t>
  </si>
  <si>
    <t>international law and public law</t>
  </si>
  <si>
    <t>In which months does Fresno experience increased wind coming from the southeastern direction?</t>
  </si>
  <si>
    <t>The earlier they surrendered to the Mongols, the higher they were placed</t>
  </si>
  <si>
    <t>Since the IPCC does not carry out its own research, it operates on the basis of scientific papers and independently documented results from other scientific bodies, and its schedule for producing reports requires a deadline for submissions prior to the report's final release. In principle, this means that any significant new evidence or events that change our understanding of climate science between this deadline and publication of an IPCC report cannot be included. In an area of science where our scientific understanding is rapidly changing, this has been raised as a serious shortcoming in a body which is widely regarded as the ultimate authority on the science. However, there has generally been a steady evolution of key findings and levels of scientific confidence from one assessment report to the next.[citation needed]</t>
  </si>
  <si>
    <t>select their students</t>
  </si>
  <si>
    <t>obscures the fact that Indians fought on both sides of the conflict, and that this was part of the Seven Years' War</t>
  </si>
  <si>
    <t>Which seasons is the BBC missing a total of 79 episodes?</t>
  </si>
  <si>
    <t>within the dispensary compounding/dispensing medications</t>
  </si>
  <si>
    <t>Harvard - Yale Regatta predates "The Game" by how many years?</t>
  </si>
  <si>
    <t>What makes ctenophores different from all other animals?</t>
  </si>
  <si>
    <t>Who did Mueller recruit to be a manager for NASA projects on a loaned situation?</t>
  </si>
  <si>
    <t>diseases from Europe</t>
  </si>
  <si>
    <t>What was Kublai Khan's relation to Ogedei Khan?</t>
  </si>
  <si>
    <t>William of Volpiano and John of Ravenna</t>
  </si>
  <si>
    <t>of gravity</t>
  </si>
  <si>
    <t>captured enemies</t>
  </si>
  <si>
    <t>non-deterministic Turing machine</t>
  </si>
  <si>
    <t>Where can population estimates be extrapolated from?</t>
  </si>
  <si>
    <t>revolutionary civil disobedience</t>
  </si>
  <si>
    <t>a First Minister</t>
  </si>
  <si>
    <t>What has the United Nations designed ISIL?</t>
  </si>
  <si>
    <t>How many first downs did the Broncos have in Super Bowl 50?</t>
  </si>
  <si>
    <t>a "hysterical and demonizing mentality" about Jews</t>
  </si>
  <si>
    <t>What concept, originally discovered by Black, was later discovered independently by Watt?</t>
  </si>
  <si>
    <t>low demand</t>
  </si>
  <si>
    <t>When did the Steven Spielberg movie Duel first debut?</t>
  </si>
  <si>
    <t>What new tasks do the protein products of transferred genes take on?</t>
  </si>
  <si>
    <t>What feature of the Shah's army enable the weary Mongol forces easy early victories?</t>
  </si>
  <si>
    <t>radicalize the Islamist movement</t>
  </si>
  <si>
    <t>an interactive host to host connection was made between the IBM mainframe computer systems at the University of Michigan in Ann Arbor and Wayne State</t>
  </si>
  <si>
    <t>What gas does the airline exothermic reaction produce?</t>
  </si>
  <si>
    <t>What is the bad air theory officially known as?</t>
  </si>
  <si>
    <t>coherent theory of quantum gravity</t>
  </si>
  <si>
    <t>What kind of economy does Victoria have?</t>
  </si>
  <si>
    <t>Lower Norfolk County</t>
  </si>
  <si>
    <t>In what year did a tropical storm cause a four day loss of power to Jacksonville?</t>
  </si>
  <si>
    <t>Langley</t>
  </si>
  <si>
    <t>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"Great Fire of 1901",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t>
  </si>
  <si>
    <t>Which Proctor and Gamble produced soap opera did ABC air?</t>
  </si>
  <si>
    <t>What tactic did researchers employ to offset the former deficit of work surrounding the complexity of algorithmic problems?</t>
  </si>
  <si>
    <t>What Catholic Church liturgical belief did Lortie criticize openly?</t>
  </si>
  <si>
    <t>"wrecking amendments"</t>
  </si>
  <si>
    <t>Other than San Bernardino, which other developed southern Californian city is not in close proximity to the coast?</t>
  </si>
  <si>
    <t>over 700,000</t>
  </si>
  <si>
    <t>Who was Kennedy's vice president?</t>
  </si>
  <si>
    <t>For a field F containing 0 and 1, what would be the prime field?</t>
  </si>
  <si>
    <t>139th out of 176 total countries</t>
  </si>
  <si>
    <t xml:space="preserve">What did Davies call the System </t>
  </si>
  <si>
    <t>Who is responsible for axiomatic complexity theory?</t>
  </si>
  <si>
    <t>What is the scale used to measure the strength of hurricanes called?</t>
  </si>
  <si>
    <t>In the summer of 1521, Luther widened his target from individual pieties like indulgences and pilgrimages to doctrines at the heart of Church practices. In On the Abrogation of the Private Mass, he condemned as idolatry the idea that the mass is a sacrifice, asserting instead that it is a gift, to be received with thanksgiving by the whole congregation. His essay On Confession, Whether the Pope has the Power to Require It rejected compulsory confession and encouraged private confession and absolution, since "every Christian is a confessor." In November, Luther wrote The Judgement of Martin Luther on Monastic Vows. He assured monks and nuns that they could break their vows without sin, because vows were an illegitimate and vain attempt to win salvation.</t>
  </si>
  <si>
    <t>the Liao, Jin, and Song</t>
  </si>
  <si>
    <t>The Swahili</t>
  </si>
  <si>
    <t>military force</t>
  </si>
  <si>
    <t>When did WLS launch a lineup of ABC radio programs?</t>
  </si>
  <si>
    <t>When was the main gallery for the V&amp;A's contemporary glass collection opened?</t>
  </si>
  <si>
    <t>23.9%</t>
  </si>
  <si>
    <t>newly accessioned into the collection</t>
  </si>
  <si>
    <t>Battle of Dalan Balzhut</t>
  </si>
  <si>
    <t>does not carry out research nor does it monitor climate related data</t>
  </si>
  <si>
    <t>Newton was sacked</t>
  </si>
  <si>
    <t>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t>
  </si>
  <si>
    <t>What was the name of the Mongol Empire's legal code?</t>
  </si>
  <si>
    <t>What did Luther say the common people knew nothing about?</t>
  </si>
  <si>
    <t>What must the integer m be less than or equal to when performing trial division?</t>
  </si>
  <si>
    <t>The complexity of problems often depends on what?</t>
  </si>
  <si>
    <t>May 21, 2013</t>
  </si>
  <si>
    <t>Where does oxygen rank by mass in the planet's biosphere?</t>
  </si>
  <si>
    <t>God's punishment</t>
  </si>
  <si>
    <t>Who is the Commissioner of the National Football League?</t>
  </si>
  <si>
    <t>Disney Media Networks</t>
  </si>
  <si>
    <t>NADP+</t>
  </si>
  <si>
    <t>What is the mortality rate of pneumonic plague?</t>
  </si>
  <si>
    <t>colonial rule, or physical occupation of a territory is an example of what kind of imperialism?</t>
  </si>
  <si>
    <t>warming of the Earth's surface</t>
  </si>
  <si>
    <t>What storm had the most significant impact on Jacksonville?</t>
  </si>
  <si>
    <t>What are ctenophora commonly known as?</t>
  </si>
  <si>
    <t>Where did John Paul II celebrate Mass in Warsaw?</t>
  </si>
  <si>
    <t>Albert C. Outler</t>
  </si>
  <si>
    <t>Gamma delta T cells have a different version of what receptor?</t>
  </si>
  <si>
    <t>more than 4 kilometers</t>
  </si>
  <si>
    <t>Who is Denver's defensive coordinator?</t>
  </si>
  <si>
    <t>How many granal thylakoids can be in each granum?</t>
  </si>
  <si>
    <t>"push" motivations</t>
  </si>
  <si>
    <t>various allied groups from Central Asia and the western end of the empire</t>
  </si>
  <si>
    <t>Who conquered much of England after the end of Roman imperial rule?</t>
  </si>
  <si>
    <t>How many residential dorms house upper class, sophomore, Jr, and Sr students?</t>
  </si>
  <si>
    <t>Good Morning America and Nightline</t>
  </si>
  <si>
    <t>After 2007 how much do student from families earning less than $60,000 pay for school?</t>
  </si>
  <si>
    <t xml:space="preserve">Where did scientists find their Y. pestis sample? </t>
  </si>
  <si>
    <t>Switzerland</t>
  </si>
  <si>
    <t>500,000</t>
  </si>
  <si>
    <t xml:space="preserve">In cases of shared physical medium how are they delivered </t>
  </si>
  <si>
    <t>Samarkand</t>
  </si>
  <si>
    <t>How many UK viewers watched the Doctor Who film?</t>
  </si>
  <si>
    <t>What was Tesla likely to do with his work?</t>
  </si>
  <si>
    <t>"Decision Time"</t>
  </si>
  <si>
    <t>Who taught Temüjin early lessons about politics in Mongolia?</t>
  </si>
  <si>
    <t>Rotterdam</t>
  </si>
  <si>
    <t>highest</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</si>
  <si>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</si>
  <si>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Louis Agassiz</t>
  </si>
  <si>
    <t>Grey Street</t>
  </si>
  <si>
    <t>In the encoding of mathematical objects, what is the way in which integers are commonly expressed?</t>
  </si>
  <si>
    <t>Abercynon in south Wales</t>
  </si>
  <si>
    <t>What was the civil disobedience performed at the test site?</t>
  </si>
  <si>
    <t>1724</t>
  </si>
  <si>
    <t>When was the defeat of Napoleonic France?</t>
  </si>
  <si>
    <t>What is the section of the Rhine Gorge recognized by UNESCO called?</t>
  </si>
  <si>
    <t>What is the application of prime numbers used in information technology which utilizes the fact that factoring very large prime numbers is very challenging?</t>
  </si>
  <si>
    <t>Indians fought on both sides of the conflict, and that this was part of the Seven Years' War</t>
  </si>
  <si>
    <t>What type of amendments might members opposed to a bill put on the table?</t>
  </si>
  <si>
    <t>melt</t>
  </si>
  <si>
    <t>the working fluid</t>
  </si>
  <si>
    <t>their own militia</t>
  </si>
  <si>
    <t>The term imperialism has been applied to western countries, and which eastern county?</t>
  </si>
  <si>
    <t>What was the entity that stepped in and caused Miami's Sun Life Stadium to no longer be in the running to host Super Bowl 50?</t>
  </si>
  <si>
    <t>How many appearances have the Denver Broncos made in the Super Bowl?</t>
  </si>
  <si>
    <t>both British and Europeans</t>
  </si>
  <si>
    <t>dependent upon how strong</t>
  </si>
  <si>
    <t>Where did the pharmacist stand in relation to the Emperor's personal physicians?</t>
  </si>
  <si>
    <t>Short</t>
  </si>
  <si>
    <t>Graz, Austria</t>
  </si>
  <si>
    <t>Six</t>
  </si>
  <si>
    <t>two rookies</t>
  </si>
  <si>
    <t>What company was chosen to build a two-phase AC generating system at Niagara Falls?</t>
  </si>
  <si>
    <t>the primary endosymbiont</t>
  </si>
  <si>
    <t>retain their original colors</t>
  </si>
  <si>
    <t>sold two years later</t>
  </si>
  <si>
    <t>inclusions</t>
  </si>
  <si>
    <t>rises in sea levels</t>
  </si>
  <si>
    <t>administrative law</t>
  </si>
  <si>
    <t>St. Johns River</t>
  </si>
  <si>
    <t>Cobb Lecture Hall</t>
  </si>
  <si>
    <t>The Standard Industrial Classification and the newer North American Industry Classification System</t>
  </si>
  <si>
    <t>art and furnishings</t>
  </si>
  <si>
    <t>transformer</t>
  </si>
  <si>
    <t>Dutch East India Company</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</si>
  <si>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</si>
  <si>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Who was hired to produce ABC's 2001-02 identity?</t>
  </si>
  <si>
    <t>What type of ratios are used in geochronologic and thermochronologic studies?</t>
  </si>
  <si>
    <t>What is a criticism of online pharmacies that issue drugs without a prescription?</t>
  </si>
  <si>
    <t>the United States</t>
  </si>
  <si>
    <t>tree growth</t>
  </si>
  <si>
    <t>How many residents does the greater metropolitan area have?</t>
  </si>
  <si>
    <t>Cambaluc</t>
  </si>
  <si>
    <t>greatest antisemite of his time</t>
  </si>
  <si>
    <t>twice a year</t>
  </si>
  <si>
    <t>Fresno's far southeast side</t>
  </si>
  <si>
    <t>sanction for murder</t>
  </si>
  <si>
    <t>1524</t>
  </si>
  <si>
    <t>Southern California</t>
  </si>
  <si>
    <t>the laws of physics</t>
  </si>
  <si>
    <t>28 days</t>
  </si>
  <si>
    <t>plea bargain</t>
  </si>
  <si>
    <t>Subutai and Jebe</t>
  </si>
  <si>
    <t>Leonhard Euler</t>
  </si>
  <si>
    <t>multilateral negotiations</t>
  </si>
  <si>
    <t>Genghis_Khan</t>
  </si>
  <si>
    <t>What type of prime distribution is characterized about x/log x of numbers less than x?</t>
  </si>
  <si>
    <t>had promised</t>
  </si>
  <si>
    <t>1784</t>
  </si>
  <si>
    <t>8000</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</si>
  <si>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</si>
  <si>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water tower</t>
  </si>
  <si>
    <t>campaigns on Lake Ontario, and endangered the Oswego garrison</t>
  </si>
  <si>
    <t>70,000</t>
  </si>
  <si>
    <t>inequality-associated effects</t>
  </si>
  <si>
    <t>By what other name was the Gate known?</t>
  </si>
  <si>
    <t>What kinds of sciences were Social Darwinism and theories of race?</t>
  </si>
  <si>
    <t>While in-house production had ceased, the BBC hoped to find an independent production company to relaunch the show. Philip Segal, a British expatriate who worked for Columbia Pictures' television arm in the United States, had approached the BBC about such a venture as early as July 1989, while the 26th series was still in production. Segal's negotiations eventually led to a Doctor Who television film, broadcast on the Fox Network in 1996 as a co-production between Fox, Universal Pictures, the BBC and BBC Worldwide. Although the film was successful in the UK (with 9.1 million viewers), it was less so in the United States and did not lead to a series.</t>
  </si>
  <si>
    <t>What "dynamic theory" did Tesla say he finished in 1937?</t>
  </si>
  <si>
    <t>Fridays</t>
  </si>
  <si>
    <t>The St. Johns River</t>
  </si>
  <si>
    <t>beneficial</t>
  </si>
  <si>
    <t>The silver and gold collection of the V&amp;A is divided into which categories?</t>
  </si>
  <si>
    <t>When did the FCC approve UPT's purchase of ABC?</t>
  </si>
  <si>
    <t>The next three drives</t>
  </si>
  <si>
    <t>Archbishop Albrecht of Mainz and Magdeburg did not reply to Luther's letter containing the 95 Theses. He had the theses checked for heresy and in December 1517 forwarded them to Rome. He needed the revenue from the indulgences to pay off a papal dispensation for his tenure of more than one bishopric. As Luther later noted, "the pope had a finger in the pie as well, because one half was to go to the building of St Peter's Church in Rome".</t>
  </si>
  <si>
    <t>Who was the ideologue of the Iranian Revolution?</t>
  </si>
  <si>
    <t>What is the force that causes rigid strength in structures?</t>
  </si>
  <si>
    <t>historic densely occupied, arguably overinflated markets</t>
  </si>
  <si>
    <t>What was Manning's passer rating for the 2015 season?</t>
  </si>
  <si>
    <t>more active and lived longer</t>
  </si>
  <si>
    <t>The Judicial Council</t>
  </si>
  <si>
    <t>whether he stood by their contents.</t>
  </si>
  <si>
    <t>week</t>
  </si>
  <si>
    <t>motifs for shine-dalgarno sequence recognition</t>
  </si>
  <si>
    <t>How much does a Probationer earn, after 6 years of service?</t>
  </si>
  <si>
    <t>installed electrical arc light based illumination systems designed by Tesla</t>
  </si>
  <si>
    <t>Swiss-Austrian border</t>
  </si>
  <si>
    <t>What book did Luther read in 1542?</t>
  </si>
  <si>
    <t>What are some Chlorophyta and euglenid chloroplasts missing?</t>
  </si>
  <si>
    <t>What is the number of plant species in economics and social interest?</t>
  </si>
  <si>
    <t>235 additional television stations</t>
  </si>
  <si>
    <t>the university and military academy</t>
  </si>
  <si>
    <t>Jochi's death occurred in what year?</t>
  </si>
  <si>
    <t>modern buildings as well as structures dating from the 15th–18th centuries</t>
  </si>
  <si>
    <t>During the ITV network strike of 1979</t>
  </si>
  <si>
    <t>In the early 1990s the memory of Genghis Khan with the Mongolian national identity has had a powerful revival partly because of his perception during the Mongolian People's Republic period. Genghis Khan became one of the central figures of the national identity. He is looked upon positively by Mongolians for his role in uniting warring tribes. For example, it is not uncommon for Mongolians to refer to their country as "Genghis Khan's Mongolia", to themselves as "Genghis Khan's children", and to Genghis Khan as the "father of the Mongols" especially among the younger generation. However, there is a chasm in the perception of his brutality. Mongolians maintain that the historical records written by non-Mongolians are unfairly biased against Genghis Khan and that his butchery is exaggerated, while his positive role is underrated.</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</si>
  <si>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</si>
  <si>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How did Natives in Logstown take Celeron's information?</t>
  </si>
  <si>
    <t>How long after a banquet with Tugh Temur did Kusala die?</t>
  </si>
  <si>
    <t>Decompression sickness</t>
  </si>
  <si>
    <t>What method is used to intuitively assess or quantify the amount of resources required to solve a computational problem?</t>
  </si>
  <si>
    <t>events and festivals</t>
  </si>
  <si>
    <t>Geordie,</t>
  </si>
  <si>
    <t>Why did Confucians like the medical field?</t>
  </si>
  <si>
    <t>When was Dali conquered by the Yuan?</t>
  </si>
  <si>
    <t>How much did Tesla receive from the sale of Wardenclyffe?</t>
  </si>
  <si>
    <t>48 hours</t>
  </si>
  <si>
    <t>Horniman</t>
  </si>
  <si>
    <t>the eighteenth century</t>
  </si>
  <si>
    <t>kicker</t>
  </si>
  <si>
    <t>castles and vineyards</t>
  </si>
  <si>
    <t>fifty thousand dollars</t>
  </si>
  <si>
    <t>ABC on Demand to the beginning of the ABC show</t>
  </si>
  <si>
    <t>What do some modern historians claim Genghis Khan sought to add his legal code at the end of his reign?</t>
  </si>
  <si>
    <t>Murderous, Thieving Hordes</t>
  </si>
  <si>
    <t>spiritual</t>
  </si>
  <si>
    <t>40 to 50 students</t>
  </si>
  <si>
    <t>Who sets the agenda for the EU's work?</t>
  </si>
  <si>
    <t>sharia law</t>
  </si>
  <si>
    <t>sell prescription drugs and require a valid prescription</t>
  </si>
  <si>
    <t>What did this affair cause to Luther's reputation?</t>
  </si>
  <si>
    <t>Ronald Berger</t>
  </si>
  <si>
    <t>nothing for their children to attend, including room and board</t>
  </si>
  <si>
    <t>On 11 July 1934, the New York Herald Tribune published an article on Tesla, in which he recalled an event that would occasionally take place while experimenting with his single-electrode vacuum tubes; a minute particle would break off the cathode, pass out of the tube, and physically strike him. "Tesla said he could feel a sharp stinging pain where it entered his body, and again at the place where it passed out." In comparing these particles with the bits of metal projected by his "electric gun," Tesla said, "The particles in the beam of force ... will travel much faster than such particles ... and they will travel in concentrations."</t>
  </si>
  <si>
    <t>What's the name of where the Rhine branches off near Dordrecht?</t>
  </si>
  <si>
    <t>ghost of le roi Huguet</t>
  </si>
  <si>
    <t>What did Priestley name the gas his experiment produced?</t>
  </si>
  <si>
    <t>All of these processes do not necessarily occur in a single environment, and do not necessarily occur in a single order. The Hawaiian Islands, for example, consist almost entirely of layered basaltic lava flows. The sedimentary sequences of the mid-continental United States and the Grand Canyon in the southwestern United States contain almost-undeformed stacks of sedimentary rocks that have remained in place since Cambrian time. Other areas are much more geologically complex. In the southwestern United States, sedimentary, volcanic, and intrusive rocks have been metamorphosed, faulted, foliated, and folded. Even older rocks, such as the Acasta gneiss of the Slave craton in northwestern Canada, the oldest known rock in the world have been metamorphosed to the point where their origin is undiscernable without laboratory analysis. In addition, these processes can occur in stages. In many places, the Grand Canyon in the southwestern United States being a very visible example, the lower rock units were metamorphosed and deformed, and then deformation ended and the upper, undeformed units were deposited. Although any amount of rock emplacement and rock deformation can occur, and they can occur any number of times, these concepts provide a guide to understanding the geological history of an area.</t>
  </si>
  <si>
    <t>Robert Koch</t>
  </si>
  <si>
    <t>What network showed a Doctor Who film?</t>
  </si>
  <si>
    <t>12</t>
  </si>
  <si>
    <t>from the 14th to the 19th century</t>
  </si>
  <si>
    <t>thermodynamic theory</t>
  </si>
  <si>
    <t>£1</t>
  </si>
  <si>
    <t>What is an example of a problem to which effective algorithms have provided a solution in spite of the intractability associated with the breadth of sizes?</t>
  </si>
  <si>
    <t>Where do juvenile platyctenids live?</t>
  </si>
  <si>
    <t>to share recordings and other media</t>
  </si>
  <si>
    <t>Most of the Chinese works of art in the Far Eastern collections date from which two dynasties?</t>
  </si>
  <si>
    <t>wrecking</t>
  </si>
  <si>
    <t>New Orleans' Mercedes-Benz Superdome, Miami's Sun Life Stadium, and the San Francisco Bay Area's Levi's Stadium</t>
  </si>
  <si>
    <t>What mountain range did Genghis Khan cross to enter the Khwarezmian Empire?</t>
  </si>
  <si>
    <t>manned lunar landing.</t>
  </si>
  <si>
    <t>Who did the Panthers beat in the NFC Championship Game?</t>
  </si>
  <si>
    <t>What was the name of the contest sponsored by QuickBooks?</t>
  </si>
  <si>
    <t>chlorophyll b</t>
  </si>
  <si>
    <t>respiration</t>
  </si>
  <si>
    <t>In the Middle East, and particularly in Iran, Genghis Khan is almost universally condemned as a destructive and genocidal warlord who caused enormous damage and destruction to the population of these areas. Steven R. Ward wrote that "Overall, the Mongol violence and depredations killed up to three-fourths of the population of the Iranian Plateau, possibly 10 to 15 million people. Some historians have estimated that Iran's population did not again reach its pre-Mongol levels until the mid-20th century."</t>
  </si>
  <si>
    <t>justifying grace</t>
  </si>
  <si>
    <t>traditional Chinese autocratic-bureaucratic system</t>
  </si>
  <si>
    <t>Some of the income went to the purchase of arms which exacerbated political tension especially in which area?</t>
  </si>
  <si>
    <t>When did Tesla admit to a reporter that maybe he'd sacrificed too much by not having a relationship?</t>
  </si>
  <si>
    <t>Gerhard. Lessing</t>
  </si>
  <si>
    <t>wisdom and prudence of certain decisions of procurement</t>
  </si>
  <si>
    <t>if 1 were considered a prime</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</si>
  <si>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</si>
  <si>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What happens to reactive oxygen species signals since they don't leave the chloroplast?</t>
  </si>
  <si>
    <t>1850</t>
  </si>
  <si>
    <t>What network was converted into an independent subsidiary by RCA in 1942?</t>
  </si>
  <si>
    <t>Which group did not agree to sign these agreements?</t>
  </si>
  <si>
    <t>n &lt; p &lt; 2n − 2</t>
  </si>
  <si>
    <t>euphoric</t>
  </si>
  <si>
    <t>Who is the only other AFC Champion team to wear road jerseys in a Super Bowl?</t>
  </si>
  <si>
    <t>What, when combined with a large workload, can contribute to occupational stress?</t>
  </si>
  <si>
    <t>20.4 billion,</t>
  </si>
  <si>
    <t>Middle Rhine Valley</t>
  </si>
  <si>
    <t>the letter from Dinwiddie</t>
  </si>
  <si>
    <t>Sunspot, New Mexico</t>
  </si>
  <si>
    <t>When could a teacher act in the role of a parent?</t>
  </si>
  <si>
    <t>How many times did plague occur in Venice?</t>
  </si>
  <si>
    <t>Great Fire of 1901</t>
  </si>
  <si>
    <t>connecting the same string multiple times to the same object through the use of a set-up that uses movable pulleys</t>
  </si>
  <si>
    <t xml:space="preserve">Why is the second timeline needed? </t>
  </si>
  <si>
    <t>people who give services "for remuneration"</t>
  </si>
  <si>
    <t>What German ruler invited Huguenot immigration?</t>
  </si>
  <si>
    <t>Denmark's minimum capital law</t>
  </si>
  <si>
    <t>best, worst and average case</t>
  </si>
  <si>
    <t>What welding process was demonstrated in 1901?</t>
  </si>
  <si>
    <t>When did Zhenjin die?</t>
  </si>
  <si>
    <t>Who did Kubiak take the place of after Super Bowl XXIV?</t>
  </si>
  <si>
    <t>the solvability of quadratic equations</t>
  </si>
  <si>
    <t>ultraviolet (UV)</t>
  </si>
  <si>
    <t>western</t>
  </si>
  <si>
    <t>How many total judges are there in the EU?</t>
  </si>
  <si>
    <t>infrequent rain</t>
  </si>
  <si>
    <t>What was the name of the upgraded Saturn I called?</t>
  </si>
  <si>
    <t>Warraghiggey, meaning "He who does great things."</t>
  </si>
  <si>
    <t>poorer countries</t>
  </si>
  <si>
    <t>numerous</t>
  </si>
  <si>
    <t>What kind of coronation happened?</t>
  </si>
  <si>
    <t>American humor.</t>
  </si>
  <si>
    <t>Who proclaimed the oil embargo?</t>
  </si>
  <si>
    <t>1990s</t>
  </si>
  <si>
    <t>the Museum of the Moving Image</t>
  </si>
  <si>
    <t>2004</t>
  </si>
  <si>
    <t>What is the name of the team from USC?</t>
  </si>
  <si>
    <t>1 a.m</t>
  </si>
  <si>
    <t>oxygen tank explosion in transit</t>
  </si>
  <si>
    <t>Who are debates and meetings open to?</t>
  </si>
  <si>
    <t>What city was the media event held for Super Bowl 50?</t>
  </si>
  <si>
    <t>What have peridinin-type chloroplasts lost?</t>
  </si>
  <si>
    <t>Hans Tanzler</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</si>
  <si>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</si>
  <si>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background check and psychiatric evaluation</t>
  </si>
  <si>
    <t>the Unfair Commercial Practices Directive</t>
  </si>
  <si>
    <t>a plug-n-play system</t>
  </si>
  <si>
    <t>because it is a waste of resources</t>
  </si>
  <si>
    <t>What is stress-management training considered to be?</t>
  </si>
  <si>
    <t>2.666 million residents</t>
  </si>
  <si>
    <t>antigens</t>
  </si>
  <si>
    <t>Apollo X</t>
  </si>
  <si>
    <t>When was Martin Luther born?</t>
  </si>
  <si>
    <t>a two-thirds majority</t>
  </si>
  <si>
    <t>What was the resulting channel of the ARTS merger called?</t>
  </si>
  <si>
    <t>Where was Dyrrachium located?</t>
  </si>
  <si>
    <t>no more than nine members</t>
  </si>
  <si>
    <t>What would type of activities would require a teacher to take on a supervisor role?</t>
  </si>
  <si>
    <t>about thirty</t>
  </si>
  <si>
    <t>pharmacy practice residency</t>
  </si>
  <si>
    <t>the journal Nature</t>
  </si>
  <si>
    <t>a telegraph company</t>
  </si>
  <si>
    <t>Eck</t>
  </si>
  <si>
    <t>banded iron formations</t>
  </si>
  <si>
    <t>Ku band</t>
  </si>
  <si>
    <t>Who issued the Royal Proclamation of 1763?</t>
  </si>
  <si>
    <t>in the country</t>
  </si>
  <si>
    <t>evolution of the German language and literature</t>
  </si>
  <si>
    <t>What did the astronauts on the moon send back to Earth live via signals?</t>
  </si>
  <si>
    <t>Along with fuel sources, what concern has contributed to the development of the Advanced Steam movement?</t>
  </si>
  <si>
    <t>$60,000 in cash and stock and a royalty of $2.50 per AC horsepower produced by each motor</t>
  </si>
  <si>
    <t>In what year did Doctor Who begin being shown in HDTV?</t>
  </si>
  <si>
    <t>the "10 million dollar millionaires" grew to nearly $41 trillion in 2008</t>
  </si>
  <si>
    <t xml:space="preserve"> Any even number larger than what cannot be considered prime?</t>
  </si>
  <si>
    <t>gradual</t>
  </si>
  <si>
    <t>William Shirley</t>
  </si>
  <si>
    <t>What was the capital of the Mongol Empire?</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</si>
  <si>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</si>
  <si>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the San Diego area</t>
  </si>
  <si>
    <t>What type of civil war was fought between political and tribal warlords?</t>
  </si>
  <si>
    <t>by offering a higher wage</t>
  </si>
  <si>
    <t xml:space="preserve"> J. A. Hobson wanted which races to develop the world?</t>
  </si>
  <si>
    <t>the BBC</t>
  </si>
  <si>
    <t>Hendrix v Employee</t>
  </si>
  <si>
    <t>the financial strain of buying up patents and hiring the engineers needed to build</t>
  </si>
  <si>
    <t>How many settlers original settled in Manakintown?</t>
  </si>
  <si>
    <t>Which theory states that slow geological processes are still occurring today, and have occurred throughout Earth's history?</t>
  </si>
  <si>
    <t>Whose theory was the theory of continental drift?</t>
  </si>
  <si>
    <t>unified electromagnetic</t>
  </si>
  <si>
    <t>What was the percentage of a female householder with no husband present?</t>
  </si>
  <si>
    <t>The largest objects in the V&amp;A ceramics and glass collection were produced during which time period?</t>
  </si>
  <si>
    <t>n2 + 1</t>
  </si>
  <si>
    <t>Best Supporting Actress</t>
  </si>
  <si>
    <t>What did the number of legions in Roman times depend on?</t>
  </si>
  <si>
    <t>Who is the archenemy of Doctor Who?</t>
  </si>
  <si>
    <t>25m</t>
  </si>
  <si>
    <t>Victoria_(Australia)</t>
  </si>
  <si>
    <t>UHF</t>
  </si>
  <si>
    <t>Who is suited to interpret the Treaties?</t>
  </si>
  <si>
    <t>Who authored the Liber servitoris?</t>
  </si>
  <si>
    <t>Establishing "natural borders"</t>
  </si>
  <si>
    <t>jail solidarity</t>
  </si>
  <si>
    <t>University of Chicago Press</t>
  </si>
  <si>
    <t>A particularly simple example of a probabilistic test is the Fermat primality test, which relies on the fact (Fermat's little theorem) that np≡n (mod p) for any n if p is a prime number. If we have a number b that we want to test for primality, then we work out nb (mod b) for a random value of n as our test. A flaw with this test is that there are some composite numbers (the Carmichael numbers) that satisfy the Fermat identity even though they are not prime, so the test has no way of distinguishing between prime numbers and Carmichael numbers. Carmichael numbers are substantially rarer than prime numbers, though, so this test can be useful for practical purposes. More powerful extensions of the Fermat primality test, such as the Baillie-PSW, Miller-Rabin, and Solovay-Strassen tests, are guaranteed to fail at least some of the time when applied to a composite number.</t>
  </si>
  <si>
    <t>a thylakoid</t>
  </si>
  <si>
    <t>grace of God which sustains the believers in the journey toward Christian Perfection</t>
  </si>
  <si>
    <t>Who were the Super Bowl 50 sideline announcers?</t>
  </si>
  <si>
    <t>North and West Africa, as well as South-East Asia,</t>
  </si>
  <si>
    <t>2018</t>
  </si>
  <si>
    <t>Into what religion was Martin Luther baptized?</t>
  </si>
  <si>
    <t>How many species of trees can be found in the Amazon rainforest?</t>
  </si>
  <si>
    <t>What type of undergarment, if any, was included into the Apollo spacesuit?</t>
  </si>
  <si>
    <t>What is the term of office for each house member?</t>
  </si>
  <si>
    <t>trans-Atlantic wireless telecommunications</t>
  </si>
  <si>
    <t>day after</t>
  </si>
  <si>
    <t>Who gained control of Florida after the conclusion of the Revolutionary War?</t>
  </si>
  <si>
    <t>By what year had Temüjin created a significant "Mongol" tribal alliance?</t>
  </si>
  <si>
    <t>What followed the late local programming after Super Bowl 50?</t>
  </si>
  <si>
    <t>Who was Iqbal a critic of?</t>
  </si>
  <si>
    <t>T cell receptor</t>
  </si>
  <si>
    <t>Cost of construction</t>
  </si>
  <si>
    <t>Continuing the style of the earlier buildings, various designers were responsible for the decoration, the terracotta embellishments were again the work of Godfrey Sykes, although sgraffito was used to decorate the east side of the building designed by F. W. Moody, a final embellishment were the wrought iron gates made as late as 1885 designed by Starkie Gardner, these lead to a passage through the building. Scott also designed the two Cast Courts 1870–73 to the southeast of the garden (the site of the "Brompton Boilers"), these vast spaces have ceilings 70 feet (21 m) in height to accommodate the plaster casts of parts of famous buildings, including Trajan's Column (in two separate pieces). The final part of the museum designed by Scott was the Art Library and what is now the sculpture gallery on the south side of the garden, built 1877–83, the exterior mosaic panels in the parapet were designed by Reuben Townroe who also designed the plaster work in the library, Sir John Taylor designed the book shelves and cases, also this was the first part of the museum to have electric lighting. This completed the northern half of the site, creating a quadrangle with the garden at its centre, but left the museum without a proper façade. In 1890 the government launched a competition to design new buildings for the museum, with architect Alfred Waterhouse as one of the judges; this would give the museum a new imposing front entrance.</t>
  </si>
  <si>
    <t>Child labour is common in Kenya. Most working children are active in agriculture. In 2006, UNICEF estimated that up to 30% of girls in the coastal areas of Malindi, Mombasa, Kilifi, and Diani were subject to prostitution. Most of the prostitutes in Kenya are aged 9–18. The Ministry of Gender and Child Affairs employed 400 child protection officers in 2009. The causes of child labour include poverty, the lack of access to education and weak government institutions. Kenya has ratified Convention No. 81 on labour inspection in industries and Convention No. 129 on labour inspection in agriculture.</t>
  </si>
  <si>
    <t>1923</t>
  </si>
  <si>
    <t>Al-Qaeda and the Taliban</t>
  </si>
  <si>
    <t>599 m to 396 m</t>
  </si>
  <si>
    <t>Shakespeare</t>
  </si>
  <si>
    <t>middle eastern scientists</t>
  </si>
  <si>
    <t>What is most of Warsaw's modern growth based on?</t>
  </si>
  <si>
    <t>Hospitality Business/Financial Centre</t>
  </si>
  <si>
    <t>the Italian Plague of 1629–1631</t>
  </si>
  <si>
    <t>What astronomers is also a university alumni member?</t>
  </si>
  <si>
    <t>In which galleries are the French paintings donated by Jones displayed?</t>
  </si>
  <si>
    <t>compressing and cooling it</t>
  </si>
  <si>
    <t>Where was the FIS formed?</t>
  </si>
  <si>
    <t>Oligocene</t>
  </si>
  <si>
    <t>Which country did Rewe-Zentrale AG wish to import from?</t>
  </si>
  <si>
    <t>Under what treaty can the European Commission take action against member states?</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</si>
  <si>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</si>
  <si>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What was Tugh's Chinese-style name?</t>
  </si>
  <si>
    <t>What does the First Company Law Directive article 11 require?</t>
  </si>
  <si>
    <t>elite politicians</t>
  </si>
  <si>
    <t>the mainstream Indian nationalist and secularist Indian National Congress</t>
  </si>
  <si>
    <t>Which church's saint is nicknamed The Martyr?</t>
  </si>
  <si>
    <t>National School</t>
  </si>
  <si>
    <t>What was the original name of California State University at Fresno?</t>
  </si>
  <si>
    <t>In which season did the ABC logo first appear as an on-screen bug?</t>
  </si>
  <si>
    <t>Emmerich Rhine Bridge</t>
  </si>
  <si>
    <t>What was the name of the experiment that tested how life originated?</t>
  </si>
  <si>
    <t>arrived too late to enroll</t>
  </si>
  <si>
    <t>the highest</t>
  </si>
  <si>
    <t>wages and profits</t>
  </si>
  <si>
    <t>political reasons</t>
  </si>
  <si>
    <t>by theme</t>
  </si>
  <si>
    <t>Who was Shi Tianze's father?</t>
  </si>
  <si>
    <t>California State Automobile Association</t>
  </si>
  <si>
    <t>Elector of Saxony</t>
  </si>
  <si>
    <t>1507</t>
  </si>
  <si>
    <t>atmospheric engine</t>
  </si>
  <si>
    <t>How did france differ from Britain in managing its colonies?</t>
  </si>
  <si>
    <t>4,097.9</t>
  </si>
  <si>
    <t>more assertive and confrontational</t>
  </si>
  <si>
    <t>Luther's Small Catechism proved especially effective in helping parents teach their children; likewise the Larger Catechism was effective for pastors. Using the German vernacular, they expressed the Apostles' Creed in simpler, more personal, Trinitarian language. He rewrote each article of the Creed to express the character of the Father, the Son, or the Holy Spirit. Luther's goal was to enable the catechumens to see themselves as a personal object of the work of the three persons of the Trinity, each of which works in the catechumen's life. That is, Luther depicted the Trinity not as a doctrine to be learned, but as persons to be known. The Father creates, the Son redeems, and the Spirit sanctifies, a divine unity with separate personalities. Salvation originates with the Father and draws the believer to the Father. Luther's treatment of the Apostles' Creed must be understood in the context of the Decalogue (the Ten Commandments) and the Lord's Prayer, which are also part of the Lutheran catechical teaching.</t>
  </si>
  <si>
    <t>Where is the only Jewish synagogue located?</t>
  </si>
  <si>
    <t>steal the invention</t>
  </si>
  <si>
    <t>the offices and board room etc.</t>
  </si>
  <si>
    <t>the colonies of British America and New France</t>
  </si>
  <si>
    <t>recycled continuously</t>
  </si>
  <si>
    <t>What were the national elections in 1991 canceled by?</t>
  </si>
  <si>
    <t>What objective would be labeled as practical?</t>
  </si>
  <si>
    <t>Metro Light Rail</t>
  </si>
  <si>
    <t>transient</t>
  </si>
  <si>
    <t>David Graeber and Donald Johanson</t>
  </si>
  <si>
    <t>The Commission's President (</t>
  </si>
  <si>
    <t>Who did BSkyB compete with initially?</t>
  </si>
  <si>
    <t>What is the oncorhynchus also called?</t>
  </si>
  <si>
    <t>What, to Luther had the Church lost sight of?</t>
  </si>
  <si>
    <t>What gave Priestley the claim to being the first discovered of oxygen?</t>
  </si>
  <si>
    <t>Fowler</t>
  </si>
  <si>
    <t>1251</t>
  </si>
  <si>
    <t>type of committee</t>
  </si>
  <si>
    <t>How much British military was in North America at start of War?</t>
  </si>
  <si>
    <t>What part of the Rhine flows west at Katwijk?</t>
  </si>
  <si>
    <t>Troika</t>
  </si>
  <si>
    <t>What is a descriptive term for a low-to-high energy bond?</t>
  </si>
  <si>
    <t>the "blurring of theological and confessional differences in the interests of unity."</t>
  </si>
  <si>
    <t>the International Association of Methodist-related Schools, Colleges, and Universities</t>
  </si>
  <si>
    <t>EAT!</t>
  </si>
  <si>
    <t>What company has been hosted at the Theatre Royal for over 25 years?</t>
  </si>
  <si>
    <t>Merritt Island</t>
  </si>
  <si>
    <t>The Eleventh</t>
  </si>
  <si>
    <t>areas that are being actively deformed</t>
  </si>
  <si>
    <t>Walter Reed.</t>
  </si>
  <si>
    <t>What prohibits atoms from passing through each other?</t>
  </si>
  <si>
    <t>From which countries were the V&amp;A's collection of Delftware produced?</t>
  </si>
  <si>
    <t>early Lutheran hymnals</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</si>
  <si>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</si>
  <si>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is the first major bend in the Rhine called?</t>
  </si>
  <si>
    <t>In April 1970, Congress passed the Public Health Cigarette Smoking Act which banned cigarette advertising from all television and radio networks, including ABC, when it took effect on January 2, 1971. Citing limited profitability of its cinemas, ABC Great States, the Central West division of ABC Theatres, was sold to Henry Plitt in 1974. On January 17, 1972, Elton Rule was named President and Chief Operating Officer of ABC a few months after Goldenson reduced his role in the company after suffering a heart attack.</t>
  </si>
  <si>
    <t>a modern context</t>
  </si>
  <si>
    <t>Subject Committees are established at the beginning of each parliamentary session, and again the members on each committee reflect the balance of parties across Parliament. Typically each committee corresponds with one (or more) of the departments (or ministries) of the Scottish Government. The current Subject Committees in the fourth Session are: Economy, Energy and Tourism; Education and Culture; Health and Sport; Justice; Local Government and Regeneration; Rural Affairs, Climate Change and Environment; Welfare Reform; and Infrastructure and Capital Investment.</t>
  </si>
  <si>
    <t>Does the residential architecture of the Tower District compare or contrast with other part of Fresno?</t>
  </si>
  <si>
    <t>How big were his artificial bolts?</t>
  </si>
  <si>
    <t>Seismologists can use the arrival times of seismic waves in reverse to image the interior of the Earth. Early advances in this field showed the existence of a liquid outer core (where shear waves were not able to propagate) and a dense solid inner core. These advances led to the development of a layered model of the Earth, with a crust and lithosphere on top, the mantle below (separated within itself by seismic discontinuities at 410 and 660 kilometers), and the outer core and inner core below that. More recently, seismologists have been able to create detailed images of wave speeds inside the earth in the same way a doctor images a body in a CT scan. These images have led to a much more detailed view of the interior of the Earth, and have replaced the simplified layered model with a much more dynamic model.</t>
  </si>
  <si>
    <t>allowed local area networks to be established ad hoc without the requirement for a centralized router or server</t>
  </si>
  <si>
    <t>What function do compounds like phenol and acetone serve in the manufacture of many other substances?</t>
  </si>
  <si>
    <t>When did Genghis Khan capture the Jin dynasty capital?</t>
  </si>
  <si>
    <t>Mesozoic Era</t>
  </si>
  <si>
    <t>1996 General Conference</t>
  </si>
  <si>
    <t>How many sororities are apart of the university?</t>
  </si>
  <si>
    <t>30 days</t>
  </si>
  <si>
    <t>approximately 1015 kelvins</t>
  </si>
  <si>
    <t>half as much</t>
  </si>
  <si>
    <t>Alsace</t>
  </si>
  <si>
    <t>does not faithfully summarize the full WGI report</t>
  </si>
  <si>
    <t>a series of elaborately ornamented ceramic stoves</t>
  </si>
  <si>
    <t>Aside from oxides, what other compounds comprise a large portion of the Earth's crust?</t>
  </si>
  <si>
    <t>Cameron</t>
  </si>
  <si>
    <t>What is the name of the spiritual teacher in Hinduism?</t>
  </si>
  <si>
    <t>electric eels</t>
  </si>
  <si>
    <t>Harvard's athletic rivalry with Yale is intense in every sport in which they meet, coming to a climax each fall in the annual football meeting, which dates back to 1875 and is usually called simply "The Game". While Harvard's football team is no longer one of the country's best as it often was a century ago during football's early days (it won the Rose Bowl in 1920), both it and Yale have influenced the way the game is played. In 1903, Harvard Stadium introduced a new era into football with the first-ever permanent reinforced concrete stadium of its kind in the country. The stadium's structure actually played a role in the evolution of the college game. Seeking to reduce the alarming number of deaths and serious injuries in the sport, Walter Camp (former captain of the Yale football team), suggested widening the field to open up the game. But the stadium was too narrow to accommodate a wider playing surface. So, other steps had to be taken. Camp would instead support revolutionary new rules for the 1906 season. These included legalizing the forward pass, perhaps the most significant rule change in the sport's history.</t>
  </si>
  <si>
    <t>Who was drawn to Jacksonville in the 1910s?</t>
  </si>
  <si>
    <t>between P and PSPACE</t>
  </si>
  <si>
    <t>How do bills pass through Parliament?</t>
  </si>
  <si>
    <t>Tesla's uncles</t>
  </si>
  <si>
    <t>the canalized Rhine</t>
  </si>
  <si>
    <t>the set of triples (a, b, c) such that the relation a × b = c holds</t>
  </si>
  <si>
    <t>STB</t>
  </si>
  <si>
    <t>Which treaty provides that the European Union law be applied to metropolitan territories of member states?</t>
  </si>
  <si>
    <t>Astra's</t>
  </si>
  <si>
    <t>Who was one of the earliest examples of Civil Disobedience against?</t>
  </si>
  <si>
    <t>fifty percent more</t>
  </si>
  <si>
    <t>over-fishing and long-term environmental changes</t>
  </si>
  <si>
    <t>three types of movement</t>
  </si>
  <si>
    <t>prelaunch test</t>
  </si>
  <si>
    <t>monkey</t>
  </si>
  <si>
    <t>How do platyctenids reproduce?</t>
  </si>
  <si>
    <t>How much did the gross agricultural product increase from 2003-04?</t>
  </si>
  <si>
    <t>What is the name of the bridge that joins parts of the campus of the Charles River?</t>
  </si>
  <si>
    <t>Swiss-Austrian</t>
  </si>
  <si>
    <t>The energy crisis</t>
  </si>
  <si>
    <t>Which wireless company had exclusive streaming rights on mobile phones?</t>
  </si>
  <si>
    <t>UNESCO's World Heritage</t>
  </si>
  <si>
    <t>Gegeen Khan</t>
  </si>
  <si>
    <t>How many companies were registered in Warsaw in 2006?</t>
  </si>
  <si>
    <t>Where in Warsaw are patriotic and political objects connected with Poland's struggles for Independence found?</t>
  </si>
  <si>
    <t>European imperialism was focused on what?</t>
  </si>
  <si>
    <t>3600 revolutions per minute</t>
  </si>
  <si>
    <t>Who did the Broncos prevent from going to the Super Bowl?</t>
  </si>
  <si>
    <t>$230 million</t>
  </si>
  <si>
    <t>Which video gaming company debuted their ad for the first time during Super Bowl 50?</t>
  </si>
  <si>
    <t>What long term agenda was the acts of plundering Muslim lands by the West?</t>
  </si>
  <si>
    <t xml:space="preserve">What was the overly generous royalty amount that Tesla had been receiving? </t>
  </si>
  <si>
    <t>What foreign bodies, which are older than the rocks themselves, occur igneous rocks?</t>
  </si>
  <si>
    <t>Manhattan Storage and Warehouse Company</t>
  </si>
  <si>
    <t>What was the average household size?</t>
  </si>
  <si>
    <t>What political group began to gain support following the corruption scandal?</t>
  </si>
  <si>
    <t>John Madejski Garden</t>
  </si>
  <si>
    <t>increased scrutiny</t>
  </si>
  <si>
    <t>The Free Movement of Workers Regulation articles 1 to 7 set out the main provisions on equal treatment of workers. First, articles 1 to 4 generally require that workers can take up employment, conclude contracts, and not suffer discrimination compared to nationals of the member state. In a famous case, the Belgian Football Association v Bosman, a Belgian footballer named Jean-Marc Bosman claimed that he should be able to transfer from R.F.C. de Liège to USL Dunkerque when his contract finished, regardless of whether Dunkerque could afford to pay Liège the habitual transfer fees. The Court of Justice held "the transfer rules constitute[d] an obstacle to free movement" and were unlawful unless they could be justified in the public interest, but this was unlikely. In Groener v Minister for Education the Court of Justice accepted that a requirement to speak Gaelic to teach in a Dublin design college could be justified as part of the public policy of promoting the Irish language, but only if the measure was not disproportionate. By contrast in Angonese v Cassa di Risparmio di Bolzano SpA a bank in Bolzano, Italy, was not allowed to require Mr Angonese to have a bilingual certificate that could only be obtained in Bolzano. The Court of Justice, giving "horizontal" direct effect to TFEU article 45, reasoned that people from other countries would have little chance of acquiring the certificate, and because it was "impossible to submit proof of the required linguistic knowledge by any other means", the measure was disproportionate. Second, article 7(2) requires equal treatment in respect of tax. In Finanzamt Köln Altstadt v Schumacker the Court of Justice held that it contravened TFEU art 45 to deny tax benefits (e.g. for married couples, and social insurance expense deductions) to a man who worked in Germany, but was resident in Belgium when other German residents got the benefits. By contrast in Weigel v Finanzlandesdirektion für Vorarlberg the Court of Justice rejected Mr Weigel's claim that a re-registration charge upon bringing his car to Austria violated his right to free movement. Although the tax was "likely to have a negative bearing on the decision of migrant workers to exercise their right to freedom of movement", because the charge applied equally to Austrians, in absence of EU legislation on the matter it had to be regarded as justified. Third, people must receive equal treatment regarding "social advantages", although the Court has approved residential qualifying periods. In Hendrix v Employee Insurance Institute the Court of Justice held that a Dutch national was not entitled to continue receiving incapacity benefits when he moved to Belgium, because the benefit was "closely linked to the socio-economic situation" of the Netherlands. Conversely, in Geven v Land Nordrhein-Westfalen the Court of Justice held that a Dutch woman living in the Netherlands, but working between 3 and 14 hours a week in Germany, did not have a right to receive German child benefits, even though the wife of a man who worked full-time in Germany but was resident in Austria could. The general justifications for limiting free movement in TFEU article 45(3) are "public policy, public security or public health", and there is also a general exception in article 45(4) for "employment in the public service".</t>
  </si>
  <si>
    <t>What broadcast group is the largest operator of ABC stations?</t>
  </si>
  <si>
    <t>nonviolent</t>
  </si>
  <si>
    <t>Since its inception, ABC has had many affiliated stations, which include WABC-TV and WPVI-TV, the first two stations to carry the network's programming. As of March 2015[update], ABC has eight owned-and-operated stations, and current and pending affiliation agreements with 235 additional television stations encompassing 49 states, the District of Columbia, four U.S. possessions, Bermuda and Saba; this makes ABC the largest U.S. broadcast television network by total number of affiliates. The network has an estimated national reach of 96.26% of all households in the United States (or 300,794,157 Americans with at least one television set).</t>
  </si>
  <si>
    <t>first NASA scientist astronaut to fly in space</t>
  </si>
  <si>
    <t>energy</t>
  </si>
  <si>
    <t>What is the Bielany Forest the last remnant of?</t>
  </si>
  <si>
    <t>launch countdown</t>
  </si>
  <si>
    <t>provide a fault-tolerant, efficient routing method for telecommunication messages</t>
  </si>
  <si>
    <t>polynomial-time reduction</t>
  </si>
  <si>
    <t>common rules for coal and steel, and then atomic energy</t>
  </si>
  <si>
    <t>Venom</t>
  </si>
  <si>
    <t>Goodell</t>
  </si>
  <si>
    <t>What sometimes follows moving chloroplasts?</t>
  </si>
  <si>
    <t>colonel of the Iroquois</t>
  </si>
  <si>
    <t>Informal rule</t>
  </si>
  <si>
    <t>the new structure would enable school drop-outs at all levels either to be self-employed or to secure employment in the informal sector</t>
  </si>
  <si>
    <t>the assassination of US President John F. Kennedy</t>
  </si>
  <si>
    <t>What paved the way for the Augsburg Confession?</t>
  </si>
  <si>
    <t>Hagen</t>
  </si>
  <si>
    <t>Who initially wanted more unmanned testing done regarding the LM?</t>
  </si>
  <si>
    <t>Newton's Third</t>
  </si>
  <si>
    <t>topographic</t>
  </si>
  <si>
    <t>How many times did Arizona turn the ball over in the NFC Championship?</t>
  </si>
  <si>
    <t>Where is the highest point of the Rhine basin?</t>
  </si>
  <si>
    <t>As of 2008, about what percentage of Swedish students attended private schools?</t>
  </si>
  <si>
    <t>When was Kublai's administration running out of money?</t>
  </si>
  <si>
    <t>When was BSkyB's digital service launched?</t>
  </si>
  <si>
    <t>Where is Peridinin found?</t>
  </si>
  <si>
    <t>1964, until it achieved the first manned landing in July 1969,</t>
  </si>
  <si>
    <t>Yinchuan</t>
  </si>
  <si>
    <t>What does ctenophora use for digestion and respiration?</t>
  </si>
  <si>
    <t>input encoding</t>
  </si>
  <si>
    <t>What type of reaction is present in the emergency oxygen generator of an airplane?</t>
  </si>
  <si>
    <t>a museum</t>
  </si>
  <si>
    <t>Free oxygen gas was almost nonexistent in Earth's atmosphere before photosynthetic archaea and bacteria evolved, probably about 3.5 billion years ago. Free oxygen first appeared in significant quantities during the Paleoproterozoic eon (between 3.0 and 2.3 billion years ago). For the first billion years, any free oxygen produced by these organisms combined with dissolved iron in the oceans to form banded iron formations. When such oxygen sinks became saturated, free oxygen began to outgas from the oceans 3–2.7 billion years ago, reaching 10% of its present level around 1.7 billion years ago.</t>
  </si>
  <si>
    <t>ranked above the two personal physicians of the Emperor</t>
  </si>
  <si>
    <t>Hugues hypothesis</t>
  </si>
  <si>
    <t>What events are often associated with volcanism and igneous activity?</t>
  </si>
  <si>
    <t>How did Genghis Khan observed the surrender terms after Samarkand fell?</t>
  </si>
  <si>
    <t>What type of creature is usually Doctor Who's companion?</t>
  </si>
  <si>
    <t>What architecture type came after Norman in England?</t>
  </si>
  <si>
    <t>What is Vision 2030?</t>
  </si>
  <si>
    <t>What former MVP was shown in the locker room?</t>
  </si>
  <si>
    <t>The principle of cross-cutting relationships pertains to the formation of faults and the age of the sequences through which they cut. Faults are younger than the rocks they cut; accordingly, if a fault is found that penetrates some formations but not those on top of it, then the formations that were cut are older than the fault, and the ones that are not cut must be younger than the fault. Finding the key bed in these situations may help determine whether the fault is a normal fault or a thrust fault.</t>
  </si>
  <si>
    <t>1.1 × 1011 metric tonnes</t>
  </si>
  <si>
    <t>What does colonialism lack that imperialism has?</t>
  </si>
  <si>
    <t>gets smaller</t>
  </si>
  <si>
    <t>validity of the social contract</t>
  </si>
  <si>
    <t>over 4.5 million objects</t>
  </si>
  <si>
    <t>What can hurt a teacher's mental and physical health?</t>
  </si>
  <si>
    <t>Where did Genghis Khan spend the summer after taking Deshun?</t>
  </si>
  <si>
    <t>What are the attacks on teachers causing?</t>
  </si>
  <si>
    <t>36% of households</t>
  </si>
  <si>
    <t>With whom must someone who wants to teach register?</t>
  </si>
  <si>
    <t>Between 1978 an d2008 four year full time undergraduate students were required to complete how many classes outside of their concentration?</t>
  </si>
  <si>
    <t>Upstate New York and the Ohio Country</t>
  </si>
  <si>
    <t>1974 Mustang I</t>
  </si>
  <si>
    <t>From whence did Luther want to expel the Jews?</t>
  </si>
  <si>
    <t>What was the target percentage of households BSkyB wanted to reach?</t>
  </si>
  <si>
    <t>6.1</t>
  </si>
  <si>
    <t>Under which leader did the Huguenots fight in this conflict?</t>
  </si>
  <si>
    <t>In early 1961, direct ascent was generally the mission mode in favor at NASA. Many engineers feared that a rendezvous —let alone a docking— neither of which had been attempted even in Earth orbit, would be extremely difficult in lunar orbit. Dissenters including John Houbolt at Langley Research Center emphasized the important weight reductions that were offered by the LOR approach. Throughout 1960 and 1961, Houbolt campaigned for the recognition of LOR as a viable and practical option. Bypassing the NASA hierarchy, he sent a series of memos and reports on the issue to Associate Administrator Robert Seamans; while acknowledging that he spoke "somewhat as a voice in the wilderness," Houbolt pleaded that LOR should not be discounted in studies of the question.</t>
  </si>
  <si>
    <t>courts of member states</t>
  </si>
  <si>
    <t>In Japan, at the end of the Asuka period (538–710) and the early Nara period (710–794), the men who fulfilled roles similar to those of modern pharmacists were highly respected. The place of pharmacists in society was expressly defined in the Taihō Code (701) and re-stated in the Yōrō Code (718). Ranked positions in the pre-Heian Imperial court were established; and this organizational structure remained largely intact until the Meiji Restoration (1868). In this highly stable hierarchy, the pharmacists—and even pharmacist assistants—were assigned status superior to all others in health-related fields such as physicians and acupuncturists. In the Imperial household, the pharmacist was even ranked above the two personal physicians of the Emperor.</t>
  </si>
  <si>
    <t>killer T cells</t>
  </si>
  <si>
    <t>What was the title of ABC's broadcast film program that debuted on Sundays in 1962?</t>
  </si>
  <si>
    <t>Who assist elders in the sacraments of Holy Communion and Baptism?</t>
  </si>
  <si>
    <t>When did the colonization of India occur?</t>
  </si>
  <si>
    <t>to maintain their legitimacy</t>
  </si>
  <si>
    <t>expelled Jews</t>
  </si>
  <si>
    <t>In 1830</t>
  </si>
  <si>
    <t>Kaifeng</t>
  </si>
  <si>
    <t>The British spirit of imperialism</t>
  </si>
  <si>
    <t>To force Japan to be more involved in the crisis, what did Saudi and Kuwaiti government do?</t>
  </si>
  <si>
    <t>In July 2013, the English High Court of Justice found that Microsoft’s use of the term "SkyDrive" infringed on Sky’s right to the "Sky" trademark. On 31 July 2013, BSkyB and Microsoft announced their settlement, in which Microsoft will not appeal the ruling, and will rename its SkyDrive cloud storage service after an unspecified "reasonable period of time to allow for an orderly transition to a new brand," plus "financial and other terms, the details of which are confidential". On 27 January 2014, Microsoft announced "that SkyDrive will soon become OneDrive" and "SkyDrive Pro" becomes "OneDrive for Business".</t>
  </si>
  <si>
    <t>How long may the Amazon rainforest be threatened, according to some computer models?</t>
  </si>
  <si>
    <t>Basic formal education starts at age six years and lasts 12 years comprising eight years in primary school and four years in high school or secondary school. Primary school is free in public schools and those who exit at this level can join a vocational youth/village polytechnic or make their own arrangements for an apprenticeship program and learn a trade such as tailoring, carpentry, motor vehicle repair, brick-laying and masonry for about two years. Those who complete high school can join a polytechnic or other technical college and study for three years or proceed directly to the university and study for four years. Graduates from the polytechnics and colleges can then join the workforce and later obtain a specialised higher diploma qualification after a further one to two years of training, or join the university – usually in the second or third year of their respective course. The higher diploma is accepted by many employers in place of a bachelor's degree and direct or accelerated admission to post-graduate studies is possible in some universities.</t>
  </si>
  <si>
    <t>April 4, 1968</t>
  </si>
  <si>
    <t>Céloron's expedition force consisted of about 200 Troupes de la marine and 30 Indians. The expedition covered about 3,000 miles (4,800 km) between June and November 1749. It went up the St. Lawrence, continued along the northern shore of Lake Ontario, crossed the portage at Niagara, and followed the southern shore of Lake Erie. At the Chautauqua Portage (near present-day Barcelona, New York), the expedition moved inland to the Allegheny River, which it followed to the site of present-day Pittsburgh. There Céloron buried lead plates engraved with the French claim to the Ohio Country. Whenever he encountered British merchants or fur-traders, Céloron informed them of the French claims on the territory and told them to leave.</t>
  </si>
  <si>
    <t>roughly 260 kilometres</t>
  </si>
  <si>
    <t>determines those proceeding to the universities</t>
  </si>
  <si>
    <t>Katharina von Bora</t>
  </si>
  <si>
    <t>Who designed the iron gates that decorate the new entrance building?</t>
  </si>
  <si>
    <t>lower rates</t>
  </si>
  <si>
    <t>national parks</t>
  </si>
  <si>
    <t>a balance sensor consisting of a statolith</t>
  </si>
  <si>
    <t>What does quadratic reciprocity seek to achieve?</t>
  </si>
  <si>
    <t>Who did the Han Chinese want to help the Mongols fight?</t>
  </si>
  <si>
    <t>Calendar for Fixing the Seasons</t>
  </si>
  <si>
    <t>statement suggested a lack of remorse</t>
  </si>
  <si>
    <t>Above what horsepower are steam turbines usually more efficient than steam engines that use reciprocating pistons?</t>
  </si>
  <si>
    <t>Who first wrote about the Rhine's discovery and border?</t>
  </si>
  <si>
    <t>Atlantic</t>
  </si>
  <si>
    <t>What sorts of items are displayed in the Esteve Pharmacy museum?</t>
  </si>
  <si>
    <t>cangue</t>
  </si>
  <si>
    <t>Guyard de Moulin</t>
  </si>
  <si>
    <t>In what body of water is the Harvard - Yale Regatta held?</t>
  </si>
  <si>
    <t>stacks of two</t>
  </si>
  <si>
    <t>30%</t>
  </si>
  <si>
    <t>Colonel Monckton</t>
  </si>
  <si>
    <t xml:space="preserve">What is the conventional measurement of the Rhine? </t>
  </si>
  <si>
    <t>Middle Rhine</t>
  </si>
  <si>
    <t>about 40 nanometers across</t>
  </si>
  <si>
    <t>Moselle</t>
  </si>
  <si>
    <t>What Doctor Who mini-episode was shown during the Prom?</t>
  </si>
  <si>
    <t>halftime</t>
  </si>
  <si>
    <t>What was the name of the Doctor Who play from the 1980's?</t>
  </si>
  <si>
    <t>receptor diversity</t>
  </si>
  <si>
    <t>What kind of chloroplasts did diatoms have but lost?</t>
  </si>
  <si>
    <t>3.55 inches</t>
  </si>
  <si>
    <t>North American Aviation won the contract to build the CSM, and also the second stage of the Saturn V launch vehicle for NASA. Because the CSM design was started early before the selection of lunar orbit rendezvous, the service propulsion engine was sized to lift the CSM off of the Moon, and thus was oversized to about twice the thrust required for translunar flight. Also, there was no provision for docking with the Lunar Module. A 1964 program definition study concluded that the initial design should be continued as Block I which would be used for early testing, while Block II, the actual lunar spacecraft, would incorporate the docking equipment and take advantage of the lessons learned in Block I development.</t>
  </si>
  <si>
    <t>What is "The Gate"?</t>
  </si>
  <si>
    <t>Which well-known general abandoned Jamukha's coalition against Temüjin?</t>
  </si>
  <si>
    <t>Which end of the Saxon Garden is the Tom of the Unknown Soldier located at?</t>
  </si>
  <si>
    <t>What industry has managed to survive major military spending cutbacks?</t>
  </si>
  <si>
    <t>Other than Point Conception, what landmark is used in the other definition of southern California?</t>
  </si>
  <si>
    <t>What is considered as a potential advantage for wealth for some Americans?</t>
  </si>
  <si>
    <t>Mark Twain</t>
  </si>
  <si>
    <t>When American car companies rolled out with their domestic replacement cars, which policy ended?</t>
  </si>
  <si>
    <t>What were the two main theories of immunity at the end of the 19th century?</t>
  </si>
  <si>
    <t>John D. Rockefeller</t>
  </si>
  <si>
    <t>Who first fully explained the origins of magnetic and electric fields?</t>
  </si>
  <si>
    <t>1891</t>
  </si>
  <si>
    <t>graduate and undergraduate students elected to represent members from their respective academic unit</t>
  </si>
  <si>
    <t>On what streets is the ABC headquarters located</t>
  </si>
  <si>
    <t>at least 90% certain</t>
  </si>
  <si>
    <t>the Town Moor</t>
  </si>
  <si>
    <t>irreducible elements</t>
  </si>
  <si>
    <t>1524–25,</t>
  </si>
  <si>
    <t>When does Doctor Who transition to a new body?</t>
  </si>
  <si>
    <t>characteristics of the conquering peoples</t>
  </si>
  <si>
    <t>How many votes in total does the Council have?</t>
  </si>
  <si>
    <t>What is the largest sensory feature of the ctenophora?</t>
  </si>
  <si>
    <t>the Church of England</t>
  </si>
  <si>
    <t>Associating forces with vectors</t>
  </si>
  <si>
    <t>small islands</t>
  </si>
  <si>
    <t>Which lineage includes land plants?</t>
  </si>
  <si>
    <t>tangential force</t>
  </si>
  <si>
    <t>Who reigned over the Ottoman empire when it was at its most powerful.</t>
  </si>
  <si>
    <t>Jesus</t>
  </si>
  <si>
    <t>While most chloroplasts originate from that first set of endosymbiotic events, Paulinella chromatophora is an exception that acquired a photosynthetic cyanobacterial endosymbiont more recently. It is not clear whether that symbiont is closely related to the ancestral chloroplast of other eukaryotes. Being in the early stages of endosymbiosis, Paulinella chromatophora can offer some insights into how chloroplasts evolved. Paulinella cells contain one or two sausage shaped blue-green photosynthesizing structures called chromatophores, descended from the cyanobacterium Synechococcus. Chromatophores cannot survive outside their host. Chromatophore DNA is about a million base pairs long, containing around 850 protein encoding genes—far less than the three million base pair Synechococcus genome, but much larger than the approximately 150,000 base pair genome of the more assimilated chloroplast. Chromatophores have transferred much less of their DNA to the nucleus of their host. About 0.3–0.8% of the nuclear DNA in Paulinella is from the chromatophore, compared with 11–14% from the chloroplast in plants.</t>
  </si>
  <si>
    <t>a report</t>
  </si>
  <si>
    <t>In what years did Spain and Portugal join the European Union?</t>
  </si>
  <si>
    <t>Dating of lava and volcanic ash layers found within a stratigraphic sequence</t>
  </si>
  <si>
    <t>How much money has been raised by the host committee?</t>
  </si>
  <si>
    <t>Athens in 430 BC</t>
  </si>
  <si>
    <t>1.6 kilometres</t>
  </si>
  <si>
    <t>In the United States especially, several high-profile cases such as Debra LaFave, Pamela Rogers, and Mary Kay Letourneau have caused increased scrutiny on teacher misconduct.</t>
  </si>
  <si>
    <t>the Taihō Code (701) and re-stated in the Yōrō Code (718)</t>
  </si>
  <si>
    <t>National Type</t>
  </si>
  <si>
    <t>British blockade of the French coastline limited French shipping.</t>
  </si>
  <si>
    <t>With 4:51 left in regulation, Carolina got the ball on their own 24-yard line with a chance to mount a game-winning drive, and soon faced 3rd-and-9. On the next play, Miller stripped the ball away from Newton, and after several players dove for it, it took a long bounce backwards and was recovered by Ward, who returned it five yards to the Panthers 4-yard line. Although several players dove into the pile to attempt to recover it, Newton did not and his lack of aggression later earned him heavy criticism. Meanwhile, Denver's offense was kept out of the end zone for three plays, but a holding penalty on cornerback Josh Norman gave the Broncos a new set of downs. Then Anderson scored on a 2-yard touchdown run and Manning completed a pass to Bennie Fowler for a 2-point conversion, giving Denver a 24–10 lead with 3:08 left and essentially putting the game away. Carolina had two more drives, but failed to get a first down on each one.</t>
  </si>
  <si>
    <t>propulsion, electrical power and life support</t>
  </si>
  <si>
    <t>Mamluks</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</si>
  <si>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</si>
  <si>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academy</t>
  </si>
  <si>
    <t>How many hymns did Luther write for the first choral hymnal?</t>
  </si>
  <si>
    <t>The papers of which famous English Victorian author are collected in the library?</t>
  </si>
  <si>
    <t>U.S. South</t>
  </si>
  <si>
    <t>method of locomotion</t>
  </si>
  <si>
    <t>Pictish</t>
  </si>
  <si>
    <t>How successful was initial effort by Braddock?</t>
  </si>
  <si>
    <t>What game show debuted on ABC in 2007 as a replacement for striking programs?</t>
  </si>
  <si>
    <t>flashbacks</t>
  </si>
  <si>
    <t>What can a simultaneous hermaphrodite do?</t>
  </si>
  <si>
    <t>He who does great things</t>
  </si>
  <si>
    <t>Warsaw Citadel</t>
  </si>
  <si>
    <t>Sports Programs, Inc.</t>
  </si>
  <si>
    <t>On what basis do the radical Islamist organizations conduct their attacks?</t>
  </si>
  <si>
    <t>What did Luther think of Purgatory?</t>
  </si>
  <si>
    <t>traditional private</t>
  </si>
  <si>
    <t>What impacts gender inequality in wages?</t>
  </si>
  <si>
    <t>Temüjin and his brother Khasar</t>
  </si>
  <si>
    <t>When did Luther return to Wittenberg?</t>
  </si>
  <si>
    <t>Dai Setsen</t>
  </si>
  <si>
    <t>roads, bridges and large plazas</t>
  </si>
  <si>
    <t>Eisleben</t>
  </si>
  <si>
    <t>by staying with the same group of peers for all classes</t>
  </si>
  <si>
    <t>educational career</t>
  </si>
  <si>
    <t>deprived of earning as much</t>
  </si>
  <si>
    <t>was not covered in any newspapers in the days, weeks and months after it happened.</t>
  </si>
  <si>
    <t>What unit is measured to determine circuit complexity?</t>
  </si>
  <si>
    <t>sale of indulgences</t>
  </si>
  <si>
    <t>published his findings first</t>
  </si>
  <si>
    <t xml:space="preserve">On an international level, which industry's competitive positions is affected? </t>
  </si>
  <si>
    <t>clear</t>
  </si>
  <si>
    <t>Diarmaid MacCulloch</t>
  </si>
  <si>
    <t>From 1510 to 1520, Luther lectured on the Psalms, the books of Hebrews, Romans, and Galatians. As he studied these portions of the Bible, he came to view the use of terms such as penance and righteousness by the Catholic Church in new ways. He became convinced that the church was corrupt in its ways and had lost sight of what he saw as several of the central truths of Christianity. The most important for Luther was the doctrine of justification – God's act of declaring a sinner righteous – by faith alone through God's grace. He began to teach that salvation or redemption is a gift of God's grace, attainable only through faith in Jesus as the Messiah. "This one and firm rock, which we call the doctrine of justification," he wrote, "is the chief article of the whole Christian doctrine, which comprehends the understanding of all godliness."</t>
  </si>
  <si>
    <t>What weapon caused the wounds that killed Tangut general Ma Jianlong?</t>
  </si>
  <si>
    <t>Daniel 8:9–12, 23–25</t>
  </si>
  <si>
    <t>1892, and in 1937</t>
  </si>
  <si>
    <t>women's volleyball within Africa</t>
  </si>
  <si>
    <t>since 1951</t>
  </si>
  <si>
    <t>c1600</t>
  </si>
  <si>
    <t>In modern particle physics, forces and the acceleration of particles are explained as a mathematical by-product of exchange of momentum-carrying gauge bosons. With the development of quantum field theory and general relativity, it was realized that force is a redundant concept arising from conservation of momentum (4-momentum in relativity and momentum of virtual particles in quantum electrodynamics). The conservation of momentum can be directly derived from the homogeneity or symmetry of space and so is usually considered more fundamental than the concept of a force. Thus the currently known fundamental forces are considered more accurately to be "fundamental interactions".:199–128 When particle A emits (creates) or absorbs (annihilates) virtual particle B, a momentum conservation results in recoil of particle A making impression of repulsion or attraction between particles A A' exchanging by B. This description applies to all forces arising from fundamental interactions. While sophisticated mathematical descriptions are needed to predict, in full detail, the accurate result of such interactions, there is a conceptually simple way to describe such interactions through the use of Feynman diagrams. In a Feynman diagram, each matter particle is represented as a straight line (see world line) traveling through time, which normally increases up or to the right in the diagram. Matter and anti-matter particles are identical except for their direction of propagation through the Feynman diagram. World lines of particles intersect at interaction vertices, and the Feynman diagram represents any force arising from an interaction as occurring at the vertex with an associated instantaneous change in the direction of the particle world lines. Gauge bosons are emitted away from the vertex as wavy lines and, in the case of virtual particle exchange, are absorbed at an adjacent vertex.</t>
  </si>
  <si>
    <t>On March 17, 1752, the Governor-General of New France, Marquis de la Jonquière,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Céloron's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</si>
  <si>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Who was the designer of the Oriental Courts?</t>
  </si>
  <si>
    <t>The V&amp;A Theatre &amp; Performance galleries, formerly the Theatre Museum, opened in March 2009. The collections are stored by the V&amp;A, and are available for research, exhibitions and other shows. They hold the UK's biggest national collection of material about live performance in the UK since Shakespeare's day, covering drama, dance, musical theatre, circus, music hall, rock and pop, and most other forms of live entertainment. Types of items displayed include costumes, set models, wigs, prompt books, and posters.</t>
  </si>
  <si>
    <t>total number of state transitions, or steps, the machine makes before it halts and outputs the answer</t>
  </si>
  <si>
    <t>fewer than 10</t>
  </si>
  <si>
    <t>Katharina</t>
  </si>
  <si>
    <t>What type of wages does mechanization and automation lead to?</t>
  </si>
  <si>
    <t>Which department sponsors the Victoria and Albert Museum?</t>
  </si>
  <si>
    <t>taking physical control of another</t>
  </si>
  <si>
    <t>rent at the Hotel New Yorker</t>
  </si>
  <si>
    <t>What does the CPI scale measure?</t>
  </si>
  <si>
    <t>is that grace of God which sustains the believers in the journey toward Christian Perfection</t>
  </si>
  <si>
    <t>ideal strings that are massless</t>
  </si>
  <si>
    <t>When was the FSO Car Factory founded?</t>
  </si>
  <si>
    <t>How many possible bids for the prize were there in 1915?</t>
  </si>
  <si>
    <t>What was the first Lutheran hymnal?</t>
  </si>
  <si>
    <t>How did trying to establish a devolved Scottish Assembly go in 1979?</t>
  </si>
  <si>
    <t>beta decay</t>
  </si>
  <si>
    <t>a diversion</t>
  </si>
  <si>
    <t>Who was the announcer for Westwood One's Super Bowl 50 coverage?</t>
  </si>
  <si>
    <t>What is the Mongolian spelling of Genghis Khan?</t>
  </si>
  <si>
    <t>dragonnades</t>
  </si>
  <si>
    <t>the emergence of Hollywood</t>
  </si>
  <si>
    <t>Where does The Council meet?</t>
  </si>
  <si>
    <t>Royal Ujazdów Castle</t>
  </si>
  <si>
    <t>Pathogen-associated molecular patterns</t>
  </si>
  <si>
    <t>Of what group in the periodic table is oxygen a member?</t>
  </si>
  <si>
    <t>two.</t>
  </si>
  <si>
    <t>five most populous in the state</t>
  </si>
  <si>
    <t>pro-choice</t>
  </si>
  <si>
    <t>the United Nations Framework Convention on Climate Change (UNFCCC),</t>
  </si>
  <si>
    <t>1754</t>
  </si>
  <si>
    <t xml:space="preserve">Where does the Rhine make a distinctive turn to the north? </t>
  </si>
  <si>
    <t>Why is the seating of the debating chamber arranged as it is?</t>
  </si>
  <si>
    <t>South African Vice Consul Duke Kent-Brown.</t>
  </si>
  <si>
    <t>Dignity Health</t>
  </si>
  <si>
    <t>What are malum prohibitum considerations?</t>
  </si>
  <si>
    <t>identify, recruit</t>
  </si>
  <si>
    <t>National Party</t>
  </si>
  <si>
    <t>Sudbury model democratic schools claim that popularly based authority can maintain order more effectively than dictatorial authority for governments and schools alike. They also claim that in these schools the preservation of public order is easier and more efficient than anywhere else. Primarily because rules and regulations are made by the community as a whole, thence the school atmosphere is one of persuasion and negotiation, rather than confrontation since there is no one to confront. Sudbury model democratic schools' proponents argue that a school that has good, clear laws, fairly and democratically passed by the entire school community, and a good judicial system for enforcing these laws, is a school in which community discipline prevails, and in which an increasingly sophisticated concept of law and order develops, against other schools today, where rules are arbitrary, authority is absolute, punishment is capricious, and due process of law is unknown.</t>
  </si>
  <si>
    <t>62 acres</t>
  </si>
  <si>
    <t>Who is best able to leverage the accumulation of wealth?</t>
  </si>
  <si>
    <t>complexity classes</t>
  </si>
  <si>
    <t>30%–50%</t>
  </si>
  <si>
    <t>What is Victoria's highest monthly temperature?</t>
  </si>
  <si>
    <t>weather</t>
  </si>
  <si>
    <t>nerves</t>
  </si>
  <si>
    <t>6000</t>
  </si>
  <si>
    <t>What composer used Luther's hymns in his works?</t>
  </si>
  <si>
    <t>President Johnson issued an executive order to rename the Launch Operations Center after whom?</t>
  </si>
  <si>
    <t>five-year course of s</t>
  </si>
  <si>
    <t>What type of launch was happening during the Apollo 1 incident?</t>
  </si>
  <si>
    <t>Eric Roberts</t>
  </si>
  <si>
    <t>What are those with lower incomes less likely to have in order to prepare for the future?</t>
  </si>
  <si>
    <t>1993–94 season</t>
  </si>
  <si>
    <t>the Missouri Compromise</t>
  </si>
  <si>
    <t>Where is the aboral organ located?</t>
  </si>
  <si>
    <t>What is preschool required for?</t>
  </si>
  <si>
    <t>Who hosts the weeknight talk show featured on ABC networks?</t>
  </si>
  <si>
    <t>continue worshiping in their Roman Catholic tradition, continued ownership of their property, and the right to remain undisturbed</t>
  </si>
  <si>
    <t>Bing Crosby</t>
  </si>
  <si>
    <t>Where is this housing style being developed recently?</t>
  </si>
  <si>
    <t>Ludwig Krapf recorded the name as both Kenia and Kegnia believed by most to be a corruption of the Kamba version. Others say that this was—on the contrary—a very precise notation of a correct African pronunciation /ˈkɛnjə/. An 1882 map drawn by Joseph Thompsons, a Scottish geologist and naturalist, indicated Mt. Kenya as Mt. Kenia, 1862. Controversy over the actual meaning of the word Kenya notwithstanding, it is clear that the mountain's name became widely accepted, pars pro toto, as the name of the country.</t>
  </si>
  <si>
    <t>British Empire</t>
  </si>
  <si>
    <t>role of Yersinia pestis in the Black Death</t>
  </si>
  <si>
    <t>During which years was the plague present in Islamic countries?</t>
  </si>
  <si>
    <t>Dragon's Den</t>
  </si>
  <si>
    <t>What type of engines became widespread around the end of the 19th century?</t>
  </si>
  <si>
    <t>New York hotels</t>
  </si>
  <si>
    <t>What's the name of Newcastle's gay club scene?</t>
  </si>
  <si>
    <t>Where did Luther say that the soul doesn't sleep, but rather has visions?</t>
  </si>
  <si>
    <t>the Sonia Shankman Orthogenic School</t>
  </si>
  <si>
    <t>Petitcodiac in 1755 and at Bloody Creek</t>
  </si>
  <si>
    <t>The College of the University of Chicago grants Bachelor of Arts and Bachelor of Science degrees in 50 academic majors and 28 minors. The college's academics are divided into five divisions: the Biological Sciences Collegiate Division, the Physical Sciences Collegiate Division, the Social Sciences Collegiate Division, the Humanities Collegiate Division, and the New Collegiate Division. The first four are sections within their corresponding graduate divisions, while the New Collegiate Division administers interdisciplinary majors and studies which do not fit in one of the other four divisions.</t>
  </si>
  <si>
    <t>probabilistic</t>
  </si>
  <si>
    <t>What church is organized into conferences?</t>
  </si>
  <si>
    <t>How many first downs did Denver have for Super Bowl 50?</t>
  </si>
  <si>
    <t>double or triple non-French linguistic origins</t>
  </si>
  <si>
    <t>George Westinghouse</t>
  </si>
  <si>
    <t>There were 158,349 households, of which 68,511 (43.3%) had children under the age of 18 living in them, 69,284 (43.8%) were opposite-sex married couples living together, 30,547 (19.3%) had a female householder with no husband present, 11,698 (7.4%) had a male householder with no wife present. There were 12,843 (8.1%) unmarried opposite-sex partnerships, and 1,388 (0.9%) same-sex married couples or partnerships. 35,064 households (22.1%) were made up of individuals and 12,344 (7.8%) had someone living alone who was 65 years of age or older. The average household size was 3.07. There were 111,529 families (70.4% of all households); the average family size was 3.62.</t>
  </si>
  <si>
    <t>The AAUW study</t>
  </si>
  <si>
    <t>near Diepoldsau</t>
  </si>
  <si>
    <t>Who is the mayor of San Francisco?</t>
  </si>
  <si>
    <t>interdisciplinary approach</t>
  </si>
  <si>
    <t>The problems with North American were severe enough in late 1965 to cause Manned Space Flight Administrator George Mueller to appoint program director Samuel Phillips to head a "tiger team" to investigate North American's problems and identify corrections. Phillips documented his findings in a December 19 letter to NAA president Lee Atwood, with a strongly worded letter by Mueller, and also gave a presentation of the results to Mueller and Deputy Administrator Robert Seamans. Meanwhile, Grumman was also encountering problems with the Lunar Module, eliminating hopes it would be ready for manned flight in 1967, not long after the first manned CSM flights.</t>
  </si>
  <si>
    <t>no revising chamber</t>
  </si>
  <si>
    <t>When was Marconi's radio demonstration?</t>
  </si>
  <si>
    <t>disrupting their plasma membrane</t>
  </si>
  <si>
    <t>circa 1964–1965</t>
  </si>
  <si>
    <t>Anwar Sadat</t>
  </si>
  <si>
    <t>Masai Mara</t>
  </si>
  <si>
    <t>a covalent double bond that results from the filling of molecular orbitals formed from the atomic orbitals of the individual oxygen atoms</t>
  </si>
  <si>
    <t>red algal chloroplast</t>
  </si>
  <si>
    <t>What type of fault boundary is defined by having widespread powerful earthquakes, as in the state of California?</t>
  </si>
  <si>
    <t>What genre of film was the 1988 film Stormy Monday?</t>
  </si>
  <si>
    <t>Greater London has over 900,000 Muslims, (most of South Asian origins and concentrated in the East London boroughs of Newham, Tower Hamlets and Waltham Forest), and among them are some with a strong Islamist outlook. Their presence, combined with a perceived British policy of allowing them free rein, heightened by exposés such as the 2007 Channel 4 documentary programme Undercover Mosque, has given rise to the term Londonistan. Following the 9/11 attacks, however, Abu Hamza al-Masri, the imam of the Finsbury Park Mosque, was arrested and charged with incitement to terrorism which has caused many Islamists to leave the UK to avoid internment.[citation needed]</t>
  </si>
  <si>
    <t>misguided</t>
  </si>
  <si>
    <t>What was the name of the battle that marked the first Confederate win in Florida?</t>
  </si>
  <si>
    <t>friendly and supportive</t>
  </si>
  <si>
    <t>In July 2013</t>
  </si>
  <si>
    <t>nearly $40 per barrel</t>
  </si>
  <si>
    <t>What alumni is also the Governor of the Bank of Japan?</t>
  </si>
  <si>
    <t>Pigeon peas are very drought resistant,</t>
  </si>
  <si>
    <t>ABC1</t>
  </si>
  <si>
    <t>0.5%</t>
  </si>
  <si>
    <t>lighting systems</t>
  </si>
  <si>
    <t>Kublai Khan</t>
  </si>
  <si>
    <t>8 to 10 miles</t>
  </si>
  <si>
    <t>What has complicated definitions that prevent classification into a framework?</t>
  </si>
  <si>
    <t>horizontal compression</t>
  </si>
  <si>
    <t xml:space="preserve"> What modern formations do geologists study?</t>
  </si>
  <si>
    <t>Most Western countries</t>
  </si>
  <si>
    <t>the remainder of the British Isles</t>
  </si>
  <si>
    <t>Versions of the "Doctor Who Theme" have also been released as pop music over the years. In the early 1970s, Jon Pertwee, who had played the Third Doctor, recorded a version of the Doctor Who theme with spoken lyrics, titled, "Who Is the Doctor".[note 6] In 1978 a disco version of the theme was released in the UK, Denmark and Australia by the group Mankind, which reached number 24 in the UK charts. In 1988 the band The Justified Ancients of Mu Mu (later known as The KLF) released the single "Doctorin' the Tardis" under the name The Timelords, which reached No. 1 in the UK and No. 2 in Australia; this version incorporated several other songs, including "Rock and Roll Part 2" by Gary Glitter (who recorded vocals for some of the CD-single remix versions of "Doctorin' the Tardis"). Others who have covered or reinterpreted the theme include Orbital, Pink Floyd, the Australian string ensemble Fourplay, New Zealand punk band Blam Blam Blam, The Pogues, Thin Lizzy, Dub Syndicate, and the comedians Bill Bailey and Mitch Benn. Both the theme and obsessive fans were satirised on The Chaser's War on Everything. The theme tune has also appeared on many compilation CDs, and has made its way into mobile-phone ringtones. Fans have also produced and distributed their own remixes of the theme. In January 2011 the Mankind version was released as a digital download on the album Gallifrey And Beyond.</t>
  </si>
  <si>
    <t>Asia</t>
  </si>
  <si>
    <t>optional education</t>
  </si>
  <si>
    <t>reactive oxygen species</t>
  </si>
  <si>
    <t>reduce consumer prices</t>
  </si>
  <si>
    <t>What body of water sat to the west of the Mongol Empire when Genghis Khan died?</t>
  </si>
  <si>
    <t>tour of Thuringia</t>
  </si>
  <si>
    <t>that a time-sharing system, based on Kemney's work at Dartmouth—which used a computer on loan from GE—could be profitable</t>
  </si>
  <si>
    <t>second</t>
  </si>
  <si>
    <t>industrialized nations increased their reserves (by expanding their money supplies) in amounts far greater than before</t>
  </si>
  <si>
    <t>What covered Scandinavia, the Baltics, Scotland, and the Alps in the last Ice Age?</t>
  </si>
  <si>
    <t>How many awards has Doctor Who been nominated for, over the years?</t>
  </si>
  <si>
    <t>child protection and parental rights groups</t>
  </si>
  <si>
    <t>Anarchists do not want to accept punishment for what reason?</t>
  </si>
  <si>
    <t>Jordan Norwood</t>
  </si>
  <si>
    <t>50% oxygen</t>
  </si>
  <si>
    <t>When the Methodists in America were separated from the Church of England,</t>
  </si>
  <si>
    <t>15 June 1520</t>
  </si>
  <si>
    <t>the easterly flow</t>
  </si>
  <si>
    <t>coughing and sneezing</t>
  </si>
  <si>
    <t>What is the active form of vitamin D known as?</t>
  </si>
  <si>
    <t>In 1979, during the oil crisis, what was the highest price of oil?</t>
  </si>
  <si>
    <t>United Methodist Church</t>
  </si>
  <si>
    <t>What land was ceded to Spain?</t>
  </si>
  <si>
    <t>70</t>
  </si>
  <si>
    <t>Which animal's venom did Pierre-Louis Moreau de Maupertuis work with?</t>
  </si>
  <si>
    <t>Sky+HD Box</t>
  </si>
  <si>
    <t>by having colloblasts</t>
  </si>
  <si>
    <t>What is one of the reason that US production has been held responsible for recessions and lower economic growth?</t>
  </si>
  <si>
    <t>What is the name of San Francisco's stadium when looked at as a possibility for Super Bowl 50?</t>
  </si>
  <si>
    <t>specialty pharmacies</t>
  </si>
  <si>
    <t>the laboratory</t>
  </si>
  <si>
    <t>How often are elections held for the Victorian Parliament?</t>
  </si>
  <si>
    <t>20,427</t>
  </si>
  <si>
    <t>Chloroplasts are highly dynamic—they circulate and are moved around within plant cells, and occasionally pinch in two to reproduce. Their behavior is strongly influenced by environmental factors like light color and intensity. Chloroplasts, like mitochondria, contain their own DNA, which is thought to be inherited from their ancestor—a photosynthetic cyanobacterium that was engulfed by an early eukaryotic cell. Chloroplasts cannot be made by the plant cell and must be inherited by each daughter cell during cell division.</t>
  </si>
  <si>
    <t>Jacksonville began to suffer and decline after what major world event?</t>
  </si>
  <si>
    <t>Along with road vehicles, locomotives and ships, on what vehicles were steam engines used during the Industrial Revolution?</t>
  </si>
  <si>
    <t>What did did article 34 discriminate against in Procureur du Roi v Dassonville?</t>
  </si>
  <si>
    <t>How much of the indulgences went to Rome?</t>
  </si>
  <si>
    <t>Mongol Empire</t>
  </si>
  <si>
    <t>wine industry</t>
  </si>
  <si>
    <t>multi-member proportional representation system</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</si>
  <si>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</si>
  <si>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bacteriophage infections</t>
  </si>
  <si>
    <t>What language is used to educate in Wales?</t>
  </si>
  <si>
    <t>its own special category as a "unit"</t>
  </si>
  <si>
    <t>The Rhine is the longest river in Germany. It is here that the Rhine encounters some more of its main tributaries, such as the Neckar, the Main and, later, the Moselle, which contributes an average discharge of more than 300 m3/s (11,000 cu ft/s). Northeastern France drains to the Rhine via the Moselle; smaller rivers drain the Vosges and Jura Mountains uplands. Most of Luxembourg and a very small part of Belgium also drain to the Rhine via the Moselle. As it approaches the Dutch border, the Rhine has an annual mean discharge of 2,290 m3/s (81,000 cu ft/s) and an average width of 400 m (1,300 ft).</t>
  </si>
  <si>
    <t>To what did Martin Luther devote all his attention ?</t>
  </si>
  <si>
    <t>difference in potential energy</t>
  </si>
  <si>
    <t>In 1973</t>
  </si>
  <si>
    <t>WKST-TV in Youngstown</t>
  </si>
  <si>
    <t>Clergy are members of what group rather than of any local congregation?</t>
  </si>
  <si>
    <t>When did Europe slowly begin to warm up from the last Ice Age?</t>
  </si>
  <si>
    <t>crust and rigid uppermost portion of the upper mantle</t>
  </si>
  <si>
    <t>Nearby, in Ogród Saski (the Saxon Garden), the Summer Theatre was in operation from 1870 to 1939, and in the inter-war period, the theatre complex also included Momus, Warsaw's first literary cabaret, and Leon Schiller's musical theatre Melodram. The Wojciech Bogusławski Theatre (1922–26), was the best example of "Polish monumental theatre". From the mid-1930s, the Great Theatre building housed the Upati Institute of Dramatic Arts – the first state-run academy of dramatic art, with an acting department and a stage directing department.</t>
  </si>
  <si>
    <t>October 2011</t>
  </si>
  <si>
    <t>macrophysical considerations that yield forces as arising from a macroscopic statistical average of microstates</t>
  </si>
  <si>
    <t>river Aare</t>
  </si>
  <si>
    <t>What title did Newcastle native Basil Hume achieve?</t>
  </si>
  <si>
    <t>the Timucua people</t>
  </si>
  <si>
    <t>What reconstructions supported the 1999 paper's information?</t>
  </si>
  <si>
    <t>Who hit the goal post on a field goal attempt?</t>
  </si>
  <si>
    <t>arthritis, and an ear infection</t>
  </si>
  <si>
    <t>study of sedimentary layers</t>
  </si>
  <si>
    <t>new magma</t>
  </si>
  <si>
    <t>Prince Frederick III</t>
  </si>
  <si>
    <t>What can the exhaust steam not fully do when the exhaust event is insufficiently long?</t>
  </si>
  <si>
    <t>On what date did Henry Kissinger negotiate an Israeli troop withdrawal from the Sinai Peninsula?</t>
  </si>
  <si>
    <t>There are 3 main bus companies providing services in the city; Arriva North East, Go North East and Stagecoach North East. There are two major bus stations in the city: Haymarket bus station and Eldon Square bus station. Arriva mainly operates from Haymarket Bus Station providing the majority of services to the north of Newcastle, Northumberland and North Tyneside. Go-Ahead operates from Eldon Square Bus Station, providing the majority of services south of the river in Gateshead, South Tyneside, Sunderland, and County Durham. Stagecoach is the primary operator in the city proper, with cross-city services mainly between both the West and East ends via the city centre with some services extending out to the MetroCentre, Killingworth, Wallsend and Ponteland. Bus Services in Newcastle upon Tyne and the surrounding boroughs part of the Tyne and Wear area are coordinated by Nexus, the Tyne and Wear Passenger Transport Executive.</t>
  </si>
  <si>
    <t>December 1963</t>
  </si>
  <si>
    <t>Eugene Fama</t>
  </si>
  <si>
    <t>clean them</t>
  </si>
  <si>
    <t>rotary motion</t>
  </si>
  <si>
    <t>the helmeted honeyeater</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</si>
  <si>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</si>
  <si>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for ten days</t>
  </si>
  <si>
    <t>viral antigens</t>
  </si>
  <si>
    <t>nineteenth-century maps</t>
  </si>
  <si>
    <t>Nuda</t>
  </si>
  <si>
    <t>In which Middle Eastern country is Genghis Khan's title a popular name for male children?</t>
  </si>
  <si>
    <t>Zhongdu</t>
  </si>
  <si>
    <t>What is the upper range of annual fees for non-boarding students in British public schools?</t>
  </si>
  <si>
    <t>America's Funniest Home Videos</t>
  </si>
  <si>
    <t>How many tons of living plants are in the rainforest?</t>
  </si>
  <si>
    <t>What time do the MSPs normally decide on the motions and amendments from that day?</t>
  </si>
  <si>
    <t>Benazir Bhutto</t>
  </si>
  <si>
    <t>Who wanted Israel to withdraw from its border?</t>
  </si>
  <si>
    <t>San Andreas Fault</t>
  </si>
  <si>
    <t>west of the Appalachian Mountains</t>
  </si>
  <si>
    <t>UV</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</si>
  <si>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</si>
  <si>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WBT (1110 AM)</t>
  </si>
  <si>
    <t>On what did Luther's friend blame his sadness and entrance into the cloister?</t>
  </si>
  <si>
    <t>anarchists</t>
  </si>
  <si>
    <t>The fact that not all fossils may be found globally at the same time causes the principle to become what?</t>
  </si>
  <si>
    <t>What is very important for the growth of the economy?</t>
  </si>
  <si>
    <t>Most early Greeks did not even consider 1 to be a number, so they could not consider it to be a prime. By the Middle Ages and Renaissance many mathematicians included 1 as the first prime number. In the mid-18th century Christian Goldbach listed 1 as the first prime in his famous correspondence with Leonhard Euler -- who did not agree. In the 19th century many mathematicians still considered the number 1 to be a prime. For example, Derrick Norman Lehmer's list of primes up to 10,006,721, reprinted as late as 1956, started with 1 as its first prime. Henri Lebesgue is said to be the last professional mathematician to call 1 prime. By the early 20th century, mathematicians began to accept that 1 is not a prime number, but rather forms its own special category as a "unit".</t>
  </si>
  <si>
    <t>goals he receives from his superior.</t>
  </si>
  <si>
    <t>sending an email</t>
  </si>
  <si>
    <t>Dorothy Skerrit</t>
  </si>
  <si>
    <t>Other scholars contend that Luther's words lent what element to Christian suspicion of Jews?</t>
  </si>
  <si>
    <t>Why  might the temperature affect the theory of plague spreading?</t>
  </si>
  <si>
    <t>Accountants</t>
  </si>
  <si>
    <t>The Walt Disney Company is a part owner of what VOD streaming service?</t>
  </si>
  <si>
    <t>mechanical brushes</t>
  </si>
  <si>
    <t>2017</t>
  </si>
  <si>
    <t>"tiger team"</t>
  </si>
  <si>
    <t>Name one of the causes of immunodeficiency.</t>
  </si>
  <si>
    <t>The IPCC Panel is composed of representatives appointed by governments and organizations. Participation of delegates with appropriate expertise is encouraged. Plenary sessions of the IPCC and IPCC Working groups are held at the level of government representatives. Non Governmental and Intergovernmental Organizations may be allowed to attend as observers. Sessions of the IPCC Bureau, workshops, expert and lead authors meetings are by invitation only. Attendance at the 2003 meeting included 350 government officials and climate change experts. After the opening ceremonies, closed plenary sessions were held. The meeting report states there were 322 persons in attendance at Sessions with about seven-eighths of participants being from governmental organizations.</t>
  </si>
  <si>
    <t>This was the first time that the Carolina team faced what in the post season?</t>
  </si>
  <si>
    <t>Which of ABC's main production facilities is located in Hollywood, CA?</t>
  </si>
  <si>
    <t>What are the secondary sources of primary law?</t>
  </si>
  <si>
    <t>What year did two of Ghengis Khan and Börte's sons die?</t>
  </si>
  <si>
    <t>The following table gives the largest known primes of the mentioned types. Some of these primes have been found using distributed computing. In 2009, the Great Internet Mersenne Prime Search project was awarded a US$100,000 prize for first discovering a prime with at least 10 million digits. The Electronic Frontier Foundation also offers $150,000 and $250,000 for primes with at least 100 million digits and 1 billion digits, respectively. Some of the largest primes not known to have any particular form (that is, no simple formula such as that of Mersenne primes) have been found by taking a piece of semi-random binary data, converting it to a number n, multiplying it by 256k for some positive integer k, and searching for possible primes within the interval [256kn + 1, 256k(n + 1) − 1].[citation needed]</t>
  </si>
  <si>
    <t>Who called for an agency to be created to be solely focused at undermining the Islamism ideology?</t>
  </si>
  <si>
    <t>What is a local pastor's official title?</t>
  </si>
  <si>
    <t>75%</t>
  </si>
  <si>
    <t>Emperor Ningzong</t>
  </si>
  <si>
    <t>Slayton</t>
  </si>
  <si>
    <t>In 1952, following pressure from Tesla's nephew, Sava Kosanović, Tesla's entire estate was shipped to Belgrade in 80 trunks marked N.T. In 1957, Kosanović's secretary Charlotte Muzar transported Tesla's ashes from the United States to Belgrade. The ashes are displayed in a gold-plated sphere on a marble pedestal in the Nikola Tesla Museum.</t>
  </si>
  <si>
    <t>soils, rivers, landscapes, and glaciers</t>
  </si>
  <si>
    <t>At the start of the war, no French regular army troops were stationed in North America, and few British troops. New France was defended by about 3,000 troupes de la marine, companies of colonial regulars (some of whom had significant woodland combat experience). The colonial government recruited militia support when needed. Most British colonies mustered local militia companies, generally ill trained and available only for short periods, to deal with native threats, but did not have any standing forces.</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</si>
  <si>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</si>
  <si>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Outlaws</t>
  </si>
  <si>
    <t>When did Ronald Robinson die?</t>
  </si>
  <si>
    <t>Ed Mangan</t>
  </si>
  <si>
    <t xml:space="preserve">Where did the Chinese Nationalists move the mausoleum away from advancing Chinese Communist forces? </t>
  </si>
  <si>
    <t>Which station started showing Doctor Who after the SF channel closed?</t>
  </si>
  <si>
    <t>In what city is WBT-FM located?</t>
  </si>
  <si>
    <t>Chur</t>
  </si>
  <si>
    <t>When was the last use by Bach of Luther's work?</t>
  </si>
  <si>
    <t>By 1544 what did Luther have to deal with in his health?</t>
  </si>
  <si>
    <t>The term may be related to what politician from Switzerland?</t>
  </si>
  <si>
    <t>Radio 5 Live</t>
  </si>
  <si>
    <t>addresses</t>
  </si>
  <si>
    <t>Which direction does two thirds of the Rhine flow outside of Germany?</t>
  </si>
  <si>
    <t>continuous input of sediment into the lake</t>
  </si>
  <si>
    <t>What two factors can generally increase a teacher's salary?</t>
  </si>
  <si>
    <t>What position did Luther have in Wittenberg?</t>
  </si>
  <si>
    <t>The English name "Normans" comes from the French words Normans/Normanz, plural of Normant, modern French normand, which is itself borrowed from Old Low Franconian Nortmann "Northman" or directly from Old Norse Norðmaðr, Latinized variously as Nortmannus, Normannus, or Nordmannus (recorded in Medieval Latin, 9th century) to mean "Norseman, Viking".</t>
  </si>
  <si>
    <t>Who hired Tesla when he moved to New York?</t>
  </si>
  <si>
    <t>health deteriorated</t>
  </si>
  <si>
    <t>268 U.S. 510 (1925)</t>
  </si>
  <si>
    <t>What did Luther think the study of law meant?</t>
  </si>
  <si>
    <t>rotational inertia</t>
  </si>
  <si>
    <t>corporal</t>
  </si>
  <si>
    <t>For whom was this new mass intended?</t>
  </si>
  <si>
    <t>What increases entrepreneurship rates at the individual level?</t>
  </si>
  <si>
    <t>Richard Allen and Absalom Jones became the first African Americans ordained by the Methodist Church. They were licensed by St. George's Church in 1784. Three years later, protesting racial segregation in the worship services, Allen led most of the black members out of St. George's; eventually they founded the Mother Bethel A.M.E. Church and the African Methodist Episcopal denomination. Absalom Jones became an Episcopal priest. In 1836, the church's basement was excavated to make room for a Sunday School. In the 1920s a court case saved the church from being demolished to make way for the Benjamin Franklin Bridge. The case resulted in the bridge being relocated. Historic St Georges welcomes visitors and is home to archives and a museum on Methodism.</t>
  </si>
  <si>
    <t>Saturday, 23 November 1963</t>
  </si>
  <si>
    <t>his 50th birthday in 1906</t>
  </si>
  <si>
    <t>Other prominent alumni include anthropologists David Graeber and Donald Johanson, who is best known for discovering the fossil of a female hominid australopithecine known as "Lucy" in the Afar Triangle region, psychologist John B. Watson, American psychologist who established the psychological school of behaviorism, communication theorist Harold Innis, chess grandmaster Samuel Reshevsky, and conservative international relations scholar and White House Coordinator of Security Planning for the National Security Council Samuel P. Huntington.</t>
  </si>
  <si>
    <t>28 February 2008</t>
  </si>
  <si>
    <t>5th century</t>
  </si>
  <si>
    <t>When did seven Protestant churches agree with the Nazi policy of forcing Jews to wear yellow arm bands?</t>
  </si>
  <si>
    <t>university or college</t>
  </si>
  <si>
    <t>Ergänzungsschulen</t>
  </si>
  <si>
    <t>How many stations did ABC have affiliation agreements with in 2015?</t>
  </si>
  <si>
    <t>dispatched six regiments to New France</t>
  </si>
  <si>
    <t>10th and 11th centuries</t>
  </si>
  <si>
    <t>Abu al-Qasim al-Zahrawi</t>
  </si>
  <si>
    <t>In a 4-cylinder compound engine, what degree were the individual pistons balanced at?</t>
  </si>
  <si>
    <t>carry out research nor does it monitor climate related data</t>
  </si>
  <si>
    <t>rising levels of property income</t>
  </si>
  <si>
    <t>1998</t>
  </si>
  <si>
    <t>What is the Rhine called in French?</t>
  </si>
  <si>
    <t>ten million</t>
  </si>
  <si>
    <t>leaf-shaped</t>
  </si>
  <si>
    <t>22,338,618</t>
  </si>
  <si>
    <t>around 11.5 inches</t>
  </si>
  <si>
    <t>Who can enforce the European Union law when member states provide lesser rights?</t>
  </si>
  <si>
    <t>detrimental</t>
  </si>
  <si>
    <t>fire</t>
  </si>
  <si>
    <t>6 feet 2 inches (1.88 m)</t>
  </si>
  <si>
    <t>When did Carl Wilhelm Scheele discover oxygen?</t>
  </si>
  <si>
    <t>How do plants get chloroplasts?</t>
  </si>
  <si>
    <t>the defection of a number of Kenyan athletes to represent other countries</t>
  </si>
  <si>
    <t>When did colonial governors meet with General Edward Braddock about attack on the french?</t>
  </si>
  <si>
    <t>ozone generated in contact with the skin</t>
  </si>
  <si>
    <t>What is the name of Mongolia's largest airport?</t>
  </si>
  <si>
    <t>Who patented a steam engine in 1781?</t>
  </si>
  <si>
    <t>Who elects the members of the European Parliament?</t>
  </si>
  <si>
    <t>Marquis de Vaudreuil</t>
  </si>
  <si>
    <t>What doesn't change from being at rest to movement at a constant velocity?</t>
  </si>
  <si>
    <t>What is restrained with a lever in the top of a boiler?</t>
  </si>
  <si>
    <t>Eadweard Muybridge</t>
  </si>
  <si>
    <t>How many affiliates carry the ABC network feed in 480i standard definition?</t>
  </si>
  <si>
    <t>There is no known case</t>
  </si>
  <si>
    <t>Civil disobedience can occur when people speak about a certain topic that is deemed as?</t>
  </si>
  <si>
    <t>What percent live below the povertly line?</t>
  </si>
  <si>
    <t>Who loved Warsaw so much that he kept putting it in his novels?</t>
  </si>
  <si>
    <t xml:space="preserve">Who gave Tesla's eulogy? </t>
  </si>
  <si>
    <t>Battle of Fort Bull</t>
  </si>
  <si>
    <t>What two things does pharmacy informatics bring together?</t>
  </si>
  <si>
    <t>the relationship between teachers and children.</t>
  </si>
  <si>
    <t>What was the name of the story from the third Torchwood series?</t>
  </si>
  <si>
    <t>cells release signals</t>
  </si>
  <si>
    <t>killer cell immunoglobulin receptors (KIR)</t>
  </si>
  <si>
    <t>What was the most revered award that Doctor Who has won?</t>
  </si>
  <si>
    <t>The E. W. Scripps Company</t>
  </si>
  <si>
    <t>the Super Bowl 50 Host Committee</t>
  </si>
  <si>
    <t>Islamism is a controversial concept not just because it posits a political role for Islam but also because its supporters believe their views merely reflect Islam, while the contrary idea that Islam is, or can be, apolitical is an error. Scholars and observers who do not believe that Islam is merely a political ideology include Fred Halliday, John Esposito and Muslim intellectuals like Javed Ahmad Ghamidi. Hayri Abaza argues the failure to distinguish between Islam and Islamism leads many in the West to support illiberal Islamic regimes, to the detriment of progressive moderates who seek to separate religion from politics.</t>
  </si>
  <si>
    <t>festivals</t>
  </si>
  <si>
    <t>Rhenus</t>
  </si>
  <si>
    <t>Each packet is labeled with a destination address, source address, and port numbers. It may also be labeled with the sequence number of the packet</t>
  </si>
  <si>
    <t>Cook reductions, Karp reductions</t>
  </si>
  <si>
    <t>After the disastrous 1757 British campaigns (resulting in a failed expedition against Louisbourg and the Siege of Fort William Henry, which was followed by Indian torture and massacres of British victims), the British government fell. William Pitt came to power and significantly increased British military resources in the colonies at a time when France was unwilling to risk large convoys to aid the limited forces it had in New France. France concentrated its forces against Prussia and its allies in the European theatre of the war. Between 1758 and 1760, the British military launched a campaign to capture the Colony of Canada. They succeeded in capturing territory in surrounding colonies and ultimately Quebec. Though the British were later defeated at Sainte Foy in Quebec, the French ceded Canada in accordance with the 1763 treaty.</t>
  </si>
  <si>
    <t>mountains</t>
  </si>
  <si>
    <t>Who was given land by British goovernment for development of Ohio Country?</t>
  </si>
  <si>
    <t>In what sense must you be observing the curvature of space-time?</t>
  </si>
  <si>
    <t>the Data Distribution Centre and the National Greenhouse Gas Inventories Programme</t>
  </si>
  <si>
    <t>What were later Yuan emperors disinterested in?</t>
  </si>
  <si>
    <t>John Smeaton</t>
  </si>
  <si>
    <t>What subatomic particle did Tesla deny the existence of?</t>
  </si>
  <si>
    <t>51</t>
  </si>
  <si>
    <t>How many solo tackles did Von Miller make at Super Bowl 50?</t>
  </si>
  <si>
    <t>antichrist of 2 Thessalonians 2</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</si>
  <si>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</si>
  <si>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Low</t>
  </si>
  <si>
    <t>marginal</t>
  </si>
  <si>
    <t>1,230 km</t>
  </si>
  <si>
    <t>principles of pre-allocation of network bandwidth</t>
  </si>
  <si>
    <t>public high schools lost their accreditation</t>
  </si>
  <si>
    <t>What could Tesla perform in his head?</t>
  </si>
  <si>
    <t>Formal</t>
  </si>
  <si>
    <t>What did the Public Health Cigarette Smoking Act ban?</t>
  </si>
  <si>
    <t>helper T cells</t>
  </si>
  <si>
    <t>Florence, Italy</t>
  </si>
  <si>
    <t>would do more harm than good</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</si>
  <si>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</si>
  <si>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1807</t>
  </si>
  <si>
    <t>How are the combs spaced?</t>
  </si>
  <si>
    <t>HD channels</t>
  </si>
  <si>
    <t>300 men, including French-Canadians and warriors of the Ottawa</t>
  </si>
  <si>
    <t>What force changes an objects direction of travel?</t>
  </si>
  <si>
    <t>four</t>
  </si>
  <si>
    <t>Where do Ctenophora live?</t>
  </si>
  <si>
    <t>How did this effect the producer prices?</t>
  </si>
  <si>
    <t>ribosome</t>
  </si>
  <si>
    <t>Financial crisis of 2007–08</t>
  </si>
  <si>
    <t>a partial tear of the plantar fasciitis</t>
  </si>
  <si>
    <t>curriculum</t>
  </si>
  <si>
    <t>What development did Luther's hymns translations influence?</t>
  </si>
  <si>
    <t>redistributive taxation</t>
  </si>
  <si>
    <t>What version of Windows supported the CBS sports app?</t>
  </si>
  <si>
    <t>When did the FCC begin imposing fin-syn rules?</t>
  </si>
  <si>
    <t>Where do transport vesicles move between?</t>
  </si>
  <si>
    <t>During the 1960s, ABC continued on the same path that it began to take in the mid-1950s, by consolidating the network as part of its effort to gain loyalty from the public. The network's finances improved and allowed it to invest in other properties and programming. In May 1960, ABC purchased Chicago radio station WLS, which had shared airtime with WENR since the 1920s. This acquisition allowed ABC to consolidate its presence in the market. On May 9, 1960, WLS launched a new lineup consisting of ABC Radio programming. In 1960, Canadian entrepreneur John Bassett, who was trying to establish a television station in Toronto, sought the help of ABC to launch the station. Leonard Goldenson agreed to acquire a 25% interest in CFTO-TV; however, legislation by the Canadian Radio-Television Commission prohibited ABC's involvement, resulting in the company withdrawing from the project before the station's launch.</t>
  </si>
  <si>
    <t>304,016</t>
  </si>
  <si>
    <t>Doctor Who has appeared on stage numerous times. In the early 1970s, Trevor Martin played the role in Doctor Who and the Daleks in the Seven Keys to Doomsday. In the late 1980s, Jon Pertwee and Colin Baker both played the Doctor at different times during the run of a play titled Doctor Who – The Ultimate Adventure. For two performances, while Pertwee was ill, David Banks (better known for playing Cybermen) played the Doctor. Other original plays have been staged as amateur productions, with other actors playing the Doctor, while Terry Nation wrote The Curse of the Daleks, a stage play mounted in the late 1960s, but without the Doctor.</t>
  </si>
  <si>
    <t>judges</t>
  </si>
  <si>
    <t>infected cells release signals warning the rest of the plant of a pathogen's presence</t>
  </si>
  <si>
    <t>$960 billion</t>
  </si>
  <si>
    <t>How much of the earth's atmosphere is diatomic oxygen?</t>
  </si>
  <si>
    <t>all the horrible wars</t>
  </si>
  <si>
    <t>every four years.</t>
  </si>
  <si>
    <t>chloroplasts derived from a green alga</t>
  </si>
  <si>
    <t>University President Robert Maynard Hutchins de-emphasized varsity athletics</t>
  </si>
  <si>
    <t>may read it without hindrance</t>
  </si>
  <si>
    <t>the Channel Islands</t>
  </si>
  <si>
    <t>Huguenot</t>
  </si>
  <si>
    <t>gravel</t>
  </si>
  <si>
    <t>While constitutional law concerns the European Union's governance structure, administrative law binds EU institutions and member states to follow the law. Both member states and the Commission have a general legal right or "standing" (locus standi) to bring claims against EU institutions and other member states for breach of the treaties. From the EU's foundation, the Court of Justice also held that the Treaties allowed citizens or corporations to bring claims against EU and member state institutions for violation of the Treaties and Regulations, if they were properly interpreted as creating rights and obligations. However, under Directives, citizens or corporations were said in 1986 to not be allowed to bring claims against other non-state parties. This meant courts of member states were not bound to apply an EU law where a national rule conflicted, even though the member state government could be sued, if it would impose an obligation on another citizen or corporation. These rules on "direct effect" limit the extent to which member state courts are bound to administer EU law. All actions by EU institutions can be subject to judicial review, and judged by standards of proportionality, particularly where general principles of law, or fundamental rights are engaged. The remedy for a claimant where there has been a breach of the law is often monetary damages, but courts can also require specific performance or will grant an injunction, in order to ensure the law is effective as possible.</t>
  </si>
  <si>
    <t>According to the humoral theory of immunity, what were the bodies immune agents?</t>
  </si>
  <si>
    <t>Orthodox Christians</t>
  </si>
  <si>
    <t>Luther dedicated himself to the Augustinian order, devoting himself to fasting, long hours in prayer, pilgrimage, and frequent confession. Luther described this period of his life as one of deep spiritual despair. He said, "I lost touch with Christ the Savior and Comforter, and made of him the jailer and hangman of my poor soul." Johann von Staupitz, his superior, pointed Luther's mind away from continual reflection upon his sins toward the merits of Christ. He taught that true repentance does not involve self-inflicted penances and punishments but rather a change of heart.</t>
  </si>
  <si>
    <t>How would the operator of observe the reflected signal?</t>
  </si>
  <si>
    <t>What famous snowbaorder lives in southern California?</t>
  </si>
  <si>
    <t>several hundred horsepower</t>
  </si>
  <si>
    <t>Which area is responsible for the long-term preservation of the V&amp;A collections?</t>
  </si>
  <si>
    <t>tyrosinase</t>
  </si>
  <si>
    <t>Despite their soft, gelatinous bodies, fossils thought to represent ctenophores, apparently with no tentacles but many more comb-rows than modern forms, have been found in lagerstätten as far back as the early Cambrian, about 515 million years ago. The position of the ctenophores in the evolutionary family tree of animals has long been debated, and the majority view at present, based on molecular phylogenetics, is that cnidarians and bilaterians are more closely related to each other than either is to ctenophores. A recent molecular phylogenetics analysis concluded that the common ancestor of all modern ctenophores was cydippid-like, and that all the modern groups appeared relatively recently, probably after the Cretaceous–Paleogene extinction event 66 million years ago. Evidence accumulating since the 1980s indicates that the "cydippids" are not monophyletic, in other words do not include all and only the descendants of a single common ancestor, because all the other traditional ctenophore groups are descendants of various cydippids.</t>
  </si>
  <si>
    <t>in space</t>
  </si>
  <si>
    <t>Juveniles will luminesce more brightly</t>
  </si>
  <si>
    <t>What is a ligand on the cell surface that is upregulated after helper T cell activation?</t>
  </si>
  <si>
    <t>How did the unequal treatment of Chinese versus Mongols in the Yuan make the dynasty seem?</t>
  </si>
  <si>
    <t>the Atlantic</t>
  </si>
  <si>
    <t>Besides Germany and Switzerland, where else is Lake Constance?</t>
  </si>
  <si>
    <t>Super Bowl XLIV</t>
  </si>
  <si>
    <t>What did he do to his feet at night?</t>
  </si>
  <si>
    <t>Who besides the Russians are often left out of the colonialism debat?</t>
  </si>
  <si>
    <t>Where was the Kievian force that confronted Subutai's army defeated in 1223?</t>
  </si>
  <si>
    <t>What part of the V&amp;A collection does the Henry Cole Wing houses?</t>
  </si>
  <si>
    <t>June and September</t>
  </si>
  <si>
    <t>Zhenjin</t>
  </si>
  <si>
    <t>What was the price of oil in March of 1974?</t>
  </si>
  <si>
    <t>How man people gather along the banks of the Vistula for the Wianki festival?</t>
  </si>
  <si>
    <t>identifying rocks</t>
  </si>
  <si>
    <t>incorporations would only be nullified for a fixed list of reasons</t>
  </si>
  <si>
    <t>Knaurs Lexikon</t>
  </si>
  <si>
    <t>What did Josel of Rosheim claimed that Luther said of those who might aid the Jews?</t>
  </si>
  <si>
    <t>hymn</t>
  </si>
  <si>
    <t>What does the UN want to stabilize?</t>
  </si>
  <si>
    <t>cattle were brought across</t>
  </si>
  <si>
    <t>11.1</t>
  </si>
  <si>
    <t>"philosophy of counterprogramming against its competitors"</t>
  </si>
  <si>
    <t>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metres (330 ft) above sea level. The highest point on the left side of the city lies at a height of 115.7 metres (379.6 ft) ("Redutowa" bus depot, district of Wola), on the right side – 122.1 metres (400.6 ft) ("Groszówka" estate, district of Wesoła, by the eastern border). The lowest point lies at a height 75.6 metres (248.0 ft) (at the right bank of the Vistula, by the eastern border of Warsaw). There are some hills (mostly artificial) located within the confines of the city – e.g. Warsaw Uprising Hill (121 metres (397.0 ft)), Szczęśliwice hill (138 metres (452.8 ft) – the highest point of Warsaw in general).</t>
  </si>
  <si>
    <t>rejected the existence</t>
  </si>
  <si>
    <t>How did Luther describe the University of Erfurt?</t>
  </si>
  <si>
    <t>When was Doctor Who created?</t>
  </si>
  <si>
    <t>Who did Genghis Khan charge with finding and punishing the Shah?</t>
  </si>
  <si>
    <t>How did Luther respond after being asked if the books were his?</t>
  </si>
  <si>
    <t>Sybilla of Normandy</t>
  </si>
  <si>
    <t>What is the kilogram-force sometimes reffered to as?</t>
  </si>
  <si>
    <t>green parts</t>
  </si>
  <si>
    <t>How did the Mongols acquire Chinese printing technology?</t>
  </si>
  <si>
    <t>Who was Al-Banna's assassination a retaliation for the prior assassination of?</t>
  </si>
  <si>
    <t>lower level</t>
  </si>
  <si>
    <t>Shi Bingzhi</t>
  </si>
  <si>
    <t>When did Tesla first show off the turbine?</t>
  </si>
  <si>
    <t>sworn brother</t>
  </si>
  <si>
    <t>The dominant economic sectors in the Middle Rhine area are viniculture and tourism. The Rhine Gorge between Rüdesheim am Rhein and Koblenz is listed as a UNESCO World Heritage Site. Near Sankt Goarshausen, the Rhine flows around the famous rock Lorelei. With its outstanding architectural monuments, the slopes full of vines, settlements crowded on the narrow river banks and scores of castles lined up along the top of the steep slopes, the Middle Rhine Valley can be considered the epitome of the Rhine romanticism.</t>
  </si>
  <si>
    <t>What is the main defense mechanism of bacteria known as?</t>
  </si>
  <si>
    <t>At the time of its formation, how many members did the UMC have?</t>
  </si>
  <si>
    <t>In 1640</t>
  </si>
  <si>
    <t>the national anthem</t>
  </si>
  <si>
    <t>Four</t>
  </si>
  <si>
    <t>What Lake in a German island Mainau receives a fraction of the Rhine's flow?</t>
  </si>
  <si>
    <t>Thomas Savery.</t>
  </si>
  <si>
    <t>Stairs</t>
  </si>
  <si>
    <t>What was Luther's marriage seen as by others?</t>
  </si>
  <si>
    <t>Where was the first settlement in Victoria?</t>
  </si>
  <si>
    <t>What is located within this district?</t>
  </si>
  <si>
    <t>roughly spherical</t>
  </si>
  <si>
    <t>What was the UK governments benefits agenchy checking in 2012?</t>
  </si>
  <si>
    <t>1115</t>
  </si>
  <si>
    <t>Genghis Khan is regarded as one of the prominent leaders in Mongolia's history. He is responsible for the emergence of the Mongols as a political and ethnic identity because there was no unified identity between the tribes that had cultural similarity. He reinforced many Mongol traditions and provided stability and unity during a time of almost endemic warfare between tribes. He is also given credit for the introduction of the traditional Mongolian script and the creation of the Ikh Zasag (Great Administration), the first written Mongolian law. "Ikh Zasag law adopted during Genghis Khan’s time in Mongolia had points to punish illegal matters related to corruption and bribery very heavily," Mongolian President Tsakhiagiin Elbegdorj noted. President Elbegdorj sees Genghis Khan as a leader from whom to learn for anti-corruption efforts as Genghis Khan sought equal protection under the law for all citizens regardless of status or wealth. "Chinggis (Genghis Khan)...was a man who deeply realized that the justice begins and consolidates with the equality of law, and not with the distinctions between people. He was a man who knew that the good laws and rules lived longer than fancy palaces," Elbegdorj said in his speech on the 850th anniversary of Chinggis Khaan's birth. In summary, Mongolians see him as the fundamental figure in the founding of the Mongol Empire and therefore the basis for Mongolia as a country.</t>
  </si>
  <si>
    <t>mass</t>
  </si>
  <si>
    <t>Alfred Stevens</t>
  </si>
  <si>
    <t>What is the population of Los Angeles?</t>
  </si>
  <si>
    <t>How big are phycobilisomes?</t>
  </si>
  <si>
    <t>what way they could be brought back</t>
  </si>
  <si>
    <t>For many years, Sudan had an Islamist regime under the leadership of Hassan al-Turabi. His National Islamic Front first gained influence when strongman General Gaafar al-Nimeiry invited members to serve in his government in 1979. Turabi built a powerful economic base with money from foreign Islamist banking systems, especially those linked with Saudi Arabia. He also recruited and built a cadre of influential loyalists by placing sympathetic students in the university and military academy while serving as minister of education.</t>
  </si>
  <si>
    <t>"formal"</t>
  </si>
  <si>
    <t>at least one advanced course every three years</t>
  </si>
  <si>
    <t>guard against armed groups</t>
  </si>
  <si>
    <t>the worst-case time complexity</t>
  </si>
  <si>
    <t>temperatures that are too cold in northern Europe for the survival of fleas</t>
  </si>
  <si>
    <t>friends of Luther</t>
  </si>
  <si>
    <t>its continental North American possessions east of the Mississippi or the Caribbean islands</t>
  </si>
  <si>
    <t>How many broadcast television partners does the NFL have?</t>
  </si>
  <si>
    <t>this would have also produced a single constitutional document</t>
  </si>
  <si>
    <t>Fraud</t>
  </si>
  <si>
    <t>static equilibrium</t>
  </si>
  <si>
    <t>mass of the system</t>
  </si>
  <si>
    <t>neofundamentalist</t>
  </si>
  <si>
    <t>In what type of ring can prime ideals be used for validating quadratic reciprocity?</t>
  </si>
  <si>
    <t>Charles F. Peck</t>
  </si>
  <si>
    <t>How many members are on the Warsaw City Counil?</t>
  </si>
  <si>
    <t>capacity as public official</t>
  </si>
  <si>
    <t>Western</t>
  </si>
  <si>
    <t>freight</t>
  </si>
  <si>
    <t>solar power, nuclear power or geothermal energy</t>
  </si>
  <si>
    <t>What was the Fresno Fairgrounds used as?</t>
  </si>
  <si>
    <t>electroweak interaction</t>
  </si>
  <si>
    <t>Who founded the Office of Western Medicine?</t>
  </si>
  <si>
    <t>lute</t>
  </si>
  <si>
    <t>Which late night comedy host show played immediately after Super Bowl 50 ended?</t>
  </si>
  <si>
    <t>serious depopulation and permanent change in both economic and social structures</t>
  </si>
  <si>
    <t>tripartite</t>
  </si>
  <si>
    <t>Who designed the Vince Lombardi Trophy?</t>
  </si>
  <si>
    <t>What areas did Genghis Khan control at the end of his life?</t>
  </si>
  <si>
    <t>in solution in the world's water bodies</t>
  </si>
  <si>
    <t>three major offensive actions involving large numbers of regular troops</t>
  </si>
  <si>
    <t>Oxygen is more soluble in water than nitrogen is. Water in equilibrium with air contains approximately 1 molecule of dissolved O
2 for every 2 molecules of N
2, compared to an atmospheric ratio of approximately 1:4. The solubility of oxygen in water is temperature-dependent, and about twice as much (14.6 mg·L−1) dissolves at 0 °C than at 20 °C (7.6 mg·L−1). At 25 °C and 1 standard atmosphere (101.3 kPa) of air, freshwater contains about 6.04 milliliters (mL) of oxygen per liter, whereas seawater contains about 4.95 mL per liter. At 5 °C the solubility increases to 9.0 mL (50% more than at 25 °C) per liter for water and 7.2 mL (45% more) per liter for sea water.</t>
  </si>
  <si>
    <t>$15.5</t>
  </si>
  <si>
    <t>Wesleyan theology</t>
  </si>
  <si>
    <t>What is used to calculate cross section area in the volume of an object?</t>
  </si>
  <si>
    <t>individual state laws</t>
  </si>
  <si>
    <t>In what form is oxygen transported in smaller containers?</t>
  </si>
  <si>
    <t>an innate force of impetus</t>
  </si>
  <si>
    <t>more equally</t>
  </si>
  <si>
    <t>recant</t>
  </si>
  <si>
    <t>Scottish rivers</t>
  </si>
  <si>
    <t>What did the finding of gold in Victoria cause?</t>
  </si>
  <si>
    <t>What company agreed to terminate high court proceedings with BSkyB?</t>
  </si>
  <si>
    <t>When do chloroplasts spread out flat?</t>
  </si>
  <si>
    <t>Disneyland</t>
  </si>
  <si>
    <t>the reported rates of mortality in rural areas during the 14th-century pandemic were inconsistent with the modern bubonic plague</t>
  </si>
  <si>
    <t>McManus</t>
  </si>
  <si>
    <t>nearly a million and a half visitors</t>
  </si>
  <si>
    <t>lay servants</t>
  </si>
  <si>
    <t>What have some inverted repeats become?</t>
  </si>
  <si>
    <t>the Arizona Cardinals</t>
  </si>
  <si>
    <t>plain Vistula terraces</t>
  </si>
  <si>
    <t>remaining in black and white</t>
  </si>
  <si>
    <t>physicians</t>
  </si>
  <si>
    <t>Katharina von Bora,</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</si>
  <si>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</si>
  <si>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prayer for grace</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</si>
  <si>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</si>
  <si>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How much did Tesla sell his AC patents to Westinghouse Electric for?</t>
  </si>
  <si>
    <t>How many major chloroplast replication models have been suggested?</t>
  </si>
  <si>
    <t xml:space="preserve">What organization did Tesla serve as vice president of? </t>
  </si>
  <si>
    <t>progressive tax system</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</si>
  <si>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</si>
  <si>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When year was the Maastrich Treaty signed?</t>
  </si>
  <si>
    <t>Harvard has purchased tracts of land in Allston, a walk across the Charles River from Cambridge, with the intent of major expansion southward. The university now owns approximately fifty percent more land in Allston than in Cambridge. Proposals to connect the Cambridge campus with the new Allston campus include new and enlarged bridges, a shuttle service and/or a tram. Plans also call for sinking part of Storrow Drive (at Harvard's expense) for replacement with park land and pedestrian access to the Charles River, as well as the construction of bike paths, and buildings throughout the Allston campus. The institution asserts that such expansion will benefit not only the school, but surrounding community, pointing to such features as the enhanced transit infrastructure, possible shuttles open to the public, and park space which will also be publicly accessible.</t>
  </si>
  <si>
    <t>1,655,114</t>
  </si>
  <si>
    <t>Who headed the Niagara Falls Cataract Construction Company in 1893?</t>
  </si>
  <si>
    <t>Henry Cole wing</t>
  </si>
  <si>
    <t>Monopoly</t>
  </si>
  <si>
    <t>refuse to sign bail</t>
  </si>
  <si>
    <t>betray a man's presence in the household</t>
  </si>
  <si>
    <t>How many picks did Cam Newton throw?</t>
  </si>
  <si>
    <t>season 17</t>
  </si>
  <si>
    <t>In 2005, approximately how many members were in the UMC?</t>
  </si>
  <si>
    <t>announced a winner</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</si>
  <si>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</si>
  <si>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homeschooling</t>
  </si>
  <si>
    <t>are disturbed</t>
  </si>
  <si>
    <t>This region includes territory belonging to nine nations.</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</si>
  <si>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</si>
  <si>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Tesla read many works, memorizing complete books, and supposedly possessed a photographic memory.:33 He was a polyglot, speaking eight languages: Serbo-Croatian, Czech, English, French, German, Hungarian, Italian, and Latin.:282 Tesla related in his autobiography that he experienced detailed moments of inspiration. During his early life, Tesla was repeatedly stricken with illness. He suffered a peculiar affliction in which blinding flashes of light would appear before his eyes, often accompanied by visions.:33 Often, the visions were linked to a word or idea he might have come across; at other times they would provide the solution to a particular problem he had encountered. Just by hearing the name of an item, he would be able to envision it in realistic detail.:33 Tesla would visualize an invention in his mind with extreme precision, including all dimensions, before moving to the construction stage, a technique sometimes known as picture thinking. He typically did not make drawings by hand but worked from memory. Beginning in his childhood, Tesla had frequent flashbacks to events that had happened previously in his life.:33</t>
  </si>
  <si>
    <t>What country has higher scores on standardized tests than the U.S.?</t>
  </si>
  <si>
    <t>What must a project adhere to?</t>
  </si>
  <si>
    <t xml:space="preserve">In what year was Hatmanis and Stearn's seminal work in computational complexity received? </t>
  </si>
  <si>
    <t>Institute of Radio Engineers</t>
  </si>
  <si>
    <t>his siblings</t>
  </si>
  <si>
    <t>Other than the desert city why do many locals and tourists frequent southern California?</t>
  </si>
  <si>
    <t>Boston metropolitan area</t>
  </si>
  <si>
    <t>What government set standards do all schools have to meet?</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</si>
  <si>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</si>
  <si>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What are outcomes expected with Medication Therapy Management?</t>
  </si>
  <si>
    <t>Who was first appointed at the anchor of 20/20?</t>
  </si>
  <si>
    <t>it cannot be written as the knot sum of two nontrivial knots</t>
  </si>
  <si>
    <t>17</t>
  </si>
  <si>
    <t>self-consistent unification</t>
  </si>
  <si>
    <t>promoted Western/foreign ideas and practices into Islamic societies</t>
  </si>
  <si>
    <t>Concrete bounding of computation time frequently produces complexity classes contingent upon what?</t>
  </si>
  <si>
    <t>last glacial maximum</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</si>
  <si>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</si>
  <si>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Go-Ahead</t>
  </si>
  <si>
    <t>making it seem like climate change is more serious by overstating the impact</t>
  </si>
  <si>
    <t>By mass, oxygen is the third-most abundant element in the universe, after hydrogen and helium</t>
  </si>
  <si>
    <t>Rice University</t>
  </si>
  <si>
    <t>What did the Jewish people do so pagan items wouldn't be in the temple of Jerusalem?</t>
  </si>
  <si>
    <t>NASA</t>
  </si>
  <si>
    <t>the crust and rigid uppermost portion of the upper mantle</t>
  </si>
  <si>
    <t>Thuringia</t>
  </si>
  <si>
    <t>Thomas Edison and Nikola Tesla</t>
  </si>
  <si>
    <t>Pakistan</t>
  </si>
  <si>
    <t xml:space="preserve">How did user of Tymnet connect </t>
  </si>
  <si>
    <t>Homes from the early 20th century line this boulevard in the heart of the historic Alta Vista Tract. The section of Huntington Boulevard between First Street on the west to Cedar Avenue on the east is the home to many large, stately homes. The original development of this area began circa 1910, on 190 acres of what had been an alfalfa field. The Alta Vista Tract, as the land would become known, was mapped by William Stranahan for the Pacific Improvement Corporation, and was officially platted in 1911. The tract's boundaries were Balch Avenue on the south, Cedar Avenue on the east, the rear property line of Platt Avenue (east of Sixth Street) and Platt Avenue (west of Sixth Street) on the north, and First Street on the west. The subdivision was annexed to the City in January 1912, in an election that was the first in which women voted in the community. At the time of its admission to the City, the Alta Vista Tract was uninhabited but landscaped, although the trees had to be watered by tank wagon. In 1914 developers Billings &amp; Meyering acquired the tract, completed street development, provided the last of the necessary municipal improvements including water service, and began marketing the property with fervor. A mere half decade later the tract had 267 homes. This rapid development was no doubt hastened by the Fresno Traction Company right-of-way along Huntington Boulevard, which provided streetcar connections between downtown and the County Hospital.</t>
  </si>
  <si>
    <t>What health issue did Tesla suffer?</t>
  </si>
  <si>
    <t>What talk show replaced One Life to Live?</t>
  </si>
  <si>
    <t>the Australian Government</t>
  </si>
  <si>
    <t>critical pamphlets on Islam</t>
  </si>
  <si>
    <t>1726</t>
  </si>
  <si>
    <t>world's economy</t>
  </si>
  <si>
    <t>Kurt H. Debus was appointed what position for the Launch Operations Center?</t>
  </si>
  <si>
    <t>standards of practice</t>
  </si>
  <si>
    <t>ignition event</t>
  </si>
  <si>
    <t>What were the astronauts wearing during the dual mission AS-278?</t>
  </si>
  <si>
    <t>How tall was the tower's ultimate height?</t>
  </si>
  <si>
    <t>Who among Genghis Khan's subjects shared similar privileges to his close family members'?</t>
  </si>
  <si>
    <t>Large-scale regeneration</t>
  </si>
  <si>
    <t>What is Prevenient grace?</t>
  </si>
  <si>
    <t>the connection id in a table</t>
  </si>
  <si>
    <t>food security</t>
  </si>
  <si>
    <t>9–88 cm</t>
  </si>
  <si>
    <t>programs to identify, recruit, and support talented youth</t>
  </si>
  <si>
    <t>ABC aired symphony performances by what conductor?</t>
  </si>
  <si>
    <t>18 February 1546</t>
  </si>
  <si>
    <t>The inverted repeat regions are highly conserved among land plants, and accumulate few mutations. Similar inverted repeats exist in the genomes of cyanobacteria and the other two chloroplast lineages (glaucophyta and rhodophyceæ), suggesting that they predate the chloroplast, though some chloroplast DNAs have since lost or flipped the inverted repeats (making them direct repeats). It is possible that the inverted repeats help stabilize the rest of the chloroplast genome, as chloroplast DNAs which have lost some of the inverted repeat segments tend to get rearranged more.</t>
  </si>
  <si>
    <t xml:space="preserve">Recently a more detailed model of the Earth was developed. Seismologists were able to create this using images of what from the interior of the Earth? </t>
  </si>
  <si>
    <t>How many Nobel Laureates are among the school alumni?</t>
  </si>
  <si>
    <t>Major General James Abercrombie</t>
  </si>
  <si>
    <t>Some have described the internal strife between various people groups as a form of imperialism or colonialism. This internal form is distinct from informal U.S. imperialism in the form of political and financial hegemony. This internal form of imperialism is also distinct from the United States' formation of "colonies" abroad. Through the treatment of its indigenous peoples during westward expansion, the United States took on the form of an imperial power prior to any attempts at external imperialism. This internal form of empire has been referred to as "internal colonialism". Participation in the African slave trade and the subsequent treatment of its 12 to 15 million Africans is viewed by some to be a more modern extension of America's "internal colonialism". However, this internal colonialism faced resistance, as external colonialism did, but the anti-colonial presence was far less prominent due to the nearly complete dominance that the United States was able to assert over both indigenous peoples and African-Americans. In his lecture on April 16, 2003, Edward Said made a bold statement on modern imperialism in the United States, whom he described as using aggressive means of attack towards the contemporary Orient, "due to their backward living, lack of democracy and the violation of women’s rights. The western world forgets during this process of converting the other that enlightenment and democracy are concepts that not all will agree upon".</t>
  </si>
  <si>
    <t>an attempt to emphasize academics over athletics</t>
  </si>
  <si>
    <t>What monument is in memory of the largest insurrection of WWII?</t>
  </si>
  <si>
    <t>The objective is typically accomplished through either an informal or formal approach to learning, including a course of study and lesson plan that teaches skills, knowledge and/or thinking skills. Different ways to teach are often referred to as pedagogy. When deciding what teaching method to use teachers consider students' background knowledge, environment, and their learning goals as well as standardized curricula as determined by the relevant authority. Many times, teachers assist in learning outside of the classroom by accompanying students on field trips. The increasing use of technology, specifically the rise of the internet over the past decade, has begun to shape the way teachers approach their roles in the classroom.</t>
  </si>
  <si>
    <t>outlined the division and administration of the newly conquered territory</t>
  </si>
  <si>
    <t>7.9 million in the U.S</t>
  </si>
  <si>
    <t>How high are many of the buildings with turrets?</t>
  </si>
  <si>
    <t>inform the jury and the public</t>
  </si>
  <si>
    <t xml:space="preserve">ableine was retired and the new platform is called </t>
  </si>
  <si>
    <t>histocompatibility</t>
  </si>
  <si>
    <t>obligately anaerobic organisms</t>
  </si>
  <si>
    <t>587,000</t>
  </si>
  <si>
    <t>What English law made that country more welcoming to Huguenots?</t>
  </si>
  <si>
    <t>Who along with Russia supported post WW-II communist movements?</t>
  </si>
  <si>
    <t>from 1321 to 1323</t>
  </si>
  <si>
    <t>Which group headlined the Super Bowl 50 halftime show?</t>
  </si>
  <si>
    <t>Giuliano da Sangallo</t>
  </si>
  <si>
    <t>Alberta and British Columbia</t>
  </si>
  <si>
    <t>an enzyme called rubisco</t>
  </si>
  <si>
    <t>What else was used by pharmas?</t>
  </si>
  <si>
    <t>What year saw the earliest recorded use of the steam engine indicator?</t>
  </si>
  <si>
    <t>Italian and French Renaissance objects</t>
  </si>
  <si>
    <t>Where was the Summer Theatre located?</t>
  </si>
  <si>
    <t>LM engines were successfully test-fired and restarted</t>
  </si>
  <si>
    <t>Treaty of Logstown</t>
  </si>
  <si>
    <t>Famous musicians</t>
  </si>
  <si>
    <t>the San Andreas Fault</t>
  </si>
  <si>
    <t>1 August 1521</t>
  </si>
  <si>
    <t>There are concentrations of pubs, bars and nightclubs around the Bigg Market and the Quayside area of the city centre. There are many bars on the Bigg Market, and other popular areas for nightlife are Collingwood Street, popularly referred to as the 'Diamond Strip' due to its concentration of high-end bars, Neville Street, the Central Station area and Osborne Road in the Jesmond area of the city. In recent years "The Gate" has opened in the city centre, a new indoor complex consisting of bars, upmarket clubs, restaurants and a 12-screen Empire multiplex cinema. Newcastle's gay scene - 'The Pink Triangle' - is centred on the Times Square area near the Centre for Life and has a range of bars, cafés and clubs.</t>
  </si>
  <si>
    <t>In the 1980s what was the population of the amazon region?</t>
  </si>
  <si>
    <t>Jingshi Dadian</t>
  </si>
  <si>
    <t>Who was the Bauhaus typeface originally designed by in the 1920s?</t>
  </si>
  <si>
    <t>Nikola_Tesla</t>
  </si>
  <si>
    <t>The V&amp;A holds over 19,000 items from the Islamic world, ranging from the early Islamic period (the 7th century) to the early 20th century. The Jameel Gallery of Islamic Art, opened in 2006, houses a representative display of 400 objects with the highlight being the Ardabil Carpet, the centrepiece of the gallery. The displays in this gallery cover objects from Spain, North Africa, the Middle East, Central Asia and Afghanistan. A masterpiece of Islamic art is a 10th-century Rock crystal ewer. Many examples of Qur'āns with exquisite calligraphy dating from various periods are on display. A 15th-century minbar from a Cairo mosque with ivory forming complex geometrical patterns inlaid in wood is one of the larger objects on display. Extensive examples of ceramics especially Iznik pottery, glasswork including 14th-century lamps from mosques and metalwork are on display. The collection of Middle Eastern and Persian rugs and carpets is amongst the finest in the world, many were part of the Salting Bequest of 1909. Examples of tile work from various buildings including a fireplace dated 1731 from Istanbul made of intricately decorated blue and white tiles and turquoise tiles from the exterior of buildings from Samarkand are also displayed.</t>
  </si>
  <si>
    <t>Who won Super Bowl 50?</t>
  </si>
  <si>
    <t>What major crop was brought to China from the west?</t>
  </si>
  <si>
    <t>Many of the same decisions and principles that apply in other criminal investigations and arrests arise also in civil disobedience cases. For example, the suspect may need to decide whether or not to grant a consent search of his property, and whether or not to talk to police officers. It is generally agreed within the legal community, and is often believed within the activist community, that a suspect's talking to criminal investigators can serve no useful purpose, and may be harmful. However, some civil disobedients have nonetheless found it hard to resist responding to investigators' questions, sometimes due to a lack of understanding of the legal ramifications, or due to a fear of seeming rude. Also, some civil disobedients seek to use the arrest as an opportunity to make an impression on the officers. Thoreau wrote, "My civil neighbor, the tax-gatherer, is the very man I have to deal with--for it is, after all, with men and not with parchment that I quarrel--and he has voluntarily chosen to be an agent of the government. How shall he ever know well that he is and does as an officer of the government, or as a man, until he is obliged to consider whether he will treat me, his neighbor, for whom he has respect, as a neighbor and well-disposed man, or as a maniac and disturber of the peace, and see if he can get over this obstruction to his neighborliness without a ruder and more impetuous thought or speech corresponding with his action."</t>
  </si>
  <si>
    <t>support an attack on the upper classes</t>
  </si>
  <si>
    <t>What are colloblasts?</t>
  </si>
  <si>
    <t>In 1940, what percentage of the population in Fresno was Asian?</t>
  </si>
  <si>
    <t>Oxygen exists in the atmosphere by way of what?</t>
  </si>
  <si>
    <t>Henry Laurens</t>
  </si>
  <si>
    <t>Which c1622-23 sculpture by Bernini are included in the sculpture collection?</t>
  </si>
  <si>
    <t>over 10,000</t>
  </si>
  <si>
    <t>fundamental error</t>
  </si>
  <si>
    <t>Where is the sculpture gallery now located?</t>
  </si>
  <si>
    <t>What is the primary goal of pleading not guilty when arrested for Civil Disobedience?</t>
  </si>
  <si>
    <t>Turkish defenders</t>
  </si>
  <si>
    <t>design typical of Eastern bloc countries</t>
  </si>
  <si>
    <t>What is the level of inequality in underdeveloped countries?</t>
  </si>
  <si>
    <t>Economist</t>
  </si>
  <si>
    <t>Was the plan formalized?</t>
  </si>
  <si>
    <t>Where is Bielany Forest located?</t>
  </si>
  <si>
    <t>How many days did the River Tyne have the Bambuco Bridge?</t>
  </si>
  <si>
    <t>five times</t>
  </si>
  <si>
    <t>In 1529, Warsaw for the first time became the seat of the General Sejm, permanent from 1569. In 1573 the city gave its name to the Warsaw Confederation, formally establishing religious freedom in the Polish–Lithuanian Commonwealth. Due to its central location between the Commonwealth's capitals of Kraków and Vilnius, Warsaw became the capital of the Commonwealth and the Crown of the Kingdom of Poland when King Sigismund III Vasa moved his court from Kraków to Warsaw in 1596. In the following years the town expanded towards the suburbs. Several private independent districts were established, the property of aristocrats and the gentry, which were ruled by their own laws. Three times between 1655–1658 the city was under siege and three times it was taken and pillaged by the Swedish, Brandenburgian and Transylvanian forces.</t>
  </si>
  <si>
    <t>steam turbines</t>
  </si>
  <si>
    <t>As of August 2010, Victoria had 1,548 public schools, 489 Catholic schools and 214 independent schools. Just under 540,800 students were enrolled in public schools, and just over 311,800 in private schools. Over 61 per cent of private students attend Catholic schools. More than 462,000 students were enrolled in primary schools and more than 390,000 in secondary schools. Retention rates for the final two years of secondary school were 77 per cent for public school students and 90 per cent for private school students. Victoria has about 63,519 full-time teachers.</t>
  </si>
  <si>
    <t>How many years have imperialistic practices existed?</t>
  </si>
  <si>
    <t>Who was the first European to travel the entire length of the Amazon River?</t>
  </si>
  <si>
    <t>When did Tesla attain his electrical transmitter patent?</t>
  </si>
  <si>
    <t>a balance sensor</t>
  </si>
  <si>
    <t>The network's troubles with sustaining existing series and gaining new hits spilled over into its 2010–11 schedule: ABC's dramas during that season continued to fail, with the midseason forensic investigation drama Body of Proof being the only one that was renewed for a second season. The network also struggled to establish new comedies to support the previous year's debuts, with only late-season premiere Happy Endings earning a second season. Meanwhile, the new lows hit by Brothers &amp; Sisters led to its cancellation, and the previous year's only drama renewal, V, also failed to earn another season after a low-rated midseason run. Despite this and another noticeable ratings decline, ABC would manage to outrate NBC for third place by a larger margin than the previous year.</t>
  </si>
  <si>
    <t>the prime number theorem</t>
  </si>
  <si>
    <t>the same message routing methodology as developed by Baran</t>
  </si>
  <si>
    <t>Between about 1964 and 1973</t>
  </si>
  <si>
    <t>Catherine Tate</t>
  </si>
  <si>
    <t>Larger drugs (&gt;500 Da) can provoke a neutralizing immune response, particularly if the drugs are administered repeatedly, or in larger doses. This limits the effectiveness of drugs based on larger peptides and proteins (which are typically larger than 6000 Da). In some cases, the drug itself is not immunogenic, but may be co-administered with an immunogenic compound, as is sometimes the case for Taxol. Computational methods have been developed to predict the immunogenicity of peptides and proteins, which are particularly useful in designing therapeutic antibodies, assessing likely virulence of mutations in viral coat particles, and validation of proposed peptide-based drug treatments. Early techniques relied mainly on the observation that hydrophilic amino acids are overrepresented in epitope regions than hydrophobic amino acids; however, more recent developments rely on machine learning techniques using databases of existing known epitopes, usually on well-studied virus proteins, as a training set. A publicly accessible database has been established for the cataloguing of epitopes from pathogens known to be recognizable by B cells. The emerging field of bioinformatics-based studies of immunogenicity is referred to as immunoinformatics. Immunoproteomics is the study of large sets of proteins (proteomics) involved in the immune response.</t>
  </si>
  <si>
    <t>highest on Earth</t>
  </si>
  <si>
    <t>How many points are there in the foundation of the Reformation?</t>
  </si>
  <si>
    <t>5,000 years</t>
  </si>
  <si>
    <t>Who kicked the field goal for Denver on the first drive of Super Bowl 50?</t>
  </si>
  <si>
    <t>The U.S. government has engaged in efforts to counter Islamism, or violent Islamism, since 2001. These efforts were centred in the U.S. around public diplomacy programmes conducted by the State Department. There have been calls to create an independent agency in the U.S. with a specific mission of undermining Islamism and jihadism. Christian Whiton, an official in the George W. Bush administration, called for a new agency focused on the nonviolent practice of "political warfare" aimed at undermining the ideology. U.S. Defense Secretary Robert Gates called for establishing something similar to the defunct U.S. Information Agency, which was charged with undermining the communist ideology during the Cold War.</t>
  </si>
  <si>
    <t>Time</t>
  </si>
  <si>
    <t>12-screen</t>
  </si>
  <si>
    <t>What event is held at Bells Beach in Victoria?</t>
  </si>
  <si>
    <t>Which of the three heavily populated areas has the least number of inhabitants?</t>
  </si>
  <si>
    <t>U.S. Patent 1,655,114</t>
  </si>
  <si>
    <t>can include arbitrarily many instances of 1 in any factorization</t>
  </si>
  <si>
    <t>ctenophores,</t>
  </si>
  <si>
    <t>Where are issues like abortion and drug policy legislated on?</t>
  </si>
  <si>
    <t>How many primes were included in Derrick Norman Lehmer's list of prime numbers?</t>
  </si>
  <si>
    <t>CRISPR</t>
  </si>
  <si>
    <t>supportive ministry with all women,</t>
  </si>
  <si>
    <t>Who was assigned to design a second master plan?</t>
  </si>
  <si>
    <t>When is Sir Pindar's house dated?</t>
  </si>
  <si>
    <t>lower</t>
  </si>
  <si>
    <t>What might cause a higher student interest in learning the presented subject?</t>
  </si>
  <si>
    <t>90% to 93%</t>
  </si>
  <si>
    <t>Doctor Who fandom</t>
  </si>
  <si>
    <t>How many meals a day do normal Kenyans eat?</t>
  </si>
  <si>
    <t>Zygons</t>
  </si>
  <si>
    <t>Threatening government officials</t>
  </si>
  <si>
    <t>Which fullback fumbled the ball after a Darian Stewart tackle?</t>
  </si>
  <si>
    <t>European_Union_law</t>
  </si>
  <si>
    <t>Refineries, process chemical, power generation, mills and manufacturing plants are under what sector of construction?</t>
  </si>
  <si>
    <t>In what two serials was the number of regenerations set?</t>
  </si>
  <si>
    <t>to provide a fault-tolerant, efficient routing method for telecommunication messages</t>
  </si>
  <si>
    <t>three museums.</t>
  </si>
  <si>
    <t>The Sunday Service of the Methodists in North America was a revised version of what book?</t>
  </si>
  <si>
    <t>The American Broadcasting Company (ABC) (stylized in its logo as abc since 1957) is an American commercial broadcast television network that is owned by the Disney–ABC Television Group, a subsidiary of Disney Media Networks division of The Walt Disney Company. The network is part of the Big Three television networks. The network is headquartered on Columbus Avenue and West 66th Street in Manhattan, with additional major offices and production facilities in New York City, Los Angeles and Burbank, California.</t>
  </si>
  <si>
    <t>nearby open spaces</t>
  </si>
  <si>
    <t>Golden Horde</t>
  </si>
  <si>
    <t>James Gamble &amp; Reuben Townroe</t>
  </si>
  <si>
    <t>the electrostatic force (due to the electric field) and the magnetic force</t>
  </si>
  <si>
    <t xml:space="preserve">How is circuit switching allocated </t>
  </si>
  <si>
    <t>36%</t>
  </si>
  <si>
    <t>Paul Whiteman</t>
  </si>
  <si>
    <t>Who were the astronauts aboard the Apollo 11 mission?</t>
  </si>
  <si>
    <t>What Chinese system did Kublai's government compromise with?</t>
  </si>
  <si>
    <t>well into the nineteenth century</t>
  </si>
  <si>
    <t>The third assessment report (TAR) prominently featured a graph labeled "Millennial Northern Hemisphere temperature reconstruction" based on a 1999 paper by Michael E. Mann, Raymond S. Bradley and Malcolm K. Hughes (MBH99), which has been referred to as the "hockey stick graph". This graph extended the similar graph in Figure 3.20 from the IPCC Second Assessment Report of 1995, and differed from a schematic in the first assessment report that lacked temperature units, but appeared to depict larger global temperature variations over the past 1000 years, and higher temperatures during the Medieval Warm Period than the mid 20th century. The schematic was not an actual plot of data, and was based on a diagram of temperatures in central England, with temperatures increased on the basis of documentary evidence of Medieval vineyards in England. Even with this increase, the maximum it showed for the Medieval Warm Period did not reach temperatures recorded in central England in 2007. The MBH99 finding was supported by cited reconstructions by Jones et al. 1998, Pollack, Huang &amp; Shen 1998, Crowley &amp; Lowery 2000 and Briffa 2000, using differing data and methods. The Jones et al. and Briffa reconstructions were overlaid with the MBH99 reconstruction in Figure 2.21 of the IPCC report.</t>
  </si>
  <si>
    <t>In what year did the Amazon experience a drought that may have been more extreme than in 2005?</t>
  </si>
  <si>
    <t xml:space="preserve">What will the number "50" be plated with? </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</si>
  <si>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</si>
  <si>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egg-shaped</t>
  </si>
  <si>
    <t>What radio station in South Carolina carried the Super Bowl 50 game?</t>
  </si>
  <si>
    <t>Quatre études de rythme</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</si>
  <si>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</si>
  <si>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Kurt Vonnegut</t>
  </si>
  <si>
    <t>Sant'Eufemia</t>
  </si>
  <si>
    <t>coercion</t>
  </si>
  <si>
    <t>Where was Shirey going to be when Fort Oswego was to be attacked?</t>
  </si>
  <si>
    <t>avoid trivialization.</t>
  </si>
  <si>
    <t>When was the last season that this original theme was used?</t>
  </si>
  <si>
    <t>What is the exchange of heat associated with?</t>
  </si>
  <si>
    <t>2.2 inches (0.06 m)</t>
  </si>
  <si>
    <t>their families</t>
  </si>
  <si>
    <t>last mission,</t>
  </si>
  <si>
    <t>On what date did the NFL announce that Coldplay would headline the halftime show?</t>
  </si>
  <si>
    <t>The Los Angeles Angels of Anaheim are from which sport?</t>
  </si>
  <si>
    <t>respective lines of application</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</si>
  <si>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(鈔,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</si>
  <si>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When did Tesla enroll in Austrian Polytechnic?</t>
  </si>
  <si>
    <t>In November 1960, John F. Kennedy was elected president after a campaign that promised American superiority over the Soviet Union in the fields of space exploration and missile defense. Up to the election of 1960, Kennedy had been speaking out against the "missile gap" that he and many other senators felt had formed between the Soviets and themselves due to the inaction of President Eisenhower. Beyond military power, Kennedy used aerospace technology as a symbol of national prestige, pledging to make the US not "first but, first and, first if, but first period." Despite Kennedy's rhetoric, he did not immediately come to a decision on the status of the Apollo program once he became president. He knew little about the technical details of the space program, and was put off by the massive financial commitment required by a manned Moon landing. When Kennedy's newly appointed NASA Administrator James E. Webb requested a 30 percent budget increase for his agency, Kennedy supported an acceleration of NASA's large booster program but deferred a decision on the broader issue.</t>
  </si>
  <si>
    <t>enthusiasm about the students</t>
  </si>
  <si>
    <t>Whose society portraits from the late 19th to early 20th centuries does the V&amp;A hold?</t>
  </si>
  <si>
    <t>The WJZ callsign would then be assigned to an ABC affiliate in what city in 1959?</t>
  </si>
  <si>
    <t>The Mission Council usually consists of whom?</t>
  </si>
  <si>
    <t>Who built a castle in Newcastle in 1080?</t>
  </si>
  <si>
    <t>In October 1529, Philip I, Landgrave of Hesse, convoked an assembly of German and Swiss theologians at the Marburg Colloquy, to establish doctrinal unity in the emerging Protestant states. Agreement was achieved on fourteen points out of fifteen, the exception being the nature of the Eucharist – the sacrament of the Lord's Supper—an issue crucial to Luther.</t>
  </si>
  <si>
    <t>What two Denver players ranked at 5 percent for sacks?</t>
  </si>
  <si>
    <t>Computational_complexity_theory</t>
  </si>
  <si>
    <t>What is in Eldon Square?</t>
  </si>
  <si>
    <t>between 1.4 and 5.8 °C above 1990 levels</t>
  </si>
  <si>
    <t>What political party is strongest in Melbourne's working class suburbs?</t>
  </si>
  <si>
    <t>birefringence, pleochroism, twinning, and interference properties</t>
  </si>
  <si>
    <t>What does the UMC oppose as incompatible with the teaching of Scripture?</t>
  </si>
  <si>
    <t>Inherited wealth</t>
  </si>
  <si>
    <t>Rutherford Grammar School,</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</si>
  <si>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</si>
  <si>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Rocks that are a depth where they are ductilely stretched are also often what?</t>
  </si>
  <si>
    <t>consciously determined to be reborn</t>
  </si>
  <si>
    <t>1949</t>
  </si>
  <si>
    <t>In cpDNA, there are several A → G deamination gradients. DNA becomes susceptible to deamination events when it is single stranded. When replication forks form, the strand not being copied is single stranded, and thus at risk for A → G deamination. Therefore, gradients in deamination indicate that replication forks were most likely present and the direction that they initially opened (the highest gradient is most likely nearest the start site because it was single stranded for the longest amount of time). This mechanism is still the leading theory today; however, a second theory suggests that most cpDNA is actually linear and replicates through homologous recombination. It further contends that only a minority of the genetic material is kept in circular chromosomes while the rest is in branched, linear, or other complex structures.</t>
  </si>
  <si>
    <t>when Germany started to build her own</t>
  </si>
  <si>
    <t>Who runs a service out of Newcastle's International Ferry Terminal?</t>
  </si>
  <si>
    <t>hemicycle</t>
  </si>
  <si>
    <t>Kelvin Benjamin</t>
  </si>
  <si>
    <t>Brownlee argues disobedience can be justified toward what institutions?</t>
  </si>
  <si>
    <t>John G. Trump</t>
  </si>
  <si>
    <t>a rock concert</t>
  </si>
  <si>
    <t>The Five Doctors</t>
  </si>
  <si>
    <t>square root of n</t>
  </si>
  <si>
    <t>ABC News</t>
  </si>
  <si>
    <t>SyFy</t>
  </si>
  <si>
    <t>When were theories developed suggesting inequality may have some positive effect on economic development?</t>
  </si>
  <si>
    <t>greater equality</t>
  </si>
  <si>
    <t>What other forces were tainted by corruption allegations?</t>
  </si>
  <si>
    <t>cultural traditions, social customs, religious beliefs</t>
  </si>
  <si>
    <t>Bronze Age agriculture</t>
  </si>
  <si>
    <t>the Edison Medal</t>
  </si>
  <si>
    <t>When did Kenya gain independance?</t>
  </si>
  <si>
    <t>What should a Christian follow in his life?</t>
  </si>
  <si>
    <t>Kim Wilkie</t>
  </si>
  <si>
    <t>LGBT</t>
  </si>
  <si>
    <t>"No, that's no good</t>
  </si>
  <si>
    <t>What honorary title does Bob Geldof hold?</t>
  </si>
  <si>
    <t>How many times did the Broncos cause turnovers in the game?</t>
  </si>
  <si>
    <t>extended structure</t>
  </si>
  <si>
    <t>heat shield</t>
  </si>
  <si>
    <t>How many years was John Fox the head coach of the Denver Broncos?</t>
  </si>
  <si>
    <t>What are the most abundant kind of phagocyte?</t>
  </si>
  <si>
    <t>4-week period</t>
  </si>
  <si>
    <t>those who feel that only doctors can reliably assess contraindications, risk/benefit ratios, and an individual's overall suitability for use of a medication.</t>
  </si>
  <si>
    <t>What do most platyctenida have on their aboral surface?</t>
  </si>
  <si>
    <t>What financial issue is notoriously prevalent in the construction field?</t>
  </si>
  <si>
    <t>the old country-western show at The Fresno Barn</t>
  </si>
  <si>
    <t>via electron microscopy</t>
  </si>
  <si>
    <t>green algal derived chloroplast (more specifically, a prasinophyte)</t>
  </si>
  <si>
    <t>France was unwilling to risk large convoys to aid the limited forces it had in New France</t>
  </si>
  <si>
    <t>1985</t>
  </si>
  <si>
    <t>William the Conqueror</t>
  </si>
  <si>
    <t>How did Saint-Pierre respond to Washington?</t>
  </si>
  <si>
    <t>Who originally led the Space Task Group?</t>
  </si>
  <si>
    <t>What did mlolongo system lead to?</t>
  </si>
  <si>
    <t>Has the tourism sector had growth or reduction?</t>
  </si>
  <si>
    <t>TFEU article 49</t>
  </si>
  <si>
    <t>regional tourism groups</t>
  </si>
  <si>
    <t>punish the Miami people of Pickawillany for not following Céloron's orders</t>
  </si>
  <si>
    <t>coordinating lead author of the Fifth Assessment Report</t>
  </si>
  <si>
    <t>"the poor application of well-established IPCC procedures in this instance"</t>
  </si>
  <si>
    <t>What life process produces oxygen in the presence of light?</t>
  </si>
  <si>
    <t>the Earth must be much older than had previously been supposed</t>
  </si>
  <si>
    <t>pharmacy health care</t>
  </si>
  <si>
    <t>What famous author used similarity and likeness of Percy Shelly in his writing?</t>
  </si>
  <si>
    <t>the helical thylakoid model</t>
  </si>
  <si>
    <t>protest</t>
  </si>
  <si>
    <t>Alhambra</t>
  </si>
  <si>
    <t>What characteristic of oxygen causes it to form bonds with other elements?</t>
  </si>
  <si>
    <t>In what year did Priestley publish the findings of his experiments?</t>
  </si>
  <si>
    <t>Who sets the work agenda and allocates time in the chamber?</t>
  </si>
  <si>
    <t>Complexity measures</t>
  </si>
  <si>
    <t>What was the goal of this Roman disobedience?</t>
  </si>
  <si>
    <t>What television trend are Charlies Angels and Three's Company an example of?</t>
  </si>
  <si>
    <t>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t>
  </si>
  <si>
    <t>One of the more unusual collections is that of Eadweard Muybridge's photographs of Animal Locomotion of 1887, this consists of 781 plates. These sequences of photographs taken a fraction of a second apart capture images of different animals and humans performimg various actions. There are several of John Thomson's 1876-7 images of Street Life in London in the collection. The museum also holds James Lafayette's society portraits, a collection of more than 600 photographs dating from the late 19th to early 20th centuries and portraying a wide range of society figures of the period, including bishops, generals, society ladies, Indian maharajas, Ethiopian rulers and other foreign leaders, actresses, people posing in their motor cars and a sequence of photographs recording the guests at the famous fancy-dress ball held at Devonshire House in 1897 to celebrate Queen Victoria's diamond jubilee.</t>
  </si>
  <si>
    <t>it is weighted inversely to member state size</t>
  </si>
  <si>
    <t>Tijuana</t>
  </si>
  <si>
    <t>Fort Niagara</t>
  </si>
  <si>
    <t>Apicomplexans are another group of chromalveolates. Like the helicosproidia, they're parasitic, and have a nonphotosynthetic chloroplast. They were once thought to be related to the helicosproidia, but it is now known that the helicosproida are green algae rather than chromalveolates. The apicomplexans include Plasmodium, the malaria parasite. Many apicomplexans keep a vestigial red algal derived chloroplast called an apicoplast, which they inherited from their ancestors. Other apicomplexans like Cryptosporidium have lost the chloroplast completely. Apicomplexans store their energy in amylopectin starch granules that are located in their cytoplasm, even though they are nonphotosynthetic.</t>
  </si>
  <si>
    <t>1493–1500,</t>
  </si>
  <si>
    <t>Some elements of the Brotherhood directed what action against the government?</t>
  </si>
  <si>
    <t>Newborn infants have no prior exposure to microbes and are particularly vulnerable to infection. Several layers of passive protection are provided by the mother. During pregnancy, a particular type of antibody, called IgG, is transported from mother to baby directly across the placenta, so human babies have high levels of antibodies even at birth, with the same range of antigen specificities as their mother. Breast milk or colostrum also contains antibodies that are transferred to the gut of the infant and protect against bacterial infections until the newborn can synthesize its own antibodies. This is passive immunity because the fetus does not actually make any memory cells or antibodies—it only borrows them. This passive immunity is usually short-term, lasting from a few days up to several months. In medicine, protective passive immunity can also be transferred artificially from one individual to another via antibody-rich serum.</t>
  </si>
  <si>
    <t>dial-up connections or dedicated async connections</t>
  </si>
  <si>
    <t>The amount of land a country controls is its greatest what?</t>
  </si>
  <si>
    <t>What did Martin Luther do during 1510 to 1520?</t>
  </si>
  <si>
    <t>What is Psalm 67 about?</t>
  </si>
  <si>
    <t>If Parliament agrees in a vote to the general principle of a bill, what does it then proceed to?</t>
  </si>
  <si>
    <t>international law</t>
  </si>
  <si>
    <t>Genghis Khan put absolute trust in his generals, such as Muqali, Jebe and Subutai, and regarded them as close advisors, often extending them the same privileges and trust normally reserved for close family members. He allowed them to make decisions on their own when they embarked on campaigns far from the Mongol Empire capital Karakorum. Muqali, a trusted lieutenant, was given command of the Mongol forces against the Jin dynasty while Genghis Khan was fighting in Central Asia, and Subutai and Jebe were allowed to pursue the Great Raid into the Caucasus and Kievan Rus', an idea they had presented to the Khagan on their own initiative. While granting his generals a great deal of autonomy in making command decisions, Genghis Khan also expected unwavering loyalty from them.</t>
  </si>
  <si>
    <t>What responsibilities are pharmacists believed to be taking on more in the future?</t>
  </si>
  <si>
    <t>David</t>
  </si>
  <si>
    <t>What town is surrounded by Jacksonville?</t>
  </si>
  <si>
    <t>€90,000</t>
  </si>
  <si>
    <t>Which tribe did Temüjin move in with at nine years of age?</t>
  </si>
  <si>
    <t>Where is Energiprojekt AB based?</t>
  </si>
  <si>
    <t>γδ T cells</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</si>
  <si>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</si>
  <si>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~74,000 (BP = Before Present)</t>
  </si>
  <si>
    <t>McCrary</t>
  </si>
  <si>
    <t>Private Education Student Financial Assistance</t>
  </si>
  <si>
    <t>The Yuan was the first time all of China was ruled by whom?</t>
  </si>
  <si>
    <t>How long did it take to improve on Sir Isaac Newton's laws of motion?</t>
  </si>
  <si>
    <t>Which current type was Tesla in favor of?</t>
  </si>
  <si>
    <t>impediments and difficulties</t>
  </si>
  <si>
    <t>colonialism</t>
  </si>
  <si>
    <t>informal" imperialism</t>
  </si>
  <si>
    <t>Starting in 1934, the Westinghouse Electric &amp; Manufacturing Company began paying Tesla $125 per month as well as paying his rent at the Hotel New Yorker, expenses the Company would pay for the rest of Tesla's life. Accounts on how this came about vary. Several sources say Westinghouse was worried about potential bad publicity surrounding the impoverished conditions their former star inventor was living under. It has been described as being couched in the form of a "consulting fee" to get around Tesla's aversion to accept charity, or by one biographer (Marc Seifer), as a type of unspecified settlement.</t>
  </si>
  <si>
    <t>a postal company</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</si>
  <si>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</si>
  <si>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Infrastructure is often called what?</t>
  </si>
  <si>
    <t>other senior pharmacy technicians</t>
  </si>
  <si>
    <t>inputs</t>
  </si>
  <si>
    <t>Who is the author of the book, "Knowledge and Decisions"?</t>
  </si>
  <si>
    <t>In between French and British, what groups controlled land?</t>
  </si>
  <si>
    <t>East Asian</t>
  </si>
  <si>
    <t>those who refuse vetting</t>
  </si>
  <si>
    <t>The Rhine was not known to Herodotus and first enters the historical period in the 1st century BC in Roman-era geography. At that time, it formed the boundary between Gaul and Germania. The Upper Rhine had been part of the areal of the late Hallstatt culture since the 6th century BC, and by the 1st century BC, the areal of the La Tène culture covered almost its entire length, forming a contact zone with the Jastorf culture, i.e. the locus of early Celtic-Germanic cultural contact. In Roman geography, the Rhine formed the boundary between Gallia and Germania by definition; e.g. Maurus Servius Honoratus, Commentary on the Aeneid of Vergil (8.727) (Rhenus) fluvius Galliae, qui Germanos a Gallia dividit "(The Rhine is a) river of Gaul, which divides the Germanic people from Gaul."</t>
  </si>
  <si>
    <t>Liechtenstein</t>
  </si>
  <si>
    <t>oxyacetylene</t>
  </si>
  <si>
    <t>What one point was not agreed on that was dear to Luther?</t>
  </si>
  <si>
    <t>twice the thrust required</t>
  </si>
  <si>
    <t>What needs to be made to ensure poorer members of society can participate in economic growth?</t>
  </si>
  <si>
    <t>What medical treatment is used to benefit patients with hearth and lung disorders?</t>
  </si>
  <si>
    <t>When was the Augsburg Confession signed?</t>
  </si>
  <si>
    <t>In what town did Bill Aiken grow up?</t>
  </si>
  <si>
    <t>as pertaining to a citizen's relation to the state and its laws</t>
  </si>
  <si>
    <t>within the premises of the hospital</t>
  </si>
  <si>
    <t>OpenTV</t>
  </si>
  <si>
    <t>the Smalcald Articles</t>
  </si>
  <si>
    <t>government</t>
  </si>
  <si>
    <t>material about live performance in the UK since Shakespeare's day</t>
  </si>
  <si>
    <t>Rose</t>
  </si>
  <si>
    <t>the Mission Council</t>
  </si>
  <si>
    <t>How many passing yards did Cam Newton get for his 4 of 4 passes?</t>
  </si>
  <si>
    <t>What is Kenya doing to determine if there are more reserves?</t>
  </si>
  <si>
    <t>In some countries over how many steps can it take to build on government land?</t>
  </si>
  <si>
    <t>When did the Channel 4 documentary Undercover Mosque air?</t>
  </si>
  <si>
    <t>large pharynx</t>
  </si>
  <si>
    <t>How many visitors did the Britain Can Make It exhibition attract?</t>
  </si>
  <si>
    <t>What industry did the nobleman establish with this settlement?</t>
  </si>
  <si>
    <t>kilometres</t>
  </si>
  <si>
    <t>1.5 gigatons</t>
  </si>
  <si>
    <t>What effect did Genghis Khan's career have on communication and trade across Asia?</t>
  </si>
  <si>
    <t>How is packet switching charecterized</t>
  </si>
  <si>
    <t>basis of the methodology used</t>
  </si>
  <si>
    <t>"Super Bowl City"</t>
  </si>
  <si>
    <t>What Harvard Alumni was the Palestine Prime Minister?</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</si>
  <si>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(1899–1902) is the most interesting of the late 19th-century architecture. Some 19th-century buildings in the Praga district (the Vistula’s right bank) have been restored although many have been poorly maintained. Warsaw’s municipal government authorities have decided to rebuild the Saxon Palace and the Brühl Palace, the most distinctive buildings in prewar Warsaw.</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</si>
  <si>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René-Robert Cavelier, Sieur de La Salle had explored the Ohio Country nearly a century earlier.</t>
  </si>
  <si>
    <t>rote</t>
  </si>
  <si>
    <t>imprisonment</t>
  </si>
  <si>
    <t>How great were the losses suffered in the the financial crisis of 2008-09 to Harvard endowment?</t>
  </si>
  <si>
    <t>What is the use of the law by the Holy Spirit?</t>
  </si>
  <si>
    <t>In the fall quarter of 2014, the University of Chicago enrolled 5,792 students in the College, 3,468 students in its four graduate divisions, 5,984 students in its professional schools, and 15,244 students overall. In the 2012 Spring Quarter, international students comprised almost 19% of the overall study body, over 26% of students were domestic ethnic minorities, and about 44% of enrolled students were female. Admissions to the University of Chicago is highly selective. The middle 50% band of SAT scores for the undergraduate class of 2015, excluding the writing section, was 1420–1530, the average MCAT score for entering students in the Pritzker School of Medicine in 2011 was 36, and the median LSAT score for entering students in the Law School in 2011 was 171. In 2015, the College of the University of Chicago had an acceptance rate of 7.8% for the Class of 2019, the lowest in the college's history.</t>
  </si>
  <si>
    <t>solid economic growth</t>
  </si>
  <si>
    <t>In Hinduism the spiritual teacher is known as a guru, and, in many traditions of Hinduism - especially those common in the West - the emphasis on spiritual mentorship is extremely high, with gurus often exercising a great deal of control over the lives of their disciples.</t>
  </si>
  <si>
    <t>Perhaps the most significant difference between primary school and secondary school teaching is the relationship between teachers and children. In primary schools each class has a teacher who stays with them for most of the week and will teach them the whole curriculum. In secondary schools they will be taught by different subject specialists each session during the week and may have ten or more different teachers. The relationship between children and their teachers tends to be closer in the primary school where they act as form tutor, specialist teacher and surrogate parent during the course of the day.</t>
  </si>
  <si>
    <t>How many Doctor Who episodes have been shown, in total?</t>
  </si>
  <si>
    <t>Besides the arguments with Rome and his own fellow reformers, what scandal  contributed to Luther's failing health?</t>
  </si>
  <si>
    <t>series from 2009 onwards</t>
  </si>
  <si>
    <t>Liquid oxygen</t>
  </si>
  <si>
    <t>King Sigismund III Vasa</t>
  </si>
  <si>
    <t>focused on identity and unity, which were critical issues at the time</t>
  </si>
  <si>
    <t>synod</t>
  </si>
  <si>
    <t>Although southern california consts of a heavily developed urban environment, how much of it has been left undeveloped?</t>
  </si>
  <si>
    <t>The Judicial Council is the highest court in the denomination. It consists of nine members, both laity and clergy, elected by the General Conference for an eight-year term. The ratio of laity to clergy alternates every eight years. The Judicial Council interprets the Book of Discipline between sessions of General Conference, and during General Conference, the Judicial Council rules on the constitutionality of laws passed by General Conference. The Council also determines whether actions of local churches, annual conferences, church agencies, and bishops are in accordance with church law. The Council reviews all decisions of law made by bishops The Judicial Council cannot create any legislation; it can only interpret existing legislation. The Council meets twice a year at various locations throughout the world. The Judicial Council also hears appeals from those who have been accused of chargeable offenses that can result in defrocking or revocation of membership.</t>
  </si>
  <si>
    <t>What causes the symptoms of inflammation?</t>
  </si>
  <si>
    <t>When did ABC and Disney's television relationship lapse?</t>
  </si>
  <si>
    <t>Coldplay</t>
  </si>
  <si>
    <t>When was the merger between ITT and ABC officially canceled?</t>
  </si>
  <si>
    <t>there are more poor people in the United States and Western Europe than in China</t>
  </si>
  <si>
    <t>Ctenophores may be abundant during the summer months in some coastal locations, but in other places they are uncommon and difficult to find. In bays where they occur in very high numbers, predation by ctenophores may control the populations of small zooplanktonic organisms such as copepods, which might otherwise wipe out the phytoplankton (planktonic plants), which are a vital part of marine food chains. One ctenophore, Mnemiopsis, has accidentally been introduced into the Black Sea, where it is blamed for causing fish stocks to collapse by eating both fish larvae and organisms that would otherwise have fed the fish. The situation was aggravated by other factors, such as over-fishing and long-term environmental changes that promoted the growth of the Mnemiopsis population. The later accidental introduction of Beroe helped to mitigate the problem, as Beroe preys on other ctenophores.</t>
  </si>
  <si>
    <t>a permanent collection of over 4.5 million objects.</t>
  </si>
  <si>
    <t>the greater Southern California Megaregion</t>
  </si>
  <si>
    <t>significantly altered the existing treaties</t>
  </si>
  <si>
    <t>Who proposed that innate intertial is the natural state of objects?</t>
  </si>
  <si>
    <t>five seats</t>
  </si>
  <si>
    <t>What do the strains of y. pestis suggest abut the plague?</t>
  </si>
  <si>
    <t>1524–25</t>
  </si>
  <si>
    <t>Mongols and Semuren</t>
  </si>
  <si>
    <t>mainline Protestant Methodist denomination</t>
  </si>
  <si>
    <t>In which case did the Court state that Austria was not allowed to hold places in Austrian schools exclusively for Austrian students?</t>
  </si>
  <si>
    <t>Spanish</t>
  </si>
  <si>
    <t>Who receives higher salaries at private schools that charge higher tuition?</t>
  </si>
  <si>
    <t>20 works</t>
  </si>
  <si>
    <t>Rhine-Ruhr region</t>
  </si>
  <si>
    <t>When did Marconi transmit similar signals to those Tesla received?</t>
  </si>
  <si>
    <t>Rev. Paul T. Stallsworth</t>
  </si>
  <si>
    <t>In 1984, ABC purchased 15% of what company's shares in ESPN?</t>
  </si>
  <si>
    <t>Preventable diseases like malaria, HIV/AIDS, pneumonia, diarrhoea and malnutrition</t>
  </si>
  <si>
    <t>safety of the translunar environment</t>
  </si>
  <si>
    <t>s = −2, −4, ...,</t>
  </si>
  <si>
    <t>What is rugby rapidly becoming with high schools?</t>
  </si>
  <si>
    <t>Which system comes after an organism's physical barriers?</t>
  </si>
  <si>
    <t>How many member states adopted the Social Charter in 1989?</t>
  </si>
  <si>
    <t>What network aired Super Bowl 50?</t>
  </si>
  <si>
    <t>the TARDIS</t>
  </si>
  <si>
    <t>is a mainline Protestant Methodist denomination</t>
  </si>
  <si>
    <t>What was the percentage of Germans attending private high schools in 2008?</t>
  </si>
  <si>
    <t>dispute over control of the confluence of the Allegheny and Monongahela rivers</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</si>
  <si>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</si>
  <si>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When did Tesla go to Karlovac?</t>
  </si>
  <si>
    <t>The chloroplast membranes sometimes protrude out into the cytoplasm, forming a stromule, or stroma-containing tubule. Stromules are very rare in chloroplasts, and are much more common in other plastids like chromoplasts and amyloplasts in petals and roots, respectively. They may exist to increase the chloroplast's surface area for cross-membrane transport, because they are often branched and tangled with the endoplasmic reticulum. When they were first observed in 1962, some plant biologists dismissed the structures as artifactual, claiming that stromules were just oddly shaped chloroplasts with constricted regions or dividing chloroplasts. However, there is a growing body of evidence that stromules are functional, integral features of plant cell plastids, not merely artifacts.</t>
  </si>
  <si>
    <t>How many of the following three fourth quarter drives after the field goal makng the score 16-10 ended in punts?</t>
  </si>
  <si>
    <t>to clean them</t>
  </si>
  <si>
    <t>asocial</t>
  </si>
  <si>
    <t>What general religious belief did the nations that received Huguenot refugees have in common?</t>
  </si>
  <si>
    <t>Which name is also used to describe the Amazon rainforest in English?</t>
  </si>
  <si>
    <t>ended the true Islamic system</t>
  </si>
  <si>
    <t>How many career sacks did Jared Allen have?</t>
  </si>
  <si>
    <t>Nishapur</t>
  </si>
  <si>
    <t>How many events occur in an engine cycle?</t>
  </si>
  <si>
    <t>failed</t>
  </si>
  <si>
    <t>What reality series was the first spinoff of the Bachelor for ABC?</t>
  </si>
  <si>
    <t>serve and protect the public</t>
  </si>
  <si>
    <t>whether a state or threat of war existed</t>
  </si>
  <si>
    <t>In 1974, what detective series debuted on ABC?</t>
  </si>
  <si>
    <t>HIV/AIDS</t>
  </si>
  <si>
    <t>the Lisbon Treaty</t>
  </si>
  <si>
    <t>Cape of Good Hope</t>
  </si>
  <si>
    <t>What we now call gravity was not identified as a universal force until the work of Isaac Newton. Before Newton, the tendency for objects to fall towards the Earth was not understood to be related to the motions of celestial objects. Galileo was instrumental in describing the characteristics of falling objects by determining that the acceleration of every object in free-fall was constant and independent of the mass of the object. Today, this acceleration due to gravity towards the surface of the Earth is usually designated as  and has a magnitude of about 9.81 meters per second squared (this measurement is taken from sea level and may vary depending on location), and points toward the center of the Earth. This observation means that the force of gravity on an object at the Earth's surface is directly proportional to the object's mass. Thus an object that has a mass of  will experience a force:</t>
  </si>
  <si>
    <t>Why was Polonia relegated from the country's top flight in 2013?</t>
  </si>
  <si>
    <t>the Uighurs surrendered peacefully without violently resisting</t>
  </si>
  <si>
    <t>24 April 1954</t>
  </si>
  <si>
    <t>William the Lion</t>
  </si>
  <si>
    <t>pull</t>
  </si>
  <si>
    <t>differences in value</t>
  </si>
  <si>
    <t>Dendritic cells are named that because they resemble what?</t>
  </si>
  <si>
    <t>What is a common occurrence during summer days?</t>
  </si>
  <si>
    <t>What happens when business underpays their workers?</t>
  </si>
  <si>
    <t>hide the fact that he dropped out of school</t>
  </si>
  <si>
    <t>How many white settlers were living in Kenya in the 1950's?</t>
  </si>
  <si>
    <t>unclear</t>
  </si>
  <si>
    <t>22 May 2006</t>
  </si>
  <si>
    <t>Which country's imports became the de facto mass market leaders?</t>
  </si>
  <si>
    <t>graduate and undergraduate students</t>
  </si>
  <si>
    <t>three-region</t>
  </si>
  <si>
    <t>What weapon did Marco Pole report as the cause of Genghis Khan's death?</t>
  </si>
  <si>
    <t>When did England formally declare war on France?</t>
  </si>
  <si>
    <t>What is the guidebook for local churches and pastors?</t>
  </si>
  <si>
    <t>Who translated and printed Luther's 95 These?</t>
  </si>
  <si>
    <t>lighter</t>
  </si>
  <si>
    <t>22,000 objects</t>
  </si>
  <si>
    <t>Summer Breeze</t>
  </si>
  <si>
    <t>less than or equal to the square root of n</t>
  </si>
  <si>
    <t>shipping toxic waste</t>
  </si>
  <si>
    <t>Founded by the American Baptist Education Society with a donation from oil magnate and wealthiest man in history John D. Rockefeller, the University of Chicago was incorporated in 1890; William Rainey Harper became the university's first president in 1891, and the first classes were held in 1892. Both Harper and future president Robert Maynard Hutchins advocated for Chicago's curriculum to be based upon theoretical and perennial issues rather than on applied sciences and commercial utility. With Harper's vision in mind, the University of Chicago also became one of the 14 founding members of the Association of American Universities, an international organization of leading research universities, in 1900.</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</si>
  <si>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 ‘’assimilation’’ – were offered, although in reality assimilation was always on the distant horizon. Contrasting from Britain, France sent small numbers of settlers to its colonies, with the only notable exception of Algeria, where French settlers nevertheless always remained a small minority.</t>
  </si>
  <si>
    <t>eliminate all multiples of 1 (that is, all other numbers) and produce as output only the single number 1.</t>
  </si>
  <si>
    <t>transparent dome made of long, immobile cilia</t>
  </si>
  <si>
    <t>In 999</t>
  </si>
  <si>
    <t>head writer and executive producer</t>
  </si>
  <si>
    <t>manage the pharmacy department and specialised areas</t>
  </si>
  <si>
    <t>Harold WInston's supported which country's during its six day war?</t>
  </si>
  <si>
    <t>January 2, 1971</t>
  </si>
  <si>
    <t>In what Super Bowl did Rivera play?</t>
  </si>
  <si>
    <t>What hymn did Luther write after the martyrdom of Esch and Voes?</t>
  </si>
  <si>
    <t>planned to attack Fort Niagara</t>
  </si>
  <si>
    <t>unpaired electrons</t>
  </si>
  <si>
    <t>When did the North American French and Indian War end?</t>
  </si>
  <si>
    <t>derision</t>
  </si>
  <si>
    <t>an economic development programme</t>
  </si>
  <si>
    <t>Which smartphone customers were the only people who could stream the game on their phones?</t>
  </si>
  <si>
    <t>Eutelsat's Eurobird 1</t>
  </si>
  <si>
    <t xml:space="preserve">UChicago claims to have what kind of learning experience compared to other universities? </t>
  </si>
  <si>
    <t>recalled and replaced</t>
  </si>
  <si>
    <t>When is the Sicilian Tristan Quilt dated?</t>
  </si>
  <si>
    <t xml:space="preserve">Revolutionary civil disobedience towards culture is highlighted by example of who? </t>
  </si>
  <si>
    <t>honoured</t>
  </si>
  <si>
    <t>Huguenots in Killeshandra and County Cavan expanded what agricultural industry?</t>
  </si>
  <si>
    <t>surrendered peacefully without violently resisting</t>
  </si>
  <si>
    <t>How old was Newton in Super Bowl 50?</t>
  </si>
  <si>
    <t>Newcastle has three cathedrals, the Anglican St. Nicholas, with its elegant lantern tower of 1474, the Roman Catholic St. Mary's designed by Augustus Welby Pugin and the Coptic Cathedral located in Fenham. All three cathedrals began their lives as parish churches. St Mary's became a cathedral in 1850 and St Nicholas' in 1882. Another prominent church in the city centre is the Church of St Thomas the Martyr which is the only parish church in the Church of England without a parish and which is not a peculiar.</t>
  </si>
  <si>
    <t>What drama program was canceled by ABC after a bad midseason run in 2010-11?</t>
  </si>
  <si>
    <t>optimal</t>
  </si>
  <si>
    <t>the Atlanta Falcons</t>
  </si>
  <si>
    <t>What conservative international relations scholar is also a university alumni?</t>
  </si>
  <si>
    <t>between 150,000 and 200,000</t>
  </si>
  <si>
    <t>What was used to create a new electromagnetic theory to reconcile the troubles with electromagnetic theory as it used to stand?</t>
  </si>
  <si>
    <t>CEPR</t>
  </si>
  <si>
    <t>continental North American possessions east of the Mississippi or the Caribbean islands of Guadeloupe and Martinique</t>
  </si>
  <si>
    <t>1530s and 1540s</t>
  </si>
  <si>
    <t>Who received the ball that cam Newton lost during a tackle to make it a Denver touchdown?</t>
  </si>
  <si>
    <t>In July 1888, Brown and Peck negotiated a licensing deal with George Westinghouse for Tesla's polyphase induction motor and transformer designs for $60,000 in cash and stock and a royalty of $2.50 per AC horsepower produced by each motor. Westinghouse also hired Tesla for one year for the large fee of $2,000 ($52,700 in today's dollars) per month to be a consultant at the Westinghouse Electric &amp; Manufacturing Company's Pittsburgh labs.</t>
  </si>
  <si>
    <t>What tribes supported British?</t>
  </si>
  <si>
    <t>What does the marginal value added by an economic actor determine?</t>
  </si>
  <si>
    <t>Students build stronger relationships with what type of teachers?</t>
  </si>
  <si>
    <t>whether he stood by their contents</t>
  </si>
  <si>
    <t>fully human</t>
  </si>
  <si>
    <t>personal goals</t>
  </si>
  <si>
    <t>solvability of quadratic equations</t>
  </si>
  <si>
    <t>Who stripped the ball from Cam Newton while sacking him on this drive?</t>
  </si>
  <si>
    <t>What did Robert Koch prove was the cause of infectious disease?</t>
  </si>
  <si>
    <t>counties</t>
  </si>
  <si>
    <t>What is something that teacher's are at a high risk for?</t>
  </si>
  <si>
    <t>Who wrote the Nong Shu?</t>
  </si>
  <si>
    <t>When did Martin Luther protest the sale of indulgences to his bishop?</t>
  </si>
  <si>
    <t>two men</t>
  </si>
  <si>
    <t>increase in the land available for cultivation</t>
  </si>
  <si>
    <t>Ticonderoga Point,</t>
  </si>
  <si>
    <t>a Lama</t>
  </si>
  <si>
    <t>What does a country acquire as it develops?</t>
  </si>
  <si>
    <t>deadly explosives</t>
  </si>
  <si>
    <t>fragmentation</t>
  </si>
  <si>
    <t>What is 'grey literature'?</t>
  </si>
  <si>
    <t>What is the upper house of the Parliament of Victoria called?</t>
  </si>
  <si>
    <t>Where did the Broncos practice at for Super Bowl 50?</t>
  </si>
  <si>
    <t>Kenneth Swezey,</t>
  </si>
  <si>
    <t>Alternatively, glucose monomers in the chloroplast can be linked together to make starch, which accumulates into the starch grains found in the chloroplast. Under conditions such as high atmospheric CO2 concentrations, these starch grains may grow very large, distorting the grana and thylakoids. The starch granules displace the thylakoids, but leave them intact. Waterlogged roots can also cause starch buildup in the chloroplasts, possibly due to less sucrose being exported out of the chloroplast (or more accurately, the plant cell). This depletes a plant's free phosphate supply, which indirectly stimulates chloroplast starch synthesis. While linked to low photosynthesis rates, the starch grains themselves may not necessarily interfere significantly with the efficiency of photosynthesis, and might simply be a side effect of another photosynthesis-depressing factor.</t>
  </si>
  <si>
    <t>Where was the CM intended to land upon re entering the Earth's atmosphere?</t>
  </si>
  <si>
    <t>the true Islamic system</t>
  </si>
  <si>
    <t>What kind of deprivation results in diminished immune response and lower antibody production?</t>
  </si>
  <si>
    <t>What were blank spaces used for on nineteenth-century maps?</t>
  </si>
  <si>
    <t xml:space="preserve">Constitutional impasse is distinct from what key term? </t>
  </si>
  <si>
    <t>What provided an incentive to western empires to colonize Africa?</t>
  </si>
  <si>
    <t>as a muscular "foot"</t>
  </si>
  <si>
    <t>1225</t>
  </si>
  <si>
    <t>the IPCC</t>
  </si>
  <si>
    <t>the sixteenth century</t>
  </si>
  <si>
    <t>What is the nickname for the Delta in the Netherlands?</t>
  </si>
  <si>
    <t>challenge to the legal system that permits those decisions to be taken</t>
  </si>
  <si>
    <t>What did Luther's answer to the antinomians reaffirms?</t>
  </si>
  <si>
    <t>Some of the objects held in the Jameel Gallery of Islamic Art come from which European country?</t>
  </si>
  <si>
    <t>deforestation has declined</t>
  </si>
  <si>
    <t>In what year is the oldest pharmacy said to have been established?</t>
  </si>
  <si>
    <t>major business districts</t>
  </si>
  <si>
    <t>Jacques Lefevre</t>
  </si>
  <si>
    <t>In the August 1917 edition of the magazine Electrical Experimenter Tesla postulated that electricity could be used to locate submarines via using the reflection of an "electric ray" of "tremendous frequency," with the signal being viewed on a fluorescent screen (a system that has been noted to have a superficial resemblance to modern radar). Tesla was incorrect in his assumption that high frequency radio waves would penetrate water but Émile Girardeau, who helped develop France's first radar system in the 1930s, noted in 1953 that Tesla's general speculation that a very strong high frequency signal would be needed was correct stating "(Tesla) was prophesying or dreaming, since he had at his disposal no means of carrying them out, but one must add that if he was dreaming, at least he was dreaming correctly.":266</t>
  </si>
  <si>
    <t>the characteristics of the conquering peoples</t>
  </si>
  <si>
    <t>In which year did the V&amp;A opened the first permanent architectural history gallery in the UK?</t>
  </si>
  <si>
    <t>Christian Perfection</t>
  </si>
  <si>
    <t>same-gender marriages</t>
  </si>
  <si>
    <t>EU Competition law has its origins in the European Coal and Steel Community (ECSC) agreement between France, Italy, Belgium, the Netherlands, Luxembourg and Germany in 1951 following the second World War. The agreement aimed to prevent Germany from re-establishing dominance in the production of coal and steel as members felt that its dominance had contributed to the outbreak of the war. Article 65 of the agreement banned cartels and article 66 made provisions for concentrations, or mergers, and the abuse of a dominant position by companies. This was the first time that competition law principles were included in a plurilateral regional agreement and established the trans-European model of competition law. In 1957 competition rules were included in the Treaty of Rome, also known as the EC Treaty, which established the European Economic Community (EEC). The Treaty of Rome established the enactment of competition law as one of the main aims of the EEC through the "institution of a system ensuring that competition in the common market is not distorted". The two central provisions on EU competition law on companies were established in article 85, which prohibited anti-competitive agreements, subject to some exemptions, and article 86 prohibiting the abuse of dominant position. The treaty also established principles on competition law for member states, with article 90 covering public undertakings, and article 92 making provisions on state aid. Regulations on mergers were not included as member states could not establish consensus on the issue at the time.</t>
  </si>
  <si>
    <t>61.1%</t>
  </si>
  <si>
    <t>co-ordinate and supervise the functions of the Government</t>
  </si>
  <si>
    <t>about a million</t>
  </si>
  <si>
    <t>four-course rate average</t>
  </si>
  <si>
    <t>What might the Government require a teacher have before being allowed to teach?</t>
  </si>
  <si>
    <t>Southern California's economy can be described as one of the largest in the United States and what other characteristic?</t>
  </si>
  <si>
    <t>Who did Gegeen appoint as grand chancellor?</t>
  </si>
  <si>
    <t>Killer T cells can only recognize antigens coupled to what kind of molecules?</t>
  </si>
  <si>
    <t>Who was the speaker of the tribal council?</t>
  </si>
  <si>
    <t>Who won the competition to get a free Super Bowl commercial aired?</t>
  </si>
  <si>
    <t>What is the exchange of a set of obligations between two or more parties?</t>
  </si>
  <si>
    <t>These project structures allow the owner to integrate the services of who throughout the design and construction?</t>
  </si>
  <si>
    <t>Martin Sekulić</t>
  </si>
  <si>
    <t>What does photosynthesis release into the Earth's atmosphere?</t>
  </si>
  <si>
    <t>The UMC believes that Jesus repudiated the les talionis in what BIble verses?</t>
  </si>
  <si>
    <t>Where can a lot Tesla's writings be found?</t>
  </si>
  <si>
    <t>Castle Church in Wittenberg</t>
  </si>
  <si>
    <t>compounds of oxygen</t>
  </si>
  <si>
    <t>What publication did Philip Howard work for?</t>
  </si>
  <si>
    <t>composite numbers (the Carmichael numbers)</t>
  </si>
  <si>
    <t>How many metropolitan areas does Southern California's population encompass?</t>
  </si>
  <si>
    <t>Savannah areas expanded over the last how many years?</t>
  </si>
  <si>
    <t>Which country does the Rhine encounter it's main tributaries?</t>
  </si>
  <si>
    <t>Dynasty</t>
  </si>
  <si>
    <t>What is the estimate for the amount of tree species in the amazon tropical rain forest?</t>
  </si>
  <si>
    <t>Quran</t>
  </si>
  <si>
    <t>Which county is developing its business center?</t>
  </si>
  <si>
    <t>what was NTL Telewest re-branded to in 2007?</t>
  </si>
  <si>
    <t>In experiments, a bridge of what element can be built between poles of a magnet?</t>
  </si>
  <si>
    <t>What is a common practice in official corporal punishment?</t>
  </si>
  <si>
    <t>From what military branch did Mueller recruit managers from?</t>
  </si>
  <si>
    <t>What manner of words does Mullet think Luther would choose?</t>
  </si>
  <si>
    <t>What was Temüjin' sister's name?</t>
  </si>
  <si>
    <t>What was the technical name of the first unmanned Saturn V flight, Apollo 4?</t>
  </si>
  <si>
    <t>When did Dyrrachium  fall to the Normans?</t>
  </si>
  <si>
    <t>What can be achieved without building high or getting rid of common areas?</t>
  </si>
  <si>
    <t>the size of the instance</t>
  </si>
  <si>
    <t>1,600 mm</t>
  </si>
  <si>
    <t>even</t>
  </si>
  <si>
    <t>Who did Newton get a pass to in the Panther starting plays of Super Bowl 50?</t>
  </si>
  <si>
    <t>Martin Sasse</t>
  </si>
  <si>
    <t>What molecules are parts of the body of an organism in immunology?</t>
  </si>
  <si>
    <t>Neoclassical economics</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</si>
  <si>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</si>
  <si>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The church states that, as Christians, they are aware that neither the way of what is righteous before God?"</t>
  </si>
  <si>
    <t>When did the European Anti-Fraud Office investigate John Dalli?</t>
  </si>
  <si>
    <t>The mechanism for chloroplast DNA (cpDNA) replication has not been conclusively determined, but two main models have been proposed. Scientists have attempted to observe chloroplast replication via electron microscopy since the 1970s. The results of the microscopy experiments led to the idea that chloroplast DNA replicates using a double displacement loop (D-loop). As the D-loop moves through the circular DNA, it adopts a theta intermediary form, also known as a Cairns replication intermediate, and completes replication with a rolling circle mechanism. Transcription starts at specific points of origin. Multiple replication forks open up, allowing replication machinery to transcribe the DNA. As replication continues, the forks grow and eventually converge. The new cpDNA structures separate, creating daughter cpDNA chromosomes.</t>
  </si>
  <si>
    <t>What does the Scotland Act of 2012 extend?</t>
  </si>
  <si>
    <t>that which brings the Holy Spirit through the merits of Christ</t>
  </si>
  <si>
    <t>Colbert</t>
  </si>
  <si>
    <t>craftsmanship</t>
  </si>
  <si>
    <t>make detailed plans and maintain careful oversight during the project</t>
  </si>
  <si>
    <t>in 1835</t>
  </si>
  <si>
    <t>When did BSkyB first announce their target goal?</t>
  </si>
  <si>
    <t>Spain, North Africa, the Middle East, Central Asia and Afghanistan</t>
  </si>
  <si>
    <t>superior</t>
  </si>
  <si>
    <t>What was dificult to reconcile the photoelectric effect and the missing ultraviolet catastrophe?</t>
  </si>
  <si>
    <t>What is the purpose of the ASER?</t>
  </si>
  <si>
    <t>Philip Segal</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</si>
  <si>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</si>
  <si>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cascade method</t>
  </si>
  <si>
    <t>It is generally assumed that a Turing machine can solve anything capable of also being solved using what?</t>
  </si>
  <si>
    <t>What element did Gay-Lussac and von Humboldt discover was present in twice the amount of oxygen in water?</t>
  </si>
  <si>
    <t>healthcare professionals with specialised education</t>
  </si>
  <si>
    <t>primary endosymbiont</t>
  </si>
  <si>
    <t>earth had a resonant frequency</t>
  </si>
  <si>
    <t>Israelis</t>
  </si>
  <si>
    <t>In the more than 220 years since 1784, Methodism in the United States, like many other Protestant denominations, has seen a number of divisions and mergers. In 1830, the Methodist Protestant Church split from the Methodist Episcopal Church over the issue of laity having a voice and vote in the administration of the church, insisting that clergy should not be the only ones to have any determination in how the church was to be operated. In 1844, the General Conference of the Methodist Episcopal Church split into two conferences because of tensions over slavery and the power of bishops in the denomination.</t>
  </si>
  <si>
    <t>Arctic</t>
  </si>
  <si>
    <t>What is another name for the Yosemite Freeway?</t>
  </si>
  <si>
    <t>What is a Cairns replication intermediate?</t>
  </si>
  <si>
    <t>What 1971 film was shot on location in Newcastle?</t>
  </si>
  <si>
    <t>Why is the building on Spital Tongues known as the Pink Palace?</t>
  </si>
  <si>
    <t>What astronomer worked for Kublai?</t>
  </si>
  <si>
    <t>Best Drama Series</t>
  </si>
  <si>
    <t>the Egyptian Islamic Jihad organization</t>
  </si>
  <si>
    <t>What actress did the ASL translation for the game?</t>
  </si>
  <si>
    <t>352</t>
  </si>
  <si>
    <t>visor helmet</t>
  </si>
  <si>
    <t>threatened "Old Briton" with severe consequences if he continued to trade with the British</t>
  </si>
  <si>
    <t>one million</t>
  </si>
  <si>
    <t>black caiman</t>
  </si>
  <si>
    <t>1869</t>
  </si>
  <si>
    <t>linebacker</t>
  </si>
  <si>
    <t>Who was the president of UPT in 1951?</t>
  </si>
  <si>
    <t>faith</t>
  </si>
  <si>
    <t>my Patmos</t>
  </si>
  <si>
    <t>inherited from the Jin dynasty</t>
  </si>
  <si>
    <t>entirely religious and in no respect racial</t>
  </si>
  <si>
    <t>an antigen from a pathogen</t>
  </si>
  <si>
    <t>7:00 to 9:00 a.m. weekdays</t>
  </si>
  <si>
    <t>What theology states that faith alone isn't enough to justify man?</t>
  </si>
  <si>
    <t>WJRT-TV</t>
  </si>
  <si>
    <t>What compounds are released by injured or infected cells, triggering inflammation?</t>
  </si>
  <si>
    <t>nonverbal expressions of enthusiasm</t>
  </si>
  <si>
    <t>What is another term used for year 13?</t>
  </si>
  <si>
    <t>least prejudiced toward Jews</t>
  </si>
  <si>
    <t>subjected to high pressure shock waves</t>
  </si>
  <si>
    <t>Wise up or die</t>
  </si>
  <si>
    <t>monumental</t>
  </si>
  <si>
    <t>economies had been caught between higher oil prices and lower prices for their own export commodities</t>
  </si>
  <si>
    <t>What cycle AC current system did Tesla propose?</t>
  </si>
  <si>
    <t>country taking physical control of another</t>
  </si>
  <si>
    <t>What was the name of the work to give grants for youth development and other things?</t>
  </si>
  <si>
    <t>pigment-filled plastids responsible for the bright colors seen in flowers and ripe fruit</t>
  </si>
  <si>
    <t>stabilize the rest of the chloroplast genome</t>
  </si>
  <si>
    <t>Service Module engine and the Command Module heat shield</t>
  </si>
  <si>
    <t>What was the only year that a full series was not filmed since 2005?</t>
  </si>
  <si>
    <t>a genuine love of God with heart, soul, mind, and strength,</t>
  </si>
  <si>
    <t>state transitions</t>
  </si>
  <si>
    <t>Catholic schismatic</t>
  </si>
  <si>
    <t>the Big Ten Conference</t>
  </si>
  <si>
    <t>prevents chloroplast proteins from assuming their active form and carrying out their chloroplast functions in the wrong place</t>
  </si>
  <si>
    <t>two new regiments</t>
  </si>
  <si>
    <t>The Amazon represents over half of the planet's remaining rainforests</t>
  </si>
  <si>
    <t>In a platoon style teaching, what gives the children security?</t>
  </si>
  <si>
    <t>2–3 years</t>
  </si>
  <si>
    <t>long hours</t>
  </si>
  <si>
    <t>porcelain, cloth and wallpaper</t>
  </si>
  <si>
    <t>the 1974 Mustang I</t>
  </si>
  <si>
    <t>Who captured and held Temüjin prisoner around 1177?</t>
  </si>
  <si>
    <t>Where is the Jazz Jamboree hosted?</t>
  </si>
  <si>
    <t>"The word ‘empire’ comes from the Latin word imperium; for which the closest modern English equivalent would perhaps be ‘sovereignty’, or simply ‘rule’". The greatest distinction of an empire is through the amount of land that a nation has conquered and expanded. Political power grew from conquering land, however cultural and economic aspects flourished through sea and trade routes. A distinction about empires is "that although political empires were built mostly by expansion overland, economic and cultural influences spread at least as much by sea". Some of the main aspects of trade that went overseas consisted of animals and plant products. European empires in Asia and Africa "have come to be seen as the classic forms of imperialism: and indeed most books on the subject confine themselves to the European seaborne empires". European expansion caused the world to be divided by how developed and developing nation are portrayed through the world systems theory. The two main regions are the core and the periphery. The core consists of high areas of income and profit; the periphery is on the opposing side of the spectrum consisting of areas of low income and profit. These critical theories of Geo-politics have led to increased discussion of the meaning and impact of imperialism on the modern post-colonial world. The Russian leader Lenin suggested that "imperialism was the highest form of capitalism, claiming that imperialism developed after colonialism, and was distinguished from colonialism by monopoly capitalism". This idea from Lenin stresses how important new political world order has become in our modern era. Geopolitics now focuses on states becoming major economic players in the market; some states today are viewed as empires due to their political and economic authority over other nations.</t>
  </si>
  <si>
    <t>transfer from another Christian denomination</t>
  </si>
  <si>
    <t>What player played in the Super Bowl after breaking his arm two weeks before?</t>
  </si>
  <si>
    <t>What is usually the goal of taking a plea bargain?</t>
  </si>
  <si>
    <t>In Britain, Norman art primarily survives as stonework or metalwork, such as capitals and baptismal fonts. In southern Italy, however, Norman artwork survives plentifully in forms strongly influenced by its Greek, Lombard, and Arab forebears. Of the royal regalia preserved in Palermo, the crown is Byzantine in style and the coronation cloak is of Arab craftsmanship with Arabic inscriptions. Many churches preserve sculptured fonts, capitals, and more importantly mosaics, which were common in Norman Italy and drew heavily on the Greek heritage. Lombard Salerno was a centre of ivorywork in the 11th century and this continued under Norman domination. Finally should be noted the intercourse between French Crusaders traveling to the Holy Land who brought with them French artefacts with which to gift the churches at which they stopped in southern Italy amongst their Norman cousins. For this reason many south Italian churches preserve works from France alongside their native pieces.</t>
  </si>
  <si>
    <t>January 7, 2014</t>
  </si>
  <si>
    <t>Concerns were raised over whether Levi's Stadium's field was of a high enough quality to host a Super Bowl; during the inaugural season, the field had to be re-sodded multiple times due to various issues, and during a week 6 game earlier in the 2015 season, a portion of the turf collapsed under Baltimore Ravens kicker Justin Tucker, causing him to slip and miss a field goal, although the field has not had any major issues since. As is customary for Super Bowl games played at natural grass stadiums, the NFL re-sodded the field with a new playing surface; a hybrid Bermuda 419 turf. NFL and Atlanta Braves field director Ed Mangan stated that the field was in "great shape" for gameday. However, the turf showed problem throughout the game, with a number of players needing to change their cleats during the game and player slipping during plays all throughout the game.</t>
  </si>
  <si>
    <t>Veni redemptor gentium</t>
  </si>
  <si>
    <t>April 20</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</si>
  <si>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</si>
  <si>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Harbor improvements since the late 19th century have made Jacksonville a major military and civilian deep-water port. Its riverine location facilitates two United States Navy bases and the Port of Jacksonville, Florida's third largest seaport. The two US Navy bases, Blount Island Command and the nearby Naval Submarine Base Kings Bay form the third largest military presence in the United States. Significant factors in the local economy include services such as banking, insurance, healthcare and logistics. As with much of Florida, tourism is also important to the Jacksonville area, particularly tourism related to golf. People from Jacksonville may be called "Jacksonvillians" or "Jaxsons" (also spelled "Jaxons").</t>
  </si>
  <si>
    <t>burning combustible materials</t>
  </si>
  <si>
    <t>What  former administrative building was used for the MSP's offices?</t>
  </si>
  <si>
    <t>Which entities were originally concerned with preventing violation of human rights?</t>
  </si>
  <si>
    <t>What was the principle shown in The Mark of Anarchy?</t>
  </si>
  <si>
    <t>statistical</t>
  </si>
  <si>
    <t>Orange, San Diego, Riverside and San Bernardino make up four of the five counties. What is the name of the last county?</t>
  </si>
  <si>
    <t>polynomial time hierarchy</t>
  </si>
  <si>
    <t>In what year did Roger Goodell call Super Bowl 50 'an important game for us as a league'?</t>
  </si>
  <si>
    <t>the election of the UK Labour Party to government</t>
  </si>
  <si>
    <t>cloud storage service</t>
  </si>
  <si>
    <t>Middleton Railway</t>
  </si>
  <si>
    <t>5.9%</t>
  </si>
  <si>
    <t>28 ABC affiliates and two additional subchannel-only affiliates</t>
  </si>
  <si>
    <t>In the U.S. federal health care system (including the VA, the Indian Health Service, and NIH) ambulatory care pharmacists are given full independent prescribing authority. In some states such North Carolina and New Mexico these pharmacist clinicians are given collaborative prescriptive and diagnostic authority. In 2011 the board of Pharmaceutical Specialties approved ambulatory care pharmacy practice as a separate board certification. The official designation for pharmacists who pass the ambulatory care pharmacy specialty certification exam will be Board Certified Ambulatory Care Pharmacist and these pharmacists will carry the initials BCACP.</t>
  </si>
  <si>
    <t>work sorrow over sin in man's heart</t>
  </si>
  <si>
    <t>June 11, 1962</t>
  </si>
  <si>
    <t>focused on identity and unity</t>
  </si>
  <si>
    <t>reported rates of mortality in rural areas during the 14th-century pandemic were inconsistent with the modern bubonic plague</t>
  </si>
  <si>
    <t>solitary civil disobedience</t>
  </si>
  <si>
    <t>a citizen's relation to the state and its laws</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</si>
  <si>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</si>
  <si>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 comb jelly</t>
  </si>
  <si>
    <t>a decrease in the price of skilled labor</t>
  </si>
  <si>
    <t>a new facility</t>
  </si>
  <si>
    <t>elementary particles</t>
  </si>
  <si>
    <t>Two Block I CSMs were launched from LC-34 on suborbital flights in 1966 with the Saturn IB. The first, AS-201 launched on February 26, reached an altitude of 265.7 nautical miles (492.1 km) and splashed down 4,577 nautical miles (8,477 km) downrange in the Atlantic ocean. The second, AS-202 on August 25, reached 617.1 nautical miles (1,142.9 km) altitude and was recovered 13,900 nautical miles (25,700 km) downrange in the Pacific ocean. These flights validated the Service Module engine and the Command Module heat shield.</t>
  </si>
  <si>
    <t>the Dutch Republic</t>
  </si>
  <si>
    <t>The paintings donated by John Sheepshanks were by artists of which nationality?</t>
  </si>
  <si>
    <t>a function of the size of the instance</t>
  </si>
  <si>
    <t>the common prayer of the dying</t>
  </si>
  <si>
    <t>What is the basic unit of territorial division in Poland?</t>
  </si>
  <si>
    <t>What is the name of the Host Committee's charitable initiative?</t>
  </si>
  <si>
    <t>Britain's support of France in which war led to Rodin donating many of his sculptures to the V&amp;A?</t>
  </si>
  <si>
    <t>Dinwiddie demanding an immediate French withdrawal from the Ohio Country</t>
  </si>
  <si>
    <t>on the road back to Samarkand</t>
  </si>
  <si>
    <t>January 1519</t>
  </si>
  <si>
    <t>Who was Frédéric Chopin?</t>
  </si>
  <si>
    <t>Edison Machine Works</t>
  </si>
  <si>
    <t>What does Yeke Mongghul Ulus mean?</t>
  </si>
  <si>
    <t>viral</t>
  </si>
  <si>
    <t>Bears</t>
  </si>
  <si>
    <t>What is Raghuram Rajan's career?</t>
  </si>
  <si>
    <t>ten years</t>
  </si>
  <si>
    <t>In which article does the Treaty of Lisbon prohibit anti-competitive agreements?</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</si>
  <si>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</si>
  <si>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parish churches</t>
  </si>
  <si>
    <t>After the 1940s, the Gothic style on campus began to give way to modern styles. In 1955, Eero Saarinen was contracted to develop a second master plan, which led to the construction of buildings both north and south of the Midway, including the Laird Bell Law Quadrangle (a complex designed by Saarinen); a series of arts buildings; a building designed by Ludwig Mies van der Rohe for the university's School of Social Service Administration;, a building which is to become the home of the Harris School of Public Policy Studies by Edward Durrell Stone, and the Regenstein Library, the largest building on campus, a brutalist structure designed by Walter Netsch of the Chicago firm Skidmore, Owings &amp; Merrill. Another master plan, designed in 1999 and updated in 2004, produced the Gerald Ratner Athletics Center (2003), the Max Palevsky Residential Commons (2001), South Campus Residence Hall and dining commons (2009), a new children's hospital, and other construction, expansions, and restorations. In 2011, the university completed the glass dome-shaped Joe and Rika Mansueto Library, which provides a grand reading room for the university library and prevents the need for an off-campus book depository.</t>
  </si>
  <si>
    <t>The Prince of Płock</t>
  </si>
  <si>
    <t>applied mathematics</t>
  </si>
  <si>
    <t>Internet2 Network</t>
  </si>
  <si>
    <t xml:space="preserve">This causes the rock unit as a whole to become longer and thinner. </t>
  </si>
  <si>
    <t>What group can teachers register with?</t>
  </si>
  <si>
    <t>What has become the secret to economic growth?</t>
  </si>
  <si>
    <t>What type of living does cycling promote?</t>
  </si>
  <si>
    <t>the SI unit of magnetic flux density</t>
  </si>
  <si>
    <t>Was the testing of the LM during Apollo 5 a failure or a success?</t>
  </si>
  <si>
    <t>John F. Kennedy</t>
  </si>
  <si>
    <t>In 1870</t>
  </si>
  <si>
    <t>According to Tesla what had been gone over by the thieves, or spies who entered his room?</t>
  </si>
  <si>
    <t>Which problem consists of both  inflationary and deflationary impacts?</t>
  </si>
  <si>
    <t>When did the attack occur in which the Normans impressed Prince Guaimar III occur?</t>
  </si>
  <si>
    <t>On May 21, 2013, NFL owners at their spring meetings in Boston voted and awarded the game to Levi's Stadium. The $1.2 billion stadium opened in 2014. It is the first Super Bowl held in the San Francisco Bay Area since Super Bowl XIX in 1985, and the first in California since Super Bowl XXXVII took place in San Diego in 2003.</t>
  </si>
  <si>
    <t>December, January and February</t>
  </si>
  <si>
    <t>wealth from future possible war spoils</t>
  </si>
  <si>
    <t>Name a luxury division of Toyota.</t>
  </si>
  <si>
    <t>Name a luxury model that became popular in the mid-1970s.</t>
  </si>
  <si>
    <t>one hunting excursion</t>
  </si>
  <si>
    <t>the arid plains of Central Asia</t>
  </si>
  <si>
    <t>theatres</t>
  </si>
  <si>
    <t>long-term environmental changes</t>
  </si>
  <si>
    <t>What type of combustible materials were considered to have little philogiston?</t>
  </si>
  <si>
    <t>How much of the population is Hindu?</t>
  </si>
  <si>
    <t>over two million</t>
  </si>
  <si>
    <t>At what university is Bellomy Field located?</t>
  </si>
  <si>
    <t>What performer lead the Super Bowl XLVIII halftime show?</t>
  </si>
  <si>
    <t>There are a variety of bodies designed to instill, preserve and update the knowledge and professional standing of teachers. Around the world many governments operate teacher's colleges, which are generally established to serve and protect the public interest through certifying, governing and enforcing the standards of practice for the teaching profession.</t>
  </si>
  <si>
    <t>major record companies</t>
  </si>
  <si>
    <t>being methodical and exceptionally detailed in their Bible study</t>
  </si>
  <si>
    <t>What was the ratio of British settler to French?</t>
  </si>
  <si>
    <t xml:space="preserve">What is another word for inclusions in sedimentary rocks? </t>
  </si>
  <si>
    <t>How many interceptions did manning have in 2015?</t>
  </si>
  <si>
    <t>What did Paul Baran develop in the late 1950's</t>
  </si>
  <si>
    <t>single-tape</t>
  </si>
  <si>
    <t>By 1526, Luther found himself increasingly occupied in organising a new church. His Biblical ideal of congregations' choosing their own ministers had proved unworkable. According to Bainton: "Luther's dilemma was that he wanted both a confessional church based on personal faith and experience and a territorial church including all in a given locality. If he were forced to choose, he would take his stand with the masses, and this was the direction in which he moved." From 1525 to 1529, he established a supervisory church body, laid down a new form of worship service, and wrote a clear summary of the new faith in the form of two catechisms. Luther's thought is revolutionary to the extent that it is a theology of the cross, the negation of every affirmation: as long as the cross is at the center, the system building tendency of reason is held in check, and system building does not degenerate into System.</t>
  </si>
  <si>
    <t>Kurt Coleman</t>
  </si>
  <si>
    <t>Ten Commandments,</t>
  </si>
  <si>
    <t>"lower lake"</t>
  </si>
  <si>
    <t>Colorado Springs</t>
  </si>
  <si>
    <t>What was Tesla's reputation in popular culture?</t>
  </si>
  <si>
    <t>domestic Islamists</t>
  </si>
  <si>
    <t>When was Montreal captured?</t>
  </si>
  <si>
    <t>What spot does Doctor Who hold in the 100 Greatest British TV Programs of the 20th Century?</t>
  </si>
  <si>
    <t>Who aide the Reich in Germany in antisemitism?</t>
  </si>
  <si>
    <t>How many types of religious or spiritual teachers are there in Christianity?</t>
  </si>
  <si>
    <t>What did Edison Machine Works persue in 1890?</t>
  </si>
  <si>
    <t>SurfClassic</t>
  </si>
  <si>
    <t>Curse of Fatal Death,</t>
  </si>
  <si>
    <t>St Thomas Becket</t>
  </si>
  <si>
    <t>Teaching may be carried out informally, within the family, which is called homeschooling, or in the wider community. Formal teaching may be carried out by paid professionals. Such professionals enjoy a status in some societies on a par with physicians, lawyers, engineers, and accountants (Chartered or CPA).</t>
  </si>
  <si>
    <t>1950</t>
  </si>
  <si>
    <t>How many teams did Los Angeles used to have?</t>
  </si>
  <si>
    <t>What did John Dunn invent?</t>
  </si>
  <si>
    <t>The embargo</t>
  </si>
  <si>
    <t xml:space="preserve">Debates about civil disobedience include or exclude what major practice? </t>
  </si>
  <si>
    <t>cultural revolution</t>
  </si>
  <si>
    <t>Which mountain range influenced the split of the regions?</t>
  </si>
  <si>
    <t>shock</t>
  </si>
  <si>
    <t>Who thinks that Luther added antisemitism as a cultural element to Germany?</t>
  </si>
  <si>
    <t>Polish and international artists</t>
  </si>
  <si>
    <t>42%</t>
  </si>
  <si>
    <t>Outlaws ravaged the country</t>
  </si>
  <si>
    <t>many individuals</t>
  </si>
  <si>
    <t>How many picks did Peyton Manning throw in the season?</t>
  </si>
  <si>
    <t>"Bauffet's Point"</t>
  </si>
  <si>
    <t>What is the size of the school's endowment?</t>
  </si>
  <si>
    <t>In what model do grana look like pancakes?</t>
  </si>
  <si>
    <t>glowed even when turned off</t>
  </si>
  <si>
    <t>parallel</t>
  </si>
  <si>
    <t>oxygen cycle</t>
  </si>
  <si>
    <t>trial division</t>
  </si>
  <si>
    <t>William Ellery Channing and Ralph Waldo Emerson</t>
  </si>
  <si>
    <t>car</t>
  </si>
  <si>
    <t>western European</t>
  </si>
  <si>
    <t>When did Luther give his response to Eck?</t>
  </si>
  <si>
    <t>seizing power</t>
  </si>
  <si>
    <t>Executive Vice President of Football Operations and General Manager</t>
  </si>
  <si>
    <t>What has crime rate been show to be correlated with in a society?</t>
  </si>
  <si>
    <t>the fact (Fermat's little theorem) that np≡n (mod p) for any n if p is a prime number</t>
  </si>
  <si>
    <t>Charleston, South Carolina</t>
  </si>
  <si>
    <t>The immune system protects organisms against what?</t>
  </si>
  <si>
    <t>Serge Chermayeff</t>
  </si>
  <si>
    <t>nearly $12</t>
  </si>
  <si>
    <t>Why does competition among workers drive down wages?</t>
  </si>
  <si>
    <t>Montal</t>
  </si>
  <si>
    <t>Leonard Goldenson</t>
  </si>
  <si>
    <t>photolysis of ozone</t>
  </si>
  <si>
    <t>nucleons in atomic nuclei</t>
  </si>
  <si>
    <t>What enzymes in saliva are antibacterial in nature?</t>
  </si>
  <si>
    <t>What kind of influence does the Gulf Stream exert on Newcastle?</t>
  </si>
  <si>
    <t>About 15 kilometres</t>
  </si>
  <si>
    <t>What form of oxygen is composed of three oxygen atoms?</t>
  </si>
  <si>
    <t>teleforce</t>
  </si>
  <si>
    <t>What caused the spread of the Jacksonville fire in 1901?</t>
  </si>
  <si>
    <t>90 to 95 percent</t>
  </si>
  <si>
    <t>What did Schurf's letter say  Luther's return caused?</t>
  </si>
  <si>
    <t>What is the observable effect of W and Z boson exchange?</t>
  </si>
  <si>
    <t>Compared to other causes, the effect of trade on inequality in America is what?</t>
  </si>
  <si>
    <t>, the wisdom and prudence of certain decisions of procurement</t>
  </si>
  <si>
    <t>corporal punishment</t>
  </si>
  <si>
    <t>Other than the motion picture and television industry, what other major industry is centered in Los Angeles?</t>
  </si>
  <si>
    <t>the weakness in school discipline</t>
  </si>
  <si>
    <t>Along with Muslims, Jews and Protestant Christians, what religious group notably operates private schools?</t>
  </si>
  <si>
    <t>Who is Newcastle's primary bus operator in the city proper?</t>
  </si>
  <si>
    <t>Why are the small lakes in the parks emptied before winter?</t>
  </si>
  <si>
    <t>One of the most famous people born in Warsaw was Maria Skłodowska-Curie, who achieved international recognition for her research on radioactivity and was the first female recipient of the Nobel Prize. Famous musicians include Władysław Szpilman and Frédéric Chopin. Though Chopin was born in the village of Żelazowa Wola, about 60 km (37 mi) from Warsaw, he moved to the city with his family when he was seven months old. Casimir Pulaski, a Polish general and hero of the American Revolutionary War, was born here in 1745.</t>
  </si>
  <si>
    <t>granulysin</t>
  </si>
  <si>
    <t>infected cells seal themselves off and undergo programmed cell death</t>
  </si>
  <si>
    <t>20 to 1</t>
  </si>
  <si>
    <t xml:space="preserve">What is the name of the Delta in the Netherlands? </t>
  </si>
  <si>
    <t>the BBC Radiophonic Workshop</t>
  </si>
  <si>
    <t>cyclic electron flow</t>
  </si>
  <si>
    <t>tribes in western portions of the Great Lakes region</t>
  </si>
  <si>
    <t>specialized mushroom-shaped cells in the outer layer of the epidermis</t>
  </si>
  <si>
    <t>Linebacker</t>
  </si>
  <si>
    <t>In what country was a full-scale working railway steam locomotive first invented?</t>
  </si>
  <si>
    <t>pores in the epidermis</t>
  </si>
  <si>
    <t>What can students that complete high school have opportunites to do?</t>
  </si>
  <si>
    <t xml:space="preserve">What has shortened the Rhine river? </t>
  </si>
  <si>
    <t>Which battle did Temüjin lose to Jamukha shortly after his election as khan?</t>
  </si>
  <si>
    <t>zygote</t>
  </si>
  <si>
    <t>When did the Rhine stop being the Roman boundary?</t>
  </si>
  <si>
    <t xml:space="preserve">Whose ideas became increasingly radical during his imprisonment? </t>
  </si>
  <si>
    <t>Pressures greater than what can lead to convulsions?</t>
  </si>
  <si>
    <t>value added by labor, capital and land</t>
  </si>
  <si>
    <t>What is the grace that we receive by faith and trust in God?</t>
  </si>
  <si>
    <t>How much money did Dillon, Read &amp; Co offer Mark Woods for NBC Blue?</t>
  </si>
  <si>
    <t>salicylic acid, jasmonic acid, nitric oxide and reactive oxygen species</t>
  </si>
  <si>
    <t>feigned retreat</t>
  </si>
  <si>
    <t>In what year did ABC's viewership end in 4th place behind the other major networks?</t>
  </si>
  <si>
    <t>The procedure continues until what?</t>
  </si>
  <si>
    <t>a curving parabolic path</t>
  </si>
  <si>
    <t>Diseases of poverty directly correlate with a country's economic performance and wealth distribution: Half of Kenyans live below the poverty level. Preventable diseases like malaria, HIV/AIDS, pneumonia, diarrhoea and malnutrition are the biggest burden, major child-killers, and responsible for much morbidity; weak policies, corruption, inadequate health workers, weak management and poor leadership in the public health sector are largely to blame. According to 2009 estimates, HIV prevalence is about 6.3% of the adult population. However, the 2011 UNAIDS Report suggests that the HIV epidemic may be improving in Kenya, as HIV prevalence is declining among young people (ages 15–24) and pregnant women. Kenya had an estimated 15 million cases of malaria in 2006.</t>
  </si>
  <si>
    <t>Funchess</t>
  </si>
  <si>
    <t>Commission v Austria the Court</t>
  </si>
  <si>
    <t>little foundation in truth</t>
  </si>
  <si>
    <t>What day of the week was Media Day held on for Super Bowl 50?</t>
  </si>
  <si>
    <t>Who developed the first commercial steam powered device?</t>
  </si>
  <si>
    <t>How did Celeron feel about Native relations?</t>
  </si>
  <si>
    <t>two astronauts</t>
  </si>
  <si>
    <t>T. J. Ward</t>
  </si>
  <si>
    <t>If someone is being taught at their place of residence, what is it called?</t>
  </si>
  <si>
    <t>Han Chinese, Khitans, Jurchens, Mongols, and Tibetan Buddhists.</t>
  </si>
  <si>
    <t>What was the focus of Season 20 of Doctor Who?</t>
  </si>
  <si>
    <t>Preachers</t>
  </si>
  <si>
    <t>leaves</t>
  </si>
  <si>
    <t>lives by faith</t>
  </si>
  <si>
    <t>David Bevington</t>
  </si>
  <si>
    <t>What stretched across middle Europe in the last ice age?</t>
  </si>
  <si>
    <t>2,290 m3/s (81,000 cu ft/s)</t>
  </si>
  <si>
    <t>What does a Turing machine handle on a strip of tape?</t>
  </si>
  <si>
    <t>British East Africa (as the Protectorate was generally known) and German East Africa</t>
  </si>
  <si>
    <t>What was a plugs-out test done to simulate on the LC-34?</t>
  </si>
  <si>
    <t>accepted 5.3% of applicants</t>
  </si>
  <si>
    <t>244</t>
  </si>
  <si>
    <t>What series featured Doctors from the revised version of Doctor Who?</t>
  </si>
  <si>
    <t>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Württemberg. The Germanic populations of these lands seem in Roman times to have been scanty, and Roman subjects from the modern Alsace-Lorraine had drifted across the river eastwards.</t>
  </si>
  <si>
    <t>Dirichlet's theorem</t>
  </si>
  <si>
    <t>Residential construction practices, technologies, and resources must conform to local building authority regulations and codes of practice. Materials readily available in the area generally dictate the construction materials used (e.g. brick versus stone, versus timber). Cost of construction on a per square meter (or per square foot) basis for houses can vary dramatically based on site conditions, local regulations, economies of scale (custom designed homes are often more expensive to build) and the availability of skilled tradespeople. As residential construction (as well as all other types of construction) can generate a lot of waste, careful planning again is needed here.</t>
  </si>
  <si>
    <t>tidal</t>
  </si>
  <si>
    <t>Where did Kenyatta visit at the invitation of the President?</t>
  </si>
  <si>
    <t>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t>
  </si>
  <si>
    <t>the spring of 1329</t>
  </si>
  <si>
    <t>John Wesley originally called this experience the New Birth.</t>
  </si>
  <si>
    <t>Mojave Desert</t>
  </si>
  <si>
    <t>In addition to schools, where else is popularly based authority effective?</t>
  </si>
  <si>
    <t>entertainment and leisure</t>
  </si>
  <si>
    <t>42,000</t>
  </si>
  <si>
    <t>John Bassett</t>
  </si>
  <si>
    <t>a new lighting system</t>
  </si>
  <si>
    <t>How many tree species are in the rainforest?</t>
  </si>
  <si>
    <t>Where do IPCC reports get their information?</t>
  </si>
  <si>
    <t>The smaller streams are used for what?</t>
  </si>
  <si>
    <t>by a fee per unit of information transmitted, such as characters, packets, or messages</t>
  </si>
  <si>
    <t>Eleutherian</t>
  </si>
  <si>
    <t>roughly 500,000</t>
  </si>
  <si>
    <t>private</t>
  </si>
  <si>
    <t>In 1273</t>
  </si>
  <si>
    <t>What consequence of establishing the Scottish Parliament applies to Scottish MPs sitting in the UK House of Commons?</t>
  </si>
  <si>
    <t>over 3 days</t>
  </si>
  <si>
    <t>fundamental electroweak interaction.</t>
  </si>
  <si>
    <t>The main response of the immune system to tumors is to destroy the abnormal cells using killer T cells, sometimes with the assistance of helper T cells. Tumor antigens are presented on MHC class I molecules in a similar way to viral antigens. This allows killer T cells to recognize the tumor cell as abnormal. NK cells also kill tumorous cells in a similar way, especially if the tumor cells have fewer MHC class I molecules on their surface than normal; this is a common phenomenon with tumors. Sometimes antibodies are generated against tumor cells allowing for their destruction by the complement system.</t>
  </si>
  <si>
    <t>What does isobaric mean?</t>
  </si>
  <si>
    <t>Prior to Super Bowl 50, what was the last Super Bowl in California?</t>
  </si>
  <si>
    <t>all other animals</t>
  </si>
  <si>
    <t>In March 1896, after hearing of Wilhelm Röntgen's discovery of X-ray and X-ray imaging (radiography), Tesla proceeded to do his own experiments in X-ray imaging, developing a high energy single terminal vacuum tube of his own design that had no target electrode and that worked from the output of the Tesla Coil (the modern term for the phenomenon produced by this device is bremsstrahlung or braking radiation). In his research, Tesla devised several experimental setups to produce X-rays. Tesla held that, with his circuits, the "instrument will ... enable one to generate Roentgen rays of much greater power than obtainable with ordinary apparatus."</t>
  </si>
  <si>
    <t>How many will the host committee dedicate to local charities?</t>
  </si>
  <si>
    <t>What is one of the largest city center shopping complexes in the UK?</t>
  </si>
  <si>
    <t>What do FtsZ1 and FtsZ2 combine into?</t>
  </si>
  <si>
    <t>Orientalism refers to how the West developed a what of the East?</t>
  </si>
  <si>
    <t>blinding flashes of light</t>
  </si>
  <si>
    <t>When was the Riemann hypothesis proposed?</t>
  </si>
  <si>
    <t>What was the reason the Italian Constitutional court gave that resulted in Mr. Costa losing his his claim against ENEL?</t>
  </si>
  <si>
    <t>Colonialism often means a country doing what?</t>
  </si>
  <si>
    <t>having colloblasts</t>
  </si>
  <si>
    <t>identity</t>
  </si>
  <si>
    <t>simulate a launch countdown</t>
  </si>
  <si>
    <t>415,000</t>
  </si>
  <si>
    <t>In which year did the Royal College of Art gained full independence from the V&amp;A?</t>
  </si>
  <si>
    <t>Begter</t>
  </si>
  <si>
    <t>Khentii Aimag</t>
  </si>
  <si>
    <t>How long is one term for an elected president of the CJEU?</t>
  </si>
  <si>
    <t>Gosforth Park</t>
  </si>
  <si>
    <t>How did Chinese medicine spread?</t>
  </si>
  <si>
    <t>How many people lived in Warsaw in 1939?</t>
  </si>
  <si>
    <t>Prior to Super Bowl 50, when were the Carolina Panthers last there?</t>
  </si>
  <si>
    <t>so that they can take shelter behind each other or spread out</t>
  </si>
  <si>
    <t>13,000 BP</t>
  </si>
  <si>
    <t>The symbol for mercuric oxide is?</t>
  </si>
  <si>
    <t>23–16</t>
  </si>
  <si>
    <t>Annual Conference Order of Elders</t>
  </si>
  <si>
    <t>Korean King</t>
  </si>
  <si>
    <t>Another major division within Islamism is between what Graham E. Fuller has described as the fundamentalist "guardians of the tradition" (Salafis, such as those in the Wahhabi movement) and the "vanguard of change and Islamic reform" centered around the Muslim Brotherhood. Olivier Roy argues that "Sunni pan-Islamism underwent a remarkable shift in the second half of the 20th century" when the Muslim Brotherhood movement and its focus on Islamisation of pan-Arabism was eclipsed by the Salafi movement with its emphasis on "sharia rather than the building of Islamic institutions," and rejection of Shia Islam. Following the Arab Spring, Roy has described Islamism as "increasingly interdependent" with democracy in much of the Arab Muslim world, such that "neither can now survive without the other." While Islamist political culture itself may not be democratic, Islamists need democratic elections to maintain their legitimacy. At the same time, their popularity is such that no government can call itself democratic that excludes mainstream Islamist groups.</t>
  </si>
  <si>
    <t>Internet2 officially retired Abilene and now refers to its new, higher capacity network as the Internet2 Network</t>
  </si>
  <si>
    <t>gambled</t>
  </si>
  <si>
    <t>At the end of World War I, the Rhineland was subject to the Treaty of Versailles. This decreed that it would be occupied by the allies, until 1935 and after that, it would be a demilitarised zone, with the German army forbidden to enter. The Treaty of Versailles and this particular provision, in general, caused much resentment in Germany and is often cited as helping Adolf Hitler's rise to power. The allies left the Rhineland, in 1930 and the German army re-occupied it in 1936, which was enormously popular in Germany. Although the allies could probably have prevented the re-occupation, Britain and France were not inclined to do so, a feature of their policy of appeasement to Hitler.</t>
  </si>
  <si>
    <t>all age groups</t>
  </si>
  <si>
    <t>What are longer growth spells associated with?</t>
  </si>
  <si>
    <t>turbine</t>
  </si>
  <si>
    <t>According to agreement between Iroquois and British, where was a strong house to be built?</t>
  </si>
  <si>
    <t>valleys and ground depressions</t>
  </si>
  <si>
    <t>Where did Jebe die?</t>
  </si>
  <si>
    <t>modern canalized</t>
  </si>
  <si>
    <t xml:space="preserve">Where does newly created wealth concentrate? </t>
  </si>
  <si>
    <t>Genghis Khan's</t>
  </si>
  <si>
    <t>a monthly fee</t>
  </si>
  <si>
    <t>Environmentalists are concerned about loss of biodiversity that will result from destruction of the forest, and also about the release of the carbon contained within the vegetation, which could accelerate global warming. Amazonian evergreen forests account for about 10% of the world's terrestrial primary productivity and 10% of the carbon stores in ecosystems—of the order of 1.1 × 1011 metric tonnes of carbon. Amazonian forests are estimated to have accumulated 0.62 ± 0.37 tons of carbon per hectare per year between 1975 and 1996.</t>
  </si>
  <si>
    <t>In June 1978, Arledge created the newsmagazine 20/20; after its first episode received harshly negative reviews, the program – which debuted as a summer series, before becoming a year-round program in 1979 – was immediately revamped to feature a mix of in-depth stories and interviews, with Hugh Downs appointed as its anchor (later paired alongside his former Today colleague Barbara Walters). In February 1979, ABC sold its recording division to MCA Inc. for $20 million; the label was discontinued by March 5 of that year, and all of its 300 employees were laid off (the rights to the works of ABC Records and all of MCA's other labels have since been acquired by Universal Music Group).</t>
  </si>
  <si>
    <t>The Horns of Nimon</t>
  </si>
  <si>
    <t>In 2011, which program became the only ABC broadcast in 4:3 standard definition?</t>
  </si>
  <si>
    <t>still managed to thrive</t>
  </si>
  <si>
    <t>wid[en] people’s choices and the level of their achieved well-being</t>
  </si>
  <si>
    <t>What is the first major city in the course of the Rhine?</t>
  </si>
  <si>
    <t>In many poor and developing countries much land and housing is held outside the formal or legal property ownership registration system. Much unregistered property is held in informal form through various associations and other arrangements. Reasons for extra-legal ownership include excessive bureaucratic red tape in buying property and building, In some countries it can take over 200 steps and up to 14 years to build on government land. Other causes of extra-legal property are failures to notarize transaction documents or having documents notarized but failing to have them recorded with the official agency.</t>
  </si>
  <si>
    <t>over the Spring bank holiday</t>
  </si>
  <si>
    <t>Who was the head coach of the Broncos in Super Bowl XLVIII?</t>
  </si>
  <si>
    <t>in stacks of two</t>
  </si>
  <si>
    <t>to people who give services "for remuneration"</t>
  </si>
  <si>
    <t>What year did Genghis Khan die?</t>
  </si>
  <si>
    <t>Which arts were often practiced together by the same artists?</t>
  </si>
  <si>
    <t>Börte had three more sons, Chagatai (1187—1241), Ögedei (1189—1241), and Tolui (1190–1232). Genghis Khan also had many other children with his other wives, but they were excluded from the succession. While the names of sons were documented, daughters were not. The names of at least six daughters are known, and while they played significant roles behind the scenes during his lifetime, no documents have survived that definitively provide the number or names of daughters born to the consorts of Genghis Khan.</t>
  </si>
  <si>
    <t>refuse to enforce a decision</t>
  </si>
  <si>
    <t>the total number of state transitions, or steps</t>
  </si>
  <si>
    <t>great pestilence in the air</t>
  </si>
  <si>
    <t>Mick Mixon</t>
  </si>
  <si>
    <t>J. P. Morgan</t>
  </si>
  <si>
    <t>What did Luther feel he made of Christ?</t>
  </si>
  <si>
    <t>When was a vote help to ratify the change to the constitution?</t>
  </si>
  <si>
    <t>Who leads the National and Public Library Servies?</t>
  </si>
  <si>
    <t>When did Zhu Shijie die?</t>
  </si>
  <si>
    <t>25 per cent</t>
  </si>
  <si>
    <t>Danny Trevathan</t>
  </si>
  <si>
    <t>tentacles and tentacle sheaths</t>
  </si>
  <si>
    <t>The first buildings of the University of Chicago campus, which make up what is now known as the Main Quadrangles, were part of a "master plan" conceived by two University of Chicago trustees and plotted by Chicago architect Henry Ives Cobb. The Main Quadrangles consist of six quadrangles, each surrounded by buildings, bordering one larger quadrangle. The buildings of the Main Quadrangles were designed by Cobb, Shepley, Rutan and Coolidge, Holabird &amp; Roche, and other architectural firms in a mixture of the Victorian Gothic and Collegiate Gothic styles, patterned on the colleges of the University of Oxford. (Mitchell Tower, for example, is modeled after Oxford's Magdalen Tower, and the university Commons, Hutchinson Hall, replicates Christ Church Hall.)</t>
  </si>
  <si>
    <t>Storybook houses</t>
  </si>
  <si>
    <t>Titian</t>
  </si>
  <si>
    <t>flammable cabin</t>
  </si>
  <si>
    <t>became the prototype for confederation during the War of Independence</t>
  </si>
  <si>
    <t>ideal underpinning</t>
  </si>
  <si>
    <t>On December 22nd 2009, ABC reached an agreement with Apple to make ABC shows available on what service?</t>
  </si>
  <si>
    <t>What organization did Iqbal join in London?</t>
  </si>
  <si>
    <t>rising inequality</t>
  </si>
  <si>
    <t>passive short-term memory or active long-term memory</t>
  </si>
  <si>
    <t>Who was keeping pressure and showing disagreements for the LOR, even in front of the President?</t>
  </si>
  <si>
    <t>Pushing against an object on a frictional surface can result in a situation where the object does not move because the applied force is opposed by static friction, generated between the object and the table surface. For a situation with no movement, the static friction force exactly balances the applied force resulting in no acceleration. The static friction increases or decreases in response to the applied force up to an upper limit determined by the characteristics of the contact between the surface and the object.</t>
  </si>
  <si>
    <t>Jakaya Kikwete</t>
  </si>
  <si>
    <t>Who did Edward make archbishop of Canterbury?</t>
  </si>
  <si>
    <t>Where are international corporations headquartered?</t>
  </si>
  <si>
    <t>All missions</t>
  </si>
  <si>
    <t>Contrary to popular belief, Genghis Khan did not conquer all the areas ultimately part of the Mongol Empire. At the time of his death, the Mongol Empire stretched from the Caspian Sea to the Sea of Japan. The empire's expansion continued for a generation or more after Genghis's death in 1227. Under Genghis's successor Ögedei Khan the speed of expansion reached its peak. Mongol armies pushed into Persia, finished off the Western Xia and the remnants of the Khwarezmids, and came into conflict with the imperial Song dynasty of China, starting a war that lasted until 1279 and that concluded with the Mongols gaining control of all of China. They also pushed further into Russia and eastern Europe.</t>
  </si>
  <si>
    <t>What was the name of Bohemond's nephew?</t>
  </si>
  <si>
    <t>The city is served by the Tyne and Wear Metro, a system of suburban and underground railways covering much of Tyne and Wear. It was opened in five phases between 1980 and 1984, and was Britain's first urban light rail transit system; two extensions were opened in 1991 and 2002. It was developed from a combination of existing and newly built tracks and stations, with deep-level tunnels constructed through Newcastle city centre. A bridge was built across the Tyne, between Newcastle and Gateshead, and opened by Queen Elizabeth II in 1981. The network is operated by DB Regio on behalf of Nexus and carries over 37 million passengers a year, extending as far as Newcastle Airport, Tynemouth, South Shields and South Hylton in Sunderland. In 2004, the company Marconi designed and constructed the mobile radio system to the underground Metro system. The Metro system was the first in the UK to have mobile phone antennae installed in the tunnels.</t>
  </si>
  <si>
    <t>Thomas Sowell</t>
  </si>
  <si>
    <t>Who argues that the government redistributes wealth by force?</t>
  </si>
  <si>
    <t>21 February 1804</t>
  </si>
  <si>
    <t>32.9%</t>
  </si>
  <si>
    <t>Bennie Fowler</t>
  </si>
  <si>
    <t>ABC purchased which of Edgar Scherick's company?</t>
  </si>
  <si>
    <t>Neil Armstrong, Michael Collins and Buzz Aldrin</t>
  </si>
  <si>
    <t>Who was UPT forced to separate themselves from in 1949?</t>
  </si>
  <si>
    <t>Taskforce of United Methodists on Abortion and Sexuality (</t>
  </si>
  <si>
    <t>safaris, diverse climate and geography, and expansive wildlife reserves</t>
  </si>
  <si>
    <t>The rate of clearing of forest from 2000 to 2005 was how many square miles per year?</t>
  </si>
  <si>
    <t>Lobates have eight comb-rows, originating at the aboral pole and usually not extending beyond the body to the lobes; in species with (four) auricles, the cilia edging the auricles are extensions of cilia in four of the comb rows. Most lobates are quite passive when moving through the water, using the cilia on their comb rows for propulsion, although Leucothea has long and active auricles whose movements also contribute to propulsion. Members of the lobate genera Bathocyroe and Ocyropsis can escape from danger by clapping their lobes, so that the jet of expelled water drives them backwards very quickly. Unlike cydippids, the movements of lobates' combs are coordinated by nerves rather than by water disturbances created by the cilia, yet combs on the same row beat in the same Mexican wave style as the mechanically coordinated comb rows of cydippids and beroids. This may have enabled lobates to grow larger than cydippids and to have shapes that are less egg-like.</t>
  </si>
  <si>
    <t>the Nikola Tesla Museum archive</t>
  </si>
  <si>
    <t>What is that grace of God which sustains the believers in the journey towards Christian Perfection?</t>
  </si>
  <si>
    <t>Big Finish Productions</t>
  </si>
  <si>
    <t>win an acquittal and avoid imprisonment or a fine</t>
  </si>
  <si>
    <t>open forest and grassland</t>
  </si>
  <si>
    <t>What network is Newcastle a member of?</t>
  </si>
  <si>
    <t>bronze</t>
  </si>
  <si>
    <t xml:space="preserve">Who operated the vBSN network </t>
  </si>
  <si>
    <t>University of Erfurt</t>
  </si>
  <si>
    <t>healthy</t>
  </si>
  <si>
    <t>an estimated total of 75,000 to 100,000 people</t>
  </si>
  <si>
    <t>treatise Von den Juden und Ihren Lügen</t>
  </si>
  <si>
    <t>What project did Leonard Goldenson offer to invest in before the Canadian Radio-Television Commission ruled against ABC?</t>
  </si>
  <si>
    <t>electrostatic force</t>
  </si>
  <si>
    <t>rise and fall according to market demand</t>
  </si>
  <si>
    <t>after sustaining an injury</t>
  </si>
  <si>
    <t>What series was created by former Doctor Who producer Russell T. Davies?</t>
  </si>
  <si>
    <t>1600 to 1950</t>
  </si>
  <si>
    <t>The country's literacy level stands at 85% of the whole population. Preschool, which targets children from age three to five, is an integral component of the education system and is a key requirement for admission to Standard One (First Grade). At the end of primary education, pupils sit the Kenya Certificate of Primary Education (KCPE), which determines those who proceed to secondary school or vocational training. The result of this examination is needed for placement at secondary school. Primary school age is 6/7-13/14 years. For those who proceed to secondary level, there is a national examination at the end of Form Four – the Kenya Certificate of Secondary Education (KCSE), which determines those proceeding to the universities, other professional training or employment. Students sit examinations in eight subjects of their choosing. However, English, Kiswahili (languages) and mathematics are compulsory subjects.</t>
  </si>
  <si>
    <t>Amboise plot</t>
  </si>
  <si>
    <t>he published his findings first</t>
  </si>
  <si>
    <t>What happened to Apollo 13?</t>
  </si>
  <si>
    <t>In October 2010, the open-access scientific journal PLoS Pathogens published a paper by a multinational team who undertook a new investigation into the role of Yersinia pestis in the Black Death following the disputed identification by Drancourt and Raoult in 1998. They assessed the presence of DNA/RNA with Polymerase Chain Reaction (PCR) techniques for Y. pestis from the tooth sockets in human skeletons from mass graves in northern, central and southern Europe that were associated archaeologically with the Black Death and subsequent resurgences. The authors concluded that this new research, together with prior analyses from the south of France and Germany, ". . . ends the debate about the etiology of the Black Death, and unambiguously demonstrates that Y. pestis was the causative agent of the epidemic plague that devastated Europe during the Middle Ages".</t>
  </si>
  <si>
    <t>What was he studying that gave him the teleforce weapon idea?</t>
  </si>
  <si>
    <t>graph isomorphism problem</t>
  </si>
  <si>
    <t>How are the galleries overlooking the garden arranged?</t>
  </si>
  <si>
    <t>Where is the Asian influence strongest in Victoria?</t>
  </si>
  <si>
    <t>Marco Polo</t>
  </si>
  <si>
    <t>remove government oversight</t>
  </si>
  <si>
    <t>828,000</t>
  </si>
  <si>
    <t>sum of divisors</t>
  </si>
  <si>
    <t>usually human, or humanoid aliens</t>
  </si>
  <si>
    <t>internal migration and urbanisation.</t>
  </si>
  <si>
    <t>300 m3/s</t>
  </si>
  <si>
    <t>What was the name of the rock found during the Apollo 15 mission that KREEP was discovered in?</t>
  </si>
  <si>
    <t>sent Dieskau to Fort St. Frédéric to meet that threat</t>
  </si>
  <si>
    <t>In which case did the Court of Justice review Swedish bans on advertising to young children under 12?</t>
  </si>
  <si>
    <t>color television camera</t>
  </si>
  <si>
    <t>open standards</t>
  </si>
  <si>
    <t>What Western was a flagship program for ABC around 1954?</t>
  </si>
  <si>
    <t>Deke Slayton, the grounded Mercury astronaut who became Director of Flight Crew Operations for the Gemini and Apollo programs, selected the first Apollo crew in January 1966, with Grissom as Command Pilot, White as Senior Pilot, and rookie Donn F. Eisele as Pilot. But Eisele dislocated his shoulder twice aboard the KC135 weightlessness training aircraft, and had to undergo surgery on January 27. Slayton replaced him with Chaffee. NASA announced the final crew selection for AS-204 on March 21, 1966, with the backup crew consisting of Gemini veterans James McDivitt and David Scott, with rookie Russell L. "Rusty" Schweickart. Mercury/Gemini veteran Wally Schirra, Eisele, and rookie Walter Cunningham were announced on September 29 as the prime crew for AS-205.</t>
  </si>
  <si>
    <t>Although not a fuel  ___ is the chemical compound the generates the most occurrence of explosions.</t>
  </si>
  <si>
    <t>the goals he receives from his superior.</t>
  </si>
  <si>
    <t>Besides cultural events, what other tourist attraction does Victoria have?</t>
  </si>
  <si>
    <t>What city did Tesla move to in 1880?</t>
  </si>
  <si>
    <t>Catholic Church</t>
  </si>
  <si>
    <t>What are examples of clinical services that pharmacists can provide?</t>
  </si>
  <si>
    <t>This shift has already commenced in some countries; for instance, pharmacists in Australia receive remuneration from the Australian Government for conducting comprehensive Home Medicines Reviews. In Canada, pharmacists in certain provinces have limited prescribing rights (as in Alberta and British Columbia) or are remunerated by their provincial government for expanded services such as medications reviews (Medschecks in Ontario). In the United Kingdom, pharmacists who undertake additional training are obtaining prescribing rights and this is because of pharmacy education. They are also being paid for by the government for medicine use reviews. In Scotland the pharmacist can write prescriptions for Scottish registered patients of their regular medications, for the majority of drugs, except for controlled drugs, when the patient is unable to see their doctor, as could happen if they are away from home or the doctor is unavailable. In the United States, pharmaceutical care or clinical pharmacy has had an evolving influence on the practice of pharmacy. Moreover, the Doctor of Pharmacy (Pharm. D.) degree is now required before entering practice and some pharmacists now complete one or two years of residency or fellowship training following graduation. In addition, consultant pharmacists, who traditionally operated primarily in nursing homes are now expanding into direct consultation with patients, under the banner of "senior care pharmacy."</t>
  </si>
  <si>
    <t>same-sex</t>
  </si>
  <si>
    <t>decline in hormone levels with age</t>
  </si>
  <si>
    <t>Cisco Systems</t>
  </si>
  <si>
    <t>On 11 July 1934</t>
  </si>
  <si>
    <t>(HDTV)</t>
  </si>
  <si>
    <t>What natural resources did the Chinese government have a monopoly on?</t>
  </si>
  <si>
    <t>Who is largely considered the first United Methodist theologian?</t>
  </si>
  <si>
    <t>mother is wrongly claiming to be living alone</t>
  </si>
  <si>
    <t>Who did Luther call on to stop the revolt?</t>
  </si>
  <si>
    <t>Émile Girardeau,</t>
  </si>
  <si>
    <t>What color jersey has Denver 0-4?</t>
  </si>
  <si>
    <t>around 8–15</t>
  </si>
  <si>
    <t>by intermediate network nodes asynchronously using first-in, first-out buffering, but may be forwarded according to some scheduling discipline for fair queuing</t>
  </si>
  <si>
    <t>Brocard's conjecture</t>
  </si>
  <si>
    <t>What can significantly contribute to the continuing inequality in a society over time?</t>
  </si>
  <si>
    <t>What does AC stand for?</t>
  </si>
  <si>
    <t>Who was the first American to win the Nobel Memorial Prize in Economic Sciences?</t>
  </si>
  <si>
    <t>When was Thoreau's essay published?</t>
  </si>
  <si>
    <t>Where are health and social problems most common?</t>
  </si>
  <si>
    <t>three cinemas</t>
  </si>
  <si>
    <t>Noetherian</t>
  </si>
  <si>
    <t>new Apollo spacesuit, designed to accommodate lunar extravehicular activity</t>
  </si>
  <si>
    <t>What rates of health and social problems are in countries with high inequality?</t>
  </si>
  <si>
    <t>over five million passengers</t>
  </si>
  <si>
    <t>Which station covered the game for North Carolina?</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</si>
  <si>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</si>
  <si>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In which continent besides Asia were major gains made by the British Empire in the late 19th century?</t>
  </si>
  <si>
    <t>What did NSFNET promote</t>
  </si>
  <si>
    <t>the membrane of the primary endosymbiont</t>
  </si>
  <si>
    <t>What characteristic in recent years has been strongly tied with health in developed countries?</t>
  </si>
  <si>
    <t>Which country's arms purchase from the US became 5 times more than Israel?</t>
  </si>
  <si>
    <t>What do weak labor movement correlate with?</t>
  </si>
  <si>
    <t>What element makes up almost half of the earth's crust by mass?</t>
  </si>
  <si>
    <t>What country was Abhisit Vejjajiva prime minister of, despite having been born in Newcastle?</t>
  </si>
  <si>
    <t>What is the largest independent library outside of London?</t>
  </si>
  <si>
    <t>significance of the words spoken by Jesus</t>
  </si>
  <si>
    <t>sculpture wing</t>
  </si>
  <si>
    <t>Cengiz Han, Çingiz Xan, Çingiz Han, Chingizxon, Çıñğız Xan, Chengez Khan, Chinggis Khan, Chinggis Xaan, Chingis Khan, Jenghis Khan, Chinggis Qan, Djingis Kahn</t>
  </si>
  <si>
    <t>The Panthers finished the regular season with a 15–1 record, and quarterback Cam Newton was named the NFL Most Valuable Player (MVP). They defeated the Arizona Cardinals 49–15 in the NFC Championship Game and advanced to their second Super Bowl appearance since the franchise was founded in 1995. The Broncos finished the regular season with a 12–4 record, and denied the New England Patriots a chance to defend their title from Super Bowl XLIX by defeating them 20–18 in the AFC Championship Game. They joined the Patriots, Dallas Cowboys, and Pittsburgh Steelers as one of four teams that have made eight appearances in the Super Bowl.</t>
  </si>
  <si>
    <t>Florida legislature</t>
  </si>
  <si>
    <t>from 1888 to about 1926</t>
  </si>
  <si>
    <t>In what battle were the Mongols defeated by the Tran?</t>
  </si>
  <si>
    <t>How many people does the Greater Los Angeles Area have?</t>
  </si>
  <si>
    <t>Sakya</t>
  </si>
  <si>
    <t>Duisport</t>
  </si>
  <si>
    <t>13th-century</t>
  </si>
  <si>
    <t>Commission v France French</t>
  </si>
  <si>
    <t>every string</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</si>
  <si>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</si>
  <si>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When did Mechlin lace develop?</t>
  </si>
  <si>
    <t>around 34%</t>
  </si>
  <si>
    <t>What are Plastoglobuli attached to?</t>
  </si>
  <si>
    <t>How was the ctenophore mnemiopsis leidyi introduced into The Black Sea and the Sea of Azov?</t>
  </si>
  <si>
    <t>When did oxygen begin to move from the oceans to the atmosphere?</t>
  </si>
  <si>
    <t>from sea level</t>
  </si>
  <si>
    <t>What type of technology is the non organic separating of gases?</t>
  </si>
  <si>
    <t>David Banks</t>
  </si>
  <si>
    <t>laboratory</t>
  </si>
  <si>
    <t>began to shrink</t>
  </si>
  <si>
    <t>Hoek van Holland</t>
  </si>
  <si>
    <t>stock a larger range of medications, including more specialized medications</t>
  </si>
  <si>
    <t>Michael Heckenberger and colleagues</t>
  </si>
  <si>
    <t>What is the name of the alphabet is most commonly used in a problem instance?</t>
  </si>
  <si>
    <t>How many protestants live in France today?</t>
  </si>
  <si>
    <t>different ministers of the member states</t>
  </si>
  <si>
    <t>the WWF report</t>
  </si>
  <si>
    <t>Ps. 31:5</t>
  </si>
  <si>
    <t>What consist of one ore more Annual Conferences?</t>
  </si>
  <si>
    <t>99</t>
  </si>
  <si>
    <t>Gospić</t>
  </si>
  <si>
    <t>began in the mid-18th century within the Church of England.</t>
  </si>
  <si>
    <t>When did Luther start preaching Prophetic faith?</t>
  </si>
  <si>
    <t>What percent of the global assets in 2000 were owned by just 1% of adults?</t>
  </si>
  <si>
    <t>Who is the gallery of Indian art named after?</t>
  </si>
  <si>
    <t>Which membrane was lost in euglenophyte chloroplasts?</t>
  </si>
  <si>
    <t>$155 million</t>
  </si>
  <si>
    <t>four levels</t>
  </si>
  <si>
    <t>betel-nut cutters, ivory combs and bronze palanquin hooks</t>
  </si>
  <si>
    <t>When was the FCC's sixth report and order released?</t>
  </si>
  <si>
    <t>1,000 m3/s</t>
  </si>
  <si>
    <t>several years</t>
  </si>
  <si>
    <t>had to be converted</t>
  </si>
  <si>
    <t>specific details of the computational model used</t>
  </si>
  <si>
    <t>Zwickau prophet</t>
  </si>
  <si>
    <t>After rejecting compulsory confession, what did Luther call for?</t>
  </si>
  <si>
    <t>eight rows</t>
  </si>
  <si>
    <t>about 30 kPa</t>
  </si>
  <si>
    <t>9:00 a.m. until 6:00 p.m</t>
  </si>
  <si>
    <t>Why are coastal species tough?</t>
  </si>
  <si>
    <t>What was later discovered written by Luther?</t>
  </si>
  <si>
    <t>What would income differentials be if individual contributions were relevant to the social product?</t>
  </si>
  <si>
    <t>Metrolink</t>
  </si>
  <si>
    <t>universities and/or TAFE colleges</t>
  </si>
  <si>
    <t>What did Johannes Agricola preach that God's gospel revealed?</t>
  </si>
  <si>
    <t>exaggerating their seriousness</t>
  </si>
  <si>
    <t>What mathematician was also apart of the university's faculty?</t>
  </si>
  <si>
    <t>the plague may have entered Europe in two waves</t>
  </si>
  <si>
    <t>One of the earliest surviving examples of European quilting, the late 14th-century Sicilian Tristan Quilt, is also held by the collection. The collection has numerous examples of various types of textiles designed by William Morris, including, embroidery, woven fabrics, tapestries (Including 'The Forest' tapestry of 1887), rugs and carpets, as well as pattern books and paper designs. The art deco period is covered by rugs and fabrics designed by Marion Dorn. From the same period there is a rug designed by Serge Chermayeff.</t>
  </si>
  <si>
    <t>Inflammation</t>
  </si>
  <si>
    <t>James Lofton and Mark Malone</t>
  </si>
  <si>
    <t>Cobham-Edmonds</t>
  </si>
  <si>
    <t>What was the Anglo-Norman language's final form?</t>
  </si>
  <si>
    <t>Today, which church is generally considered one of the more moderate and tolerant denominations?</t>
  </si>
  <si>
    <t>Mount Kenya,</t>
  </si>
  <si>
    <t>a genuine love of God with heart, soul, mind</t>
  </si>
  <si>
    <t>Ottoman</t>
  </si>
  <si>
    <t>extinction of the dinosaurs</t>
  </si>
  <si>
    <t>Justifying Grace or Accepting Grace is that grace, offered by God to all people, that we receive by faith and trust in Christ, through which God pardons the believer of sin. It is in justifying grace we are received by God, in spite of our sin. In this reception, we are forgiven through the atoning work of Jesus Christ on the cross. The justifying grace cancels our guilt and empowers us to resist the power of sin and to fully love God and neighbor. Today, justifying grace is also known as conversion, "accepting Jesus as your personal Lord and Savior," or being "born again". John Wesley originally called this experience the New Birth. This experience can occur in different ways; it can be one transforming moment, such as an altar call experience, or it may involve a series of decisions across a period of time.</t>
  </si>
  <si>
    <t>How many men older than 18 are there for every 100 women?</t>
  </si>
  <si>
    <t>early 1526</t>
  </si>
  <si>
    <t>Where did Tesla work with Edison?</t>
  </si>
  <si>
    <t>former Strathclyde Regional Council debating chamber</t>
  </si>
  <si>
    <t>Mangan</t>
  </si>
  <si>
    <t>What type of number do modern mathematicians consider 1 to be?</t>
  </si>
  <si>
    <t>EastEnders</t>
  </si>
  <si>
    <t>What are the most active parts of ctenophora?</t>
  </si>
  <si>
    <t>What animation company worked on some of The Reign of Terror episodes?</t>
  </si>
  <si>
    <t>When did O2 begin to acculturate in the atmosphere?</t>
  </si>
  <si>
    <t>Southern Methodist University</t>
  </si>
  <si>
    <t>She gives a stirring speech in which she tells him that she must obey her conscience rather than human law</t>
  </si>
  <si>
    <t>paramagnetic</t>
  </si>
  <si>
    <t>How many segments did the special originally have?</t>
  </si>
  <si>
    <t>belief in the validity of the social contract</t>
  </si>
  <si>
    <t>the capacity of the Tyne Tunnel</t>
  </si>
  <si>
    <t>Chief Hendrick</t>
  </si>
  <si>
    <t>121,200</t>
  </si>
  <si>
    <t>to legalize importation of medications from Canada and other countries</t>
  </si>
  <si>
    <t>What was the score of the last game the Carolina Panthers played prior to the NFC Championship?</t>
  </si>
  <si>
    <t>How many years had Thomas Davis played in the league when he broke his arm during the NFC Championship game?</t>
  </si>
  <si>
    <t>Who added to Dioscorides' book in the Islamic Golden Age?</t>
  </si>
  <si>
    <t>the web</t>
  </si>
  <si>
    <t>In August 1227, during the fall of Yinchuan, the capital of Western Xia, Genghis Khan died. The exact cause of his death remains a mystery, and is variously attributed to being killed in action against the Western Xia, illness, falling from his horse, or wounds sustained in hunting or battle. According to The Secret History of the Mongols Genghis Khan fell from his horse while hunting and died because of the injury. He was already old and tired from his journeys. The Galician–Volhynian Chronicle alleges he was killed by the Western Xia in battle, while Marco Polo wrote that he died after the infection of an arrow wound he received during his final campaign. Later Mongol chronicles connect Genghis' death with a Western Xia princess taken as war booty. One chronicle from the early 17th century even relates the legend that the princess hid a small dagger and stabbed him, though some Mongol authors have doubted this version and suspected it to be an invention by the rival Oirads.</t>
  </si>
  <si>
    <t>Reconstruction</t>
  </si>
  <si>
    <t>The Scotland Act 1998, which was passed by the Parliament of the United Kingdom and given royal assent by Queen Elizabeth II on 19 November 1998, governs the functions and role of the Scottish Parliament and delimits its legislative competence. The Scotland Act 2012 extends the devolved competencies. For the purposes of parliamentary sovereignty, the Parliament of the United Kingdom at Westminster continues to constitute the supreme legislature of Scotland. However, under the terms of the Scotland Act, Westminster agreed to devolve some of its responsibilities over Scottish domestic policy to the Scottish Parliament. Such "devolved matters" include education, health, agriculture and justice. The Scotland Act enabled the Scottish Parliament to pass primary legislation on these issues. A degree of domestic authority, and all foreign policy, remain with the UK Parliament in Westminster. The Scottish Parliament has the power to pass laws and has limited tax-varying capability. Another of the roles of the Parliament is to hold the Scottish Government to account.</t>
  </si>
  <si>
    <t>What do MSPs who are not in the chamber when the division bell rings return to do?</t>
  </si>
  <si>
    <t>the Treaty on the Functioning of the European Union</t>
  </si>
  <si>
    <t>the square root of n</t>
  </si>
  <si>
    <t>relationship contracting</t>
  </si>
  <si>
    <t>One in five of all the bird species in the world</t>
  </si>
  <si>
    <t>mechanism by which Y. pestis was usually transmitted</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</si>
  <si>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</si>
  <si>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What is the status of most chloroplast genes in the mitochondrion?</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</si>
  <si>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</si>
  <si>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Brisingr and High Wizardry,</t>
  </si>
  <si>
    <t>Where are bills typically gestated in Stage 1?</t>
  </si>
  <si>
    <t>Who was named president of Disney-ABC television group in 2004?</t>
  </si>
  <si>
    <t>non-Mongol physicians</t>
  </si>
  <si>
    <t>Imperialism is defined as "A policy of extending a country’s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</si>
  <si>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</si>
  <si>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As of 2012, quality private schools in the United States charged substantial tuition, close to $40,000 annually for day schools in New York City, and nearly $50,000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</si>
  <si>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In which year did the gallery of Japanese art open?</t>
  </si>
  <si>
    <t>Who lost to the Panthers in the divisional round of the playoffs?</t>
  </si>
  <si>
    <t>In 1899, John Jacob Astor IV invested $100,000 for Tesla to further develop and produce a new lighting system. Instead, Tesla used the money to fund his Colorado Springs experiments.</t>
  </si>
  <si>
    <t>lysozyme and phospholipase A2</t>
  </si>
  <si>
    <t xml:space="preserve">How wide is the Upper Rhine Plain? </t>
  </si>
  <si>
    <t>Brough Park</t>
  </si>
  <si>
    <t>What does increasing inequality harm?</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</si>
  <si>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</si>
  <si>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How many interactions are all of the universal forces based on?</t>
  </si>
  <si>
    <t>When rich countries trade with poor countries, whose wages increase?</t>
  </si>
  <si>
    <t>What produces the high levels of oxygen on Earth?</t>
  </si>
  <si>
    <t>Which part of the V&amp;A collection did the Salting Bequest enhanced?</t>
  </si>
  <si>
    <t>1954,</t>
  </si>
  <si>
    <t>What was Newcastle named as the most type of city in the UK?</t>
  </si>
  <si>
    <t>What dynasty came before the Yuan?</t>
  </si>
  <si>
    <t>Where did Kublai extend the Grand Canal to?</t>
  </si>
  <si>
    <t>Fresno Normal School</t>
  </si>
  <si>
    <t>In what city's Marriott did the Panthers stay?</t>
  </si>
  <si>
    <t>How was the population of mnemiopsis in The black Sea and the Sea of Azov brought under control?</t>
  </si>
  <si>
    <t>What device is used to recycle the boiler water in most steam engines?</t>
  </si>
  <si>
    <t>The capabilities approach – sometimes called the human development approach – looks at income inequality and poverty as form of “capability deprivation”. Unlike neoliberalism, which “defines well-being as utility maximization”, economic growth and income are considered a means to an end rather than the end itself. Its goal is to “wid[en] people’s choices and the level of their achieved well-being” through increasing functionings (the things a person values doing), capabilities (the freedom to enjoy functionings) and agency (the ability to pursue valued goals).</t>
  </si>
  <si>
    <t>Dominic Glynn's</t>
  </si>
  <si>
    <t>advanced research and education networking in the United States</t>
  </si>
  <si>
    <t>The Newlywed Game</t>
  </si>
  <si>
    <t>power steering</t>
  </si>
  <si>
    <t>salvation</t>
  </si>
  <si>
    <t>What encouraged cultural exchange under the Yuan?</t>
  </si>
  <si>
    <t>Apollo 1 backup crew</t>
  </si>
  <si>
    <t>Name one way in which a person can become a Professing Member?</t>
  </si>
  <si>
    <t>When was the Methodist Episcopal Church founded?</t>
  </si>
  <si>
    <t>seaborne</t>
  </si>
  <si>
    <t>hopes for campaigns on Lake Ontario</t>
  </si>
  <si>
    <t>What was the most recent Super Bowl hosted in the South Florida/Miami area?</t>
  </si>
  <si>
    <t>How much resources were French placing in North America?</t>
  </si>
  <si>
    <t>if a complete list of primes up to  is known</t>
  </si>
  <si>
    <t>Mercury and Gemini</t>
  </si>
  <si>
    <t>What do bundle sheath chloroplasts specialize in?</t>
  </si>
  <si>
    <t>Throughout the Middle Ages, Newcastle was England's northern fortress. Incorporated first by Henry II, the city had a new charter granted by Elizabeth in 1589. A 25-foot (7.6 m) high stone wall was built around the town in the 13th century, to defend it from invaders during the Border war against Scotland. The Scots king William the Lion was imprisoned in Newcastle in 1174, and Edward I brought the Stone of Scone and William Wallace south through the town. Newcastle was successfully defended against the Scots three times during the 14th century, and was created a county corporate with its own sheriff by Henry IV in 1400.</t>
  </si>
  <si>
    <t>killer T cell and the helper T cell</t>
  </si>
  <si>
    <t>1952</t>
  </si>
  <si>
    <t>How much money did John Jacob Astor IV provide Tesla with?</t>
  </si>
  <si>
    <t>Dendritic cells</t>
  </si>
  <si>
    <t>What nationality is the band Coldplay?</t>
  </si>
  <si>
    <t>a coach</t>
  </si>
  <si>
    <t>What occurs after a dive in which a diver decompresses too quickly?</t>
  </si>
  <si>
    <t>How did the Huguenots defend themselves?</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</si>
  <si>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</si>
  <si>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What is chemical energy used to produce in plants?</t>
  </si>
  <si>
    <t>Conant devised programs</t>
  </si>
  <si>
    <t>In 2005, parts of the Amazon basin experienced the worst drought in one hundred years, and there were indications that 2006 could have been a second successive year of drought. A July 23, 2006 article in the UK newspaper The Independent reported Woods Hole Research Center results showing that the forest in its present form could survive only three years of drought. Scientists at the Brazilian National Institute of Amazonian Research argue in the article that this drought response, coupled with the effects of deforestation on regional climate, are pushing the rainforest towards a "tipping point" where it would irreversibly start to die. It concludes that the forest is on the brink of being turned into savanna or desert, with catastrophic consequences for the world's climate.</t>
  </si>
  <si>
    <t>What is Jacksonville's hottest month on average?</t>
  </si>
  <si>
    <t>Sir Edward Poynter</t>
  </si>
  <si>
    <t>The first commercially successful true engine, in that it could generate power and transmit it to a machine, was the atmospheric engine, invented by Thomas Newcomen around 1712. It was an improvement over Savery's steam pump, using a piston as proposed by Papin. Newcomen's engine was relatively inefficient, and in most cases was used for pumping water. It worked by creating a partial vacuum by condensing steam under a piston within a cylinder. It was employed for draining mine workings at depths hitherto impossible, and also for providing a reusable water supply for driving waterwheels at factories sited away from a suitable "head". Water that had passed over the wheel was pumped back up into a storage reservoir above the wheel.</t>
  </si>
  <si>
    <t>incentive for the democratic changes</t>
  </si>
  <si>
    <t>creedal</t>
  </si>
  <si>
    <t>How many pieces of legislation has the Social Charter become the basis for?</t>
  </si>
  <si>
    <t>When were stromules discovered?</t>
  </si>
  <si>
    <t>Arabs and much of the rest of the Third World</t>
  </si>
  <si>
    <t>When was the Latin version of the word Norman first recorded?</t>
  </si>
  <si>
    <t>36 acres</t>
  </si>
  <si>
    <t>What happens to the working fluid in a closed loop system?</t>
  </si>
  <si>
    <t>plan for an invasion of Western Europe</t>
  </si>
  <si>
    <t>input</t>
  </si>
  <si>
    <t>What point did the theologians differ on concerning the Last Supper?</t>
  </si>
  <si>
    <t>UK Government ministers</t>
  </si>
  <si>
    <t>When did they raise the price of oil to $5.11?</t>
  </si>
  <si>
    <t>Beroida</t>
  </si>
  <si>
    <t xml:space="preserve">In what year was Nikola Tesla born? </t>
  </si>
  <si>
    <t>Ford</t>
  </si>
  <si>
    <t>What did the Polish citizens understand the subtext of John Paul II's words to be?</t>
  </si>
  <si>
    <t>In what area is it common for spiritual mentorship to be extremely high?</t>
  </si>
  <si>
    <t>everyday Germans</t>
  </si>
  <si>
    <t>preschool teachers</t>
  </si>
  <si>
    <t>coordinate the response to the embargo</t>
  </si>
  <si>
    <t>The Italian Constitutional Court</t>
  </si>
  <si>
    <t>secret</t>
  </si>
  <si>
    <t>post-classical European</t>
  </si>
  <si>
    <t>(1185</t>
  </si>
  <si>
    <t>What can a principal make, if he/she works for a big school?</t>
  </si>
  <si>
    <t>Which park hosts the largest Civil War reenactment on the west coast?</t>
  </si>
  <si>
    <t>What was Brown's job?</t>
  </si>
  <si>
    <t>What does UMC stand for?</t>
  </si>
  <si>
    <t>exposed to scrutiny</t>
  </si>
  <si>
    <t>What does phycoerytherin appear in?</t>
  </si>
  <si>
    <t>What is the animal that the Rhine's islands are named after?</t>
  </si>
  <si>
    <t>1263</t>
  </si>
  <si>
    <t>to ruin him</t>
  </si>
  <si>
    <t>make it very difficult for predators to evolve that could specialize as predators</t>
  </si>
  <si>
    <t>The Yuan dynasty is considered both a successor to the Mongol Empire and an imperial Chinese dynasty. It was the khanate ruled by the successors of Möngke Khan after the division of the Mongol Empire. In official Chinese histories, the Yuan dynasty bore the Mandate of Heaven, following the Song dynasty and preceding the Ming dynasty. The dynasty was established by Kublai Khan, yet he placed his grandfather Genghis Khan on the imperial records as the official founder of the dynasty as Taizu.[b] In the Proclamation of the Dynastic Name (《建國號詔》), Kublai announced the name of the new dynasty as Great Yuan and claimed the succession of former Chinese dynasties from the Three Sovereigns and Five Emperors to the Tang dynasty.</t>
  </si>
  <si>
    <t>Tana River, as well as the Turkwel Gorge Dam</t>
  </si>
  <si>
    <t>How do ctenophores control buoyancy?</t>
  </si>
  <si>
    <t>The Mongol rulers patronized the Yuan printing industry. Chinese printing technology was transferred to the Mongols through Kingdom of Qocho and Tibetan intermediaries. Some Yuan documents such as Wang Zhen's Nong Shu were printed with earthenware movable type, a technology invented in the 12th century. However, most published works were still produced through traditional block printing techniques. The publication of a Taoist text inscribed with the name of Töregene Khatun, Ögedei's wife, is one of the first printed works sponsored by the Mongols. In 1273, the Mongols created the Imperial Library Directorate, a government-sponsored printing office. The Yuan government established centers for printing throughout China. Local schools and government agencies were funded to support the publishing of books.</t>
  </si>
  <si>
    <t>violence</t>
  </si>
  <si>
    <t>A steep and steady decline</t>
  </si>
  <si>
    <t>Ariq Böke</t>
  </si>
  <si>
    <t>NASA's CALIPSO satellite has measured the amount of dust transported by wind from the Sahara to the Amazon: an average 182 million tons of dust are windblown out of the Sahara each year, at 15 degrees west longitude, across 1,600 miles (2,600 km) over the Atlantic Ocean (some dust falls into the Atlantic), then at 35 degrees West longitude at the eastern coast of South America, 27.7 million tons (15%) of dust fall over the Amazon basin, 132 million tons of dust remain in the air, 43 million tons of dust are windblown and falls on the Caribbean Sea, past 75 degrees west longitude.</t>
  </si>
  <si>
    <t>What was the first Super Bowl branded with Roman numerals?</t>
  </si>
  <si>
    <t>How many hours can one expect to ride the train from Newcastle to King's Cross?</t>
  </si>
  <si>
    <t>the balance of parties across Parliament</t>
  </si>
  <si>
    <t>modern fashion</t>
  </si>
  <si>
    <t>When was the British Nationality Act passed?</t>
  </si>
  <si>
    <t>What was Manning's passer rating at the end of the season?</t>
  </si>
  <si>
    <t>avoid the "inconvenience" of visiting a doctor</t>
  </si>
  <si>
    <t>What are plants with plastid gene transformations called?</t>
  </si>
  <si>
    <t>What do clinical pharmacists specialize in?</t>
  </si>
  <si>
    <t>gurus, mullahs, rabbis, pastors/youth pastors and lamas</t>
  </si>
  <si>
    <t>Plastoglobuli were once thought to be free-floating in the stroma, but it is now thought that they are permanently attached either to a thylakoid or to another plastoglobulus attached to a thylakoid, a configuration that allows a plastoglobulus to exchange its contents with the thylakoid network. In normal green chloroplasts, the vast majority of plastoglobuli occur singularly, attached directly to their parent thylakoid. In old or stressed chloroplasts, plastoglobuli tend to occur in linked groups or chains, still always anchored to a thylakoid.</t>
  </si>
  <si>
    <t>four years in high school</t>
  </si>
  <si>
    <t>The earliest recorded incidents of collective civil disobedience took place during the Roman Empire[citation needed]. Unarmed Jews gathered in the streets to prevent the installation of pagan images in the Temple in Jerusalem.[citation needed][original research?] In modern times, some activists who commit civil disobedience as a group collectively refuse to sign bail until certain demands are met, such as favorable bail conditions, or the release of all the activists. This is a form of jail solidarity.[page needed] There have also been many instances of solitary civil disobedience, such as that committed by Thoreau, but these sometimes go unnoticed. Thoreau, at the time of his arrest, was not yet a well-known author, and his arrest was not covered in any newspapers in the days, weeks and months after it happened. The tax collector who arrested him rose to higher political office, and Thoreau's essay was not published until after the end of the Mexican War.</t>
  </si>
  <si>
    <t>2002</t>
  </si>
  <si>
    <t>How many public charter schools does the university run?</t>
  </si>
  <si>
    <t>Who has design authority over all of the digital satellite receivers that are capable of using their service?</t>
  </si>
  <si>
    <t>The collection of drawings includes over 10,000 British and 2,000 old master works, including works by: Dürer, Giovanni Benedetto Castiglione, Bernardo Buontalenti, Rembrandt, Antonio Verrio, Paul Sandby, John Russell, Angelica Kauffman, John Flaxman, Hugh Douglas Hamilton, Thomas Rowlandson, William Kilburn, Thomas Girtin, Jean Auguste Dominique Ingres, David Wilkie, John Martin, Samuel Palmer, Sir Edwin Henry Landseer, Lord Frederic Leighton, Sir Samuel Luke Fildes and Aubrey Beardsley. Modern British artists represented in the collection include: Paul Nash, Percy Wyndham Lewis, Eric Gill, Stanley Spencer, John Piper, Graham Sutherland, Lucian Freud and David Hockney.</t>
  </si>
  <si>
    <t>1950s</t>
  </si>
  <si>
    <t>Which department houses the works on paper of the costume collection?</t>
  </si>
  <si>
    <t>state or government</t>
  </si>
  <si>
    <t>mediaeval music</t>
  </si>
  <si>
    <t>When did Singer dispute the graph at a Senate hearing?</t>
  </si>
  <si>
    <t>lipophilic alkaloid toxins</t>
  </si>
  <si>
    <t>On where are most tourist attractions focused in Victoria?</t>
  </si>
  <si>
    <t>one (or more</t>
  </si>
  <si>
    <t>July 1899</t>
  </si>
  <si>
    <t>a handshake between the communicating parties before any user packets are transmitted</t>
  </si>
  <si>
    <t>In what year was the South African Schools Act passed?</t>
  </si>
  <si>
    <t>more expensive</t>
  </si>
  <si>
    <t>A teacher's spark may create a spark where?</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</si>
  <si>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</si>
  <si>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According to the Secret History, Temüjin again offered his friendship to Jamukha, asking him to return to his side. Temüjin had killed the men who betrayed Jamukha, stating that he did not want disloyal men in his army. Jamukha refused the offer of friendship and reunion, saying that there can only be one sun in the sky, and he asked for a noble death. The custom is to die without spilling blood, which is granted by breaking the back. Jamukha requested this form of death, despite the fact that in the past Jamukha had been known to have boiled his opponents' generals alive.</t>
  </si>
  <si>
    <t>"Jenggis</t>
  </si>
  <si>
    <t>Le grand asks for a variance of what three terms?</t>
  </si>
  <si>
    <t>What does the highest level of the Vistula plateau contain?</t>
  </si>
  <si>
    <t>Who founded Woodward Park?</t>
  </si>
  <si>
    <t>Jochi died in 1226, during his father's lifetime. Some scholars, notably Ratchnevsky, have commented on the possibility that Jochi was secretly poisoned by an order from Genghis Khan. Rashid al-Din reports that the great Khan sent for his sons in the spring of 1223, and while his brothers heeded the order, Jochi remained in Khorasan. Juzjani suggests that the disagreement arose from a quarrel between Jochi and his brothers in the siege of Urgench. Jochi had attempted to protect Urgench from destruction, as it belonged to territory allocated to him as a fief. He concludes his story with the clearly apocryphal statement by Jochi: "Genghis Khan is mad to have massacred so many people and laid waste so many lands. I would be doing a service if I killed my father when he is hunting, made an alliance with Sultan Muhammad, brought this land to life and gave assistance and support to the Muslims." Juzjani claims that it was in response to hearing of these plans that Genghis Khan ordered his son secretly poisoned; however, as Sultan Muhammad was already dead in 1223, the accuracy of this story is questionable.</t>
  </si>
  <si>
    <t>Atlanta Falcons</t>
  </si>
  <si>
    <t>Who would generally teach from a work like the Quran, Torah or Bible?</t>
  </si>
  <si>
    <t>What typically involves mass production of similar items without a designated purchaser?</t>
  </si>
  <si>
    <t>What did the Gulf War inadvertently do in the early 1990s?</t>
  </si>
  <si>
    <t>What exists between fundamentalist Islamism and reformist Islamism?</t>
  </si>
  <si>
    <t>What would a Preschool teacher make, salary-wise?</t>
  </si>
  <si>
    <t>3:08</t>
  </si>
  <si>
    <t>his generals</t>
  </si>
  <si>
    <t>Who were later Yuan emperors isolated from?</t>
  </si>
  <si>
    <t>Momus</t>
  </si>
  <si>
    <t>How was Tesla's mechanical oscillator powered?</t>
  </si>
  <si>
    <t>Northern San Diego</t>
  </si>
  <si>
    <t>What was Tesla's position with Westinghouse?</t>
  </si>
  <si>
    <t>every five years</t>
  </si>
  <si>
    <t>Decisions in-between the four-year meetings are made by the Mission Council (usually consisting of church bishops). One of the most high profile decisions in recent years by one of the councils was a decision by the Mission Council of the South Central Jurisdiction which in March 2007 approved a 99-year lease of 36 acres (150,000 m2) at Southern Methodist University for the George W. Bush Presidential Library. The decision generated controversy in light of Bush's support of the Iraq War which the church bishops have criticized. A debate over whether the decision should or could be submitted for approval by the Southern Jurisdictional Conference at its July 2008 meeting in Dallas, Texas, remains unresolved.</t>
  </si>
  <si>
    <t>When was the paper published that the "Millennial Northern Hemisphere temperature reconstruction" graph was based on?</t>
  </si>
  <si>
    <t>The French and Indian War was the New World aspect of what European conflict?</t>
  </si>
  <si>
    <t>capacity to exaggerate</t>
  </si>
  <si>
    <t>residential and non-residential (commercial/institutional)</t>
  </si>
  <si>
    <t>environment in which they lived</t>
  </si>
  <si>
    <t>When a T-cell encounters a foreign pathogen, it extends a vitamin D receptor. This is essentially a signaling device that allows the T-cell to bind to the active form of vitamin D, the steroid hormone calcitriol. 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Only after binding to calcitriol can T-cells perform their intended function. Other immune system cells that are known to express CYP27B1 and thus activate vitamin D calcidiol, are dendritic cells, keratinocytes and macrophages.</t>
  </si>
  <si>
    <t>What has been characterized as Arminian theology with an emphasis on the work of the Holy Spirit?</t>
  </si>
  <si>
    <t>the AKS primality test</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</si>
  <si>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</si>
  <si>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language is used in Chinese secondary schools in Malaysia?</t>
  </si>
  <si>
    <t>University of North Florida</t>
  </si>
  <si>
    <t>1 February 2007</t>
  </si>
  <si>
    <t>What techniques can be used to determine paleotopography?</t>
  </si>
  <si>
    <t>Who did play-by-play on Westwood One?</t>
  </si>
  <si>
    <t>What is the proprietary system that Sky+HD uses?</t>
  </si>
  <si>
    <t>problem in C is harder than X</t>
  </si>
  <si>
    <t>What is the name of an algebraic structure in which addition, subtraction and multiplication are defined?</t>
  </si>
  <si>
    <t>Children's Memorial Health Institute</t>
  </si>
  <si>
    <t>When was Doctor Who viewing at its highest level?</t>
  </si>
  <si>
    <t>What amendment to the United States Constitution governs government funding of religious schools?</t>
  </si>
  <si>
    <t>the Alps</t>
  </si>
  <si>
    <t>using sickles to deflate one of the large domes covering two satellite dishes</t>
  </si>
  <si>
    <t>universities</t>
  </si>
  <si>
    <t>temporal authorities</t>
  </si>
  <si>
    <t>Which two compounds did Al-Muwaffaq differentiate between?</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</si>
  <si>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</si>
  <si>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A replica of what landmark was present at Super Bowl Opening Night?</t>
  </si>
  <si>
    <t>What entity did ABC sell KXYZ to in 1983?</t>
  </si>
  <si>
    <t>powerful magnet</t>
  </si>
  <si>
    <t>What do a great majority of rocks sampled from the moon show?</t>
  </si>
  <si>
    <t>What gearing was used on steam turbine marine engines in the 20th century?</t>
  </si>
  <si>
    <t>disappearance</t>
  </si>
  <si>
    <t>What earlier hymn was Luther's  adapted from?</t>
  </si>
  <si>
    <t>in his mind.</t>
  </si>
  <si>
    <t>University of Paris</t>
  </si>
  <si>
    <t>Between Brakel and what other city can the most landward tidal influence be detected?</t>
  </si>
  <si>
    <t>dial-up</t>
  </si>
  <si>
    <t>Tang, Song, as well as Khitan Liao and Jurchen Jin dynasties</t>
  </si>
  <si>
    <t>When did Tesla first encounter Alfred S. Brown</t>
  </si>
  <si>
    <t>700,000</t>
  </si>
  <si>
    <t xml:space="preserve">How did scientists assess the DNA/RNA of yersinia pestis? </t>
  </si>
  <si>
    <t>poor management, internal divisions, and effective Canadian scouts, French regular forces, and Indian warrior allies</t>
  </si>
  <si>
    <t>Which TFEU article states that states are exempt from infringing on rights of establishment when they exercise official authority?</t>
  </si>
  <si>
    <t>When did he first get out of bed following the accident?</t>
  </si>
  <si>
    <t>When did economists reach a conclusion with the S&amp;P's rating agency?</t>
  </si>
  <si>
    <t>What powers does the Court of Justice of the European Union have in regards to treaties?</t>
  </si>
  <si>
    <t>2012</t>
  </si>
  <si>
    <t>to stay, so long as there was at least an "indirect quid pro quo" for the work he did</t>
  </si>
  <si>
    <t>the disposition of prisoners' personal effects</t>
  </si>
  <si>
    <t>What did "The Holy Club's" teachings emphasize?</t>
  </si>
  <si>
    <t>Which country is a traditional ally of Israel?</t>
  </si>
  <si>
    <t>ABC became an aggressive competitor to NBC and CBS when, continuing NBC Blue's traditions of public service, it aired symphony performances conducted by Paul Whiteman, performances from the Metropolitan Opera, and jazz concerts aired as part of its broadcast of The Chamber Music Society of Lower Basin Street announced by Milton Cross. The network also became known for such suspenseful dramas as Sherlock Holmes, Gang Busters and Counterspy, as well as several mid-afternoon youth-oriented programs. However, ABC made a name for itself by utilizing the practice of counterprogramming, with which it often placed shows of its own against the offerings of NBC and CBS, adopting the use of the Magnetophon tape recorder, brought to the U.S. from Nazi Germany after its conquest, to pre-record its programming. With the help of the Magnetophon, ABC was able to provide its stars with greater freedom in terms of time, and also attract several big names, such as Bing Crosby at a time when NBC and CBS did not allow pre-taped shows.</t>
  </si>
  <si>
    <t>What actor played the Valeyard?</t>
  </si>
  <si>
    <t>What did the Mongol army throw in their catapults?</t>
  </si>
  <si>
    <t>How long does it take to get to the middle of Newcastle from its outskirts when riding the rails?</t>
  </si>
  <si>
    <t>Several thousand</t>
  </si>
  <si>
    <t>Amazon</t>
  </si>
  <si>
    <t>For the Conservatives, the main disappointment was the loss of Edinburgh Pentlands, the seat of former party leader David McLetchie, to the SNP. McLetchie was elected on the Lothian regional list and the Conservatives suffered a net loss of five seats, with leader Annabel Goldie claiming that their support had held firm. Nevertheless, she too announced she would step down as leader of the party. Cameron congratulated the SNP on their victory but vowed to campaign for the Union in the independence referendum.</t>
  </si>
  <si>
    <t>one</t>
  </si>
  <si>
    <t>ABC Entertainment Group</t>
  </si>
  <si>
    <t>How much time was left in the quarter when Stewart got the touchdown?</t>
  </si>
  <si>
    <t>The Maroons compete in what league division?</t>
  </si>
  <si>
    <t>her weight</t>
  </si>
  <si>
    <t>Who won the battle of Lake George?</t>
  </si>
  <si>
    <t>Lutheran clergy and theologians</t>
  </si>
  <si>
    <t>assassination of US President John F. Kennedy</t>
  </si>
  <si>
    <t>Rhine-Meuse Delta</t>
  </si>
  <si>
    <t>How long as the U.S. government been actively engaged in efforts to counter Islamism?</t>
  </si>
  <si>
    <t>Hero of Alexandria</t>
  </si>
  <si>
    <t>What did Luther do at the end of his speech?</t>
  </si>
  <si>
    <t>What is the title of Edwards book about Luther?</t>
  </si>
  <si>
    <t>NBC</t>
  </si>
  <si>
    <t>health care professional</t>
  </si>
  <si>
    <t>Many changes in the vegetation of the amazon rainforest took place since the  Last Glacial Maximum, which was how many years ago?</t>
  </si>
  <si>
    <t>what did he do for $2 a day?</t>
  </si>
  <si>
    <t>successfully</t>
  </si>
  <si>
    <t>16,000</t>
  </si>
  <si>
    <t>For what type of music was Doctor Who considered a pioneer?</t>
  </si>
  <si>
    <t>What city has the largest inland port in Europe?</t>
  </si>
  <si>
    <t>What are the two ABC affiliates for Grand Rapids Michigan?</t>
  </si>
  <si>
    <t>West Lothian question</t>
  </si>
  <si>
    <t>850</t>
  </si>
  <si>
    <t>What administrative division did Kublai leave unmodified?</t>
  </si>
  <si>
    <t>a closed system of particles</t>
  </si>
  <si>
    <t>What is the position of the satellite that allowed sky to broadcast channels almost elclusively for the United Kingdom?</t>
  </si>
  <si>
    <t>What was one of Luther's most personal writings?</t>
  </si>
  <si>
    <t>Who would the occupation alienate?</t>
  </si>
  <si>
    <t>Tien Shan</t>
  </si>
  <si>
    <t>if its solution requires significant resources</t>
  </si>
  <si>
    <t>current Subject Committees</t>
  </si>
  <si>
    <t>prince Wonjong</t>
  </si>
  <si>
    <t>Shing-Tung Yau</t>
  </si>
  <si>
    <t>more than half</t>
  </si>
  <si>
    <t>42,000 congregations</t>
  </si>
  <si>
    <t>When did the accident occur?</t>
  </si>
  <si>
    <t>41 °C</t>
  </si>
  <si>
    <t>There were many religions practiced during the Yuan dynasty, such as Buddhism, Islam, and Christianity. The establishment of the Yuan dynasty had dramatically increased the number of Muslims in China. However, unlike the western khanates, the Yuan dynasty never converted to Islam. Instead, Kublai Khan, the founder of the Yuan dynasty, favored Buddhism, especially the Tibetan variants. As a result, Tibetan Buddhism was established as the de facto state religion. The top-level department and government agency known as the Bureau of Buddhist and Tibetan Affairs (Xuanzheng Yuan) was set up in Khanbaliq (modern Beijing) to supervise Buddhist monks throughout the empire. Since Kublai Khan only esteemed the Sakya sect of Tibetan Buddhism, other religions became less important. He and his successors kept a Sakya Imperial Preceptor (Dishi) at court. Before the end of the Yuan dynasty, 14 leaders of the Sakya sect had held the post of Imperial Preceptor, thereby enjoying special power. Furthermore, Mongol patronage of Buddhism resulted in a number of monuments of Buddhist art. Mongolian Buddhist translations, almost all from Tibetan originals, began on a large scale after 1300. Many Mongols of the upper class such as the Jalayir and the Oronar nobles as well as the emperors also patronized Confucian scholars and institutions. A considerable number of Confucian and Chinese historical works were translated into the Mongolian language.</t>
  </si>
  <si>
    <t>online pharmacies</t>
  </si>
  <si>
    <t>What is the current status of the Haensch study?</t>
  </si>
  <si>
    <t>the European Court of Justice and the highest national courts</t>
  </si>
  <si>
    <t>René-Robert Cavelier, Sieur de La Salle had explored the Ohio Country nearly a century earlier.</t>
  </si>
  <si>
    <t>melts</t>
  </si>
  <si>
    <t>The plan that the delegates agreed to was never ratified by the colonial legislatures nor approved of by the crown</t>
  </si>
  <si>
    <t>capability of the Command Module's heat shield to survive a trans-lunar reentry</t>
  </si>
  <si>
    <t>would have also produced a single constitutional document</t>
  </si>
  <si>
    <t>The V&amp;A owns the largest collection of which period in sculptural art history?</t>
  </si>
  <si>
    <t>an amorphous area of central Europe</t>
  </si>
  <si>
    <t>more active and lived longer while breathing it</t>
  </si>
  <si>
    <t>a flour mill</t>
  </si>
  <si>
    <t>Besides publishing To the Christian Nobility of the German Nation and On the Babylonian Captivity of the Church, what other work did Luther produce in 1520?</t>
  </si>
  <si>
    <t>help transfer and dissipate excess energy</t>
  </si>
  <si>
    <t>In 1949, ABC had less coverage than what competing networks?</t>
  </si>
  <si>
    <t>the desert</t>
  </si>
  <si>
    <t>What was the defeat of the Arab troops at the hand of the Israeli troops during the Six-Day War?</t>
  </si>
  <si>
    <t>greater than $2 million</t>
  </si>
  <si>
    <t>Ted Ginn Jr.</t>
  </si>
  <si>
    <t>30–75%</t>
  </si>
  <si>
    <t>In the mid-1950s, Frank Burnet, inspired by a suggestion made by Niels Jerne, formulated the clonal selection theory (CST) of immunity. On the basis of CST, Burnet developed a theory of how an immune response is triggered according to the self/nonself distinction: "self" constituents (constituents of the body) do not trigger destructive immune responses, while "nonself" entities (pathogens, an allograft) trigger a destructive immune response. The theory was later modified to reflect new discoveries regarding histocompatibility or the complex "two-signal" activation of T cells. The self/nonself theory of immunity and the self/nonself vocabulary have been criticized, but remain very influential.</t>
  </si>
  <si>
    <t>Ali Shariati</t>
  </si>
  <si>
    <t>What percentage of seats did political parties identifying as Islamist win in the Egyptian parliamentary election of 2011-2012?</t>
  </si>
  <si>
    <t>1421</t>
  </si>
  <si>
    <t>unexplored territory</t>
  </si>
  <si>
    <t>unified front in trade and negotiations with various Indians</t>
  </si>
  <si>
    <t>need for capitalist economies to constantly expand investment, material resources and manpower</t>
  </si>
  <si>
    <t>Gamma delta T cells rearrange TCR genes to produce what?</t>
  </si>
  <si>
    <t>The epidemic in Newcastle was the most what in any British city at the time?</t>
  </si>
  <si>
    <t>kteis 'comb' and φέρω pherō 'carry'</t>
  </si>
  <si>
    <t>unmanned</t>
  </si>
  <si>
    <t>Alfred Wegener</t>
  </si>
  <si>
    <t>Yuán Cháo</t>
  </si>
  <si>
    <t>fasting, long hours in prayer, pilgrimage, and frequent confession</t>
  </si>
  <si>
    <t>After what year was compounding frequently used in marine engines?</t>
  </si>
  <si>
    <t>When did Victoria enact its constitution?</t>
  </si>
  <si>
    <t>A regulation of the Rhine was called for, with an upper canal near Diepoldsau and a lower canal at Fußach, in order to counteract the constant flooding and strong sedimentation in the western Rhine Delta. The Dornbirner Ach had to be diverted, too, and it now flows parallel to the canalized Rhine into the lake. Its water has a darker color than the Rhine; the latter's lighter suspended load comes from higher up the mountains. It is expected that the continuous input of sediment into the lake will silt up the lake. This has already happened to the former Lake Tuggenersee.</t>
  </si>
  <si>
    <t>specialised education and training</t>
  </si>
  <si>
    <t>gender roles and customs</t>
  </si>
  <si>
    <t>parenchyma cells</t>
  </si>
  <si>
    <t>the League of Nations</t>
  </si>
  <si>
    <t>Chinghiz, Chinghis, and Chingiz</t>
  </si>
  <si>
    <t>kidney and bladder stones</t>
  </si>
  <si>
    <t>the method by which the medications are requested and received</t>
  </si>
  <si>
    <t>Chicago Bears</t>
  </si>
  <si>
    <t>near Millingen aan de Rijn</t>
  </si>
  <si>
    <t>Londonistan</t>
  </si>
  <si>
    <t>The Cestida</t>
  </si>
  <si>
    <t>the Pope and the doctrine of transubstantiation</t>
  </si>
  <si>
    <t>isotope ratios of radioactive elements</t>
  </si>
  <si>
    <t>killed many of the Canadians, including their commanding officer, Joseph Coulon de Jumonville</t>
  </si>
  <si>
    <t>a reduction</t>
  </si>
  <si>
    <t>to withstand waves and swirling sediment particles</t>
  </si>
  <si>
    <t>the legitimacy of any government</t>
  </si>
  <si>
    <t>How are chloroplasts similar to mitochondria?</t>
  </si>
  <si>
    <t>Bach</t>
  </si>
  <si>
    <t>What do FtsZ1 and FtsZ2 plus ARC6 form?</t>
  </si>
  <si>
    <t>What were X-rays known as at the time?</t>
  </si>
  <si>
    <t>66–34 Mya</t>
  </si>
  <si>
    <t>John Vanderbank's</t>
  </si>
  <si>
    <t>The Iroquois sent runners to the manor of William Johnson in upstate New York. The British Superintendent for Indian Affairs in the New York region and beyond, Johnson was known to the Iroquois as Warraghiggey, meaning "He who does great things."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"Covenant Chain", a long-standing friendly relationship between the Iroquois Confederacy and the British Crown, was broken.</t>
  </si>
  <si>
    <t>What can the growth elasticity of poverty depend on?</t>
  </si>
  <si>
    <t>administration</t>
  </si>
  <si>
    <t>1775–1795</t>
  </si>
  <si>
    <t>vocational</t>
  </si>
  <si>
    <t>singing in churches</t>
  </si>
  <si>
    <t>Who chartered the British East India Company?</t>
  </si>
  <si>
    <t>a few millimeters to 1.5 m (4 ft 11 in) in size</t>
  </si>
  <si>
    <t>What was the Genghis Khan's characteristic approach to religious diversity?</t>
  </si>
  <si>
    <t>age of 16</t>
  </si>
  <si>
    <t>Over 100 Egyptian police were victims of what group's campaign of terror?</t>
  </si>
  <si>
    <t>Other than its main central  business district, where are the majority of San Diego's business districts located?</t>
  </si>
  <si>
    <t>4 weeks paid</t>
  </si>
  <si>
    <t xml:space="preserve">Which game console could viewers stream the game on? </t>
  </si>
  <si>
    <t>Tyndale Bible.</t>
  </si>
  <si>
    <t>It expanded again during the Middle Miocene, then retracted to a mostly inland formation at the last glacial maximum.</t>
  </si>
  <si>
    <t>Christian Goldbach</t>
  </si>
  <si>
    <t>Is a problem instance typically characterized as abstract or concrete?</t>
  </si>
  <si>
    <t>one advanced course every three years</t>
  </si>
  <si>
    <t>Some scholars, such as Mark U. Edwards in his book Luther's Last Battles: Politics and Polemics 1531–46 (1983), suggest that since Luther's increasingly antisemitic views developed during the years his health deteriorated, it is possible they were at least partly the product of a declining state of mind. Edwards also comments that Luther often deliberately used "vulgarity and violence" for effect, both in his writings condemning the Jews and in diatribes against "Turks" (Muslims) and Catholics.</t>
  </si>
  <si>
    <t>primary education</t>
  </si>
  <si>
    <t>moral issues</t>
  </si>
  <si>
    <t>Who concluded that the rising income inequality gap was not getting better?</t>
  </si>
  <si>
    <t>The Late Show with Stephen Colbert</t>
  </si>
  <si>
    <t>What injury did Thomas Davis suffer from repeatedly, for a total of three times, during his career?</t>
  </si>
  <si>
    <t>successfully accomplished</t>
  </si>
  <si>
    <t>Working versions of 3D-printing building technology are already printing</t>
  </si>
  <si>
    <t>Why did the series end in 2011?</t>
  </si>
  <si>
    <t>a Galilean transformation</t>
  </si>
  <si>
    <t>What did Luther use the hymn to encourage colleagues to do?</t>
  </si>
  <si>
    <t>What television show for ABC was an adaptation of the 1947 film Wyoming Kid?</t>
  </si>
  <si>
    <t>a "boost" in performance</t>
  </si>
  <si>
    <t>affiliated with other Protestant denominations</t>
  </si>
  <si>
    <t>Ed McCaffrey</t>
  </si>
  <si>
    <t>Tesla could be harsh at times and openly expressed disgust for overweight people, such as when he fired a secretary because of her weight.:110 He was quick to criticize clothing; on several occasions, Tesla directed a subordinate to go home and change her dress.:33</t>
  </si>
  <si>
    <t>nothing</t>
  </si>
  <si>
    <t>function problem</t>
  </si>
  <si>
    <t>What cell type is also used for immune response in most types of invertebrate life?</t>
  </si>
  <si>
    <t>FCC v. Pacifica Foundation</t>
  </si>
  <si>
    <t>Some theories of civil disobedience hold that civil disobedience is only justified against governmental entities. Brownlee argues that disobedience in opposition to the decisions of non-governmental agencies such as trade unions, banks, and private universities can be justified if it reflects "a larger challenge to the legal system that permits those decisions to be taken". The same principle, she argues, applies to breaches of law in protest against international organizations and foreign governments.</t>
  </si>
  <si>
    <t>Zones in which mountains are built along convergent tectonic plate boundaries are called what?</t>
  </si>
  <si>
    <t>What band is often regarded as the first folk metal group?</t>
  </si>
  <si>
    <t>introduction of Beroe</t>
  </si>
  <si>
    <t>is greater than 1 and less than or equal to the square root of n</t>
  </si>
  <si>
    <t>Who was the most widely read writer of his generation?</t>
  </si>
  <si>
    <t>1221</t>
  </si>
  <si>
    <t>What's the regional nickname for Newcastle and its surrounding area?</t>
  </si>
  <si>
    <t>Who contributes to Members Business in addition to the proposer?</t>
  </si>
  <si>
    <t>Juveniles</t>
  </si>
  <si>
    <t>How did Luther describe his time in the order?</t>
  </si>
  <si>
    <t>What commission was censured in 1999, and paved the way for Commissioners to abuse their power?</t>
  </si>
  <si>
    <t>The Book of Discipline is the guidebook for local churches and pastors and describes in considerable detail the organizational structure of local United Methodist churches. All UM churches must have a board of trustees with at least three members and no more than nine members and it is recommended that no gender should hold more than a 2/3 majority. All churches must also have a nominations committee, a finance committee and a church council or administrative council. Other committees are suggested but not required such as a missions committee, or evangelism or worship committee. Term limits are set for some committees but not for all. The church conference is an annual meeting of all the officers of the church and any interested members. This committee has the exclusive power to set pastors' salaries (compensation packages for tax purposes) and to elect officers to the committees.</t>
  </si>
  <si>
    <t>What is the low end of the temperature range in summer?</t>
  </si>
  <si>
    <t>What is the most feared condition that divers want to avoid?</t>
  </si>
  <si>
    <t>Who is viewed as the first modern geologist?</t>
  </si>
  <si>
    <t>allegedly corrupt machinations of François Bigot</t>
  </si>
  <si>
    <t>In which year was the John Jones Collection left to the museum?</t>
  </si>
  <si>
    <t>1965–66</t>
  </si>
  <si>
    <t>When did Luther write the Large Catechism?</t>
  </si>
  <si>
    <t>storage methods</t>
  </si>
  <si>
    <t>When John Fox left as head coach for the Broncos, who replaced him?</t>
  </si>
  <si>
    <t>J.I. Pontanus</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</si>
  <si>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</si>
  <si>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t>
  </si>
  <si>
    <t>When was his article published in Century Magazine?</t>
  </si>
  <si>
    <t>For how long did the plague stick around?</t>
  </si>
  <si>
    <t>firms engaged in managing construction projects without assuming direct financial responsibility for completion of the construction project</t>
  </si>
  <si>
    <t>Who disliked the affiliate program?</t>
  </si>
  <si>
    <t>as much as 50%</t>
  </si>
  <si>
    <t>gold</t>
  </si>
  <si>
    <t>September 1969</t>
  </si>
  <si>
    <t>What  does ozone's characteristic to cause damage effect?</t>
  </si>
  <si>
    <t>Mongols beyond the Middle Kingdom saw them as too Chinese</t>
  </si>
  <si>
    <t>Who cannot be employed by a school in any manner?</t>
  </si>
  <si>
    <t>major</t>
  </si>
  <si>
    <t>no damage</t>
  </si>
  <si>
    <t>What radio station did ABC purchase in May 1960?</t>
  </si>
  <si>
    <t>sending an email to the Lebanon</t>
  </si>
  <si>
    <t>What are the two primary constitutional sources of the European Union?</t>
  </si>
  <si>
    <t>What variable is associated with all problems solved within logarithmic space?</t>
  </si>
  <si>
    <t>Kaifeng,</t>
  </si>
  <si>
    <t>continental European countries</t>
  </si>
  <si>
    <t>What Nobel Memorial Prize in Economic Sciences winner is also a university alumni member?</t>
  </si>
  <si>
    <t>1749</t>
  </si>
  <si>
    <t>straight down</t>
  </si>
  <si>
    <t>Budget cuts</t>
  </si>
  <si>
    <t>10th century</t>
  </si>
  <si>
    <t>What did his design avoid in not having a commutator?</t>
  </si>
  <si>
    <t>Since NASA didn't know how many attempts each test would end up requiring, what did they use instead of numbers for the trials?</t>
  </si>
  <si>
    <t>Which organic compounds contain the greatest amount of oxygen by mass?</t>
  </si>
  <si>
    <t>Which river joins the Rhine in Duisburg?</t>
  </si>
  <si>
    <t>What was the number of 17 interceptions that Peyton Manning had by end of the year?</t>
  </si>
  <si>
    <t>What series years are available on Blu-ray?</t>
  </si>
  <si>
    <t>between 1835 and 1842</t>
  </si>
  <si>
    <t>Under Goldenson's merger plan, what would the new entity be named?</t>
  </si>
  <si>
    <t>Passenger rail service is provided by Amtrak San Joaquins. The main passenger rail station is the recently renovated historic Santa Fe Railroad Depot in Downtown Fresno. The Bakersfield-Stockton mainlines of the Burlington Northern Santa Fe Railway and Union Pacific Railroad railroads cross in Fresno, and both railroads maintain railyards within the city; the San Joaquin Valley Railroad also operates former Southern Pacific branchlines heading west and south out of the city. The city of Fresno is planned to serve the future California High Speed Rail.</t>
  </si>
  <si>
    <t>In 1962, graphic designer Paul Rand redesigned the ABC logo into its best-known (and current) form, with the lowercase letters "abc" enclosed in a single black circle. The new logo debuted on-air for ABC's promos at the start of the 1963–64 season. The letters are strongly reminiscent of the Bauhaus typeface designed by Herbert Bayer in the 1920s, but also share similarities with several other fonts, such as ITC Avant Garde and Horatio, and most closely resembling Chalet. The logo's simplicity made it easier to redesign and duplicate, which conferred a benefit for ABC (mostly before the advent of computer graphics).</t>
  </si>
  <si>
    <t>phagolysosome</t>
  </si>
  <si>
    <t>protect the King's land in the Ohio Valley</t>
  </si>
  <si>
    <t>Jochi</t>
  </si>
  <si>
    <t>Pitt</t>
  </si>
  <si>
    <t>New Guinea</t>
  </si>
  <si>
    <t>infringed on democratic freedoms</t>
  </si>
  <si>
    <t>178</t>
  </si>
  <si>
    <t>What did a 1996 study by Perotti examine?</t>
  </si>
  <si>
    <t>business districts</t>
  </si>
  <si>
    <t>What was the dominant housing template when industrial centres were growing the fastest?</t>
  </si>
  <si>
    <t>the contemporary Orient</t>
  </si>
  <si>
    <t>BBC Dead Ringers</t>
  </si>
  <si>
    <t>tax system</t>
  </si>
  <si>
    <t>Gemini</t>
  </si>
  <si>
    <t>How many fraternities are apart of the university?</t>
  </si>
  <si>
    <t>Not all cells in a multicellular plant contain chloroplasts. All green parts of a plant contain chloroplasts—the chloroplasts, or more specifically, the chlorophyll in them are what make the photosynthetic parts of a plant green. The plant cells which contain chloroplasts are usually parenchyma cells, though chloroplasts can also be found in collenchyma tissue. A plant cell which contains chloroplasts is known as a chlorenchyma cell. A typical chlorenchyma cell of a land plant contains about 10 to 100 chloroplasts.</t>
  </si>
  <si>
    <t>What amount of bird species on earth are found in the Amazon rainforest?</t>
  </si>
  <si>
    <t>decompression sickness (the 'bends')</t>
  </si>
  <si>
    <t>Disney-ABC Television group implemented restrictions for Hulu and WATCH ABC that made episodes available only after how many days after initial broadcast?</t>
  </si>
  <si>
    <t>Who applies expertise to relate the work and materials involved to a proper valuation?</t>
  </si>
  <si>
    <t>What type of treatment are pharmacists important for?</t>
  </si>
  <si>
    <t>What institute did the university announced to everyone in 2008?</t>
  </si>
  <si>
    <t>How did Luther express the destruction?</t>
  </si>
  <si>
    <t>What is the term for a hyperactive immune system that attacks normal tissues?</t>
  </si>
  <si>
    <t>The formal language associated with this decision problem</t>
  </si>
  <si>
    <t>The zeta function is closely related to prime numbers. For example, the aforementioned fact that there are infinitely many primes can also be seen using the zeta function: if there were only finitely many primes then ζ(1) would have a finite value. However, the harmonic series 1 + 1/2 + 1/3 + 1/4 + ... diverges (i.e., exceeds any given number), so there must be infinitely many primes. Another example of the richness of the zeta function and a glimpse of modern algebraic number theory is the following identity (Basel problem), due to Euler,</t>
  </si>
  <si>
    <t>Is corporal punishment increasing or declining in the South?</t>
  </si>
  <si>
    <t>matching white jerseys</t>
  </si>
  <si>
    <t>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"other side" of the conflict from formally negotiated agreements, as most tribes were decentralized and bands made their own decisions about warfare.</t>
  </si>
  <si>
    <t>What causes the population of ctenophora to grow at an explosive rate?</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</si>
  <si>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 and may decide to remove them at any time – the formal appointment or dismissal is made by the Sovereign.</t>
  </si>
  <si>
    <t>1% to 3%</t>
  </si>
  <si>
    <t>The T. T. Tsui Gallery of Chinese art</t>
  </si>
  <si>
    <t>not restored by the communist authorities</t>
  </si>
  <si>
    <t>What did they want the educational system to be?</t>
  </si>
  <si>
    <t>the Battle of Hastings</t>
  </si>
  <si>
    <t>Sheepshanks Gallery</t>
  </si>
  <si>
    <t>27 July 2008</t>
  </si>
  <si>
    <t>How much did the second stage increase thrust by with the integration of the S-IVB-200?</t>
  </si>
  <si>
    <t>final vote</t>
  </si>
  <si>
    <t>Jellyfish and sea anemones belong to which group/</t>
  </si>
  <si>
    <t>When did the rivalry between Westinghouse and Edison reach its peak?</t>
  </si>
  <si>
    <t>Long Island</t>
  </si>
  <si>
    <t>Latin Mass</t>
  </si>
  <si>
    <t>the police and the armed forces</t>
  </si>
  <si>
    <t>How many Panthers players were selected to the Pro Bowl?</t>
  </si>
  <si>
    <t>sword</t>
  </si>
  <si>
    <t>writing of an English translation</t>
  </si>
  <si>
    <t>Qara Khitai</t>
  </si>
  <si>
    <t>New Year</t>
  </si>
  <si>
    <t>In what year did ABC stop using it's four-note jingle for promotion?</t>
  </si>
  <si>
    <t>What is Michael Carrick and Alan Shearer's profession?</t>
  </si>
  <si>
    <t>John W. Weeks Bridge</t>
  </si>
  <si>
    <t>Who mentored Buyantu?</t>
  </si>
  <si>
    <t>Who gave Genghis Khan the title Khadan?</t>
  </si>
  <si>
    <t>720p</t>
  </si>
  <si>
    <t>plug-n-play</t>
  </si>
  <si>
    <t xml:space="preserve">What color are the numbers in the Super Bowl 50 logo? </t>
  </si>
  <si>
    <t>oxygen tank explosion</t>
  </si>
  <si>
    <t>What type of physics model did Einstein fail to make?</t>
  </si>
  <si>
    <t>Who did the Parliament rent additional buildings from?</t>
  </si>
  <si>
    <t>What other location did Apollo 1 test at besides Kennedy Space Center?</t>
  </si>
  <si>
    <t>Enric Miralles</t>
  </si>
  <si>
    <t>Harris School of Public Policy Studies</t>
  </si>
  <si>
    <t>a dimensional constant</t>
  </si>
  <si>
    <t>Amazonas Basin</t>
  </si>
  <si>
    <t>What organization did General Gaafar al-Nimeiry invite members of to serve in his government?</t>
  </si>
  <si>
    <t>Leonard Bernstein</t>
  </si>
  <si>
    <t>26-yard line</t>
  </si>
  <si>
    <t>Who kept tabs on the accident review board that NASA created?</t>
  </si>
  <si>
    <t>142 pounds (64 kg)</t>
  </si>
  <si>
    <t>Benjamin Lamme</t>
  </si>
  <si>
    <t>Luther</t>
  </si>
  <si>
    <t>atmospheric</t>
  </si>
  <si>
    <t>high rates</t>
  </si>
  <si>
    <t>In his extensively detailed report, Céloron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</si>
  <si>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Why has Warsaw seen many improvements over the past decade?</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</si>
  <si>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</si>
  <si>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Premier</t>
  </si>
  <si>
    <t>clasts</t>
  </si>
  <si>
    <t>What did ABC do that was special in 2003?</t>
  </si>
  <si>
    <t>What did Dalton think the atomic ratios were between atoms in compounds?</t>
  </si>
  <si>
    <t>What are cilia used for?</t>
  </si>
  <si>
    <t>Which country's cars became more highly sought after as they were more fuel efficient?</t>
  </si>
  <si>
    <t>What was the one linear HD channel Virgin Media carried from November 2006 to July 2009?</t>
  </si>
  <si>
    <t>What Shakespeare Scholar is a faculty member at Harvard?</t>
  </si>
  <si>
    <t>held at the Lovely Lane Methodist Church</t>
  </si>
  <si>
    <t>zeta</t>
  </si>
  <si>
    <t>Who contends that Luther did not intend to oppose the church?</t>
  </si>
  <si>
    <t>both PNU and ODM camps</t>
  </si>
  <si>
    <t>all-Gemini veteran</t>
  </si>
  <si>
    <t>Who said Tesla had a "distinguished sweetness"?</t>
  </si>
  <si>
    <t>two</t>
  </si>
  <si>
    <t>Why is it difficult to resolve disagreements about the changes in the Amazon rainforest?</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</si>
  <si>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</si>
  <si>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In what show did Murray Gold modify the closing credits theme?</t>
  </si>
  <si>
    <t>Cydippid ctenophores have bodies that are more or less rounded, sometimes nearly spherical and other times more cylindrical or egg-shaped; the common coastal "sea gooseberry," Pleurobrachia, sometimes has an egg-shaped body with the mouth at the narrow end, although some individuals are more uniformly round. From opposite sides of the body extends a pair of long, slender tentacles, each housed in a sheath into which it can be withdrawn. Some species of cydippids have bodies that are flattened to various extents, so that they are wider in the plane of the tentacles.</t>
  </si>
  <si>
    <t>What is typically used to broadly define complexity measures?</t>
  </si>
  <si>
    <t>What is the origin of clinical pharmacy?</t>
  </si>
  <si>
    <t>Ofcom</t>
  </si>
  <si>
    <t>In 1755, six colonial governors in North America met with General Edward Braddock, the newly arrived British Army commander, and planned a four-way attack on the French. None succeeded and the main effort by Braddock was a disaster; he was defeated in the Battle of the Monongahela on July 9, 1755 and died a few days later. British operations in 1755, 1756 and 1757 in the frontier areas of Pennsylvania and New York all failed, due to a combination of poor management, internal divisions, and effective Canadian scouts, French regular forces, and Indian warrior allies. In 1755, the British captured Fort Beauséjour on the border separating Nova Scotia from Acadia; soon afterward they ordered the expulsion of the Acadians. Orders for the deportation were given by William Shirley, Commander-in-Chief, North America, without direction from Great Britain. The Acadians, both those captured in arms and those who had sworn the loyalty oath to His Britannic Majesty, were expelled. Native Americans were likewise driven off their land to make way for settlers from New England.</t>
  </si>
  <si>
    <t>A wide selection of serials are available from BBC Video on DVD, on sale in the United Kingdom, Australia, Canada and the United States. Every fully extant serial has been released on VHS, and BBC Worldwide continues to regularly release serials on DVD. The 2005 series is also available in its entirety on UMD for the PlayStation Portable. Eight original series serials have been released on Laserdisc and many have also been released on Betamax tape and Video 2000. One episode of Doctor Who (The Infinite Quest) was released on VCD. Only the series from 2009 onwards are available on Blu-ray, except for the 1970 story Spearhead from Space, released in July 2013. Many early releases have been re-released as special editions, with more bonus features.</t>
  </si>
  <si>
    <t>adjacency matrices</t>
  </si>
  <si>
    <t>summer of 1521</t>
  </si>
  <si>
    <t>April 23, 1968</t>
  </si>
  <si>
    <t>Compared to the rest of Florida, how does Jacksonville's Filipino population rank?</t>
  </si>
  <si>
    <t>What is the exact date of the V&amp;A's official opening?</t>
  </si>
  <si>
    <t>outcome</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</si>
  <si>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</si>
  <si>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Which book by Edward Said portrayed the east as being the "others?"</t>
  </si>
  <si>
    <t>Which committee made an effort to invite companies owned by people, who are transgender or gay, to take part in contract business associated with Super Bowl 50.</t>
  </si>
  <si>
    <t xml:space="preserve">How was the Dutch name for the Rhine originally spelled? </t>
  </si>
  <si>
    <t>an educational process or da'wah</t>
  </si>
  <si>
    <t>How many chloroplast lineages are there?</t>
  </si>
  <si>
    <t>What did the 18th century Huguenot group call themselves?</t>
  </si>
  <si>
    <t>What does the Secretariat Wing house?</t>
  </si>
  <si>
    <t>ruthless workings</t>
  </si>
  <si>
    <t>ESPN</t>
  </si>
  <si>
    <t>What was the number of solo tackles that Von Miller had in Super Bowl 50?</t>
  </si>
  <si>
    <t>three-stage</t>
  </si>
  <si>
    <t>Christopher Hay and Douglas Coyne</t>
  </si>
  <si>
    <t>chateau of Montal</t>
  </si>
  <si>
    <t>Mercury astronaut</t>
  </si>
  <si>
    <t>Fort Le Boeuf (present-day Waterford, Pennsylvania</t>
  </si>
  <si>
    <t>time and space</t>
  </si>
  <si>
    <t>In July 1968, ABC Radio launched a special programming project for its FM stations, which was spearheaded by Allen Shaw, a former program manager at WCFL in Chicago who was approached by ABC Radio president Harold L. Neal to develop a format to compete with the new progressive rock and DJ-helmed stations. The new concept called "LOVE Radio", which featured a limited selection of music genres, was launched on ABC's seven owned-and-operated FM stations in late November 1968; the concept replaced nearly all of the programming provided by these stations; however, several affiliates (such as KXYZ) retained the majority of their content. In August 1970, Shaw announced that ABC FM's music choice policy should be reviewed to allow listeners access to many styles of music.</t>
  </si>
  <si>
    <t>When did the Venetians take total control of Cyprus?</t>
  </si>
  <si>
    <t>Art Deco style</t>
  </si>
  <si>
    <t>1892 to 1894</t>
  </si>
  <si>
    <t>Which of ABC's main production facilities is located in New York City?</t>
  </si>
  <si>
    <t>Primitive jawless vertebrates possess an array of receptors referred to as what?</t>
  </si>
  <si>
    <t>are disturbed,</t>
  </si>
  <si>
    <t>houses the offices and board room etc. and is not open to the public</t>
  </si>
  <si>
    <t>more or less rounded</t>
  </si>
  <si>
    <t>How long did it take for Thoreau's disobedience to be known?</t>
  </si>
  <si>
    <t>end of October 2006</t>
  </si>
  <si>
    <t>What company was in its last year for getting Super Bowl commercials at a big discount?</t>
  </si>
  <si>
    <t>mujahideen</t>
  </si>
  <si>
    <t>the 2015 season</t>
  </si>
  <si>
    <t>How is civil disobedience typically defined in connection of the citizen's?</t>
  </si>
  <si>
    <t>The Hoppings</t>
  </si>
  <si>
    <t>What was Dalton's erroneous formula for water?</t>
  </si>
  <si>
    <t>Which kicker had a portion of the turf collapse, causing him to miss a field goal?</t>
  </si>
  <si>
    <t>Manhattan's lower east side</t>
  </si>
  <si>
    <t>Since what year did the university offer a doctorate in music composition?</t>
  </si>
  <si>
    <t>What is the name of one type of prime where p+1 or p-1 takes a certain shape?</t>
  </si>
  <si>
    <t>Informal imperialism is still dominant; however, less what?</t>
  </si>
  <si>
    <t>rock units</t>
  </si>
  <si>
    <t>New techniques of building construction are being researched, made possible by advances in what?</t>
  </si>
  <si>
    <t>a plug valve</t>
  </si>
  <si>
    <t>Parliament of Victoria</t>
  </si>
  <si>
    <t>In 2004, ABC's average viewership declined by ten ratings points, landing the network in fourth place, behind NBC, CBS and Fox (by the following year, the combined season-ending average audience share of ABC, NBC and CBS represented only 32% of U.S. households). However, during the 2004–05 season, the network experienced unexpected success with new series such as Desperate Housewives, Lost and Grey's Anatomy as well as reality series Dancing with the Stars, which helped ABC rise to second place, jumping ahead of CBS, but behind a surging Fox. On April 21, 2004, Disney announced a restructuring of its Disney Media Networks division with Anne Sweeney being named president of ABC parent Disney–ABC Television Group, and ESPN president George Bodenheimer becoming co-CEO of the division with Sweeney, as well as president of ABC Sports. On December 7, 2005, ABC Sports and ESPN signed an eight-year broadcast rights agreement with NASCAR, allowing ABC and ESPN to broadcast 17 Nextel Cup races each season (comprising just over half of the 36 races held annually) effective with the 2006 season.</t>
  </si>
  <si>
    <t xml:space="preserve">What event would necessitate airline passengers to need a supplemental supply of oxygen? </t>
  </si>
  <si>
    <t>May 9, 1960</t>
  </si>
  <si>
    <t>Who had the most rushing yards on the Broncos?</t>
  </si>
  <si>
    <t>Starr</t>
  </si>
  <si>
    <t>Coleman</t>
  </si>
  <si>
    <t>What happened to prompt NASA to record over archived magnetic tapes?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</si>
  <si>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</si>
  <si>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When were Joseph Schumpeter and Norman Angell at their most prolific writing period?</t>
  </si>
  <si>
    <t>Who deployed its army into Afghanistan in 1979?</t>
  </si>
  <si>
    <t>Who hired Tesla in 1888?</t>
  </si>
  <si>
    <t>Pierre L'Oyseleur</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</si>
  <si>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</si>
  <si>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Where was the Feb 2010 call for change published?</t>
  </si>
  <si>
    <t>Type II</t>
  </si>
  <si>
    <t>Lower</t>
  </si>
  <si>
    <t>phagosome</t>
  </si>
  <si>
    <t>What have Muslims praised Hamas for doing?</t>
  </si>
  <si>
    <t>David Suzuki</t>
  </si>
  <si>
    <t>How long did Western Europe control Cyprus?</t>
  </si>
  <si>
    <t>How many actors have played Doctor Who?</t>
  </si>
  <si>
    <t>All uses</t>
  </si>
  <si>
    <t>What is another way to state the condition that infinitely many primes can exist only if a and q are coprime?</t>
  </si>
  <si>
    <t>Johann Gerhard</t>
  </si>
  <si>
    <t>What are the three main sources of European Union law?</t>
  </si>
  <si>
    <t>limited forces</t>
  </si>
  <si>
    <t>declining</t>
  </si>
  <si>
    <t>French Church Street is in what Irish town?</t>
  </si>
  <si>
    <t>the high risk of a conflict of interest and/or the avoidance of absolute powers</t>
  </si>
  <si>
    <t>Tesla Electric Company</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</si>
  <si>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</si>
  <si>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Los Angeles</t>
  </si>
  <si>
    <t>‘combs’ – groups of cilia</t>
  </si>
  <si>
    <t>torn down in 1904</t>
  </si>
  <si>
    <t>rudimentary</t>
  </si>
  <si>
    <t>What is a way you can show police officers civil disobedience ?</t>
  </si>
  <si>
    <t>What is the most elemental way to test the primality of any integer n?</t>
  </si>
  <si>
    <t>The two most prominent Norman families to arrive in the Mediterranean were descendants of Tancred of Hauteville and the Drengot family, of whom Rainulf Drengot received the county of Aversa, the first Norman toehold in the south, from Duke Sergius IV of Naples in 1030. The Hauteville family achieved princely rank by proclaiming prince Guaimar IV of Salerno "Duke of Apulia and Calabria". He promptly awarded their elected leader, William Iron Arm, with the title of count in his capital of Melfi. The Drengot family thereafter attained the principality of Capua, and emperor Henry III legally ennobled the Hauteville leader, Drogo, as "dux et magister Italiae comesque Normannorum totius Apuliae et Calabriae" ("Duke and Master of Italy and Count of the Normans of all Apulia and Calabria") in 1047.</t>
  </si>
  <si>
    <t>8,646</t>
  </si>
  <si>
    <t>public service</t>
  </si>
  <si>
    <t>2020</t>
  </si>
  <si>
    <t>Reuben Townroe</t>
  </si>
  <si>
    <t>How many Medieval Warm Period reconstructions were used?</t>
  </si>
  <si>
    <t>How much did the IPCC Third Assessment Report say sea levels will rise from 1990 to 2100?</t>
  </si>
  <si>
    <t>quite complex</t>
  </si>
  <si>
    <t>well before Braddock's departure for North America</t>
  </si>
  <si>
    <t>What UN organizations established the IPCC?</t>
  </si>
  <si>
    <t>a 4-week period</t>
  </si>
  <si>
    <t>Who did Newton complete a 45 yard pass to on the opening drive of the second half?</t>
  </si>
  <si>
    <t>What has a negative influence over the US economy?</t>
  </si>
  <si>
    <t>Manned Spacecraft Center</t>
  </si>
  <si>
    <t>What was the occasion when he claimed he'd made the death ray?</t>
  </si>
  <si>
    <t>Which NFL team won Super Bowl 50?</t>
  </si>
  <si>
    <t>What system has an impact on income inequality?</t>
  </si>
  <si>
    <t>Who did ABC sell it's recording division to in 1979?</t>
  </si>
  <si>
    <t>Who stripped the ball from Newton on a 3rd and nine?</t>
  </si>
  <si>
    <t>they have two cell membranes</t>
  </si>
  <si>
    <t>Theories on imperialism use which country as a model?</t>
  </si>
  <si>
    <t>January 1964, until it achieved the first manned landing in July 1969</t>
  </si>
  <si>
    <t>What type of fossils were found in China?</t>
  </si>
  <si>
    <t>antagonistic</t>
  </si>
  <si>
    <t>often damaging</t>
  </si>
  <si>
    <t>trial and rehabilitation of Joan of Arc</t>
  </si>
  <si>
    <t>Why were vocational subjects most important?</t>
  </si>
  <si>
    <t>accompanying documents – Explanatory Notes</t>
  </si>
  <si>
    <t>unmarked grave somewhere in Mongolia</t>
  </si>
  <si>
    <t>In what episode did Doctor Who get a new cycle of regenerations?</t>
  </si>
  <si>
    <t>The Rhine-Meuse Delta, the most important natural region of the Netherlands begins near Millingen aan de Rijn, close to the Dutch-German border with the division of the Rhine into Waal and Nederrijn. Since the Rhine contributes most of the water, the shorter term Rhine Delta is commonly used. However, this name is also used for the river delta where the Rhine flows into Lake Constance, so it is clearer to call the larger one Rhine-Meuse delta, or even Rhine–Meuse–Scheldt delta, as the Scheldt ends in the same delta.</t>
  </si>
  <si>
    <t>the temperance movement</t>
  </si>
  <si>
    <t>church government under the temporal sovereign</t>
  </si>
  <si>
    <t>What is the name of the largest indoor shopping centre in Europe?</t>
  </si>
  <si>
    <t>Where does the pupil remain while in detention</t>
  </si>
  <si>
    <t>between 8 to 10 miles per day</t>
  </si>
  <si>
    <t>What was the last Doctor Who episode that Dudley Simpson wrote music for?</t>
  </si>
  <si>
    <t>How large across are chloroplasts in land plants?</t>
  </si>
  <si>
    <t>In what year was same-sex marriage legalized nationwide?</t>
  </si>
  <si>
    <t>What continent are the Canarian Islands off the coast of?</t>
  </si>
  <si>
    <t>between the time of publication of the Domesday Book and the year 1377</t>
  </si>
  <si>
    <t>first FCC-licensed public data network</t>
  </si>
  <si>
    <t>magma or lava flows</t>
  </si>
  <si>
    <t>missile gap</t>
  </si>
  <si>
    <t>almost a million people</t>
  </si>
  <si>
    <t>NYPD Blue</t>
  </si>
  <si>
    <t>MacCulloch</t>
  </si>
  <si>
    <t>Brocard's</t>
  </si>
  <si>
    <t>A tundra</t>
  </si>
  <si>
    <t>United Methodist Book of Worship</t>
  </si>
  <si>
    <t>How fast were the winds around St. Augustine in the 1964 hurricane?</t>
  </si>
  <si>
    <t>Harrods</t>
  </si>
  <si>
    <t>first Director</t>
  </si>
  <si>
    <t>the Annual Conference Cabinet</t>
  </si>
  <si>
    <t>The antichrist of 2 Thessalonians 2</t>
  </si>
  <si>
    <t>How many floors are there in the building that was completed in 1967?</t>
  </si>
  <si>
    <t>The original logo</t>
  </si>
  <si>
    <t>about 3,000 miles</t>
  </si>
  <si>
    <t>15 Saturn V rockets</t>
  </si>
  <si>
    <t>Most schools established by the UMC are members of what group?</t>
  </si>
  <si>
    <t>Which two British sculptors are now represented with the opening of the new galleries?</t>
  </si>
  <si>
    <t>innate immune system versus the adaptive immune system</t>
  </si>
  <si>
    <t>Rhine Delta</t>
  </si>
  <si>
    <t>On July 31, 1995</t>
  </si>
  <si>
    <t>What was originally on the spacesuits prior to the clear "fishbowl" helmet?</t>
  </si>
  <si>
    <t>According to Lenin why must capitalistic countries have an imperialistic policy?</t>
  </si>
  <si>
    <t>Encoded Archival Description (EAD)</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</si>
  <si>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</si>
  <si>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The tapestry collection includes a fragment of the Cloth of St Gereon, the oldest known surviving European tapestry. A highlight of the collection is the four Devonshire Hunting Tapestries, very rare 15th-century tapestries, woven in the Netherlands, depicting the hunting of various animals; not just their age but their size make these unique. Both of the major English centres of tapestry weaving of the 16th and 17th centuries respectively, Sheldon &amp; Mortlake are represented in the collection by several examples. Also included are tapestries from John Vanderbank's workshop which was the leading English tapestry manufactory in the late 17th century and early 18th century. Some of the finest tapestries are examples from the Gobelins workshop, including a set of 'Jason and the Argonauts' dating from the 1750s. Other continental centres of tapestry weaving with work in the collection include Brussels, Tournai, Beauvais, Strasbourg and Florence.</t>
  </si>
  <si>
    <t>nuclear</t>
  </si>
  <si>
    <t>The IPCC process on climate change and its efficiency and success has been compared with dealings with other environmental challenges (compare Ozone depletion and global warming). In case of the Ozone depletion global regulation based on the Montreal Protocol has been successful, in case of Climate Change, the Kyoto Protocol failed. The Ozone case was used to assess the efficiency of the IPCC process. The lockstep situation of the IPCC is having built a broad science consensus while states and governments still follow different, if not opposing goals. The underlying linear model of policy-making of more knowledge we have, the better the political response will be is being doubted.</t>
  </si>
  <si>
    <t>2–3 years as provisional Elders prior to their ordination.</t>
  </si>
  <si>
    <t>What was renumbered in Newcastle upon completion of the Western Bypass?</t>
  </si>
  <si>
    <t>force of gravity</t>
  </si>
  <si>
    <t>Who is the museum named for?</t>
  </si>
  <si>
    <t>60 days</t>
  </si>
  <si>
    <t>already-wealthy individuals</t>
  </si>
  <si>
    <t>Against whom did the Camisards rise up to fight?</t>
  </si>
  <si>
    <t>€5,000</t>
  </si>
  <si>
    <t>anywhere from two to a hundred</t>
  </si>
  <si>
    <t>What other Northern European cities had Huguenot congregations?</t>
  </si>
  <si>
    <t>the ultimate authority of member states</t>
  </si>
  <si>
    <t>Accounts of Genghis Khan's life are marked by claims of a series of betrayals and conspiracies. These include rifts with his early allies such as Jamukha (who also wanted to be a ruler of Mongol tribes) and Wang Khan (his and his father's ally), his son Jochi, and problems with the most important shaman, who was allegedly trying to drive a wedge between him and his loyal brother Khasar. His military strategies showed a deep interest in gathering good intelligence and understanding the motivations of his rivals, exemplified by his extensive spy network and Yam route systems. He seemed to be a quick student, adopting new technologies and ideas that he encountered, such as siege warfare from the Chinese. He was also ruthless, demonstrated by his tactic of measuring against the linchpin, used against the tribes led by Jamukha.</t>
  </si>
  <si>
    <t xml:space="preserve">What is a connection identifier </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</si>
  <si>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</si>
  <si>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Aside from being located on the coast, what contributes to Jacksonville's lack of cold weather?</t>
  </si>
  <si>
    <t>mesophyll</t>
  </si>
  <si>
    <t>September 2007</t>
  </si>
  <si>
    <t>to enable people to pursue their life goals in any country through free movement</t>
  </si>
  <si>
    <t>When was Luther's last sermon?</t>
  </si>
  <si>
    <t>private research</t>
  </si>
  <si>
    <t>Huguon</t>
  </si>
  <si>
    <t>What was Tesla's monthly consultant salary?</t>
  </si>
  <si>
    <t>a UNESCO World Heritage Site</t>
  </si>
  <si>
    <t>eggs and sperm mature at different times</t>
  </si>
  <si>
    <t>1815</t>
  </si>
  <si>
    <t>campaigns on Lake Ontario</t>
  </si>
  <si>
    <t>Air Force</t>
  </si>
  <si>
    <t>When was the concept of a social market economy introduced into EU law?</t>
  </si>
  <si>
    <t>France, Argentina, the United Kingdom, Belgium, Ireland, Italy, Spain, and India</t>
  </si>
  <si>
    <t>specially insulated tankers</t>
  </si>
  <si>
    <t>Parliament of the United Kingdom at Westminster</t>
  </si>
  <si>
    <t>tooth sockets in human skeletons</t>
  </si>
  <si>
    <t>Great and General Court of the Massachusetts Bay Colony</t>
  </si>
  <si>
    <t>mass graves in northern, central and southern Europe</t>
  </si>
  <si>
    <t>How many of the episodes produced in the first six seasons are not in BBC's archives?</t>
  </si>
  <si>
    <t>The notion "force" keeps its meaning in quantum mechanics, though one is now dealing with operators instead of classical variables and though the physics is now described by the Schrödinger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</si>
  <si>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interventionism</t>
  </si>
  <si>
    <t>overturned anticline</t>
  </si>
  <si>
    <t>In what year did the Master reincarnate into a female body?</t>
  </si>
  <si>
    <t>What spinoff of Happy Days debuted in 1976?</t>
  </si>
  <si>
    <t>11,600 BP</t>
  </si>
  <si>
    <t>the world's first commercial online service</t>
  </si>
  <si>
    <t>The Broncos defeated the Pittsburgh Steelers in the divisional round, 23–16, by scoring 11 points in the final three minutes of the game. They then beat the defending Super Bowl XLIX champion New England Patriots in the AFC Championship Game, 20–18, by intercepting a pass on New England's 2-point conversion attempt with 17 seconds left on the clock. Despite Manning's problems with interceptions during the season, he didn't throw any in their two playoff games.</t>
  </si>
  <si>
    <t>glass-making</t>
  </si>
  <si>
    <t>Hank Paulson is the former Chairman and CEO of what banking firm?</t>
  </si>
  <si>
    <t>In literature, author of the New York Times bestseller Before I Fall Lauren Oliver, Pulitzer Prize winning novelist Philip Roth, Canadian-born Pulitzer Prize and Nobel Prize for Literature winning writer Saul Bellow, political philosopher, literary critic and author of the New York Times bestseller "The Closing of the American Mind" Allan Bloom, ''The Good War" author Studs Terkel, American writer, essayist, filmmaker, teacher, and political activist Susan Sontag, analytic philosopher and Stanford University Professor of Comparative Literature Richard Rorty, and American writer and satirist Kurt Vonnegut are notable alumni.</t>
  </si>
  <si>
    <t>Charles and Ray Eames</t>
  </si>
  <si>
    <t>chemical oxygen</t>
  </si>
  <si>
    <t>words spoken</t>
  </si>
  <si>
    <t>How much more oxygen dissolves at 0 degrees C than at 20 degrees C?</t>
  </si>
  <si>
    <t>What will the "50" given to the Super Bowl winner weigh in pounds?</t>
  </si>
  <si>
    <t>Taoism</t>
  </si>
  <si>
    <t>Where do Apicomplexans store energy?</t>
  </si>
  <si>
    <t>2011</t>
  </si>
  <si>
    <t>What does the average temperatures exceed in the summer?</t>
  </si>
  <si>
    <t>Wankel</t>
  </si>
  <si>
    <t>coining the modern name packet switching and inspiring numerous packet switching networks</t>
  </si>
  <si>
    <t>high schools lost their accreditation</t>
  </si>
  <si>
    <t>Luther's hostile publications towards the Jews</t>
  </si>
  <si>
    <t>Michael E. Mann, Raymond S. Bradley and Malcolm K. Hughes</t>
  </si>
  <si>
    <t>Ogród Saski</t>
  </si>
  <si>
    <t>Pac-12</t>
  </si>
  <si>
    <t>articles 1 to 7</t>
  </si>
  <si>
    <t>How much retail activity does the neighborhood have?</t>
  </si>
  <si>
    <t>Phycobilins are a third group of pigments found in cyanobacteria, and glaucophyte, red algal, and cryptophyte chloroplasts. Phycobilins come in all colors, though phycoerytherin is one of the pigments that makes many red algae red. Phycobilins often organize into relatively large protein complexes about 40 nanometers across called phycobilisomes. Like photosystem I and ATP synthase, phycobilisomes jut into the stroma, preventing thylakoid stacking in red algal chloroplasts. Cryptophyte chloroplasts and some cyanobacteria don't have their phycobilin pigments organized into phycobilisomes, and keep them in their thylakoid space instead.</t>
  </si>
  <si>
    <t>ABC's master feed is transmitted in 720p high definition, the native resolution format for The Walt Disney Company's U.S. television properties. 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t>
  </si>
  <si>
    <t>protect the King's land in the Ohio Valley from the British</t>
  </si>
  <si>
    <t>using unreliable datagrams and associated end-to-end protocol mechanisms</t>
  </si>
  <si>
    <t>What can lead to higher wages for members of labor organizations?</t>
  </si>
  <si>
    <t>How many chloroplasts are in stomatal guard cells?</t>
  </si>
  <si>
    <t>When was the opening of "Super Bowl City"?</t>
  </si>
  <si>
    <t>Saul Alinsky</t>
  </si>
  <si>
    <t>In what year did Fresno get its first pedestrian mall?</t>
  </si>
  <si>
    <t>Yam route systems</t>
  </si>
  <si>
    <t>Ireland</t>
  </si>
  <si>
    <t>human capital is neglected</t>
  </si>
  <si>
    <t>Tayichi'ud</t>
  </si>
  <si>
    <t>school functions</t>
  </si>
  <si>
    <t>spontaneous</t>
  </si>
  <si>
    <t>arts capital of the UK</t>
  </si>
  <si>
    <t>T(n) = O(n2)</t>
  </si>
  <si>
    <t>August 2004</t>
  </si>
  <si>
    <t>early months of 1754</t>
  </si>
  <si>
    <t>they owned the Ohio Country</t>
  </si>
  <si>
    <t>different viewpoints</t>
  </si>
  <si>
    <t>Salmonella</t>
  </si>
  <si>
    <t>radial (centripetal) force</t>
  </si>
  <si>
    <t>allocution</t>
  </si>
  <si>
    <t>What is another word for centripetal force?</t>
  </si>
  <si>
    <t>New Rochelle</t>
  </si>
  <si>
    <t>In response to demands for a German liturgy, Luther wrote a German Mass, which he published in early 1526. He did not intend it as a replacement for his 1523 adaptation of the Latin Mass but as an alternative for the "simple people", a "public stimulation for people to believe and become Christians." Luther based his order on the Catholic service but omitted "everything that smacks of sacrifice"; and the Mass became a celebration where everyone received the wine as well as the bread. He retained the elevation of the host and chalice, while trappings such as the Mass vestments, altar, and candles were made optional, allowing freedom of ceremony. Some reformers, including followers of Huldrych Zwingli, considered Luther's service too papistic; and modern scholars note the conservatism of his alternative to the Catholic mass. Luther's service, however, included congregational singing of hymns and psalms in German, as well as of parts of the liturgy, including Luther's unison setting of the Creed. To reach the simple people and the young, Luther incorporated religious instruction into the weekday services in the form of the catechism. He also provided simplified versions of the baptism and marriage services.</t>
  </si>
  <si>
    <t>What team had the lowest downs and yards ever in the Super Bowl as of Super Bowl 50?</t>
  </si>
  <si>
    <t>What US war has a large amount of Civil Disobedients?</t>
  </si>
  <si>
    <t>What was the Dutch leader's religious affiliation?</t>
  </si>
  <si>
    <t>clear substances with a light sky-blue color</t>
  </si>
  <si>
    <t>quietist/non-political Islam</t>
  </si>
  <si>
    <t>Their local rivals, Polonia Warsaw, have significantly fewer supporters, yet they managed to win Ekstraklasa Championship in 2000. They also won the country’s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 Polish Football Association (PZPN) structure.</t>
  </si>
  <si>
    <t>The pound-force has a metric counterpart, less commonly used than the newton: the kilogram-force (kgf) (sometimes kilopond), is the force exerted by standard gravity on one kilogram of mass. The kilogram-force leads to an alternate, but rarely used unit of mass: the metric slug (sometimes mug or hyl) is that mass that accelerates at 1 m·s−2 when subjected to a force of 1 kgf. The kilogram-force is not a part of the modern SI system, and is generally deprecated; however it still sees use for some purposes as expressing aircraft weight, jet thrust, bicycle spoke tension, torque wrench settings and engine output torque. Other arcane units of force include the sthène, which is equivalent to 1000 N, and the kip, which is equivalent to 1000 lbf.</t>
  </si>
  <si>
    <t>Who were the two abbots at Fécamp Abbey?</t>
  </si>
  <si>
    <t>Times Square Studios</t>
  </si>
  <si>
    <t>What was the Soviet Union trying to suppress with its army?</t>
  </si>
  <si>
    <t>over 37 million</t>
  </si>
  <si>
    <t>When was the Soulages collection acquired?</t>
  </si>
  <si>
    <t>Pharmacy informatics is the combination of pharmacy practice science and applied information science. Pharmacy informaticists work in many practice areas of pharmacy, however, they may also work in information technology departments or for healthcare information technology vendor companies. As a practice area and specialist domain, pharmacy informatics is growing quickly to meet the needs of major national and international patient information projects and health system interoperability goals. Pharmacists in this area are trained to participate in medication management system development, deployment and optimization.</t>
  </si>
  <si>
    <t>complex</t>
  </si>
  <si>
    <t>How far does one pharmacy in Croatia date back to?</t>
  </si>
  <si>
    <t>By the time of the Miocene</t>
  </si>
  <si>
    <t>botany and chemistry</t>
  </si>
  <si>
    <t>Harvard_University</t>
  </si>
  <si>
    <t>How did the leaders of the city of Bukhara respond to the Mongol attack?</t>
  </si>
  <si>
    <t>from giving her brother Polynices a proper burial</t>
  </si>
  <si>
    <t>400 m (1,300 ft).</t>
  </si>
  <si>
    <t>Who originally produced Wide World of Sports for ABC?</t>
  </si>
  <si>
    <t>April through October</t>
  </si>
  <si>
    <t>12th</t>
  </si>
  <si>
    <t>Jerricho Cotchery</t>
  </si>
  <si>
    <t>What is the most critical resource in the analysis of computational problems associated with non-deterministic Turing machines?</t>
  </si>
  <si>
    <t>Trajan's Column</t>
  </si>
  <si>
    <t>Classic</t>
  </si>
  <si>
    <t>greenhouse gas concentrations in the atmosphere</t>
  </si>
  <si>
    <t>When did Tesla depart Graz?</t>
  </si>
  <si>
    <t>What do the membership of the committees reflect?</t>
  </si>
  <si>
    <t>second-most</t>
  </si>
  <si>
    <t>location</t>
  </si>
  <si>
    <t>photographic memory</t>
  </si>
  <si>
    <t>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t>
  </si>
  <si>
    <t>According to Sheldon Ungar's comparison with global warming, the actors in the ozone depletion case had a better understanding of scientific ignorance and uncertainties. The ozone case communicated to lay persons "with easy-to-understand bridging metaphors derived from the popular culture" and related to "immediate risks with everyday relevance",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t>
  </si>
  <si>
    <t>Where did the world's first railway journey terminate?</t>
  </si>
  <si>
    <t>Scots</t>
  </si>
  <si>
    <t>In the modern industrialized world, construction usually involves the translation of designs into reality. A formal design team may be assembled to plan the physical proceedings, and to integrate those proceedings with the other parts. The design usually consists of drawings and specifications, usually prepared by a design team including Architect, civil engineers, mechanical engineers, electrical engineers, structural engineers, fire protection engineers, planning consultants, architectural consultants, and archaeological consultants. The design team is most commonly employed by (i.e. in contract with) the property owner. Under this system, once the design is completed by the design team, a number of construction companies or construction management companies may then be asked to make a bid for the work, either based directly on the design, or on the basis of drawings and a bill of quantities provided by a quantity surveyor. Following evaluation of bids, the owner typically awards a contract to the most cost efficient bidder.</t>
  </si>
  <si>
    <t>The term Huguenot was originally meant to confer?</t>
  </si>
  <si>
    <t>What are the small tentacles on Cydippids called?</t>
  </si>
  <si>
    <t>pure O</t>
  </si>
  <si>
    <t>rapidly raising population and traffic in cities along SR 99, as well as the desirability of Federal funding</t>
  </si>
  <si>
    <t>Lepidodinium viride and its close relatives are dinophytes that lost their original peridinin chloroplast and replaced it with a green algal derived chloroplast (more specifically, a prasinophyte). Lepidodinium is the only dinophyte that has a chloroplast that's not from the rhodoplast lineage. The chloroplast is surrounded by two membranes and has no nucleomorph—all the nucleomorph genes have been transferred to the dinophyte nucleus. The endosymbiotic event that led to this chloroplast was serial secondary endosymbiosis rather than tertiary endosymbiosis—the endosymbiont was a green alga containing a primary chloroplast (making a secondary chloroplast).</t>
  </si>
  <si>
    <t>Alan Turing</t>
  </si>
  <si>
    <t>Stockton and Darlington Railway</t>
  </si>
  <si>
    <t>appointed to various ministries.</t>
  </si>
  <si>
    <t>Isaac Bashevis Singer</t>
  </si>
  <si>
    <t>How many seasons did the original Doctor Who run?</t>
  </si>
  <si>
    <t>compressed gas;</t>
  </si>
  <si>
    <t>Philipp Melanchthon</t>
  </si>
  <si>
    <t>Which Denver linebacker was named Super Bowl MVP?</t>
  </si>
  <si>
    <t>spectacular</t>
  </si>
  <si>
    <t>Church of England's Calendar of Saints</t>
  </si>
  <si>
    <t xml:space="preserve">what did tesla note the hazards of working with? </t>
  </si>
  <si>
    <t>Central business districts</t>
  </si>
  <si>
    <t>Where was the signing held?</t>
  </si>
  <si>
    <t>Such protests are usually considered to be what type?</t>
  </si>
  <si>
    <t>Canadians, including their commanding officer</t>
  </si>
  <si>
    <t>200</t>
  </si>
  <si>
    <t>many other herbs</t>
  </si>
  <si>
    <t>What was the name of the leader through the Great Depression and World War II?</t>
  </si>
  <si>
    <t>old</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</si>
  <si>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</si>
  <si>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a majority in Parliament</t>
  </si>
  <si>
    <t>Reason</t>
  </si>
  <si>
    <t>King George III</t>
  </si>
  <si>
    <t>in the Castle Church</t>
  </si>
  <si>
    <t>What organization runs the satellite that measured dust that landed on the Amazon?</t>
  </si>
  <si>
    <t>1636</t>
  </si>
  <si>
    <t>first law</t>
  </si>
  <si>
    <t>Germany</t>
  </si>
  <si>
    <t>How many affiliates does Sinclair Broadcast Group service or own?</t>
  </si>
  <si>
    <t>homebound</t>
  </si>
  <si>
    <t>keyed Northumbrian smallpipes</t>
  </si>
  <si>
    <t>His lab was torn down</t>
  </si>
  <si>
    <t>738 days</t>
  </si>
  <si>
    <t>Why did the General Conference of the Methodist Episcopal Church split into two conferences?</t>
  </si>
  <si>
    <t>$105 billion</t>
  </si>
  <si>
    <t>The earliest Doctor Who-related audio release was a 21-minute narrated abridgement of the First Doctor television story The Chase released in 1966. Ten years later, the first original Doctor Who audio was released on LP record; Doctor Who and the Pescatons featuring the Fourth Doctor. The first commercially available audiobook was an abridged reading of the Fourth Doctor story State of Decay in 1981. In 1988, during a hiatus in the television show, Slipback, the first radio drama, was transmitted.</t>
  </si>
  <si>
    <t>Catholics</t>
  </si>
  <si>
    <t>risen by less than two percent per year</t>
  </si>
  <si>
    <t>How man of Grainger Town's 450 buildings are listed?</t>
  </si>
  <si>
    <t>What do oxygen tanks, cryogenics, and chemical compounds serve as for oxygen?</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</si>
  <si>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</si>
  <si>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December 1517</t>
  </si>
  <si>
    <t>What surrounds chloroplasts?</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</si>
  <si>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d’état.</t>
  </si>
  <si>
    <t>Where was the Gate of King Hugo?</t>
  </si>
  <si>
    <t>missionaries</t>
  </si>
  <si>
    <t>Sonia Shankman Orthogenic School</t>
  </si>
  <si>
    <t>music</t>
  </si>
  <si>
    <t>What could justify restrictions on freedom of establishment?</t>
  </si>
  <si>
    <t>Manuel Blum</t>
  </si>
  <si>
    <t>Where was the funeral held?</t>
  </si>
  <si>
    <t>Fresno has three large public parks, two in the city limits and one in county land to the southwest. Woodward Park, which features the Shinzen Japanese Gardens, numerous picnic areas and several miles of trails, is in North Fresno and is adjacent to the San Joaquin River Parkway. Roeding Park, near Downtown Fresno, is home to the Fresno Chaffee Zoo, and Rotary Storyland and Playland. Kearney Park is the largest of the Fresno region's park system and is home to historic Kearney Mansion and plays host to the annual Civil War Revisited, the largest reenactment of the Civil War in the west coast of the U.S.</t>
  </si>
  <si>
    <t>80,000</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</si>
  <si>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</si>
  <si>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a stirring speech</t>
  </si>
  <si>
    <t>Amsterdam and the area of West Frisia</t>
  </si>
  <si>
    <t>within five years</t>
  </si>
  <si>
    <t>Fort Frontenac</t>
  </si>
  <si>
    <t>Where is the so-called Rhine Knee?</t>
  </si>
  <si>
    <t>alcohol</t>
  </si>
  <si>
    <t>According to the UK Government's returned 2001 census information, the city of Newcastle had a population of 189,863, whereas the metropolitan borough of Newcastle had a population of around 259,000. Newcastle has a population of 282,442 according to the Office for National Statistics. The metropolitan boroughs of North Tyneside (population circa 201,000), South Tyneside (population circa 148,000) and Gateshead (population circa 201,000) are, along with Newcastle, all part of the Tyneside conurbation (population circa 880,000). The metropolitan county of Tyne and Wear, which consists of the four aforementioned boroughs as well as the City of Sunderland (population circa 275,000), had a population of around 1,076,000 and the Tyne and Wear City Region which also includes North Durham, South East Northumberland and the Tyne Valley has a population of 1,650,000. Newcastle is also home to a large student population with Newcastle and Northumbria Universities in the local area. Areas with predominant student populations include Jesmond and Heaton.</t>
  </si>
  <si>
    <t>What military impact did Huguenot immigration have on Frederick's army?</t>
  </si>
  <si>
    <t>What is the taskforce that was organized to identify with the pro-life position?</t>
  </si>
  <si>
    <t>ditch digger</t>
  </si>
  <si>
    <t>Where was Wardenclyffe located?</t>
  </si>
  <si>
    <t>______ In both liquid and gas form can fastly result in an exlposion.</t>
  </si>
  <si>
    <t>60-cycle</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</si>
  <si>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</si>
  <si>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high risk preparations and some other compounding functions</t>
  </si>
  <si>
    <t>roads</t>
  </si>
  <si>
    <t>Queen Elizabeth</t>
  </si>
  <si>
    <t>Besides Leibniz, what other mathematician proved the validity of Fermat's little theorem?</t>
  </si>
  <si>
    <t>10 o'clock</t>
  </si>
  <si>
    <t>one of the first ever production OC-48c (2.5 Gbit/s) IP links</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</si>
  <si>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machine—anything from an advanced supercomputer to a mathematician with a pencil and paper. It is believed that if a problem can be solved by an algorithm, there exists a Turing machine that solves the problem. Indeed, this is the statement of the Church–Turing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</si>
  <si>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became Christians</t>
  </si>
  <si>
    <t>acupuncture, moxibustion, pulse diagnosis, and various herbal drugs and elixirs</t>
  </si>
  <si>
    <t>Mongolia</t>
  </si>
  <si>
    <t>Who wrote about the distillation of drinking water from sea water?</t>
  </si>
  <si>
    <t>What were the "great Forces" mentioned in the article's title?</t>
  </si>
  <si>
    <t>How many types of movements do euplokamis tentilla have?</t>
  </si>
  <si>
    <t>When did Kublai move the Mongol capital?</t>
  </si>
  <si>
    <t>Name the other way that the Plowshares organization temporarily closed?</t>
  </si>
  <si>
    <t xml:space="preserve">How many of the schools in Newcastle are independent? </t>
  </si>
  <si>
    <t>UNESCO's World Heritage list</t>
  </si>
  <si>
    <t>What soap operas did ABC cancel in 2011?</t>
  </si>
  <si>
    <t>4000</t>
  </si>
  <si>
    <t>Variable lymphocyte receptors</t>
  </si>
  <si>
    <t>What kind of engines did the biplane design have?</t>
  </si>
  <si>
    <t>How old was Manning when he played Super Bowl 50?</t>
  </si>
  <si>
    <t>Richard Dean Adams</t>
  </si>
  <si>
    <t>waste</t>
  </si>
  <si>
    <t>What is Engineering News-Record?</t>
  </si>
  <si>
    <t>$10 a week raise</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</si>
  <si>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</si>
  <si>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What type of organism are cyanobacteria?</t>
  </si>
  <si>
    <t>islands</t>
  </si>
  <si>
    <t>What is located on the site of The Weaving House currently?</t>
  </si>
  <si>
    <t>story of the posting on the door</t>
  </si>
  <si>
    <t>How and when did the first variant of y. pestis enter Europe?</t>
  </si>
  <si>
    <t>The concept of prime number is so important that it has been generalized in different ways in various branches of mathematics. Generally, "prime" indicates minimality or indecomposability, in an appropriate sense. For example, the prime field is the smallest subfield of a field F containing both 0 and 1. It is either Q or the finite field with p elements, whence the name. Often a second, additional meaning is intended by using the word prime, namely that any object can be, essentially uniquely, decomposed into its prime components. For example, in knot theory, a prime knot is a knot that is indecomposable in the sense that it cannot be written as the knot sum of two nontrivial knots. Any knot can be uniquely expressed as a connected sum of prime knots. Prime models and prime 3-manifolds are other examples of this type.</t>
  </si>
  <si>
    <t>melt (magma and/or lava)</t>
  </si>
  <si>
    <t>Buena Vista International Television</t>
  </si>
  <si>
    <t>spontaneous combustion</t>
  </si>
  <si>
    <t>a two-page statement</t>
  </si>
  <si>
    <t>microscopic analysis</t>
  </si>
  <si>
    <t>rules that conflict with morality</t>
  </si>
  <si>
    <t>When were the two finalists for hosting Super Bowl 50 announced?</t>
  </si>
  <si>
    <t>chum salmon</t>
  </si>
  <si>
    <t>When do chloroplasts produce defense signals?</t>
  </si>
  <si>
    <t>What molecules act as defense signals?</t>
  </si>
  <si>
    <t>10</t>
  </si>
  <si>
    <t>When were these settlers naturalized as English colonists?</t>
  </si>
  <si>
    <t>430 BC</t>
  </si>
  <si>
    <t>A consortium led by the International Crops Research Institute for the Semi-Arid Tropics (ICRISAT) has had some success in helping farmers grow new pigeon pea varieties, instead of maize, in particularly dry areas. Pigeon peas are very drought resistant, so can be grown in areas with less than 650 mm annual rainfall. Successive projects encouraged the commercialisation of legumes, by stimulating the growth of local seed production and agro-dealer networks for distribution and marketing. This work, which included linking producers to wholesalers, helped to increase local producer prices by 20–25% in Nairobi and Mombasa. The commercialisation of the pigeon pea is now enabling some farmers to buy assets, ranging from mobile phones to productive land and livestock, and is opening pathways for them to move out of poverty.</t>
  </si>
  <si>
    <t>Many of the same decisions and principles that apply in other criminal investigations</t>
  </si>
  <si>
    <t>The chloroplast double membrane is also often compared to the mitochondrial double membrane. This is not a valid comparison—the inner mitochondria membrane is used to run proton pumps and carry out oxidative phosphorylation across to generate ATP energy. The only chloroplast structure that can considered analogous to it is the internal thylakoid system. Even so, in terms of "in-out", the direction of chloroplast H+ ion flow is in the opposite direction compared to oxidative phosphorylation in mitochondria. In addition, in terms of function, the inner chloroplast membrane, which regulates metabolite passage and synthesizes some materials, has no counterpart in the mitochondrion.</t>
  </si>
  <si>
    <t>Guo Shoujing applied mathematics to the construction of calendars. He was one of the first mathematicians in China to work on spherical trigonometry. Gou derived a cubic interpolation formula for his astronomical calculations. His calendar, the Shoushi Li (授時暦)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</si>
  <si>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The University is organized into eleven separate academic units—ten faculties and the Radcliffe Institute for Advanced Study—with campuses throughout the Boston metropolitan area: its 209-acre (85 ha) main campus is centered on Harvard Yard in Cambridge, approximately 3 miles (5 km) northwest of Boston; the business school and athletics facilities, including Harvard Stadium, are located across the Charles River in the Allston neighborhood of Boston and the medical, dental, and public health schools are in the Longwood Medical Area. Harvard's $37.6 billion financial endowment is the largest of any academic institution.</t>
  </si>
  <si>
    <t>Pope Leo X</t>
  </si>
  <si>
    <t>What did Johann Eck call Luther?</t>
  </si>
  <si>
    <t>invaginations that form a lattice of tubes in their stroma</t>
  </si>
  <si>
    <t>Like much of the south Atlantic region of the United States, Jacksonville has a humid subtropical climate (Köppen Cfa), with mild weather during winters and hot and humid weather during summers. Seasonal rainfall is concentrated in the warmest months from May through September, while the driest months are from November through April. Due to Jacksonville's low latitude and coastal location, the city sees very little cold weather, and winters are typically mild and sunny. Summers can be hot and wet, and summer thunderstorms with torrential but brief downpours are common.</t>
  </si>
  <si>
    <t>Who lost to the Broncos in the divisional round?</t>
  </si>
  <si>
    <t>Who designed the Entrance Hall and Rotunda?</t>
  </si>
  <si>
    <t xml:space="preserve">What was the name of the fund setup to help with investing in the community? </t>
  </si>
  <si>
    <t>Psalm 130</t>
  </si>
  <si>
    <t>What policy gave Britain dominance in world trade?</t>
  </si>
  <si>
    <t>Mustang I</t>
  </si>
  <si>
    <t>When was the Duchy of Normandy founded?</t>
  </si>
  <si>
    <t>S-band</t>
  </si>
  <si>
    <t>Victoria Department of Education</t>
  </si>
  <si>
    <t>1832.</t>
  </si>
  <si>
    <t>What day of the week are general elections held?</t>
  </si>
  <si>
    <t>Super Bowl City" opened</t>
  </si>
  <si>
    <t>repulsion of like charges</t>
  </si>
  <si>
    <t>prophetic faith</t>
  </si>
  <si>
    <t>The Taliban</t>
  </si>
  <si>
    <t>How recently has the homes in Fresno been restored?</t>
  </si>
  <si>
    <t>life skills</t>
  </si>
  <si>
    <t>CYP27B1</t>
  </si>
  <si>
    <t>In 1926, Tesla commented on the ills of the social subservience of women and the struggle of women toward gender equality, and indicated that humanity's future would be run by "Queen Bees." He believed that women would become the dominant sex in the future.</t>
  </si>
  <si>
    <t>forced Tesla out</t>
  </si>
  <si>
    <t>the public switched data network operated by the Dutch PTT Telecom</t>
  </si>
  <si>
    <t>Who played quarterback for the Broncos after Peyton Manning was benched?</t>
  </si>
  <si>
    <t>When UPT bough ABC, what was the merged company called?</t>
  </si>
  <si>
    <t>Jacksonville,_Florida</t>
  </si>
  <si>
    <t>What were the civil wars caused by the Huguenots called?</t>
  </si>
  <si>
    <t>Some of the oldest schools in South Africa are 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"public" (state-controlled) and "independent" (which includes traditional private schools and schools which are privately governed[clarification needed].)</t>
  </si>
  <si>
    <t>How many times did Luther preach in Halle in 1545 and 1546?</t>
  </si>
  <si>
    <t>Which of his future generals joined forces with Temüjin around the time of his escape from the Tayichi'ud?</t>
  </si>
  <si>
    <t>When is sports programming provided by ABC on Saturday afternoons?</t>
  </si>
  <si>
    <t>in the parts of the internal canal network under the comb rows</t>
  </si>
  <si>
    <t>Noord River</t>
  </si>
  <si>
    <t>minimal</t>
  </si>
  <si>
    <t>When did ABC Films begin selling programs to other networks?</t>
  </si>
  <si>
    <t>Prior to this consideration, when did San Francisco last host a Super Bowl?</t>
  </si>
  <si>
    <t>TCP/IP</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</si>
  <si>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</si>
  <si>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What scripture did Luther use to back up his opinion that churchmen were not infallible?</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</si>
  <si>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</si>
  <si>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 xml:space="preserve">What equals the spring reaction force on an object suspended on a spring reaction scale? </t>
  </si>
  <si>
    <t>How many avulsions have occurred in the past 6000 yeas?</t>
  </si>
  <si>
    <t>igneous, sedimentary, and metamorphic</t>
  </si>
  <si>
    <t>West Side</t>
  </si>
  <si>
    <t>chloroplasts</t>
  </si>
  <si>
    <t>How did Luther describe the mass that was viewed as sacrifice?</t>
  </si>
  <si>
    <t>Corliss</t>
  </si>
  <si>
    <t>parts of Europe that had smaller trade relations with their neighbours</t>
  </si>
  <si>
    <t>For its part, the television network produced a few new hits during 1977: January saw the premiere of Roots, a miniseries based on an Alex Haley novel that was published the previous year; in September, The Love Boat, a comedy-drama anthology series produced by Aaron Spelling which was based around the crew of a cruise ship and featured three stories centered partly on the ship's various passengers; although critically lambasted, the series turned out to be a ratings success and lasted nine seasons. Roots went on to become one of the highest-rated programs in American television history, with unprecedented ratings for its finale. The success of Roots, Happy Days and The Love Boat allowed the network to take first place in the ratings for the first time in the 1976–77 season. On September 13, 1977, the network debuted Soap, a controversial soap opera parody which became known for being the first television series to feature an openly gay main character (played by a then-unknown Billy Crystal); it last ran on the network on April 20, 1981.</t>
  </si>
  <si>
    <t>uniformitarianism</t>
  </si>
  <si>
    <t>establishment of a new and independent Ethics and Anti-Corruption Commission</t>
  </si>
  <si>
    <t>What halftime performer previously headlined Super Bowl XLVII?</t>
  </si>
  <si>
    <t>What type of architecture is the Palace of Four Windows an impressive example of?</t>
  </si>
  <si>
    <t>2011-12 saw ABC drop to 4th in ratings among what important demographic?</t>
  </si>
  <si>
    <t xml:space="preserve">When rock folds deep in the Earth it can fold one of two ways, when it buckles downwards it creates what? </t>
  </si>
  <si>
    <t>What lies between L and P that prevents a definitive determination of the relationship between L and P?</t>
  </si>
  <si>
    <t>a German Nazi colonial administration</t>
  </si>
  <si>
    <t>What has the Court required to be more accessible?</t>
  </si>
  <si>
    <t>Who is considered the leading figure in the Arts and Crafts movement?</t>
  </si>
  <si>
    <t>47 streetcars</t>
  </si>
  <si>
    <t>juveniles are capable of reproduction</t>
  </si>
  <si>
    <t>a structural force</t>
  </si>
  <si>
    <t>Toshiba</t>
  </si>
  <si>
    <t>Which NFL team represented the AFC at Super Bowl 50?</t>
  </si>
  <si>
    <t>What value does the seperating into fermions and bosons depend?</t>
  </si>
  <si>
    <t>What time of day did these reformed supposedly gather to engage in Huguenot rituals?</t>
  </si>
  <si>
    <t>8,525</t>
  </si>
  <si>
    <t>whether the organelle carries out the last leg of the pathway</t>
  </si>
  <si>
    <t>5% production cut</t>
  </si>
  <si>
    <t>black jerseys with silver pants</t>
  </si>
  <si>
    <t>the Solimões Basin</t>
  </si>
  <si>
    <t>twin-cylinder</t>
  </si>
  <si>
    <t>time of the Miocene</t>
  </si>
  <si>
    <t>What entity deals with EU staff issues?</t>
  </si>
  <si>
    <t>The length of the Rhine is conventionally measured in "Rhine-kilometers" (Rheinkilometer), a scale introduced in 1939 which runs from the Old Rhine Bridge at Constance (0 km) to Hoek van Holland (1036.20 km). The river length is significantly shortened from the river's natural course due to number of canalisation projects completed in the 19th and 20th century.[note 7] The "total length of the Rhine", to the inclusion of Lake Constance and the Alpine Rhine is more difficult to measure objectively; it was cited as 1,232 kilometres (766 miles) by the Dutch Rijkswaterstaat in 2010.[note 1]</t>
  </si>
  <si>
    <t>the original Fresno County Courthouse (demolished), the Fresno Carnegie Public Library (demolished)</t>
  </si>
  <si>
    <t>Barbara Walters</t>
  </si>
  <si>
    <t>Where was Tesla's property sent?</t>
  </si>
  <si>
    <t>Thomas Davis,</t>
  </si>
  <si>
    <t>Controlled, experimental studies</t>
  </si>
  <si>
    <t>What do lobates feed on?</t>
  </si>
  <si>
    <t>The Premier is the public face of government and, with cabinet</t>
  </si>
  <si>
    <t>enhanced greenhouse effect</t>
  </si>
  <si>
    <t>In addition to arguing that the rat population was insufficient to account for a bubonic plague pandemic, sceptics of the bubonic plague theory point out that the symptoms of the Black Death are not unique (and arguably in some accounts may differ from bubonic plague); that transference via fleas in goods was likely to be of marginal significance; and that the DNA results may be flawed and might not have been repeated elsewhere, despite extensive samples from other mass graves. Other arguments include the lack of accounts of the death of rats before outbreaks of plague between the 14th and 17th centuries; temperatures that are too cold in northern Europe for the survival of fleas; that, despite primitive transport systems, the spread of the Black Death was much faster than that of modern bubonic plague; that mortality rates of the Black Death appear to be very high; that, while modern bubonic plague is largely endemic as a rural disease, the Black Death indiscriminately struck urban and rural areas; and that the pattern of the Black Death, with major outbreaks in the same areas separated by 5 to 15 years, differs from modern bubonic plague—which often becomes endemic for decades with annual flare-ups.</t>
  </si>
  <si>
    <t>Other scholars argue that, even if his views were merely anti-Judaic—that is, opposed to Judaism and its adherence rather than the Jews as an ethnic group—their violence lent a new element to the standard Christian suspicion of Judaism. Ronald Berger writes that Luther is credited with "Germanizing the Christian critique of Judaism and establishing anti-Semitism as a key element of German culture and national identity." Paul Rose argues that he caused a "hysterical and demonizing mentality" about Jews to enter German thought and discourse, a mentality that might otherwise have been absent. Christopher J. Probst in his book Demonizing the Jews: Luther and the Protestant Church in Nazi Germany (2012), shows that a large number of German Lutheran clergy and theologians during the Nazi Third Reich used Luther's hostile publications towards the Jews and their Jewish religion to justify at least in part the anti-Semitic policies of the National Socialists.</t>
  </si>
  <si>
    <t>chairman</t>
  </si>
  <si>
    <t>How many reptiles have been discovered in the Amazon region?</t>
  </si>
  <si>
    <t>jailer and hangman of my poor soul.</t>
  </si>
  <si>
    <t>Who was the ruling class ahead of the Normans?</t>
  </si>
  <si>
    <t>What will concentrated oxygen greatly speed up?</t>
  </si>
  <si>
    <t>What type of radar was used to classify trees into four categories?</t>
  </si>
  <si>
    <t>1474</t>
  </si>
  <si>
    <t>Tethys</t>
  </si>
  <si>
    <t>In what theoretical machine is it confirmed that a problem in P belies membership in the NP class?</t>
  </si>
  <si>
    <t>liquefied air</t>
  </si>
  <si>
    <t>The league eventually narrowed the bids to three sites: New Orleans' Mercedes-Benz Superdome, Miami's Sun Life Stadium, and the San Francisco Bay Area's Levi's Stadium.</t>
  </si>
  <si>
    <t>Who recovered Ward's fumble?</t>
  </si>
  <si>
    <t>When Céloron's expedition arrived at Logstown, the Native Americans in the area informed Céloron that they owned the Ohio Country and that they would trade with the British regardless of the French. Céloron continued south until his expedition reached the confluence of the Ohio and the Miami rivers, which lay just south of the village of Pickawillany, the home of the Miami chief known as "Old Briton". Céloron threatened "Old Briton" with severe consequences if he continued to trade with the British. "Old Briton" ignored the warning. Disappointed, Céloron returned to Montreal in November 1749.</t>
  </si>
  <si>
    <t>matrix diagonals of the tensor)</t>
  </si>
  <si>
    <t>How much correspondence did Tesla send Morgan in the five years following 1901?</t>
  </si>
  <si>
    <t>women not taking jobs due to marriage or pregnancy</t>
  </si>
  <si>
    <t>Cost overruns with government projects have occurred when the contractor did what?</t>
  </si>
  <si>
    <t>two populations of rodents</t>
  </si>
  <si>
    <t>shortened form of the masculine name of Slavic origin Warcisław</t>
  </si>
  <si>
    <t>Samuel K. Cohn, Jr.</t>
  </si>
  <si>
    <t>water flow</t>
  </si>
  <si>
    <t>How much of a difference in homicide rates are related to inequality?</t>
  </si>
  <si>
    <t>What was the premise of Woodrow Wilson's inquiry?</t>
  </si>
  <si>
    <t>Relegation to secondary status for ABC resulted in viewership how much lower than their competitors, according to Goldenson?</t>
  </si>
  <si>
    <t>Who is the Costa Rican President that went to Harvard?</t>
  </si>
  <si>
    <t>Dating of lava and volcanic ash layers</t>
  </si>
  <si>
    <t>Changes in rainfall reduced what kind of vegetation cover in the Amazon basin?</t>
  </si>
  <si>
    <t>southeast</t>
  </si>
  <si>
    <t>Which sculpture by Rodin was not donated by the artist?</t>
  </si>
  <si>
    <t>Jesus Christ was born a Jew</t>
  </si>
  <si>
    <t>What is the name given to the district that is associated with the motion picture industry?</t>
  </si>
  <si>
    <t>pump hydrogen ions into the thylakoid space</t>
  </si>
  <si>
    <t>Project Mercury</t>
  </si>
  <si>
    <t>Who has the task of ensuring party members vote according to the party line?</t>
  </si>
  <si>
    <t>When did WJZ-TV in NYC begin broadcasting?</t>
  </si>
  <si>
    <t>Pax Mongolica</t>
  </si>
  <si>
    <t>cylinder volume</t>
  </si>
  <si>
    <t>What network did ABC beat out for third place in television ratings in 2010-11?</t>
  </si>
  <si>
    <t xml:space="preserve">What use was suggested for the system </t>
  </si>
  <si>
    <t>ENR used data on what to rank Top 400 firms as heavy contractors?</t>
  </si>
  <si>
    <t>The Court of Justice of the European Union</t>
  </si>
  <si>
    <t>What tax rate has a direct relationship with income inequality?</t>
  </si>
  <si>
    <t>What compounds can be masked with the molecules of the host cell in order for a virus to evade detection?</t>
  </si>
  <si>
    <t>Distributed Adaptive Message Block Switching</t>
  </si>
  <si>
    <t>Civil disobedients have chosen many different kinds of what type of behaviors?</t>
  </si>
  <si>
    <t>March 29, 1883</t>
  </si>
  <si>
    <t>Who did Wiesner hire to monitor and second guess NASA's decisions?</t>
  </si>
  <si>
    <t>When was the deportation of Acadians?</t>
  </si>
  <si>
    <t>Yesügei, a Khamag Mongol's major chief of the Kiyad</t>
  </si>
  <si>
    <t>What did Tesla do in Maribor for work?</t>
  </si>
  <si>
    <t>What does Obersee mean?</t>
  </si>
  <si>
    <t>EU Regulations are the same as Treaty provisions in this sense, because as TFEU article 288 states, they are ‘directly applicable in all Member States’</t>
  </si>
  <si>
    <t>What was the name of the first German settlement?</t>
  </si>
  <si>
    <t>the University of Aberdeen</t>
  </si>
  <si>
    <t>out of every six</t>
  </si>
  <si>
    <t>The point at which different radiometric isotopes stop diffusing into and out of the crystal lattice is called what?</t>
  </si>
  <si>
    <t>What did higher material living standards lead to for most of human history?</t>
  </si>
  <si>
    <t>What kind of universities is the region famous for?</t>
  </si>
  <si>
    <t>prevent the installation of pagan images</t>
  </si>
  <si>
    <t>According to a 1955 review, what were savings by the wealthy thought to offset?</t>
  </si>
  <si>
    <t>materials melted near an impact crater.</t>
  </si>
  <si>
    <t>What team was the divisional round winner between the Broncos and Steelers?</t>
  </si>
  <si>
    <t>What globally popular half marathon began in 1981?</t>
  </si>
  <si>
    <t>in the possession of already-wealthy individuals or entities</t>
  </si>
  <si>
    <t>Who was Robert's son?</t>
  </si>
  <si>
    <t>17 seconds</t>
  </si>
  <si>
    <t>1770</t>
  </si>
  <si>
    <t>two Japanese research teams</t>
  </si>
  <si>
    <t>Where can the complexity classes RP, BPP, PP, BQP, MA, and PH be located?</t>
  </si>
  <si>
    <t>Luther went to bed quoting what scripture?</t>
  </si>
  <si>
    <t>75</t>
  </si>
  <si>
    <t>What was the name of the hotel the Panthers chose to stay in during Super Bowl 50?</t>
  </si>
  <si>
    <t>the fact that he dropped out of school</t>
  </si>
  <si>
    <t>Where were ABC's international networks mainly situated in the 1970s?</t>
  </si>
  <si>
    <t>B cells</t>
  </si>
  <si>
    <t>100–5,000 hp</t>
  </si>
  <si>
    <t>What does the Wessel-Datteln canal run parallel to?</t>
  </si>
  <si>
    <t>1⁄3 normal pressure</t>
  </si>
  <si>
    <t>he was defeated</t>
  </si>
  <si>
    <t>When was a study conducted of Swedish counties?</t>
  </si>
  <si>
    <t>Often, individual state laws outline what defines a valid patient-doctor relationship</t>
  </si>
  <si>
    <t>To where did Ethelred flee?</t>
  </si>
  <si>
    <t>Enrico Fermi</t>
  </si>
  <si>
    <t>1964</t>
  </si>
  <si>
    <t>Innate</t>
  </si>
  <si>
    <t>a theta intermediary form</t>
  </si>
  <si>
    <t>Who was Margaret's husband?</t>
  </si>
  <si>
    <t>What was the starting cost for a TV commercial lasting 30 seconds and airing during Super Bowl 50?</t>
  </si>
  <si>
    <t>see no need to accept punishment for a violation of criminal law that does not infringe the rights of others</t>
  </si>
  <si>
    <t>about 515 million years</t>
  </si>
  <si>
    <t>individuals</t>
  </si>
  <si>
    <t>about 90,790</t>
  </si>
  <si>
    <t>1940</t>
  </si>
  <si>
    <t>Which Florida city has the biggest population?</t>
  </si>
  <si>
    <t xml:space="preserve">What type of vote must the Council pass in order to approve of any changes recommended by Parliament? </t>
  </si>
  <si>
    <t>deaths of two friends</t>
  </si>
  <si>
    <t>What is to blame for the burdens in health care in Kenya?</t>
  </si>
  <si>
    <t>helper T cells, cytotoxic T cells and NK cells</t>
  </si>
  <si>
    <t>10 to 15 million people</t>
  </si>
  <si>
    <t>The V&amp;A is located in the Brompton district of the Royal Borough of Kensington and Chelsea</t>
  </si>
  <si>
    <t>What instrument is used to examine steam engine performance?</t>
  </si>
  <si>
    <t xml:space="preserve">What natural phenomenon did Tesla create artificially? </t>
  </si>
  <si>
    <t>the Great Yuan</t>
  </si>
  <si>
    <t>the ballast tanks of ships</t>
  </si>
  <si>
    <t>three hundred years</t>
  </si>
  <si>
    <t>Who was the V&amp;A's first director?</t>
  </si>
  <si>
    <t>What is preserved in a closed system of forces when acted upon?</t>
  </si>
  <si>
    <t>acted increasingly aggressively to force the Huguenots to convert</t>
  </si>
  <si>
    <t>What market other than Harrogate, Cheltenham, Bath, inner London, Hastings and Brighton is overinflated?</t>
  </si>
  <si>
    <t>The University of Chicago Library system encompasses six libraries that contain a total of 9.8 million volumes, the 11th most among library systems in the United States. The university's main library is the Regenstein Library, which contains one of the largest collections of print volumes in the United States. The Joe and Rika Mansueto Library, built in 2011, houses a large study space and an automatic book storage and retrieval system. The John Crerar Library contains more than 1.3 million volumes in the biological, medical and physical sciences and collections in general science and the philosophy and history of science, medicine, and technology. The university also operates a number of special libraries, including the D'Angelo Law Library, the Social Service Administration Library, and the Eckhart Library for mathematics and computer science, which closed temporarily for renovation on July 8, 2013. Harper Memorial Library no longer contains any volumes; however it is, in addition to the Regenstein Library, a 24-hour study space on campus.</t>
  </si>
  <si>
    <t>What can result in creating a poverty trap?</t>
  </si>
  <si>
    <t>What theatre was the best example of "Polish monumental theatre"?</t>
  </si>
  <si>
    <t>organic composition of capital</t>
  </si>
  <si>
    <t>What might the Amazon forest become if it passes the tipping point and starts to die?</t>
  </si>
  <si>
    <t>Larry Roberts</t>
  </si>
  <si>
    <t>What is the name for the smaller streams along the region northern Germany?</t>
  </si>
  <si>
    <t>What new series continues the plot of the original Doctor Who?</t>
  </si>
  <si>
    <t>the Ilkhanate</t>
  </si>
  <si>
    <t>What spacecraft was tested in two vacuum chambers to simulate atmospheric pressure?</t>
  </si>
  <si>
    <t>the Spiral</t>
  </si>
  <si>
    <t>desire to prevent things that are indisputably bad</t>
  </si>
  <si>
    <t>What are the three most abundent elements of the universe by mass?</t>
  </si>
  <si>
    <t>In 1066</t>
  </si>
  <si>
    <t>1545</t>
  </si>
  <si>
    <t>countries—in East Asia</t>
  </si>
  <si>
    <t>What was Peyton Manning's passer rating for the season?</t>
  </si>
  <si>
    <t>Kenya's inclusion among the beneficiaries of the US Government's African Growth and Opportunity Act (AGOA) has given a boost to manufacturing in recent years. Since AGOA took effect in 2000, Kenya's clothing sales to the United States increased from US$44 million to US$270 million (2006).[citation needed] Other initiatives to strengthen manufacturing have been the new government's favourable tax measures, including the removal of duty on capital equipment and other raw materials.[citation needed]</t>
  </si>
  <si>
    <t>Thomson</t>
  </si>
  <si>
    <t>When did ABC begin airing Dick Clark's New Year's Rockin' Eve?</t>
  </si>
  <si>
    <t>guerrilla warfare campaign</t>
  </si>
  <si>
    <t>January 6, 1913</t>
  </si>
  <si>
    <t>What type of gradients are formed by faulting and other deformational processes?</t>
  </si>
  <si>
    <t>brain cells</t>
  </si>
  <si>
    <t>case law by the Court of Justice, international law and general principles of European Union law</t>
  </si>
  <si>
    <t>How much money is being spent on other Super Bowl-related events?</t>
  </si>
  <si>
    <t>What radio network was RCA using to eliminate competition in 1940?</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</si>
  <si>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façade.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</si>
  <si>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What lineage is Karlodinium in?</t>
  </si>
  <si>
    <t>Warsaw remained the capital of the Polish–Lithuanian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</si>
  <si>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What formation has an asymmetrical pattern of different terraces?</t>
  </si>
  <si>
    <t>What entity owns V/Line?</t>
  </si>
  <si>
    <t>Where did most chloroplasts come from?</t>
  </si>
  <si>
    <t>Other than the San Jacinto Fault, and the Elsinore Fault, name one other fault.</t>
  </si>
  <si>
    <t>Merkits</t>
  </si>
  <si>
    <t>30</t>
  </si>
  <si>
    <t>What does ABC on Demand disallow for online viewers?</t>
  </si>
  <si>
    <t>What nationality is the architect Enric Miralles?</t>
  </si>
  <si>
    <t>What museum specializes in cultural history and civilizations of the Western Hemisphere?</t>
  </si>
  <si>
    <t>an electric lighting company in Tesla's name</t>
  </si>
  <si>
    <t>glaucophyte chloroplasts</t>
  </si>
  <si>
    <t>How did the 2001 IPCC report compare to reality on sea levels?</t>
  </si>
  <si>
    <t>In 1984 Thomas Murphy contacted Leonard Goldenson about merging ABC with what company?</t>
  </si>
  <si>
    <t>What else did the new consitution change?</t>
  </si>
  <si>
    <t>manage the pharmacy department and specialised areas in pharmacy practice</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</si>
  <si>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</si>
  <si>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July 1961</t>
  </si>
  <si>
    <t>The beginnings of digital television allowed what affiliate in Wheeling, West Virginia to begin airing ABC programs digitally?</t>
  </si>
  <si>
    <t>deep spiritual despair</t>
  </si>
  <si>
    <t>Turks</t>
  </si>
  <si>
    <t>strong sedimentation</t>
  </si>
  <si>
    <t>60,000</t>
  </si>
  <si>
    <t>What may members question the First Minister about directly during First Minister's Question Time?</t>
  </si>
  <si>
    <t>What year is the earliest traces of the color Crimson at Harvard?</t>
  </si>
  <si>
    <t>Archduke Sigismund of Austria</t>
  </si>
  <si>
    <t>in some C3 angiosperms, and even some gymnosperms</t>
  </si>
  <si>
    <t>63,519</t>
  </si>
  <si>
    <t>the force of gravity</t>
  </si>
  <si>
    <t>The immune systems of bacteria have enzymes that protect against infection by what kind of cells?</t>
  </si>
  <si>
    <t>inciting internal revolt</t>
  </si>
  <si>
    <t>King Gilgamesh of Uruk and Atilla the Hun</t>
  </si>
  <si>
    <t>When were the public housing developments built in the neighborhood?</t>
  </si>
  <si>
    <t>the A696</t>
  </si>
  <si>
    <t>the Department of State Affairs</t>
  </si>
  <si>
    <t>Thermochemical</t>
  </si>
  <si>
    <t>Wednesdays</t>
  </si>
  <si>
    <t>Who is currently speaker of the Scottish Parliament?</t>
  </si>
  <si>
    <t>What was the Jacksonville fire later known as?</t>
  </si>
  <si>
    <t>When a person’s capabilities are lowered, they are in some way deprived of earning as much income as they would otherwise. An old, ill man cannot earn as much as a healthy young man; gender roles and customs may prevent a woman from receiving an education or working outside the home. There may be an epidemic that causes widespread panic, or there could be rampant violence in the area that prevents people from going to work for fear of their lives. As a result, income and economic inequality increases, and it becomes more difficult to reduce the gap without additional aid. To prevent such inequality, this approach believes it’s important to have political freedom, economic facilities, social opportunities, transparency guarantees, and protective security to ensure that people aren’t denied their functionings, capabilities, and agency and can thus work towards a better relevant income.</t>
  </si>
  <si>
    <t xml:space="preserve">What is one of the supplementary sources of European Union law? </t>
  </si>
  <si>
    <t xml:space="preserve">What does critically tapered mean? </t>
  </si>
  <si>
    <t>Bundesbesoldungsordnung</t>
  </si>
  <si>
    <t>How many touchdowns did Newton have in 2015?</t>
  </si>
  <si>
    <t>What country has low income inequality and high presence of unions?</t>
  </si>
  <si>
    <t>China</t>
  </si>
  <si>
    <t>On what lake did troops attack fort willima henry in winter?</t>
  </si>
  <si>
    <t>In the laboratory, stratigraphers analyze samples of stratigraphic sections that can be returned from the field, such as those from drill cores. Stratigraphers also analyze data from geophysical surveys that show the locations of stratigraphic units in the subsurface. Geophysical data and well logs can be combined to produce a better view of the subsurface, and stratigraphers often use computer programs to do this in three dimensions. Stratigraphers can then use these data to reconstruct ancient processes occurring on the surface of the Earth, interpret past environments, and locate areas for water, coal, and hydrocarbon extraction.</t>
  </si>
  <si>
    <t>In what year were Tesla's motor and transformer designs licensed to Westinghouse?</t>
  </si>
  <si>
    <t>When did the Fourth Doctor appear on CD?</t>
  </si>
  <si>
    <t>Which player did the Panthers lose to an ACL injury in a preseason game?</t>
  </si>
  <si>
    <t>thymus and bone marrow</t>
  </si>
  <si>
    <t>younger</t>
  </si>
  <si>
    <t>Extension causes the rock units as a whole to become longer and thinner. This is primarily accomplished through normal faulting and through the ductile stretching and thinning. Normal faults drop rock units that are higher below those that are lower. This typically results in younger units being placed below older units. Stretching of units can result in their thinning; in fact, there is a location within the Maria Fold and Thrust Belt in which the entire sedimentary sequence of the Grand Canyon can be seen over a length of less than a meter. Rocks at the depth to be ductilely stretched are often also metamorphosed. These stretched rocks can also pinch into lenses, known as boudins, after the French word for "sausage", because of their visual similarity.</t>
  </si>
  <si>
    <t>there are now numerous such communities across the United States</t>
  </si>
  <si>
    <t>Which theory suggested people in the tropics were uncivilized?</t>
  </si>
  <si>
    <t>In the arts and entertainment, minimalist composer Philip Glass, dancer, choreographer and leader in the field of dance anthropology Katherine Dunham, Bungie founder and developer of the Halo video game series Alex Seropian, Serial host Sarah Koenig, actor Ed Asner, Pulitzer Prize for Criticism winning film critic and the subject of the 2014 documentary film Life Itself Roger Ebert, director, writer, and comedian Mike Nichols, film director and screenwriter Philip Kaufman, and Carl Van Vechten, photographer and writer, are graduates.</t>
  </si>
  <si>
    <t>the translation</t>
  </si>
  <si>
    <t>What was the goal of congress?</t>
  </si>
  <si>
    <t xml:space="preserve">Gateways allowed private companies to do what </t>
  </si>
  <si>
    <t>What institution does Robert Barro hail from?</t>
  </si>
  <si>
    <t>Name one way the Plowshares organization temporarily close GCSB Waihopai?</t>
  </si>
  <si>
    <t>CD40</t>
  </si>
  <si>
    <t>From whom did the Huguenots purchase the land where they settled?</t>
  </si>
  <si>
    <t>Why did OPEC raise the price of oil to $5.11?</t>
  </si>
  <si>
    <t>What modern city is located on the original Huguenot colony?</t>
  </si>
  <si>
    <t>English university model</t>
  </si>
  <si>
    <t>Iroquois Six Nations, and also by the Cherokee</t>
  </si>
  <si>
    <t>How much did enrollment increase?</t>
  </si>
  <si>
    <t>When is Luther commemorated in the Lutheran Calendar of Saints ?</t>
  </si>
  <si>
    <t>What has a bigger impact on the United States' economy more than trade?</t>
  </si>
  <si>
    <t>on foundational constitutional questions affecting democracy and human rights</t>
  </si>
  <si>
    <t>Legislative Assembly</t>
  </si>
  <si>
    <t>secularism and secular nationalism</t>
  </si>
  <si>
    <t>X.25</t>
  </si>
  <si>
    <t>What goods were sold in a pharma?</t>
  </si>
  <si>
    <t>Who provides the bill of quantities?</t>
  </si>
  <si>
    <t>artisans and farmers</t>
  </si>
  <si>
    <t>Who was reintroduced for the 50th Anniversary special?</t>
  </si>
  <si>
    <t>When were Shimer College students allowed to transfer to the University of Chicago?</t>
  </si>
  <si>
    <t>Who was Ogedei's wife?</t>
  </si>
  <si>
    <t>Alvaro Martin and Raul Allegre</t>
  </si>
  <si>
    <t>In what year was there an attempt to withdraw the UMC membership?</t>
  </si>
  <si>
    <t>Daidu</t>
  </si>
  <si>
    <t>cattle were brought across the river there.</t>
  </si>
  <si>
    <t>5,792</t>
  </si>
  <si>
    <t>Before which military campaign did Chagatai publicly dispute Jochi's paternity?</t>
  </si>
  <si>
    <t>How much do researchers now think sea levels will rise from 1990 to 2100?</t>
  </si>
  <si>
    <t>When did French learn about Braddock's plans?</t>
  </si>
  <si>
    <t>most seats in the Legislative Assembly</t>
  </si>
  <si>
    <t>programmes</t>
  </si>
  <si>
    <t>By what century did researchers see that they could liquefy air?</t>
  </si>
  <si>
    <t>curriculum standards</t>
  </si>
  <si>
    <t>simulate a launch countdown on</t>
  </si>
  <si>
    <t>late 1970s</t>
  </si>
  <si>
    <t>having acknowledged that omitting climate as a key development issue in Vision 2030 was an oversight</t>
  </si>
  <si>
    <t>Who decided not to come visit the country in 2013?</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</si>
  <si>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</si>
  <si>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Where does the secondary theory say most genes are kept?</t>
  </si>
  <si>
    <t>What was the first Doctor Who show that TVOntario ran?</t>
  </si>
  <si>
    <t>What can amyloplasts become?</t>
  </si>
  <si>
    <t>Sociologist Jake Rosenfield of the University of Washington asserts that the decline of organized labor in the United States has played a more significant role in expanding the income gap than technological changes and globalization, which were also experienced by other industrialized nations that didn't experience steep surges in inequality. He points out that nations with high rates of unionization, particularly in Scandinavia, have very low levels of inequality, and concludes "the historical pattern is clear; the cross-national pattern is clear: high inequality goes hand-in-hand with weak labor movements and vice-versa."</t>
  </si>
  <si>
    <t>Where was France concentraing efforts?</t>
  </si>
  <si>
    <t>How many television and radio channels could the new digital service carry?</t>
  </si>
  <si>
    <t>What is the smallest geographical region discussed?</t>
  </si>
  <si>
    <t>When did General Hospital begin airing?</t>
  </si>
  <si>
    <t>In 1271, Kublai Khan imposed the name Great Yuan (Chinese: 大元; pinyin: Dà Yuán; Wade–Giles: Ta-Yüan), establishing the Yuan dynasty. "Dà Yuán" (大元) is from the sentence "大哉乾元" (dà zai Qián Yuán / "Great is Qián, the Primal") in the Commentaries on the Classic of Changes (I Ching) section regarding Qián (乾). The counterpart in Mongolian language was Dai Ön Ulus, also rendered as Ikh Yuan Üls or Yekhe Yuan Ulus. In Mongolian, Dai Ön (Great Yuan) is often used in conjunction with the "Yeke Mongghul Ulus" (lit. "Great Mongol State"), resulting in Dai Ön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</si>
  <si>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What does Phosphorylation do?</t>
  </si>
  <si>
    <t>Computational complexity theory</t>
  </si>
  <si>
    <t>Who took the throne after Kusala's death?</t>
  </si>
  <si>
    <t>in 2003</t>
  </si>
  <si>
    <t>Sumerian King Gilgamesh of Uruk and Atilla the Hun</t>
  </si>
  <si>
    <t>William of Montreuil</t>
  </si>
  <si>
    <t>Tyne and Wear Metro</t>
  </si>
  <si>
    <t>When was the suspension by FIFA lifted?</t>
  </si>
  <si>
    <t>What is European Union law?</t>
  </si>
  <si>
    <t>Baillie-PSW</t>
  </si>
  <si>
    <t>In what language did ESPN Deportes broadcast the game?</t>
  </si>
  <si>
    <t>a declining state of mind</t>
  </si>
  <si>
    <t>French Louisiana west of the Mississippi River (including New Orleans)</t>
  </si>
  <si>
    <t>After Braddock died, who controlled North American British forces?</t>
  </si>
  <si>
    <t>Approximately how many adherents does the United Methodist Church have across the world?</t>
  </si>
  <si>
    <t>a quantity surveyor</t>
  </si>
  <si>
    <t>The church holds that they are equally bound to respect the sacredness of the life and well-being of whom?</t>
  </si>
  <si>
    <t>What is the Scottish Parliament currently in the fourth of?</t>
  </si>
  <si>
    <t>Who pointed out that the passage under dispute actually refers to a living man?</t>
  </si>
  <si>
    <t>What light radiation does ozone absorb?</t>
  </si>
  <si>
    <t>Doc Films</t>
  </si>
  <si>
    <t>When was the Battle of Hastings?</t>
  </si>
  <si>
    <t>can produce both eggs and sperm</t>
  </si>
  <si>
    <t>Ming dynasty</t>
  </si>
  <si>
    <t>Granting what status would allow private non-religious schools in the US to receive public funds?</t>
  </si>
  <si>
    <t>What are dart frogs are known to secrete?</t>
  </si>
  <si>
    <t>the semi-arid savanna to the north and east</t>
  </si>
  <si>
    <t>1639</t>
  </si>
  <si>
    <t>Arts &amp; Entertainment Television (A&amp;E)</t>
  </si>
  <si>
    <t>ESPN Deportes</t>
  </si>
  <si>
    <t>Vendobionta</t>
  </si>
  <si>
    <t>wave speeds</t>
  </si>
  <si>
    <t>around 15,000</t>
  </si>
  <si>
    <t>socialist realism</t>
  </si>
  <si>
    <t>large</t>
  </si>
  <si>
    <t>to avoid the "inconvenience" of visiting a doctor or to obtain medications which their doctors were unwilling to prescribe</t>
  </si>
  <si>
    <t>the completed (or local) fields</t>
  </si>
  <si>
    <t>What organization did Harvard found in 1900?</t>
  </si>
  <si>
    <t>60,000 European settlers</t>
  </si>
  <si>
    <t>International Crops Research Institute for the Semi-Arid Tropics (ICRISAT)</t>
  </si>
  <si>
    <t>When did ABC begin broadcasting the Miss America Pageant?</t>
  </si>
  <si>
    <t>Which caused the reform to never come into force?</t>
  </si>
  <si>
    <t>What does the electrolysis of water produce?</t>
  </si>
  <si>
    <t>Harrogate market is in the local what?</t>
  </si>
  <si>
    <t>Southern Californian communities are well known to be large, spread - out, and what other characteristic?</t>
  </si>
  <si>
    <t>Enrique Pérez de Guzmán</t>
  </si>
  <si>
    <t>Newcastle University's student's union building</t>
  </si>
  <si>
    <t>promised to send him to the best engineering school</t>
  </si>
  <si>
    <t>What language does "hoy" originate from?</t>
  </si>
  <si>
    <t>North Carolina and New Mexico</t>
  </si>
  <si>
    <t>What were the claims of corruption in the armed forces?</t>
  </si>
  <si>
    <t>In the laboratory, biostratigraphers analyze rock samples from outcrop and drill cores for the fossils found in them. These fossils help scientists to date the core and to understand the depositional environment in which the rock units formed. Geochronologists precisely date rocks within the stratigraphic section in order to provide better absolute bounds on the timing and rates of deposition. Magnetic stratigraphers look for signs of magnetic reversals in igneous rock units within the drill cores. Other scientists perform stable isotope studies on the rocks to gain information about past climate.</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</si>
  <si>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</si>
  <si>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What car is licensed by the FSO Car Factory and built in Egypt?</t>
  </si>
  <si>
    <t>Agriculture</t>
  </si>
  <si>
    <t>Where is D'Olier Street?</t>
  </si>
  <si>
    <t>How are the explanations supported?</t>
  </si>
  <si>
    <t>number theory</t>
  </si>
  <si>
    <t>In organizing a new church, what did Luther find to be unworkable for congregations?</t>
  </si>
  <si>
    <t>Who is the final judge of right and wrong?</t>
  </si>
  <si>
    <t>What type of engines does the American car typically have?</t>
  </si>
  <si>
    <t>exercised by the government</t>
  </si>
  <si>
    <t>Who can decide on legal matters in Islam?</t>
  </si>
  <si>
    <t>During his second year of study at Graz, Tesla developed a passion for (and became very proficient at) billiards, chess and card-playing, sometimes spending more than 48 hours in a stretch at a gaming table.:43, 301 On one occasion at his laboratory, Tesla worked for a period of 84 hours without sleep or rest.:208 Kenneth Swezey, a journalist whom Tesla had befriended, confirmed that Tesla rarely slept. Swezey recalled one morning when Tesla called him at 3 a.m.: "I was sleeping in my room like one dead ... Suddenly, the telephone ring awakened me ... [Tesla] spoke animatedly, with pauses, [as he] ... work[ed] out a problem, comparing one theory to another, commenting; and when he felt he had arrived at the solution, he suddenly closed the telephone."</t>
  </si>
  <si>
    <t>the European Anti-fraud Office</t>
  </si>
  <si>
    <t>What is the main executive body of the EU?</t>
  </si>
  <si>
    <t>Apollo ran from 1961 to 1972</t>
  </si>
  <si>
    <t>The Rhine emerges from Lake Constance, flows generally westward, as the Hochrhein, passes the Rhine Falls, and is joined by its major tributary, the river Aare. The Aare more than doubles the Rhine's water discharge, to an average of nearly 1,000 m3/s (35,000 cu ft/s), and provides more than a fifth of the discharge at the Dutch border. The Aare also contains the waters from the 4,274 m (14,022 ft) summit of Finsteraarhorn, the highest point of the Rhine basin. The Rhine roughly forms the German-Swiss border from Lake Constance with the exceptions of the canton of Schaffhausen and parts of the cantons of Zürich and Basel-Stadt, until it turns north at the so-called Rhine knee at Basel, leaving Switzerland.</t>
  </si>
  <si>
    <t>Chu'Tsai</t>
  </si>
  <si>
    <t>St. Lawrence River valley</t>
  </si>
  <si>
    <t>3 January 1521</t>
  </si>
  <si>
    <t>Downtown Santa Monica and Downtown Glendale are a part of which area?</t>
  </si>
  <si>
    <t>In what year was the school formed?</t>
  </si>
  <si>
    <t>Danube</t>
  </si>
  <si>
    <t>probabilistic Turing machines, non-deterministic Turing machines</t>
  </si>
  <si>
    <t>Chu'Tsai,</t>
  </si>
  <si>
    <t>Mohawk Chief Hendrick</t>
  </si>
  <si>
    <t>Japanese</t>
  </si>
  <si>
    <t>What clothing company was a Super Bowl sponsor?</t>
  </si>
  <si>
    <t>How concentrated do the hydrogen ions get in the thylakoid space?</t>
  </si>
  <si>
    <t>NASA awarded all 32 of these astronauts its highest honor, the Distinguished Service Medal, given for "distinguished service, ability, or courage", and personal "contribution representing substantial progress to the NASA mission". The medals were awarded posthumously to Grissom, White, and Chaffee in 1969, then to the crews of all missions from Apollo 8 onward. The crew that flew the first Earth orbital test mission Apollo 7, Walter M. Schirra, Donn Eisele, and Walter Cunningham, were awarded the lesser NASA Exceptional Service Medal, because of discipline problems with the Flight Director's orders during their flight. The NASA Administrator in October, 2008, decided to award them the Distinguished Service Medals, by this time posthumously to Schirra and Eisele.</t>
  </si>
  <si>
    <t>because southern China withstood and fought to the last before caving in</t>
  </si>
  <si>
    <t>How many graduate students does Harvard have?</t>
  </si>
  <si>
    <t>the warmest months from May through September</t>
  </si>
  <si>
    <t>Other than the steamboat, what modern form of travel brought visitors to Florida?</t>
  </si>
  <si>
    <t>from about 400 AD to 1914</t>
  </si>
  <si>
    <t>the radius () of the Earth</t>
  </si>
  <si>
    <t>250,000 feet (</t>
  </si>
  <si>
    <t>A complexity resource can also be described as what other type of resource?</t>
  </si>
  <si>
    <t>Jesus the Interpreter</t>
  </si>
  <si>
    <t>social exclusion</t>
  </si>
  <si>
    <t>The unusually high concentration of oxygen gas on Earth is the result of the oxygen cycle. This biogeochemical cycle describes the movement of oxygen within and between its three main reservoirs on Earth: the atmosphere, the biosphere, and the lithosphere. The main driving factor of the oxygen cycle is photosynthesis, which is responsible for modern Earth's atmosphere. Photosynthesis releases oxygen into the atmosphere, while respiration and decay remove it from the atmosphere. In the present equilibrium, production and consumption occur at the same rate of roughly 1/2000th of the entire atmospheric oxygen per year.</t>
  </si>
  <si>
    <t>Which boulevard can you find many majestic homes in the area?</t>
  </si>
  <si>
    <t>German Peasants' War</t>
  </si>
  <si>
    <t>the Han Chinese, Khitans, Jurchens, Mongols, and Tibetan Buddhists</t>
  </si>
  <si>
    <t>Who introduced the first system of education?</t>
  </si>
  <si>
    <t>How significant was the transfer of disease through fleas?</t>
  </si>
  <si>
    <t>From where was von Braun transferred to go to NASA?</t>
  </si>
  <si>
    <t>When did Newcastle's first indoor market open?</t>
  </si>
  <si>
    <t>Britain as well as Holland, Prussia, and South Africa</t>
  </si>
  <si>
    <t>Luther's hostile publications</t>
  </si>
  <si>
    <t>Vosges Mountains</t>
  </si>
  <si>
    <t>What did a survey of North American Lutherans find that Lutherans felt about Jews compared to other minority groups?</t>
  </si>
  <si>
    <t>Tesla obtained around 300 patents worldwide for his inventions. Some of Tesla's patents are not accounted for, and various sources have discovered some that have lain hidden in patent archives. There are a minimum of 278 patents issued to Tesla in 26 countries that have been accounted for. Many of Tesla's patents were in the United States, Britain, and Canada, but many other patents were approved in countries around the globe.:62 Many inventions developed by Tesla were not put into patent protection.</t>
  </si>
  <si>
    <t>The oil crisis caused oil companies to increase oil supplies in which area?</t>
  </si>
  <si>
    <t>When did Luther appeared before the Diet of Worms?</t>
  </si>
  <si>
    <t>Charles Richard</t>
  </si>
  <si>
    <t>What are weak and electromatic forces expressions of?</t>
  </si>
  <si>
    <t>a drive shaft</t>
  </si>
  <si>
    <t>Wiesner kept up the pressure, even making the disagreement public during a two-day September visit by the President to Marshall Space Flight Center. Wiesner blurted out "No, that's no good" in front of the press, during a presentation by von Braun. Webb jumped in and defended von Braun, until Kennedy ended the squabble by stating that the matter was "still subject to final review". Webb held firm, and issued a request for proposal to candidate Lunar Excursion Module (LEM) contractors. Wiesner finally relented, unwilling to settle the dispute once and for all in Kennedy's office, because of the President's involvement with the October Cuban missile crisis, and fear of Kennedy's support for Webb. NASA announced the selection of Grumman as the LEM contractor in November 1962.</t>
  </si>
  <si>
    <t>What caused UK to have an oil crisis in its own country?</t>
  </si>
  <si>
    <t>he explored</t>
  </si>
  <si>
    <t>loess</t>
  </si>
  <si>
    <t>Super Bowl City</t>
  </si>
  <si>
    <t>church bishops)</t>
  </si>
  <si>
    <t>3.6%</t>
  </si>
  <si>
    <t>By the end of 1350</t>
  </si>
  <si>
    <t>steamboats and road vehicles</t>
  </si>
  <si>
    <t>Who led the in house design studies for NASA?</t>
  </si>
  <si>
    <t>For the first time, the Super Bowl 50 Host Committee and the NFL have openly sought disabled veteran and lesbian, gay, bisexual and transgender-owned businesses in Business Connect, the Super Bowl program that provides local companies with contracting opportunities in and around the Super Bowl. The host committee has already raised over $40 million through sponsors including Apple, Google, Yahoo!, Intel, Gap, Chevron, and Dignity Health.</t>
  </si>
  <si>
    <t>When did Syria and Egypt launch a surprise attack on Israel?</t>
  </si>
  <si>
    <t>What is the term for an Indian private school?</t>
  </si>
  <si>
    <t>The cities of Los Angeles and San Diego are a part of which state?</t>
  </si>
  <si>
    <t>punt</t>
  </si>
  <si>
    <t>the King</t>
  </si>
  <si>
    <t>living organisms</t>
  </si>
  <si>
    <t>Johann Eck</t>
  </si>
  <si>
    <t>What does the inability to separate Islam from Islamism lead many in the West to support?</t>
  </si>
  <si>
    <t>one ninth</t>
  </si>
  <si>
    <t>In what compound is oxygen part of a ring arrangement?</t>
  </si>
  <si>
    <t>7,000 doctors</t>
  </si>
  <si>
    <t>Egyptian fraction</t>
  </si>
  <si>
    <t>The area where Jacksonville currently sits has been inhabited for how many years?</t>
  </si>
  <si>
    <t>the ozone generated in contact with the skin, and to a lesser extent, by nitrous acid</t>
  </si>
  <si>
    <t>Sakya sect</t>
  </si>
  <si>
    <t>Where did Luther explain his idea of justification?</t>
  </si>
  <si>
    <t>cnidarians</t>
  </si>
  <si>
    <t xml:space="preserve">Which of the tributaries in Germany contributes most? </t>
  </si>
  <si>
    <t>What made the oil crisis worse in the US?</t>
  </si>
  <si>
    <t>prices</t>
  </si>
  <si>
    <t>MHC class I</t>
  </si>
  <si>
    <t>They arranged for Israel to pull back from the Sinai Peninsula and the Golan Heights.</t>
  </si>
  <si>
    <t>There are direct contractual links between who?</t>
  </si>
  <si>
    <t>Oxygen, as a supposed mild euphoric, has a history of recreational use in oxygen bars and in sports. Oxygen bars are establishments, found in Japan, California, and Las Vegas, Nevada since the late 1990s that offer higher than normal O
2 exposure for a fee. Professional athletes, especially in American football, also sometimes go off field between plays to wear oxygen masks in order to get a "boost" in performance. The pharmacological effect is doubtful; a placebo effect is a more likely explanation. Available studies support a performance boost from enriched O
2 mixtures only if they are breathed during aerobic exercise.</t>
  </si>
  <si>
    <t>To what is 50 kilopascals equal?</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</si>
  <si>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</si>
  <si>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Rhine knee</t>
  </si>
  <si>
    <t>When was virgin media rebranded from NTL Telewest?</t>
  </si>
  <si>
    <t>Jochi,</t>
  </si>
  <si>
    <t>Who were the secondary companions of the Ninth and Tenth Doctors?</t>
  </si>
  <si>
    <t>How many geomorphologic formations is Warsaw on?</t>
  </si>
  <si>
    <t>Under Elie Metchnikoff's cellular theory, what cells were responsible for immune response?</t>
  </si>
  <si>
    <t>the way of military action</t>
  </si>
  <si>
    <t>What is the nickname of the female Master?</t>
  </si>
  <si>
    <t>18–49 demographic</t>
  </si>
  <si>
    <t>What is almost identical across all nations and jurisdictions?</t>
  </si>
  <si>
    <t>village of Pickawillany</t>
  </si>
  <si>
    <t>200,000 lbf</t>
  </si>
  <si>
    <t>enthusiasm</t>
  </si>
  <si>
    <t>How many fumbles did Von Miller force?</t>
  </si>
  <si>
    <t>Henry David Thoreau</t>
  </si>
  <si>
    <t>through policies</t>
  </si>
  <si>
    <t>over the winter of 1973–74</t>
  </si>
  <si>
    <t>What part of the Earth's geological structure is larger than the crust?</t>
  </si>
  <si>
    <t>The Warsaw Citadel</t>
  </si>
  <si>
    <t>residents willing to pay higher market rate for housing</t>
  </si>
  <si>
    <t>a second Bachelor's Degree such as a Bachelor of Education</t>
  </si>
  <si>
    <t>How many soldiers did Genghis Khan take with him to Khwarezmia?</t>
  </si>
  <si>
    <t>Who previously held the record for being the oldest quarterback to play in a Super Bowl?</t>
  </si>
  <si>
    <t>public switched data network</t>
  </si>
  <si>
    <t>a customs union</t>
  </si>
  <si>
    <t>What was the boat called?</t>
  </si>
  <si>
    <t>What was the name of the Norman castle?</t>
  </si>
  <si>
    <t>What is the alpine valley that the Rhine flows through?</t>
  </si>
  <si>
    <t>What does the 9 +3 pattern of cilia thought to do?</t>
  </si>
  <si>
    <t>The idea that Islam can be apolitical isn't able to be embraced by whom?</t>
  </si>
  <si>
    <t>Why was this short termed organization created?</t>
  </si>
  <si>
    <t>it developed into a major part of the Internet backbone</t>
  </si>
  <si>
    <t>a chain or screw stoking mechanism</t>
  </si>
  <si>
    <t>indulgences for the dead,</t>
  </si>
  <si>
    <t>chorale cantatas</t>
  </si>
  <si>
    <t>What year did AGOA take effect?</t>
  </si>
  <si>
    <t>aerobic exercise</t>
  </si>
  <si>
    <t>1895</t>
  </si>
  <si>
    <t>a Standard Model</t>
  </si>
  <si>
    <t>Donald Tusk</t>
  </si>
  <si>
    <t>Yassa</t>
  </si>
  <si>
    <t>Which company held a contest whereupon contestants could enter for a chance to have their own commercial shown during Super Bowl 50?</t>
  </si>
  <si>
    <t>Lagos and Quiberon Bay.</t>
  </si>
  <si>
    <t>NE1fm launched on 8 June 2007, the first full-time community radio station in the area. Newcastle Student Radio is run by students from both of the city's universities, broadcasting from Newcastle University's student's union building during term time. Radio Tyneside has been the voluntary hospital radio service for most hospitals across Newcastle and Gateshead since 1951, broadcasting on Hospedia  and online. The city also has a Radio Lollipop station based at the Great North Children's Hospital in the Newcastle Royal Victoria Infirmary.</t>
  </si>
  <si>
    <t>How many points did the Broncos score in the last three minutes of the game versus Pittsburgh?</t>
  </si>
  <si>
    <t>Auckland</t>
  </si>
  <si>
    <t>How many total yards did the Panthers have in the NFC Championship?</t>
  </si>
  <si>
    <t>He came to power by uniting many of the nomadic tribes of Northeast Asia. After founding the Mongol Empire and being proclaimed "Genghis Khan", he started the Mongol invasions that resulted in the conquest of most of Eurasia. These included raids or invasions of the Qara Khitai, Caucasus, Khwarezmid Empire, Western Xia and Jin dynasties. These campaigns were often accompanied by wholesale massacres of the civilian populations – especially in the Khwarezmian and Xia controlled lands. By the end of his life, the Mongol Empire occupied a substantial portion of Central Asia and China.</t>
  </si>
  <si>
    <t>£41,004</t>
  </si>
  <si>
    <t>United Kingdom</t>
  </si>
  <si>
    <t>What is the process of removing trees from a forest known as?</t>
  </si>
  <si>
    <t>What does "TGIF" stand for?</t>
  </si>
  <si>
    <t>Protestant clergy to marry</t>
  </si>
  <si>
    <t>a two-phased system</t>
  </si>
  <si>
    <t>Khitan had been overthrown by which dynasty that Genghis Khan later defeated?</t>
  </si>
  <si>
    <t>discouraged development of alternative energies</t>
  </si>
  <si>
    <t>What is the English translation of Het Scheur?</t>
  </si>
  <si>
    <t>Devin Funchess</t>
  </si>
  <si>
    <t>the death of a heretic</t>
  </si>
  <si>
    <t>British bacteriologist J. F. D. Shrewsbury</t>
  </si>
  <si>
    <t>What did the NIF try to unify Islamist opposition against?</t>
  </si>
  <si>
    <t>Suleiman the Magnificent</t>
  </si>
  <si>
    <t>1986</t>
  </si>
  <si>
    <t>Kenya’s armed forces, like many government institutions in the country, have been tainted by corruption allegations. Because the operations of the armed forces have been traditionally cloaked by the ubiquitous blanket of “state security”, the corruption has been less in public view, and thus less subject to public scrutiny and notoriety. This has changed recently. In what are by Kenyan standards unprecedented revelations, in 2010, credible claims of corruption were made with regard to recruitment  and procurement of Armoured Personnel Carriers. Further, the wisdom and prudence of certain decisions of procurement have been publicly questioned.</t>
  </si>
  <si>
    <t>a biplane capable of taking off vertically</t>
  </si>
  <si>
    <t>In what year did ABC resume its television relationship with Disney?</t>
  </si>
  <si>
    <t>substitute parent</t>
  </si>
  <si>
    <t>Who do Priesthood representatives defer to, at times?</t>
  </si>
  <si>
    <t>How long ago was it when the water broke through the Purus Arch?</t>
  </si>
  <si>
    <t>Where had the Mongol capital been before Kublai moved it?</t>
  </si>
  <si>
    <t>What type/genre of TV show is Doctor Who?</t>
  </si>
  <si>
    <t>Who attends Loreto Normanhurst?</t>
  </si>
  <si>
    <t>VTOL aircraft</t>
  </si>
  <si>
    <t>the United Nations Environment Programme (UNEP) and the World Meteorological Organization (WMO),</t>
  </si>
  <si>
    <t>the lamprey and hagfish</t>
  </si>
  <si>
    <t>two thousand</t>
  </si>
  <si>
    <t>The Commission's President</t>
  </si>
  <si>
    <t>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t>
  </si>
  <si>
    <t>Under what condition is an element irreducible?</t>
  </si>
  <si>
    <t>December 31, 1999</t>
  </si>
  <si>
    <t>exercise</t>
  </si>
  <si>
    <t>Onon River</t>
  </si>
  <si>
    <t>What entity did Tesla believe would not be able to solve the problems of the time?</t>
  </si>
  <si>
    <t>Bent Rhine</t>
  </si>
  <si>
    <t>What British General negotiated at Montreal?</t>
  </si>
  <si>
    <t>267</t>
  </si>
  <si>
    <t>Louis de Condé</t>
  </si>
  <si>
    <t>1859</t>
  </si>
  <si>
    <t>Tea, coffee, sisal, pyrethrum, corn, and wheat</t>
  </si>
  <si>
    <t>Who may also submit private bills to Parliament?</t>
  </si>
  <si>
    <t>Which team in Super Bowl 50 had a 15-1 record?</t>
  </si>
  <si>
    <t>In the determination of complexity classes, what are two examples of types of Turing machines?</t>
  </si>
  <si>
    <t>The Talbot Hughes collection was a gift from which company?</t>
  </si>
  <si>
    <t>the WMO</t>
  </si>
  <si>
    <t>How did Morgan react to the request?</t>
  </si>
  <si>
    <t>Outside of its use of automobiles, what else is southern California famous for using?</t>
  </si>
  <si>
    <t>What is the service sector dominated by?</t>
  </si>
  <si>
    <t>sleep in peace</t>
  </si>
  <si>
    <t>coercive</t>
  </si>
  <si>
    <t>When did the Rhine Straightening program begin?</t>
  </si>
  <si>
    <t>Who was the most influential researcher among those grappling with the deficit of work surrounding the complexity posed by algorithmic problems?</t>
  </si>
  <si>
    <t>the physician has a financial self-interest in "diagnosing" as many conditions as possible</t>
  </si>
  <si>
    <t>What was the black death originally blamed on?</t>
  </si>
  <si>
    <t>inconclusively, with both sides withdrawing from the field</t>
  </si>
  <si>
    <t>1,000 m3/s (35,000 cu ft/s),</t>
  </si>
  <si>
    <t>the Ethiopian Empire</t>
  </si>
  <si>
    <t>Who did the Panthers face in the NFC Championship Game?</t>
  </si>
  <si>
    <t>the Turing machine</t>
  </si>
  <si>
    <t>$5 million</t>
  </si>
  <si>
    <t>water</t>
  </si>
  <si>
    <t>the Supreme Court</t>
  </si>
  <si>
    <t>red-algal derived</t>
  </si>
  <si>
    <t>non-Catholics</t>
  </si>
  <si>
    <t>by a fee per unit of connection time, even when no data is transferred</t>
  </si>
  <si>
    <t>debased</t>
  </si>
  <si>
    <t>Where in Dundee will the gallery be located?</t>
  </si>
  <si>
    <t>destroyed</t>
  </si>
  <si>
    <t>George Mueller</t>
  </si>
  <si>
    <t>solidarity tactics</t>
  </si>
  <si>
    <t>Prior to Super Bowl 50, when were the Broncos last there?</t>
  </si>
  <si>
    <t>1881</t>
  </si>
  <si>
    <t>What is the name of the commuter rail system?</t>
  </si>
  <si>
    <t>A study in England showed a 0.3% prevalence of sexual abuse by any professional, a group that included priests, religious leaders, and case workers as well as teachers. It is important to note, however, that the British study referenced above is the only one of its kind and consisted of "a random ... probability sample of 2,869 young people between the ages of 18 and 24 in a computer-assisted study" and that the questions referred to "sexual abuse with a professional," not necessarily a teacher. It is therefore logical to conclude that information on the percentage of abuses by teachers in the United Kingdom is not explicitly available and therefore not necessarily reliable. The AAUW study, however, posed questions about fourteen types of sexual harassment and various degrees of frequency and included only abuses by teachers. "The sample was drawn from a list of 80,000 schools to create a stratified two-stage sample design of 2,065 8th to 11th grade students"Its reliability was gauged at 95% with a 4% margin of error.</t>
  </si>
  <si>
    <t>Elton Rule</t>
  </si>
  <si>
    <t>Ferenc Deák</t>
  </si>
  <si>
    <t>even numbers</t>
  </si>
  <si>
    <t>marry one of his wife's ladies-in-waiting</t>
  </si>
  <si>
    <t>trade unions</t>
  </si>
  <si>
    <t>Webb</t>
  </si>
  <si>
    <t>300–600 nanometers</t>
  </si>
  <si>
    <t>host interface to X.25 and the terminal interface to X.29</t>
  </si>
  <si>
    <t>Who wrote the eulogy?</t>
  </si>
  <si>
    <t>What did the engineers fear would be difficult in space due to it never being attempted in Earth orbit?</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</si>
  <si>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</si>
  <si>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What is the atomic number for oxygen?</t>
  </si>
  <si>
    <t>What was report P-2626</t>
  </si>
  <si>
    <t>Earth</t>
  </si>
  <si>
    <t>Newcastle was one of the first cities in the world to have what innovation?</t>
  </si>
  <si>
    <t>December 28, 2015,</t>
  </si>
  <si>
    <t>Ismailiyah, Egypt</t>
  </si>
  <si>
    <t>On what street was the Theatre Royal's replacement built?</t>
  </si>
  <si>
    <t>Who organized the Britain Can Make It exhibition?</t>
  </si>
  <si>
    <t>there is no known polynomial-time solution</t>
  </si>
  <si>
    <t>about seven-eighths</t>
  </si>
  <si>
    <t>How many ACL injuries has Thomas Davis had during his career?</t>
  </si>
  <si>
    <t xml:space="preserve">The integer factorization problem essentially seeks to determine if the value of of an input is less than what variable? </t>
  </si>
  <si>
    <t>The mechanism by which Y. pestis was usually transmitted</t>
  </si>
  <si>
    <t>The principles of imperialism are often generalizable to the policies and practices of the British Empire "during the last generation, and proceeds rather by diagnosis than by historical description".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t>
  </si>
  <si>
    <t>orthogonal components</t>
  </si>
  <si>
    <t>capturing three traders and killing 14 people of the Miami nation</t>
  </si>
  <si>
    <t>Taihō Code (701) and re-stated in the Yōrō Code</t>
  </si>
  <si>
    <t>developed</t>
  </si>
  <si>
    <t>unfermented grape juice</t>
  </si>
  <si>
    <t>1487</t>
  </si>
  <si>
    <t>When did the NFL start their 16 game seasons?</t>
  </si>
  <si>
    <t>Where did water to the east of the Amazon drainage basin flow towards?</t>
  </si>
  <si>
    <t>all within a few hundred feet of each other</t>
  </si>
  <si>
    <t>Yuan_dynasty</t>
  </si>
  <si>
    <t>What resource is the economy of southern California depedent on?</t>
  </si>
  <si>
    <t>the Pauli exclusion principle</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</si>
  <si>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</si>
  <si>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Sophocles</t>
  </si>
  <si>
    <t>General Samuel C. Phillips</t>
  </si>
  <si>
    <t>In what year did Harvard President Joseph Willard die?</t>
  </si>
  <si>
    <t>drowned in the Mur River</t>
  </si>
  <si>
    <t>the General Pharmaceutical Council (GPhC) register</t>
  </si>
  <si>
    <t>What is Nexus?</t>
  </si>
  <si>
    <t>Roughly how much is the Student Government's budget?</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</si>
  <si>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</si>
  <si>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Which other ancient organism formed basic immune mechanisms?</t>
  </si>
  <si>
    <t>analog and numerical experiments</t>
  </si>
  <si>
    <t>When was Warsaw completely razed to the ground by bombing raids?</t>
  </si>
  <si>
    <t>What other aspect of Luther's life was affected by his health?</t>
  </si>
  <si>
    <t>What are the main sources of primary law?</t>
  </si>
  <si>
    <t>What co-receptor recruits molecules inside the T cell that are responsible for cell activation?</t>
  </si>
  <si>
    <t>BBC National Orchestra of Wales</t>
  </si>
  <si>
    <t>the Ministry of War</t>
  </si>
  <si>
    <t>What is the name of matters outside the legislative ability of the Scottish Parliament?</t>
  </si>
  <si>
    <t>What title do both Doctor Who and the Master share?</t>
  </si>
  <si>
    <t>dispatched six regiments to New France under the command of Baron Dieskau in 1755</t>
  </si>
  <si>
    <t>What was the name of the launch vehicle for NASA, which North American Aviation designed the second stage of?</t>
  </si>
  <si>
    <t>at the narrow end</t>
  </si>
  <si>
    <t>to “wid[en] people’s choices and the level of their achieved well-being”</t>
  </si>
  <si>
    <t>Getty Oil</t>
  </si>
  <si>
    <t>What types of teachers are retiring the most?</t>
  </si>
  <si>
    <t>photosystem I</t>
  </si>
  <si>
    <t>What type of markets is the dwelling type below?</t>
  </si>
  <si>
    <t>the Ming dynasty</t>
  </si>
  <si>
    <t>What can concentrated oxygen produce?</t>
  </si>
  <si>
    <t>the Diffie–Hellman key exchange</t>
  </si>
  <si>
    <t>By which year did Chrysler ended its full sized luxury model?</t>
  </si>
  <si>
    <t>Richard Harbison</t>
  </si>
  <si>
    <t>the Convention</t>
  </si>
  <si>
    <t>What is a trait of sequential hermaphrodites?</t>
  </si>
  <si>
    <t>pep rally</t>
  </si>
  <si>
    <t>Climate fluctuations during the last 34 million years</t>
  </si>
  <si>
    <t>Who was in command of the German military forces?</t>
  </si>
  <si>
    <t>What city is the capital of Victoria?</t>
  </si>
  <si>
    <t>the Pacific</t>
  </si>
  <si>
    <t>as a structural force</t>
  </si>
  <si>
    <t>Eternal Heaven</t>
  </si>
  <si>
    <t>What is incorrectly thought about the outer chloroplast membrane?</t>
  </si>
  <si>
    <t>atra mors</t>
  </si>
  <si>
    <t>What theorem defines the main role of primes in number theory?</t>
  </si>
  <si>
    <t>What goal do many of these protests have?</t>
  </si>
  <si>
    <t>a cryptophyte</t>
  </si>
  <si>
    <t>What creatures were the most popular monsters in the series?</t>
  </si>
  <si>
    <t>What school was Walter Camp a captain for the football team?</t>
  </si>
  <si>
    <t>by a fee per unit of information transmitted</t>
  </si>
  <si>
    <t>only pharmacists</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</si>
  <si>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</si>
  <si>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immunosuppressive</t>
  </si>
  <si>
    <t>Han Chinese and Khitans</t>
  </si>
  <si>
    <t>What was the Pinedale Assembly Center?</t>
  </si>
  <si>
    <t>What was the name of the first Doctor Who radio drama?</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</si>
  <si>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</si>
  <si>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What town was actually granted to the Huguenots on arrival?</t>
  </si>
  <si>
    <t>the traditional Mongolian aristocracy</t>
  </si>
  <si>
    <t>When did the BBC receive a favorable ruling on the trade mark claim?</t>
  </si>
  <si>
    <t>Tate Britain</t>
  </si>
  <si>
    <t>How are forces classified with regard to push and pull strengt?</t>
  </si>
  <si>
    <t>Christchurch</t>
  </si>
  <si>
    <t>What has the avoidance of men to become teachers caused, in some areas?</t>
  </si>
  <si>
    <t>2,869</t>
  </si>
  <si>
    <t>What network approached Walt Disney about producing color broadcasts of his anthology series?</t>
  </si>
  <si>
    <t>self-consistent unification models that would combine all four fundamental interactions</t>
  </si>
  <si>
    <t>Generally speaking, while all member states recognise that EU law takes primacy over national law where this agreed in the Treaties, they do not accept that the Court of Justice has the final say on foundational constitutional questions affecting democracy and human rights. In the United Kingdom, the basic principle is that Parliament, as the sovereign expression of democratic legitimacy, can decide whether it wishes to expressly legislate against EU law. This, however, would only happen in the case of an express wish of the people to withdraw from the EU. It was held in R (Factortame Ltd) v Secretary of State for Transport that "whatever limitation of its sovereignty Parliament accepted when it enacted the European Communities Act 1972 was entirely voluntary" and so "it has always been clear" that UK courts have a duty "to override any rule of national law found to be in conflict with any directly enforceable rule of Community law." More recently the UK Supreme Court noted that in R (HS2 Action Alliance Ltd) v Secretary of State for Transport, although the UK constitution is uncodified, there could be "fundamental principles" of common law, and Parliament "did not either contemplate or authorise the abrogation" of those principles when it enacted the European Communities Act 1972. The view of the German Constitutional Court from the Solange I and Solange II decisions is that if the EU does not comply with its basic constitutional rights and principles (particularly democracy, the rule of law and the social state principles) then it cannot override German law. However, as the nicknames of the judgments go, "so long as" the EU works towards the democratisation of its institutions, and has a framework that protects fundamental human rights, it would not review EU legislation for compatibility with German constitutional principles. Most other member states have expressed similar reservations. This suggests the EU's legitimacy rests on the ultimate authority of member states, its factual commitment to human rights, and the democratic will of the people.</t>
  </si>
  <si>
    <t>University of Wittenberg.</t>
  </si>
  <si>
    <t>WATCH ABC</t>
  </si>
  <si>
    <t>Tumors that are able to evade the body's immune response can become what?</t>
  </si>
  <si>
    <t>four men attending Harvard College for every woman studying at Radcliffe</t>
  </si>
  <si>
    <t>The contracted batch of 15 Saturn Vs were enough for lunar landing missions through Apollo 20. NASA publicized a preliminary list of eight more planned landing sites, with plans to increase the mass of the CSM and LM for the last five missions, along with the payload capacity of the Saturn V. These final missions would combine the I and J types in the 1967 list, allowing the CMP to operate a package of lunar orbital sensors and cameras while his companions were on the surface, and allowing them to stay on the Moon for over three days. These missions would also carry the Lunar Roving Vehicle (LRV) increasing the exploration area and allowing televised liftoff of the LM. Also, the Block II spacesuit was revised for the extended missions to allow greater flexibility and visibility for driving the LRV.</t>
  </si>
  <si>
    <t>Who is the president of TUMAS?</t>
  </si>
  <si>
    <t>mid-Cambrian period</t>
  </si>
  <si>
    <t>sequence</t>
  </si>
  <si>
    <t>What was the significance of victory at Forth Niagara for British?</t>
  </si>
  <si>
    <t>Journey's End</t>
  </si>
  <si>
    <t>Johann Sebastian Bach</t>
  </si>
  <si>
    <t>ca. 2 million</t>
  </si>
  <si>
    <t>a fee per unit of information transmitted</t>
  </si>
  <si>
    <t>Which coastline does Southern California touch?</t>
  </si>
  <si>
    <t>What was the first steam powered device used commercially?</t>
  </si>
  <si>
    <t>Father</t>
  </si>
  <si>
    <t>What German poet was descended from Huguenots?</t>
  </si>
  <si>
    <t>What directly opposes the force applied to move an object across a surface?</t>
  </si>
  <si>
    <t>complexity measure</t>
  </si>
  <si>
    <t>descended from an Italo-Norman named Raoul</t>
  </si>
  <si>
    <t>2nd century BCE</t>
  </si>
  <si>
    <t>dinosaurs</t>
  </si>
  <si>
    <t>Oxygen storage methods include high pressure oxygen tanks, cryogenics and chemical compounds. For reasons of economy, oxygen is often transported in bulk as a liquid in specially insulated tankers, since one liter of liquefied oxygen is equivalent to 840 liters of gaseous oxygen at atmospheric pressure and 20 °C (68 °F). Such tankers are used to refill bulk liquid oxygen storage containers, which stand outside hospitals and other institutions with a need for large volumes of pure oxygen gas. Liquid oxygen is passed through heat exchangers, which convert the cryogenic liquid into gas before it enters the building. Oxygen is also stored and shipped in smaller cylinders containing the compressed gas; a form that is useful in certain portable medical applications and oxy-fuel welding and cutting.</t>
  </si>
  <si>
    <t>Paul Revere was descended from Huguenot refugees, as was Henry Laurens, who signed the Articles of Confederation for South Carolina; Jack Jouett, who made the ride from Cuckoo Tavern to warn Thomas Jefferson and others that Tarleton and his men were on their way to arrest him for crimes against the king; Francis Marion, and a number of other leaders of the American Revolution and later statesmen. The last active Huguenot congregation in North America worships in Charleston, South Carolina, at a church that dates to 1844. The Huguenot Society of America maintains Manakin Episcopal Church in Virginia as an historic shrine with occasional services. The Society has chapters in numerous states, with the one in Texas being the largest.</t>
  </si>
  <si>
    <t>The Horniman</t>
  </si>
  <si>
    <t>St. George's United Methodist Church,</t>
  </si>
  <si>
    <t>continued gender inequality in education</t>
  </si>
  <si>
    <t>Plastoglobuli (singular plastoglobulus, sometimes spelled plastoglobule(s)), are spherical bubbles of lipids and proteins about 45–60 nanometers across. They are surrounded by a lipid monolayer. Plastoglobuli are found in all chloroplasts, but become more common when the chloroplast is under oxidative stress, or when it ages and transitions into a gerontoplast. Plastoglobuli also exhibit a greater size variation under these conditions. They are also common in etioplasts, but decrease in number as the etioplasts mature into chloroplasts.</t>
  </si>
  <si>
    <t>five phases</t>
  </si>
  <si>
    <t>swimming-plates</t>
  </si>
  <si>
    <t>Rome</t>
  </si>
  <si>
    <t>What kind of representational system does the Victorian Legislative Council have?</t>
  </si>
  <si>
    <t>By separating faith and reason, what does Luther honor?</t>
  </si>
  <si>
    <t>you don't understand our American humor</t>
  </si>
  <si>
    <t>For what league does ABC broadcast games on Christmas day?</t>
  </si>
  <si>
    <t>When did Tesla stop serving as the vice president of American Institute of Electrical Engineers?</t>
  </si>
  <si>
    <t>When B cells and T cells begin to replicate, what do some of their offspring cells become?</t>
  </si>
  <si>
    <t>steam engine indicator</t>
  </si>
  <si>
    <t xml:space="preserve">What was the percentage of Non-Hispanic Whites in 2010? </t>
  </si>
  <si>
    <t>the mouth and pharynx</t>
  </si>
  <si>
    <t>Diffie–Hellman key exchange</t>
  </si>
  <si>
    <t>Who brought together the former rivals at the signing ceremony?</t>
  </si>
  <si>
    <t>Arabic numerals</t>
  </si>
  <si>
    <t>cycling</t>
  </si>
  <si>
    <t>What project structures assist the owner in integration?</t>
  </si>
  <si>
    <t>printed books and the work of European artists and craftsmen employed in Britain</t>
  </si>
  <si>
    <t>What date were the top two stadium choices for Super Bowl 50 announced?</t>
  </si>
  <si>
    <t>adaptation of the Latin Mass</t>
  </si>
  <si>
    <t>river systems</t>
  </si>
  <si>
    <t>Always in search of new programs that would help it compete with NBC and CBS, ABC's management believed that sports could be a major catalyst in improving the network's market share. On April 29, 1961, ABC debuted Wide World of Sports, an anthology series created by Edgar Scherick through his company Sports Programs, Inc. and produced by a young Roone Arledge which featured a different sporting event each broadcast. ABC purchased Sports Programs, Inc. in exchange for shares in the company, leading it to become the future core of ABC Sports, with Arledge as the executive producer of that division's shows. Wide World of Sports, in particular, was not merely devoted to a single sport, but rather to generally all sporting events.</t>
  </si>
  <si>
    <t>Jenggis is the adjectival form of what word?</t>
  </si>
  <si>
    <t>There are various mechanisms by which teacher enthusiasm may facilitate higher levels of intrinsic motivation. Teacher enthusiasm may contribute to a classroom atmosphere full of energy and enthusiasm which feed student interest and excitement in learning the subject matter. Enthusiastic teachers may also lead to students becoming more self-determined in their own learning process. The concept of mere exposure indicates that the teacher's enthusiasm may contribute to the student's expectations about intrinsic motivation in the context of learning. Also, enthusiasm may act as a "motivational embellishment"; increasing a student's interest by the variety, novelty, and surprise of the enthusiastic teacher's presentation of the material. Finally, the concept of emotional contagion, may also apply. Students may become more intrinsically motivated by catching onto the enthusiasm and energy of the teacher.[citation needed]</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</si>
  <si>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d'oïl branch of Romance by a Norse-speaking ruling class, and it developed into the regional language that survives today.</t>
  </si>
  <si>
    <t>value of the spin,</t>
  </si>
  <si>
    <t>Where in Australia is Victoria located?</t>
  </si>
  <si>
    <t>the South</t>
  </si>
  <si>
    <t>What is the last name of the player who bumped the ball away from Manning in the fourth quarter of Super Bowl 50?</t>
  </si>
  <si>
    <t>Goldbach's</t>
  </si>
  <si>
    <t>Who captured Fort Beausejour?</t>
  </si>
  <si>
    <t>Extreme Makeover: Home Edition</t>
  </si>
  <si>
    <t>Where was a lab for Tesla set up?</t>
  </si>
  <si>
    <t>increasing functionings (the things a person values doing), capabilities (the freedom to enjoy functionings) and agency (the ability to pursue valued goals)</t>
  </si>
  <si>
    <t>trade with Constantinople</t>
  </si>
  <si>
    <t>not equal</t>
  </si>
  <si>
    <t>butchery</t>
  </si>
  <si>
    <t>North</t>
  </si>
  <si>
    <t>quantized</t>
  </si>
  <si>
    <t>What country's schools have codes of behavior that are very strict?</t>
  </si>
  <si>
    <t>187 feet</t>
  </si>
  <si>
    <t>Fielding H. Garrison believes that the science of geology can be traced to where?</t>
  </si>
  <si>
    <t>better understanding of the Mau Mau command structure</t>
  </si>
  <si>
    <t>an automobile radiator</t>
  </si>
  <si>
    <t>Börte</t>
  </si>
  <si>
    <t>The University of Warsaw was established in 1816, when the partitions of Poland separated Warsaw from the oldest and most influential Polish academic center, in Kraków.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</si>
  <si>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What percentage does the Amazon represents in rainforests on the planet?</t>
  </si>
  <si>
    <t>What was the name of the 50th Anniversary show?</t>
  </si>
  <si>
    <t>the Queen</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</si>
  <si>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</si>
  <si>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How many field goals did McManus kick in the game?</t>
  </si>
  <si>
    <t>What did Luther write as an outline of the new faith?</t>
  </si>
  <si>
    <t>William Tyndale</t>
  </si>
  <si>
    <t>In addition to those actors who have headlined the series, others have portrayed versions of the Doctor in guest roles. Notably, in 2013, John Hurt guest-starred as a hitherto unknown incarnation of the Doctor known as the War Doctor in the run-up to the show's 50th anniversary special "The Day of the Doctor". He is shown in mini-episode "The Night of the Doctor" to have been retroactively inserted into the show's fictional chronology between McGann and Eccleston's Doctors, although his introduction was written so as not to disturb the established numerical naming of the Doctors. Another example is from the 1986 serial The Trial of a Time Lord, where Michael Jayston portrayed the Valeyard, who is described as an amalgamation of the darker sides of the Doctor's nature, somewhere between his twelfth and final incarnation.</t>
  </si>
  <si>
    <t>How did the new king react to the Huguenots?</t>
  </si>
  <si>
    <t>What kind of weapons did Tesla's treatise concern?</t>
  </si>
  <si>
    <t>244 are listed,</t>
  </si>
  <si>
    <t>1967</t>
  </si>
  <si>
    <t>difference in earnings</t>
  </si>
  <si>
    <t>1512</t>
  </si>
  <si>
    <t>Tesla wrote a number of books and articles for magazines and journals. Among his books are My Inventions: The Autobiography of Nikola Tesla, compiled and edited by Ben Johnston; The Fantastic Inventions of Nikola Tesla, compiled and edited by David Hatcher Childress; and The Tesla Papers.</t>
  </si>
  <si>
    <t>Sainte Foy</t>
  </si>
  <si>
    <t>Who did the Carolina Panthers beat in the 2015 NFC Championship game?</t>
  </si>
  <si>
    <t>There are over 10,000 objects made from silver or gold in the collection, the display (about 15% of the collection) is divided into secular and sacred covering both Christian (Roman Catholic, Anglican and Greek Orthodox) and Jewish liturgical vessels and items. The main silver gallery is divided into these areas: British silver pre-1800; British silver 1800 to 1900; modernist to contemporary silver; European silver. The collection includes the earliest known piece of English silver with a dated hallmark, a silver gilt beaker dated 1496–97. Silversmiths' whose work is represented in the collection include Paul de Lamerie and Paul Storr whose Castlereagh Inkstand dated 1817–19 is one of his finest works. The main iron work gallery covers European wrought and cast iron from the mediaeval period to the early 20th century. The master of wrought ironwork Jean Tijou is represented by both examples of his work and designs on paper. One of the largest items is the Hereford Screen, weighing nearly 8 tonnes, 10.5 metres high and 11 metres wide, designed by Sir George Gilbert Scott in 1862 for the chancel in Hereford Cathedral, from which it was removed in 1967. It was made by Skidmore &amp; Company. Its structure of timber and cast iron is embellished with wrought iron, burnished brass and copper. Much of the copper and ironwork is painted in a wide range of colours. The arches and columns are decorated with polished quartz and panels of mosaic.</t>
  </si>
  <si>
    <t>telepathy</t>
  </si>
  <si>
    <t>PolitiFact</t>
  </si>
  <si>
    <t>turbulent history of the city</t>
  </si>
  <si>
    <t>Who fought in the French and Indian war?</t>
  </si>
  <si>
    <t>O</t>
  </si>
  <si>
    <t>method by which the medications are requested and received</t>
  </si>
  <si>
    <t>The third invasion was stopped with the improbable French victory in the Battle of Carillon, in which 3,600 Frenchmen famously and decisively defeated Abercrombie's force of 18,000 regulars, militia and Native American allies outside the fort the French called Carillon and the British called Ticonderoga. Abercrombie saved something from the disaster when he sent John Bradstreet on an expedition that successfully destroyed Fort Frontenac, including caches of supplies destined for New France's western forts and furs destined for Europe. Abercrombie was recalled and replaced by Jeffery Amherst, victor at Louisbourg.</t>
  </si>
  <si>
    <t>suburbs</t>
  </si>
  <si>
    <t>When are the new Sky Q products going to be available?</t>
  </si>
  <si>
    <t>defensins</t>
  </si>
  <si>
    <t>Which city does the Hollywood district belong to?</t>
  </si>
  <si>
    <t>the CBS Sports apps</t>
  </si>
  <si>
    <t>one of the richest</t>
  </si>
  <si>
    <t>Ranked positions</t>
  </si>
  <si>
    <t>third</t>
  </si>
  <si>
    <t>When was Phags-pa script invented?</t>
  </si>
  <si>
    <t>Where is the home of the Sunnyside Country Club?</t>
  </si>
  <si>
    <t>to run proton pumps</t>
  </si>
  <si>
    <t>How long would the astronauts be project to be able to stay on the moon for in the latter missions?</t>
  </si>
  <si>
    <t>How far from state house in downtown Boston is Harvard Yard?</t>
  </si>
  <si>
    <t>The French Protestant Church of London</t>
  </si>
  <si>
    <t>California</t>
  </si>
  <si>
    <t>515 million years ago</t>
  </si>
  <si>
    <t>BBC Wales</t>
  </si>
  <si>
    <t>Lek</t>
  </si>
  <si>
    <t>Where did the congregation at St. George's initially meet in 1767?</t>
  </si>
  <si>
    <t>Destiny of the Doctor</t>
  </si>
  <si>
    <t>one half</t>
  </si>
  <si>
    <t>The collection of Italian, Medieval, Renaissance, Baroque and Neoclassical sculpture (both original and in cast form) is unequalled outside of Italy. It includes Canova's The Three Graces, which the museum jointly owns with National Galleries of Scotland. Italian sculptors whose work is held by the museum include: Bartolomeo Bon, Bartolomeo Bellano, Luca della Robbia, Giovanni Pisano, Donatello, Agostino di Duccio, Andrea Riccio, Antonio Rossellino, Andrea del Verrocchio, Antonio Lombardo, Pier Jacopo Alari Bonacolsi, Andrea della Robbia, Michelozzo di Bartolomeo, Michelangelo (represented by a freehand wax model and casts of his most famous sculptures), Jacopo Sansovino, Alessandro Algardi, Antonio Calcagni, Benvenuto Cellini (Medusa's head dated c. 1547), Agostino Busti, Bartolomeo Ammannati, Giacomo della Porta, Giambologna (Samson Slaying a Philistine (Giambologna) c. 1562, his finest work outside Italy), Bernini (Neptune and Triton c. 1622–3), Giovanni Battista Foggini, Vincenzo Foggini (Samson and the Philistines), Massimiliano Soldani Benzi, Antonio Corradini, Andrea Brustolon, Giovanni Battista Piranesi, Innocenzo Spinazzi, Canova, Carlo Marochetti and Raffaelle Monti. An unusual sculpture is the ancient Roman statue of Narcissus restored by Valerio Cioli c1564 with plaster. There are several small scale bronzes by Donatello, Alessandro Vittoria, Tiziano Aspetti and Francesco Fanelli in the collection. The largest item from Italy is the Chancel Chapel from Santa Chiara Florence dated 1493–1500, designed by Giuliano da Sangallo it is 11.1 metres in height by 5.4 metres square, it includes a grand sculpted tabernacle by Antonio Rossellino and coloured terracotta decoration.</t>
  </si>
  <si>
    <t>Chen's</t>
  </si>
  <si>
    <t>What planet was named for a fly-by mission by an empty S-IVB?</t>
  </si>
  <si>
    <t>Who is seen as the ultimate climate change authority?</t>
  </si>
  <si>
    <t>from 4 August 1915 until November 1918</t>
  </si>
  <si>
    <t>How many more landing sites for the Apollo missions did NASA have planned?</t>
  </si>
  <si>
    <t>When was the British East India Company established?</t>
  </si>
  <si>
    <t>What conflicts did the ozone mitigation reduce?</t>
  </si>
  <si>
    <t>What is the vast disparities in wealth attributed to by Socialists?</t>
  </si>
  <si>
    <t>What did Luther believe that the soul does after death?</t>
  </si>
  <si>
    <t>petrographic microscope</t>
  </si>
  <si>
    <t>Victoria_and_Albert_Museum</t>
  </si>
  <si>
    <t>Who coached each Super Bowl 50 participant in their most recent Super Bowl appearance prior to Super Bowl 50?</t>
  </si>
  <si>
    <t>Studs Terkel</t>
  </si>
  <si>
    <t>coach</t>
  </si>
  <si>
    <t>What was the final score of the AFC Championship Game?</t>
  </si>
  <si>
    <t>RNA interference</t>
  </si>
  <si>
    <t>Algeria</t>
  </si>
  <si>
    <t>30–60% of Europe's total population</t>
  </si>
  <si>
    <t>rates of mortality in rural areas during the 14th-century pandemic were inconsistent with the modern bubonic plague</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</si>
  <si>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</si>
  <si>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apostate</t>
  </si>
  <si>
    <t>In which London borough is the Victoria and Albert Museum located?</t>
  </si>
  <si>
    <t>What music did the fourth soundtrack feature?</t>
  </si>
  <si>
    <t>2011–12</t>
  </si>
  <si>
    <t>The construction of highways</t>
  </si>
  <si>
    <t>The Victorian parts of the building have a complex history, with piecemeal additions by different architects. Founded in May 1852, it was not until 1857 that the museum moved to the present site. This area of London was known as Brompton but had been renamed South Kensington. The land was occupied by Brompton Park House, which was extended, most notably by the "Brompton Boilers", which were starkly utilitarian iron galleries with a temporary look and were later dismantled and used to build the V&amp;A Museum of Childhood. The first building to be erected that still forms part of the museum was the Sheepshanks Gallery in 1857 on the eastern side of the garden. Its architect was civil engineer Captain Francis Fowke, Royal Engineers, who was appointed by Cole. The next major expansions were designed by the same architect, the Turner and Vernon galleries built 1858-9 to house the eponymous collections (later transferred to the Tate Gallery) and now used as the picture galleries and tapestry gallery respectively. The North and South Courts, were then built, both of which opened by June 1862. They now form the galleries for temporary exhibitions and are directly behind the Sheepshanks Gallery. On the very northern edge of the site is situated the Secretariat Wing, also built in 1862 this houses the offices and board room etc. and is not open to the public.</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</si>
  <si>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</si>
  <si>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Parliament Square</t>
  </si>
  <si>
    <t>Siegfried</t>
  </si>
  <si>
    <t>$5,000,000</t>
  </si>
  <si>
    <t>Pons in France</t>
  </si>
  <si>
    <t>consisting of millions of volts and up to 135 feet long</t>
  </si>
  <si>
    <t>What instrument became a national instrument in Germany?</t>
  </si>
  <si>
    <t>the Seljuk Turks</t>
  </si>
  <si>
    <t xml:space="preserve">What year did Tesla avade the draft? </t>
  </si>
  <si>
    <t>What is an interdenominational group composed of various churches to promote the Gospel throughout the world?</t>
  </si>
  <si>
    <t>Which article made provisions for concentrations or mergers and the abuse of a dominant position by companies?</t>
  </si>
  <si>
    <t>What is the oldest known rock in the world?</t>
  </si>
  <si>
    <t>1930</t>
  </si>
  <si>
    <t>The theologians, including Zwingli, Melanchthon, Martin Bucer, and Johannes Oecolampadius, differed on the significance of the words spoken by Jesus at the Last Supper: "This is my body which is for you" and "This cup is the new covenant in my blood" (1 Corinthians 11:23–26). Luther insisted on the Real Presence of the body and blood of Christ in the consecrated bread and wine, which he called the sacramental union, while his opponents believed God to be only spiritually or symbolically present. Zwingli, for example, denied Jesus' ability to be in more than one place at a time but Luther stressed the omnipresence of his human nature. According to transcripts, the debate sometimes became confrontational. Citing Jesus' words "The flesh profiteth nothing" (John 6.63), Zwingli said, "This passage breaks your neck". "Don't be too proud," Luther retorted, "German necks don't break that easily. This is Hesse, not Switzerland." On his table Luther wrote the words "Hoc est corpus meum" ("This is my body") in chalk, to continually indicate his firm stance.</t>
  </si>
  <si>
    <t>Pinedale</t>
  </si>
  <si>
    <t>Deformational</t>
  </si>
  <si>
    <t>James Dewar</t>
  </si>
  <si>
    <t>Trio</t>
  </si>
  <si>
    <t>When was the Office of Western Medicine founded?</t>
  </si>
  <si>
    <t>L'Eglise du Saint-Esprit</t>
  </si>
  <si>
    <t>What later actions by the Nazis could be traced back to Luther's rhetoric?</t>
  </si>
  <si>
    <t>Chevrolet Aveo</t>
  </si>
  <si>
    <t>Singapore, London, and the downtown Streeterville neighborhood of Chicago</t>
  </si>
  <si>
    <t>A 2000 study found that 42% of UK teachers experienced occupational stress, twice the figure for the average profession. A 2012 study found that teachers experienced double the rate of anxiety, depression, and stress than average workers.</t>
  </si>
  <si>
    <t>−11.7 °C (10.9 °F)</t>
  </si>
  <si>
    <t>It has been claimed that the transmission of the first episode was delayed by ten minutes due to extended news coverage of the assassination of US President John F. Kennedy the previous day; whereas in fact it went out after a delay of eighty seconds. The BBC believed that many viewers had missed this introduction to a new series due to the coverage of the assassination, as well as a series of power blackouts across the country, and they broadcast it again on 30 November 1963, just before episode two.</t>
  </si>
  <si>
    <t>When does immunodeficiency occur?</t>
  </si>
  <si>
    <t>What countries does Kenya compete with for long distance running?</t>
  </si>
  <si>
    <t>the Muslim</t>
  </si>
  <si>
    <t>can produce both eggs and sperm, meaning it can fertilize its own egg</t>
  </si>
  <si>
    <t>electric motors</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</si>
  <si>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</si>
  <si>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satellite data</t>
  </si>
  <si>
    <t>firm, clear boundaries</t>
  </si>
  <si>
    <t>Who lead the 1968 special programming for ABC Radio's FM stations?</t>
  </si>
  <si>
    <t>Pons</t>
  </si>
  <si>
    <t>Why do some tribes use remote sensing technology?</t>
  </si>
  <si>
    <t>What did Luther think reason could not be used to test?</t>
  </si>
  <si>
    <t>over 5,100</t>
  </si>
  <si>
    <t>ancient churchyards</t>
  </si>
  <si>
    <t>Euler</t>
  </si>
  <si>
    <t>propulsion</t>
  </si>
  <si>
    <t>fear of their lives</t>
  </si>
  <si>
    <t>second scale shows the most recent eon with an expanded scale</t>
  </si>
  <si>
    <t>This debate has proved difficult</t>
  </si>
  <si>
    <t>Daleks</t>
  </si>
  <si>
    <t>What type of defense is sometimes used in court by protestors?</t>
  </si>
  <si>
    <t>Italian Renaissance</t>
  </si>
  <si>
    <t>Filipino</t>
  </si>
  <si>
    <t>any object can be, essentially uniquely, decomposed into its prime components</t>
  </si>
  <si>
    <t>Where have some workers made more than $100,000?</t>
  </si>
  <si>
    <t>What do pyrenoids look like?</t>
  </si>
  <si>
    <t>James Lafayette's</t>
  </si>
  <si>
    <t xml:space="preserve">Case complexities provide three likelihoods of what differing variable that remains the same size? </t>
  </si>
  <si>
    <t>integer factorization problem</t>
  </si>
  <si>
    <t>What percentage of German students attended private schools in 2008?</t>
  </si>
  <si>
    <t>What has technological innovation and automation replaced low-skilled jobs with?</t>
  </si>
  <si>
    <t>19th Century</t>
  </si>
  <si>
    <t>When did the age of Imperialism begin?</t>
  </si>
  <si>
    <t>What is a hermaphrodite?</t>
  </si>
  <si>
    <t>as a connected sum of prime knots</t>
  </si>
  <si>
    <t>Anglo-Saxon populations</t>
  </si>
  <si>
    <t>translunar environment by measuring the frequency and severity of micrometeorite impacts.</t>
  </si>
  <si>
    <t>How many residents were recorded in the 2010 census of Jacksonville?</t>
  </si>
  <si>
    <t>When was the Edict of Worms presented?</t>
  </si>
  <si>
    <t>Annabel Goldie</t>
  </si>
  <si>
    <t>What was put on pylons for Super Bowl 50?</t>
  </si>
  <si>
    <t>detective shows</t>
  </si>
  <si>
    <t>a telephone repeater or amplifier</t>
  </si>
  <si>
    <t>Belgrade</t>
  </si>
  <si>
    <t>What logo is used for all merchandise that features past Doctors?</t>
  </si>
  <si>
    <t>the Apollo 1 crew</t>
  </si>
  <si>
    <t>Henry IV</t>
  </si>
  <si>
    <t>shelters, educational assistance, free or low cost medical clinics, housing assistance</t>
  </si>
  <si>
    <t>When did Ribault first establish a settlement in South Carolina?</t>
  </si>
  <si>
    <t>was a disaster</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</si>
  <si>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</si>
  <si>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$1.2 billion</t>
  </si>
  <si>
    <t>Why do polar water bodies support a higher amount of life?</t>
  </si>
  <si>
    <t>Ubiorum</t>
  </si>
  <si>
    <t>Who makes decisions in between the four-year meetings?</t>
  </si>
  <si>
    <t>between 1500 and 1850</t>
  </si>
  <si>
    <t xml:space="preserve">What two women were defying the pharaoh in the story from the book of Exodus? </t>
  </si>
  <si>
    <t>How were the Mongol garrison families earning money?</t>
  </si>
  <si>
    <t>the European Community</t>
  </si>
  <si>
    <t>Prospect Park</t>
  </si>
  <si>
    <t>2001</t>
  </si>
  <si>
    <t>The Literary and Philosophical Society of Newcastle</t>
  </si>
  <si>
    <t>What type of teacher is required in the Western Europe model of discipline?</t>
  </si>
  <si>
    <t>G</t>
  </si>
  <si>
    <t>speed-up theorem</t>
  </si>
  <si>
    <t>early 2012</t>
  </si>
  <si>
    <t>often</t>
  </si>
  <si>
    <t>What did Luther consider faith to be?</t>
  </si>
  <si>
    <t>eicosanoids</t>
  </si>
  <si>
    <t>division of functions and tasks between the hosts at the edge of the network and the network core</t>
  </si>
  <si>
    <t>Who did the Mongols bring to China as administrators?</t>
  </si>
  <si>
    <t>malfunction in the chameleon circuit</t>
  </si>
  <si>
    <t>rarely</t>
  </si>
  <si>
    <t>Which two importers claimed that under a French competition law, they were prevented from selling Picon beer under wholesale price?</t>
  </si>
  <si>
    <t>In 1898, Tesla demonstrated a radio-controlled boat—which he dubbed "teleautomaton"—to the public during an electrical exhibition at Madison Square Garden. The crowd that witnessed the demonstration made outrageous claims about the workings of the boat, such as magic, telepathy, and being piloted by a trained monkey hidden inside. Tesla tried to sell his idea to the U.S. military as a type of radio-controlled torpedo, but they showed little interest. Remote radio control remained a novelty until World War I and afterward, when a number of countries used it in military programs. Tesla took the opportunity to further demonstrate "Teleautomatics" in an address to a meeting of the Commercial Club in Chicago, while he was travelling to Colorado Springs, on 13 May 1899.</t>
  </si>
  <si>
    <t>The production of what signalling molecules is regulated by the immune system?</t>
  </si>
  <si>
    <t>in May 2013</t>
  </si>
  <si>
    <t>When Yesün Temür died in Shangdu in 1328, Tugh Temür was recalled to Khanbaliq by the Qipchaq commander El Temür. He was installed as the emperor (Emperor Wenzong) in Khanbaliq, while Yesün Temür's son Ragibagh succeeded to the throne in Shangdu with the support of Yesün Temür's favorite retainer Dawlat Shah. Gaining support from princes and officers in Northern China and some other parts of the dynasty, Khanbaliq-based Tugh Temür eventually won the civil war against Ragibagh known as the War of the Two Capitals. Afterwards, Tugh Temür abdicated in favour of his brother Kusala, who was backed by Chagatai Khan Eljigidey, and announced Khanbaliq's intent to welcome him. However, Kusala suddenly died only four days after a banquet with Tugh Temür. He was supposedly killed with poison by El Temür, and Tugh Temür then remounted the throne. Tugh Temür also managed to send delegates to the western Mongol khanates such as Golden Horde and Ilkhanate to be accepted as the suzerain of Mongol world. However, he was mainly a puppet of the powerful official El Temür during his latter three-year reign. El Temür purged pro-Kusala officials and brought power to warlords, whose despotic rule clearly marked the decline of the dynasty.</t>
  </si>
  <si>
    <t>employ limited coercion</t>
  </si>
  <si>
    <t>bitstrings</t>
  </si>
  <si>
    <t>Litton's Weekend Aventure</t>
  </si>
  <si>
    <t>centrifugal governor</t>
  </si>
  <si>
    <t>the British Landgrave Edmund Bellinger</t>
  </si>
  <si>
    <t>What profession does Zbigniew Badowski have?</t>
  </si>
  <si>
    <t>What does the replacement of the ticket machines and introduction of ticket gates herald the transition to?</t>
  </si>
  <si>
    <t>Warsaw's name in the Polish language is Warszawa, approximately /vɑːrˈʃɑːvə/ (also formerly spelled Warszewa and Warszowa), meaning "belonging to Warsz", Warsz being a shortened form of the masculine name of Slavic origin Warcisław; see also etymology of Wrocław.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Vršovci family which had escaped to Poland. The official city name in full is miasto stołeczne Warszawa (English: "The Capital City of Warsaw"). A native or resident of Warsaw is known as a Varsovian – in Polish warszawiak (male), warszawianka (female), warszawiacy (plural).</t>
  </si>
  <si>
    <t>What is sometimes but not always counted regarding Durinskia's chloroplast membranes?</t>
  </si>
  <si>
    <t>economists with the Standard &amp; Poor's rating agency</t>
  </si>
  <si>
    <t>Labour</t>
  </si>
  <si>
    <t>temperatures and sea levels have been rising at or above the maximum rates</t>
  </si>
  <si>
    <t>free India</t>
  </si>
  <si>
    <t>Yuan dynasty</t>
  </si>
  <si>
    <t>Old Town Hall</t>
  </si>
  <si>
    <t>William Stranahan</t>
  </si>
  <si>
    <t>Who did Carolina beat in the NFC championship game?</t>
  </si>
  <si>
    <t>refusal to pay</t>
  </si>
  <si>
    <t>no French regular army</t>
  </si>
  <si>
    <t>violent civil disobedience</t>
  </si>
  <si>
    <t>chemical</t>
  </si>
  <si>
    <t>When did Tesla give a demonstration of his remote control boat?</t>
  </si>
  <si>
    <t>lack of a Parliament of Scotland</t>
  </si>
  <si>
    <t>The most recent episodes of the network's shows are usually made available on WATCH ABC, Hulu and ABC on Demand the day after their original broadcast. In addition, ABC on Demand (like the video-on-demand television services provided by the other U.S. broadcast networks) disallows fast forwarding of accessed content. Restrictions implemented by Disney–ABC Television Group on January 7, 2014 restrict streaming of the most recent episode of any ABC program on Hulu and WATCH ABC until eight days after their initial broadcast, in order to encourage live or same-week (via both DVR and cable on demand) viewing, with day-after-air streaming on either service limited to subscribers of participating pay television providers (such as Comcast, Verizon FiOS and Time Warner Cable) using an ISP account via an authenticated user login.</t>
  </si>
  <si>
    <t>Warner Bros</t>
  </si>
  <si>
    <t>What session is the Scottish Parliament in?</t>
  </si>
  <si>
    <t>New Zealand</t>
  </si>
  <si>
    <t>Jack Swigert, and Fred Haise</t>
  </si>
  <si>
    <t>Who outbid General Electric to provide light to the World's Columbian Exposition?</t>
  </si>
  <si>
    <t>da Vinci</t>
  </si>
  <si>
    <t>Where was the baptismal hymn used to introduce the Reformation?</t>
  </si>
  <si>
    <t xml:space="preserve">Case complexity likelihoods provide variable probabilities of what general measure? </t>
  </si>
  <si>
    <t xml:space="preserve">WHat were features of Apple Talk </t>
  </si>
  <si>
    <t>Japan and Latin America</t>
  </si>
  <si>
    <t>Metro Light Rail system</t>
  </si>
  <si>
    <t>10 February 1763</t>
  </si>
  <si>
    <t>There have been instances of actors returning at later dates to reprise the role of their specific Doctor. In 1973's The Three Doctors, William Hartnell and Patrick Troughton returned alongside Jon Pertwee. For 1983's The Five Doctors, Troughton and Pertwee returned to star with Peter Davison, and Tom Baker appeared in previously unseen footage from the uncompleted Shada episode. For this episode, Richard Hurndall replaced William Hartnell. Patrick Troughton again returned in 1985's The Two Doctors with Colin Baker. In 2007, Peter Davison returned in the Children in Need short "Time Crash" alongside David Tennant, and most recently in 2013's 50th anniversary special episode, "The Day of the Doctor", David Tennant's Tenth Doctor appeared alongside Matt Smith as the Eleventh Doctor and John Hurt as the War Doctor, as well as brief footage from all of the previous actors. In addition, the Doctor has occasionally encountered himself in the form of his own incarnation, from the near future or past. The First Doctor encounters himself in the story The Space Museum (albeit frozen and as an exhibit), the Third Doctor encounters and interacts with himself in the story Day of the Daleks, the Fourth Doctor encounters and interacts with the future incarnation of himself (the 'Watcher') in the story Logopolis, the Ninth Doctor observes a former version of his current incarnation in "Father's Day", and the Eleventh Doctor briefly comes face to face with himself in "The Big Bang". In "The Almost People" the Doctor comes face-to-face with himself although it is found out that this incarnation is in fact just a flesh replica. In "The Name of the Doctor", the Eleventh Doctor meets an unknown incarnation of himself, whom he refers to as "his secret" and who is subsequently revealed to be the War Doctor.</t>
  </si>
  <si>
    <t>What was the diameter of the Saturn V in feet?</t>
  </si>
  <si>
    <t>What BBC radio station will carry the game in the United Kingdom?</t>
  </si>
  <si>
    <t>What South Korean car manufacturer purchased the factor in 1995?</t>
  </si>
  <si>
    <t>the owner of the property</t>
  </si>
  <si>
    <t>pancake-shaped circular disks</t>
  </si>
  <si>
    <t>4 weeks paid holidays each year</t>
  </si>
  <si>
    <t>Around 1294</t>
  </si>
  <si>
    <t>The Panthers defense gave up just 308 points, ranking sixth in the league, while also leading the NFL in interceptions with 24 and boasting four Pro Bowl selections. Pro Bowl defensive tackle Kawann Short led the team in sacks with 11, while also forcing three fumbles and recovering two. Fellow lineman Mario Addison added 6½ sacks. The Panthers line also featured veteran defensive end Jared Allen, a 5-time pro bowler who was the NFL's active career sack leader with 136, along with defensive end Kony Ealy, who had 5 sacks in just 9 starts. Behind them, two of the Panthers three starting linebackers were also selected to play in the Pro Bowl: Thomas Davis and Luke Kuechly. Davis compiled 5½ sacks, four forced fumbles, and four interceptions, while Kuechly led the team in tackles (118) forced two fumbles, and intercepted four passes of his own. Carolina's secondary featured Pro Bowl safety Kurt Coleman, who led the team with a career high seven interceptions, while also racking up 88 tackles and Pro Bowl cornerback Josh Norman, who developed into a shutdown corner during the season and had four interceptions, two of which were returned for touchdowns.</t>
  </si>
  <si>
    <t>Colony of Victoria Act</t>
  </si>
  <si>
    <t>previously separated specialties</t>
  </si>
  <si>
    <t>reinvention as a conservative</t>
  </si>
  <si>
    <t>Between what times does Good Morning America air on ABC?</t>
  </si>
  <si>
    <t>extreme change.</t>
  </si>
  <si>
    <t>3000 yr BP</t>
  </si>
  <si>
    <t>What work from around 300 BC has significant theorems about prime numbers?</t>
  </si>
  <si>
    <t>courtyard</t>
  </si>
  <si>
    <t>What year did Roger Goodell announce that Super Bowl 50 would be "important"?</t>
  </si>
  <si>
    <t>3.55 inches (90.2 mm)</t>
  </si>
  <si>
    <t>The reason for the majority rule is the high risk of a conflict of interest and/or the avoidance of absolute powers. Otherwise, the physician has a financial self-interest in "diagnosing" as many conditions as possible, and in exaggerating their seriousness, because he or she can then sell more medications to the patient. Such self-interest directly conflicts with the patient's interest in obtaining cost-effective medication and avoiding the unnecessary use of medication that may have side-effects. This system reflects much similarity to the checks and balances system of the U.S. and many other governments.[citation needed]</t>
  </si>
  <si>
    <t>Sedimentary rock can be turned into which of the three types of rock?</t>
  </si>
  <si>
    <t>When was a patent-sharing agreement signed between Westinghouse Electric and General Electric?</t>
  </si>
  <si>
    <t xml:space="preserve">How is circuit switching charecterized </t>
  </si>
  <si>
    <t>What do nuclear power plants heat to create electricity?</t>
  </si>
  <si>
    <t>What year did the league begin having schedules with 16 games in them?</t>
  </si>
  <si>
    <t>advantages in long-distance, high-voltage transmission</t>
  </si>
  <si>
    <t>9 March 1508,</t>
  </si>
  <si>
    <t>subsequent long-run economic growth</t>
  </si>
  <si>
    <t>What did John Wesley originally call the experience of conversion?</t>
  </si>
  <si>
    <t>August 1992</t>
  </si>
  <si>
    <t>Roy Strong</t>
  </si>
  <si>
    <t>jellyfish</t>
  </si>
  <si>
    <t>in southern China</t>
  </si>
  <si>
    <t>in Article 5</t>
  </si>
  <si>
    <t>What was the name of the legislation passed in 1850?</t>
  </si>
  <si>
    <t>What type of interpretation of Islam does Salafism promote?</t>
  </si>
  <si>
    <t>Alex Seropian</t>
  </si>
  <si>
    <t>pre-Columbian era</t>
  </si>
  <si>
    <t>reduced wages</t>
  </si>
  <si>
    <t>trade unions, banks, and private universities</t>
  </si>
  <si>
    <t>German creedal hymn</t>
  </si>
  <si>
    <t>phylum of animals that live in marine waters</t>
  </si>
  <si>
    <t>What is the area called where one plate subducts under another?</t>
  </si>
  <si>
    <t>What generally dictates the construction materials used?</t>
  </si>
  <si>
    <t>Which mobile service were Verizon customers able to watch Super Bowl 50 on their phones?</t>
  </si>
  <si>
    <t>rely on osmotic pressure</t>
  </si>
  <si>
    <t>What ABC series originated as short segment on Love, American Style?</t>
  </si>
  <si>
    <t>if the Treaty provisions have a direct effect and they are sufficiently clear, precise and unconditional</t>
  </si>
  <si>
    <t>left</t>
  </si>
  <si>
    <t>The analysis of a specific algorithm is typically assigned to what field of computational science?</t>
  </si>
  <si>
    <t>Piłsudski</t>
  </si>
  <si>
    <t>a member of their Annual Conference Order of Elders.</t>
  </si>
  <si>
    <t>The neighborhood includes Kearney Boulevard, named after early 20th century entrepreneur and millionaire M. Theo Kearney, which extends from Fresno Street in Southwest Fresno about 20 mi (32 km) west to Kerman, California. A small, two-lane rural road for most of its length, Kearney Boulevard is lined with tall palm trees. The roughly half-mile stretch of Kearney Boulevard between Fresno Street and Thorne Ave was at one time the preferred neighborhood for Fresno's elite African-American families. Another section, Brookhaven, on the southern edge of the West Side south of Jensen and west of Elm, was given the name by the Fresno City Council in an effort to revitalize the neighborhood's image. The isolated subdivision was for years known as the "Dogg Pound" in reference to a local gang, and as of late 2008 was still known for high levels of violent crime.</t>
  </si>
  <si>
    <t>What is the largest traveling fair in Europe?</t>
  </si>
  <si>
    <t>In what year did the serial format change for the Doctor Who series?</t>
  </si>
  <si>
    <t>polytechnics became new universities</t>
  </si>
  <si>
    <t>encourage growth</t>
  </si>
  <si>
    <t>the roads</t>
  </si>
  <si>
    <t>chalcogen</t>
  </si>
  <si>
    <t>According to the UMC, persons who are addicted to pornography have altered perceptions of whom?</t>
  </si>
  <si>
    <t>center of mass</t>
  </si>
  <si>
    <t>Gasquet (1908) claimed that the Latin name atra mors (Black Death) for the 14th-century epidemic first appeared in modern times in 1631 in a book on Danish history by J.I. Pontanus: "Vulgo &amp; ab effectu atram mortem vocatibant. ("Commonly and from its effects, they called it the black death"). The name spread through Scandinavia and then Germany, gradually becoming attached to the mid 14th-century epidemic as a proper name. In England, it was not until 1823 that the medieval epidemic was first called the Black Death.</t>
  </si>
  <si>
    <t>the St. Lawrence and Mississippi watersheds</t>
  </si>
  <si>
    <t>What is an example of a virus that uses antigenic variation?</t>
  </si>
  <si>
    <t>Controlled, experimental</t>
  </si>
  <si>
    <t>1748 with the signing of the Treaty of Aix-la-Chapelle</t>
  </si>
  <si>
    <t>Where did two of Triton's daughters set out on a journey through?</t>
  </si>
  <si>
    <t xml:space="preserve">What was the domain name of the site that streamed the Super Bowl 50 game? </t>
  </si>
  <si>
    <t>8–4–4 system</t>
  </si>
  <si>
    <t xml:space="preserve">What form do complex Gaussian integers have? </t>
  </si>
  <si>
    <t>plans leaked to France well before Braddock's departure</t>
  </si>
  <si>
    <t>What was Tesla's AC system used for in Pittsburgh?</t>
  </si>
  <si>
    <t>Sky Movies and Sky Box office also include what optional soundtracks?</t>
  </si>
  <si>
    <t>What type of religious behavior was Tesla against?</t>
  </si>
  <si>
    <t>User Datagram Protocol</t>
  </si>
  <si>
    <t>What are the two processing facilities in the neighborhood?</t>
  </si>
  <si>
    <t>In a computational problem, what can be described as a string over an alphabet?</t>
  </si>
  <si>
    <t>the Chicago Theological Seminary</t>
  </si>
  <si>
    <t>What causes strain in structures?</t>
  </si>
  <si>
    <t>little support</t>
  </si>
  <si>
    <t>Which player did the turf collapse under during a game in the Levi's Stadium?</t>
  </si>
  <si>
    <t>What does ctenophore mean in Greek?</t>
  </si>
  <si>
    <t>Olsen</t>
  </si>
  <si>
    <t>What was the name of the leader ennobled by Henry III</t>
  </si>
  <si>
    <t>Carlo Crivelli's Virgin and Child</t>
  </si>
  <si>
    <t>headwaiter</t>
  </si>
  <si>
    <t>the thylakoid network</t>
  </si>
  <si>
    <t>the Pakistan movement</t>
  </si>
  <si>
    <t>Which languages used the Phags-pa script?</t>
  </si>
  <si>
    <t>5,560 kg</t>
  </si>
  <si>
    <t>Who is the current Governor of Victoria?</t>
  </si>
  <si>
    <t>odor</t>
  </si>
  <si>
    <t>theatre</t>
  </si>
  <si>
    <t>extended structure and forces that act on one part of an object might affect other parts of an object</t>
  </si>
  <si>
    <t>In what type of molecules are oxygen found?</t>
  </si>
  <si>
    <t>What was the percentage of people that voted in favor of the Pico Act of 1859?</t>
  </si>
  <si>
    <t>Where did water to the west of the Amazon drainage basin flow towards?</t>
  </si>
  <si>
    <t>Who leads the Student Government?</t>
  </si>
  <si>
    <t>Rather than taxation, what are private schools largely funded by?</t>
  </si>
  <si>
    <t>low economic growth</t>
  </si>
  <si>
    <t>wisdom and prudence of certain decisions</t>
  </si>
  <si>
    <t>mountainous areas</t>
  </si>
  <si>
    <t>he did not want disloyal men in his army</t>
  </si>
  <si>
    <t>Who was one man who joined hands and said "Lord of the Church, we are united in Thee...?"</t>
  </si>
  <si>
    <t>Abu al-Rayhan al-Biruni</t>
  </si>
  <si>
    <t>the oxidant</t>
  </si>
  <si>
    <t>Who came up with germ theory?</t>
  </si>
  <si>
    <t>At the 1996 General Conference the ordination order of transitional deacon was abolished. This created new orders known as "provisional elder" or "provisional deacon" for those who seek to be ordained in the respective orders. The provisional elder/deacon is a seminary graduate who serves a two-three-year term in a full-time appointment after being commissioned. During this two or three-year period, the provisional elder is granted sacramental ministry in their local appointment. For the first time in its history non-ordained pastors became a normal expectation, rather than an extraordinary provision for ministry.</t>
  </si>
  <si>
    <t>100–150 species have been validated</t>
  </si>
  <si>
    <t>technical problems and flight delays</t>
  </si>
  <si>
    <t>around 1712</t>
  </si>
  <si>
    <t>A1</t>
  </si>
  <si>
    <t>In what does the doctrine of legitimate expectations have roots?</t>
  </si>
  <si>
    <t>2.7%</t>
  </si>
  <si>
    <t>In the 1060s</t>
  </si>
  <si>
    <t>Which female anchor from Today joined Hugh Downs on 20/20?</t>
  </si>
  <si>
    <t>Johannes Bugenhagen</t>
  </si>
  <si>
    <t>liquid oxygen tank exploded,</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</si>
  <si>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</si>
  <si>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Who may not require that its teachers be certified?</t>
  </si>
  <si>
    <t>What was the base rate for a 30-second ad during Super Bowl 50?</t>
  </si>
  <si>
    <t>What is the bond order of dioxygen molecules?</t>
  </si>
  <si>
    <t>Tesla's induction motor and transformer was licensed by whom?</t>
  </si>
  <si>
    <t>What type of system did Tesla suggest to Adams?</t>
  </si>
  <si>
    <t>punish the Miami people of Pickawillany</t>
  </si>
  <si>
    <t>BBC</t>
  </si>
  <si>
    <t>Encoded Archival Description (EAD</t>
  </si>
  <si>
    <t>between 2005 and 2010</t>
  </si>
  <si>
    <t>over the age of 18</t>
  </si>
  <si>
    <t>death of a heretic</t>
  </si>
  <si>
    <t>Where did Jebe's division of Genghis Khan's army campaign in Khwarezmia?</t>
  </si>
  <si>
    <t>1695–1696</t>
  </si>
  <si>
    <t>What did Martin Brecht call Luther's stand on the Jews?</t>
  </si>
  <si>
    <t>Spearhead from Space</t>
  </si>
  <si>
    <t>Germany and Switzerland</t>
  </si>
  <si>
    <t>A bridge</t>
  </si>
  <si>
    <t>vocational subjects</t>
  </si>
  <si>
    <t>What is one of the most dangerous occupations in the world?</t>
  </si>
  <si>
    <t>Charles Dickens</t>
  </si>
  <si>
    <t>Often rules apply to all goods neutrally, but may have a greater practical effect on imports than domestic products. For such "indirect" discriminatory (or "indistinctly applicable") measures the Court of Justice has developed more justifications: either those in article 36, or additional "mandatory" or "overriding" requirements such as consumer protection, improving labour standards, protecting the environment, press diversity, fairness in commerce, and more: the categories are not closed. In the most famous case Rewe-Zentral AG v Bundesmonopol für Branntwein, the Court of Justice found that a German law requiring all spirits and liqueurs (not just imported ones) to have a minimum alcohol content of 25 per cent was contrary to TFEU article 34, because it had a greater negative effect on imports. German liqueurs were over 25 per cent alcohol, but Cassis de Dijon, which Rewe-Zentrale AG wished to import from France, only had 15 to 20 per cent alcohol. The Court of Justice rejected the German government's arguments that the measure proportionately protected public health under TFEU article 36, because stronger beverages were available and adequate labelling would be enough for consumers to understand what they bought. This rule primarily applies to requirements about a product's content or packaging. In Walter Rau Lebensmittelwerke v De Smedt PVBA the Court of Justice found that a Belgian law requiring all margarine to be in cube shaped packages infringed article 34, and was not justified by the pursuit of consumer protection. The argument that Belgians would believe it was butter if it was not cube shaped was disproportionate: it would "considerably exceed the requirements of the object in view" and labelling would protect consumers "just as effectively". In a 2003 case, Commission v Italy Italian law required that cocoa products that included other vegetable fats could not be labelled as "chocolate". It had to be "chocolate substitute". All Italian chocolate was made from cocoa butter alone, but British, Danish and Irish manufacturers used other vegetable fats. They claimed the law infringed article 34. The Court of Justice held that a low content of vegetable fat did not justify a "chocolate substitute" label. This was derogatory in the consumers' eyes. A ‘neutral and objective statement’ was enough to protect consumers. If member states place considerable obstacles on the use of a product, this can also infringe article 34. So, in a 2009 case, Commission v Italy, the Court of Justice held that an Italian law prohibiting motorcycles or mopeds pulling trailers infringed article 34. Again, the law applied neutrally to everyone, but disproportionately affected importers, because Italian companies did not make trailers. This was not a product requirement, but the Court reasoned that the prohibition would deter people from buying it: it would have "a considerable influence on the behaviour of consumers" that "affects the access of that product to the market". It would require justification under article 36, or as a mandatory requirement.</t>
  </si>
  <si>
    <t>pass on their signal to an unknown second messenger molecule</t>
  </si>
  <si>
    <t>Kikuyu, Embu and Kamba</t>
  </si>
  <si>
    <t>What was the name given to the undergraduate college's liberal-arts curriculum?</t>
  </si>
  <si>
    <t>his mother</t>
  </si>
  <si>
    <t>internal combustion engines</t>
  </si>
  <si>
    <t>In the early 1950s, student applications declined as a result of increasing crime and poverty in the Hyde Park neighborhood. In response, the university became a major sponsor of a controversial urban renewal project for Hyde Park, which profoundly affected both the neighborhood's architecture and street plan. During this period the university, like Shimer College and 10 others, adopted an early entrant program that allowed very young students to attend college; in addition, students enrolled at Shimer were enabled to transfer automatically to the University of Chicago after their second year, having taken comparable or identical examinations and courses.</t>
  </si>
  <si>
    <t xml:space="preserve">What was the Marburg Colloquy meant to establish? </t>
  </si>
  <si>
    <t>Where did the movement that would become The United Methodist Church begin?</t>
  </si>
  <si>
    <t>chronic and complex disease states</t>
  </si>
  <si>
    <t>mainstream Indian nationalist and secularist Indian National Congress</t>
  </si>
  <si>
    <t xml:space="preserve">When was the divestment from South Africa movement? </t>
  </si>
  <si>
    <t>What is the largest ABC station operator in terms of market reach?</t>
  </si>
  <si>
    <t>Luther secretly returned to Wittenberg on 6 March 1522. He wrote to the Elector: "During my absence, Satan has entered my sheepfold, and committed ravages which I cannot repair by writing, but only by my personal presence and living word." For eight days in Lent, beginning on Invocavit Sunday, 9 March, Luther preached eight sermons, which became known as the "Invocavit Sermons". In these sermons, he hammered home the primacy of core Christian values such as love, patience, charity, and freedom, and reminded the citizens to trust God's word rather than violence to bring about necessary change.</t>
  </si>
  <si>
    <t>What is the basic unit of organization within the UMC?</t>
  </si>
  <si>
    <t>mathematicians</t>
  </si>
  <si>
    <t>Why did Luther condemn vows of celibacy?</t>
  </si>
  <si>
    <t>the most popular show at the time</t>
  </si>
  <si>
    <t>since 1979</t>
  </si>
  <si>
    <t>What is Durinskia's chloroplast?</t>
  </si>
  <si>
    <t>16th and 17th centuries</t>
  </si>
  <si>
    <t>The Los Angeles Clippers are a team belonging to which sport?</t>
  </si>
  <si>
    <t>What was the name of the 1991 Doctor Who exhibition?</t>
  </si>
  <si>
    <t>Kibaki closed the gap and then overtook his opponent</t>
  </si>
  <si>
    <t>Defensive ends</t>
  </si>
  <si>
    <t>statistical mechanics</t>
  </si>
  <si>
    <t>17.</t>
  </si>
  <si>
    <t>What did Gasquet's book blame the plague on?</t>
  </si>
  <si>
    <t>How did the project encourage the commercialisation of legumes?</t>
  </si>
  <si>
    <t>gold-themed</t>
  </si>
  <si>
    <t>L'Église française à la Nouvelle-Amsterdam (the French church in New Amsterdam)</t>
  </si>
  <si>
    <t>the Northern United Kingdom</t>
  </si>
  <si>
    <t>between 1621 and 1629</t>
  </si>
  <si>
    <t>like true larvae</t>
  </si>
  <si>
    <t>Battle of the Restigouche</t>
  </si>
  <si>
    <t>What do coastal beroids not have that other ctenophora have?</t>
  </si>
  <si>
    <t>teacher's salaries are paid by the State</t>
  </si>
  <si>
    <t>5 nanometers across</t>
  </si>
  <si>
    <t>Who discussed Twigg's study in 2002?</t>
  </si>
  <si>
    <t>each packet includes complete addressing information</t>
  </si>
  <si>
    <t>degrees of privilege</t>
  </si>
  <si>
    <t>Tatiana Kuplich</t>
  </si>
  <si>
    <t>plants and factories</t>
  </si>
  <si>
    <t>New York and the Ohio</t>
  </si>
  <si>
    <t>The European Court of Justice cannot uphold measures that are incompatible with what?</t>
  </si>
  <si>
    <t>After the Rhine emerges from Lake Constance, what direction does it flow?</t>
  </si>
  <si>
    <t>sent small numbers of settlers to its colonies</t>
  </si>
  <si>
    <t xml:space="preserve">What treaty took the place of constitutional treaty? </t>
  </si>
  <si>
    <t>Establishing "natural borders" on the Rhine</t>
  </si>
  <si>
    <t>When are inequalities in wealth justified, according to John Rawls?</t>
  </si>
  <si>
    <t>When did Landau propose his four conjectural problems?</t>
  </si>
  <si>
    <t>The reasons for the las two counties to be added are based on what?</t>
  </si>
  <si>
    <t>Safari Rally</t>
  </si>
  <si>
    <t>Galilean transformation</t>
  </si>
  <si>
    <t>On what show did Bill Aiken make is television debut?</t>
  </si>
  <si>
    <t>Christ's message and teachings</t>
  </si>
  <si>
    <t>Who holds the record for largest simulcast of a TV drama?</t>
  </si>
  <si>
    <t>Who was responsible for the new building projects in Jacksonville?</t>
  </si>
  <si>
    <t>golf</t>
  </si>
  <si>
    <t>The further decline of Byzantine state-of-affairs paved the road to a third attack in 1185, when a large Norman army invaded Dyrrachium, owing to the betrayal of high Byzantine officials. Some time later, Dyrrachium—one of the most important naval bases of the Adriatic—fell again to Byzantine hands.</t>
  </si>
  <si>
    <t>27 September 2001</t>
  </si>
  <si>
    <t>Who designed the largest item from Italy that is part of the V&amp;A sculpture collection?</t>
  </si>
  <si>
    <t>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"plundering" of Muslim lands was part of a long-term conspiracy against Islam by the Western governments.</t>
  </si>
  <si>
    <t>What mountainous region is Lake Constance by?</t>
  </si>
  <si>
    <t>Who is the designer of the "50?"</t>
  </si>
  <si>
    <t>Samuel Reshevsky</t>
  </si>
  <si>
    <t>The show globe</t>
  </si>
  <si>
    <t>What was the name of the Doctor Who special created for Comic Relief?</t>
  </si>
  <si>
    <t>cross-cutting relationships</t>
  </si>
  <si>
    <t>Who defeated Montcalm at Quebec?</t>
  </si>
  <si>
    <t>European Court of Human Rights.</t>
  </si>
  <si>
    <t>Who played a part in the development of radar in France?</t>
  </si>
  <si>
    <t>The National Science Foundation Network</t>
  </si>
  <si>
    <t>confirming Britain's position as the dominant colonial power in eastern North America</t>
  </si>
  <si>
    <t>third largest military presence</t>
  </si>
  <si>
    <t>printed</t>
  </si>
  <si>
    <t>What dynasty did Zhang Rhou help attack?</t>
  </si>
  <si>
    <t>anti-democratic Islamist movements</t>
  </si>
  <si>
    <t>Premier of Victoria</t>
  </si>
  <si>
    <t>What rift system developed in the Alpine orogeny?</t>
  </si>
  <si>
    <t>the 11th</t>
  </si>
  <si>
    <t>France, Italy, Belgium, the Netherlands, Luxembourg and Germany</t>
  </si>
  <si>
    <t>Two</t>
  </si>
  <si>
    <t>Boston</t>
  </si>
  <si>
    <t>nineteenth-century cartographic techniques</t>
  </si>
  <si>
    <t>revolve a balance</t>
  </si>
  <si>
    <t>George E. Mueller</t>
  </si>
  <si>
    <t>SAP Center</t>
  </si>
  <si>
    <t>What is the most rainfall recorded in a 24 hour period in Fresno?</t>
  </si>
  <si>
    <t>What type of vote must the Parliament have to either block or suggest changes to the Commission's proposals?</t>
  </si>
  <si>
    <t>Who was one prominent Huguenot-descended arms manufacturer?</t>
  </si>
  <si>
    <t>What program helped develop space travel techniques that Project Apollo used?</t>
  </si>
  <si>
    <t>What art forms did Luther use to connect his hymns?</t>
  </si>
  <si>
    <t>The FSO Car Factory was established in 1951. A number of vehicles have been assembled there over the decades, including the Warszawa, Syrena, Fiat 125p (under license from Fiat, later renamed FSO 125p when the license expired) and the Polonez. The last two models listed were also sent abroad and assembled in a number of other countries, including Egypt and Colombia. In 1995 the factory was purchased by the South Korean car manufacturer Daewoo, which assembled the Tico, Espero, Nubia, Tacuma, Leganza, Lanos and Matiz there for the European market. In 2005 the factory was sold to AvtoZAZ, a Ukrainian car manufacturer which assembled there the Chevrolet Aveo. The license for the production of the Aveo expired in February 2011 and has since not been renewed. Currently the company is defunct.</t>
  </si>
  <si>
    <t>What is the country known for?</t>
  </si>
  <si>
    <t>What else did Pamela Jelimo win after the Olympics?</t>
  </si>
  <si>
    <t>Paramount Building</t>
  </si>
  <si>
    <t>Because oil was priced in dollars, oil producers' real income decreased</t>
  </si>
  <si>
    <t>Doctor Who first appeared on BBC TV at 17:16:20 GMT, eighty seconds after the scheduled programme time, 5:15 pm, on Saturday, 23 November 1963. It was to be a regular weekly programme, each episode 25 minutes of transmission length. Discussions and plans for the programme had been in progress for a year. The head of drama, Canadian Sydney Newman, was mainly responsible for developing the programme, with the first format document for the series being written by Newman along with the head of the script department (later head of serials) Donald Wilson and staff writer C. E. Webber. Writer Anthony Coburn, story editor David Whitaker and initial producer Verity Lambert also heavily contributed to the development of the series.[note 1] The programme was originally intended to appeal to a family audience, as an educational programme using time travel as a means to explore scientific ideas and famous moments in history. On 31 July 1963 Whitaker commissioned Terry Nation to write a story under the title The Mutants. As originally written, the Daleks and Thals were the victims of an alien neutron bomb attack but Nation later dropped the aliens and made the Daleks the aggressors. When the script was presented to Newman and Wilson it was immediately rejected as the programme was not permitted to contain any "bug-eyed monsters". The first serial had been completed and the BBC believed it was crucial that the next one be a success, but The Mutants was the only script ready to go, so the show had little choice but to use it. According to producer Verity Lambert; "We didn't have a lot of choice — we only had the Dalek serial to go ... We had a bit of a crisis of confidence because Donald [Wilson] was so adamant that we shouldn't make it. Had we had anything else ready we would have made that." Nation's script became the second Doctor Who serial – The Daleks (a.k.a. The Mutants). The serial introduced the eponymous aliens that would become the series' most popular monsters, and was responsible for the BBC's first merchandising boom.</t>
  </si>
  <si>
    <t>What territory was ceded to Britain?</t>
  </si>
  <si>
    <t>What is as important as identifying plague symptoms?</t>
  </si>
  <si>
    <t>What did Kllbrandon's report in 1973 recommend establishing?</t>
  </si>
  <si>
    <t>Nikola Tesla Museum</t>
  </si>
  <si>
    <t>Singing Revolution</t>
  </si>
  <si>
    <t>T(n)</t>
  </si>
  <si>
    <t>Which Doctor was the current Doctor during the 50th Anniversary special?</t>
  </si>
  <si>
    <t>theory of general relativity</t>
  </si>
  <si>
    <t>What is the name of the post-independence government school system in Malaysia?</t>
  </si>
  <si>
    <t>sarcasm and attempts to humiliate pupils</t>
  </si>
  <si>
    <t>What do some encrypted broadcasts require to view?</t>
  </si>
  <si>
    <t>a human</t>
  </si>
  <si>
    <t>3 in 1,000,000</t>
  </si>
  <si>
    <t>If P = NP is unsolved, and reduction is applied to a known NP-complete problem vis a vis Π2 to  Π1, what conclusion can be drawn for Π1?</t>
  </si>
  <si>
    <t>Zhongshu Sheng</t>
  </si>
  <si>
    <t>breaking the back</t>
  </si>
  <si>
    <t>What series is the longest running program in ABC history?</t>
  </si>
  <si>
    <t>What was the first building erected that still forms part of the museum?</t>
  </si>
  <si>
    <t>some form of the ordinary Eastern or bubonic plague</t>
  </si>
  <si>
    <t>What Doctor Who actor won a Best Actor award in 2012?</t>
  </si>
  <si>
    <t>Compared to Smeaton's improvement on Newcomen's engine, how much coal did Watt's engine use?</t>
  </si>
  <si>
    <t>mid-Eocene</t>
  </si>
  <si>
    <t>Does the new deal include Video on demand and High Definition?</t>
  </si>
  <si>
    <t>What river is larger than the Rhine?</t>
  </si>
  <si>
    <t>doctrinal unity</t>
  </si>
  <si>
    <t>between 1.4 and 5.8 °C</t>
  </si>
  <si>
    <t>malnutrition</t>
  </si>
  <si>
    <t>illegal acts</t>
  </si>
  <si>
    <t>What areas did French recruit natives from?</t>
  </si>
  <si>
    <t>EU law has primacy</t>
  </si>
  <si>
    <t>In what year did Richard Trevithick patent his device?</t>
  </si>
  <si>
    <t>[Date]</t>
  </si>
  <si>
    <t>1596</t>
  </si>
  <si>
    <t>It is recognised that an epidemiological account of the plague is as important as an identification of symptoms, but researchers are hampered by the lack of reliable statistics from this period. Most work has been done on the spread of the plague in England, and even estimates of overall population at the start vary by over 100% as no census was undertaken between the time of publication of the Domesday Book and the year 1377. Estimates of plague victims are usually extrapolated from figures from the clergy.</t>
  </si>
  <si>
    <t>Oneida Carry</t>
  </si>
  <si>
    <t>votes from his stronghold arrived later</t>
  </si>
  <si>
    <t>What became the foundation of the Reformation?</t>
  </si>
  <si>
    <t>Dick Clark</t>
  </si>
  <si>
    <t>1522</t>
  </si>
  <si>
    <t>The loss of Edinburgh Pentlands really disappointed whom the most?</t>
  </si>
  <si>
    <t>What parts of a conventional reciprocating steam engine could be replaced by a pistonless rotary engine?</t>
  </si>
  <si>
    <t>Which theorem can be simplified to the Lasker–Noether theorem?</t>
  </si>
  <si>
    <t>about 9.81 meters per second squared</t>
  </si>
  <si>
    <t>How long was each episode of Doctor Who?</t>
  </si>
  <si>
    <t>Downtown San Diego</t>
  </si>
  <si>
    <t>Court of Justice of the European Union (CJEU)</t>
  </si>
  <si>
    <t>What is Warsaw's symbol?</t>
  </si>
  <si>
    <t>time and memory</t>
  </si>
  <si>
    <t>the abuse of dominant position</t>
  </si>
  <si>
    <t>Difficulty in establishing a framework for complexity classes can be caused by what variable?</t>
  </si>
  <si>
    <t>in line</t>
  </si>
  <si>
    <t>channels 2 through 6</t>
  </si>
  <si>
    <t>less than 200,000</t>
  </si>
  <si>
    <t>Three's Company</t>
  </si>
  <si>
    <t>five times lower viewership</t>
  </si>
  <si>
    <t>half-penny sales tax</t>
  </si>
  <si>
    <t>Fred Pierce</t>
  </si>
  <si>
    <t>11:28</t>
  </si>
  <si>
    <t>How many warriors did Toghrul provide Temüjin when his wife was captured?</t>
  </si>
  <si>
    <t>Apollo 1 crew</t>
  </si>
  <si>
    <t>Kenyan athletes (particularly Kalenjin)</t>
  </si>
  <si>
    <t>a difference</t>
  </si>
  <si>
    <t>Why was there a depreciation of the industrialized nations dollars?</t>
  </si>
  <si>
    <t>Middle Miocene</t>
  </si>
  <si>
    <t>When was the Rhine fully within the Holy Roman Empire?</t>
  </si>
  <si>
    <t>How much did Tesla say Edison offered him to redesign his motor and generators?</t>
  </si>
  <si>
    <t>1496–97</t>
  </si>
  <si>
    <t>accompanying documents</t>
  </si>
  <si>
    <t>Jacksonville is the largest city by population in the U.S. state of Florida, and the largest city by area in the contiguous United States. It is the county seat of Duval County, with which the city government consolidated in 1968. Consolidation gave Jacksonville its great size and placed most of its metropolitan population within the city limits; with an estimated population of 853,382 in 2014, it is the most populous city proper in Florida and the Southeast, and the 12th most populous in the United States. Jacksonville is the principal city in the Jacksonville metropolitan area, with a population of 1,345,596 in 2010.</t>
  </si>
  <si>
    <t>What did Stiglitz present in 2009 regarding global inequality?</t>
  </si>
  <si>
    <t>amyloplasts</t>
  </si>
  <si>
    <t>How many square kilometres of the Amazon forest was lost by 1991?</t>
  </si>
  <si>
    <t>asymptotic</t>
  </si>
  <si>
    <t>What high maintenance part did Tesla's AC motor not require?</t>
  </si>
  <si>
    <t>What did the Rhine branch off to form in Austria?</t>
  </si>
  <si>
    <t>Block II spacesuit</t>
  </si>
  <si>
    <t>three, later four</t>
  </si>
  <si>
    <t>What kind of techniques were used to create the theme?</t>
  </si>
  <si>
    <t>What is Kenya's literacy rate?</t>
  </si>
  <si>
    <t>How much windblown dust leaves the Sahara each year?</t>
  </si>
  <si>
    <t>Which engineer made the induction motor more efficient?</t>
  </si>
  <si>
    <t>Initially built with three layers, it later (1982) evolved into a seven-layer OSI-compliant networking protocol</t>
  </si>
  <si>
    <t>What plants create most electric power?</t>
  </si>
  <si>
    <t>Engineering News-Record (ENR) is a trade magazine for the construction industry. Each year, ENR compiles and reports on data about the size of design and construction companies. They publish a list of the largest companies in the United States (Top-40) and also a list the largest global firms (Top-250, by amount of work they are doing outside their home country). In 2014, ENR compiled the data in nine market segments. It was divided as transportation, petroleum, buildings, power, industrial, water, manufacturing, sewer/waste, telecom, hazardous waste plus a tenth category for other projects. In their reporting on the Top 400, they used data on transportation, sewer, hazardous waste and water to rank firms as heavy contractors.</t>
  </si>
  <si>
    <t>Tesla never married; he said his chastity was very helpful to his scientific abilities.:33 However, toward the end of his life, he told a reporter, "Sometimes I feel that by not marrying, I made too great a sacrifice to my work ..." There have been numerous accounts of women vying for Tesla's affection, even some madly in love with him.[citation needed] Tesla, though polite and soft-spoken, did not have any known relationships.</t>
  </si>
  <si>
    <t>What color is phycoerytherin?</t>
  </si>
  <si>
    <t>within the chloroplast's stroma</t>
  </si>
  <si>
    <t>at least some pre-planning and Christian burials</t>
  </si>
  <si>
    <t>Why is the final bill passed to the Monarch?</t>
  </si>
  <si>
    <t>What is a very seldom used unit of mass in the metric system?</t>
  </si>
  <si>
    <t>What is the average discharge of the Moselle to the Rhine?</t>
  </si>
  <si>
    <t>How many people do historians estimate Genghis Khan killed in the Iranian Plateau?</t>
  </si>
  <si>
    <t>modern algebraic number theory</t>
  </si>
  <si>
    <t>galleries of continental art</t>
  </si>
  <si>
    <t>his mother's genetics and influence</t>
  </si>
  <si>
    <t>The restriction modification system is used by bacteria for protection from what pathogens?</t>
  </si>
  <si>
    <t>Who was the medical report written for?</t>
  </si>
  <si>
    <t>Teachers that exhibit enthusiasm can lead to students who are more likely to be engaged, interested, energetic, and curious about learning the subject matter. Recent research has found a correlation between teacher enthusiasm and students' intrinsic motivation to learn and vitality in the classroom. Controlled, experimental studies exploring intrinsic motivation of college students has shown that nonverbal expressions of enthusiasm, such as demonstrative gesturing, dramatic movements which are varied, and emotional facial expressions, result in college students reporting higher levels of intrinsic motivation to learn. Students who experienced a very enthusiastic teacher were more likely to read lecture material outside of the classroom.</t>
  </si>
  <si>
    <t>What are the eight comb rows on the outer surface called?</t>
  </si>
  <si>
    <t>What other reason caused poor supply of New France from a difficult winter?</t>
  </si>
  <si>
    <t>Who are the chief administrators of the church?</t>
  </si>
  <si>
    <t>WFTS-TV and WWSB</t>
  </si>
  <si>
    <t>How many species of bird and mammals are there in the Amazon region?</t>
  </si>
  <si>
    <t>A cylindrical Service Module (SM) supported the Command Module, with a service propulsion engine and an RCS with propellants, and a fuel cell power generation system with liquid hydrogen and liquid oxygen reactants. A high-gain S-band antenna was used for long-distance communications on the lunar flights. On the extended lunar missions, an orbital scientific instrument package was carried. The Service Module was discarded just before re-entry. The module was 24.6 feet (7.5 m) long and 12.83 feet (3.91 m) in diameter. The initial lunar flight version weighed approximately 51,300 pounds (23,300 kg) fully fueled, while a later version designed to carry a lunar orbit scientific instrument package weighed just over 54,000 pounds (24,000 kg).</t>
  </si>
  <si>
    <t>Other than T cells, what other immune cells express CYP27B1?</t>
  </si>
  <si>
    <t>Beginning in what year was Harvard on top of the World Reputation Rankings?</t>
  </si>
  <si>
    <t>quadruple</t>
  </si>
  <si>
    <t>Temüjin's mother Hoelun</t>
  </si>
  <si>
    <t>Pauli principle</t>
  </si>
  <si>
    <t>10 years</t>
  </si>
  <si>
    <t>Germany and Scandinavia</t>
  </si>
  <si>
    <t>Project Apollo</t>
  </si>
  <si>
    <t>Milutin Tesla</t>
  </si>
  <si>
    <t>From 1530 a royal act restricted all shipments of coal from Tyneside to Newcastle Quayside, giving a monopoly in the coal trade to a cartel of Newcastle burgesses known as the Hostmen. This monopoly, which lasted for a considerable time, helped Newcastle prosper and develop into a major town. The phrase taking coals to Newcastle was first recorded contextually in 1538. The phrase itself means a pointless pursuit. In the 18th century American Timothy Dexter, an entrepreneur, widely regarded as an eccentric, defied this idiom. He was persuaded to sail a shipment of coal to Newcastle by merchants plotting to ruin him; however his shipment arrived on the Tyne during a strike that had crippled local production; unexpectedly he made a considerable profit.</t>
  </si>
  <si>
    <t>to send him to the best engineering school</t>
  </si>
  <si>
    <t>Lunar Roving Vehicle</t>
  </si>
  <si>
    <t>Feynman diagrams</t>
  </si>
  <si>
    <t>British Sky Broadcasting</t>
  </si>
  <si>
    <t>Hurricane Dora</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</si>
  <si>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</si>
  <si>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What is the smallest number of Bolivians it's estimated live in Newcastle?</t>
  </si>
  <si>
    <t>1905</t>
  </si>
  <si>
    <t>“wid[en] people’s choices and the level of their achieved well-being”</t>
  </si>
  <si>
    <t>a series of power blackouts across the country</t>
  </si>
  <si>
    <t>What are environmentalists concerned about losing in the Amazon forest?</t>
  </si>
  <si>
    <t>Pons Aelius</t>
  </si>
  <si>
    <t>at the foot of the mast</t>
  </si>
  <si>
    <t>the building is ready to occupy.</t>
  </si>
  <si>
    <t>Before the return of the collections after the war, the Britain Can Make It exhibition was held between September and November 1946, attracting nearly a million and a half visitors. This was organised by the Council of Industrial Design established by the British government in 1944 "to promote by all practicable means the improvement of design in the products of British industry". The success of this exhibition led to the planning of the Festival of Britain (1951). By 1948 most of the collections had been returned to the museum.</t>
  </si>
  <si>
    <t xml:space="preserve">Who did the geographic scholars work for? </t>
  </si>
  <si>
    <t>twice the figure for the average profession</t>
  </si>
  <si>
    <t>Formal teaching</t>
  </si>
  <si>
    <t>hermaphroditism and early reproduction</t>
  </si>
  <si>
    <t>boudins</t>
  </si>
  <si>
    <t>How much did Walt Disney want ABC to invest in Disneyland?</t>
  </si>
  <si>
    <t>both Kenia and Kegnia</t>
  </si>
  <si>
    <t>What was Maria Curie the first female recipient of?</t>
  </si>
  <si>
    <t>Kenya is a presidential representative democratic republic. The President is both the head of state and head of government, and of a multi-party system. Executive power is exercised by the government. Legislative power is vested in both the government and the National Assembly and the Senate. The Judiciary is independent of the executive and the legislature. There was growing concern especially during former president Daniel arap Moi's tenure that the executive was increasingly meddling with the affairs of the judiciary.[citation needed]</t>
  </si>
  <si>
    <t>What is wasted by rubisco's flaw?</t>
  </si>
  <si>
    <t>What impact does higher worker productivity and leveled pay have on higher earners?</t>
  </si>
  <si>
    <t>What is an example of an enzyme that can transform skin cells into tumors when expressed at high levels?</t>
  </si>
  <si>
    <t>Kosher butchering</t>
  </si>
  <si>
    <t>Why would one plead guilty to a crime involving civil disobedience?</t>
  </si>
  <si>
    <t>USGS</t>
  </si>
  <si>
    <t>phagocytes</t>
  </si>
  <si>
    <t>When did Edward return?</t>
  </si>
  <si>
    <t>Following guidelines set in the National Cycling strategy, Newcastle first developed its cycling strategy in 1998. As of 2012, the local council social aims and objectives for cycling include: highlighting the usage of cycling to cut city congestion; educating that cycling promotes healthy living… The authority also has infrastructure aims and objectives which include: developing on road cycle networks on quieter streets; making safer routes on busier streets; innovating and implementing contraflows on one way streets; developing the existing off road cycle route networks and improve signage; joining up routes that are partially or completely isolated; Increase the number of cycle parking facilities; working with employers to integrate cycling into workplace travel plans; link the local networks to national networks.</t>
  </si>
  <si>
    <t>What style of sensing do scientist like to use to measure global radiance?</t>
  </si>
  <si>
    <t>a billion years ago</t>
  </si>
  <si>
    <t>What was suggested at the Symposium in 1967</t>
  </si>
  <si>
    <t>Are there any other aviation communities such as Sierra Sky Park in the United States?</t>
  </si>
  <si>
    <t>four stories</t>
  </si>
  <si>
    <t>May 1754</t>
  </si>
  <si>
    <t>Mental Health (Care and Treatment) (Scotland) Act 2003</t>
  </si>
  <si>
    <t>Approximately how many names were signed on an online petition on the Parliamentary website in response to the closing of the Musical Instruments gallery?</t>
  </si>
  <si>
    <t>The United Methodist Church opposes conscription as incompatible with the teaching of Scripture. Therefore, the Church supports and extends its ministry to those persons who conscientiously oppose all war, or any particular war, and who therefore refuse to serve in the armed forces or to cooperate with systems of military conscription. However, the United Methodist Church also supports and extends its ministry to those persons who conscientiously choose to serve in the armed forces or to accept alternative service. The church also states that "as Christians they are aware that neither the way of military action, nor the way of inaction is always righteous before God."</t>
  </si>
  <si>
    <t>enhanced transit infrastructure, possible shuttles open to the public, and park space</t>
  </si>
  <si>
    <t>run proton pumps and carry out oxidative phosphorylation</t>
  </si>
  <si>
    <t>Arts and Crafts</t>
  </si>
  <si>
    <t>Religious Coalition for Reproductive Choice</t>
  </si>
  <si>
    <t>sequential</t>
  </si>
  <si>
    <t>By the opening of the 2008 General Conference, what was the total UMC membership?</t>
  </si>
  <si>
    <t>When did oil finally returned to its Bretton Woods levels?</t>
  </si>
  <si>
    <t>voters were supposed to line up behind their favoured candidates</t>
  </si>
  <si>
    <t>5K resolution</t>
  </si>
  <si>
    <t>What party forms the Scottish Parliament?</t>
  </si>
  <si>
    <t>1960</t>
  </si>
  <si>
    <t>the Working Group chairs</t>
  </si>
  <si>
    <t>a statement to the chamber setting out the Government's legislative programme for the forthcoming year</t>
  </si>
  <si>
    <t>Who assembles the authors' contributions?</t>
  </si>
  <si>
    <t>What is the population of the Inner Mongolia region of China?</t>
  </si>
  <si>
    <t>French residents who chose to remain in the colony would be given freedom</t>
  </si>
  <si>
    <t>What is one country that has been suggested for importation of medicines?</t>
  </si>
  <si>
    <t>How many touchdowns did Jonathan Stewart have in 13 games?</t>
  </si>
  <si>
    <t>Edgar</t>
  </si>
  <si>
    <t>There is growing interest in what indigenous group in the Amazon?</t>
  </si>
  <si>
    <t>highly refractive</t>
  </si>
  <si>
    <t>What is the most likely effect of breathing oxygen?</t>
  </si>
  <si>
    <t>put on a bus and taken to the Nye County seat of Tonopah, Nevada, and arraigned for trial before the local Justice of the Peace</t>
  </si>
  <si>
    <t>Bohemond</t>
  </si>
  <si>
    <t>What lands were reserved for natives?</t>
  </si>
  <si>
    <t>helicoid stromal thylakoids</t>
  </si>
  <si>
    <t>BBC Three</t>
  </si>
  <si>
    <t>into the nineteenth century</t>
  </si>
  <si>
    <t>sand</t>
  </si>
  <si>
    <t>derived a cubic interpolation formula</t>
  </si>
  <si>
    <t>1294 to 1307</t>
  </si>
  <si>
    <t>at least 90%</t>
  </si>
  <si>
    <t>A reaction against industrialiazation contributed to the development of what artistic movement in the late 19th centurY</t>
  </si>
  <si>
    <t>climate</t>
  </si>
  <si>
    <t>What cytokines are responsible for communication between white blood cells?</t>
  </si>
  <si>
    <t>re-sodded</t>
  </si>
  <si>
    <t>widespread education</t>
  </si>
  <si>
    <t>Westwood One will carry the game throughout North America, with Kevin Harlan as play-by-play announcer, Boomer Esiason and Dan Fouts as color analysts, and James Lofton and Mark Malone as sideline reporters. Jim Gray will anchor the pre-game and halftime coverage.</t>
  </si>
  <si>
    <t>Rembrandt</t>
  </si>
  <si>
    <t>What was the cartel of Newcastle burgesses known as?</t>
  </si>
  <si>
    <t>Where is the MetroCentre located?</t>
  </si>
  <si>
    <t>What artist provided the woodcuts for Luther's Bible?</t>
  </si>
  <si>
    <t>The Skylab had what type of equipment onboard that was supposed to be used in a different mission?</t>
  </si>
  <si>
    <t>December 12</t>
  </si>
  <si>
    <t>What was the name of the Marco Polo episode?</t>
  </si>
  <si>
    <t>Which company provides train service in Fresno?</t>
  </si>
  <si>
    <t>Which direction did the disease first move in?</t>
  </si>
  <si>
    <t>Where did Tesla go to feed the pigeons daily?</t>
  </si>
  <si>
    <t>Which central European country had a Calvinist ruler?</t>
  </si>
  <si>
    <t>What river originally bounded the Duchy</t>
  </si>
  <si>
    <t>mayor Ed Lee</t>
  </si>
  <si>
    <t>Islam's pivotal turning point as occurring not with the death of Ali</t>
  </si>
  <si>
    <t>Since all modern ctenophores except the beroids have cydippid-like larvae, it has widely been assumed that their last common ancestor also resembled cydippids, having an egg-shaped body and a pair of retractable tentacles. Richard Harbison's purely morphological analysis in 1985 concluded that the cydippids are not monophyletic, in other words do not contain all and only the descendants of a single common ancestor that was itself a cydippid. Instead he found that various cydippid families were more similar to members of other ctenophore orders than to other cydippids. He also suggested that the last common ancestor of modern ctenophores was either cydippid-like or beroid-like. A molecular phylogeny analysis in 2001, using 26 species, including 4 recently discovered ones, confirmed that the cydippids are not monophyletic and concluded that the last common ancestor of modern ctenophores was cydippid-like. It also found that the genetic differences between these species were very small – so small that the relationships between the Lobata, Cestida and Thalassocalycida remained uncertain. This suggests that the last common ancestor of modern ctenophores was relatively recent, and perhaps was lucky enough to survive the Cretaceous–Paleogene extinction event 65.5 million years ago while other lineages perished. When the analysis was broadened to include representatives of other phyla, it concluded that cnidarians are probably more closely related to bilaterians than either group is to ctenophores but that this diagnosis is uncertain.</t>
  </si>
  <si>
    <t>Which cidippid is used as a description on ctenophores in most textbooks?</t>
  </si>
  <si>
    <t>break their vows</t>
  </si>
  <si>
    <t>aggressively</t>
  </si>
  <si>
    <t>356 ± 47 tonnes</t>
  </si>
  <si>
    <t>residency registration</t>
  </si>
  <si>
    <t>October 1518</t>
  </si>
  <si>
    <t>hydrogen</t>
  </si>
  <si>
    <t>passing a stream of clean, dry air through one bed of a pair of identical zeolite molecular sieves, which absorbs the nitrogen</t>
  </si>
  <si>
    <t>ACL</t>
  </si>
  <si>
    <t>early 1938</t>
  </si>
  <si>
    <t>Thanks to numerous musical venues, including the Teatr Wielki, the Polish National Opera, the Chamber Opera, the National Philharmonic Hall and the National Theatre, as well as the Roma and Buffo music theatres and the Congress Hall in the Palace of Culture and Science, Warsaw hosts many events and festivals. Among the events worth particular attention are: the International Frédéric Chopin Piano Competition, the International Contemporary Music Festival Warsaw Autumn, the Jazz Jamboree, Warsaw Summer Jazz Days, the International Stanisław Moniuszko Vocal Competition, the Mozart Festival, and the Festival of Old Music.</t>
  </si>
  <si>
    <t>In September 1958, Bank of America launched a new product called BankAmericard in Fresno. After a troubled gestation during which its creator resigned, BankAmericard went on to become the first successful credit card; that is, a financial instrument that was usable across a large number of merchants and also allowed cardholders to revolve a balance (earlier financial products could do one or the other but not both). In 1976, BankAmericard was renamed and spun off into a separate company known today as Visa Inc.</t>
  </si>
  <si>
    <t>How many successors of Kublai was Toghun the last of?</t>
  </si>
  <si>
    <t>long-lived memory cells</t>
  </si>
  <si>
    <t>probabilistic (or "Monte Carlo")</t>
  </si>
  <si>
    <t>While its radio network was undergoing reconstruction, ABC found it difficult to avoid falling behind on the new medium of television. To ensure a space, in 1947, ABC submitted five applications for television station licenses, one for each market where it owned and operated a radio station (New York City, Los Angeles, Chicago, San Francisco and Detroit). These applications all requested for the stations to broadcast on VHF channel 7, as Frank Marx, then ABC's vice-president of engineering, thought that the low-band VHF frequencies (corresponding to channels 2 through 6) would be requisitioned from broadcasting use and reallocated for the U.S. Army.</t>
  </si>
  <si>
    <t>the Regenstein Library</t>
  </si>
  <si>
    <t>600,000</t>
  </si>
  <si>
    <t>Manakin Episcopal Church</t>
  </si>
  <si>
    <t>palm</t>
  </si>
  <si>
    <t>What are examples of the various religions of Mongol tribes?</t>
  </si>
  <si>
    <t>increased blood flow into tissue</t>
  </si>
  <si>
    <t>What area of Brookhaven is still known for its high levels of crime?</t>
  </si>
  <si>
    <t>the machines operate deterministically</t>
  </si>
  <si>
    <t>90,790</t>
  </si>
  <si>
    <t>trying to stop her from giving her brother Polynices a proper burial</t>
  </si>
  <si>
    <t>algebraic number theory</t>
  </si>
  <si>
    <t>heterokontophyte</t>
  </si>
  <si>
    <t>Complexity theory seeks to define the relationship between the scale of algorithms with respect to what other variable?</t>
  </si>
  <si>
    <t>pound-force</t>
  </si>
  <si>
    <t>The Roots miniseries was based on a novel by what author?</t>
  </si>
  <si>
    <t>What other role do many pharmacists play?</t>
  </si>
  <si>
    <t>What was NewcastleGateshead voted in 2006?</t>
  </si>
  <si>
    <t>Where was Tesla's new lab?</t>
  </si>
  <si>
    <t>Why did Warsaw become the capital of the Commonwealth?</t>
  </si>
  <si>
    <t>How many intercollegiate sports does Harvard compete in NCAA division I</t>
  </si>
  <si>
    <t>How many teams has Manning played for that reached the Super Bowl, while he was on their team?</t>
  </si>
  <si>
    <t>their business is chronically understaffed</t>
  </si>
  <si>
    <t>Anabaptists</t>
  </si>
  <si>
    <t>2011.</t>
  </si>
  <si>
    <t>Tesla's theories on the possibility of the transmission by radio waves go back as far as lectures and demonstrations in 1893 in St. Louis, Missouri, the Franklin Institute in Philadelphia, Pennsylvania, and the National Electric Light Association. Tesla's demonstrations and principles were written about widely through various media outlets. Many devices such as the Tesla Coil were used in the further development of radio.</t>
  </si>
  <si>
    <t>What is the break down of years at different level of education?</t>
  </si>
  <si>
    <t>1960s</t>
  </si>
  <si>
    <t>annexing outlying communities</t>
  </si>
  <si>
    <t>preventable financial problems</t>
  </si>
  <si>
    <t>What candy company did Edward John Noble own?</t>
  </si>
  <si>
    <t>lower price models such as the Chevrolet Bel Air, and Ford Galaxie 500</t>
  </si>
  <si>
    <t>the Academy Awards</t>
  </si>
  <si>
    <t>What institution has helped farmers grow new pigeon pea varieties?</t>
  </si>
  <si>
    <t>1,100</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</si>
  <si>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</si>
  <si>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Liao dynasty</t>
  </si>
  <si>
    <t>What was the first British empire based on?</t>
  </si>
  <si>
    <t>8 mm cine film and clips that were shown on other programmes</t>
  </si>
  <si>
    <t>storage conditions, compulsory texts, equipment</t>
  </si>
  <si>
    <t>The Dating Game</t>
  </si>
  <si>
    <t>However, his religious views remain uncertain due to other statements that he made. For example, in his article, "A Machine to End War", published in 1937, Tesla stated:</t>
  </si>
  <si>
    <t>remain silent if his opponents did</t>
  </si>
  <si>
    <t>What does the flow of the Rhine being visible depend on?</t>
  </si>
  <si>
    <t>Robert Curthose</t>
  </si>
  <si>
    <t>What person helped establish the school with a donation?</t>
  </si>
  <si>
    <t>2p + 1</t>
  </si>
  <si>
    <t>Streptococcus (protein G)</t>
  </si>
  <si>
    <t>Service Module (SM)</t>
  </si>
  <si>
    <t>How common of a type was corporal punishment in schools?</t>
  </si>
  <si>
    <t>Name two series that have been reboots rather than plot continuations.</t>
  </si>
  <si>
    <t>formalize a unified front in trade and negotiations with various Indians, since allegiance of the various tribes and nations was seen to be pivotal</t>
  </si>
  <si>
    <t>Qwest</t>
  </si>
  <si>
    <t>What are free-to-air encrypted broadcasts known as?</t>
  </si>
  <si>
    <t>What is the receptor that killer T cells use to bind to specific antigens that are complexed with the MHC Class 1 receptor of another cell?</t>
  </si>
  <si>
    <t>Xingu</t>
  </si>
  <si>
    <t>How well did the Mongol Emperors know Chinese?</t>
  </si>
  <si>
    <t>citizenship</t>
  </si>
  <si>
    <t>American Institute of Electrical Engineers</t>
  </si>
  <si>
    <t>Where are the streams the Rhine captured?</t>
  </si>
  <si>
    <t>In the wake of the ABC and Capital Cities merger, who was the president of ABC News and ABC Sports?</t>
  </si>
  <si>
    <t>Command Module</t>
  </si>
  <si>
    <t>62,528</t>
  </si>
  <si>
    <t>Who included 1 as the first prime number in the mid 18th century?</t>
  </si>
  <si>
    <t>What controls wages in a purely capitalist mode of production?</t>
  </si>
  <si>
    <t>Who did Rollo sign the treaty of Saint-Clair-sur-Epte with?</t>
  </si>
  <si>
    <t>The papers of which famous English writer of children's books such as The Tale of Peter Rabbit are collected in the museum?</t>
  </si>
  <si>
    <t>writing a five volume book in his native Greek</t>
  </si>
  <si>
    <t>Who did Tesla credit for his abilities?</t>
  </si>
  <si>
    <t>What does being an MSP share with the House of Commons?</t>
  </si>
  <si>
    <t>generate ATP energy</t>
  </si>
  <si>
    <t>after the Franco-German War</t>
  </si>
  <si>
    <t>never</t>
  </si>
  <si>
    <t>healthcare professionals</t>
  </si>
  <si>
    <t>more equality in the income distribution</t>
  </si>
  <si>
    <t>learning</t>
  </si>
  <si>
    <t xml:space="preserve">How is the O2 molecule referred to in its ground state? </t>
  </si>
  <si>
    <t>In which year were Rodin's works given to the V&amp;A?</t>
  </si>
  <si>
    <t>deforestation</t>
  </si>
  <si>
    <t>Frank Marx</t>
  </si>
  <si>
    <t>every eight years</t>
  </si>
  <si>
    <t>Who may teachers focus on, in order to prioritize attention?</t>
  </si>
  <si>
    <t>Who is the UK's largest digital subscription television company?</t>
  </si>
  <si>
    <t xml:space="preserve"> What entity has taken the view that the goals of free trade are underpinned by the aims to improve people's well being?</t>
  </si>
  <si>
    <t>Yo Yo Ma</t>
  </si>
  <si>
    <t>Some chloroplasts contain a structure called the chloroplast peripheral reticulum. It is often found in the chloroplasts of C4 plants, though it has also been found in some C3 angiosperms, and even some gymnosperms. The chloroplast peripheral reticulum consists of a maze of membranous tubes and vesicles continuous with the inner chloroplast membrane that extends into the internal stromal fluid of the chloroplast. Its purpose is thought to be to increase the chloroplast's surface area for cross-membrane transport between its stroma and the cell cytoplasm. The small vesicles sometimes observed may serve as transport vesicles to shuttle stuff between the thylakoids and intermembrane space.</t>
  </si>
  <si>
    <t>afternoon of May 2</t>
  </si>
  <si>
    <t>fund</t>
  </si>
  <si>
    <t>pre-game and halftime coverage.</t>
  </si>
  <si>
    <t>In late 1886 Tesla met Alfred S. Brown, a Western Union superintendent, and New York attorney Charles F. Peck. The two men were experienced in setting up companies and promoting inventions and patents for financial gain. Based on Tesla's patents and other ideas they agreed to back him financially and handle his patents. Together in April 1887 they formed the Tesla Electric Company with an agreement that profits from generated patents would go ⅓ to Tesla, ⅓ to Peck and Brown, and ⅓ to fund development. They set up a laboratory for Tesla at 89 Liberty Street in Manhattan where he worked on improving and developing new types of electric motors, generators and other devices.</t>
  </si>
  <si>
    <t>Michael Jayston</t>
  </si>
  <si>
    <t>If a matter is not specifically reserved, who is it devolved to?</t>
  </si>
  <si>
    <t>22,000</t>
  </si>
  <si>
    <t>modern soils</t>
  </si>
  <si>
    <t>September 5, 1985</t>
  </si>
  <si>
    <t>Protestant denomination</t>
  </si>
  <si>
    <t>30 kPa</t>
  </si>
  <si>
    <t>17 December 1941</t>
  </si>
  <si>
    <t>What type of prime distribution does the Riemann hypothesis propose is also true for short intervals near X?</t>
  </si>
  <si>
    <t>What influence did Al Banna wish to eliminate from the Muslim world?</t>
  </si>
  <si>
    <t>Who was the famous Huguenot theologian and writer in London?</t>
  </si>
  <si>
    <t>political innovations</t>
  </si>
  <si>
    <t>the Treaty of Rome 1957 and the Maastricht Treaty 1992 (now: TFEU)</t>
  </si>
  <si>
    <t>What advise did Thoreau give the tax collector when unable to perform his duty?</t>
  </si>
  <si>
    <t>It is expected that the continuous input of sediment into the lake will silt up the lake</t>
  </si>
  <si>
    <t>Khorasan</t>
  </si>
  <si>
    <t>What is the expression used to identify any given series of problems capable of being solved within time on a deterministic Turing machine?</t>
  </si>
  <si>
    <t>When did Japan release a statement to tell Israelis to withdraw from the Palestine?</t>
  </si>
  <si>
    <t>chares'</t>
  </si>
  <si>
    <t>decided Tesla's patent would probably control the market</t>
  </si>
  <si>
    <t>What event did Storch and Muntzer help instigate?</t>
  </si>
  <si>
    <t>southern Chinese manufacturers and merchants</t>
  </si>
  <si>
    <t>more than one-third</t>
  </si>
  <si>
    <t>Manhattan</t>
  </si>
  <si>
    <t>the heavens</t>
  </si>
  <si>
    <t>renewal of hostilities</t>
  </si>
  <si>
    <t>autumn</t>
  </si>
  <si>
    <t>net mechanical energy</t>
  </si>
  <si>
    <t>How many seasons did the BBC produce Doctor Who?</t>
  </si>
  <si>
    <t>When was the Masovian Duchy reincorporated into the Polish Crown?</t>
  </si>
  <si>
    <t>workmanship and quality control</t>
  </si>
  <si>
    <t>Stage 2</t>
  </si>
  <si>
    <t>silverware</t>
  </si>
  <si>
    <t>stagnant wages</t>
  </si>
  <si>
    <t>English Heritage.</t>
  </si>
  <si>
    <t>Gods of Egypt,</t>
  </si>
  <si>
    <t>Which neighborhood lies west of the 41 freeway?</t>
  </si>
  <si>
    <t>drainage channels</t>
  </si>
  <si>
    <t>particular closure temperature</t>
  </si>
  <si>
    <t>What type of engines became popular for power generation after piston steam engines?</t>
  </si>
  <si>
    <t>What Doctor Who spin-off series was commissioned by the BBC?</t>
  </si>
  <si>
    <t>What was the wedding date?</t>
  </si>
  <si>
    <t>What did a lot of players need to change during Super Bowl 50 because of the condition of the field?</t>
  </si>
  <si>
    <t>Manakin Town</t>
  </si>
  <si>
    <t>What shape is the water feature in the John Madejski Garden?</t>
  </si>
  <si>
    <t>downward pressure on wages</t>
  </si>
  <si>
    <t>All India Muslim League</t>
  </si>
  <si>
    <t>as feeder materials</t>
  </si>
  <si>
    <t>23 November</t>
  </si>
  <si>
    <t>ABC carries weekend events for what extreme sports competition?</t>
  </si>
  <si>
    <t>self-determined</t>
  </si>
  <si>
    <t>In business, notable alumni include Microsoft CEO Satya Nadella, Oracle Corporation founder and the third richest man in America Larry Ellison, Goldman Sachs and MF Global CEO as well as former Governor of New Jersey Jon Corzine, McKinsey &amp; Company founder and author of the first management accounting textbook James O. McKinsey, Arley D. Cathey, Bloomberg L.P. CEO Daniel Doctoroff, Credit Suisse CEO Brady Dougan, Morningstar, Inc. founder and CEO Joe Mansueto, Chicago Cubs owner and chairman Thomas S. Ricketts, and NBA commissioner Adam Silver.</t>
  </si>
  <si>
    <t>What is another name for being born again?</t>
  </si>
  <si>
    <t>Which genus lack tentacles and sheaths?</t>
  </si>
  <si>
    <t>Which of Genghis Khan's ambassadors did the Shah have beheaded?</t>
  </si>
  <si>
    <t>In late 1886</t>
  </si>
  <si>
    <t>In lands attributed to what tribe are found remains of large settlements?</t>
  </si>
  <si>
    <t>Theta-Sigma</t>
  </si>
  <si>
    <t>What has the lower rainfall in the Amazon during the LGM been attributed to?</t>
  </si>
  <si>
    <t>to civilize the inferior</t>
  </si>
  <si>
    <t>Working Group chairs</t>
  </si>
  <si>
    <t>two-phased system</t>
  </si>
  <si>
    <t>What is set up to scrutinize private bills submitted by party outsiders?</t>
  </si>
  <si>
    <t>Sometimes the prosecution proposes a plea bargain to civil disobedients, as in the case of the Camden 28, in which the defendants were offered an opportunity to plead guilty to one misdemeanor count and receive no jail time. In some mass arrest situations, the activists decide to use solidarity tactics to secure the same plea bargain for everyone. But some activists have opted to enter a blind plea, pleading guilty without any plea agreement in place. Mohandas Gandhi pleaded guilty and told the court, "I am here to . . . submit cheerfully to the highest penalty that can be inflicted upon me for what in law is a deliberate crime and what appears to me to be the highest duty of a citizen."</t>
  </si>
  <si>
    <t>the General Teaching Council for Scotland (GTCS)</t>
  </si>
  <si>
    <t>an amending treaty</t>
  </si>
  <si>
    <t>What were European countries doing during the 1700's?</t>
  </si>
  <si>
    <t>What popular environmentalist is also a university alumni member?</t>
  </si>
  <si>
    <t>The United Methodist Church is organized into conferences. The highest level is called the General Conference and is the only organization which may speak officially for the church. The General Conference meets every four years (quadrennium). Legislative changes are recorded in The Book of Discipline which is revised after each General Conference. Non-legislative resolutions are recorded in the Book of Resolutions, which is published after each General Conference, and expire after eight years unless passed again by a subsequent session of General Conference. The last General Conference was held in Tampa, Florida, in 2012. The event is currently rotated between the U.S. jurisdictions of the church. The 2016 General Conference will be in Portland, Oregon. Bishops, Councils, Committees, Boards, Elders, etc., are not permitted to speak on behalf of The United Methodist Church as this authority is reserved solely for the General Conference in accordance with the Book of Discipline.</t>
  </si>
  <si>
    <t>When was the European Communities Act created?</t>
  </si>
  <si>
    <t>Buckland Valley</t>
  </si>
  <si>
    <t>What scientist told the French Academy of Sciences that he had found how to liquefy oxygen?</t>
  </si>
  <si>
    <t>What play showed an early depiction of civil disobedience?</t>
  </si>
  <si>
    <t>the Ardabil Carpet</t>
  </si>
  <si>
    <t>What has had a negative impact on the labor markets in the US?</t>
  </si>
  <si>
    <t>before Kublai in 1285</t>
  </si>
  <si>
    <t>cogeneration processes</t>
  </si>
  <si>
    <t>When was the heatwave in which Hopetoun recorded its highest temperature?</t>
  </si>
  <si>
    <t>manned lunar landings</t>
  </si>
  <si>
    <t>Victoria Constitution Act 185</t>
  </si>
  <si>
    <t>Westinghouse Electric &amp; Manufacturing Company</t>
  </si>
  <si>
    <t>new entrance building</t>
  </si>
  <si>
    <t>Which Middle Eastern nation in particular views Genghis Khan as a contemptible perpetrator of genocide?</t>
  </si>
  <si>
    <t>By what did Luther believe the just person lives?</t>
  </si>
  <si>
    <t>metamorphosed</t>
  </si>
  <si>
    <t>What do astronaughts experience while in free-fall?</t>
  </si>
  <si>
    <t>the secular powers</t>
  </si>
  <si>
    <t>Which fantasy books have references to Doctor Who?</t>
  </si>
  <si>
    <t>Which team held the scoring lead throughout the entire game?</t>
  </si>
  <si>
    <t>Real Presence of the body and blood of Christ in the consecrated bread and wine</t>
  </si>
  <si>
    <t>Saturn V</t>
  </si>
  <si>
    <t>American Medical Association</t>
  </si>
  <si>
    <t>What was the theorized maximum population density per square kilometre for the Amazon rainforest?</t>
  </si>
  <si>
    <t>What is rubisco's flaw?</t>
  </si>
  <si>
    <t>blood–brain barrier, blood–cerebrospinal fluid barrier</t>
  </si>
  <si>
    <t>How many miles, once completed, will the the Lewis S. Eaton trail cover?</t>
  </si>
  <si>
    <t>effectiveness of treatment regimens</t>
  </si>
  <si>
    <t>Gateshead Council</t>
  </si>
  <si>
    <t>20th</t>
  </si>
  <si>
    <t>Sizeable minorities of other faiths do exist (Muslim 11.2%, indigenous beliefs 1.7%), and nonreligious 2.4%. Sixty percent of the Muslim population lives in Kenya's Coastal Region, comprising 50% of the total population there. Roughly 4% of Muslims are Ahmadiyya, 8% Shia and another 8% are non-denominational Muslims, while 73% are Sunni. Western areas of the Coast Region are mostly Christian. The upper part of Kenya's Eastern Region is home to 10% of the country's Muslims, where they constitute the majority religious group. In addition, there is a large Hindu population in Kenya (around 300,000), who have played a key role in the local economy; they are mostly of Indian origin.</t>
  </si>
  <si>
    <t>During the mass high school education movement from 1910–1940, there was an increase in skilled workers, which led to a decrease in the price of skilled labor. High school education during the period was designed to equip students with necessary skill sets to be able to perform at work. In fact, it differs from the present high school education, which is regarded as a stepping-stone to acquire college and advanced degrees. This decrease in wages caused a period of compression and decreased inequality between skilled and unskilled workers. Education is very important for the growth of the economy, however educational inequality in gender also influence towards the economy. Lagerlof and Galor stated that gender inequality in education can result to low economic growth, and continued gender inequality in education, thus creating a poverty trap. It is suggested that a large gap in male and female education may indicate backwardness and so may be associated with lower economic growth, which can explain why there is economic inequality between countries.</t>
  </si>
  <si>
    <t>Where did Tesla work in 1888?</t>
  </si>
  <si>
    <t>1,300,000</t>
  </si>
  <si>
    <t>In what major portion of living things is oxygen found?</t>
  </si>
  <si>
    <t>What is necessary for chloroplasts to replicate?</t>
  </si>
  <si>
    <t>multi-cultural</t>
  </si>
  <si>
    <t>What were shipbuilding and engineering important to Newcastle for in the 19th century?</t>
  </si>
  <si>
    <t>What perk did religious leaders, teachers, and doctors get in the Mongol Empire?</t>
  </si>
  <si>
    <t>warming influence</t>
  </si>
  <si>
    <t>Braddock (with George Washington as one of his aides) led about 1,500 army troops</t>
  </si>
  <si>
    <t>What does the film of oxide on metals delay?</t>
  </si>
  <si>
    <t>Christmas Day specials</t>
  </si>
  <si>
    <t>What coach left the Broncos after the season prior to Super Bowl 50?</t>
  </si>
  <si>
    <t>the Tesla Electric Company</t>
  </si>
  <si>
    <t>photosynthetic cyanobacterium that was engulfed by an early eukaryotic cell</t>
  </si>
  <si>
    <t>Who was the first European to travel the Amazon River?</t>
  </si>
  <si>
    <t>prep schools</t>
  </si>
  <si>
    <t>Immunology</t>
  </si>
  <si>
    <t>1185</t>
  </si>
  <si>
    <t>a majority</t>
  </si>
  <si>
    <t>native Chinese dynasties</t>
  </si>
  <si>
    <t>What is the KNLS responsible for?</t>
  </si>
  <si>
    <t>The Sinclair Broadcast Group is the largest operator of ABC stations by numerical total, owning or providing services to 28 ABC affiliates and two additional subchannel-only affiliates; Sinclair owns the largest ABC subchannel affiliate by market size, WABM-DT2/WDBB-DT2 in the Birmingham market, which serve as repeaters of WBMA-LD (the largest low-power "Big Four" affiliate by market size, which itself is also simulcast on a subchannel of former WBMA satellite WGWW, owned by Sinclair partner company Howard Stirk Holdings). The E. W. Scripps Company is the largest operator of ABC stations in terms of overall market reach, owning 15 ABC-affiliated stations (including affiliates in larger markets such as Cleveland, Phoenix, Detroit and Denver), and through its ownership of Phoenix affiliate KNXV, Las Vegas affiliate KTNV-TV and Tucson affiliate KGUN-TV, the only provider of ABC programming for the majority of Arizona (outside of the Yuma-El Centro market) and Southern Nevada.</t>
  </si>
  <si>
    <t>Century City is an example of a district that belongs to which city?</t>
  </si>
  <si>
    <t>What player won the MVP in Super Bowl V?</t>
  </si>
  <si>
    <t>carriage of their respective basic channels</t>
  </si>
  <si>
    <t>What did he claim the weapon would end?</t>
  </si>
  <si>
    <t>What is a genuine love of God with heart, soul and mind?</t>
  </si>
  <si>
    <t>7 January 1943</t>
  </si>
  <si>
    <t>Who may members direct questions towards during General Question Time?</t>
  </si>
  <si>
    <t>By which year did full sized American cars shrink to be smaller?</t>
  </si>
  <si>
    <t>on Biblical grounds</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</si>
  <si>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</si>
  <si>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In autoimmune disorders, the immune system doesn't distinguish between what types of cells?</t>
  </si>
  <si>
    <t>For which project did Deke Slayton work with before becoming Director of Flight Crew Operations?</t>
  </si>
  <si>
    <t>energize electrons</t>
  </si>
  <si>
    <t>What does the Riemann hypothesis state the source of irregularity in the distribution of points comes from?</t>
  </si>
  <si>
    <t>What were the origins of the Raouliii family?</t>
  </si>
  <si>
    <t>Alexandre Yersin</t>
  </si>
  <si>
    <t>If P is ultimately proven to be equal tot NP, what effect would this have on the efficiency of problems?</t>
  </si>
  <si>
    <t>modern</t>
  </si>
  <si>
    <t>Where does Warsaw rank in terms of population in the EU?</t>
  </si>
  <si>
    <t>At which level of education is this sport becoming more popular?</t>
  </si>
  <si>
    <t>the River Tyne</t>
  </si>
  <si>
    <t>4 August 2010</t>
  </si>
  <si>
    <t>Who is the general secretary for the National Association of Schoolmasters Union of Women Teachers?</t>
  </si>
  <si>
    <t>corrosion</t>
  </si>
  <si>
    <t>"Wise up or die."</t>
  </si>
  <si>
    <t>Tesla claimed to have developed his own physical principle regarding matter and energy that he started working on in 1892, and in 1937, at age 81, claimed in a letter to have completed a "dynamic theory of gravity" that "[would] put an end to idle speculations and false conceptions, as that of curved space." He stated that the theory was "worked out in all details" and that he hoped to soon give it to the world. Further elucidation of his theory was never found in his writings.:309</t>
  </si>
  <si>
    <t>63%</t>
  </si>
  <si>
    <t>What is the term for the original Aboriginal people of Victoria?</t>
  </si>
  <si>
    <t>smaller, weaker swimmers such as rotifers and mollusc and crustacean larvae.</t>
  </si>
  <si>
    <t>What do all but one platycenida species lack?</t>
  </si>
  <si>
    <t>What is Plasmodium?</t>
  </si>
  <si>
    <t>working fluid</t>
  </si>
  <si>
    <t>July 23, 1963</t>
  </si>
  <si>
    <t>Aristotelian cosmology</t>
  </si>
  <si>
    <t>otter, beaver and hundreds of bird species</t>
  </si>
  <si>
    <t>The National Art Library at the V&amp;A is known by what other name?</t>
  </si>
  <si>
    <t>296</t>
  </si>
  <si>
    <t>When was Newton the first selection in the NFL Draft?</t>
  </si>
  <si>
    <t>what sort of design was this motor?</t>
  </si>
  <si>
    <t>In the 1965-66 season, what place did ABC find it's self among the other networks in ratings?</t>
  </si>
  <si>
    <t>What rate of unionization do Scandinavian nations have?</t>
  </si>
  <si>
    <t>What do etioplasts' internal membranes have?</t>
  </si>
  <si>
    <t>Who is the trophy given to the Super Bowl champion named for?</t>
  </si>
  <si>
    <t>What was the ancestor of chloroplasts?</t>
  </si>
  <si>
    <t>Industrial</t>
  </si>
  <si>
    <t>What needs to be avoided with civil disobedience?</t>
  </si>
  <si>
    <t>free radical production</t>
  </si>
  <si>
    <t>What CBS show followed the Super Bowl?</t>
  </si>
  <si>
    <t>one year</t>
  </si>
  <si>
    <t>exothermic</t>
  </si>
  <si>
    <t>What does a student's academic goals include?</t>
  </si>
  <si>
    <t>When did Warsaw start to rebuild?</t>
  </si>
  <si>
    <t>When did Kublai ban the international Mongol slave trade?</t>
  </si>
  <si>
    <t>How much of normal is the oxygen breathed in space suits?</t>
  </si>
  <si>
    <t>Who mapped the Alta Vista Tract?</t>
  </si>
  <si>
    <t>English university</t>
  </si>
  <si>
    <t>Centre for Life</t>
  </si>
  <si>
    <t>a means of making ARPANET technology public</t>
  </si>
  <si>
    <t>a system of internal canals</t>
  </si>
  <si>
    <t>inclusions and components</t>
  </si>
  <si>
    <t>A69</t>
  </si>
  <si>
    <t>25 minutes of transmission length</t>
  </si>
  <si>
    <t>What network was known for dramas such as Sherlock Holmes?</t>
  </si>
  <si>
    <t>Who transported Tesla's ashes from the US.</t>
  </si>
  <si>
    <t>Which series were featured on the first Doctor Who soundtrack?</t>
  </si>
  <si>
    <t>charged particle beam weapons</t>
  </si>
  <si>
    <t>"zip" the mouth shut</t>
  </si>
  <si>
    <t>Early Western texts referencing the East describe the people as being what?</t>
  </si>
  <si>
    <t>Which theorem states that all large odd integers can be expressed as a sum of three primes?</t>
  </si>
  <si>
    <t>What was Kublai Khan's relation to Genghis Khan?</t>
  </si>
  <si>
    <t>composite number</t>
  </si>
  <si>
    <t>Adriatic</t>
  </si>
  <si>
    <t>supported Zhu Xi's Neo-Confucianism and also devoted himself in Buddhism</t>
  </si>
  <si>
    <t>What is an important Swahili settlement along the coast?</t>
  </si>
  <si>
    <t>When the election produced an SNP majority government, what was it the first occurrence of?</t>
  </si>
  <si>
    <t>What satellite was used when Sky digital was launched?</t>
  </si>
  <si>
    <t>How many atoms combine to form dioxygen?</t>
  </si>
  <si>
    <t>Fans blame the poor viewership of the late 80's to competition from what show?</t>
  </si>
  <si>
    <t>occupational stress among teachers</t>
  </si>
  <si>
    <t>1500 and 1850</t>
  </si>
  <si>
    <t>562 to 1598</t>
  </si>
  <si>
    <t>almost 25,000</t>
  </si>
  <si>
    <t>What cancer researchers were also apart of the university's faculty?</t>
  </si>
  <si>
    <t>Skyclad</t>
  </si>
  <si>
    <t>Why are there more poor people in the United States and Europe than China?</t>
  </si>
  <si>
    <t>What does high levels of inequality do for economic growth in richer countries?</t>
  </si>
  <si>
    <t>When did Watt finish the development of his improvements to Newcomen's engine?</t>
  </si>
  <si>
    <t>While competition between workers drives down wages for jobs with a high supply of worker, whose competition drives wages up for the inverse?</t>
  </si>
  <si>
    <t>expulsion</t>
  </si>
  <si>
    <t>What is the metric they use to determine how busy airports are?</t>
  </si>
  <si>
    <t>Min system</t>
  </si>
  <si>
    <t>35.7</t>
  </si>
  <si>
    <t>What does the Urban Education Institute help run?</t>
  </si>
  <si>
    <t>Tunbridge Wells</t>
  </si>
  <si>
    <t>In what year did the NFL switch to a 16-game regular season?</t>
  </si>
  <si>
    <t>Where do thrust faults form?</t>
  </si>
  <si>
    <t>number of gates in a circuit</t>
  </si>
  <si>
    <t>What did the loss mean to France?</t>
  </si>
  <si>
    <t>In 2010, Newcastle was positioned ninth in the retail centre expenditure league of the UK. There are several major shopping areas in Newcastle City Centre. The largest of these is the Eldon Square Shopping Centre, one of the largest city centre shopping complexes in the UK. It incorporates a flagship Debenhams store as well as one of the largest John Lewis stores in the UK. John Lewis is still known to many in Newcastle as Bainbridges. Newcastle store Bainbridge's, opened in 1838, is often cited as the world’s first department store. Emerson Bainbridge (1817–1892), a pioneer and the founder of Bainbridges, sold goods via department, a new for merchant custom for that time. The Bainbridge’s official ledgers reported revenue by department, giving birth to the name department store. Eldon Square is currently undergoing a full redevelopment. A new bus station, replacing the old underground bus station, was officially opened in March 2007. The wing of the centre, including the undercover Green Market, near Grainger Street was demolished in 2007 so that the area could be redeveloped. This was completed in February 2010 with the opening of a flagship Debenhams department store as well as other major stores including Apple, Hollister and Guess.</t>
  </si>
  <si>
    <t>principle of faunal succession</t>
  </si>
  <si>
    <t>Although the European Union does not have a codified constitution, like every political body it has laws which "constitute" its basic governance structure. The EU's primary constitutional sources are the Treaty on European Union (TEU) and the Treaty on the Functioning of the European Union (TFEU), which have been agreed or adhered to among the governments of all 28 member states. The Treaties establish the EU's institutions, list their powers and responsibilities, and explain the areas in which the EU can legislate with Directives or Regulations. The European Commission has the initiative to propose legislation. During the ordinary legislative procedure, the Council (which are ministers from member state governments) and the European Parliament (elected by citizens) can make amendments and must give their consent for laws to pass. The Commission oversees departments and various agencies that execute or enforce EU law. The "European Council" (rather than the Council, made up of different government Ministers) is composed of the Prime Ministers or executive Presidents of the member states. It appoints the Commissioners and the board of the European Central Bank. The European Court of Justice is the supreme judicial body which interprets EU law, and develops it through precedent. The Court can review the legality of the EU institutions' actions, in compliance with the Treaties. It can also decide upon claims for breach of EU laws from member states and citizens.</t>
  </si>
  <si>
    <t>exceeds any given number</t>
  </si>
  <si>
    <t>Warsaw's sidewalks and sanitation facilities are some examples of things which have what?</t>
  </si>
  <si>
    <t>the "Social Chapter"</t>
  </si>
  <si>
    <t>disturbed</t>
  </si>
  <si>
    <t>What does the KCPE determine?</t>
  </si>
  <si>
    <t>The Electronic Frontier Foundation</t>
  </si>
  <si>
    <t>Who gave Tesla money to go to Prague?</t>
  </si>
  <si>
    <t>Which Member of Parliament explained how the museum would preserve the collection and keep it available to the public?</t>
  </si>
  <si>
    <t>1,600 mm (5 ft 3 in) broad gauge</t>
  </si>
  <si>
    <t>What percentage of money raised by the Host Committee will be used for charitable causes?</t>
  </si>
  <si>
    <t>1130</t>
  </si>
  <si>
    <t>Where did one of Triton's daughters decide she wanted to hang out and stay?</t>
  </si>
  <si>
    <t>What did Tesla do with his patents causing him to lose them?</t>
  </si>
  <si>
    <t>WHat allows customers to get Sky+ functions if they do not subscribe to BSkyB's channels?</t>
  </si>
  <si>
    <t>2003.</t>
  </si>
  <si>
    <t>What was the name of the Media Day event for Super Bowl 50?</t>
  </si>
  <si>
    <t>Mike Carey</t>
  </si>
  <si>
    <t>Along with tuition, scholarships, vouchers, donations and grants, where does funding for private schools come from?</t>
  </si>
  <si>
    <t>How many tackles did Luke Kuechly register?</t>
  </si>
  <si>
    <t>What does the substitution of equipment for labor raise for workers?</t>
  </si>
  <si>
    <t>Christmas Day</t>
  </si>
  <si>
    <t>the middle period of classical antiquity</t>
  </si>
  <si>
    <t>No, that's no good</t>
  </si>
  <si>
    <t>the private sector, businesses and sponsors</t>
  </si>
  <si>
    <t>What archival system is used for all material at the National Art Library?</t>
  </si>
  <si>
    <t>24 August – 3 October 1572</t>
  </si>
  <si>
    <t>What did water that flowed towards the Pacific have to flow across during the mid-Eocene?</t>
  </si>
  <si>
    <t>Palestine</t>
  </si>
  <si>
    <t>What publication published an article about Tesla in 1912?</t>
  </si>
  <si>
    <t>That the plague was caused by bad air</t>
  </si>
  <si>
    <t>a great deal of utility</t>
  </si>
  <si>
    <t>In the mid 18th century, who did not concur that 1 should be the first prime number?</t>
  </si>
  <si>
    <t>nearly a million and a half</t>
  </si>
  <si>
    <t>What famous artist later further investigated Philo's experiments?</t>
  </si>
  <si>
    <t>possibility of the transmission</t>
  </si>
  <si>
    <t>when the oxygen concentration is too high</t>
  </si>
  <si>
    <t>menarche</t>
  </si>
  <si>
    <t>flax cultivation</t>
  </si>
  <si>
    <t>supporting function</t>
  </si>
  <si>
    <t>keeping it from folding prematurely</t>
  </si>
  <si>
    <t>How many crank rotations are there in an engine cycle?</t>
  </si>
  <si>
    <t>editor of Electrical World magazine</t>
  </si>
  <si>
    <t>books and articles</t>
  </si>
  <si>
    <t>What gets the Z-ring in the right place?</t>
  </si>
  <si>
    <t>checks and balances system of the U.S. and many other governments</t>
  </si>
  <si>
    <t>What percentage of Australia's dairy cattle are found in Victoria?</t>
  </si>
  <si>
    <t>Another example of scientific research which suggests that previous estimates by the IPCC, far from overstating dangers and risks, have actually understated them is a study on projected rises in sea levels. When the researchers' analysis was "applied to the possible scenarios outlined by the Intergovernmental Panel on Climate Change (IPCC), the researchers found that in 2100 sea levels would be 0.5–1.4 m [50–140 cm] above 1990 levels. These values are much greater than the 9–88 cm as projected by the IPCC itself in its Third Assessment Report, published in 2001". This may have been due, in part, to the expanding human understanding of climate.</t>
  </si>
  <si>
    <t>Where hotel did the Panthers stay at?</t>
  </si>
  <si>
    <t>1823</t>
  </si>
  <si>
    <t>God's resting place</t>
  </si>
  <si>
    <t>When did Tesla make the induction motor?</t>
  </si>
  <si>
    <t>, Nairobi, Mombasa and Kisumu</t>
  </si>
  <si>
    <t>In the first half of the 17th century, a plague claimed some 1.7 million victims in Italy, or about 14% of the population. In 1656, the plague killed about half of Naples' 300,000 inhabitants. More than 1.25 million deaths resulted from the extreme incidence of plague in 17th-century Spain. The plague of 1649 probably reduced the population of Seville by half. In 1709–13, a plague epidemic that followed the Great Northern War (1700–21, Sweden v. Russia and allies) killed about 100,000 in Sweden, and 300,000 in Prussia. The plague killed two-thirds of the inhabitants of Helsinki, and claimed a third of Stockholm's population. Europe's last major epidemic occurred in 1720 in Marseille.</t>
  </si>
  <si>
    <t>white light</t>
  </si>
  <si>
    <t>$200 million</t>
  </si>
  <si>
    <t>other scientific bodies</t>
  </si>
  <si>
    <t>By the first millennium AD</t>
  </si>
  <si>
    <t>the 1580s</t>
  </si>
  <si>
    <t>lowland South American peoples</t>
  </si>
  <si>
    <t>Innate cells can act as mediators in the activation of what branch of the immune system?</t>
  </si>
  <si>
    <t>Which two groups have cells bound by inter-cell connections and membranes, muscles, a nervous system and sensory organs?</t>
  </si>
  <si>
    <t>azote</t>
  </si>
  <si>
    <t>Who led Richard's troops when Cyprus was conquered?</t>
  </si>
  <si>
    <t>Lupe Mayorga</t>
  </si>
  <si>
    <t>the Astra 2A</t>
  </si>
  <si>
    <t>Post 2008 undergraduate students are required to complete how many general education classes towards degree?</t>
  </si>
  <si>
    <t>O(n2)</t>
  </si>
  <si>
    <t>Tesla was generally antagonistic towards theories about the conversion of matter into energy.:247 He was also critical of Einstein's theory of relativity, saying:</t>
  </si>
  <si>
    <t>electrical generator</t>
  </si>
  <si>
    <t>Ctenophores are less complex than what other group?</t>
  </si>
  <si>
    <t>What are the eight sermons called that Luther preached in March 1522?</t>
  </si>
  <si>
    <t xml:space="preserve">By what main attribute are computational problems classified utilizing computational complexity theory? </t>
  </si>
  <si>
    <t>When was the Old Testament translation finished?</t>
  </si>
  <si>
    <t>seal</t>
  </si>
  <si>
    <t>Who did the NIF regime harbor prior to 9/11?</t>
  </si>
  <si>
    <t>Who directed Stormy Monday?</t>
  </si>
  <si>
    <t>Where did it join in the direction of its flow?</t>
  </si>
  <si>
    <t>Who has limited productive potential when faced with less access to education?</t>
  </si>
  <si>
    <t>one of the most common</t>
  </si>
  <si>
    <t>What type of approaches for primary school are available that are different than the norm?</t>
  </si>
  <si>
    <t>Newton's First Law</t>
  </si>
  <si>
    <t>The way a teacher promotes the course they are teaching, the more the student will get out of the subject matter. The three most important aspects of teacher enthusiasm are enthusiasm about teaching, enthusiasm about the students, and enthusiasm about the subject matter. A teacher must enjoy teaching. If they do not enjoy what they are doing, the students will be able to tell. They also must enjoy being around their students. A teacher who cares for their students is going to help that individual succeed in their life in the future. The teacher also needs to be enthusiastic about the subject matter they are teaching. For example, a teacher talking about chemistry needs to enjoy the art of chemistry and show that to their students. A spark in the teacher may create a spark of excitement in the student as well. An enthusiastic teacher has the ability to be very influential in the young students life.</t>
  </si>
  <si>
    <t>What do the auricles do?</t>
  </si>
  <si>
    <t>During the American Civil War, Jacksonville was a key supply point for hogs and cattle being shipped from Florida to aid the Confederate cause. The city was blockaded by Union forces, who gained control of the nearby Fort Clinch. Though no battles were fought in Jacksonville proper, the city changed hands several times between Union and Confederate forces. The Skirmish of the Brick Church in 1862 just outside Jacksonville proper resulted in the first Confederate victory in Florida. In February 1864 Union forces left Jacksonville and confronted a Confederate Army at the Battle of Olustee resulting in a Confederate victory. Union forces then retreated to Jacksonville and held the city for the remainder of the war. In March 1864 a Confederate cavalry confronted a Union expedition resulting in the Battle of Cedar Creek. Warfare and the long occupation left the city disrupted after the war.</t>
  </si>
  <si>
    <t>The Higher Learning Commission</t>
  </si>
  <si>
    <t>What was the 2007 episode that featured the Master's return?</t>
  </si>
  <si>
    <t>Prevenient grace, or the grace that "goes before" us, is given to all people. It is that power which enables us to love and motivates us to seek a relationship with God through Jesus Christ. This grace is the present work of God to turn us from our sin-corrupted human will to the loving will of the Father. In this work, God desires that we might sense both our sinfulness before God and God's offer of salvation. Prevenient grace allows those tainted by sin to nevertheless make a truly free choice to accept or reject God's salvation in Christ.</t>
  </si>
  <si>
    <t>environmental factors like light color and intensity</t>
  </si>
  <si>
    <t>How many elements did Aristotle believe the terrestrial sphere to be made up of?</t>
  </si>
  <si>
    <t>the editor of Electrical World magazine</t>
  </si>
  <si>
    <t>What was Tesla's position at the Budapest Telephone Exchange?</t>
  </si>
  <si>
    <t>Rodin</t>
  </si>
  <si>
    <t>liquid oxygen tank exploded, disabling the Service Module</t>
  </si>
  <si>
    <t>What is normally eaten for lunch and supper?</t>
  </si>
  <si>
    <t>104 °F</t>
  </si>
  <si>
    <t>What are the largest objects in the V&amp;A ceramics and glass collection?</t>
  </si>
  <si>
    <t>In the 1910s, New York–based filmmakers were attracted to Jacksonville's warm climate, exotic locations, excellent rail access, and cheap labor. Over the course of the decade, more than 30 silent film studios were established, earning Jacksonville the title of "Winter Film Capital of the World". However, the emergence of Hollywood as a major film production center ended the city's film industry. One converted movie studio site, Norman Studios, remains in Arlington; It has been converted to the Jacksonville Silent Film Museum at Norman Studios.</t>
  </si>
  <si>
    <t>The Deadly Assassin and Mawdryn Undead</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</si>
  <si>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</si>
  <si>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Luther refused to recant his writings. He is sometimes also quoted as saying: "Here I stand. I can do no other". Recent scholars consider the evidence for these words to be unreliable, since they were inserted before "May God help me" only in later versions of the speech and not recorded in witness accounts of the proceedings. However, Mullett suggests that given his nature, "we are free to believe that Luther would tend to select the more dramatic form of words."</t>
  </si>
  <si>
    <t>To what can the use of prolonged breathing of oxygen at 60 kPa lead?</t>
  </si>
  <si>
    <t>One computer model of future climate change caused by greenhouse gas emissions shows that the Amazon rainforest could become unsustainable under conditions of severely reduced rainfall and increased temperatures, leading to an almost complete loss of rainforest cover in the basin by 2100. However, simulations of Amazon basin climate change across many different models are not consistent in their estimation of any rainfall response, ranging from weak increases to strong decreases. The result indicates that the rainforest could be threatened though the 21st century by climate change in addition to deforestation.</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</si>
  <si>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</si>
  <si>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What was the main reason for the show's suspension in 1989?</t>
  </si>
  <si>
    <t>the Guanabara Confession of Faith</t>
  </si>
  <si>
    <t>Preventable diseases</t>
  </si>
  <si>
    <t>port</t>
  </si>
  <si>
    <t>Why do police and fire services fall under the purview of the Scottish Parliament?</t>
  </si>
  <si>
    <t>SAP Center in San Jose.</t>
  </si>
  <si>
    <t>In March 2015, how many owned-and-operated stations did ABC have?</t>
  </si>
  <si>
    <t>Adaptive (or acquired) immunity</t>
  </si>
  <si>
    <t>structural collapse, cost overruns, and/or litigation</t>
  </si>
  <si>
    <t>When did Luther publish On the Bondage of the Will?</t>
  </si>
  <si>
    <t>What was free movement increasingly based on?</t>
  </si>
  <si>
    <t>What does Warszawa mean in Polish?</t>
  </si>
  <si>
    <t>ABC also owns the Times Square Studios at 1500 Broadway on land in Times Square owned by a development fund for the 42nd Street Project; opened in 1999, Good Morning America and Nightline are broadcast from this particular facility. ABC News has premises a little further on West 66th Street, in a six-story building occupying a 196 feet (60 m) × 379 feet (116 m) plot at 121–135 West End Avenue. The block of West End Avenue housing the ABC News building was renamed Peter Jennings Way in 2006 in honor of the recently deceased longtime ABC News chief anchor and anchor of World News Tonight.</t>
  </si>
  <si>
    <t>over 100 billion dollars</t>
  </si>
  <si>
    <t>In what year did the first ABC identification card have a 3D appearance?</t>
  </si>
  <si>
    <t>What is chloroplast DNA abbreviated as?</t>
  </si>
  <si>
    <t>53,000</t>
  </si>
  <si>
    <t>Between the 1880s and World War II, Downtown Fresno flourished, filled with electric Street Cars, and contained some of the San Joaquin Valley's most beautiful architectural buildings. Among them, the original Fresno County Courthouse (demolished), the Fresno Carnegie Public Library (demolished), the Fresno Water Tower, the Bank of Italy Building, the Pacific Southwest Building, the San Joaquin Light &amp; Power Building (currently known as the Grand 1401), and the Hughes Hotel (burned down), to name a few.</t>
  </si>
  <si>
    <t>differences in the amount of inequality</t>
  </si>
  <si>
    <t>broken</t>
  </si>
  <si>
    <t>property damage</t>
  </si>
  <si>
    <t>What can people work towards if they aren't denied their functionings, capabilities and agency?</t>
  </si>
  <si>
    <t>Why has there been controversy in Kenyan athletics?</t>
  </si>
  <si>
    <t>What player punched the ball in from the 2?</t>
  </si>
  <si>
    <t>three members</t>
  </si>
  <si>
    <t>Which plateau is the left part of Warsaw on?</t>
  </si>
  <si>
    <t>a green algal derived chloroplast</t>
  </si>
  <si>
    <t>Magnetic stratigraphers</t>
  </si>
  <si>
    <t>a lump sum payment of $216,000</t>
  </si>
  <si>
    <t>What foot was injured on Manning that sidelined him in week 10?</t>
  </si>
  <si>
    <t>A complete loss of rainforest cover may be caused by what type of emissions?</t>
  </si>
  <si>
    <t>Saffir-Simpson</t>
  </si>
  <si>
    <t>laws</t>
  </si>
  <si>
    <t>How many forced fumbles did Thomas Davis have?</t>
  </si>
  <si>
    <t>look at both the possibilities</t>
  </si>
  <si>
    <t>What recent decade saw brightening of the perception of Genghis Khan in Mongolia?</t>
  </si>
  <si>
    <t>Super Bowl XX</t>
  </si>
  <si>
    <t>Daytime programming is also provided from 11:00 a.m. to 3:00 p.m. weekdays (with a one-hour break at 12:00 p.m. Eastern/Pacific for stations to air newscasts, other locally produced programming such as talk shows, or syndicated programs) featuring the talk/lifestyle shows The View and The Chew and the soap opera General Hospital. ABC News programming includes Good Morning America from 7:00 to 9:00 a.m. weekdays (along with one-hour weekend editions); nightly editions of ABC World News Tonight (whose weekend editions are occasionally subject to abbreviation or preemption due to sports telecasts overrunning into the program's timeslot), the Sunday political talk show This Week, early morning news programs World News Now and America This Morning and the late night newsmagazine Nightline. Late nights feature the weeknight talk show Jimmy Kimmel Live!.</t>
  </si>
  <si>
    <t>What movie company paid to have the next Jason Bourne movie ad shown during the Super Bowl?</t>
  </si>
  <si>
    <t>EU law</t>
  </si>
  <si>
    <t>Apollo TV</t>
  </si>
  <si>
    <t>What book of the Bible discusses civil disobedience?</t>
  </si>
  <si>
    <t>Bills can be introduced to Parliament in a number of ways; the Scottish Government can introduce new laws or amendments to existing laws as a bill; a committee of the Parliament can present a bill in one of the areas under its remit; a member of the Scottish Parliament can introduce a bill as a private member; or a private bill can be submitted to Parliament by an outside proposer. Most draft laws are government bills introduced by ministers in the governing party. Bills pass through Parliament in a number of stages:</t>
  </si>
  <si>
    <t>segregation academies</t>
  </si>
  <si>
    <t>Undergraduate students are required to take a distribution of courses to satisfy the university's core curriculum known as the Common Core. In 2012-2013, the Core classes at Chicago were limited to 17 students, and are generally led by a full-time professor (as opposed to a teaching assistant). As of the 2013–2014 school year, 15 courses and demonstrated proficiency in a foreign language are required under the Core. Undergraduate courses at the University of Chicago are known for their demanding standards, heavy workload and academic difficulty; according to Uni in the USA, "Among the academic cream of American universities – Harvard, Yale, Princeton, MIT, and the University of Chicago – it is UChicago that can most convincingly claim to provide the most rigorous, intense learning experience."</t>
  </si>
  <si>
    <t>What percentage of France's population is protestant today?</t>
  </si>
  <si>
    <t>Who discovered pottery found on Black Hammock Island?</t>
  </si>
  <si>
    <t>operations requiring constant speed</t>
  </si>
  <si>
    <t>a powerful magnet</t>
  </si>
  <si>
    <t>premises of the hospital</t>
  </si>
  <si>
    <t>What type of forested areas can be found on the highest terrace?</t>
  </si>
  <si>
    <t>Robert R. Gilruth</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</si>
  <si>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</si>
  <si>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buried without markings</t>
  </si>
  <si>
    <t>What do you use to let idea strings switch direction?</t>
  </si>
  <si>
    <t>When die Tesla turn his attention to trying to understand invisible radiant energy?</t>
  </si>
  <si>
    <t>the young and the elderly</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</si>
  <si>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</si>
  <si>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the European Parliament and the Council of the European Union</t>
  </si>
  <si>
    <t>Other than the US and Britain what was the other main country that Tesla had patents granted?</t>
  </si>
  <si>
    <t>FREZ-noh</t>
  </si>
  <si>
    <t>How many pounds of steam per kilowatt hour does the Energiprojekt AB engine use?</t>
  </si>
  <si>
    <t>What buildings held the Milton Friedman Institute?</t>
  </si>
  <si>
    <t>Charleston Orange district</t>
  </si>
  <si>
    <t>pressure physical experiments</t>
  </si>
  <si>
    <t>his Houston Street lab</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</si>
  <si>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</si>
  <si>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expansion</t>
  </si>
  <si>
    <t>The Swiss cities</t>
  </si>
  <si>
    <t>Frederick W. Mote</t>
  </si>
  <si>
    <t>In what year did ABC submit licenses for 5 television stations?</t>
  </si>
  <si>
    <t>The first direct elections for native Kenyans to the Legislative Council took place in 1957. Despite British hopes of handing power to "moderate" local rivals, it was the Kenya African National Union (KANU) of Jomo Kenyatta that formed a government. The Colony of Kenya and the Protectorate of Kenya each came to an end on 12 December 1963 with independence being conferred on all of Kenya. The United Kingdom ceded sovereignty over the Colony of Kenya and, under an agreement dated 8 October 1963, the Sultan of Zanzibar agreed that simultaneous with independence for the Colony of Kenya, the Sultan would cease to have sovereignty over the Protectorate of Kenya so that all of Kenya would be one sovereign, independent state. In this way, Kenya became an independent country under the Kenya Independence Act 1963 of the United Kingdom. Exactly 12 months later on 12 December 1964, Kenya became a republic under the name "Republic of Kenya".</t>
  </si>
  <si>
    <t>the coronation of Queen Elizabeth II</t>
  </si>
  <si>
    <t>observer</t>
  </si>
  <si>
    <t>Khagan</t>
  </si>
  <si>
    <t>Where does the Rhine end?</t>
  </si>
  <si>
    <t>When did Luther travel to Mansfeld twice?</t>
  </si>
  <si>
    <t>What does the capabilities approach look at poverty as a form of?</t>
  </si>
  <si>
    <t>What did Paul-Louis Simond establish in 1898?</t>
  </si>
  <si>
    <t>What Doctor was first referred to as "his secret"?</t>
  </si>
  <si>
    <t>the mid-Eocene</t>
  </si>
  <si>
    <t>because the nationalisation law was from 1962, and the treaty was in force from 1958, Costa had no claim</t>
  </si>
  <si>
    <t>ABC Entertainment</t>
  </si>
  <si>
    <t>partial funding</t>
  </si>
  <si>
    <t>potential bad publicity surrounding the impoverished conditions their former star inventor was living under</t>
  </si>
  <si>
    <t>afternoon of May 2.</t>
  </si>
  <si>
    <t>What issues do member states say the Court of Justice does not have the final say on?</t>
  </si>
  <si>
    <t>What is the logic behind the cicadas prime number evolutionary strategy?</t>
  </si>
  <si>
    <t>more than 1.3 million</t>
  </si>
  <si>
    <t>What are some other factors a pharmacist must monitor?</t>
  </si>
  <si>
    <t>Only a few</t>
  </si>
  <si>
    <t>four classes (Type I – IV)</t>
  </si>
  <si>
    <t>inner chloroplast membrane</t>
  </si>
  <si>
    <t>Who is the founder of the Salvation Army?</t>
  </si>
  <si>
    <t>Which type of law makes EU institutions and its member states follow the law?</t>
  </si>
  <si>
    <t>Into what language did Marlee Matlin translate the national anthem?</t>
  </si>
  <si>
    <t>farming the land</t>
  </si>
  <si>
    <t>The Panthers offense, which led the NFL in scoring (500 points), was loaded with talent, boasting six Pro Bowl selections. Pro Bowl quarterback Cam Newton had one of his best seasons, throwing for 3,837 yards and rushing for 636, while recording a career-high and league-leading 45 total touchdowns (35 passing, 10 rushing), a career-low 10 interceptions, and a career-best quarterback rating of 99.4. Newton's leading receivers were tight end Greg Olsen, who caught a career-high 77 passes for 1,104 yards and seven touchdowns, and wide receiver Ted Ginn, Jr., who caught 44 passes for 739 yards and 10 touchdowns; Ginn also rushed for 60 yards and returned 27 punts for 277 yards. Other key receivers included veteran Jerricho Cotchery (39 receptions for 485 yards), rookie Devin Funchess (31 receptions for 473 yards and five touchdowns), and second-year receiver Corey Brown (31 receptions for 447 yards). The Panthers backfield featured Pro Bowl running back Jonathan Stewart, who led the team with 989 rushing yards and six touchdowns in 13 games, along with Pro Bowl fullback Mike Tolbert, who rushed for 256 yards and caught 18 passes for another 154 yards. Carolina's offensive line also featured two Pro Bowl selections: center Ryan Kalil and guard Trai Turner.</t>
  </si>
  <si>
    <t>herbal remedies</t>
  </si>
  <si>
    <t>NASA's Langley Research Center</t>
  </si>
  <si>
    <t>What does matter actually have that Newtonian mechanics doesn't address?</t>
  </si>
  <si>
    <t>the revenues from the oil were not benefitting Scotland as much as they should</t>
  </si>
  <si>
    <t>What did Watt add to Newcomen's engine between 1763 and 1775?</t>
  </si>
  <si>
    <t>co-chair of TAR WGI</t>
  </si>
  <si>
    <t>drama series</t>
  </si>
  <si>
    <t>southern China</t>
  </si>
  <si>
    <t>Battle of Bạch Đằng</t>
  </si>
  <si>
    <t>X-ray image</t>
  </si>
  <si>
    <t>the Religious Coalition for Reproductive Choice</t>
  </si>
  <si>
    <t>water flow through the body cavity</t>
  </si>
  <si>
    <t>Who did the Yuan's increase in commerce help?</t>
  </si>
  <si>
    <t>consumes ATP and oxygen, releases CO2, and produces no sugar</t>
  </si>
  <si>
    <t>What was there a significant minority of in Warsaw?</t>
  </si>
  <si>
    <t>Many liturgies are derived from what book?</t>
  </si>
  <si>
    <t>any terrestrial distance</t>
  </si>
  <si>
    <t>When were most of the places of religious worship destroyed in Warsaw?</t>
  </si>
  <si>
    <t>3 miles</t>
  </si>
  <si>
    <t>In what year was the agreement to allow the Saarland settlement reached?</t>
  </si>
  <si>
    <t>Hugues Capet</t>
  </si>
  <si>
    <t>the internet</t>
  </si>
  <si>
    <t>brick-and-mortar community pharmacies</t>
  </si>
  <si>
    <t>Thoreau mentions what type of person could corrupt a government system?</t>
  </si>
  <si>
    <t>no way contributes</t>
  </si>
  <si>
    <t>at the opposite end from the mouth</t>
  </si>
  <si>
    <t>Block I plug-type hatch cover</t>
  </si>
  <si>
    <t>Thoreau argues that usually majority rules but their views collectively are sometimes?</t>
  </si>
  <si>
    <t>Who led the committee established by Seaman?</t>
  </si>
  <si>
    <t>When was the joint statement on climate change issued?</t>
  </si>
  <si>
    <t>Who normally supervises a construction job?</t>
  </si>
  <si>
    <t>Owen Jones</t>
  </si>
  <si>
    <t>96.26%</t>
  </si>
  <si>
    <t>25 percent of all money</t>
  </si>
  <si>
    <t>How did Luther show the Trinity in his catechisms?</t>
  </si>
  <si>
    <t>What did Basset analyze before coming to his conclusions?</t>
  </si>
  <si>
    <t>When did the partnership between Tesla, Lane and Vail form?</t>
  </si>
  <si>
    <t>Twelve</t>
  </si>
  <si>
    <t>How many first downs did the Panthers have in Super Bowl 50?</t>
  </si>
  <si>
    <t>What is the average construction salary in the UK?</t>
  </si>
  <si>
    <t>What was the accepted length of the Rhine prior to 1932?</t>
  </si>
  <si>
    <t>At what university's facility did the Panthers practice?</t>
  </si>
  <si>
    <t>black and white,</t>
  </si>
  <si>
    <t>the role of nineteenth-century maps</t>
  </si>
  <si>
    <t>How was scarcity managed in many countries?</t>
  </si>
  <si>
    <t>in 1851</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</si>
  <si>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</si>
  <si>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gift</t>
  </si>
  <si>
    <t>smaller assessments of special problems instead of the large scale approach</t>
  </si>
  <si>
    <t>Helper T cells express T cell receptors (TCR) that recognize antigen bound to Class II MHC molecules. The MHC:antigen complex is also recognized by the helper cell's CD4 co-receptor, which recruits molecules inside the T cell (e.g., Lck) that are responsible for the T cell's activation. Helper T cells have a weaker association with the MHC:antigen complex than observed for killer T cells, meaning many receptors (around 200–300) on the helper T cell must be bound by an MHC:antigen in order to activate the helper cell, while killer T cells can be activated by engagement of a single MHC:antigen molecule. Helper T cell activation also requires longer duration of engagement with an antigen-presenting cell. The activation of a resting helper T cell causes it to release cytokines that influence the activity of many cell types. Cytokine signals produced by helper T cells enhance the microbicidal function of macrophages and the activity of killer T cells. In addition, helper T cell activation causes an upregulation of molecules expressed on the T cell's surface, such as CD40 ligand (also called CD154), which provide extra stimulatory signals typically required to activate antibody-producing B cells.</t>
  </si>
  <si>
    <t>Islamists came to completely dominate university student unions</t>
  </si>
  <si>
    <t>Who designed the main façade that stretches along Cromwell Gardens?</t>
  </si>
  <si>
    <t>as a means to help the state's educational and economic development</t>
  </si>
  <si>
    <t>tourist promotion</t>
  </si>
  <si>
    <t>Who is the English translator of this hymn?</t>
  </si>
  <si>
    <t>From what project did the Apollo 11 crew consist entirely of?</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</si>
  <si>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</si>
  <si>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What did the particle do to Tesla?</t>
  </si>
  <si>
    <t>David Axelrod</t>
  </si>
  <si>
    <t>1350</t>
  </si>
  <si>
    <t>The Literary and Philosophical Society of Newcastle upon Tyne (popularly known as the 'Lit &amp; Phil') is the largest independent library outside London, housing more than 150,000 books. Its music library contains 8000 CDs and 10,000 LPs. The current Lit and Phil premises were built in 1825 and the building was designed by John and Benjamin Green. Operating since 1793 and founded as a ‘conversation club,’ its lecture theatre was the first public building to be lit by electric light, during a lecture by Joseph Swan on 20 October 1880.</t>
  </si>
  <si>
    <t>public sector corruption</t>
  </si>
  <si>
    <t>What was the proposed solution to Jacksonville's tax issues?</t>
  </si>
  <si>
    <t>When did the last glacial start?</t>
  </si>
  <si>
    <t>What is the chloroplast double membrane sometimes compared to?</t>
  </si>
  <si>
    <t>thylakoid space</t>
  </si>
  <si>
    <t>result of the American Revolution</t>
  </si>
  <si>
    <t>In 1857 John Sheepshanks donated 233 paintings, mainly by contemporary British artists, and a similar number of drawings to the museum with the intention of forming a 'A National Gallery of British Art', a role since taken on by Tate Britain; artists represented are William Blake, James Barry, Henry Fuseli, Sir Edwin Henry Landseer, Sir David Wilkie, William Mulready, William Powell Frith, Millais and Hippolyte Delaroche. Although some of Constable's works came to the museum with the Sheepshanks bequest, the majority of the artist's works were donated by his daughter Isabel in 1888, including the large number of sketches in oil, the most significant being the 1821 full size oil sketch for The Hay Wain. Other artists with works in the collection include: Bernardino Fungai, Marcus Gheeraerts the Younger, Domenico di Pace Beccafumi, Fioravante Ferramola, Jan Brueghel the Elder, Anthony van Dyck, Ludovico Carracci, Antonio Verrio, Giovanni Battista Tiepolo, Domenico Tiepolo, Canaletto, Francis Hayman, Pompeo Batoni, Benjamin West, Paul Sandby, Richard Wilson, William Etty, Henry Fuseli, Sir Thomas Lawrence, James Barry, Francis Danby, Richard Parkes Bonington and Alphonse Legros.</t>
  </si>
  <si>
    <t>Why was the Dalek script rejected at first?</t>
  </si>
  <si>
    <t>Luther's translation used the variant of German spoken at the Saxon chancellery, intelligible to both northern and southern Germans. He intended his vigorous, direct language to make the Bible accessible to everyday Germans, "for we are removing impediments and difficulties so that other people may read it without hindrance."</t>
  </si>
  <si>
    <t>the West Lothian question</t>
  </si>
  <si>
    <t xml:space="preserve">Rock units become thicker and shorten when placed under this type of compression. </t>
  </si>
  <si>
    <t>41,004</t>
  </si>
  <si>
    <t>A non-deterministic Turing machine has the ability to capture what facet of useful analysis?</t>
  </si>
  <si>
    <t>1314</t>
  </si>
  <si>
    <t>modular exponentiation</t>
  </si>
  <si>
    <t>Teaching Council</t>
  </si>
  <si>
    <t>390</t>
  </si>
  <si>
    <t>revolution</t>
  </si>
  <si>
    <t>formal</t>
  </si>
  <si>
    <t>night</t>
  </si>
  <si>
    <t>When was the Last Glacial Maximum?</t>
  </si>
  <si>
    <t>about violence, degradation, exploitation, and coercion"</t>
  </si>
  <si>
    <t>In 1875, Tesla enrolled at Austrian Polytechnic in Graz, Austria, on a Military Frontier scholarship. During his first year, Tesla never missed a lecture, earned the highest grades possible, passed nine exams (nearly twice as many required), started a Serbian culture club, and even received a letter of commendation from the dean of the technical faculty to his father, which stated, "Your son is a star of first rank." Tesla claimed that he worked from 3 a.m. to 11 p.m., no Sundays or holidays excepted. He was "mortified when [his] father made light of [those] hard won honors." After his father's death in 1879, Tesla found a package of letters from his professors to his father, warning that unless he were removed from the school, Tesla would be killed through overwork. During his second year, Tesla came into conflict with Professor Poeschl over the Gramme dynamo, when Tesla suggested that commutators weren't necessary. At the end of his second year, Tesla lost his scholarship and became addicted to gambling. During his third year, Tesla gambled away his allowance and his tuition money, later gambling back his initial losses and returning the balance to his family. Tesla said that he "conquered [his] passion then and there," but later he was known to play billiards in the US. When exam time came, Tesla was unprepared and asked for an extension to study, but was denied. He never graduated from the university and did not receive grades for the last semester.</t>
  </si>
  <si>
    <t>The Mongol military was also successful in siege warfare, cutting off resources for cities and towns by diverting certain rivers, taking enemy prisoners and driving them in front of the army, and adopting new ideas, techniques and tools from the people they conquered, particularly in employing Muslim and Chinese siege engines and engineers to aid the Mongol cavalry in capturing cities. Another standard tactic of the Mongol military was the commonly practiced feigned retreat to break enemy formations and to lure small enemy groups away from the larger group and defended position for ambush and counterattack.</t>
  </si>
  <si>
    <t>Why does Fresno only have UHF television stations?</t>
  </si>
  <si>
    <t>The Rhine is the longest river in what country?</t>
  </si>
  <si>
    <t>What types of health outcomes do pharmacists aim for with their patients?</t>
  </si>
  <si>
    <t>What are apicoplasts missing?</t>
  </si>
  <si>
    <t>LI.</t>
  </si>
  <si>
    <t>In the north eastern part of Fresno, Woodward Park was founded by the late Ralph Woodward, a long-time Fresno resident. He bequeathed a major portion of his estate in 1968 to provide a regional park and bird sanctuary in Northeast Fresno. The park lies on the South bank of the San Joaquin River between Highway 41 and Friant Road. The initial 235 acres (0.95 km2), combined with additional acres acquired later by the City, brings the park to a sizable 300 acres (1.2 km2). Now packed with amenities, Woodward Park is the only Regional Park of its size in the Central Valley. The Southeast corner of the park harbors numerous bird species offering bird enthusiasts an excellent opportunity for viewing. The park has a multi-use amphitheatre that seats up to 2,500 people, authentic Japanese Garden, fenced dog park, two-mile (3 km) equestrian trail, exercise par course, three children's playgrounds, a lake, 3 small ponds, 7 picnic areas and five miles (8 km) of multipurpose trails that are part of the San Joaquin River Parkway's Lewis S. Eaton Trail. When complete, the Lewis S. Eaton trail system will cover 22 miles (35 km) between Highway 99 and Friant Dam. The park's numerous picnic tables make for a great picnic destination and a convenient escape from city life. The park's amphetheatre was renovated in 2010, and has hosted performances by acts such as Deftones, Tech N9ne, and Sevendust as well as numerous others. The park is open April through October, 6am to 10pm and November through March, 6am to 7pm. Woodward Park is home to the annual CIF(California Interscholastic Federation) State Championship cross country meet, which takes place in late November. It is also the home of the Woodward Shakespeare Festival which began performances in the park in 2005.</t>
  </si>
  <si>
    <t>Which rival's tribes did Genghis Khan famously measure against the linchpin?</t>
  </si>
  <si>
    <t>formal language</t>
  </si>
  <si>
    <t>What do conservative researchers fell should be a measure of inequality?</t>
  </si>
  <si>
    <t>Recently, chloroplasts have caught attention by developers of genetically modified crops. Since, in most flowering plants, chloroplasts are not inherited from the male parent, transgenes in these plastids cannot be disseminated by pollen. This makes plastid transformation a valuable tool for the creation and cultivation of genetically modified plants that are biologically contained, thus posing significantly lower environmental risks. This biological containment strategy is therefore suitable for establishing the coexistence of conventional and organic agriculture. While the reliability of this mechanism has not yet been studied for all relevant crop species, recent results in tobacco plants are promising, showing a failed containment rate of transplastomic plants at 3 in 1,000,000.</t>
  </si>
  <si>
    <t>What was the name of the imperialistic policy in China?</t>
  </si>
  <si>
    <t>What is the last name of the player who was Manning's top receiver for Super Bowl 50?</t>
  </si>
  <si>
    <t>What practical role does defining the complexity of problems play in everyday computing?</t>
  </si>
  <si>
    <t>2.4%</t>
  </si>
  <si>
    <t>What kind of system of infection involves inserting a hollow tube into a host cell?</t>
  </si>
  <si>
    <t>Brooklyn</t>
  </si>
  <si>
    <t>When was the St. Bartholomew's Day Massacre?</t>
  </si>
  <si>
    <t>New Collegiate Division</t>
  </si>
  <si>
    <t>Approximately how many architectural drawings does the V&amp;A hold in its collection?</t>
  </si>
  <si>
    <t>15 February 1763</t>
  </si>
  <si>
    <t>When would a person be considered to be excising a constitutional impasse?</t>
  </si>
  <si>
    <t>a university or college</t>
  </si>
  <si>
    <t>George Low</t>
  </si>
  <si>
    <t>A rug by which Russian-born British designer is included in the V&amp;A collection?</t>
  </si>
  <si>
    <t>Where are longitudinal waves found?</t>
  </si>
  <si>
    <t>strange odor in their spacesuits</t>
  </si>
  <si>
    <t>What famous Indian's actions were considered civil disobedience?</t>
  </si>
  <si>
    <t>the Dutch gooien</t>
  </si>
  <si>
    <t>multi-stage centrifugal pumps</t>
  </si>
  <si>
    <t>When did the deal between Peck, Brown and Westinghouse take place?</t>
  </si>
  <si>
    <t>gangster</t>
  </si>
  <si>
    <t>magnet</t>
  </si>
  <si>
    <t>British failures in North America</t>
  </si>
  <si>
    <t>In regard to companies, the Court of Justice held in R (Daily Mail and General Trust plc) v HM Treasury that member states could restrict a company moving its seat of business, without infringing TFEU article 49. This meant the Daily Mail newspaper's parent company could not evade tax by shifting its residence to the Netherlands without first settling its tax bills in the UK. The UK did not need to justify its action, as rules on company seats were not yet harmonised. By contrast, in Centros Ltd v Erhversus-og Selkabssyrelsen the Court of Justice found that a UK limited company operating in Denmark could not be required to comply with Denmark's minimum share capital rules. UK law only required £1 of capital to start a company, while Denmark's legislature took the view companies should only be started up if they had 200,000 Danish krone (around €27,000) to protect creditors if the company failed and went insolvent. The Court of Justice held that Denmark's minimum capital law infringed Centros Ltd's freedom of establishment and could not be justified, because a company in the UK could admittedly provide services in Denmark without being established there, and there were less restrictive means of achieving the aim of creditor protection. This approach was criticised as potentially opening the EU to unjustified regulatory competition, and a race to the bottom in standards, like in the US where the state Delaware attracts most companies and is often argued to have the worst standards of accountability of boards, and low corporate taxes as a result. Similarly in Überseering BV v Nordic Construction GmbH the Court of Justice held that a German court could not deny a Dutch building company the right to enforce a contract in Germany on the basis that it was not validly incorporated in Germany. Although restrictions on freedom of establishment could be justified by creditor protection, labour rights to participate in work, or the public interest in collecting taxes, denial of capacity went too far: it was an "outright negation" of the right of establishment. However, in Cartesio Oktató és Szolgáltató bt the Court of Justice affirmed again that because corporations are created by law, they are in principle subject to any rules for formation that a state of incorporation wishes to impose. This meant that the Hungarian authorities could prevent a company from shifting its central administration to Italy while it still operated and was incorporated in Hungary. Thus, the court draws a distinction between the right of establishment for foreign companies (where restrictions must be justified), and the right of the state to determine conditions for companies incorporated in its territory, although it is not entirely clear why.</t>
  </si>
  <si>
    <t>disturbances</t>
  </si>
  <si>
    <t>Contracts must be designed to ensure what?</t>
  </si>
  <si>
    <t>Where were the Devonshire Hunting Tapestries made?</t>
  </si>
  <si>
    <t>On April 23, 1968</t>
  </si>
  <si>
    <t>The Amazon region is home to how many species of insect?</t>
  </si>
  <si>
    <t>OneDrive</t>
  </si>
  <si>
    <t>What did Kublai do to prevent famines?</t>
  </si>
  <si>
    <t>the expendable nature of the worker in relation to his or her particular job</t>
  </si>
  <si>
    <t>National Galleries of Scotland</t>
  </si>
  <si>
    <t>What cable provider did ABC reach an agreement with in 1993 to carry it's owned-and-operated stations in ABC O&amp;O markets?</t>
  </si>
  <si>
    <t>Tesla worked every day from 9:00 a.m. until 6:00 p.m. or later, with dinner from exactly 8:10 p.m., at Delmonico's restaurant and later the Waldorf-Astoria Hotel. Tesla would telephone his dinner order to the headwaiter, who also could be the only one to serve him. "The meal was required to be ready at eight o'clock ... He dined alone, except on the rare occasions when he would give a dinner to a group to meet his social obligations. Tesla would then resume his work, often until 3:00 a.m.":283, 286</t>
  </si>
  <si>
    <t>What does the plos pathogen paper claim?</t>
  </si>
  <si>
    <t>through homologous recombination</t>
  </si>
  <si>
    <t>Trojans</t>
  </si>
  <si>
    <t>There was a 16th century Huguenot settlement near what modern day Florida city?</t>
  </si>
  <si>
    <t>Who is the play-by-play announcer for the game?</t>
  </si>
  <si>
    <t>Laverne &amp; Shirley</t>
  </si>
  <si>
    <t>Where was Parliament temporarily relocated to in May of 2000?</t>
  </si>
  <si>
    <t>In 1899</t>
  </si>
  <si>
    <t>In what compound is oxygen found in small amounts in the atmosphere?</t>
  </si>
  <si>
    <t>limiting aggregate demand</t>
  </si>
  <si>
    <t>Cobham-Edmonds thesis</t>
  </si>
  <si>
    <t>Who represents the Scottish Parliament at home and abroad in an official capacity?</t>
  </si>
  <si>
    <t>What former building is currently known as Grand 1401?</t>
  </si>
  <si>
    <t>Bishopsgate</t>
  </si>
  <si>
    <t>governmental entities</t>
  </si>
  <si>
    <t>In what area did the 1996 television film premier?</t>
  </si>
  <si>
    <t>In what borough of New York City is ABC headquartered?</t>
  </si>
  <si>
    <t>What are some of the causes of child labor?</t>
  </si>
  <si>
    <t>rocketry and manned spaceflight, including avionics, telecommunications, and computers</t>
  </si>
  <si>
    <t>The Court of Justice of the European Union can interpret the Treaties</t>
  </si>
  <si>
    <t>depths of the oceans and seas</t>
  </si>
  <si>
    <t>by 2100</t>
  </si>
  <si>
    <t>the malaria parasite</t>
  </si>
  <si>
    <t>elliptical</t>
  </si>
  <si>
    <t>Apollo 8</t>
  </si>
  <si>
    <t>the Moscone Center</t>
  </si>
  <si>
    <t>a form of anthrax</t>
  </si>
  <si>
    <t>message routing methodology</t>
  </si>
  <si>
    <t>democratic process</t>
  </si>
  <si>
    <t>in commerce, schooling and government</t>
  </si>
  <si>
    <t>Defining the East as a negative vision of itself</t>
  </si>
  <si>
    <t>What proclamation gave Huguenots special privileges in Brandenburg?</t>
  </si>
  <si>
    <t>What was the tribe of the woman Temüjin married when he was around 16 years old?</t>
  </si>
  <si>
    <t>Which of Genghis Khan's sons was disqualified from being successor because of his unstable behavior?</t>
  </si>
  <si>
    <t>What books did Bayle publish?</t>
  </si>
  <si>
    <t>Other than warships, what ships typically required high speeds?</t>
  </si>
  <si>
    <t>former captain of the Yale football team</t>
  </si>
  <si>
    <t>the clergy</t>
  </si>
  <si>
    <t xml:space="preserve">How many major ice ages have occurred? </t>
  </si>
  <si>
    <t>In 1900, the Los Angeles Times defined southern California as including "the seven counties of Los Angeles, San Bernardino, Orange, Riverside, San Diego, Ventura and Santa Barbara." In 1999, the Times added a newer county—Imperial—to that list.</t>
  </si>
  <si>
    <t>strong rivalry against Cornell</t>
  </si>
  <si>
    <t>James O. McKinsey</t>
  </si>
  <si>
    <t>American Broadcasting-Paramount Theatres, Inc.</t>
  </si>
  <si>
    <t>the main glass galleries and the main silverware gallery</t>
  </si>
  <si>
    <t>social networking support</t>
  </si>
  <si>
    <t xml:space="preserve">What lab does the university have a joint stake in? </t>
  </si>
  <si>
    <t>electronic music</t>
  </si>
  <si>
    <t>all four</t>
  </si>
  <si>
    <t>HO</t>
  </si>
  <si>
    <t>What mountain has snow on it all year round?</t>
  </si>
  <si>
    <t>In this work, one of his most emphatic statements on faith, he argued that every good work designed to attract God's favor is a sin. All humans are sinners by nature, he explained, and God's grace (which cannot be earned) alone can make them just. On 1 August 1521, Luther wrote to Melanchthon on the same theme: "Be a sinner, and let your sins be strong, but let your trust in Christ be stronger, and rejoice in Christ who is the victor over sin, death, and the world. We will commit sins while we are here, for this life is not a place where justice resides."</t>
  </si>
  <si>
    <t>as a function of the size of the instance</t>
  </si>
  <si>
    <t>on rocks, algae, or the body surfaces of other invertebrates</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</si>
  <si>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</si>
  <si>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more than 70,000</t>
  </si>
  <si>
    <t>What is the name of the private day school for K-12 students the university runs?</t>
  </si>
  <si>
    <t>Who succeeded Thomas Murphy as president in 1990?</t>
  </si>
  <si>
    <t>along the frontiers</t>
  </si>
  <si>
    <t>add O2 instead of CO2 to RuBP</t>
  </si>
  <si>
    <t>three years</t>
  </si>
  <si>
    <t>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t>
  </si>
  <si>
    <t>When were the Daleks reintroduced in the revival series?</t>
  </si>
  <si>
    <t>steady growth</t>
  </si>
  <si>
    <t>center of the curving path.</t>
  </si>
  <si>
    <t>Shoushi Li</t>
  </si>
  <si>
    <t>the Edict of Fontainebleau</t>
  </si>
  <si>
    <t>about one-eighth</t>
  </si>
  <si>
    <t>What is the name of the satellite that measured the amount of dust?</t>
  </si>
  <si>
    <t>The expedition was a disaster</t>
  </si>
  <si>
    <t>27 August 2010</t>
  </si>
  <si>
    <t>S-IB</t>
  </si>
  <si>
    <t>What interpretation of Islam is, for many of the adherents, the "gold standard" of their religion?</t>
  </si>
  <si>
    <t>How did some suspect that Polo learned about China instead of by actually visiting it?</t>
  </si>
  <si>
    <t>various electrical repair jobs</t>
  </si>
  <si>
    <t>Who was the ABC Radio president in 1968?</t>
  </si>
  <si>
    <t>Brompton district of the Royal Borough of Kensington and Chelsea,</t>
  </si>
  <si>
    <t>Shia terrorist</t>
  </si>
  <si>
    <t>How many residents of Seville died of plague in 1649?</t>
  </si>
  <si>
    <t>What is a chlorenchyma cell?</t>
  </si>
  <si>
    <t>Pharmacists are healthcare professionals with specialised education and training who perform various roles to ensure optimal health outcomes for their patients through the quality use of medicines. Pharmacists may also be small-business proprietors, owning the pharmacy in which they practice. Since pharmacists know about the mode of action of a particular drug, and its metabolism and physiological effects on the human body in great detail, they play an important role in optimisation of a drug treatment for an individual.</t>
  </si>
  <si>
    <t>Confederate</t>
  </si>
  <si>
    <t>What was the time limit on Luther's recantation of sentences?</t>
  </si>
  <si>
    <t>Maling company</t>
  </si>
  <si>
    <t>What graphic designer designed the ABC logo in it's most known form?</t>
  </si>
  <si>
    <t>mosaic floors</t>
  </si>
  <si>
    <t>non-self</t>
  </si>
  <si>
    <t>What year did Levi's Stadium become fully approved to host Super Bowl 50?</t>
  </si>
  <si>
    <t>Where was New Year's Rockin' Eve hosted?</t>
  </si>
  <si>
    <t>Battle of Olustee</t>
  </si>
  <si>
    <t>In which year was the Salting Bequest made?</t>
  </si>
  <si>
    <t>Materials readily available in the area</t>
  </si>
  <si>
    <t>between 1960 and 2000</t>
  </si>
  <si>
    <t>In which year was the Animal Locomotion collection created?</t>
  </si>
  <si>
    <t>General Conference a</t>
  </si>
  <si>
    <t>up to five</t>
  </si>
  <si>
    <t>their soft, gelatinous bodies</t>
  </si>
  <si>
    <t>Temüjin had three brothers named Hasar, Hachiun, and Temüge, and one sister named Temülen, as well as two half-brothers named Begter and Belgutei. Like many of the nomads of Mongolia, Temüjin's early life was difficult. His father arranged a marriage for him, and at nine years of age he was delivered by his father to the family of his future wife Börte, who was a member of the tribe Khongirad. Temüjin was to live there in service to Dai Setsen, the head of the new household, until he reached the marriageable age of 12.</t>
  </si>
  <si>
    <t>town of the Ubii</t>
  </si>
  <si>
    <t>Peter Davison, Colin Baker and Sylvester McCoy</t>
  </si>
  <si>
    <t>Which institution did the V&amp;A partnered with to open the first permanent architectural history gallery in the UK?</t>
  </si>
  <si>
    <t>large-scale development projects</t>
  </si>
  <si>
    <t>What does the world's first Museum of Posters have one of the largest collections of in the world?</t>
  </si>
  <si>
    <t>In 1939 Chinese Nationalist soldiers took the mausoleum from its position at the 'Lord's Enclosure' (Mongolian: Edsen Khoroo) in Mongolia to protect it from Japanese troops. It was taken through Communist-held territory in Yan'an some 900 km on carts to safety at a Buddhist monastery, the Dongshan Dafo Dian, where it remained for ten years. In 1949, as Communist troops advanced, the Nationalist soldiers moved it another 200 km farther west to the famous Tibetan monastery of Kumbum Monastery or Ta'er Shi near Xining, which soon fell under Communist control. In early 1954, Genghis Khan's bier and relics were returned to the Lord's Enclosure in Mongolia. By 1956 a new temple was erected there to house them. In 1968 during the Cultural Revolution, Red Guards destroyed almost everything of value. The "relics" were remade in the 1970s and a great marble statue of Genghis was completed in 1989.</t>
  </si>
  <si>
    <t>Katyń Museum</t>
  </si>
  <si>
    <t>Buddhism</t>
  </si>
  <si>
    <t>What were Huguenots who stayed in France eventually known as?</t>
  </si>
  <si>
    <t>When were Tesla's patents restored?</t>
  </si>
  <si>
    <t>What kind of university is the California Institute of Technology?</t>
  </si>
  <si>
    <t>Reactive oxygen species, such as superoxide ion (O−
2) and hydrogen peroxide (H
2O
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
2 began to accumulate in the atmosphere about 2.5 billion years ago during the Great Oxygenation Event, about a billion years after the first appearance of these organisms.</t>
  </si>
  <si>
    <t>Classic FM</t>
  </si>
  <si>
    <t>In what year was Supernanny canceled?</t>
  </si>
  <si>
    <t>Maling</t>
  </si>
  <si>
    <t>the head of government would be acting in her or his capacity as public official</t>
  </si>
  <si>
    <t>What do photocytes produce?</t>
  </si>
  <si>
    <t>What kind of statement is made in the effort of establishing the time and space requirements needed to enhance the ultimate number of problems solved?</t>
  </si>
  <si>
    <t>Season 11</t>
  </si>
  <si>
    <t>limited</t>
  </si>
  <si>
    <t>What party is President Kibaki part of?</t>
  </si>
  <si>
    <t>The arrival of satellite television</t>
  </si>
  <si>
    <t>U.S</t>
  </si>
  <si>
    <t>How many days was the 1996 film shown ahead of the BBC showing?</t>
  </si>
  <si>
    <t>easier credit</t>
  </si>
  <si>
    <t>Where has the official home of the Scottish Parliament been since 2004?</t>
  </si>
  <si>
    <t>NFL Mobile service</t>
  </si>
  <si>
    <t>Who became king in 1643?</t>
  </si>
  <si>
    <t>What was the name of the King of the Scots?</t>
  </si>
  <si>
    <t>On June 16, 2007, ABC began to phase in a new imaging campaign for the upcoming 2007–08 season, "Start Here". Also developed by Troika, the on-air design was intended to emphasize the availability of ABC content across multiple platforms (in particular, using a system of icons representing different devices, such as television, computers and mobile devices), and "simplify and bring a lot more consistency and continuity to the visual representation of ABC". The ABC logo was also significantly redesigned as part of the transition, with a glossy "ball" effect that was specifically designed for HD. On-air, the logo was accompanied by animated water and ribbon effects. Red ribbons were used to represent the entertainment division, while blue ribbons were used for ABC News.</t>
  </si>
  <si>
    <t>food in the form of sugars</t>
  </si>
  <si>
    <t>What does increased oxygen concentrations in the patient's lungs displace?</t>
  </si>
  <si>
    <t>1.1 × 1011</t>
  </si>
  <si>
    <t>State Route 180 comes from which direction via Mendota?</t>
  </si>
  <si>
    <t>By the opening of the 2008 General Conference, what was the total UMC membership overseas?</t>
  </si>
  <si>
    <t>What beverage company signed a contract allowing them to broadcast ads at a discount?</t>
  </si>
  <si>
    <t>Teaching in Canada requires a post-secondary degree Bachelor's Degree. In most provinces a second Bachelor's Degree such as a Bachelor of Education is required to become a qualified teacher. Salary ranges from $40,000/year to $90,000/yr. Teachers have the option to teach for a public school which is funded by the provincial government or teaching in a private school which is funded by the private sector, businesses and sponsors.</t>
  </si>
  <si>
    <t>Who was the NFL Commissioner in early 2012?</t>
  </si>
  <si>
    <t>Which team won Super Bowl 50.</t>
  </si>
  <si>
    <t>What did the merchants of Newcastle plot to do to Timothy Dexter?</t>
  </si>
  <si>
    <t>Systemic acquired resistance</t>
  </si>
  <si>
    <t>What do capitalist firms substitute equipment for in a Marxian analysis?</t>
  </si>
  <si>
    <t>through the Waal</t>
  </si>
  <si>
    <t>1875</t>
  </si>
  <si>
    <t>Who experimented by rolling stones and canonballs down a steep incline?</t>
  </si>
  <si>
    <t>Why might a physician diagnose a large number of conditions?</t>
  </si>
  <si>
    <t>Cristian Bay's encyclopedia concludes that civil disobedience does not only include what behavior?</t>
  </si>
  <si>
    <t>December 1895</t>
  </si>
  <si>
    <t>societies</t>
  </si>
  <si>
    <t>None succeeded</t>
  </si>
  <si>
    <t>Health problems were lower in places with higher levels of what?</t>
  </si>
  <si>
    <t>When did Levi's Stadium open?</t>
  </si>
  <si>
    <t>250,000 feet</t>
  </si>
  <si>
    <t>third unmanned test</t>
  </si>
  <si>
    <t>What happened to the credibility of secular politics as a result of the Six-Day War?</t>
  </si>
  <si>
    <t>less willing to travel or relocate</t>
  </si>
  <si>
    <t>2003</t>
  </si>
  <si>
    <t>In 1993, the FCC repealed the Financial Interest and Syndication Rules, once again allowing networks to hold interests in television production studios. That same year, Capital Cities/ABC purchased the French animation studio DIC Entertainment; it also signed an agreement with Time Warner Cable to carry its owned-and-operated television stations on the provider's systems in ABC O&amp;O markets. By that year, ABC had a total viewership share of 23.63% of American households, just below the limit of 25% imposed by the FCC.</t>
  </si>
  <si>
    <t>an Islamic rebellion</t>
  </si>
  <si>
    <t>What was the Black Cloister?</t>
  </si>
  <si>
    <t>thunderstorms</t>
  </si>
  <si>
    <t>When did the undergraduate program become coeducational?</t>
  </si>
  <si>
    <t>What was the name of the first Huguenot outpost in South Carolina?</t>
  </si>
  <si>
    <t>University_of_Chicago</t>
  </si>
  <si>
    <t>As previously arranged by his father, Temüjin married Börte of the Onggirat tribe when he was around 16 in order to cement alliances between their respective tribes. Soon after Börte's marriage to Temüjin, she was kidnapped by the Merkits and reportedly given away as a wife. Temüjin rescued her with the help of his friend and future rival, Jamukha, and his protector, Toghrul Khan of the Keraite tribe. She gave birth to a son, Jochi (1185–1226), nine months later, clouding the issue of his parentage. Despite speculation over Jochi, Börte would be Temüjin's only empress, though he did follow tradition by taking several morganatic wives.</t>
  </si>
  <si>
    <t>1972 connections</t>
  </si>
  <si>
    <t>What do the Devonshire Hunting Tapestries depict?</t>
  </si>
  <si>
    <t>Zoning requirements, environmental impact, budgeting, and logistics are things who should consider?</t>
  </si>
  <si>
    <t>What is the applicant admission rate for class of 2019?</t>
  </si>
  <si>
    <t>What project did Harvard halt due to the financial crisis?</t>
  </si>
  <si>
    <t>How long had John Paul II been the pope in 1979?</t>
  </si>
  <si>
    <t>At what university's facility did the Broncos practice?</t>
  </si>
  <si>
    <t>What did Luther promise to do as a concession?</t>
  </si>
  <si>
    <t>America</t>
  </si>
  <si>
    <t>accidental introduction of Beroe</t>
  </si>
  <si>
    <t>Arnhem</t>
  </si>
  <si>
    <t>the late 1980s</t>
  </si>
  <si>
    <t>Napoleon's</t>
  </si>
  <si>
    <t>Survivial is at the heart of what concept for workers?</t>
  </si>
  <si>
    <t>English Heritage</t>
  </si>
  <si>
    <t>What are more common in other plastids than chloroplasts?</t>
  </si>
  <si>
    <t>Late-Glacial valley</t>
  </si>
  <si>
    <t>high humidity</t>
  </si>
  <si>
    <t>1%</t>
  </si>
  <si>
    <t>The French Protestant Church of London was established by Royal Charter in 1550. It is now located at Soho Square. Huguenot refugees flocked to Shoreditch, London. They established a major weaving industry in and around Spitalfields (see Petticoat Lane and the Tenterground) in East London. In Wandsworth, their gardening skills benefited the Battersea market gardens. The Old Truman Brewery, then known as the Black Eagle Brewery, was founded in 1724. The flight of Huguenot refugees from Tours, France drew off most of the workers of its great silk mills which they had built.[citation needed] Some of these immigrants moved to Norwich, which had accommodated an earlier settlement of Walloon weavers. The French added to the existing immigrant population, then comprising about a third of the population of the city.</t>
  </si>
  <si>
    <t>What magnitude was the 1994 Northridge earthquake?</t>
  </si>
  <si>
    <t>During the period in which the negotiations were being conducted, Tesla said that efforts had been made to steal the invention. His room had been entered and his papers had been scrutinized, but the thieves, or spies, left empty-handed. He said that there was no danger that his invention could be stolen, for he had at no time committed any part of it to paper; the blueprint for the teleforce weapon was all in his mind.</t>
  </si>
  <si>
    <t>faster</t>
  </si>
  <si>
    <t>force</t>
  </si>
  <si>
    <t>cattle were brought across the river there</t>
  </si>
  <si>
    <t>"cellular" and "humoral" theories of immunity</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</si>
  <si>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</si>
  <si>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71%</t>
  </si>
  <si>
    <t>biennial</t>
  </si>
  <si>
    <t>clinical officers, medical officers and medical practitioners</t>
  </si>
  <si>
    <t>When was ABC's first logo introduced?</t>
  </si>
  <si>
    <t>central highlands</t>
  </si>
  <si>
    <t>recognition</t>
  </si>
  <si>
    <t>more experience and higher education</t>
  </si>
  <si>
    <t>In Nepalese private schools, what is the primary language of instruction?</t>
  </si>
  <si>
    <t>vertebrates</t>
  </si>
  <si>
    <t>How many students does the University of Chicago have enlisted?</t>
  </si>
  <si>
    <t>Which gas makes up 20.8% of the Earth's atmosphere?</t>
  </si>
  <si>
    <t>created for IVF that remain after the procreative efforts have ceased,</t>
  </si>
  <si>
    <t>In August 1994, what Toledo, Ohio affiliate did ABC purchase?</t>
  </si>
  <si>
    <t>methotrexate or azathioprine</t>
  </si>
  <si>
    <t>circumcision</t>
  </si>
  <si>
    <t>What had been left hanging on the door to Tesla's room?</t>
  </si>
  <si>
    <t>What is the Dutch word for the Amazon rainforest?</t>
  </si>
  <si>
    <t>Who handled the play-by-play for the Denver radio stations?</t>
  </si>
  <si>
    <t>environmental determinism</t>
  </si>
  <si>
    <t>What type of practices did the Yuan reintroduce in government?</t>
  </si>
  <si>
    <t>11.1%</t>
  </si>
  <si>
    <t>Who was Emma's brother?</t>
  </si>
  <si>
    <t>Who was the Scottish geologist that named Mt Kenya as Mt Kenia?</t>
  </si>
  <si>
    <t>general assembly of the estates of the Holy Roman Empire</t>
  </si>
  <si>
    <t>How much support does evidence provide for the view that labor-market flexibility improves labor-market outcomes?</t>
  </si>
  <si>
    <t>NBC Blue and NBC Red</t>
  </si>
  <si>
    <t>with the Father</t>
  </si>
  <si>
    <t>the main porch</t>
  </si>
  <si>
    <t>1980s or even the advent of digital television in the 2000s</t>
  </si>
  <si>
    <t>How many picks did Aqib Talib have?</t>
  </si>
  <si>
    <t>How many different species of ctenohore are there?</t>
  </si>
  <si>
    <t>extinction of the dinosaurs and the wetter climate</t>
  </si>
  <si>
    <t>Sage Gateshead Music and Arts Centre</t>
  </si>
  <si>
    <t>invasion of Britain</t>
  </si>
  <si>
    <t>How many times was Cam Newton sacked in Super Bowl 50?</t>
  </si>
  <si>
    <t>ramification in geometry</t>
  </si>
  <si>
    <t>linebacker Von Miller</t>
  </si>
  <si>
    <t>unidirectional</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</si>
  <si>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</si>
  <si>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Tesco store</t>
  </si>
  <si>
    <t>European theatre</t>
  </si>
  <si>
    <t>Who played Doctor Who in the revival series?</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</si>
  <si>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</si>
  <si>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Creon</t>
  </si>
  <si>
    <t>removing its economic foundation</t>
  </si>
  <si>
    <t>What name was given to the plot to usurp power from the French House of Guise?</t>
  </si>
  <si>
    <t>Who received the first steam engine patent?</t>
  </si>
  <si>
    <t>400 AD to 1914</t>
  </si>
  <si>
    <t>Fifth, Sixth and Seventh Doctors</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</si>
  <si>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</si>
  <si>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What is the most snow Fresno has ever had?</t>
  </si>
  <si>
    <t>granaries were ordered built</t>
  </si>
  <si>
    <t>At the time of Martin Luther what was in demand?</t>
  </si>
  <si>
    <t>the Pannerdens Kanaal</t>
  </si>
  <si>
    <t>Why would Mongols have too little experience to govern cities they conquered?</t>
  </si>
  <si>
    <t>conservative</t>
  </si>
  <si>
    <t>Which team had the best regular season in their history?</t>
  </si>
  <si>
    <t>Transform</t>
  </si>
  <si>
    <t>What language is used in Chinese primary schools in Malaysia?</t>
  </si>
  <si>
    <t>Who made Ralph earl?</t>
  </si>
  <si>
    <t>What does the UMC endorse under strict and effective international control?</t>
  </si>
  <si>
    <t>What country did ABC expand in to in the mid-1960s?</t>
  </si>
  <si>
    <t>drive shaft</t>
  </si>
  <si>
    <t>increasing unemployment</t>
  </si>
  <si>
    <t>Huguenot rebellions</t>
  </si>
  <si>
    <t>Which hotel did the Broncos use for Super Bowl 50?</t>
  </si>
  <si>
    <t>help preserve society's tolerance</t>
  </si>
  <si>
    <t>Soviet Union</t>
  </si>
  <si>
    <t>Who did the sign language of the National Anthem at Super Bowl 50?</t>
  </si>
  <si>
    <t>How much does a Probationer earn, initially?</t>
  </si>
  <si>
    <t>subject specialists</t>
  </si>
  <si>
    <t>green alga</t>
  </si>
  <si>
    <t>How sure did the statement say scientists were that temperatures would keep rising?</t>
  </si>
  <si>
    <t>Yale</t>
  </si>
  <si>
    <t>through faith</t>
  </si>
  <si>
    <t>What has caused China to suspend their railway project?</t>
  </si>
  <si>
    <t>he explored the mountains in hunter's garb</t>
  </si>
  <si>
    <t>Why was NBC unable to broadcast the coronation of Queen Elizabeth II?</t>
  </si>
  <si>
    <t>tight closure streamlines the front of the animal</t>
  </si>
  <si>
    <t>Jaime Weston</t>
  </si>
  <si>
    <t>In 2005, approximately how many congregations were in the UMC?</t>
  </si>
  <si>
    <t>'tuition-free</t>
  </si>
  <si>
    <t>Bukhara</t>
  </si>
  <si>
    <t>Modern Mongolian historians say that towards the end of his life, Genghis Khan attempted to create a civil state under the Great Yassa that would have established the legal equality of all individuals, including women. However, there is no evidence of this, or of the lifting of discriminatory policies towards sedentary peoples such as the Chinese. Women played a relatively important role in Mongol Empire and in family, for example Töregene Khatun was briefly in charge of the Mongol Empire when next male Khagan was being chosen. Modern scholars refer to the alleged policy of encouraging trade and communication as the Pax Mongolica (Mongol Peace).</t>
  </si>
  <si>
    <t>Several families of Byzantine Greece were of Norman mercenary origin during the period of the Comnenian Restoration, when Byzantine emperors were seeking out western European warriors. The Raoulii were descended from an Italo-Norman named Raoul, the Petraliphae were descended from a Pierre d'Aulps, and that group of Albanian clans known as the Maniakates were descended from Normans who served under George Maniaces in the Sicilian expedition of 1038.</t>
  </si>
  <si>
    <t>What is the name of the student improvisational theater troupe?</t>
  </si>
  <si>
    <t>Major George Washington</t>
  </si>
  <si>
    <t>greenhouse gas emissions</t>
  </si>
  <si>
    <t>Tumor antigens are complexed with MHC class I molecules in the same way as what antigens?</t>
  </si>
  <si>
    <t>about three hours</t>
  </si>
  <si>
    <t>Non-revolutionary</t>
  </si>
  <si>
    <t>NFL Experience</t>
  </si>
  <si>
    <t>exhibit a distinct chloroplast dimorphism</t>
  </si>
  <si>
    <t>When was there a armed protest at Ballarat about mining taxes?</t>
  </si>
  <si>
    <t>Economist Joseph Stiglitz presented evidence in 2009 that both global inequality and inequality within countries prevent growth by limiting aggregate demand. Economist Branko Milanovic, wrote in 2001 that, "The view that income inequality harms growth – or that improved equality can help sustain growth – has become more widely held in recent years. ... The main reason for this shift is the increasing importance of human capital in development. When physical capital mattered most, savings and investments were key. Then it was important to have a large contingent of rich people who could save a greater proportion of their income than the poor and invest it in physical capital. But now that human capital is scarcer than machines, widespread education has become the secret to growth."</t>
  </si>
  <si>
    <t>What change in conditions may make the Amazon rainforest unsustainable?</t>
  </si>
  <si>
    <t>are prime. Prime numbers of this form are known as factorial primes. Other primes where either p + 1 or p − 1 is of a particular shape include the Sophie Germain primes (primes of the form 2p + 1 with p prime), primorial primes, Fermat primes and Mersenne primes, that is, prime numbers that are of the form 2p − 1, where p is an arbitrary prime. The Lucas–Lehmer test is particularly fast for numbers of this form. This is why the largest known prime has almost always been a Mersenne prime since the dawn of electronic computers.</t>
  </si>
  <si>
    <t>What program did Red Cross put together in 2011?</t>
  </si>
  <si>
    <t>During what time did civilization in the Amazon was flourishing when Orellana made his observations?</t>
  </si>
  <si>
    <t>To reduce the chances of combustion ___ is required for safely handeling pure O.</t>
  </si>
  <si>
    <t>What was the name of the single that Coldplay and Beyoncé collaborated on?</t>
  </si>
  <si>
    <t>What was the other finalist besides Levi's Stadium?</t>
  </si>
  <si>
    <t>1640</t>
  </si>
  <si>
    <t>in schools</t>
  </si>
  <si>
    <t>tripartite division</t>
  </si>
  <si>
    <t>The interiors of the three refreshment rooms were assigned to different designers. The Green Dining Room 1866–68 was the work of Philip Webb and William Morris, and displays Elizabethan influences. The lower part of the walls are panelled in wood with a band of paintings depicting fruit and the occasional figure, with moulded plaster foliage on the main part of the wall and a plaster frieze around the decorated ceiling and stained-glass windows by Edward Burne-Jones. The Centre Refreshment Room 1865–77 was designed in a Renaissance style by James Gamble, the walls and even the Ionic columns are covered in decorative and moulded ceramic tile, the ceiling consists of elaborate designs on enamelled metal sheets and matching stained-glass windows, the marble fireplace was designed and sculpted by Alfred Stevens and was removed from Dorchester House prior to that building's demolition in 1929. The Grill Room 1876–81 was designed by Sir Edward Poynter, the lower part of the walls consist of blue and white tiles with various figures and foliage enclosed by wood panelling, above there are large tiled scenes with figures depicting the four seasons and the twelve months these were painted by ladies from the Art School then based in the museum, the windows are also stained glass, there is an elaborate cast-iron grill still in place.</t>
  </si>
  <si>
    <t>May</t>
  </si>
  <si>
    <t>heavy bodies to fall</t>
  </si>
  <si>
    <t>How do chloroplasts reproduce?</t>
  </si>
  <si>
    <t>Red Guards</t>
  </si>
  <si>
    <t>Wesleyan</t>
  </si>
  <si>
    <t>Nederrijn</t>
  </si>
  <si>
    <t>What drew would-be Jacksonville tourists to other Florida destinations?</t>
  </si>
  <si>
    <t>Who followed Matt Smith in the role of Doctor Who?</t>
  </si>
  <si>
    <t>repeatedly burned out</t>
  </si>
  <si>
    <t>British colonists would not be safe as long as the French were present</t>
  </si>
  <si>
    <t>23.63% of American households</t>
  </si>
  <si>
    <t>Who was on the receiving end of a 45-yard pass from Cam Newton?</t>
  </si>
  <si>
    <t>What bridge had a model of it at the Super Bowl Opening Night?</t>
  </si>
  <si>
    <t>In a report on K-12 teachers, which teachers had the lowest median salary?</t>
  </si>
  <si>
    <t>fermionic nature of electrons</t>
  </si>
  <si>
    <t>free-to-air</t>
  </si>
  <si>
    <t>What type of Delta is the Rhine-Meuse?</t>
  </si>
  <si>
    <t>mild and sunny</t>
  </si>
  <si>
    <t>What is an autoimmune disease that affects women preferentially?</t>
  </si>
  <si>
    <t>What country does the Rhine empty?</t>
  </si>
  <si>
    <t>In what year did a Doctor first become nominated for a Best Actor award?</t>
  </si>
  <si>
    <t>What was incorporated to help slow the CM's decent back to Earth?</t>
  </si>
  <si>
    <t>Super Bowl LI</t>
  </si>
  <si>
    <t>organisms</t>
  </si>
  <si>
    <t>NDS</t>
  </si>
  <si>
    <t>For how many years was evidence shown that humans shaped the the Amazon?</t>
  </si>
  <si>
    <t>East Smithfield</t>
  </si>
  <si>
    <t>What did Temüjin's mother emphasize in his lessons about Mongolia's volatile political climate?</t>
  </si>
  <si>
    <t>idealism and philanthropy</t>
  </si>
  <si>
    <t>the Australian Broadcasting Corporation</t>
  </si>
  <si>
    <t>What type of climate does Jacksonville have?</t>
  </si>
  <si>
    <t>What was Shrewsbury's conclusion?</t>
  </si>
  <si>
    <t>Y. p. orientalis and Y. p. medievalis</t>
  </si>
  <si>
    <t>system to function</t>
  </si>
  <si>
    <t>longitudinal waves, such as those produced in waves in plasmas</t>
  </si>
  <si>
    <t>Orange Democratic Movement</t>
  </si>
  <si>
    <t>wetter</t>
  </si>
  <si>
    <t>What is a simple form of civil disobedience?</t>
  </si>
  <si>
    <t>86</t>
  </si>
  <si>
    <t>On 15 June 1520, the Pope warned Luther with the papal bull (edict) Exsurge Domine that he risked excommunication unless he recanted 41 sentences drawn from his writings, including the 95 Theses, within 60 days. That autumn, Johann Eck proclaimed the bull in Meissen and other towns. Karl von Miltitz, a papal nuncio, attempted to broker a solution, but Luther, who had sent the Pope a copy of On the Freedom of a Christian in October, publicly set fire to the bull and decretals at Wittenberg on 10 December 1520, an act he defended in Why the Pope and his Recent Book are Burned and Assertions Concerning All Articles. As a consequence, Luther was excommunicated by Pope Leo X on 3 January 1521, in the bull Decet Romanum Pontificem.</t>
  </si>
  <si>
    <t>When did a Charlie Brown Christmas debut?</t>
  </si>
  <si>
    <t>In what year did ABC agree to finance Disneyland?</t>
  </si>
  <si>
    <t>What year was the latest addition to the Church of St. Andrew?</t>
  </si>
  <si>
    <t>county of Northumberland</t>
  </si>
  <si>
    <t>May 1, 1953</t>
  </si>
  <si>
    <t>the Panic of 1901</t>
  </si>
  <si>
    <t>Civil disobedience</t>
  </si>
  <si>
    <t>protesters attempted to enter the test site</t>
  </si>
  <si>
    <t>What famous composer used a Lutheran hymn in his work?</t>
  </si>
  <si>
    <t>The Victorian Alps</t>
  </si>
  <si>
    <t>Who registered the most receptions on the Broncos?</t>
  </si>
  <si>
    <t>What is something that is often torn up and included in sedimentary rock?</t>
  </si>
  <si>
    <t>previously separated specialties, especially among large firms</t>
  </si>
  <si>
    <t>Who is the oldest quarterback to play in a Super Bowl?</t>
  </si>
  <si>
    <t>Jean Ribault</t>
  </si>
  <si>
    <t>What building was a gift from the Soviet Union?</t>
  </si>
  <si>
    <t>the Royal Shakespeare Company</t>
  </si>
  <si>
    <t>Swahili</t>
  </si>
  <si>
    <t>Who does BSkyB have an operating license from?</t>
  </si>
  <si>
    <t>sequenced delivery of data</t>
  </si>
  <si>
    <t>What does turning sideways protect chloroplasts from?</t>
  </si>
  <si>
    <t>The fundamental theorem of arithmetic continues to hold in unique factorization domains. An example of such a domain is the Gaussian integers Z[i], that is, the set of complex numbers of the form a + bi where i denotes the imaginary unit and a and b are arbitrary integers. Its prime elements are known as Gaussian primes. Not every prime (in Z) is a Gaussian prime: in the bigger ring Z[i], 2 factors into the product of the two Gaussian primes (1 + i) and (1 − i). Rational primes (i.e. prime elements in Z) of the form 4k + 3 are Gaussian primes, whereas rational primes of the form 4k + 1 are not.</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</si>
  <si>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</si>
  <si>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The Neutral Zone</t>
  </si>
  <si>
    <t>What is the turbine entry temperature of a steam turbine, in degrees Celsius?</t>
  </si>
  <si>
    <t>1523</t>
  </si>
  <si>
    <t>What period did the Rhine capture streams?</t>
  </si>
  <si>
    <t>the incandescent light bulb</t>
  </si>
  <si>
    <t>the accidental introduction of the Mnemiopsis-eating North American ctenophore Beroe ovata</t>
  </si>
  <si>
    <t>Hanna-Barbera</t>
  </si>
  <si>
    <t>later ARPANET architecture</t>
  </si>
  <si>
    <t>What city has the biggest port in Germany?</t>
  </si>
  <si>
    <t>1,230 kilometres</t>
  </si>
  <si>
    <t>beginning of the historical era</t>
  </si>
  <si>
    <t>Even in large firms, architects, interior designers, engineers, developers, construction managers, and general contractors were more likely to be what?</t>
  </si>
  <si>
    <t>What is impact melt that some samples of moon rocks show?</t>
  </si>
  <si>
    <t>automation</t>
  </si>
  <si>
    <t>What celestial object eluded efforts to measure oxygen?</t>
  </si>
  <si>
    <t>Several commemorative events take place every year. Gatherings of thousands of people on the banks of the Vistula on Midsummer’s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Midsummer’s Eve, apart from the official floating of wreaths, jumping over fires, looking for the fern flower, there are musical performances, dignitaries' speeches, fairs and fireworks by the river bank.</t>
  </si>
  <si>
    <t>Fred Singer</t>
  </si>
  <si>
    <t>graze</t>
  </si>
  <si>
    <t>An evasion strategy used by several pathogens to avoid the innate immune system is to hide within the cells of their host (also called intracellular pathogenesis). Here, a pathogen spends most of its life-cycle inside host cells, where it is shielded from direct contact with immune cells, antibodies and complement. Some examples of intracellular pathogens include viruses, the food poisoning bacterium Salmonella and the eukaryotic parasites that cause malaria (Plasmodium falciparum) and leishmaniasis (Leishmania spp.). Other bacteria, such as Mycobacterium tuberculosis, live inside a protective capsule that prevents lysis by complement. Many pathogens secrete compounds that diminish or misdirect the host's immune response. Some bacteria form biofilms to protect themselves from the cells and proteins of the immune system. Such biofilms are present in many successful infections, e.g., the chronic Pseudomonas aeruginosa and Burkholderia cenocepacia infections characteristic of cystic fibrosis. Other bacteria generate surface proteins that bind to antibodies, rendering them ineffective; examples include Streptococcus (protein G), Staphylococcus aureus (protein A), and Peptostreptococcus magnus (protein L).</t>
  </si>
  <si>
    <t>the Prophet Mohammad</t>
  </si>
  <si>
    <t>Sharia</t>
  </si>
  <si>
    <t>Reformation doctrine</t>
  </si>
  <si>
    <t>One strategy of Islamization is to seize power by what methods?</t>
  </si>
  <si>
    <t>Many conferences have taking a position by voting in favor of what?</t>
  </si>
  <si>
    <t>Within what variable is L constrained according to the space hierarchy theorem?</t>
  </si>
  <si>
    <t>15</t>
  </si>
  <si>
    <t>TVOntario picked up the show in 1976 beginning with The Three Doctors and aired each series (several years late) through to series 24 in 1991. From 1979 to 1981, TVO airings were bookended by science-fiction writer Judith Merril who would introduce the episode and then, after the episode concluded, try to place it in an educational context in keeping with TVO's status as an educational channel. Its airing of The Talons of Weng-Chiang was cancelled as a result of accusations that the story was racist; the story was later broadcast in the 1990s on cable station YTV. CBC began showing the series again in 2005. The series moved to the Canadian cable channel Space in 2009.[citation needed]</t>
  </si>
  <si>
    <t>What did the early entrant program do for potential students?</t>
  </si>
  <si>
    <t>What is unknown about the complexity classes between L and P that further prevents determining the value relationship between L and P?</t>
  </si>
  <si>
    <t>Which Panther tipped a Manning pass to himself and picked it off?</t>
  </si>
  <si>
    <t>In what dynasty did Tianze live?</t>
  </si>
  <si>
    <t>How is oxygen ranked as abundant in the universe?</t>
  </si>
  <si>
    <t>1830</t>
  </si>
  <si>
    <t>When was the Royal University of Warsaw established?</t>
  </si>
  <si>
    <t>On what is Victoria's constitution based ?</t>
  </si>
  <si>
    <t>T. T. Tsui Gallery of Chinese art</t>
  </si>
  <si>
    <t>Gold footballs</t>
  </si>
  <si>
    <t xml:space="preserve">Which musical genre did the progressive folk-rock band Gryphon presented at a concert/lecture at the V&amp;A? </t>
  </si>
  <si>
    <t>How long did it take for the Theses to spread through Europe?</t>
  </si>
  <si>
    <t>What was the name of New Orleans' superdome at the time that Super Bowl 50 took place?</t>
  </si>
  <si>
    <t>biodiversity</t>
  </si>
  <si>
    <t>Boyle</t>
  </si>
  <si>
    <t>The time required to output an answer on a deterministic Turing machine is expressed as what?</t>
  </si>
  <si>
    <t>Following their loss in the divisional round of the previous season's playoffs, the Denver Broncos underwent numerous coaching changes, including a mutual parting with head coach John Fox (who had won four divisional championships in his four years as Broncos head coach), and the hiring of Gary Kubiak as the new head coach. Under Kubiak, the Broncos planned to install a run-oriented offense with zone blocking to blend in with quarterback Peyton Manning's shotgun passing skills, but struggled with numerous changes and injuries to the offensive line, as well as Manning having his worst statistical season since his rookie year with the Indianapolis Colts in 1998, due to a plantar fasciitis injury in his heel that he had suffered since the summer, and the simple fact that Manning was getting old, as he turned 39 in the 2015 off-season. Although the team had a 7–0 start, Manning led the NFL in interceptions. In week 10, Manning suffered a partial tear of the plantar fasciitis in his left foot. He set the NFL's all-time record for career passing yards in this game, but was benched after throwing four interceptions in favor of backup quarterback Brock Osweiler, who took over as the starter for most of the remainder of the regular season. Osweiler was injured, however, leading to Manning's return during the Week 17 regular season finale, where the Broncos were losing 13–7 against the 4–11 San Diego Chargers, resulting in Manning re-claiming the starting quarterback position for the playoffs by leading the team to a key 27–20 win that enabled the team to clinch the number one overall AFC seed. Under defensive coordinator Wade Phillips, the Broncos' defense ranked number one in total yards allowed, passing yards allowed and sacks, and like the previous three seasons, the team has continued to set numerous individual, league and franchise records. With the defense carrying the team despite the issues with the offense, the Broncos finished the regular season with a 12–4 record and earned home-field advantage throughout the AFC playoffs.</t>
  </si>
  <si>
    <t>hybrid Bermuda 419 turf</t>
  </si>
  <si>
    <t>a body of treaties and legislation, such as Regulations and Directives</t>
  </si>
  <si>
    <t>What did Tesla's father promise him while he were bedridden?</t>
  </si>
  <si>
    <t>interleukin 1</t>
  </si>
  <si>
    <t>What country has the most factories that pollute the Rhine?</t>
  </si>
  <si>
    <t>How many Huguenots fled France by the 1700s?</t>
  </si>
  <si>
    <t>physically strike him</t>
  </si>
  <si>
    <t>sorghum</t>
  </si>
  <si>
    <t>According to game stats, which Super Bowl 50 quarterback had his worst year since his first season as a player in the NFL?</t>
  </si>
  <si>
    <t>Word and Image department.</t>
  </si>
  <si>
    <t>The UMC condemns what type of punishment?</t>
  </si>
  <si>
    <t>Milton Friedman Institute</t>
  </si>
  <si>
    <t>When was the European portion of the Seven Years War complete?</t>
  </si>
  <si>
    <t>Hmong or Laotian</t>
  </si>
  <si>
    <t xml:space="preserve">The V&amp;A has its origins in which world exposition? </t>
  </si>
  <si>
    <t>harmoniously</t>
  </si>
  <si>
    <t>April 1, 1963</t>
  </si>
  <si>
    <t>created</t>
  </si>
  <si>
    <t>world's oceans</t>
  </si>
  <si>
    <t>Pepsi</t>
  </si>
  <si>
    <t>Why did French feel they had right to Ohio claim?</t>
  </si>
  <si>
    <t>Cobham's</t>
  </si>
  <si>
    <t>Who argued that the USSR had itself become an imperialist power?</t>
  </si>
  <si>
    <t>21 October 1512</t>
  </si>
  <si>
    <t>Where is the Santa Fe Railroad Depot located?</t>
  </si>
  <si>
    <t>VideoGuard pay-TV</t>
  </si>
  <si>
    <t>268 U.S. 510</t>
  </si>
  <si>
    <t>How many people did the Islamic State control the territory of as of March 2015?</t>
  </si>
  <si>
    <t xml:space="preserve">Who did Jochi reportedly enlist to help him stop his father's massacres? </t>
  </si>
  <si>
    <t>What is a a developing economy's level of inequality bulging out called?</t>
  </si>
  <si>
    <t>What other city has hosted the Super Bowl ten times?</t>
  </si>
  <si>
    <t>sell more medications to the patient</t>
  </si>
  <si>
    <t>Amboise</t>
  </si>
  <si>
    <t>During the compression stage of the Rankine cycle, what state is the working fluid in?</t>
  </si>
  <si>
    <t>In which year did the Sackler Center open?</t>
  </si>
  <si>
    <t>What new typeface was created for ABC for use in advertising?</t>
  </si>
  <si>
    <t>Kenya's inclusion among the beneficiaries of the US Government's African Growth and Opportunity Act (AGOA)</t>
  </si>
  <si>
    <t>WMO Executive Council and UNEP Governing Council</t>
  </si>
  <si>
    <t>The Presiding Officer</t>
  </si>
  <si>
    <t>What year was Jamukha elected Gür Khan?</t>
  </si>
  <si>
    <t>Musicians Eric Burdon, Sting, Mark Knopfler, Alan Hull, Cheryl Cole and Neil Tennant lived in Newcastle. Hank Marvin and Bruce Welch were both former pupils of Rutherford Grammar School, actors Charlie Hunnam and James Scott, entertainers Ant and Dec and international footballers Michael Carrick and Alan Shearer were born in Newcastle. Multiple circumnavigator David Scott Cowper, Nobel Prize winning physicist Peter Higgs, and former WWE NXT champion Neville were born in the city. John Dunn, inventor of keyed Northumbrian smallpipes, the most characteristic musical instrument in the region, lived and worked in the city.</t>
  </si>
  <si>
    <t>Phillip Island</t>
  </si>
  <si>
    <t>"villes de sûreté"</t>
  </si>
  <si>
    <t>wife Katharina</t>
  </si>
  <si>
    <t>In what year were the Distinguished Service Medals awarded to Grissom, White, and Chaffee?</t>
  </si>
  <si>
    <t>How large can ctenophora grow?</t>
  </si>
  <si>
    <t>to one another</t>
  </si>
  <si>
    <t>What is the greatest number of members a board of trustees can have?</t>
  </si>
  <si>
    <t>radio</t>
  </si>
  <si>
    <t>Crew members were required to wear what type of space suit during testing after the incident?</t>
  </si>
  <si>
    <t>The university runs a number of academic institutions and programs apart from its undergraduate and postgraduate schools. It operates the University of Chicago Laboratory Schools (a private day school for K-12 students and day care), the Sonia Shankman Orthogenic School (a residential treatment program for those with behavioral and emotional problems), and four public charter schools on the South Side of Chicago administered by the university's Urban Education Institute. In addition, the Hyde Park Day School, a school for students with learning disabilities, maintains a location on the University of Chicago campus. Since 1983, the University of Chicago has maintained the University of Chicago School Mathematics Project, a mathematics program used in urban primary and secondary schools. The university runs a program called the Council on Advanced Studies in the Social Sciences and Humanities, which administers interdisciplinary workshops to provide a forum for graduate students, faculty, and visiting scholars to present scholarly work in progress. The university also operates the University of Chicago Press, the largest university press in the United States.</t>
  </si>
  <si>
    <t>On December 28, 2015, ESPN Deportes announced that they had reached an agreement with CBS and the NFL to be the exclusive Spanish-language broadcaster of the game, marking the third dedicated Spanish-language broadcast of the Super Bowl. Unlike NBC and Fox, CBS does not have a Spanish-language outlet of its own that could broadcast the game (though per league policy, a separate Spanish play-by-play call was carried on CBS's second audio program channel for over-the-air viewers). The game was called by ESPN Deportes' Monday Night Football commentary crew of Alvaro Martin and Raul Allegre, and sideline reporter John Sutcliffe. ESPN Deportes broadcast pre-game and post-game coverage, while Martin, Allegre, and Sutcliffe contributed English-language reports for ESPN's SportsCenter and Mike &amp; Mike.</t>
  </si>
  <si>
    <t>Ikh Zasag (</t>
  </si>
  <si>
    <t>What is the Irish term for private schools?</t>
  </si>
  <si>
    <t>nervous breakdown</t>
  </si>
  <si>
    <t>Who established the amount of prime numbers in existence?</t>
  </si>
  <si>
    <t>What two member nations of the Holy Roman Empire received Huguenot refugees?</t>
  </si>
  <si>
    <t>because he or she can then sell more medications to the patient</t>
  </si>
  <si>
    <t>An ambitious scheme of decoration was developed for these new areas: a series of mosaic figures depicting famous European artists of the Medieval and Renaissance period. These have now been removed to other areas of the museum. Also started were a series of frescoes by Lord Leighton: Industrial Arts as Applied to War 1878–1880 and Industrial Arts Applied to Peace, which was started but never finished. To the east of this were additional galleries, the decoration of which was the work of another designer Owen Jones, these were the Oriental Courts (covering India, China and Japan) completed in 1863, none of this decoration survives, part of these galleries became the new galleries covering the 19th century, opened in December 2006. The last work by Fowke was the design for the range of buildings on the north and west sides of the garden, this includes the refreshment rooms, reinstated as the Museum Café in 2006, with the silver gallery above, (at the time the ceramics gallery), the top floor has a splendid lecture theatre although this is seldom open to the general public. The ceramic staircase in the northwest corner of this range of buildings was designed by F. W. Moody and has architectural details of moulded and coloured pottery. All the work on the north range was designed and built in 1864–69. The style adopted for this part of the museum was Italian Renaissance, much use was made of terracotta, brick and mosaic, this north façade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Façade commemorating the Great Exhibition the profits from which helped to fund the museum, this is flanked by terracotta statue groups by Percival Ball. This building replaced Brompton Park House, which could then be demolished to make way for the south range.</t>
  </si>
  <si>
    <t>On 17 May 1899, Tesla moved to Colorado Springs, where he would have room for his high-voltage, high-frequency experiments; his lab was located near Foote Ave. and Kiowa St. He chose this location because the polyphase alternating current power distribution system had been introduced there and he had associates who were willing to give him all the power he needed without charging for it. Upon his arrival, he told reporters that he was conducting wireless telegraphy experiments, transmitting signals from Pikes Peak to Paris.[citation needed] The 1978 book Colorado Springs Notes, 1899–1900 contains descriptions of Tesla's experiments. On 15 June 1899, Tesla performed his first experiments at his Colorado Springs lab; he recorded his initial spark length at five inches long, but very thick and noisy.</t>
  </si>
  <si>
    <t>NBC affiliate KSEE</t>
  </si>
  <si>
    <t>1.6-million-year-old</t>
  </si>
  <si>
    <t>non-combustible</t>
  </si>
  <si>
    <t>squished his toes one hundred times for each foot</t>
  </si>
  <si>
    <t>chloroplasts of some hornworts and algae</t>
  </si>
  <si>
    <t>a post-secondary degree Bachelor's Degree</t>
  </si>
  <si>
    <t>the local church</t>
  </si>
  <si>
    <t xml:space="preserve">How did the United States plan to subdue imperialistic tendencies? </t>
  </si>
  <si>
    <t>a fumble</t>
  </si>
  <si>
    <t>Which Mongolian president lauded Genghis Khan on the 850th anniversary of the conqueror's birth?</t>
  </si>
  <si>
    <t>What workshop helped with the creation of the Doctor Who theme?</t>
  </si>
  <si>
    <t>Where would profits go in this new company?</t>
  </si>
  <si>
    <t>What list was Warsaw's Old Town inscribed onto in 1980?</t>
  </si>
  <si>
    <t>France laid siege to Montpellier in what year?</t>
  </si>
  <si>
    <t>Which NFL team represented the NFC at Super Bowl 50?</t>
  </si>
  <si>
    <t>Deadly Assassin and Mawdryn Undead</t>
  </si>
  <si>
    <t>Doritos</t>
  </si>
  <si>
    <t>Would opportunities be the same in each subject, or would they vary?</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</si>
  <si>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Frédéric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</si>
  <si>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</si>
  <si>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1773 or earlier</t>
  </si>
  <si>
    <t>Corliss steam engine</t>
  </si>
  <si>
    <t>reports of such pharmacies dispensing substandard products</t>
  </si>
  <si>
    <t>How is dioxygen most simply described?</t>
  </si>
  <si>
    <t>German New Guinea</t>
  </si>
  <si>
    <t>periods of lower global temperatures</t>
  </si>
  <si>
    <t>What's the party's take on Muslim history?</t>
  </si>
  <si>
    <t>explanations are reasonably well supported</t>
  </si>
  <si>
    <t>is the defense and justification of empire-building based on seemingly rational grounds</t>
  </si>
  <si>
    <t>What did Tesla accidentally cause?</t>
  </si>
  <si>
    <t>What building from the 19th century was destroyed between the 1950s and 1960s?</t>
  </si>
  <si>
    <t>Why were Northern Chinese ranked higher?</t>
  </si>
  <si>
    <t>1082</t>
  </si>
  <si>
    <t>Jewish</t>
  </si>
  <si>
    <t>automatically devolved</t>
  </si>
  <si>
    <t>74,000 (BP</t>
  </si>
  <si>
    <t>Who did Berengaria of Navarre marry?</t>
  </si>
  <si>
    <t>Donald F. Turner</t>
  </si>
  <si>
    <t>10% and 18%</t>
  </si>
  <si>
    <t>osmotic pressure</t>
  </si>
  <si>
    <t>natural obstacle</t>
  </si>
  <si>
    <t>Van Gend en Loos v Nederlandse Administratie der Belastingen</t>
  </si>
  <si>
    <t>20th Century</t>
  </si>
  <si>
    <t>the Yellow River</t>
  </si>
  <si>
    <t>in branched, linear, or other complex structures</t>
  </si>
  <si>
    <t>What is the name of the property that designates a number as being prime or not?</t>
  </si>
  <si>
    <t>closed</t>
  </si>
  <si>
    <t>admission to Standard One</t>
  </si>
  <si>
    <t>Where  by mass is oxygen a major part?</t>
  </si>
  <si>
    <t>The following four timelines show the geologic time scale. The first shows the entire time from the formation of the Earth to the present, but this compresses the most recent eon. Therefore, the second scale shows the most recent eon with an expanded scale. The second scale compresses the most recent era, so the most recent era is expanded in the third scale. Since the Quaternary is a very short period with short epochs, it is further expanded in the fourth scale. The second, third, and fourth timelines are therefore each subsections of their preceding timeline as indicated by asterisks. The Holocene (the latest epoch) is too small to be shown clearly on the third timeline on the right, another reason for expanding the fourth scale. The Pleistocene (P) epoch. Q stands for the Quaternary period.</t>
  </si>
  <si>
    <t>In the triplet form, O
2 molecules are paramagnetic. That is, they impart magnetic character to oxygen when it is in the presence of a magnetic field, because of the spin magnetic moments of the unpaired electrons in the molecule, and the negative exchange energy between neighboring O
2 molecules. Liquid oxygen is attracted to a magnet to a sufficient extent that, in laboratory demonstrations, a bridge of liquid oxygen may be supported against its own weight between the poles of a powerful magnet.[c]</t>
  </si>
  <si>
    <t>observer status</t>
  </si>
  <si>
    <t>What kind of light is inadequate for chloroplasts to divide?</t>
  </si>
  <si>
    <t>Which Pope sought to undermine Luther's theories?</t>
  </si>
  <si>
    <t>The economy of Victoria is highly diversified: service sectors including financial and property services, health, education, wholesale, retail, hospitality and manufacturing constitute the majority of employment. Victoria's total gross state product (GSP) is ranked second in Australia, although Victoria is ranked fourth in terms of GSP per capita because of its limited mining activity. Culturally, Melbourne is home to a number of museums, art galleries and theatres and is also described as the "sporting capital of Australia". The Melbourne Cricket Ground is the largest stadium in Australia, and the host of the 1956 Summer Olympics and the 2006 Commonwealth Games. The ground is also considered the "spiritual home" of Australian cricket and Australian rules football, and hosts the grand final of the Australian Football League (AFL) each year, usually drawing crowds of over 95,000 people. Victoria includes eight public universities, with the oldest, the University of Melbourne, having been founded in 1853.</t>
  </si>
  <si>
    <t>libertarian</t>
  </si>
  <si>
    <t>LeGrande</t>
  </si>
  <si>
    <t>a nonphotosynthetic eukaryote engulfed a chloroplast-containing alga but failed to digest it</t>
  </si>
  <si>
    <t>What is the famous rock called that the Rhine flows around?</t>
  </si>
  <si>
    <t>When did the 1973 oil crisis begin?</t>
  </si>
  <si>
    <t>What church is located at the corner of 4th and New Streets in Philadelphia?</t>
  </si>
  <si>
    <t>What is one common example of a critical complexity measure?</t>
  </si>
  <si>
    <t>4</t>
  </si>
  <si>
    <t>a private research university</t>
  </si>
  <si>
    <t>1961</t>
  </si>
  <si>
    <t>What are Harvard's Pell grant reserves?</t>
  </si>
  <si>
    <t>What voyager said that Mombasa was a great harbour and moored small crafts and great ships?</t>
  </si>
  <si>
    <t>gambling</t>
  </si>
  <si>
    <t>What year was the Maastricht treaty signed?</t>
  </si>
  <si>
    <t>to guard against armed groups</t>
  </si>
  <si>
    <t>Who demonstrated the Egg of Columbus?</t>
  </si>
  <si>
    <t>Strictly speaking who was included in DATANET 1</t>
  </si>
  <si>
    <t>Matt Smith</t>
  </si>
  <si>
    <t>1390</t>
  </si>
  <si>
    <t>General Teaching Council for Scotland</t>
  </si>
  <si>
    <t>yellow fever outbreaks</t>
  </si>
  <si>
    <t>What issues may prevent women from working outside the home or receiving education?</t>
  </si>
  <si>
    <t>Mayor W. Haydon Burns'</t>
  </si>
  <si>
    <t>What do green chloroplasts have instead of phycobilisomes?</t>
  </si>
  <si>
    <t>Members of the genus Dinophysis have a phycobilin-containing chloroplast taken from a cryptophyte. However, the cryptophyte is not an endosymbiont—only the chloroplast seems to have been taken, and the chloroplast has been stripped of its nucleomorph and outermost two membranes, leaving just a two-membraned chloroplast. Cryptophyte chloroplasts require their nucleomorph to maintain themselves, and Dinophysis species grown in cell culture alone cannot survive, so it is possible (but not confirmed) that the Dinophysis chloroplast is a kleptoplast—if so, Dinophysis chloroplasts wear out and Dinophysis species must continually engulf cryptophytes to obtain new chloroplasts to replace the old ones.</t>
  </si>
  <si>
    <t>The Asante and Lunda Empires were in which region?</t>
  </si>
  <si>
    <t>Daniel Burke departed from Capital Cities/ABC in February 1994, with Thomas Murphy taking over as president before ceding control to Robert Iger. September 1994 saw the debut of NYPD Blue, a gritty police procedural from Steven Bochco (who created Doogie Howser, M.D. and the critically pilloried Cop Rock for ABC earlier in the decade); lasting ten seasons, the drama became known for its boundary pushing of network television standards (particularly its occasional use of graphic language and rear nudity), which led some affiliates to initially refuse to air the show in its first season.</t>
  </si>
  <si>
    <t>How many lead authors does an IPCC report chapter have?</t>
  </si>
  <si>
    <t>Who found that Protestants voted for Nazis more than Catholics?</t>
  </si>
  <si>
    <t>After the founding of the colony of New South Wales in 1788, Australia was divided into an eastern half named New South Wales and a western half named New Holland, under the administration of the colonial government in Sydney. The first European settlement in the area later known as Victoria was established in October 1803 under Lieutenant-Governor David Collins at Sullivan Bay on Port Phillip. It consisted of 402 people (5 Government officials, 9 officers of marines, 2 drummers, and 39 privates, 5 soldiers' wives, and a child, 307 convicts, 17 convicts' wives, and 7 children). They had been sent from England in HMS Calcutta under the command of Captain Daniel Woodriff, principally out of fear that the French, who had been exploring the area, might establish their own settlement and thereby challenge British rights to the continent.</t>
  </si>
  <si>
    <t>receiver</t>
  </si>
  <si>
    <t>How long would this coalition last?</t>
  </si>
  <si>
    <t>"Small Business Big Game"</t>
  </si>
  <si>
    <t>How are chloroplasts in land plants usually shaped?</t>
  </si>
  <si>
    <t>public</t>
  </si>
  <si>
    <t>Under conditions such as high atmospheric CO2 concentrations,</t>
  </si>
  <si>
    <t>nine members,</t>
  </si>
  <si>
    <t>bought prints for broadcast</t>
  </si>
  <si>
    <t>In the wake of the Jacksonville fire, what did the Florida Governor do?</t>
  </si>
  <si>
    <t>rat population was insufficient to account for a bubonic plague pandemic</t>
  </si>
  <si>
    <t>Which Doctor returned for the "Children in Need" show?</t>
  </si>
  <si>
    <t>understanding the motivations of his rivals</t>
  </si>
  <si>
    <t>deterministic algorithms</t>
  </si>
  <si>
    <t>The Art Noveau style of glassware is represented by which two artists?</t>
  </si>
  <si>
    <t>What will a society with more equality have?</t>
  </si>
  <si>
    <t>When is the Warsaw Gallery Weekend held?</t>
  </si>
  <si>
    <t>What club won 118 tournaments and 15 national championships?</t>
  </si>
  <si>
    <t>punishments</t>
  </si>
  <si>
    <t>How thick are chloroplasts in land plants?</t>
  </si>
  <si>
    <t>in the relevant committee or committees</t>
  </si>
  <si>
    <t>late 1960s</t>
  </si>
  <si>
    <t>Which country's invasion show the insecurity of the Middle East?</t>
  </si>
  <si>
    <t>State Route 41</t>
  </si>
  <si>
    <t>devil's work,</t>
  </si>
  <si>
    <t>A Doctor Who show featuring Vincent Van Gogh was recognized by what award?</t>
  </si>
  <si>
    <t>What kind of markets did NBC Red serve?</t>
  </si>
  <si>
    <t>In 1937</t>
  </si>
  <si>
    <t>inequitable taxes</t>
  </si>
  <si>
    <t>Music of the Spheres</t>
  </si>
  <si>
    <t>How does the D-loop finish replicating?</t>
  </si>
  <si>
    <t>Fresno is the largest U.S. city not directly linked to an Interstate highway. When the Interstate Highway System was created in the 1950s, the decision was made to build what is now Interstate 5 on the west side of the Central Valley, and thus bypass many of the population centers in the region, instead of upgrading what is now State Route 99. Due to rapidly raising population and traffic in cities along SR 99, as well as the desirability of Federal funding, much discussion has been made to upgrade it to interstate standards and eventually incorporate it into the interstate system, most likely as Interstate 9. Major improvements to signage, lane width, median separation, vertical clearance, and other concerns are currently underway.</t>
  </si>
  <si>
    <t>An architect</t>
  </si>
  <si>
    <t>Along what geographic feature are nine residential houses located?</t>
  </si>
  <si>
    <t>What alumni wrote "The Good War"?</t>
  </si>
  <si>
    <t>40</t>
  </si>
  <si>
    <t>historical era</t>
  </si>
  <si>
    <t>cpDNA</t>
  </si>
  <si>
    <t>writing a five volume book</t>
  </si>
  <si>
    <t>How can you protest against big companies in a non violent way?</t>
  </si>
  <si>
    <t>Along with a desire for more steam pressure, what were early drivers looking to generate when they fastened safety valves down?</t>
  </si>
  <si>
    <t>Which comedian did a parody where a Dalek appears?</t>
  </si>
  <si>
    <t>What can a teacher with 25 years of experience make, in Euros?</t>
  </si>
  <si>
    <t>When did violence start in war?</t>
  </si>
  <si>
    <t>What did Roland Bainton say about Luther's position on Jews?</t>
  </si>
  <si>
    <t>What ended Turkish imperial Ambitions?</t>
  </si>
  <si>
    <t>a maze of semantical problems and grammatical niceties</t>
  </si>
  <si>
    <t>Geneva</t>
  </si>
  <si>
    <t>When was Warsaw ranked as the 32nd most liveable city in the world?</t>
  </si>
  <si>
    <t>What is the ranking of the military forces in Jacksonville?</t>
  </si>
  <si>
    <t xml:space="preserve">What hotel did the Panthers stay in during Super Bowl 50? </t>
  </si>
  <si>
    <t>soap sponge</t>
  </si>
  <si>
    <t>Who went to Fort Dusquesne in June 1755?</t>
  </si>
  <si>
    <t>Roughly contemporaneous with Maududi was the founding of the Muslim Brotherhood in Ismailiyah, Egypt in 1928 by Hassan al Banna. His was arguably the first, largest and most influential modern Islamic political/religious organization. Under the motto "the Qur'an is our constitution,"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t>
  </si>
  <si>
    <t>What did CBS provide of the Super Bowl 50 broadcast for its website, some apps and media players?</t>
  </si>
  <si>
    <t>Albany in December 1755</t>
  </si>
  <si>
    <t>Galileo Ferraris</t>
  </si>
  <si>
    <t>What had the Yuan used to print its money before bronze plates?</t>
  </si>
  <si>
    <t>the Sierra Freeway</t>
  </si>
  <si>
    <t>WLS</t>
  </si>
  <si>
    <t>When was Temüjin's half-brother Begter killed?</t>
  </si>
  <si>
    <t>increased wages</t>
  </si>
  <si>
    <t>TARDIS</t>
  </si>
  <si>
    <t>Mutual filed</t>
  </si>
  <si>
    <t>What building is the most interesting of the late 19th-century architecture?</t>
  </si>
  <si>
    <t>Earth's crustal rock</t>
  </si>
  <si>
    <t>Who initially took over as president of Capital Cities/ABC after Daniel Burke left?</t>
  </si>
  <si>
    <t>What percentile of gross domestic product is construction comprised of?</t>
  </si>
  <si>
    <t>What is usual form of oxygen bound compounds?</t>
  </si>
  <si>
    <t>How many folks died of plague in Newcastle in the 1630s?</t>
  </si>
  <si>
    <t>In which year was the The Forest tapestry created?</t>
  </si>
  <si>
    <t>How did Turabi build a strong economic base?</t>
  </si>
  <si>
    <t>How much gold did Victoria produce in the years of 1851-1860?</t>
  </si>
  <si>
    <t>20%</t>
  </si>
  <si>
    <t>Krasiński Palace Garden</t>
  </si>
  <si>
    <t>In front of the Presiding Officers' desk is the parliamentary mace, which is made from silver and inlaid with gold panned from Scottish rivers and inscribed with the words: Wisdom, Compassion, Justice and Integrity. The words There shall be a Scottish Parliament, which are the first words of the Scotland Act, are inscribed around the head of the mace, which has a formal ceremonial role in the meetings of Parliament, reinforcing the authority of the Parliament in its ability to make laws. Presented to the Scottish Parliament by the Queen upon its official opening in July 1999, the mace is displayed in a glass case suspended from the lid. At the beginning of each sitting in the chamber, the lid of the case is rotated so that the mace is above the glass, to symbolise that a full meeting of the Parliament is taking place.</t>
  </si>
  <si>
    <t>less civilized</t>
  </si>
  <si>
    <t>What two country's referendums curtailed a constitution for Europe?</t>
  </si>
  <si>
    <t>What is the name of the latest epoch?</t>
  </si>
  <si>
    <t>What do supporters of Islamism believe their views reflect?</t>
  </si>
  <si>
    <t>counterprogramming</t>
  </si>
  <si>
    <t>1960s and 1970s</t>
  </si>
  <si>
    <t>What are Los Angeles, Orange, San Diego, San Bernardino and Riverside?</t>
  </si>
  <si>
    <t>Late Medieval Catholic Church</t>
  </si>
  <si>
    <t>a power outage</t>
  </si>
  <si>
    <t>What receptors do tumor cells often have reduced concentrations of?</t>
  </si>
  <si>
    <t>Toghrul</t>
  </si>
  <si>
    <t>isolated</t>
  </si>
  <si>
    <t>Shoreditch</t>
  </si>
  <si>
    <t>Egyptian Islamic Jihad</t>
  </si>
  <si>
    <t>digital terrestrial</t>
  </si>
  <si>
    <t>How are decisions made on behave of the EU made?</t>
  </si>
  <si>
    <t>a commutator</t>
  </si>
  <si>
    <t>president of ABC's broadcasting division</t>
  </si>
  <si>
    <t>substantial privilege</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</si>
  <si>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</si>
  <si>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Fossils found in Kenya suggest that primates roamed the area more than 20 million years ago. Recent findings near Lake Turkana indicate that hominids such as Homo habilis (1.8 and 2.5 million years ago) and Homo erectus (1.8 million to 350,000 years ago) are possible direct ancestors of modern Homo sapiens, and lived in Kenya in the Pleistocene epoch. During excavations at Lake Turkana in 1984, paleoanthropologist Richard Leakey assisted by Kamoya Kimeu discovered the Turkana Boy, a 1.6-million-year-old fossil belonging to Homo erectus. Previous research on early hominids is particularly identified with Mary Leakey and Louis Leakey, who were responsible for the preliminary archaeological research at Olorgesailie and Hyrax Hill. Later work at the former site was undertaken by Glynn Isaac.</t>
  </si>
  <si>
    <t>justice and prosperity</t>
  </si>
  <si>
    <t>Which network broadcasted Super Bowl 50 in the U.S.?</t>
  </si>
  <si>
    <t>Where are some of the best medical facilities in East-Central Europe located?</t>
  </si>
  <si>
    <t>7.5</t>
  </si>
  <si>
    <t>In December 1901, Marconi successfully transmitted the letter S from England to Newfoundland, terminating Tesla's relationship with Morgan.[improper synthesis?] Over the next five years, Tesla wrote over 50 letters to Morgan, pleading for and demanding additional funding to complete the construction of Wardenclyffe. Tesla continued the project for another nine months. The tower was erected to its full 187 feet (57 m). In July 1903, Tesla wrote to Morgan that in addition to wireless communication, Wardenclyffe would be capable of wireless transmission of electric power. On 14 October 1904, Morgan finally replied through his secretary, stating, "It will be impossible for [me] to do anything in the matter," after Tesla had written to Morgan when the financier was meeting with the Archbishop of Canterbury in an attempt to appeal to his Christian spirit.</t>
  </si>
  <si>
    <t>Rumford medal</t>
  </si>
  <si>
    <t>Which university has its origins in a school dealing with medicine and surgery?</t>
  </si>
  <si>
    <t>the Arab–Israeli conflict released the underlying economic pressure on oil prices</t>
  </si>
  <si>
    <t>When did oil start getting priced in the terms of gold?</t>
  </si>
  <si>
    <t>Cypiddids are not what?</t>
  </si>
  <si>
    <t>What happened to his lab?</t>
  </si>
  <si>
    <t>Hendrix v Employee Insurance Institute</t>
  </si>
  <si>
    <t>the Tesla coil.</t>
  </si>
  <si>
    <t>What came into force after the new constitution was herald?</t>
  </si>
  <si>
    <t>Sanctifying Grace is that grace of God which sustains the believers in the journey toward Christian Perfection: a genuine love of God with heart, soul, mind, and strength, and a genuine love of our neighbors as ourselves. Sanctifying grace enables us to respond to God by leading a Spirit-filled and Christ-like life aimed toward love. Wesley never claimed this state of perfection for himself but instead insisted the attainment of perfection was possible for all Christians. Here the English Reformer parted company with both Luther and Calvin, who denied that a man would ever reach a state in this life in which he could not fall into sin. Such a man can lose all inclination to evil and can gain perfection in this life.</t>
  </si>
  <si>
    <t>a soap sponge</t>
  </si>
  <si>
    <t>What was William Johnson's Iroquois name?</t>
  </si>
  <si>
    <t>What did the initial first stages of the Saturn I tests carry?</t>
  </si>
  <si>
    <t>neither making maximum effort nor achieving results necessary</t>
  </si>
  <si>
    <t>What is this doctrine of God appointing authorities called?</t>
  </si>
  <si>
    <t>better health and longer lives</t>
  </si>
  <si>
    <t>What has partical physics made to describe sub-atomic forces?</t>
  </si>
  <si>
    <t>The urban renewal project was intended to help the residents of what neighborhood?</t>
  </si>
  <si>
    <t>the Eleventh Doctor</t>
  </si>
  <si>
    <t>What space station supported three manned missions in 1973-1974?</t>
  </si>
  <si>
    <t>What team was the AFC champion?</t>
  </si>
  <si>
    <t>commune</t>
  </si>
  <si>
    <t>Who were the Westwood one color analysts?</t>
  </si>
  <si>
    <t>Trio Tribe</t>
  </si>
  <si>
    <t>How many times did the Denver defense force Newton into turnovers?</t>
  </si>
  <si>
    <t>increasing importance of human capital in development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</si>
  <si>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太祖).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</si>
  <si>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Where do dikes form?</t>
  </si>
  <si>
    <t>four men attending Harvard College for every woman</t>
  </si>
  <si>
    <t xml:space="preserve">MPs representing English constituencies can only veto laws affecting which country? </t>
  </si>
  <si>
    <t>What movement did the fair held in June have its origins in?</t>
  </si>
  <si>
    <t>How many earthquakes does southern California experience in a year?</t>
  </si>
  <si>
    <t>How many times has Doctor Who won the Hugo for Best Dramatic Presentation?</t>
  </si>
  <si>
    <t>Imperialism is confused with what other term?</t>
  </si>
  <si>
    <t>What kind of allegations were brought after the 2007 election?</t>
  </si>
  <si>
    <t>Who did the SNP obtain 16 seats from?</t>
  </si>
  <si>
    <t>Maria Skłodowska-Curie Institute of Oncology</t>
  </si>
  <si>
    <t>International Association of Methodist-related Schools, Colleges, and Universities</t>
  </si>
  <si>
    <t>The Infinite Quest</t>
  </si>
  <si>
    <t>undulating their bodies</t>
  </si>
  <si>
    <t>When did Tesla depart from Colorado Springs?</t>
  </si>
  <si>
    <t>Mnemiopsis</t>
  </si>
  <si>
    <t>Tesla was renowned for his achievements and showmanship, eventually earning him a reputation in popular culture as an archetypal "mad scientist". His patents earned him a considerable amount of money, much of which was used to finance his own projects with varying degrees of success.:121,154 He lived most of his life in a series of New York hotels, through his retirement. Tesla died on 7 January 1943. His work fell into relative obscurity after his death, but in 1960 the General Conference on Weights and Measures named the SI unit of magnetic flux density the tesla in his honor. There has been a resurgence in popular interest in Tesla since the 1990s.</t>
  </si>
  <si>
    <t>Continental Edison Company</t>
  </si>
  <si>
    <t>Who's satellites would the new free-to-air channels be broadcast from?</t>
  </si>
  <si>
    <t>What is the second academic school of technology in Poland?</t>
  </si>
  <si>
    <t>School desegregation in the United States led to an increased number of students of what ethnicity in public schools?</t>
  </si>
  <si>
    <t>utterly debased</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</si>
  <si>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</si>
  <si>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Which Doctors were highlighted on the first audio releases on CD?</t>
  </si>
  <si>
    <t>Gilgamesh of Uruk and Atilla the Hun</t>
  </si>
  <si>
    <t>Scottish</t>
  </si>
  <si>
    <t>Who produced the illumination for the 1524 Charter that is in the V&amp;A library archive?</t>
  </si>
  <si>
    <t>The Harvard Business School and many of the university's athletics facilities, including Harvard Stadium, are located on a 358-acre (145 ha) campus opposite the Cambridge campus in Allston. The John W. Weeks Bridge is a pedestrian bridge over the Charles River connecting both campuses. The Harvard Medical School, Harvard School of Dental Medicine, and the Harvard School of Public Health are located on a 21-acre (8.5 ha) campus in the Longwood Medical and Academic Area approximately 3.3 miles (5.3 km) southwest of downtown Boston and 3.3 miles (5.3 km) south of the Cambridge campus.</t>
  </si>
  <si>
    <t>Who was Guy's Rival?</t>
  </si>
  <si>
    <t>in areas that are being actively deformed</t>
  </si>
  <si>
    <t>siblings' families</t>
  </si>
  <si>
    <t>How long has the African Great Lakes region been inhabited?</t>
  </si>
  <si>
    <t>the spread of diseases from Europe</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</si>
  <si>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</si>
  <si>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 xml:space="preserve">How many invertebrate species are known in Brazil alone? </t>
  </si>
  <si>
    <t>Who is the field director of the NFL?</t>
  </si>
  <si>
    <t>new entrants to the teaching profession</t>
  </si>
  <si>
    <t>the European Convention on Human Rights</t>
  </si>
  <si>
    <t xml:space="preserve">Gandhi often referenced Shelley's poem in his efforts to do what? </t>
  </si>
  <si>
    <t>Against what country was Kennedy promising superiority over?</t>
  </si>
  <si>
    <t>devil's work</t>
  </si>
  <si>
    <t>Steam engines</t>
  </si>
  <si>
    <t>an unknown incarnation of himself</t>
  </si>
  <si>
    <t>one darkened lens</t>
  </si>
  <si>
    <t>The effect of Luther's intervention was immediate. After the sixth sermon, the Wittenberg jurist Jerome Schurf wrote to the elector: "Oh, what joy has Dr. Martin's return spread among us! His words, through divine mercy, are bringing back every day misguided people into the way of the truth."</t>
  </si>
  <si>
    <t xml:space="preserve">Who was one French pro-reform Roman Catholic of the 15th century? </t>
  </si>
  <si>
    <t>Turks" (Muslims) and Catholics</t>
  </si>
  <si>
    <t>In what process is singlet oxygen usually formed?</t>
  </si>
  <si>
    <t>What is the estimated cost of the V&amp;A branded gallery?</t>
  </si>
  <si>
    <t>What is the name of the Egyptian papyrus that suggests that they may have had knowledge of prime numbers?</t>
  </si>
  <si>
    <t>Are ctenophores predators, vegetarian or parasitic?</t>
  </si>
  <si>
    <t>by those who feel that only doctors can reliably assess contraindications, risk/benefit ratios, and an individual's overall suitability for use of a medication</t>
  </si>
  <si>
    <t>apicomplexans</t>
  </si>
  <si>
    <t>Edgar Scherick</t>
  </si>
  <si>
    <t>21</t>
  </si>
  <si>
    <t>What did the LMP acronym stand for regarding the Block II launch positions?</t>
  </si>
  <si>
    <t>If angiosperm shoots are not exposed to the required light for chloroplast formation, proplastids may develop into an etioplast stage before becoming chloroplasts. An etioplast is a plastid that lacks chlorophyll, and has inner membrane invaginations that form a lattice of tubes in their stroma, called a prolamellar body. While etioplasts lack chlorophyll, they have a yellow chlorophyll precursor stocked. Within a few minutes of light exposure, the prolamellar body begins to reorganize into stacks of thylakoids, and chlorophyll starts to be produced. This process, where the etioplast becomes a chloroplast, takes several hours. Gymnosperms do not require light to form chloroplasts.</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</si>
  <si>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</si>
  <si>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On April 23, 1968, the United Methodist Church was created when the Evangelical United Brethren Church (represented by Bishop Reuben H. Mueller) and The Methodist Church (represented by Bishop Lloyd Christ Wicke) joined hands at the constituting General Conference in Dallas, Texas. With the words, "Lord of the Church, we are united in Thee, in Thy Church and now in The United Methodist Church" the new denomination was given birth by the two churches that had distinguished histories and influential ministries in various parts of the world.</t>
  </si>
  <si>
    <t>intracellular pathogenesis</t>
  </si>
  <si>
    <t>independent components</t>
  </si>
  <si>
    <t>How much money did the committee raise?</t>
  </si>
  <si>
    <t>21-minute</t>
  </si>
  <si>
    <t>1562</t>
  </si>
  <si>
    <t>1226</t>
  </si>
  <si>
    <t>Hospital pharmacies usually stock a larger range of medications, including more specialized medications</t>
  </si>
  <si>
    <t>Time Lord</t>
  </si>
  <si>
    <t>a setup phase in each involved node before any packet is transferred to establish the parameters of communication</t>
  </si>
  <si>
    <t>present-day Upstate New York and the Ohio Country</t>
  </si>
  <si>
    <t>Otrar</t>
  </si>
  <si>
    <t>Fay</t>
  </si>
  <si>
    <t>Who won the Ekstraklasa Championship in 2000?</t>
  </si>
  <si>
    <t>What were the fossils that were found to represent ctenphores missing that current ctenphora have?</t>
  </si>
  <si>
    <t>fled</t>
  </si>
  <si>
    <t>the low total pressures used</t>
  </si>
  <si>
    <t>Wardenclyffe Tower</t>
  </si>
  <si>
    <t>issues related to the substance of the statement</t>
  </si>
  <si>
    <t>Iroquois</t>
  </si>
  <si>
    <t>What is petrology?</t>
  </si>
  <si>
    <t>The Tyneside flat</t>
  </si>
  <si>
    <t>What cellular carrier had the only contract for the Super Bowl to be shown on smartphones?</t>
  </si>
  <si>
    <t>bad air</t>
  </si>
  <si>
    <t>Larger Catechism</t>
  </si>
  <si>
    <t>present-day Waterford, Pennsylvania</t>
  </si>
  <si>
    <t>26 years old</t>
  </si>
  <si>
    <t>When is Luther commemorated by the Church of England?</t>
  </si>
  <si>
    <t xml:space="preserve">Who did internet2 partner with </t>
  </si>
  <si>
    <t>Of whom, to Luther, was justification entirely the work ?</t>
  </si>
  <si>
    <t>Tyndale Bible</t>
  </si>
  <si>
    <t>eight years</t>
  </si>
  <si>
    <t>need for capitalist economies to constantly expand investment, material resources and manpower in such a way that necessitated colonial expansion.</t>
  </si>
  <si>
    <t>obey her conscience rather than human law</t>
  </si>
  <si>
    <t>skateboard</t>
  </si>
  <si>
    <t>can interpret the Treaties, but it cannot rule on their validity</t>
  </si>
  <si>
    <t>political and monetary dominance</t>
  </si>
  <si>
    <t>It also became clear that Apollo would outgrow the Canaveral launch facilities in Florida. The two newest launch complexes were already being built for the Saturn I and IB rockets at the northernmost end: LC-34 and LC-37. But an even bigger facility would be needed for the mammoth rocket required for the manned lunar mission, so land acquisition was started in July 1961 for a Launch Operations Center (LOC) immediately north of Canaveral at Merritt Island. The design, development and construction of the center was conducted by Kurt H. Debus, a member of Dr. Wernher von Braun's original V-2 rocket engineering team. Debus was named the LOC's first Director. Construction began in November 1962. Upon Kennedy's death, President Johnson issued an executive order on November 29, 1963, to rename the LOC and Cape Canaveral in honor of Kennedy.</t>
  </si>
  <si>
    <t>What was the final score of the game between the Panthers and the Seahawks?</t>
  </si>
  <si>
    <t>What is a common punishment in Singapore?</t>
  </si>
  <si>
    <t>Children of Earth</t>
  </si>
  <si>
    <t>Noetherian commutative ring</t>
  </si>
  <si>
    <t>Who led the third division in Khwarezmia alongside Genghis Khan himself?</t>
  </si>
  <si>
    <t>authorized a half-penny sales tax</t>
  </si>
  <si>
    <t>illustration of the Ten Commandments,</t>
  </si>
  <si>
    <t>What provides a solution to a list of integers provided as input that ned to be sorted?</t>
  </si>
  <si>
    <t>Who designed the illumination systems that Tesla Electric Light &amp; Manufacturing installed?</t>
  </si>
  <si>
    <t>powers that are "reserved" to the Parliament of the United Kingdom</t>
  </si>
  <si>
    <t>surnames</t>
  </si>
  <si>
    <t>What is a stromule?</t>
  </si>
  <si>
    <t>Several D&amp;B contractors</t>
  </si>
  <si>
    <t>Salafism posits that democracy is responsible for what type of horrible events of the 20th century?</t>
  </si>
  <si>
    <t>poor harvest</t>
  </si>
  <si>
    <t>the elected MSPs</t>
  </si>
  <si>
    <t>told them to leave</t>
  </si>
  <si>
    <t>General Assembly Hall of the Church of Scotland</t>
  </si>
  <si>
    <t>20</t>
  </si>
  <si>
    <t>In what year did Jerónimo de Ayanz y Beaumont receive a steam engine patent?</t>
  </si>
  <si>
    <t>QuickBooks</t>
  </si>
  <si>
    <t>the difference in potential energy between two different locations in space</t>
  </si>
  <si>
    <t>What did Tesla claim to be able to transmit?</t>
  </si>
  <si>
    <t>Cretaceous–Paleogene extinction</t>
  </si>
  <si>
    <t>questions and answers in the catechism so that the basics of Christian faith</t>
  </si>
  <si>
    <t>use the proceedings as a forum to inform the jury and the public of the political circumstances</t>
  </si>
  <si>
    <t>white flight</t>
  </si>
  <si>
    <t>Peyton Manning became the first quarterback ever to lead two different teams to multiple Super Bowls. He is also the oldest quarterback ever to play in a Super Bowl at age 39. The past record was held by John Elway, who led the Broncos to victory in Super Bowl XXXIII at age 38 and is currently Denver's Executive Vice President of Football Operations and General Manager.</t>
  </si>
  <si>
    <t>unanimity</t>
  </si>
  <si>
    <t>twelve</t>
  </si>
  <si>
    <t>What school model is Sweden notable for?</t>
  </si>
  <si>
    <t>50% more</t>
  </si>
  <si>
    <t>What are the two ABC affiliates for Kansas City, Missouri?</t>
  </si>
  <si>
    <t>What type of theatre is the Warsaw Fotoplastikon?</t>
  </si>
  <si>
    <t>Tesla coil</t>
  </si>
  <si>
    <t>Data Distribution Centre and the National Greenhouse Gas Inventories Programme</t>
  </si>
  <si>
    <t>1991</t>
  </si>
  <si>
    <t>Red ribbons in the logo were used to represent which division of ABC?</t>
  </si>
  <si>
    <t>a unit of Turkish defenders</t>
  </si>
  <si>
    <t>Which oil producer is a close ally of the United States?</t>
  </si>
  <si>
    <t>Despite his victory in Wittenberg, Luther was unable to stifle radicalism further afield. Preachers such as Zwickau prophet Nicholas Storch and Thomas Müntzer helped instigate the German Peasants' War of 1524–25, during which many atrocities were committed, often in Luther's name. There had been revolts by the peasantry on a smaller scale since the 15th century. Luther's pamphlets against the Church and the hierarchy, often worded with "liberal" phraseology, now led many peasants to believe he would support an attack on the upper classes in general. Revolts broke out in Franconia, Swabia, and Thuringia in 1524, even drawing support from disaffected nobles, many of whom were in debt. Gaining momentum under the leadership of radicals such as Müntzer in Thuringia and Michael Gaismair in Tyrol, the revolts turned into war.</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</si>
  <si>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Bạch Đằng (1288). The Chinese region of Fujian was the original home of the Chinese Tran (Chen) clan before they migrated under Trần Kinh (陳京, Chén Jīng) to Dai Viet and whose descendants established the Trần dynasty which ruled Vietnam Đại Việt, and certain members of the clan could still speak Chinese such as when a Yuan dynasty envoy had a meeting with the Chinese-speaking Trần prince Trần Quốc Tuấn (later King Trần Hưng Đạo)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</si>
  <si>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1599</t>
  </si>
  <si>
    <t>the integer factorization problem</t>
  </si>
  <si>
    <t>Who created an index of health and social problems?</t>
  </si>
  <si>
    <t>large compensation pools</t>
  </si>
  <si>
    <t>Sainte-Foy</t>
  </si>
  <si>
    <t>unequal</t>
  </si>
  <si>
    <t>the Doctor's third on-screen regeneration</t>
  </si>
  <si>
    <t>What was the average cost for a 30 second commercial during Super Bowl 50?</t>
  </si>
  <si>
    <t>the head of state and head of government</t>
  </si>
  <si>
    <t>a knight winning a bout</t>
  </si>
  <si>
    <t>a cycling festival</t>
  </si>
  <si>
    <t>at least 11,000 years</t>
  </si>
  <si>
    <t>1973</t>
  </si>
  <si>
    <t>World Methodist Council</t>
  </si>
  <si>
    <t>From what type of materials must liquid oxygen be separated?</t>
  </si>
  <si>
    <t>What is thought to have happened to the y. pestis that caused the black death?</t>
  </si>
  <si>
    <t>How well did Kenya do in the Beijing Olympics?</t>
  </si>
  <si>
    <t>Gymnosperms</t>
  </si>
  <si>
    <t>How does Kenya curb coruption?</t>
  </si>
  <si>
    <t>suspended sentences</t>
  </si>
  <si>
    <t>D'Olier Street is named after whom?</t>
  </si>
  <si>
    <t xml:space="preserve">Why did the university see a drop in applicants? </t>
  </si>
  <si>
    <t>the Silk Road</t>
  </si>
  <si>
    <t>the movements of nature</t>
  </si>
  <si>
    <t>What type of issues are members typically allowed to vote as they please?</t>
  </si>
  <si>
    <t>In the late 17th century, Robert Boyle proved that air is necessary for combustion. English chemist John Mayow (1641–1679) refined this work by showing that fire requires only a part of air that he called spiritus nitroaereus or just nitroaereus. In one experiment he found that placing either a mouse or a lit candle in a closed container over water caused the water to rise and replace one-fourteenth of the air's volume before extinguishing the subjects. From this he surmised that nitroaereus is consumed in both respiration and combustion.</t>
  </si>
  <si>
    <t>Saffir-Simpson Scale</t>
  </si>
  <si>
    <t>Why do the island archipelagos comprise a smaller number of electors?</t>
  </si>
  <si>
    <t>gaseous oxygen.</t>
  </si>
  <si>
    <t>Warsaw</t>
  </si>
  <si>
    <t>compounding/dispensing medications</t>
  </si>
  <si>
    <t>St. Elizabeth's</t>
  </si>
  <si>
    <t>Of what form are Sophie Germain primes?</t>
  </si>
  <si>
    <t>In what time frame did Tesla weigh almost exactly the same amount?</t>
  </si>
  <si>
    <t>Super Bowl XXXVIII.</t>
  </si>
  <si>
    <t>Phillips</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</si>
  <si>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</si>
  <si>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What is the seldom used force unit equal to one thousand newtons?</t>
  </si>
  <si>
    <t>What were the papal legate's orders from the Pope?</t>
  </si>
  <si>
    <t>Irish linen industry</t>
  </si>
  <si>
    <t>in collenchyma tissue</t>
  </si>
  <si>
    <t>Isaac Komnenos</t>
  </si>
  <si>
    <t>pastor</t>
  </si>
  <si>
    <t>quantum</t>
  </si>
  <si>
    <t>Why was Tetzel seeking money in Germany?</t>
  </si>
  <si>
    <t>What is the goal of Islamist groups like Hezbollah and Hamas?</t>
  </si>
  <si>
    <t>How is the process of allocating seats repeated until all available seats have been determined?</t>
  </si>
  <si>
    <t>fourteen</t>
  </si>
  <si>
    <t>in protest</t>
  </si>
  <si>
    <t>Wesel-Datteln Canal</t>
  </si>
  <si>
    <t>two weeks later</t>
  </si>
  <si>
    <t>LI</t>
  </si>
  <si>
    <t>1560</t>
  </si>
  <si>
    <t>1934</t>
  </si>
  <si>
    <t>In what expression can one expect to find DTIME(n)</t>
  </si>
  <si>
    <t>terrorist organisation</t>
  </si>
  <si>
    <t>What sports are Kenyans active in?</t>
  </si>
  <si>
    <t xml:space="preserve">How many members can voters choose to represent the constituency? </t>
  </si>
  <si>
    <t>pharynx</t>
  </si>
  <si>
    <t>Numerical</t>
  </si>
  <si>
    <t>the innate immune system</t>
  </si>
  <si>
    <t>The dominant explanation for the Black Death is the plague theory, which attributes the outbreak to Yersinia pestis, also responsible for an epidemic that began in southern China in 1865, eventually spreading to India. The investigation of the pathogen that caused the 19th-century plague was begun by teams of scientists who visited Hong Kong in 1894, among whom was the French-Swiss bacteriologist Alexandre Yersin, after whom the pathogen was named Yersinia pestis. The mechanism by which Y. pestis was usually transmitted was established in 1898 by Paul-Louis Simond and was found to involve the bites of fleas whose midguts had become obstructed by replicating Y. pestis several days after feeding on an infected host. This blockage results in starvation and aggressive feeding behaviour by the fleas, which repeatedly attempt to clear their blockage by regurgitation, resulting in thousands of plague bacteria being flushed into the feeding site, infecting the host. The bubonic plague mechanism was also dependent on two populations of rodents: one resistant to the disease, which act as hosts, keeping the disease endemic, and a second that lack resistance. When the second population dies, the fleas move on to other hosts, including people, thus creating a human epidemic.</t>
  </si>
  <si>
    <t>What major category of conservation result in an object that is more attractive and more comprehensible to the viewer?</t>
  </si>
  <si>
    <t>Who were responsible for the interior decorations of the Green Dining Room?</t>
  </si>
  <si>
    <t>Who proved that air is necessary for combustion?</t>
  </si>
  <si>
    <t>What is the approximate condenser temperature in a turbine?</t>
  </si>
  <si>
    <t>How popular was Coronation Street in the late 80's?</t>
  </si>
  <si>
    <t>separate spheres of knowledge</t>
  </si>
  <si>
    <t>Chargers</t>
  </si>
  <si>
    <t>hydrophilic amino acids</t>
  </si>
  <si>
    <t>What present-day area was this settlement near?</t>
  </si>
  <si>
    <t>helium</t>
  </si>
  <si>
    <t>public agencies</t>
  </si>
  <si>
    <t>sorcery</t>
  </si>
  <si>
    <t>What type of teaching would help the most with everyday life?</t>
  </si>
  <si>
    <t>When was the drainage basin of the Amazon believed to have split in the middle of South America?</t>
  </si>
  <si>
    <t>What major conquest did Tancred play a roll in?</t>
  </si>
  <si>
    <t>riches of Croesus</t>
  </si>
  <si>
    <t>after the Franco-German War,</t>
  </si>
  <si>
    <t>What date was Super Bowl Opening Night held?</t>
  </si>
  <si>
    <t>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Wróblewski and Karol Olszewski.</t>
  </si>
  <si>
    <t>Provisional Registration</t>
  </si>
  <si>
    <t>Ethics and Anti-Corruption Commission</t>
  </si>
  <si>
    <t>Who was the leader of Russia in the 1960's?</t>
  </si>
  <si>
    <t>Ondemar Dias</t>
  </si>
  <si>
    <t>Who did the FCC rule in favor of in the April 2000 dispute between Time Warner Cable and ABC?</t>
  </si>
  <si>
    <t>clergyman</t>
  </si>
  <si>
    <t>British commentators include, Darren Fletcher, Rocky Boiman and who else?</t>
  </si>
  <si>
    <t>When did the merger between ABC and Capital Cities gain federal approval?</t>
  </si>
  <si>
    <t>Doctor of Theology</t>
  </si>
  <si>
    <t>For the next several years, Hoelun and her children lived in poverty, surviving primarily on wild fruits and ox carcasses, marmots, and other small game killed by Temüjin and his brothers. Begter, Temujin's older half-brother, began to exercise the power of the eldest male in the family and eventually Temujin's mother Hoelun (not Begter's mother) would have to accept him as her husband if and when he became an adult. Temujin's resentment erupted during one hunting excursion that Temüjin and his brother Khasar killed their half-brother Begter.</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</si>
  <si>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</si>
  <si>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 xml:space="preserve">Why is the node requiered to look up </t>
  </si>
  <si>
    <t>three bodies of water</t>
  </si>
  <si>
    <t>When was Qutb executed?</t>
  </si>
  <si>
    <t>formalism</t>
  </si>
  <si>
    <t>What underground railways cover much of Tyne and Wear?</t>
  </si>
  <si>
    <t>a turbine connected to an electrical generator</t>
  </si>
  <si>
    <t>The Peruvian Amazon indigienous people are one group struggling in the Amazon, what is another group?</t>
  </si>
  <si>
    <t>divinity of Jesus</t>
  </si>
  <si>
    <t>Cambrian time</t>
  </si>
  <si>
    <t>What are the secretions commonly called?</t>
  </si>
  <si>
    <t>the University of Chicago College Bowl Team</t>
  </si>
  <si>
    <t>He later attributed his decision to an event: on 2 July 1505, he was returning to university on horseback after a trip home. During a thunderstorm, a lightning bolt struck near him. Later telling his father he was terrified of death and divine judgment, he cried out, "Help! Saint Anna, I will become a monk!" He came to view his cry for help as a vow he could never break. He left law school, sold his books, and entered a closed Augustinian cloister in Erfurt on 17 July 1505. One friend blamed the decision on Luther's sadness over the deaths of two friends. Luther himself seemed saddened by the move. Those who attended a farewell supper walked him to the door of the Black Cloister. "This day you see me, and then, not ever again," he said. His father was furious over what he saw as a waste of Luther's education.</t>
  </si>
  <si>
    <t>Jean Auguste Dominique Ingres</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</si>
  <si>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</si>
  <si>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where  is the mass of the object,  is the velocity of the object and  is the distance to the center of the circular path and  is the unit vector pointing in the radial direction outwards from the center. This means that the unbalanced centripetal force felt by any object is always directed toward the center of the curving path. Such forces act perpendicular to the velocity vector associated with the motion of an object, and therefore do not change the speed of the object (magnitude of the velocity), but only the direction of the velocity vector. The unbalanced force that accelerates an object can be resolved into a component that is perpendicular to the path, and one that is tangential to the path. This yields both the tangential force, which accelerates the object by either slowing it down or speeding it up, and the radial (centripetal) force, which changes its direction.</t>
  </si>
  <si>
    <t>Where does Hamas originate?</t>
  </si>
  <si>
    <t>194</t>
  </si>
  <si>
    <t>Kenya ranks low on Transparency International's Corruption Perception Index (CPI), a metric which attempts to gauge the prevalence of public sector corruption in various countries. In 2012, the nation placed 139th out of 176 total countries in the CPI, with a score of 27/100. However, there are several rather significant developments with regards to curbing corruption from the Kenyan government, for instance, the establishment of a new and independent Ethics and Anti-Corruption Commission (EACC).</t>
  </si>
  <si>
    <t>Jay Berwanger</t>
  </si>
  <si>
    <t>Hans Hillerbrand</t>
  </si>
  <si>
    <t>What does Kitab Rudjdjar mean in English?</t>
  </si>
  <si>
    <t>in the 1050s</t>
  </si>
  <si>
    <t>What is the shortened name of the annual yacht race that takes place?</t>
  </si>
  <si>
    <t>shrink</t>
  </si>
  <si>
    <t>Collingwood Street</t>
  </si>
  <si>
    <t>How much of the population in the Middle East died of the plague?</t>
  </si>
  <si>
    <t>What could be attributed to gravity acceleration around the Earth?</t>
  </si>
  <si>
    <t>moraine</t>
  </si>
  <si>
    <t>A professional fundraiser</t>
  </si>
  <si>
    <t>What certificate is often earned after graduating high school?</t>
  </si>
  <si>
    <t>form business partnerships with physicians or give them "kickback" payments</t>
  </si>
  <si>
    <t>What proclamation abolished protestantism in France?</t>
  </si>
  <si>
    <t>metric slug</t>
  </si>
  <si>
    <t xml:space="preserve">Which network broadcasted the 50th Super Bowl game? </t>
  </si>
  <si>
    <t>WABM-DT2/WDBB-DT2 in the Birmingham market</t>
  </si>
  <si>
    <t>Edward Burne-Jones</t>
  </si>
  <si>
    <t>Juris Hartmanis and Richard Stearns</t>
  </si>
  <si>
    <t>When did the UK formally subscribe to the Agreement on Social Policy?</t>
  </si>
  <si>
    <t>Hillman</t>
  </si>
  <si>
    <t>United Nations Environment Programme (UNEP) and the World Meteorological Organization (WMO)</t>
  </si>
  <si>
    <t>1901</t>
  </si>
  <si>
    <t>Sky Q Hub</t>
  </si>
  <si>
    <t>Radio Lollipop</t>
  </si>
  <si>
    <t>At what time is the Harvard-Yale rivalry set aside?</t>
  </si>
  <si>
    <t>What ABC action series went up against NBC's variety shows in Fall 1957?</t>
  </si>
  <si>
    <t>In this equation, a dimensional constant  is used to describe the relative strength of gravity. This constant has come to be known as Newton's Universal Gravitation Constant, though its value was unknown in Newton's lifetime. Not until 1798 was Henry Cavendish able to make the first measurement of  using a torsion balance; this was widely reported in the press as a measurement of the mass of the Earth since knowing  could allow one to solve for the Earth's mass given the above equation. Newton, however, realized that since all celestial bodies followed the same laws of motion, his law of gravity had to be universal. Succinctly stated, Newton's Law of Gravitation states that the force on a spherical object of mass  due to the gravitational pull of mass  is</t>
  </si>
  <si>
    <t>Where was Super Bowl 50 held?</t>
  </si>
  <si>
    <t>battles at Lagos and Quiberon Bay</t>
  </si>
  <si>
    <t>questions and answers</t>
  </si>
  <si>
    <t>Highways built in the Amazon rainforest were built primarily for what kind of farmers?</t>
  </si>
  <si>
    <t>programmed cell death</t>
  </si>
  <si>
    <t>In which case did a German man claim the right to live in Netherlands where he was a volunteer plumber?</t>
  </si>
  <si>
    <t>What are the two symbols that signify pharmacy in English-speaking countries?</t>
  </si>
  <si>
    <t>the most seats in the Legislative Assembly</t>
  </si>
  <si>
    <t>What religion were the Normans</t>
  </si>
  <si>
    <t>What type of medicine did otachi focus on?</t>
  </si>
  <si>
    <t>The Yuan dynasty (Chinese: 元朝; pinyin: Yuán Cháo), officially the Great Yuan (Chinese: 大元; pinyin: Dà Yuán;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</si>
  <si>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suburban</t>
  </si>
  <si>
    <t>in cellular respiration</t>
  </si>
  <si>
    <t>What is one factor that increases the importance of the pharmacy performing at a high level?</t>
  </si>
  <si>
    <t>creation of modern Balkan and Middle Eastern states</t>
  </si>
  <si>
    <t>What is CSNET</t>
  </si>
  <si>
    <t>How many schools and institutions does the church operate overseas?</t>
  </si>
  <si>
    <t>John Hurt</t>
  </si>
  <si>
    <t>Which cathedral is located in Fenham?</t>
  </si>
  <si>
    <t>Puritan ministers</t>
  </si>
  <si>
    <t>Butterflies were electrified</t>
  </si>
  <si>
    <t>The evolutionary strategy used by cicadas of the genus Magicicada make use of prime numbers. These insects spend most of their lives as grubs underground. They only pupate and then emerge from their burrows after 7, 13 or 17 years, at which point they fly about, breed, and then die after a few weeks at most. The logic for this is believed to be that the prime number intervals between emergences make it very difficult for predators to evolve that could specialize as predators on Magicicadas. If Magicicadas appeared at a non-prime number intervals, say every 12 years, then predators appearing every 2, 3, 4, 6, or 12 years would be sure to meet them. Over a 200-year period, average predator populations during hypothetical outbreaks of 14- and 15-year cicadas would be up to 2% higher than during outbreaks of 13- and 17-year cicadas. Though small, this advantage appears to have been enough to drive natural selection in favour of a prime-numbered life-cycle for these insects.</t>
  </si>
  <si>
    <t>wage or salary</t>
  </si>
  <si>
    <t>"distributive efficiency"</t>
  </si>
  <si>
    <t>What is the English translation of tawhid?</t>
  </si>
  <si>
    <t>Prophet Mohammad and his successors</t>
  </si>
  <si>
    <t>Who did Dinwiddie order to address French in Virginia territory?</t>
  </si>
  <si>
    <t>Saudi Arabia</t>
  </si>
  <si>
    <t>How many of the Scottish electorate would need to for it on the referendum?</t>
  </si>
  <si>
    <t>icosahedral</t>
  </si>
  <si>
    <t>Mechanical stoker</t>
  </si>
  <si>
    <t>1249</t>
  </si>
  <si>
    <t>What country is this teaching subject discussing?</t>
  </si>
  <si>
    <t>Kalka River</t>
  </si>
  <si>
    <t>Which country besides the Cuba did the United states try to annex in 1898?</t>
  </si>
  <si>
    <t>Indianapolis Colts</t>
  </si>
  <si>
    <t>How many inhabitants does the Los Angeles area contain?</t>
  </si>
  <si>
    <t>over 600,000</t>
  </si>
  <si>
    <t>Who had the idea of a natural state for objects at rest?</t>
  </si>
  <si>
    <t>in areas its forces occupied in Eastern Europe</t>
  </si>
  <si>
    <t>What position in the government does Robert Gates hold?</t>
  </si>
  <si>
    <t>How are cyanobacteria sometimes wrongly described?</t>
  </si>
  <si>
    <t>symbolically present.</t>
  </si>
  <si>
    <t>disappearance of a strong ally and counterweight to British expansion</t>
  </si>
  <si>
    <t>Three</t>
  </si>
  <si>
    <t>European Court of Justice</t>
  </si>
  <si>
    <t>The Scottish Parliament</t>
  </si>
  <si>
    <t>committee</t>
  </si>
  <si>
    <t>What is the second busiest container port in the United States?</t>
  </si>
  <si>
    <t>Which Count did the Prince strike an arrangement with?</t>
  </si>
  <si>
    <t>Metropolitan Police Authority</t>
  </si>
  <si>
    <t>computational complexity theory</t>
  </si>
  <si>
    <t>Who was one of the most famous people born in Warsaw?</t>
  </si>
  <si>
    <t>1530</t>
  </si>
  <si>
    <t>newly accessioned</t>
  </si>
  <si>
    <t>Hulagu Khan</t>
  </si>
  <si>
    <t>Who did the Dutch fight in the Dutch Revolt?</t>
  </si>
  <si>
    <t>How was Luther's health for the years of 1531 to 1546?</t>
  </si>
  <si>
    <t>Beroida are known by what other name?</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</si>
  <si>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</si>
  <si>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What techniques did Chinese medicine include?</t>
  </si>
  <si>
    <t>In the fall quarter of 2014, how many students signed up for the college?</t>
  </si>
  <si>
    <t>The 2013–14 season was a slight improvement for ABC with three new hits in The Goldbergs, Agents of S.H.I.E.L.D. and Resurrection, all of which were renewed; however, that season saw the cancellations of holdovers The Neighbors (which languished in its new Friday time slot despite being bookended by Last Man Standing and Shark Tank) and Suburgatory. NBC, which had lagged behind ABC for eight years, finished the season in first place in the 18–49 demographic for the first time since 2004, and in second place in total viewership behind long-dominant CBS. ABC itself would finish the season in third place as Fox crashed to fourth in both demographics.</t>
  </si>
  <si>
    <t>What would be Odinga's role in the government?</t>
  </si>
  <si>
    <t>What must be done to make non public lawbreaking acknowledged as civil disobedience?</t>
  </si>
  <si>
    <t>to denote unknown or unexplored territory</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</si>
  <si>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</si>
  <si>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n2 + 1.</t>
  </si>
  <si>
    <t>Stephen Kemble</t>
  </si>
  <si>
    <t>Who took command of French in spring of 1753?</t>
  </si>
  <si>
    <t>To which year does the new sculpture galleries now encompass?</t>
  </si>
  <si>
    <t>offer a higher quality of education</t>
  </si>
  <si>
    <t>What was intended to take a CSM and LM, fully fueled, to the moon?</t>
  </si>
  <si>
    <t>When did the Warsaw area enlargement take place?</t>
  </si>
  <si>
    <t>oxygen masks</t>
  </si>
  <si>
    <t>Davros</t>
  </si>
  <si>
    <t>What did Luther try to do for the Jews?</t>
  </si>
  <si>
    <t>What is the gender income inequality in Bahrain?</t>
  </si>
  <si>
    <t>recurring and life-threatening infections</t>
  </si>
  <si>
    <t>compound</t>
  </si>
  <si>
    <t>How are eggs and sperm released?</t>
  </si>
  <si>
    <t>Amazon_rainforest</t>
  </si>
  <si>
    <t>What 2015 NFL team one the AFC playoff?</t>
  </si>
  <si>
    <t>eugenics</t>
  </si>
  <si>
    <t>secular authorities.</t>
  </si>
  <si>
    <t>Johannes Bugenhagen and Philipp Melanchthon</t>
  </si>
  <si>
    <t>power windows</t>
  </si>
  <si>
    <t>One of competing model for cpDNA replication asserts that most cpDNA is linear and participates in homologous recombination and replication structures similar to bacteriophage T4. It has been established that some plants have linear cpDNA, such as maize, and that more species still contain complex structures that scientists do not yet understand. When the original experiments on cpDNA were performed, scientists did notice linear structures; however, they attributed these linear forms to broken circles. If the branched and complex structures seen in cpDNA experiments are real and not artifacts of concatenated circular DNA or broken circles, then a D-loop mechanism of replication is insufficient to explain how those structures would replicate. At the same time, homologous recombination does not expand the multiple A --&gt; G gradients seen in plastomes. Because of the failure to explain the deamination gradient as well as the numerous plant species that have been shown to have circular cpDNA, the predominant theory continues to hold that most cpDNA is circular and most likely replicates via a D loop mechanism.</t>
  </si>
  <si>
    <t>What is malum in se considerations?</t>
  </si>
  <si>
    <t>the nobles</t>
  </si>
  <si>
    <t>Which species moves by a darting motion?</t>
  </si>
  <si>
    <t>When did the Untouchables debut on ABC?</t>
  </si>
  <si>
    <t>helps many proteins bind the polypeptide</t>
  </si>
  <si>
    <t>What type of conservation include providing advice on the handling of items?</t>
  </si>
  <si>
    <t>What's Thomas Piketty's job?</t>
  </si>
  <si>
    <t>(up to a thousand times as many) inside the thylakoid system than in the stroma</t>
  </si>
  <si>
    <t>until the end of the current Parliament or if either of the parties withdraws from the deal before then</t>
  </si>
  <si>
    <t>Of what does the covalent double bond result from ?</t>
  </si>
  <si>
    <t>Eleutherian gunpowder mills</t>
  </si>
  <si>
    <t>the Commentaries on the Classic of Changes</t>
  </si>
  <si>
    <t>through Kingdom of Qocho and Tibetan intermediaries</t>
  </si>
  <si>
    <t>512</t>
  </si>
  <si>
    <t>What policy did the Kelven Report contain?</t>
  </si>
  <si>
    <t>How is income inequality generally viewed by workers?</t>
  </si>
  <si>
    <t>What planet seemed to buck Newton's gravitational laws?</t>
  </si>
  <si>
    <t>Who suggested that imperialism was the "highest" form of capitalism?</t>
  </si>
  <si>
    <t>What are two examples of nonself entities in accordance with Frank Burnet's theory?</t>
  </si>
  <si>
    <t>a fixed set of rules to determine its future actions</t>
  </si>
  <si>
    <t>Prime numbers give rise to two more general concepts that apply to elements of any commutative ring R, an algebraic structure where addition, subtraction and multiplication are defined: prime elements and irreducible elements. An element p of R is called prime element if it is neither zero nor a unit (i.e., does not have a multiplicative inverse) and satisfies the following requirement: given x and y in R such that p divides the product xy, then p divides x or y. An element is irreducible if it is not a unit and cannot be written as a product of two ring elements that are not units. In the ring Z of integers, the set of prime elements equals the set of irreducible elements, which is</t>
  </si>
  <si>
    <t>The Shah's army was split by diverse internecine feuds and by the Shah's decision to divide his army into small groups concentrated in various cities. This fragmentation was decisive in Khwarezmia's defeats, as it allowed the Mongols, although exhausted from the long journey, to immediately set about defeating small fractions of the Khwarzemi forces instead of facing a unified defense. The Mongol army quickly seized the town of Otrar, relying on superior strategy and tactics. Genghis Khan ordered the wholesale massacre of many of the civilians, enslaved the rest of the population and executed Inalchuq by pouring molten silver into his ears and eyes, as retribution for his actions. Near the end of the battle the Shah fled rather than surrender. Genghis Khan ordered Subutai and Jebe to hunt him down, giving them 20,000 men and two years to do this. The Shah died under mysterious circumstances on a small island within his empire.</t>
  </si>
  <si>
    <t>What was given as the cause of death?</t>
  </si>
  <si>
    <t>np≡n (mod p) for any n if p is a prime number</t>
  </si>
  <si>
    <t>What would someone who is civilly disobedient do in court?</t>
  </si>
  <si>
    <t>technical problems</t>
  </si>
  <si>
    <t>DVB-S2</t>
  </si>
  <si>
    <t>marginal value added of each economic actor</t>
  </si>
  <si>
    <t>Eurocities</t>
  </si>
  <si>
    <t>scalar quantities</t>
  </si>
  <si>
    <t>Light</t>
  </si>
  <si>
    <t>In what conditions were forces first measured historically?</t>
  </si>
  <si>
    <t>What is another word for diatom?</t>
  </si>
  <si>
    <t>Treaty on European Union (TEU) and the Treaty on the Functioning of the European Union (TFEU)</t>
  </si>
  <si>
    <t>upper sixth</t>
  </si>
  <si>
    <t>distribution</t>
  </si>
  <si>
    <t>Trevor Martin</t>
  </si>
  <si>
    <t>Greenland</t>
  </si>
  <si>
    <t>its inferior</t>
  </si>
  <si>
    <t>Coldplay.</t>
  </si>
  <si>
    <t>826</t>
  </si>
  <si>
    <t>shopping destinations</t>
  </si>
  <si>
    <t>What year did Iqbal return to Lahore?</t>
  </si>
  <si>
    <t>How much of the water flow does the Waal get from the Rhine?</t>
  </si>
  <si>
    <t>22,392 km2 or 8,646 sq mi</t>
  </si>
  <si>
    <t>Pope Leo X was used to reformers and heretics, and he responded slowly, "with great care as is proper." Over the next three years he deployed a series of papal theologians and envoys against Luther, which served only to harden the reformer's anti-papal theology. First, the Dominican theologian Sylvester Mazzolini drafted a heresy case against Luther, whom Leo then summoned to Rome. The Elector Frederick persuaded the pope to have Luther examined at Augsburg, where the Imperial Diet was held. There, in October 1518, under questioning by papal legate Cardinal Cajetan Luther stated that he did not consider the papacy part of the biblical Church because historistical interpretation of Bible prophecy concluded that the papacy was the Antichrist. The prophecies concerning the Antichrist soon became the center of controversy. The hearings degenerated into a shouting match. More than his writing the 95 Theses, Luther's confrontation with the church cast him as an enemy of the pope. Cajetan's original instructions had been to arrest Luther if he failed to recant, but the legate desisted from doing so. Luther slipped out of the city at night, unbeknownst to Cajetan.</t>
  </si>
  <si>
    <t>expulsion of the Acadians</t>
  </si>
  <si>
    <t>Who is VideoGuard owned by?</t>
  </si>
  <si>
    <t>When was there an attempt to reform the law of the EU?</t>
  </si>
  <si>
    <t>1 a.m.</t>
  </si>
  <si>
    <t>94 pounds</t>
  </si>
  <si>
    <t>Who was Tesla trying to photograph when he accidentally took the X-Ray image?</t>
  </si>
  <si>
    <t>If one computer model turns out correct, by what year would there be a nearly complete loss of rainforest in the Amazon basin?</t>
  </si>
  <si>
    <t>In accordance with his father's wishes, Luther enrolled in law school at the same university that year but dropped out almost immediately, believing that law represented uncertainty. Luther sought assurances about life and was drawn to theology and philosophy, expressing particular interest in Aristotle, William of Ockham, and Gabriel Biel. He was deeply influenced by two tutors, Bartholomaeus Arnoldi von Usingen and Jodocus Trutfetter, who taught him to be suspicious of even the greatest thinkers and to test everything himself by experience. Philosophy proved to be unsatisfying, offering assurance about the use of reason but none about loving God, which to Luther was more important. Reason could not lead men to God, he felt, and he thereafter developed a love-hate relationship with Aristotle over the latter's emphasis on reason. For Luther, reason could be used to question men and institutions, but not God. Human beings could learn about God only through divine revelation, he believed, and Scripture therefore became increasingly important to him.</t>
  </si>
  <si>
    <t>Kenya’s armed forces</t>
  </si>
  <si>
    <t>Dutch law said only people established in the Netherlands could give legal advice</t>
  </si>
  <si>
    <t>What happened to nearby light bulbs?</t>
  </si>
  <si>
    <t>Halle</t>
  </si>
  <si>
    <t>when was the Victoria and Albert museum founded?</t>
  </si>
  <si>
    <t>elevated partial pressures</t>
  </si>
  <si>
    <t>altitude chamber</t>
  </si>
  <si>
    <t>When did the different colonies come together and form Kenya?</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</si>
  <si>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</si>
  <si>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Telenet was incorporated in 1973 and started operations in 1975. It went public in 1979 and was then sold to GTE</t>
  </si>
  <si>
    <t>Where did Tesla believe his talents came from?</t>
  </si>
  <si>
    <t>Where is Kenya located?</t>
  </si>
  <si>
    <t>What happened as a result of the Russo-Japanese War?</t>
  </si>
  <si>
    <t>doctrine of justification</t>
  </si>
  <si>
    <t>in regional cities</t>
  </si>
  <si>
    <t>Thomas Reid and Dugald Stewart</t>
  </si>
  <si>
    <t>How many fraternities form the University of Chicago Interfraternity Council?</t>
  </si>
  <si>
    <t>What does Luther write that this life doesn't have?</t>
  </si>
  <si>
    <t>All Recognized Student Organizations, from the University of Chicago Scavenger Hunt to Model UN, in addition to academic teams, sports club, arts groups, and more are funded by The University of Chicago Student Government. Student Government is made up of graduate and undergraduate students elected to represent members from their respective academic unit. It is led by an Executive Committee, chaired by a President with the assistance of two Vice Presidents, one for Administration and the other for Student Life, elected together as a slate by the student body each spring. Its annual budget is greater than $2 million.</t>
  </si>
  <si>
    <t>The Beroida</t>
  </si>
  <si>
    <t>at a luncheon in his honor</t>
  </si>
  <si>
    <t>easier credit to the lower and middle income earners</t>
  </si>
  <si>
    <t>WTSP</t>
  </si>
  <si>
    <t>more efficient solutions</t>
  </si>
  <si>
    <t>annually in June</t>
  </si>
  <si>
    <t>What British Prime minister advisor is also a university alumni member?</t>
  </si>
  <si>
    <t>Who voted on the venue for Super Bowl 50?</t>
  </si>
  <si>
    <t>client</t>
  </si>
  <si>
    <t>What type of immune systems are found in all plants and animals?</t>
  </si>
  <si>
    <t>somewhere between</t>
  </si>
  <si>
    <t>What did Disney rename Capital City/ABC after first acquiring the company?</t>
  </si>
  <si>
    <t>Decision Time</t>
  </si>
  <si>
    <t>Who handled pre-game coverage on Westwood One?</t>
  </si>
  <si>
    <t>How many teams have won 15 regular season games since the 16-game schedule was adopted?</t>
  </si>
  <si>
    <t>What is the paper written by Richard Karp in 1972 that ushered in a new era of understanding between intractability and NP-complete problems?</t>
  </si>
  <si>
    <t>Luther's 1538 hymnic version of the Lord's Prayer, "Vater unser im Himmelreich", corresponds exactly to Luther's explanation of the prayer in the Small Catechism, with one stanza for each of the seven prayer petitions, plus opening and closing stanzas. The hymn functioned both as a liturgical setting of the Lord's Prayer and as a means of examining candidates on specific catechism questions. The extant manuscript shows multiple revisions, demonstrating Luther's concern to clarify and strengthen the text and to provide an appropriately prayerful tune. Other 16th- and 20th-century versifications of the Lord's Prayer have adopted Luther's tune, although modern texts are considerably shorter.</t>
  </si>
  <si>
    <t>a photosynthetic cyanobacterium that was engulfed by an early eukaryotic cell</t>
  </si>
  <si>
    <t>What device is a dry cooling tower similar to?</t>
  </si>
  <si>
    <t>balance of microbial populations</t>
  </si>
  <si>
    <t>What are the proteins that organisms use to identify molecules associated with pathogens?</t>
  </si>
  <si>
    <t>significant new evidence or events that change our understanding of climate science</t>
  </si>
  <si>
    <t>What is  DECnet</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</si>
  <si>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</si>
  <si>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as irrational and backward</t>
  </si>
  <si>
    <t>Which cultures are represented in the V&amp;A's collections?</t>
  </si>
  <si>
    <t>Jones et al. and Briffa reconstructions</t>
  </si>
  <si>
    <t>What number did early Greeks not regard as a true number?</t>
  </si>
  <si>
    <t>broadcasting</t>
  </si>
  <si>
    <t>What should the punishment rely on instead in a just society?</t>
  </si>
  <si>
    <t>What was the newer county added to the list?</t>
  </si>
  <si>
    <t>While producing oxygen, what gas does a zeolite sieve absorb?</t>
  </si>
  <si>
    <t>magnetic field</t>
  </si>
  <si>
    <t>The packet header can be small, as it only needs to contain this code and any information, such as length, timestamp, or sequence number</t>
  </si>
  <si>
    <t>the Pac-12</t>
  </si>
  <si>
    <t>The Romans kept eight legions in five bases along the Rhine. The actual number of legions present at any base or in all, depended on whether a state or threat of war existed. Between about AD 14 and 180, the assignment of legions was as follows: for the army of Germania Inferior, two legions at Vetera (Xanten), I Germanica and XX Valeria (Pannonian troops); two legions at oppidum Ubiorum ("town of the Ubii"), which was renamed to Colonia Agrippina, descending to Cologne, V Alaudae, a Celtic legion recruited from Gallia Narbonensis and XXI, possibly a Galatian legion from the other side of the empire.</t>
  </si>
  <si>
    <t>pseudorandom</t>
  </si>
  <si>
    <t>Florida</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</si>
  <si>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Jerónimo de Ayanz y Beaumont received patents in 1606 for fifty steam powered inventions, including a water pump for draining inundated mines. Denis Papin, a Huguenot refugee, did some useful work on the steam digester in 1679, and first used a piston to raise weights in 1690.</t>
  </si>
  <si>
    <t>1518</t>
  </si>
  <si>
    <t>The United Methodist Church, along with other Methodist churches, condemns capital punishment, saying that it cannot accept retribution or social vengeance as a reason for taking human life. The Church also holds that the death penalty falls unfairly and unequally upon marginalized persons including the poor, the uneducated, ethnic and religious minorities, and persons with mental and emotional illnesses. The United Methodist Church also believes that Jesus explicitly repudiated the lex talionis in Matthew 5:38-39 and abolished the death penalty in John 8:7. The General Conference of the United Methodist Church calls for its bishops to uphold opposition to capital punishment and for governments to enact an immediate moratorium on carrying out the death penalty sentence.</t>
  </si>
  <si>
    <t>What paper is commonly considered the bellwether ushering in systematic studies computational complexity?</t>
  </si>
  <si>
    <t>What is the name for O3 most often used?</t>
  </si>
  <si>
    <t>Horniman Museum</t>
  </si>
  <si>
    <t>matching white</t>
  </si>
  <si>
    <t>The Apollo astronauts were chosen from the Project Mercury and Gemini veterans, plus from two later astronaut groups. All missions were commanded by Gemini or Mercury veterans. Crews on all development flights (except the Earth orbit CSM development flights) through the first two landings on Apollo 11 and Apollo 12, included at least two (sometimes three) Gemini veterans. Dr. Harrison Schmitt, a geologist, was the first NASA scientist astronaut to fly in space, and landed on the Moon on the last mission, Apollo 17. Schmitt participated in the lunar geology training of all of the Apollo landing crews.</t>
  </si>
  <si>
    <t>the ultimate authority of member states, its factual commitment to human rights, and the democratic will of the people.</t>
  </si>
  <si>
    <t>What kind of forest is the Amazon rainforest?</t>
  </si>
  <si>
    <t>semantical</t>
  </si>
  <si>
    <t>What types of pumps are typically used in industrial boilers?</t>
  </si>
  <si>
    <t>antigen presentation</t>
  </si>
  <si>
    <t>What happened to the East India Trading Company in 1767?</t>
  </si>
  <si>
    <t>What is the second most abundant element?</t>
  </si>
  <si>
    <t>What position did Rivera play in Super Bowl XX?</t>
  </si>
  <si>
    <t>What disagreement did Montcalm and Indians have?</t>
  </si>
  <si>
    <t>821,784</t>
  </si>
  <si>
    <t>Kenya African National Union (KANU) of Jomo Kenyatta</t>
  </si>
  <si>
    <t>7,000</t>
  </si>
  <si>
    <t>Fermat primes</t>
  </si>
  <si>
    <t>Which lone female architect listed above is represented in the collection?</t>
  </si>
  <si>
    <t>18 million volumes</t>
  </si>
  <si>
    <t>Financial Regulations and Rules of the WMO</t>
  </si>
  <si>
    <t>What did the next three drives result in?</t>
  </si>
  <si>
    <t xml:space="preserve">What is one way in which graphs can be encoded? </t>
  </si>
  <si>
    <t>Pathogens can rapidly evolve and adapt</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</si>
  <si>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</si>
  <si>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the 2008–2010 specials</t>
  </si>
  <si>
    <t>What type of actions are taken sometimes in civil disobedience?</t>
  </si>
  <si>
    <t xml:space="preserve">What did the analysis from the sediment deposits indicate? </t>
  </si>
  <si>
    <t>temperatures increased on the basis of documentary evidence of Medieval vineyards in England</t>
  </si>
  <si>
    <t>In the Philippines, the private sector has been a major provider of educational services, accounting for about 7.5% of primary enrollment, 32% of secondary enrollment and about 80% of tertiary enrollment. Private schools have proven to be efficient in resource utilization. Per unit costs in private schools are generally lower when compared to public schools. This situation is more evident at the tertiary level. Government regulations have given private education more flexibility and autonomy in recent years, notably by lifting the moratorium on applications for new courses, new schools and conversions, by liberalizing tuition fee policy for private schools, by replacing values education for third and fourth years with English, mathematics and natural science at the option of the school, and by issuing the revised Manual of Regulations for Private Schools in August 1992.</t>
  </si>
  <si>
    <t>What name is given to any prime number larger than 2?</t>
  </si>
  <si>
    <t>convert</t>
  </si>
  <si>
    <t>After the series' revival in 2005</t>
  </si>
  <si>
    <t>home viewers who made tape recordings</t>
  </si>
  <si>
    <t>What did Luther form in 1525 to 1529?</t>
  </si>
  <si>
    <t>the sex offenders register</t>
  </si>
  <si>
    <t>What is a main duty of the GPhC?</t>
  </si>
  <si>
    <t>Although it is generally accepted that EU law has primacy, not all EU laws give citizens standing to bring claims: that is, not all EU laws have "direct effect". In Van Gend en Loos v Nederlandse Administratie der Belastingen it was held that the provisions of the Treaties (and EU Regulations) are directly effective, if they are (1) clear and unambiguous (2) unconditional, and (3) did not require EU or national authorities to take further action to implement them. Van Gend en Loos, a postal company, claimed that what is now TFEU article 30 prevented the Dutch Customs Authorities charging tariffs, when it imported urea-formaldehyde plastics from Germany to the Netherlands. After a Dutch court made a reference, the Court of Justice held that even though the Treaties did not "expressly" confer a right on citizens or companies to bring claims, they could do so. Historically, international treaties had only allowed states to have legal claims for their enforcement, but the Court of Justice proclaimed "the Community constitutes a new legal order of international law". Because article 30 clearly, unconditionally and immediately stated that no quantitative restrictions could be placed on trade, without a good justification, Van Gend en Loos could recover the money it paid for the tariff. EU Regulations are the same as Treaty provisions in this sense, because as TFEU article 288 states, they are ‘directly applicable in all Member States’. Moreover, member states comes under a duty not to replicate Regulations in their own law, in order to prevent confusion. For instance, in Commission v Italy the Court of Justice held that Italy had breached a duty under the Treaties, both by failing to operate a scheme to pay farmers a premium to slaughter cows (to reduce dairy overproduction), and by reproducing the rules in a decree with various additions. "Regulations," held the Court of Justice, "come into force solely by virtue of their publication" and implementation could have the effect of "jeopardizing their simultaneous and uniform application in the whole of the Union." On the other hand, some Regulations may themselves expressly require implementing measures, in which case those specific rules should be followed.</t>
  </si>
  <si>
    <t>What month and year was Apollo 13 launched?</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</si>
  <si>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</si>
  <si>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Bible</t>
  </si>
  <si>
    <t>How much does the services sector contribute to GDP?</t>
  </si>
  <si>
    <t>How did the settlers protect their interests?</t>
  </si>
  <si>
    <t>There are other categories for what?</t>
  </si>
  <si>
    <t>How many people were involved in the study?</t>
  </si>
  <si>
    <t>In order to better understand the orientations of faults and folds, structural geologists do what with measurements of geological structures?</t>
  </si>
  <si>
    <t>A probabilistic Turing machine</t>
  </si>
  <si>
    <t>three weight rooms</t>
  </si>
  <si>
    <t>What is the principle that states that with sedimentary rocks, inclusions must be older than the formation that contains them?</t>
  </si>
  <si>
    <t>pairs of primes with difference 2</t>
  </si>
  <si>
    <t>What purpose would Luther have in not wanting to ban the Qur'an?</t>
  </si>
  <si>
    <t>1540s</t>
  </si>
  <si>
    <t>As of what year were 10000 horsepower engines available?</t>
  </si>
  <si>
    <t>alternative licensing programs</t>
  </si>
  <si>
    <t>monatomic</t>
  </si>
  <si>
    <t>After cancelling the show, what did the BBC tell the public?</t>
  </si>
  <si>
    <t>Tesla's patent would probably control the market</t>
  </si>
  <si>
    <t>the General Assembly Hall of the Church of Scotland</t>
  </si>
  <si>
    <t>intercepted Marconi's European experiments</t>
  </si>
  <si>
    <t>3.5 billion</t>
  </si>
  <si>
    <t>Who said chloroplasts are similar to cyanobacteria?</t>
  </si>
  <si>
    <t>Lexus</t>
  </si>
  <si>
    <t>supplanted by the Internet Protocol (IP) at the network layer, and the Asynchronous Transfer Mode (ATM) and or versions of Multi-Protocol Label Switching</t>
  </si>
  <si>
    <t>What issue plagues the literature about civil disobedience?</t>
  </si>
  <si>
    <t>wet</t>
  </si>
  <si>
    <t>As an incentive for absolute obedience and following his rule of law, the Yassa code, Temüjin promised civilians and soldiers wealth from future possible war spoils. As he defeated rival tribes, he did not drive away enemy soldiers and abandon the rest. Instead, he took the conquered tribe under his protection and integrated its members into his own tribe. He would even have his mother adopt orphans from the conquered tribe, bringing them into his family. These political innovations inspired great loyalty among the conquered people, making Temüjin stronger with each victory.</t>
  </si>
  <si>
    <t>more ATP than NADPH</t>
  </si>
  <si>
    <t>How many tons of carbon are absorbed the Amazon in a typical year?</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</si>
  <si>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</si>
  <si>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six children</t>
  </si>
  <si>
    <t>The waxy cuticle</t>
  </si>
  <si>
    <t xml:space="preserve">What path does a ball thrown up and down in a moving vehicle take when seen by an outside observer? </t>
  </si>
  <si>
    <t>What Canadian cable station started showing Doctor Who in 2009?</t>
  </si>
  <si>
    <t>Presiding Officer</t>
  </si>
  <si>
    <t>ABC's daytime schedule currently features talk shows The View and The Chew, and the soap opera General Hospital, the latter of which is the longest-running entertainment program in the history of the ABC television network, having aired since 1963. ABC also broadcasts the morning news program Good Morning America and has done so since 1975, though that program is not considered to be part of the ABC Daytime block. In addition to the long-running All My Children (1970–2011) and One Life to Live (1968–2012), notable past soap operas seen on the daytime lineup include Ryan's Hope, Dark Shadows, Loving, The City and Port Charles. ABC also aired the last nine years of the Procter &amp; Gamble-produced soap The Edge of Night, following its cancellation by CBS in 1975. ABC Daytime has also aired a number of game shows, including The Dating Game, The Newlywed Game, Let's Make a Deal, Password, Split Second, The $10,000/$20,000 Pyramid, Family Feud, The Better Sex, Trivia Trap, All-Star Blitz and Hot Streak.</t>
  </si>
  <si>
    <t>What civilization did the pottery belong to?</t>
  </si>
  <si>
    <t>In old or stressed chloroplasts</t>
  </si>
  <si>
    <t>linear</t>
  </si>
  <si>
    <t>quarterbacks</t>
  </si>
  <si>
    <t>Tiěmùzhēn</t>
  </si>
  <si>
    <t>15 January 1954</t>
  </si>
  <si>
    <t>Crime rate has also been shown to be correlated with inequality in society. Most studies looking into the relationship have concentrated on homicides – since homicides are almost identically defined across all nations and jurisdictions. There have been over fifty studies showing tendencies for violence to be more common in societies where income differences are larger. Research has been conducted comparing developed countries with undeveloped countries, as well as studying areas within countries. Daly et al. 2001 found that among U.S States and Canadian Provinces there is a tenfold difference in homicide rates related to inequality. They estimated that about half of all variation in homicide rates can be accounted for by differences in the amount of inequality in each province or state. Fajnzylber et al. (2002) found a similar relationship worldwide. Among comments in academic literature on the relationship between homicides and inequality are:</t>
  </si>
  <si>
    <t>"Variations of Snow and Ice in the past and at present on a Global and Regional Scale"</t>
  </si>
  <si>
    <t>What is controled by the market and economy?</t>
  </si>
  <si>
    <t>Fermilab</t>
  </si>
  <si>
    <t>sidelines</t>
  </si>
  <si>
    <t>Divine Right of Kings</t>
  </si>
  <si>
    <t>What earlier market did the Grainger Market replace?</t>
  </si>
  <si>
    <t>Canada</t>
  </si>
  <si>
    <t xml:space="preserve">Who helped pay for the university's first building structure? </t>
  </si>
  <si>
    <t>What is the Rankine cycle sometimes called?</t>
  </si>
  <si>
    <t>somewhere in Mongolia at an unknown location</t>
  </si>
  <si>
    <t>stroma</t>
  </si>
  <si>
    <t>Rhine-Meuse</t>
  </si>
  <si>
    <t>plastoglobulus, sometimes spelled plastoglobule(s)</t>
  </si>
  <si>
    <t>Malkin Athletic Center</t>
  </si>
  <si>
    <t>Who is Methodism's revered founder?</t>
  </si>
  <si>
    <t>In an atmospheric engine, what does air pressure push against?</t>
  </si>
  <si>
    <t>John Ruskin</t>
  </si>
  <si>
    <t>The university established a center in Beijing in what year?</t>
  </si>
  <si>
    <t>The 17th century Royal Ujazdów Castle currently houses Centre for Contemporary Art, with some permanent and temporary exhibitions, concerts, shows and creative workshops. The Centre currently realizes about 500 projects a year. Zachęta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</si>
  <si>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What type of numeral did the latest Super Bowl use to designate the game number?</t>
  </si>
  <si>
    <t>In what year did the FCC vote for the Financial Interest and Syndication Rules?</t>
  </si>
  <si>
    <t>Seahawks</t>
  </si>
  <si>
    <t>Rüdesheim am Rhein</t>
  </si>
  <si>
    <t>electric</t>
  </si>
  <si>
    <t>less than quadratic time</t>
  </si>
  <si>
    <t>constitute civil disobedience</t>
  </si>
  <si>
    <t>District Superintendents</t>
  </si>
  <si>
    <t>Magnetophon</t>
  </si>
  <si>
    <t>Who provided Spanish-language commentary alongside Raul Allegre?</t>
  </si>
  <si>
    <t>How many volts could particles be charged to in his weapon design?</t>
  </si>
  <si>
    <t>Lutheran views</t>
  </si>
  <si>
    <t>On January 7, 2016, it was confirmed that which start would join Coldplay for the halftime show?</t>
  </si>
  <si>
    <t>Hulu</t>
  </si>
  <si>
    <t>How much land do farms use in Victoria?</t>
  </si>
  <si>
    <t>In what century did important classical music developments occur in Normandy?</t>
  </si>
  <si>
    <t>At what temperature will oxygen condense?</t>
  </si>
  <si>
    <t>How many interceptions are the Panthers defense credited with in 2015?</t>
  </si>
  <si>
    <t>During what time period did income inequality decrease in the United States?</t>
  </si>
  <si>
    <t>As a euphoric how is oxygen used in bars?</t>
  </si>
  <si>
    <t>What team did the Panthers defeat?</t>
  </si>
  <si>
    <t>Knights Templar</t>
  </si>
  <si>
    <t>How many total volumes are in the Harvard library system?</t>
  </si>
  <si>
    <t>defense and justification of empire-building</t>
  </si>
  <si>
    <t>a "Conciliation Committee"</t>
  </si>
  <si>
    <t>Why has the Rhine been shortened?</t>
  </si>
  <si>
    <t>seal of approval on clerical marriage</t>
  </si>
  <si>
    <t>patients' prescriptions and patient safety issues</t>
  </si>
  <si>
    <t>first oil shock</t>
  </si>
  <si>
    <t>What Western country is corporal punishment still allowed?</t>
  </si>
  <si>
    <t>iTunes</t>
  </si>
  <si>
    <t>Bob Gallion</t>
  </si>
  <si>
    <t>higher education</t>
  </si>
  <si>
    <t>Which book discussed the theory about low populations in the Amazon rainforest?</t>
  </si>
  <si>
    <t>260 kilometres</t>
  </si>
  <si>
    <t>geographical area it covers as well as the frequency of meeting. Clergy are members of their Annual Conference rather than of any local congregation,</t>
  </si>
  <si>
    <t>Where does the Rhine empty?</t>
  </si>
  <si>
    <t>Where does southern California's megalopolis standard in terms of population nationwide?</t>
  </si>
  <si>
    <t>complicated definitions</t>
  </si>
  <si>
    <t>What age does basic education start?</t>
  </si>
  <si>
    <t>Lothian Regional Council</t>
  </si>
  <si>
    <t>What branch is independant of the other branches?</t>
  </si>
  <si>
    <t>age three to five</t>
  </si>
  <si>
    <t>Anheuser-Busch InBev</t>
  </si>
  <si>
    <t>What government agency supervised Buddhist monks?</t>
  </si>
  <si>
    <t>Why do these defections occur?</t>
  </si>
  <si>
    <t>The Hungarians performed this civil disobedience under the direction of what person?</t>
  </si>
  <si>
    <t>Portuguese</t>
  </si>
  <si>
    <t>for the lost chloroplast's existence</t>
  </si>
  <si>
    <t>What is commonly believed to be the value relationship between P and co-NP</t>
  </si>
  <si>
    <t>What football associated thing started at Justin Herman Plaza in January?</t>
  </si>
  <si>
    <t>1910–1911</t>
  </si>
  <si>
    <t>in contact with the stroma</t>
  </si>
  <si>
    <t>nonfunctional</t>
  </si>
  <si>
    <t>yes</t>
  </si>
  <si>
    <t>Royal Shakespeare</t>
  </si>
  <si>
    <t>The Scottish Parliament may legislate as it pleases as long as the powers aren't already reserved by where?</t>
  </si>
  <si>
    <t xml:space="preserve">What was the advantage of the two-phased system </t>
  </si>
  <si>
    <t>WB</t>
  </si>
  <si>
    <t>What Governor in charge of New France died in 1752?</t>
  </si>
  <si>
    <t>What marine engines were less efficient than steam turbines?</t>
  </si>
  <si>
    <t>Thomas Vasey and Richard Whatcoat.</t>
  </si>
  <si>
    <t>The annual NFL Experience was held at the Moscone Center in San Francisco. In addition, "Super Bowl City" opened on January 30 at Justin Herman Plaza on The Embarcadero, featuring games and activities that will highlight the Bay Area's technology, culinary creations, and cultural diversity. More than 1 million people are expected to attend the festivities in San Francisco during Super Bowl Week. San Francisco mayor Ed Lee said of the highly visible homeless presence in this area "they are going to have to leave". San Francisco city supervisor Jane Kim unsuccessfully lobbied for the NFL to reimburse San Francisco for city services in the amount of $5 million.</t>
  </si>
  <si>
    <t>Aside from firebox, what is another name for the space in which combustible material is burned in the engine?</t>
  </si>
  <si>
    <t>In what venue did the NFL Experience take place?</t>
  </si>
  <si>
    <t>On 30 July 1891, at the age of 35, Tesla became a naturalized citizen of the United States, and established his South Fifth Avenue laboratory, and later another at 46 E. Houston Street, in New York. He lit electric lamps wirelessly at both locations, demonstrating the potential of wireless power transmission. In the same year, he patented the Tesla coil.</t>
  </si>
  <si>
    <t>What relative of Doctor Who traveled with him in the early episodes?</t>
  </si>
  <si>
    <t>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t>
  </si>
  <si>
    <t>What kind of cell wall do cyanobacteria have?</t>
  </si>
  <si>
    <t>a change of heart</t>
  </si>
  <si>
    <t>How many lakes are there in Warsaw?</t>
  </si>
  <si>
    <t>At the end of this speech, Luther raised his arm "in the traditional salute of a knight winning a bout." Michael Mullett considers this speech as a "world classic of epoch-making oratory."</t>
  </si>
  <si>
    <t>Who often operates internet pharmacies?</t>
  </si>
  <si>
    <t>kinetic friction</t>
  </si>
  <si>
    <t>To what may general global fields be transferred to or from?</t>
  </si>
  <si>
    <t>mercuric oxide (HgO)</t>
  </si>
  <si>
    <t>What does the matching helper T cell release when it binds with the MHC:antigen complex of the B cell?</t>
  </si>
  <si>
    <t>Who were the announcers of Super Bowl 50?</t>
  </si>
  <si>
    <t>Most aspects of transport safety is a subject dealt with by whom?</t>
  </si>
  <si>
    <t>What type of Turing machine can be characterized by checking multiple possibilities at the same time?</t>
  </si>
  <si>
    <t>Where were the narrow gauge rail lines built in Victoria?</t>
  </si>
  <si>
    <t>Which genus is considered the "aunt" of ctenophores?</t>
  </si>
  <si>
    <t>What was Robert Watson's role in the IPCC?</t>
  </si>
  <si>
    <t>violent</t>
  </si>
  <si>
    <t>lawful protest demonstration, nonviolent civil disobedience, and violent civil disobedience</t>
  </si>
  <si>
    <t>mid-2000s</t>
  </si>
  <si>
    <t xml:space="preserve">What is septicemia? </t>
  </si>
  <si>
    <t>By sunlight, what compound did  Priestley concentrate on to make the gas he called "dephlogisticated air"?</t>
  </si>
  <si>
    <t>People behaving with civil disobedience that is not-violent is said to make society have more of what?</t>
  </si>
  <si>
    <t>Woods Hole Research Center</t>
  </si>
  <si>
    <t>placing them on prophetic faith.</t>
  </si>
  <si>
    <t>Currently, New Jersey, Rhode Island and Delaware are the only U.S. states where ABC does not have a locally licensed affiliate (New Jersey is served by New York City O&amp;O WABC-TV and Philadelphia O&amp;O WPVI-TV; Rhode Island is served by New Bedford, Massachusetts-licensed WLNE; and Delaware is served by WPVI and Salisbury, Maryland affiliate WMDT). ABC maintains affiliations with low-power stations (broadcasting either in analog or digital) in a few markets, such as Birmingham, Alabama (WBMA-LD), Lima, Ohio (WLQP-LP) and South Bend, Indiana (WBND-LD). In some markets, including the former two mentioned, these stations also maintain digital simulcasts on a subchannel of a co-owned/co-managed full-power television station.</t>
  </si>
  <si>
    <t>an attack on New France's capital, Quebec</t>
  </si>
  <si>
    <t>Newton's Third Law</t>
  </si>
  <si>
    <t>Who was the main performer at this year's halftime show?</t>
  </si>
  <si>
    <t>What type of climate does Kenya have?</t>
  </si>
  <si>
    <t>1,160,000</t>
  </si>
  <si>
    <t>a bright red-orange carotenoid</t>
  </si>
  <si>
    <t>Industrial Revolution</t>
  </si>
  <si>
    <t>When did the name black death officially take root in England?</t>
  </si>
  <si>
    <t>What is most of the cleared land in the Amazon region used for?</t>
  </si>
  <si>
    <t>one of the poorest countries on earth</t>
  </si>
  <si>
    <t>about 2.5 billion years ago</t>
  </si>
  <si>
    <t>Italian physicist</t>
  </si>
  <si>
    <t>The Dalek race</t>
  </si>
  <si>
    <t>World Meteorological Organization (WMO) and the United Nations Environment Programme (UNEP),</t>
  </si>
  <si>
    <t>civil servants</t>
  </si>
  <si>
    <t>modern radar</t>
  </si>
  <si>
    <t>What did Tesla claim to perfect while at the exchange?</t>
  </si>
  <si>
    <t>What is the full official city name of Warsaw?</t>
  </si>
  <si>
    <t>February 9, 1832</t>
  </si>
  <si>
    <t>second most commonly</t>
  </si>
  <si>
    <t>WHat does UserDatagram Protocol gaurentee</t>
  </si>
  <si>
    <t>dispute over control of the confluence of the Allegheny and Monongahela rivers, called the Forks of the Ohio</t>
  </si>
  <si>
    <t>What is the chemical that mediates Type 1 hypersensitivity?</t>
  </si>
  <si>
    <t>novel medications</t>
  </si>
  <si>
    <t>What kind of organism is Cyanophora?</t>
  </si>
  <si>
    <t>go home and change</t>
  </si>
  <si>
    <t>What team did Rivera play for in Super Bowl XX?</t>
  </si>
  <si>
    <t>International Criminal Court trial dates</t>
  </si>
  <si>
    <t>Which government entity helped to pay for the festivities, beyond businesses and individuals?</t>
  </si>
  <si>
    <t>What kind of committee considered legislation on the development of the Edinburgh Tram Network?</t>
  </si>
  <si>
    <t>July 11, 1962</t>
  </si>
  <si>
    <t>Word and Image</t>
  </si>
  <si>
    <t>July 1969</t>
  </si>
  <si>
    <t>artisans and craftsmen</t>
  </si>
  <si>
    <t>66 million years ago</t>
  </si>
  <si>
    <t>During which years was no census taken?</t>
  </si>
  <si>
    <t>79</t>
  </si>
  <si>
    <t>How old was Turkana Boy?</t>
  </si>
  <si>
    <t>What are chromoplasts?</t>
  </si>
  <si>
    <t>an eccentric</t>
  </si>
  <si>
    <t>Warsaw Stock Exchange</t>
  </si>
  <si>
    <t>trans-Atlantic wireless telecommunications facility</t>
  </si>
  <si>
    <t>rich</t>
  </si>
  <si>
    <t>Turkey,</t>
  </si>
  <si>
    <t>organizational change, relationships with students, fellow teachers, and administrative personnel, working environment, expectations to substitute, long hours</t>
  </si>
  <si>
    <t>Who notably improved the Savery water pump?</t>
  </si>
  <si>
    <t>The mother of which emperor was a concubine?</t>
  </si>
  <si>
    <t>micrometeoroid impact craters</t>
  </si>
  <si>
    <t>Competition amongst workers</t>
  </si>
  <si>
    <t>Why do land plants have more and smaller chloroplasts?</t>
  </si>
  <si>
    <t>Sankt Goarshausen</t>
  </si>
  <si>
    <t>When did a plague-ridden ship land in Norway?</t>
  </si>
  <si>
    <t>Kokochu</t>
  </si>
  <si>
    <t>What was Tymnet</t>
  </si>
  <si>
    <t>What new Medical Drama helped ABC jump to second place in the ratings during the 2004-2005 season?</t>
  </si>
  <si>
    <t>When did the last glacial end?</t>
  </si>
  <si>
    <t>What did objects in forced motion contain according to the late Medieval idea that influence Aristotle?</t>
  </si>
  <si>
    <t>Who developed the lithium-ion battery?</t>
  </si>
  <si>
    <t>their respective lines of application</t>
  </si>
  <si>
    <t>In July 1973, as part of its outreach programme to young people, the V&amp;A became the first museum in Britain to present a rock concert. The V&amp;A presented a combined concert/lecture by British progressive folk-rock band Gryphon, who explored the lineage of mediaeval music and instrumentation and related how those contributed to contemporary music 500 years later. This innovative approach to bringing young people to museums was a hallmark of the directorship of Roy Strong and was subsequently emulated by some other British museums.</t>
  </si>
  <si>
    <t>the mesophyll layers</t>
  </si>
  <si>
    <t>cultures</t>
  </si>
  <si>
    <t>Economist Intelligence Unit</t>
  </si>
  <si>
    <t>local administrative structure</t>
  </si>
  <si>
    <t>the Scottish Government</t>
  </si>
  <si>
    <t>1697</t>
  </si>
  <si>
    <t>in Turkana</t>
  </si>
  <si>
    <t>economy</t>
  </si>
  <si>
    <t>Which countries became dependent on US's security assurance to threats?</t>
  </si>
  <si>
    <t>Principles of Geology</t>
  </si>
  <si>
    <t>In the fall quarter of 2014, how many students signed up for the university's four graduate divisions?</t>
  </si>
  <si>
    <t>Why did the exiled Polish government in London order the underground Home Army to seize control of Warsaw prior to the arrival of the Red Army?</t>
  </si>
  <si>
    <t>time and space complexity</t>
  </si>
  <si>
    <t>What is missing a theory on quantum gravity?</t>
  </si>
  <si>
    <t>Daniels</t>
  </si>
  <si>
    <t>What leads to confusion and collapse?</t>
  </si>
  <si>
    <t>Which Ancient Roman monument is replicated in full-scale in the Cast Courts?</t>
  </si>
  <si>
    <t>Hillerbrand</t>
  </si>
  <si>
    <t xml:space="preserve">What was the name of the count of Apulia </t>
  </si>
  <si>
    <t>Xiao Zhala</t>
  </si>
  <si>
    <t>What is the newer, more widely accepted theory behind the spread of the plague?</t>
  </si>
  <si>
    <t>The chloroplast peripheral reticulum</t>
  </si>
  <si>
    <t>What is the virus in humans that causes cervical cancer?</t>
  </si>
  <si>
    <t>demolished</t>
  </si>
  <si>
    <t>due to their higher oxygen content</t>
  </si>
  <si>
    <t>salt and iron</t>
  </si>
  <si>
    <t>were open standards with published specifications, and several implementations were developed outside DEC, including one for Linux</t>
  </si>
  <si>
    <t>During his time at his lab, Tesla observed unusual signals from his receiver which he concluded may be communications from another planet. He mentioned them in a letter to reporter Julian Hawthorne at the Philadelphia North American on 8 December 1899 and in a December 1900 letter about possible discoveries in the new century to the Red Cross Society where he referred to messages "from another world" that read "1... 2... 3...". Reporters treated it as a sensational story and jumped to the conclusion Tesla was hearing signals from Mars. He expanded on the signals he heard in a 9 February 1901 Collier's Weekly article "Talking With Planets" where he said it had not been immediately apparent to him that he was hearing "intelligently controlled signals" and that the signals could come from Mars, Venus, or other planets. It has been hypothesized that he may have intercepted Marconi's European experiments in July 1899—Marconi may have transmitted the letter S (dot/dot/dot) in a naval demonstration, the same three impulses that Tesla hinted at hearing in Colorado—or signals from another experimenter in wireless transmission.</t>
  </si>
  <si>
    <t>an economic development programme it hopes will put the country in the same league as the Asian Economic Tigers by the year 2030</t>
  </si>
  <si>
    <t>What is there a push for in the U.S. to reduce consumer drug costs?</t>
  </si>
  <si>
    <t>Jin</t>
  </si>
  <si>
    <t>Cydippid are typically what shape?</t>
  </si>
  <si>
    <t>1</t>
  </si>
  <si>
    <t>Italy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</si>
  <si>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</si>
  <si>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Before World War I, Tesla sought overseas investors. After the war started, Tesla lost the funding he was receiving from his patents in European countries. Eventually, he sold Wardenclyffe for $20,000 ($472,500 in today's dollars). In 1917, around the time that the Wardenclyffe Tower was demolished by Boldt to make the land a more viable real estate asset, Tesla received AIEE's highest honor, the Edison Medal.</t>
  </si>
  <si>
    <t>the Old Town Hall</t>
  </si>
  <si>
    <t>Walt Disney</t>
  </si>
  <si>
    <t>Which court is the highest court in the European Union?</t>
  </si>
  <si>
    <t>a draftsman</t>
  </si>
  <si>
    <t>What product was notably shipped in vessels equipped with double and triple expansion engines?</t>
  </si>
  <si>
    <t>What is strongly linked to good student-teacher relationships?</t>
  </si>
  <si>
    <t>3,792,621</t>
  </si>
  <si>
    <t>What is used to estimate emissions?</t>
  </si>
  <si>
    <t>the greatest good</t>
  </si>
  <si>
    <t>warming</t>
  </si>
  <si>
    <t>reminding their countrymen of injustice</t>
  </si>
  <si>
    <t>What was the daily distance walked by Tesla?</t>
  </si>
  <si>
    <t>Thomas Vasey and Richard Whatcoat</t>
  </si>
  <si>
    <t>What were the win/loss game stats for the Denver Bronco's regular season in 2015?</t>
  </si>
  <si>
    <t>Browlee also applies that civil disobedience is okay regarding?</t>
  </si>
  <si>
    <t>What is composed of the Area Provost/Dean ad the several District Superintendents of the Districts in the Annual Conference?</t>
  </si>
  <si>
    <t>The negotiations were successfully concluded on 17 February 1546. After 8 a.m., he experienced chest pains. When he went to his bed, he prayed, "Into your hand I commit my spirit; you have redeemed me, O Lord, faithful God" (Ps. 31:5), the common prayer of the dying. At 1 a.m. he awoke with more chest pain and was warmed with hot towels. He thanked God for revealing his Son to him in whom he had believed. His companions, Justus Jonas and Michael Coelius, shouted loudly, "Reverend father, are you ready to die trusting in your Lord Jesus Christ and to confess the doctrine which you have taught in his name?" A distinct "Yes" was Luther's reply.</t>
  </si>
  <si>
    <t>Judicial Council</t>
  </si>
  <si>
    <t>George Washington</t>
  </si>
  <si>
    <t>matrices</t>
  </si>
  <si>
    <t>Latin</t>
  </si>
  <si>
    <t>about a third.</t>
  </si>
  <si>
    <t>Who considers Luther's speech a world classic?</t>
  </si>
  <si>
    <t>What area has become attractive for restaurants?</t>
  </si>
  <si>
    <t>Louis Comfort Tiffany and Émile Gallé</t>
  </si>
  <si>
    <t>Who, according to the text, caused Cam Newton to lose the ball during a tackle?</t>
  </si>
  <si>
    <t>Where did two leaders join hands and "give birth" to a new denomination?</t>
  </si>
  <si>
    <t>Residential construction practices, technologies, and resources must conform to what?</t>
  </si>
  <si>
    <t>ABC</t>
  </si>
  <si>
    <t>at the last glacial maximum</t>
  </si>
  <si>
    <t>cancer, hepatitis, and rheumatoid arthritis</t>
  </si>
  <si>
    <t>In 1993, for the franchise's 30th anniversary, another charity special, titled Dimensions in Time was produced for Children in Need, featuring all of the surviving actors who played the Doctor and a number of previous companions. It also featured a crossover with the soap opera EastEnders, the action taking place in the latter's Albert Square location and around Greenwich. The special was one of several special 3D programmes the BBC produced at the time, using a 3D system that made use of the Pulfrich effect requiring glasses with one darkened lens; the picture would look normal to those viewers who watched without the glasses.</t>
  </si>
  <si>
    <t>What issues were not addressed in the Treaty of Aix-la-Chapelle?</t>
  </si>
  <si>
    <t>47°39′N 9°19′E﻿ / ﻿47.650°N 9.317°E﻿ / 47.650; 9.317.</t>
  </si>
  <si>
    <t>until the second quarter of the 19th century.</t>
  </si>
  <si>
    <t>What is Sanctifying Grace?</t>
  </si>
  <si>
    <t>Who designed the wrought iron gates that was used to embellish the east side of the building?</t>
  </si>
  <si>
    <t>Which TFEU article defines the ordinary legislative procedure that applies for majority of EU acts?</t>
  </si>
  <si>
    <t>not a unit and cannot be written as a product of two ring elements that are not units.</t>
  </si>
  <si>
    <t xml:space="preserve">What was the team the Carolina Panthers played immediately prior to the NFC Championship game? </t>
  </si>
  <si>
    <t>reducing poverty</t>
  </si>
  <si>
    <t>Big Five</t>
  </si>
  <si>
    <t>In the autumn of 1991, talks were held for the broadcast rights for Premier League for a five-year period, from the 1992 season. ITV were the current rights holders, and fought hard to retain the new rights. ITV had increased its offer from £18m to £34m per year to keep control of the rights. BSkyB joined forces with the BBC to make a counter bid. The BBC was given the highlights of most of the matches, while BSkyB paying £304m for the Premier League rights, would give them a monopoly of all live matches, up to 60 per year from the 1992 season.  Murdoch described sport as a "battering ram" for pay-television, providing a strong customer base. A few weeks after the deal, ITV went to the High Court to get an injunction as it believed their bid details had been leaked before the decision was taken. ITV also asked the Office of Fair Trading to investigate since it believed Rupert Murdoch's media empire via its newspapers had influenced the deal. A few days later neither action took effect, ITV believed BSkyB was telephoned and informed of its £262m bid, and Premier League advised BSkyB to increase its counter bid.</t>
  </si>
  <si>
    <t>What was Ghandi's work called?</t>
  </si>
  <si>
    <t>destroyed Fort Frontenac</t>
  </si>
  <si>
    <t>Victoria Constitution Act 1855</t>
  </si>
  <si>
    <t>The Ninety-Five Theses.</t>
  </si>
  <si>
    <t>Konwiktorska Street</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</si>
  <si>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</si>
  <si>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he may have intercepted Marconi's European experiments in July 1899</t>
  </si>
  <si>
    <t>a secret ballot</t>
  </si>
  <si>
    <t>A B cell</t>
  </si>
  <si>
    <t>How many botanical gardens does Warsaw have?</t>
  </si>
  <si>
    <t>Who lead the halftime show of Super Bowl 50?</t>
  </si>
  <si>
    <t>at Monte Gargano</t>
  </si>
  <si>
    <t>the ring of integers of quadratic number fields</t>
  </si>
  <si>
    <t>Porifera</t>
  </si>
  <si>
    <t>The coordinating lead authors</t>
  </si>
  <si>
    <t>the dukes</t>
  </si>
  <si>
    <t>How many G3P molecules leave the cycle?</t>
  </si>
  <si>
    <t>Who designed the bronze doors used as the main entrance to the museum?</t>
  </si>
  <si>
    <t>Who sees a patient after a nurse can not help anymore?</t>
  </si>
  <si>
    <t>When did delegates to the World Methodist Council vote to adopt the joint Declaration on the Doctrine of Justification?"</t>
  </si>
  <si>
    <t>60 minutes</t>
  </si>
  <si>
    <t>Where did Mongke Khan attack the Song dynasty?</t>
  </si>
  <si>
    <t>What profession were Ronald Robinson and John Gallagher?</t>
  </si>
  <si>
    <t>In addition to English, what language is also often taught in Nepalese private schools?</t>
  </si>
  <si>
    <t>What is the number of Constituency MSPs?</t>
  </si>
  <si>
    <t>plantar fasciitis</t>
  </si>
  <si>
    <t>Is the output of a functional problem typically characterized by a simple or complex answer?</t>
  </si>
  <si>
    <t>colonization</t>
  </si>
  <si>
    <t>the Victoria Department of Education</t>
  </si>
  <si>
    <t>Works Council Directive</t>
  </si>
  <si>
    <t>What was the title of the first choral hymnal?</t>
  </si>
  <si>
    <t>Inalchuq</t>
  </si>
  <si>
    <t>reciprocating steam engines</t>
  </si>
  <si>
    <t>approximately one week</t>
  </si>
  <si>
    <t>How large was the audience BSkyB said they could reach?</t>
  </si>
  <si>
    <t>What can rubisco do by mistake?</t>
  </si>
  <si>
    <t>constituency</t>
  </si>
  <si>
    <t>Which linebacker had the most sacks on the team?</t>
  </si>
  <si>
    <t>Who did Reuters claim won the 1915 Nobel prize in Physics?</t>
  </si>
  <si>
    <t>the individual states and territories</t>
  </si>
  <si>
    <t>There have been debates as to whether civil disobedience must necessarily be non-violent. Black's Law Dictionary includes non-violence in its definition of civil disobedience. Christian Bay's encyclopedia article states that civil disobedience requires "carefully chosen and legitimate means," but holds that they do not have to be non-violent. It has been argued that, while both civil disobedience and civil rebellion are justified by appeal to constitutional defects, rebellion is much more destructive; therefore, the defects justifying rebellion must be much more serious than those justifying disobedience, and if one cannot justify civil rebellion, then one cannot justify a civil disobedients' use of force and violence and refusal to submit to arrest. Civil disobedients' refraining from violence is also said to help preserve society's tolerance of civil disobedience.</t>
  </si>
  <si>
    <t>Stewart</t>
  </si>
  <si>
    <t>wanting it exposed to scrutiny.</t>
  </si>
  <si>
    <t>the king of France</t>
  </si>
  <si>
    <t>hydrophilic</t>
  </si>
  <si>
    <t>In July 2015</t>
  </si>
  <si>
    <t>What was Luther's force within the Reformation?</t>
  </si>
  <si>
    <t>high pressure shock waves</t>
  </si>
  <si>
    <t>What is the complex "two-signal" activation of T cells referred to?</t>
  </si>
  <si>
    <t>zaju</t>
  </si>
  <si>
    <t>native tribes</t>
  </si>
  <si>
    <t>15th</t>
  </si>
  <si>
    <t>has the ability to expand and develop the law according to the principles it deems to be appropriate</t>
  </si>
  <si>
    <t>What do some civil disobedient people feel the need to acknowledge.</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</si>
  <si>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</si>
  <si>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new Jan Hus</t>
  </si>
  <si>
    <t xml:space="preserve">What network was designed by the french </t>
  </si>
  <si>
    <t>regeneration</t>
  </si>
  <si>
    <t>William Tyndale's</t>
  </si>
  <si>
    <t>What has started to change the way teachers teach in the classroom, generally?</t>
  </si>
  <si>
    <t>What other topics can Civil disobedience pertain to?</t>
  </si>
  <si>
    <t>What is another name for the Tabula Rogeriana?</t>
  </si>
  <si>
    <t>In what year was HMS Dreadnought launched?</t>
  </si>
  <si>
    <t>appeal to constitutional defects</t>
  </si>
  <si>
    <t>What Newcastle radio station is based at the Great North Children's Hospital?</t>
  </si>
  <si>
    <t>technological superiority,</t>
  </si>
  <si>
    <t>Time and space are both examples of what type of resource?</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</si>
  <si>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</si>
  <si>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third use of the law</t>
  </si>
  <si>
    <t>World War II.</t>
  </si>
  <si>
    <t>Throughout the 1980s and 1990s, demand for a Scottish Parliament grew, in part because the government of the United Kingdom was controlled by the Conservative Party, while Scotland itself elected relatively few Conservative MPs. In the aftermath of the 1979 referendum defeat, the Campaign for a Scottish Assembly was initiated as a pressure group, leading to the 1989 Scottish Constitutional Convention with various organisations such as Scottish churches, political parties and representatives of industry taking part. Publishing its blueprint for devolution in 1995, the Convention provided much of the basis for the structure of the Parliament.</t>
  </si>
  <si>
    <t>Scotland Act</t>
  </si>
  <si>
    <t>exponential-time algorithms</t>
  </si>
  <si>
    <t>gain the support of the British and regain authority over his own people</t>
  </si>
  <si>
    <t>What do statements from the PO and member in charge of the bill also indicate?</t>
  </si>
  <si>
    <t>How many touchdowns did Ronnie Hillman make?</t>
  </si>
  <si>
    <t>Yangzi River basin</t>
  </si>
  <si>
    <t>Who was the leader of the Khwarezmian dynasty in the early 1200s?</t>
  </si>
  <si>
    <t>What was Warsaw ranked the 7th greatest of?</t>
  </si>
  <si>
    <t>1598</t>
  </si>
  <si>
    <t>in his lab and elsewhere</t>
  </si>
  <si>
    <t>the Pope</t>
  </si>
  <si>
    <t>Jacksonville, like most large cities in the United States, suffered from negative effects of rapid urban sprawl after World War II. The construction of highways led residents to move to newer housing in the suburbs. After World War II, the government of the city of Jacksonville began to increase spending to fund new public building projects in the boom that occurred after the war. Mayor W. Haydon Burns' Jacksonville Story resulted in the construction of a new city hall, civic auditorium, public library and other projects that created a dynamic sense of civic pride. However, the development of suburbs and a subsequent wave of middle class "white flight" left Jacksonville with a much poorer population than before. The city's most populous ethnic group, non-Hispanic white, declined from 75.8% in 1970 to 55.1% by 2010.</t>
  </si>
  <si>
    <t>What type of Saturn was originally going to be used for Apollo 8?</t>
  </si>
  <si>
    <t>What was the last name of the player who took the ball away from Newton late in the fourth quarter?</t>
  </si>
  <si>
    <t xml:space="preserve">How far from Warsaw does the Vistula river's environment change noticeably? </t>
  </si>
  <si>
    <t>large-scale, distributed, survivable communications network</t>
  </si>
  <si>
    <t>birefringence, pleochroism, twinning, and interference</t>
  </si>
  <si>
    <t>What distinguishes stromal thylakoids?</t>
  </si>
  <si>
    <t>What field of computer science analyzes the resource requirements of a specific algorithm isolated unto itself within a given problem?</t>
  </si>
  <si>
    <t>Warsaw (Polish: Warszawa [varˈʂava]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</si>
  <si>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What are other alternative names for French and Indian War?</t>
  </si>
  <si>
    <t>What was the patent number for Tesla's final patent?</t>
  </si>
  <si>
    <t>What future Revolutionary key figures participated in this attack?</t>
  </si>
  <si>
    <t>Other than the Ijssel, where does the water from the Pannerdens Kanaal redsitrubute?</t>
  </si>
  <si>
    <t>Focus on what is to ameliorate the many problems that arise from the often highly competitive and adversarial practices within the construction industry.</t>
  </si>
  <si>
    <t>In the early 13th century, the Khwarazmian dynasty was governed by Shah Ala ad-Din Muhammad. Genghis Khan saw the potential advantage in Khwarezmia as a commercial trading partner using the Silk Road, and he initially sent a 500-man caravan to establish official trade ties with the empire. However, Inalchuq, the governor of the Khwarezmian city of Otrar, attacked the caravan that came from Mongolia, claiming that the caravan contained spies and therefore was a conspiracy against Khwarezmia. The situation became further complicated because the governor later refused to make repayments for the looting of the caravans and handing over the perpetrators. Genghis Khan then sent again a second group of three ambassadors (two Mongols and a Muslim) to meet the Shah himself instead of the governor Inalchuq. The Shah had all the men shaved and the Muslim beheaded and sent his head back with the two remaining ambassadors. This was seen as an affront and insult to Genghis Khan. Outraged, Genghis Khan planned one of his largest invasion campaigns by organizing together around 100,000 soldiers (10 tumens), his most capable generals and some of his sons. He left a commander and number of troops in China, designated his successors to be his family members and likely appointed Ögedei to be his immediate successor and then went out to Khwarezmia.</t>
  </si>
  <si>
    <t>Khongirad</t>
  </si>
  <si>
    <t>Party of National Unity</t>
  </si>
  <si>
    <t>What lead to the UK to subscribe to the agreement on Social Policy?</t>
  </si>
  <si>
    <t>When there are many workers competing for a few jobs its considered as what?</t>
  </si>
  <si>
    <t>Joseph Thompsons</t>
  </si>
  <si>
    <t>without destroying historical legitimacy</t>
  </si>
  <si>
    <t>convecting</t>
  </si>
  <si>
    <t>one of the most influential</t>
  </si>
  <si>
    <t>arithmetic</t>
  </si>
  <si>
    <t>igneous</t>
  </si>
  <si>
    <t>not being a civil disobedient</t>
  </si>
  <si>
    <t>What caused changes in the Amazon rainforest vegetation?</t>
  </si>
  <si>
    <t>high wages</t>
  </si>
  <si>
    <t>What brought the downfall of Jacksonville filmmaking?</t>
  </si>
  <si>
    <t>Which entity has a monopoly on initiating legislation?</t>
  </si>
  <si>
    <t>boom-and-bust cycles</t>
  </si>
  <si>
    <t>Ben Johnston</t>
  </si>
  <si>
    <t>What does southern California have a reputation for?</t>
  </si>
  <si>
    <t>Disney paid for The Jungle Book, Alice Through the Looking Glass, and which other film trailer to be aired during the game?</t>
  </si>
  <si>
    <t>service to the neighbor in the common</t>
  </si>
  <si>
    <t>Columbus Avenue and West 66th Street</t>
  </si>
  <si>
    <t>is the product of the host's cell membrane</t>
  </si>
  <si>
    <t>What are internet pharmacies also called?</t>
  </si>
  <si>
    <t>Who wants a more confrontational type of discipline?</t>
  </si>
  <si>
    <t>What did the Greek root pharmakos imply?</t>
  </si>
  <si>
    <t>How long was the Death Wish Coffee commercial?</t>
  </si>
  <si>
    <t xml:space="preserve">How is packet switching characterized </t>
  </si>
  <si>
    <t>After the defeat of the Khwarezmian Empire in 1220, Genghis Khan gathered his forces in Persia and Armenia to return to the Mongolian steppes. Under the suggestion of Subutai, the Mongol army was split into two forces. Genghis Khan led the main army on a raid through Afghanistan and northern India towards Mongolia, while another 20,000 (two tumen) contingent marched through the Caucasus and into Russia under generals Jebe and Subutai. They pushed deep into Armenia and Azerbaijan. The Mongols destroyed the kingdom of Georgia, sacked the Genoese trade-fortress of Caffa in Crimea and overwintered near the Black Sea. Heading home, Subutai's forces attacked the allied forces of the Cuman–Kipchaks and the poorly coordinated 80,000 Kievan Rus' troops led by Mstislav the Bold of Halych and Mstislav III of Kiev who went out to stop the Mongols' actions in the area. Subutai sent emissaries to the Slavic princes calling for a separate peace, but the emissaries were executed. At the Battle of Kalka River in 1223, Subutai's forces defeated the larger Kievan force. They also may have fought against the neighboring Volga Bulgars. There is no historical record except a short account by the Arab historian Ibn al-Athir, writing in Mosul some 1100 miles away from the event. Various historical secondary sources - Morgan, Chambers, Grousset - state that the Mongols actually defeated the Bulgars, Chambers even going so far as to say that the Bulgars had made up stories to tell the (recently crushed) Russians that they had beaten the Mongols and driven them from their territory. The Russian princes then sued for peace. Subutai agreed but was in no mood to pardon the princes. As was customary in Mongol society for nobility, the Russian princes were given a bloodless death. Subutai had a large wooden platform constructed on which he ate his meals along with his other generals. Six Russian princes, including Mstislav III of Kiev, were put under this platform and crushed to death.</t>
  </si>
  <si>
    <t>professional fundraiser</t>
  </si>
  <si>
    <t>Lama</t>
  </si>
  <si>
    <t>neuronal dendrites</t>
  </si>
  <si>
    <t>1917</t>
  </si>
  <si>
    <t>WABC-TV and WPVI-TV</t>
  </si>
  <si>
    <t>What was ABC's revenue in 1962?</t>
  </si>
  <si>
    <t>when Germany started to build her own colonial empire.</t>
  </si>
  <si>
    <t>What seldom mutates?</t>
  </si>
  <si>
    <t>Which one of Fresno's hotels burned down?</t>
  </si>
  <si>
    <t>eventually decrease</t>
  </si>
  <si>
    <t>a river</t>
  </si>
  <si>
    <t>rotary</t>
  </si>
  <si>
    <t>the pre-Columbian era</t>
  </si>
  <si>
    <t>When has Toyota said it will close its Victoria plant?</t>
  </si>
  <si>
    <t>What forces should serve as a brake on wealth concentration?</t>
  </si>
  <si>
    <t>marble</t>
  </si>
  <si>
    <t>8 February 2007</t>
  </si>
  <si>
    <t>How do members vote when there is a division?</t>
  </si>
  <si>
    <t>humid subtropical</t>
  </si>
  <si>
    <t>$40 million</t>
  </si>
  <si>
    <t>recanted 41 sentences</t>
  </si>
  <si>
    <t>Seven Years' War</t>
  </si>
  <si>
    <t>Man and Culture in a Counterfeit Paradise</t>
  </si>
  <si>
    <t>What does a T cell extend when it encounters a foreign pathogen?</t>
  </si>
  <si>
    <t>A procedural consequence of the establishment of the Scottish Parliament is that Scottish MPs sitting in the UK House of Commons are able to vote on domestic legislation that applies only to England, Wales and Northern Ireland – whilst English, Scottish, Welsh and Northern Irish Westminster MPs are unable to vote on the domestic legislation of the Scottish Parliament. This phenomenon is known as the West Lothian question and has led to criticism. Following the Conservative victory in the 2015 UK election, standing orders of the House of Commons were changed to give MPs representing English constituencies a new "veto" over laws only affecting England.</t>
  </si>
  <si>
    <t>Dutch Cape Colony</t>
  </si>
  <si>
    <t>Reyners v Belgium the Court of Justice</t>
  </si>
  <si>
    <t>Saudi Arabia and Iran</t>
  </si>
  <si>
    <t>Consolidated City of Jacksonville</t>
  </si>
  <si>
    <t>transport applications</t>
  </si>
  <si>
    <t>Other than Downtown San Bernardino, and University Town, what is the name of another business district in the San Bernardino-Riverside area?</t>
  </si>
  <si>
    <t>glacier</t>
  </si>
  <si>
    <t>How much damage does breathing oxygen in space conditions cause?</t>
  </si>
  <si>
    <t>(prints, drawings, paintings and photographs)</t>
  </si>
  <si>
    <t>because many elderly people are now taking numerous medications but continue to live outside of institutional settings</t>
  </si>
  <si>
    <t>When did Luther write an extreme treatise against the Jews?</t>
  </si>
  <si>
    <t>What were the structures built by the Soviets typical of?</t>
  </si>
  <si>
    <t>Which Louisiana venue was one of three considered for Super Bowl 50?</t>
  </si>
  <si>
    <t>Sun</t>
  </si>
  <si>
    <t>How many plant species make up the total in the rainforest?</t>
  </si>
  <si>
    <t>Blaydon Race</t>
  </si>
  <si>
    <t>by technique</t>
  </si>
  <si>
    <t>work sorrow over sin</t>
  </si>
  <si>
    <t>What building material does the entrance hall and flanking staircases use predominantly?</t>
  </si>
  <si>
    <t>it must be issued for a legitimate medical purpose by a licensed practitioner acting in the course of legitimate doctor-patient relationship</t>
  </si>
  <si>
    <t>The Brotherhood's members are against consuming what beverage?</t>
  </si>
  <si>
    <t>415,000 to 587,000</t>
  </si>
  <si>
    <t>Despite being relatively unaffected by the embargo, the UK nonetheless faced an oil crisis of its own - a series of strikes by coal miners and railroad workers over the winter of 1973–74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</si>
  <si>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to make the hosts responsible for reliable delivery of data, rather than the network itself</t>
  </si>
  <si>
    <t>Where does the Amazon region rate among the entire earth for its amount of biodiversity?</t>
  </si>
  <si>
    <t>NP complete problems contain the lowest likelihood of being located in what problem class?</t>
  </si>
  <si>
    <t>What are some examples of undesirable end results of a project?</t>
  </si>
  <si>
    <t>War</t>
  </si>
  <si>
    <t>How many developed countries did British researchers use to gather statistics from?</t>
  </si>
  <si>
    <t>black-and-yellow</t>
  </si>
  <si>
    <t>What other kind of sport is popular in southern California?</t>
  </si>
  <si>
    <t>James Gamble,</t>
  </si>
  <si>
    <t>What did Iqbal fear would weaken the spiritual foundations of Islam and Muslim society?</t>
  </si>
  <si>
    <t>geophysical surveys</t>
  </si>
  <si>
    <t>the early 1960s</t>
  </si>
  <si>
    <t>the red algal endosymbiont's original cell membrane</t>
  </si>
  <si>
    <t>The issues of what era did Tesla's article talk about?</t>
  </si>
  <si>
    <t>Ron Grainer</t>
  </si>
  <si>
    <t>architects</t>
  </si>
  <si>
    <t>herring barrels.</t>
  </si>
  <si>
    <t>Who commissioned the Gateshead Milennium Bridge?</t>
  </si>
  <si>
    <t>What are associated with normal forces?</t>
  </si>
  <si>
    <t>dominant colonial power</t>
  </si>
  <si>
    <t>Nairobi's Harambee House</t>
  </si>
  <si>
    <t>Bruno Mars,</t>
  </si>
  <si>
    <t>An important shaman was alleged to be trying to distance Genghis Khan from which of his brothers?</t>
  </si>
  <si>
    <t>Teacher enthusiasm</t>
  </si>
  <si>
    <t>In August 1994, which Flint, Michigan affiliate did ABC purchase?</t>
  </si>
  <si>
    <t>In what year did Harvard Stadium become the first ever concrete reinforced stadium in the country?</t>
  </si>
  <si>
    <t>saw them as too Chinese</t>
  </si>
  <si>
    <t>Skaro</t>
  </si>
  <si>
    <t>Which territory did Jochi try to protect that may have led to a dispute with his brothers?</t>
  </si>
  <si>
    <t>the Colorado Desert</t>
  </si>
  <si>
    <t>because of the greater density of cold water</t>
  </si>
  <si>
    <t>Dudley Simpson</t>
  </si>
  <si>
    <t>state security</t>
  </si>
  <si>
    <t>not taking jobs due to marriage or pregnancy</t>
  </si>
  <si>
    <t>Only four episodes have ever had their premiere showings on channels other than BBC One. The 1983 20th anniversary special The Five Doctors had its début on 23 November (the actual date of the anniversary) on a number of PBS stations two days prior to its BBC One broadcast. The 1988 story Silver Nemesis was broadcast with all three episodes airing back to back on TVNZ in New Zealand in November, after the first episode had been shown in the UK but before the final two instalments had aired there. Finally, the 1996 television film premièred on 12 May 1996 on CITV in Edmonton, Canada, 15 days before the BBC One showing, and two days before it aired on Fox in the United States.[citation needed]</t>
  </si>
  <si>
    <t>Manning finished the game 13 of 23 for 141 yards with one interception and zero touchdowns. Sanders was his top receiver with six receptions for 83 yards. Anderson was the game's leading rusher with 90 yards and a touchdown, along with four receptions for 10 yards. Miller had six total tackles (five solo), 2½ sacks, and two forced fumbles. Ware had five total tackles and two sacks. Ward had seven total tackles, a fumble recovery, and an interception. McManus made all four of his field goals, making him perfect on all 11 attempts during the post-season. Newton completed 18 of 41 passes for 265 yards, with one interception. He was also the team's leading rusher with 45 yards on six carries. Brown caught four passes for 80 yards, while Ginn had four receptions for 74. Ealy was the top defensive performer for Carolina with four total tackles, three sacks, a forced fumble, a fumble recovery, and an interception. Defensive End Charles Johnson had four total tackles, a sack, and a forced fumble. Linebacker Luke Kuechly had 11 total tackles, while Thomas Davis had seven, despite playing just two weeks after breaking his right arm in the NFC title game.</t>
  </si>
  <si>
    <t>Who said people involved in the ozone situation had "a better understanding of scientific ignorance and uncertainties"?</t>
  </si>
  <si>
    <t>Genghis Khan and his family</t>
  </si>
  <si>
    <t>What notion keeps it's meaning through both Netonian and Schrodinger physics equations?</t>
  </si>
  <si>
    <t>The Amazon</t>
  </si>
  <si>
    <t>Doctor Who originally ran for 26 seasons on BBC One, from 23 November 1963 until 6 December 1989. During the original run, each weekly episode formed part of a story (or "serial") — usually of four to six parts in earlier years and three to four in later years. Notable exceptions were: The Daleks' Master Plan, which aired in 12 episodes (plus an earlier one-episode teaser, "Mission to the Unknown", featuring none of the regular cast); almost an entire season of seven-episode serials (season 7); the 10-episode serial The War Games; and The Trial of a Time Lord, which ran for 14 episodes (albeit divided into three production codes and four narrative segments) during season 23. Occasionally serials were loosely connected by a storyline, such as season 8 being devoted to the Doctor battling a rogue Time Lord called The Master, season 16's quest for The Key to Time, season 18's journey through E-Space and the theme of entropy, and season 20's Black Guardian Trilogy.</t>
  </si>
  <si>
    <t>Steam_engine</t>
  </si>
  <si>
    <t>Teenage Mutant Ninja Turtles: Out of the Shadows</t>
  </si>
  <si>
    <t>of the United States, Britain, Germany and France</t>
  </si>
  <si>
    <t>After each team punted, Panthers quarterback Cam Newton appeared to complete a 24-yard pass Jerricho Cotchery, but the call was ruled an incompletion and upheld after a replay challenge. CBS analyst and retired referee Mike Carey stated he disagreed with the call and felt the review clearly showed the pass was complete. A few plays later, on 3rd-and-10 from the 15-yard line, linebacker Von Miller knocked the ball out of Newton's hands while sacking him, and Malik Jackson recovered it in the end zone for a Broncos touchdown, giving the team a 10–0 lead. This was the first fumble return touchdown in a Super Bowl since Super Bowl XXVIII at the end of the 1993 season.</t>
  </si>
  <si>
    <t>BPP, ZPP and RP</t>
  </si>
  <si>
    <t>What are two types of phagocytes that travel through the body to find invading pathogens?</t>
  </si>
  <si>
    <t>population-wide satisfaction and happiness</t>
  </si>
  <si>
    <t>everything from bringing a test-case in the federal courts to taking aim at a federal official</t>
  </si>
  <si>
    <t>North County regions</t>
  </si>
  <si>
    <t>regulatory</t>
  </si>
  <si>
    <t>How many seasons did NYPD Blue last?</t>
  </si>
  <si>
    <t>What do chloroplasts look like in spinach grown in green light?</t>
  </si>
  <si>
    <t>eastern coast of the continent</t>
  </si>
  <si>
    <t>taught a large class of students</t>
  </si>
  <si>
    <t>October 6, 2004</t>
  </si>
  <si>
    <t>CFTO-TV</t>
  </si>
  <si>
    <t>exploitation of the valuable assets and supplies of the nation that was conquered and the conquering nation then gaining the benefits</t>
  </si>
  <si>
    <t>What led to the production of tea paraphernalia such as china and caddies during the Georgian period?</t>
  </si>
  <si>
    <t>Brest</t>
  </si>
  <si>
    <t>What usually takes reenergized electrons?</t>
  </si>
  <si>
    <t>abstract</t>
  </si>
  <si>
    <t>£32,583</t>
  </si>
  <si>
    <t>Henry Cavendish</t>
  </si>
  <si>
    <t>What limits the Rankine cycle's efficiency?</t>
  </si>
  <si>
    <t>North America</t>
  </si>
  <si>
    <t>ambiguity</t>
  </si>
  <si>
    <t>How did Brainbridge's official ledgers report revenue?</t>
  </si>
  <si>
    <t>When did photosynthetic organisms evolve on Earth?</t>
  </si>
  <si>
    <t>Cestum veneris</t>
  </si>
  <si>
    <t>What type of rock is found at the Grand Canyon?</t>
  </si>
  <si>
    <t>Until 1987, what stance did the Muslim Brotherhood in Palestine take towards Israel?</t>
  </si>
  <si>
    <t>Catawba, Muskogee-speaking Creek and Choctaw</t>
  </si>
  <si>
    <t>over 60 percent</t>
  </si>
  <si>
    <t>the flail of God,</t>
  </si>
  <si>
    <t>Roy</t>
  </si>
  <si>
    <t>Following the series revival in 2005, Derek Jacobi provided the character's re-introduction in the 2007 episode "Utopia". During that story the role was then assumed by John Simm who returned to the role multiple times through the Tenth Doctor's tenure. As of the 2014 episode "Dark Water," it was revealed that the Master had become a female incarnation or "Time Lady," going by the name of "Missy" (short for Mistress, the feminine equivalent of "Master"). This incarnation is played by Michelle Gomez.</t>
  </si>
  <si>
    <t>Longwood Medical and Academic Area</t>
  </si>
  <si>
    <t>peridinin</t>
  </si>
  <si>
    <t>49.6%</t>
  </si>
  <si>
    <t>Linda Dessau</t>
  </si>
  <si>
    <t>spin</t>
  </si>
  <si>
    <t>a spin triplet state</t>
  </si>
  <si>
    <t>What was it called when Tesla lit a wireless gas-discharge lamp using a high-frequency, high-voltage alternating current?</t>
  </si>
  <si>
    <t>a turbo generator set with propulsion provided by electric motors</t>
  </si>
  <si>
    <t>Inequality in the presence of credit market imperfections has what kind of effect on human capital formation?</t>
  </si>
  <si>
    <t>By what means is bulk oxygen shipped?</t>
  </si>
  <si>
    <t>The hardest problems in NP can be analogously written as what class of problems?</t>
  </si>
  <si>
    <t>Song dynasty</t>
  </si>
  <si>
    <t>Who found that a culture had developed where few Commissioners had any sense of responsibility?</t>
  </si>
  <si>
    <t>ferrying crews to a space station, circumlunar flights, and eventual manned lunar landings</t>
  </si>
  <si>
    <t>In what cases can the EU not override German law?</t>
  </si>
  <si>
    <t>isothermal</t>
  </si>
  <si>
    <t>The city developed around the Roman settlement Pons Aelius and was named after the castle built in 1080 by Robert Curthose, William the Conqueror's eldest son. The city grew as an important centre for the wool trade in the 14th century, and later became a major coal mining area. The port developed in the 16th century and, along with the shipyards lower down the River Tyne, was amongst the world's largest shipbuilding and ship-repairing centres. Newcastle's economy includes corporate headquarters, learning, digital technology, retail, tourism and cultural centres, from which the city contributes £13 billion towards the United Kingdom's GVA. Among its icons are Newcastle Brown Ale; Newcastle United football club; and the Tyne Bridge. It has hosted the world's most popular half marathon, the Great North Run, since it began in 1981.</t>
  </si>
  <si>
    <t>British lace</t>
  </si>
  <si>
    <t>Where did Tesla teach in Gospic?</t>
  </si>
  <si>
    <t>7.9 million</t>
  </si>
  <si>
    <t>What enemy of Doctor Who is also a Time Lord?</t>
  </si>
  <si>
    <t>It is now possible to convert old relative ages into what type of ages using isotopic dating?</t>
  </si>
  <si>
    <t>What characteristic best describes the agricultural regions that could be found?</t>
  </si>
  <si>
    <t>At what pressure is water heated in the Rankine cycle?</t>
  </si>
  <si>
    <t>plant cell which contains chloroplasts</t>
  </si>
  <si>
    <t>over half</t>
  </si>
  <si>
    <t>He produced artificial lightning, with discharges consisting of millions of volts and up to 135 feet long. Thunder from the released energy was heard 15 miles away in Cripple Creek, Colorado. People walking along the street observed sparks jumping between their feet and the ground. Sparks sprang from water line taps when touched. Light bulbs within 100 feet of the lab glowed even when turned off. Horses in a livery stable bolted from their stalls after receiving shocks through their metal shoes. Butterflies were electrified, swirling in circles with blue halos of St. Elmo's fire around their wings.</t>
  </si>
  <si>
    <t>. Jim Gray</t>
  </si>
  <si>
    <t>What is the name of the service that gets local businesses contract chances with the Super Bowl?</t>
  </si>
  <si>
    <t>How many general questions are available to opposition leaders?</t>
  </si>
  <si>
    <t>integer factorization</t>
  </si>
  <si>
    <t>1329</t>
  </si>
  <si>
    <t>Tsakhiagiin Elbegdorj</t>
  </si>
  <si>
    <t>turbo-electric transmission,</t>
  </si>
  <si>
    <t>mercantilism</t>
  </si>
  <si>
    <t>What follows secondary education?</t>
  </si>
  <si>
    <t>Who worked later on to find these missing magnetic tapes that had data stored on them?</t>
  </si>
  <si>
    <t>What type of regime ruled over Sudan for many years?</t>
  </si>
  <si>
    <t>anointing with oil.</t>
  </si>
  <si>
    <t>Dendritic cells (DC) are phagocytes in tissues that are in contact with the external environment; therefore, they are located mainly in the skin, nose, lungs, stomach, and intestines. They are named for their resemblance to neuronal dendrites, as both have many spine-like projections, but dendritic cells are in no way connected to the nervous system. Dendritic cells serve as a link between the bodily tissues and the innate and adaptive immune systems, as they present antigens to T cells, one of the key cell types of the adaptive immune system.</t>
  </si>
  <si>
    <t>It is that power which enables us to love and motivates us to seek a relationship with God through Jesus Christ.</t>
  </si>
  <si>
    <t>Hadrian's</t>
  </si>
  <si>
    <t>149,025</t>
  </si>
  <si>
    <t>the role of nineteenth-century maps during the "scramble for Africa"</t>
  </si>
  <si>
    <t>When would the occupation of allies leave Rhineland?</t>
  </si>
  <si>
    <t>intractable problems</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</si>
  <si>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</si>
  <si>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participant in the IPCC and coordinating lead author of the Fifth Assessment Report</t>
  </si>
  <si>
    <t>Extra pay</t>
  </si>
  <si>
    <t>Starkie Gardner</t>
  </si>
  <si>
    <t>just a harassment</t>
  </si>
  <si>
    <t>What do counties sometimes offer to get more teachers?</t>
  </si>
  <si>
    <t>Genghis Khan united the Mongol and Turkic tribes of the steppes and became Great Khan in 1206. He and his successors expanded the Mongol empire across Asia. Under the reign of Genghis' third son, Ögedei Khan, the Mongols destroyed the weakened Jin dynasty in 1234, conquering most of northern China. Ögedei offered his nephew Kublai a position in Xingzhou, Hebei. Kublai was unable to read Chinese but had several Han Chinese teachers attached to him since his early years by his mother Sorghaghtani. He sought the counsel of Chinese Buddhist and Confucian advisers. Möngke Khan succeeded Ögedei's son, Güyük,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</si>
  <si>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What religion is the western region mostly?</t>
  </si>
  <si>
    <t>in C4 plants</t>
  </si>
  <si>
    <t>the direction of making it seem like climate change is more serious</t>
  </si>
  <si>
    <t>1469</t>
  </si>
  <si>
    <t>stereoscopic theatre</t>
  </si>
  <si>
    <t>grant a consent search of his property,</t>
  </si>
  <si>
    <t>When did The German Peasants War happen?</t>
  </si>
  <si>
    <t>Which IPCC author criticized the TAR?</t>
  </si>
  <si>
    <t>At first he sent missionaries, backed by a fund to financially reward converts to Catholicism</t>
  </si>
  <si>
    <t>What is the metric term less used than the Newton?</t>
  </si>
  <si>
    <t>Dead Ringers</t>
  </si>
  <si>
    <t>In what year did Tesla die?</t>
  </si>
  <si>
    <t>the natural specificity</t>
  </si>
  <si>
    <t>His patents</t>
  </si>
  <si>
    <t>the Mongol Empire</t>
  </si>
  <si>
    <t>peptidoglycan</t>
  </si>
  <si>
    <t>Russia</t>
  </si>
  <si>
    <t>worker, capitalist/business owner, landlord</t>
  </si>
  <si>
    <t>Who had no real military power during the Yuan?</t>
  </si>
  <si>
    <t>geological period</t>
  </si>
  <si>
    <t>Which entities have powers of amendment and veto during the legislative process?</t>
  </si>
  <si>
    <t>14th to the 19th century</t>
  </si>
  <si>
    <t>6th century</t>
  </si>
  <si>
    <t>Miller</t>
  </si>
  <si>
    <t>Which directive mentioned was created in 1994?</t>
  </si>
  <si>
    <t>Some priests and former religious had already married, including Andreas Karlstadt and Justus Jonas, but Luther's wedding set the seal of approval on clerical marriage. He had long condemned vows of celibacy on Biblical grounds, but his decision to marry surprised many, not least Melanchthon, who called it reckless. Luther had written to George Spalatin on 30 November 1524, "I shall never take a wife, as I feel at present. Not that I am insensible to my flesh or sex (for I am neither wood nor stone); but my mind is averse to wedlock because I daily expect the death of a heretic." Before marrying, Luther had been living on the plainest food, and, as he admitted himself, his mildewed bed was not properly made for months at a time.</t>
  </si>
  <si>
    <t>Why did so many not approve of the bill?</t>
  </si>
  <si>
    <t>number one</t>
  </si>
  <si>
    <t>8 million</t>
  </si>
  <si>
    <t>What was Isiah Bowman nick name, as known by the public.</t>
  </si>
  <si>
    <t>15 days</t>
  </si>
  <si>
    <t>dephlogisticated air</t>
  </si>
  <si>
    <t>Graz</t>
  </si>
  <si>
    <t>How many yards was the pass on the first drive?</t>
  </si>
  <si>
    <t>they exhibit a distinct chloroplast dimorphism</t>
  </si>
  <si>
    <t>In 1970, ABC debuted Monday Night Football as part of its Monday prime time schedule; the program became a hit for the network and served as the National Football League (NFL)'s premier game of the week until 2006, when Sunday Night Football, which moved to NBC that year as part of a broadcast deal that in turn saw MNF move to ESPN, took over as the league's marquee game. According to Goldenson, Monday Night Football helped earn ABC regularly score an audience share of 15%–16%; ABC Sports managed the budget for the Monday night time slot to reallocate the weekly budget for ABC's prime time schedule to just six days, as opposed to seven on competing networks. 1970 also saw the premieres of several soap operas including the long-running All My Children, which ran on the network for 41 years.</t>
  </si>
  <si>
    <t>How many members make up the Judicial Council?</t>
  </si>
  <si>
    <t>its supporters</t>
  </si>
  <si>
    <t>evaluation of the appropriateness of the drug therapy</t>
  </si>
  <si>
    <t>the time taken</t>
  </si>
  <si>
    <t>use of a decentralized network with multiple paths between any two points, dividing user messages into message blocks</t>
  </si>
  <si>
    <t>The earliest items in the jewelry collection come from which ancient civilization?</t>
  </si>
  <si>
    <t>What was the eventual final goal of the Apollo projects?</t>
  </si>
  <si>
    <t>symbiotic</t>
  </si>
  <si>
    <t>social goal</t>
  </si>
  <si>
    <t>penance and righteousness</t>
  </si>
  <si>
    <t>net</t>
  </si>
  <si>
    <t>attacked the British</t>
  </si>
  <si>
    <t>chao</t>
  </si>
  <si>
    <t>What force acts on an object suspended on a spring scale in addition to gravity?</t>
  </si>
  <si>
    <t>"We Love TV" image campaign</t>
  </si>
  <si>
    <t>128,843</t>
  </si>
  <si>
    <t>What did Aristotle refer to forced motion as?</t>
  </si>
  <si>
    <t>Wiesner</t>
  </si>
  <si>
    <t>Who developed the 2007 imaging campaign for ABC?</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</si>
  <si>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</si>
  <si>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was Tesla's fathers occupation?</t>
  </si>
  <si>
    <t>To what century did the idea of ether belong?</t>
  </si>
  <si>
    <t>What does the immune system protect against?</t>
  </si>
  <si>
    <t>road white jerseys</t>
  </si>
  <si>
    <t>May 18, 1756</t>
  </si>
  <si>
    <t>legal system</t>
  </si>
  <si>
    <t>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t>
  </si>
  <si>
    <t>compounds of oxygen with a high oxidative potential</t>
  </si>
  <si>
    <t>What year was Temüjin, who became Genghis Khan, likely born?</t>
  </si>
  <si>
    <t>Who does a gender pay gap tend to favor?</t>
  </si>
  <si>
    <t>What equation currently decribes the physics of force.</t>
  </si>
  <si>
    <t>What vehicle did Doctor Who use for his escape from Gallifrey?</t>
  </si>
  <si>
    <t>How large are the outer PD ring's filaments?</t>
  </si>
  <si>
    <t>Which examples of fashion does the museum continue to acquire for its collection?</t>
  </si>
  <si>
    <t>1776</t>
  </si>
  <si>
    <t>propaganda</t>
  </si>
  <si>
    <t>Microplates squeezing and rotating created the features of what?</t>
  </si>
  <si>
    <t>use of technology,</t>
  </si>
  <si>
    <t>Who set up what became the Second Polish Republic?</t>
  </si>
  <si>
    <t>The time and space hierarchy theorems</t>
  </si>
  <si>
    <t>one in five</t>
  </si>
  <si>
    <t>result of its colouring</t>
  </si>
  <si>
    <t>an attempt to reform the constitutional law of the European Union and make it more transparent</t>
  </si>
  <si>
    <t>AD 14</t>
  </si>
  <si>
    <t>formidable natural obstacle</t>
  </si>
  <si>
    <t>What type of Turing machine is capable of multiple actions and extends into a variety of computational paths?</t>
  </si>
  <si>
    <t>How many passengers can the Ford Fiesta accommodate?</t>
  </si>
  <si>
    <t>When does the annual animal migration occur?</t>
  </si>
  <si>
    <t>wealth</t>
  </si>
  <si>
    <t>Hormones released during sleep support the interaction of T-cells and what species?</t>
  </si>
  <si>
    <t>the fourth Session</t>
  </si>
  <si>
    <t>What was the name of Wesley's famous sermon in which he warned against the dangers of drinking?</t>
  </si>
  <si>
    <t>How many areas were impacted by the the death of vegetation in the 2010 drought?</t>
  </si>
  <si>
    <t>the largest suburban shopping areas</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</si>
  <si>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</si>
  <si>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in 2014</t>
  </si>
  <si>
    <t>low-band VHF</t>
  </si>
  <si>
    <t>How many outputs are expected for each input in a function problem?</t>
  </si>
  <si>
    <t>In a market economy, what is inequality a reflection of?</t>
  </si>
  <si>
    <t>How many academic research divisions does the University of Chicago have?</t>
  </si>
  <si>
    <t>What type of steam engine doesn't need valves to direct steam?</t>
  </si>
  <si>
    <t>In 2007, the Kenyan government unveiled Vision 2030, an economic development programme it hopes will put the country in the same league as the Asian Economic Tigers by the year 2030. In 2013, it launched a National Climate Change Action Plan, having acknowledged that omitting climate as a key development issue in Vision 2030 was an oversight. The 200-page Action Plan, developed with support from the Climate &amp; Development Knowledge Network, sets out the Government of Kenya's vision for a 'low carbon climate resilient development pathway'. At the launch in March 2013, the Secretary of the Ministry of Planning, National Development and Vision 2030 emphasised that climate will be a central issue in the renewed Medium Term Plan that will be launched in the coming months. This will create a direct and robust delivery framework for the Action Plan and ensure climate change is treated as an economy-wide issue.</t>
  </si>
  <si>
    <t>SkyHD box</t>
  </si>
  <si>
    <t>Edict of Fontainebleau</t>
  </si>
  <si>
    <t>Timur</t>
  </si>
  <si>
    <t>Gottfried Fritschel</t>
  </si>
  <si>
    <t>in order to reduce consumer costs</t>
  </si>
  <si>
    <t>Subutai</t>
  </si>
  <si>
    <t>Who allegedly coined the name Black Death?</t>
  </si>
  <si>
    <t>Where can Aeolian sand with a number of dunes be found?</t>
  </si>
  <si>
    <t>How much capital did UK law require to start a company?</t>
  </si>
  <si>
    <t>receptions, gatherings or exhibition purposes</t>
  </si>
  <si>
    <t>what they deem to be unfair</t>
  </si>
  <si>
    <t>What percentage of British children are educated at GSCE level in fee-paying schools?</t>
  </si>
  <si>
    <t>B cell</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</si>
  <si>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</si>
  <si>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suspected to have a supporting function</t>
  </si>
  <si>
    <t>Northern Rail</t>
  </si>
  <si>
    <t>Selznick</t>
  </si>
  <si>
    <t>attack on New France's capital, Quebec</t>
  </si>
  <si>
    <t>reflective of individual contributions</t>
  </si>
  <si>
    <t>Who reportedly wanted Tesla's company?</t>
  </si>
  <si>
    <t>49–15,</t>
  </si>
  <si>
    <t>quicksort</t>
  </si>
  <si>
    <t>Hangzhou</t>
  </si>
  <si>
    <t>Which British sculptor and a leading member of the New Sculpture movement is represented in the the V&amp;A collection?</t>
  </si>
  <si>
    <t>Islamic fundamentalist or neofundamentalist</t>
  </si>
  <si>
    <t>NP-intermediate</t>
  </si>
  <si>
    <t>What type of camera was used to record the Moon landing?</t>
  </si>
  <si>
    <t>ctenes</t>
  </si>
  <si>
    <t>How old were the fossils found in China?</t>
  </si>
  <si>
    <t>Dillon, Read &amp; Co</t>
  </si>
  <si>
    <t>Since the 1970s</t>
  </si>
  <si>
    <t>males</t>
  </si>
  <si>
    <t>Kenya National Dialogue and Reconciliation</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</si>
  <si>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</si>
  <si>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Southern</t>
  </si>
  <si>
    <t>The most basic method of checking the primality of a given integer n is called trial division. This routine consists of dividing n by each integer m that is greater than 1 and less than or equal to the square root of n. If the result of any of these divisions is an integer, then n is not a prime, otherwise it is a prime. Indeed, if  is composite (with a and b ≠ 1) then one of the factors a or b is necessarily at most . For example, for , the trial divisions are by m = 2, 3, 4, 5, and 6. None of these numbers divides 37, so 37 is prime. This routine can be implemented more efficiently if a complete list of primes up to  is known—then trial divisions need to be checked only for those m that are prime. For example, to check the primality of 37, only three divisions are necessary (m = 2, 3, and 5), given that 4 and 6 are composite.</t>
  </si>
  <si>
    <t>1024-bit</t>
  </si>
  <si>
    <t>What victory at thwarted efforts of French relief ships.</t>
  </si>
  <si>
    <t>What does chlorophyll absorb?</t>
  </si>
  <si>
    <t>Unemployment</t>
  </si>
  <si>
    <t>temperature</t>
  </si>
  <si>
    <t>Since forces are perceived as pushes or pulls, this can provide an intuitive understanding for describing forces. As with other physical concepts (e.g. temperature), the intuitive understanding of forces is quantified using precise operational definitions that are consistent with direct observations and compared to a standard measurement scale. Through experimentation, it is determined that laboratory measurements of forces are fully consistent with the conceptual definition of force offered by Newtonian mechanics.</t>
  </si>
  <si>
    <t>Who asked Luther to teach theology at the University of Wittenberg?</t>
  </si>
  <si>
    <t>value of the Caribbean islands' sugar cane to be greater and easier to defend than the furs from the continent</t>
  </si>
  <si>
    <t>What political leaning does the Cato Institute have?</t>
  </si>
  <si>
    <t>The word pharmacy is derived from its root word pharma which was a term used since the 15th–17th centuries. However, the original Greek roots from pharmakos imply sorcery or even poison. In addition to pharma responsibilities, the pharma offered general medical advice and a range of services that are now performed solely by other specialist practitioners, such as surgery and midwifery. The pharma (as it was referred to) often operated through a retail shop which, in addition to ingredients for medicines, sold tobacco and patent medicines. Often the place that did this was called an apothecary and several languages have this as the dominant term, though their practices are more akin to a modern pharmacy, in English the term apothecary would today be seen as outdated or only approproriate if herbal remedies were on offer to a large extent. The pharmas also used many other herbs not listed. The Greek word Pharmakeia (Greek: φαρμακεία) derives from pharmakon (φάρμακον), meaning "drug", "medicine" (or "poison").[n 1]</t>
  </si>
  <si>
    <t>siblings' families continuing in their father Hans Luther's copper mining</t>
  </si>
  <si>
    <t>Most species are hermaphrodites—a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t>
  </si>
  <si>
    <t>In 1516, Johann Tetzel, a Dominican friar and papal commissioner for indulgences, was sent to Germany by the Roman Catholic Church to sell indulgences to raise money to rebuild St. Peter's Basilica in Rome. Roman Catholic theology stated that faith alone, whether fiduciary or dogmatic, cannot justify man; justification rather depends only on such faith as is active in charity and good works (fides caritate formata). The benefits of good works could be obtained by donating money to the church.</t>
  </si>
  <si>
    <t>lymphokines</t>
  </si>
  <si>
    <t>Christ</t>
  </si>
  <si>
    <t>When did Huguenots colonize in North America?</t>
  </si>
  <si>
    <t>When was a study published confirming the 2001 IPCC projections?</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</si>
  <si>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</si>
  <si>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Warsaw University of Technology</t>
  </si>
  <si>
    <t>education</t>
  </si>
  <si>
    <t>Formed in 1946, Sierra Sky Park Airport is a residential airport community born of a unique agreement in transportation law to allow personal aircraft and automobiles to share certain roads. Sierra Sky Park was the first aviation community to be built[citation needed] and there are now numerous such communities across the United States and around the world. Developer William Smilie created the nation's first planned aviation community. Still in operation today, the public use airport provides a unique neighborhood that spawned interest and similar communities nationwide.</t>
  </si>
  <si>
    <t>being methodical and exceptionally detailed in their Bible study, opinions and disciplined lifestyle.</t>
  </si>
  <si>
    <t>Maria Goeppert-Mayer</t>
  </si>
  <si>
    <t>defeat of Napoleon</t>
  </si>
  <si>
    <t>typographical error</t>
  </si>
  <si>
    <t>Second law of thermodynamics</t>
  </si>
  <si>
    <t>greenhouse gas</t>
  </si>
  <si>
    <t>to protect their tribal lands from commercial interests</t>
  </si>
  <si>
    <t>antigen from a pathogen</t>
  </si>
  <si>
    <t>Brompton Park House</t>
  </si>
  <si>
    <t>life expectancy</t>
  </si>
  <si>
    <t>June 4, 2014</t>
  </si>
  <si>
    <t>taxation</t>
  </si>
  <si>
    <t>King Malcolm III of Scotland</t>
  </si>
  <si>
    <t>Which two Mongol leaders added Persia to the Mongol Empire?</t>
  </si>
  <si>
    <t>instrument of national foreign policy</t>
  </si>
  <si>
    <t>The Small Catechism</t>
  </si>
  <si>
    <t>"silly argument" and "a non-issue . . . a diversion."</t>
  </si>
  <si>
    <t>ctenophores and cnidarians</t>
  </si>
  <si>
    <t>What kind of T cells have the purpose of modulating the immune response?</t>
  </si>
  <si>
    <t>Large-scale regeneration has replaced former shipping premises with imposing new office developments; an innovative tilting bridge, the Gateshead Millennium Bridge was commissioned by Gateshead Council and has integrated the older Newcastle Quayside more closely with major cultural developments in Gateshead, including the BALTIC Centre for Contemporary Art, the venue for the Turner Prize 2011 and the Norman Foster-designed The Sage Gateshead music centre. The Newcastle and Gateshead Quaysides are now a thriving, cosmopolitan area with bars, restaurants and public spaces. As a tourist promotion, Newcastle and Gateshead have linked together under the banner "NewcastleGateshead", to spearhead the regeneration of the North-East. The River Tyne had the temporary Bambuco Bridge in 2008 for ten days; it was not made for walking, road or cycling, but was just a sculpture.</t>
  </si>
  <si>
    <t>March 2011</t>
  </si>
  <si>
    <t>a "racket"</t>
  </si>
  <si>
    <t>The Huguenots were the first Europeans to live in what modern New York borough?</t>
  </si>
  <si>
    <t>How can you protest against the government in an individual way?</t>
  </si>
  <si>
    <t>a statement</t>
  </si>
  <si>
    <t>electronic consoles</t>
  </si>
  <si>
    <t>efforts to fortify Oswego were bogged down in logistical difficulties, exacerbated by Shirley's inexperience</t>
  </si>
  <si>
    <t>What was Luther's major work of 60,000 words on the Jews?</t>
  </si>
  <si>
    <t>Conservative Party</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</si>
  <si>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</si>
  <si>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For how long did Tesla receive this compensation?</t>
  </si>
  <si>
    <t>Train operator Virgin Trains East Coast provides a half-hourly frequency of trains to London King's Cross, with a journey time of about three hours, these services call at Durham, Darlington, York, Doncaster, Newark North Gate and Peterborough and north to Scotland with all trains calling at Edinburgh and a small number of trains extended to Glasgow, Aberdeen and Inverness. CrossCountry trains serve destinations in Yorkshire, the Midlands and the South West. First TransPennine Express operates services to Manchester and Liverpool. Northern Rail provides local and regional services.</t>
  </si>
  <si>
    <t>$20 billion</t>
  </si>
  <si>
    <t>Who explored Ohio territory in 1750?</t>
  </si>
  <si>
    <t>lacked tentacles</t>
  </si>
  <si>
    <t>1,435 mm</t>
  </si>
  <si>
    <t>more than 1,100</t>
  </si>
  <si>
    <t>Who played the War Doctor?</t>
  </si>
  <si>
    <t>Immigrants arrived from all over the world to search for gold, especially from Ireland and China. Many Chinese miners worked in Victoria, and their legacy is particularly strong in Bendigo and its environs. Although there was some racism directed at them, there was not the level of anti-Chinese violence that was seen at the Lambing Flat riots in New South Wales. However, there was a riot at Buckland Valley near Bright in 1857. Conditions on the gold fields were cramped and unsanitary; an outbreak of typhoid at Buckland Valley in 1854 killed over 1,000 miners.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</si>
  <si>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</si>
  <si>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How did the Islamic Group's campaign to overthrow the government turn out?</t>
  </si>
  <si>
    <t>most reliable</t>
  </si>
  <si>
    <t>In what state is oxygen shipped in bulk?</t>
  </si>
  <si>
    <t>Where did Luther spend his career?</t>
  </si>
  <si>
    <t>Stromules</t>
  </si>
  <si>
    <t>Germany started to build her own colonial empire</t>
  </si>
  <si>
    <t>The 1970s were highlighted by several successful comedy, fantasy, action and superhero-themed series for the network including Kung Fu, The Six Million Dollar Man, Wonder Woman, Starsky &amp; Hutch, Charlie's Angels, The Bionic Woman, Fantasy Island and Battlestar Galactica. Many of these series were greenlit by Silverman, who left ABC in 1978 to become president of NBC's entertainment division. The rousing success of Happy Days also led to a successful spin-off series, Laverne &amp; Shirley, which debuted in 1976. Charlie's Angels and Three's Company (which debuted in 1977) were two prime examples of a trend among the major networks during the 1970s known as "jiggle TV", featuring attractive, often buxom, women in main and guest roles.</t>
  </si>
  <si>
    <t>What separates the neuroimmune system and peripheral immune system in humans?</t>
  </si>
  <si>
    <t>World News Tonight</t>
  </si>
  <si>
    <t>not a Scottish minister</t>
  </si>
  <si>
    <t>are arranged in grana</t>
  </si>
  <si>
    <t>In January 1880, two of Tesla's uncles put together enough money to help him leave Gospić for Prague where he was to study. Unfortunately, he arrived too late to enroll at Charles-Ferdinand University; he never studied Greek, a required subject; and he was illiterate in Czech, another required subject. Tesla did, however, attend lectures at the university, although, as an auditor, he did not receive grades for the courses.</t>
  </si>
  <si>
    <t>What Super Bowl did Rivera play in as a player?</t>
  </si>
  <si>
    <t>provide better absolute bounds on the timing and rates of deposition</t>
  </si>
  <si>
    <t>Eicosanoids include what compounds that result in fever and blood vessel dilation?</t>
  </si>
  <si>
    <t>trouble distinguishing between carbon dioxide and oxygen</t>
  </si>
  <si>
    <t>1st</t>
  </si>
  <si>
    <t>Prince Louis de Condé</t>
  </si>
  <si>
    <t>plan for an invasion of Western Europe during the Cold War</t>
  </si>
  <si>
    <t>The V&amp;A is in discussion with the University of Dundee, University of Abertay, Dundee City Council and the Scottish Government with a view to opening a new £43 million gallery in Dundee that would use the V&amp;A brand although it would be funded through and operated independently. As of 2015, with costs estimated at £76 million, it is the most expensive gallery project ever undertaken in Scotland. The V&amp;A Dundee will be on the city's waterfront and is intended to focus on fashion, architecture, product design, graphic arts and photography. It is planned that it could open within five years. Dundee City Council is expected to pay a major part of the running costs. The V&amp;A is not contributing financially, but will be providing expertise, loans and exhibitions.</t>
  </si>
  <si>
    <t>What is a reason for the movement to legalize importing medicines from other countries?</t>
  </si>
  <si>
    <t>What percentage of the U.S. population self-identify with UMC?</t>
  </si>
  <si>
    <t>grana and thylakoids</t>
  </si>
  <si>
    <t>What was the average cost for a TV ad lasting 30 seconds during Super Bowl 50?</t>
  </si>
  <si>
    <t>Who were the ESPN Deportes commentators for Super Bowl 50?</t>
  </si>
  <si>
    <t>epithelium</t>
  </si>
  <si>
    <t>In Antigone, who was the target of civil disobedience?</t>
  </si>
  <si>
    <t>Besides the walk to the church, what else was left out of the day's celebration?</t>
  </si>
  <si>
    <t>the Pulfrich effect</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</si>
  <si>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Included in its provisions was the reservation of lands west of the Appalachian Mountains to its Indian population, a demarcation that was at best a temporary impediment to a rising tide of westward-bound settlers. The proclamation also contained provisions that prevented civic participation by the Roman Catholic Canadians. When accommodations were made in the Quebec Act in 1774 to address this and other issues, religious concerns were raised in the largely Protestant Thirteen Colonies over the advance of "popery"; the Act maintained French Civil law, including the seigneurial system, a medieval code soon to be removed from France within a generation by the French Revolution.</t>
  </si>
  <si>
    <t>1859 and 1865</t>
  </si>
  <si>
    <t>What was the second meaning of a Chinese word for 'barracks'?</t>
  </si>
  <si>
    <t>What is the area called where two plates move apart?</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</si>
  <si>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</si>
  <si>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part the composition of the Earth's atmosphere is comprised of oxygen?</t>
  </si>
  <si>
    <t>to arrest Luther</t>
  </si>
  <si>
    <t>When was the outbreak of World War I?</t>
  </si>
  <si>
    <t>Ctenophores used to be regarded as "dead ends"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t>
  </si>
  <si>
    <t>after the end of the Mexican War</t>
  </si>
  <si>
    <t>In which year did the V&amp;A's Word and Image Department began a large scale digitization project?</t>
  </si>
  <si>
    <t xml:space="preserve">Between what dates was the building on Pilgrim Street refurbished? </t>
  </si>
  <si>
    <t>John B. Goodenough</t>
  </si>
  <si>
    <t>What was one proposal to let the IPCC respond to new evidence faster?</t>
  </si>
  <si>
    <t>the relevant authority</t>
  </si>
  <si>
    <t>How many Grammys has Lady Gaga won?</t>
  </si>
  <si>
    <t>c1180</t>
  </si>
  <si>
    <t>the Quran, Torah or Bible</t>
  </si>
  <si>
    <t>a deficit</t>
  </si>
  <si>
    <t>Who took control of Edison's company.</t>
  </si>
  <si>
    <t>Effects of inequality researchers have found include higher rates of health and social problems, and lower rates of social goods, a lower level of economic utility in society from resources devoted on high-end consumption, and even a lower level of economic growth when human capital is neglected for high-end consumption. For the top 21 industrialised countries, counting each person equally, life expectancy is lower in more unequal countries (r = -.907). A similar relationship exists among US states (r = -.620).</t>
  </si>
  <si>
    <t>Michael Heckenberger and colleagues of the University of Florida</t>
  </si>
  <si>
    <t>temperate zone</t>
  </si>
  <si>
    <t>Toyota Corona Mark II</t>
  </si>
  <si>
    <t>tuition</t>
  </si>
  <si>
    <t>What do gravitational forces act between?</t>
  </si>
  <si>
    <t>Olympic</t>
  </si>
  <si>
    <t>What leads to lower income inequality?</t>
  </si>
  <si>
    <t>mid-18th century</t>
  </si>
  <si>
    <t>Sargans</t>
  </si>
  <si>
    <t>the problem</t>
  </si>
  <si>
    <t>rats and fleas</t>
  </si>
  <si>
    <t>Xingu tribe</t>
  </si>
  <si>
    <t>the pre-Heian Imperial court</t>
  </si>
  <si>
    <t>What is unusual about C4 plants' chloroplasts?</t>
  </si>
  <si>
    <t>the original force</t>
  </si>
  <si>
    <t>When was the new constitution promulgated?</t>
  </si>
  <si>
    <t>What type of people were being brought back to the way of truth?</t>
  </si>
  <si>
    <t>ozone</t>
  </si>
  <si>
    <t>Neil Armstrong, Michael Collins and Buzz Aldrin.</t>
  </si>
  <si>
    <t>from the 1st century AD to the present</t>
  </si>
  <si>
    <t>assigned them to the company in lieu of stock.</t>
  </si>
  <si>
    <t>In what year was the Joe and Rika Mansueto Library constructed?</t>
  </si>
  <si>
    <t>What did Luther's translation of the Bible promote in the German language?</t>
  </si>
  <si>
    <t>alternating current</t>
  </si>
  <si>
    <t>What is the term for the highest living saint?</t>
  </si>
  <si>
    <t>Super Bowl 50 Host Committee</t>
  </si>
  <si>
    <t>What fixed set of factors determine the actions of a deterministic Turing machine</t>
  </si>
  <si>
    <t>rose to higher political office</t>
  </si>
  <si>
    <t>What percentage of electrical power in the United States is made by steam turbines?</t>
  </si>
  <si>
    <t>What was Maxwell's job?</t>
  </si>
  <si>
    <t>"Isel"</t>
  </si>
  <si>
    <t>The best-known legend</t>
  </si>
  <si>
    <t>Who gives leadership, preaches the Word and conducts marriages, among other duties?</t>
  </si>
  <si>
    <t>pressure to reduce costs and maximize profits</t>
  </si>
  <si>
    <t>outdoors</t>
  </si>
  <si>
    <t>Happy Endings</t>
  </si>
  <si>
    <t>claimants</t>
  </si>
  <si>
    <t>When was the first known historical reference to immunity?</t>
  </si>
  <si>
    <t>Schrödinger equation</t>
  </si>
  <si>
    <t>1908</t>
  </si>
  <si>
    <t>former monastery</t>
  </si>
  <si>
    <t>construction engineer or project manager</t>
  </si>
  <si>
    <t>period of compression</t>
  </si>
  <si>
    <t>performance</t>
  </si>
  <si>
    <t>underground</t>
  </si>
  <si>
    <t>imperialist</t>
  </si>
  <si>
    <t>When did Martin Luther receive his Doctor of Theology?</t>
  </si>
  <si>
    <t>Sir Christopher Wren</t>
  </si>
  <si>
    <t>When did Martin Luther die?</t>
  </si>
  <si>
    <t>NASA's CALIPSO satellite</t>
  </si>
  <si>
    <t>What can faith groups ask the Presiding Officer to do for them?</t>
  </si>
  <si>
    <t>Indirect civil disobedience</t>
  </si>
  <si>
    <t>study halls</t>
  </si>
  <si>
    <t>What event followed the battle?</t>
  </si>
  <si>
    <t>straight lines</t>
  </si>
  <si>
    <t>the Arabs and much of the rest of the Third World</t>
  </si>
  <si>
    <t>European Parliament and the Council of the European Union</t>
  </si>
  <si>
    <t>Blue ribbons in the logo were used to represent which division of ABC?</t>
  </si>
  <si>
    <t>Fox</t>
  </si>
  <si>
    <t>What is Luther's thought about the extent of his church?</t>
  </si>
  <si>
    <t>What day was Tesla's funeral?</t>
  </si>
  <si>
    <t>After an eventful and tiring year for the world during 1968, what type of ending to the year did the images from space provide?</t>
  </si>
  <si>
    <t>among the plankton</t>
  </si>
  <si>
    <t>forming a 'A National Gallery of British Art',</t>
  </si>
  <si>
    <t>lab monitoring, adherence counseling, and assist patients with cost-containment strategies needed to obtain their expensive specialty drugs</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</si>
  <si>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</si>
  <si>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fluorescent screen</t>
  </si>
  <si>
    <t>15 million</t>
  </si>
  <si>
    <t>Bainbridges</t>
  </si>
  <si>
    <t>Philip Roth</t>
  </si>
  <si>
    <t>Where are some words from the Geordia dialect used?</t>
  </si>
  <si>
    <t>entirely religious</t>
  </si>
  <si>
    <t>Approximately how many British watercolours are in the V&amp;A collection?</t>
  </si>
  <si>
    <t>participate in economic life "on a stable and continuous basis"</t>
  </si>
  <si>
    <t>applications such as on-line betting, financial applications</t>
  </si>
  <si>
    <t>What art historical style was used in the decoration for the northern part of the museum?</t>
  </si>
  <si>
    <t>what is the most controversial aspect of imperialism?</t>
  </si>
  <si>
    <t>the floor function</t>
  </si>
  <si>
    <t>metamorphic rock</t>
  </si>
  <si>
    <t>What is more fundamental than force in quanton field theory?</t>
  </si>
  <si>
    <t>Which country is not badly hit by the embargo?</t>
  </si>
  <si>
    <t>materials melted near an impact crater</t>
  </si>
  <si>
    <t>What year did Robert J. Shiller win an Economics Nobel prize?</t>
  </si>
  <si>
    <t>What are some causes of reduced immune function in developed countries?</t>
  </si>
  <si>
    <t>large protein complexes</t>
  </si>
  <si>
    <t>What is Doctor Who's space ship called?</t>
  </si>
  <si>
    <t>Sunnyside</t>
  </si>
  <si>
    <t>Denver took the opening kickoff and started out strong with Peyton Manning completing an 18-yard pass to tight end Owen Daniels and a 22-yard throw to receiver Andre Caldwell. A pair of carries by C. J. Anderson moved the ball up 20 yards to the Panthers 14-yard line, but Carolina's defense dug in over the next three plays. First, linebacker Shaq Thompson tackled Ronnie Hillman for a 3-yard loss. Then after an incompletion, Thomas Davis tackled Anderson for a 1-yard gain on third down, forcing Denver to settle for a 3–0 lead on a Brandon McManus 34-yard field goal. The score marked the first time in the entire postseason that Carolina was facing a deficit.</t>
  </si>
  <si>
    <t>What kind of interethnic marriage became common in the Jin dynasty?</t>
  </si>
  <si>
    <t>151 votes</t>
  </si>
  <si>
    <t>Institutionally, the Normans combined the administrative machinery of the Byzantines, Arabs, and Lombards with their own conceptions of feudal law and order to forge a unique government. Under this state, there was great religious freedom, and alongside the Norman nobles existed a meritocratic bureaucracy of Jews, Muslims and Christians, both Catholic and Eastern Orthodox. The Kingdom of Sicily thus became characterized by Norman, Byzantine Greek, Arab, Lombard and "native" Sicilian populations living in harmony, and its Norman rulers fostered plans of establishing an Empire that would have encompassed Fatimid Egypt as well as the Crusader states in the Levant. One of the great geographical treatises of the Middle Ages, the "Tabula Rogeriana", was written by the Andalusian al-Idrisi for king Roger II of Sicily, and entitled "Kitab Rudjdjar" ("The Book of Roger").</t>
  </si>
  <si>
    <t>Near Sankt Goarshausen</t>
  </si>
  <si>
    <t>six gold</t>
  </si>
  <si>
    <t>When was Tesla brought to Gospic?</t>
  </si>
  <si>
    <t>individual states</t>
  </si>
  <si>
    <t>How much of the greenhouse effect is due to carbon dioxide?</t>
  </si>
  <si>
    <t>blue-green algae</t>
  </si>
  <si>
    <t>greater density of cold water</t>
  </si>
  <si>
    <t xml:space="preserve">Who announced she would step down as leader of the Conservatives? </t>
  </si>
  <si>
    <t>ring of integers of quadratic number fields</t>
  </si>
  <si>
    <t>we are neither making maximum effort nor achieving results necessary if this country is to reach a position of leadership</t>
  </si>
  <si>
    <t>What percentage of Filipino primary school students are in private schools?</t>
  </si>
  <si>
    <t>AGOA</t>
  </si>
  <si>
    <t>meaning that all who are truly believers in every age belong to the holy Church invisible, while the United Methodist Church is a branch of the Church visible,</t>
  </si>
  <si>
    <t>United Nations Framework Convention on Climate Change</t>
  </si>
  <si>
    <t>What theorem states that the probability that a number n is prime is inversely proportional to its logarithm?</t>
  </si>
  <si>
    <t>mathematical models</t>
  </si>
  <si>
    <t>Southern Chinese</t>
  </si>
  <si>
    <t>What was huihui?</t>
  </si>
  <si>
    <t>Sayyid Abul Ala Maududi was an important early twentieth-century figure in the Islamic revival in India, and then after independence from Britain, in Pakistan. Trained as a lawyer he chose the profession of journalism, and wrote about contemporary issues and most importantly about Islam and Islamic law. Maududi founded the Jamaat-e-Islami party in 1941 and remained its leader until 1972. However, Maududi had much more impact through his writing than through his political organising. His extremely influential books (translated into many languages) placed Islam in a modern context, and influenced not only conservative ulema but liberal modernizer Islamists such as al-Faruqi, whose "Islamization of Knowledge" carried forward some of Maududi's key principles.</t>
  </si>
  <si>
    <t>Where are reserved matters stated in the Scotland Act?</t>
  </si>
  <si>
    <t>When did the Eleventh Doctor appear in the Sarah Jane series?</t>
  </si>
  <si>
    <t>Cloth of St Gereon</t>
  </si>
  <si>
    <t>Who studies the expected monetary flow over the life of the project and to monitor the payouts throughout the process?</t>
  </si>
  <si>
    <t>What individuals were responsible for authoring "On the Computational Complexity of Algorithms"?</t>
  </si>
  <si>
    <t>if they were non-discriminatory, "justified by imperative requirements in the general interest" and proportionately applied</t>
  </si>
  <si>
    <t>same-sex unions</t>
  </si>
  <si>
    <t>38–41 °C</t>
  </si>
  <si>
    <t>What did lane and vail finance?</t>
  </si>
  <si>
    <t>East Asia</t>
  </si>
  <si>
    <t>Which TEFU article states that no quantitative restrictions can be placed on trade?</t>
  </si>
  <si>
    <t>Williams</t>
  </si>
  <si>
    <t>The entrance to studio 5</t>
  </si>
  <si>
    <t>Jane Kim</t>
  </si>
  <si>
    <t>1638</t>
  </si>
  <si>
    <t>A teacher's professional duties may extend beyond formal teaching. Outside of the classroom teachers may accompany students on field trips, supervise study halls, help with the organization of school functions, and serve as supervisors for extracurricular activities. In some education systems, teachers may have responsibility for student discipline.</t>
  </si>
  <si>
    <t>The Center in Paris is located near what river?</t>
  </si>
  <si>
    <t>Association of American Universities</t>
  </si>
  <si>
    <t>11</t>
  </si>
  <si>
    <t>time and storage</t>
  </si>
  <si>
    <t>robotic Lunar Reconnaissance Orbiter</t>
  </si>
  <si>
    <t>Mycobacterium tuberculosis</t>
  </si>
  <si>
    <t>climate will be a central issue in the renewed Medium Term Plan that will be launched in the coming months</t>
  </si>
  <si>
    <t>productivity gap</t>
  </si>
  <si>
    <t>three groups</t>
  </si>
  <si>
    <t>When was the University of Chicago established?</t>
  </si>
  <si>
    <t>voluminous literature</t>
  </si>
  <si>
    <t>What type of cells engulf or eat pathogens and foreign particles?</t>
  </si>
  <si>
    <t>Lyndon B. Johnson</t>
  </si>
  <si>
    <t>many other herbs not listed</t>
  </si>
  <si>
    <t>Maxime Faget's preliminary Apollo design employed a cone-shaped command module, supported by one of several service modules providing propulsion and electrical power, sized appropriately for the space station, cislunar, and lunar landing missions. Once Kennedy's Moon landing goal became official, detailed design began of a Command/Service Module (CSM) in which the crew would spend the entire direct-ascent mission and lift off from the lunar surface for the return trip, after being soft-landed by a larger landing propulsion module. The final choice of lunar orbit rendezvous changed the CSM's role to the translunar ferry used to transport the crew, along with a new spacecraft, the Lunar Excursion Module (LEM, later shortened to Lunar Module, LM) which would take two men to the lunar surface and return them to the CSM.</t>
  </si>
  <si>
    <t>Newcastle</t>
  </si>
  <si>
    <t>in herring barrels</t>
  </si>
  <si>
    <t>13 of the protesters attempted to enter the test site</t>
  </si>
  <si>
    <t>Scotland Act 1998</t>
  </si>
  <si>
    <t>programmes to avoid similar disasters in the future</t>
  </si>
  <si>
    <t>What types of diseases are specialty drugs often used against?</t>
  </si>
  <si>
    <t>electric current</t>
  </si>
  <si>
    <t>How often does the European Council meet?</t>
  </si>
  <si>
    <t>What is the legal boundary behind the High and Upper Rind?</t>
  </si>
  <si>
    <t>$32 billion</t>
  </si>
  <si>
    <t>to write psalm-hymns</t>
  </si>
  <si>
    <t>red algae</t>
  </si>
  <si>
    <t>a series of strikes</t>
  </si>
  <si>
    <t>What charity benefited from the 30th anniversary show?</t>
  </si>
  <si>
    <t>What type of sanctions has the US directed at Iran?</t>
  </si>
  <si>
    <t>20th century</t>
  </si>
  <si>
    <t>What are the ties that best described what the "eight counties" are based on?</t>
  </si>
  <si>
    <t>Who developed DATAPAC</t>
  </si>
  <si>
    <t>Families with French names in South Africa speak what language today?</t>
  </si>
  <si>
    <t>What kind of buildings are in the towns of Close, Sandhill and Quayside?</t>
  </si>
  <si>
    <t>Older people get less sun and produce less of what chemical via UVB radiation?</t>
  </si>
  <si>
    <t>Who is the publisher of the Doctor Who Adventures magazine?</t>
  </si>
  <si>
    <t>Justin Tucker</t>
  </si>
  <si>
    <t>Gabriel Zwilling</t>
  </si>
  <si>
    <t>The Rankine cycle and most practical steam engines have a water pump to recycle or top up the boiler water, so that they may be run continuously. Utility and industrial boilers commonly use multi-stage centrifugal pumps; however, other types are used. Another means of supplying lower-pressure boiler feed water is an injector, which uses a steam jet usually supplied from the boiler. Injectors became popular in the 1850s but are no longer widely used, except in applications such as steam locomotives.</t>
  </si>
  <si>
    <t>What gauge of rail lines do two tourist lines use?</t>
  </si>
  <si>
    <t>Whatare the electrostatic and magnetic force awritten as the sum of?</t>
  </si>
  <si>
    <t>Rhine Gorge</t>
  </si>
  <si>
    <t xml:space="preserve">What 3 things does the Air Force work key on </t>
  </si>
  <si>
    <t>France</t>
  </si>
  <si>
    <t>Kenya</t>
  </si>
  <si>
    <t>What do students do after primary school?</t>
  </si>
  <si>
    <t>Only a little</t>
  </si>
  <si>
    <t>the property owner</t>
  </si>
  <si>
    <t>John the Steadfast,</t>
  </si>
  <si>
    <t>What did Tesla explore in Tominaj?</t>
  </si>
  <si>
    <t>more than 20 million years ago</t>
  </si>
  <si>
    <t>most of the chemical energy</t>
  </si>
  <si>
    <t>murder of Christ,</t>
  </si>
  <si>
    <t>mermaid</t>
  </si>
  <si>
    <t>Of what nationality was Martin Luther?</t>
  </si>
  <si>
    <t>Irish linen</t>
  </si>
  <si>
    <t>As well as period rooms, the collection includes parts of buildings, for example the two top stories of the facade of Sir Paul Pindar's house dated c1600 from Bishopsgate with elaborately carved wood work and leaded windows, a rare survivor of the Great Fire of London, there is a brick portal from a London house of the English Restoration period and a fireplace from the gallery of Northumberland house. European examples include a dormer window dated 1523–35 from the chateau of Montal. There are several examples from Italian Renaissance buildings including, portals, fireplaces, balconies and a stone buffet that used to have a built in fountain. The main architecture gallery has a series of pillars from various buildings and different periods, for example a column from the Alhambra. Examples covering Asia are in those galleries concerned with those countries, as well as models and photographs in the main architecture gallery.</t>
  </si>
  <si>
    <t>driving them in front of the army</t>
  </si>
  <si>
    <t>Wellington</t>
  </si>
  <si>
    <t>Base Titanium, a subsidiary of Base resources of Australia</t>
  </si>
  <si>
    <t>What was used by the West to justify control over eastern territories?</t>
  </si>
  <si>
    <t>vitamin D</t>
  </si>
  <si>
    <t xml:space="preserve">Funding limitations allowed CSNET to be what </t>
  </si>
  <si>
    <t>innate force of impetus</t>
  </si>
  <si>
    <t>an electron</t>
  </si>
  <si>
    <t>constituting General Conference in Dallas, Texas</t>
  </si>
  <si>
    <t>In addition to the Vince Lombardi Trophy that all Super Bowl champions receive, the winner of Super Bowl 50 will also receive a large, 18-karat gold-plated "50". Each digit will weigh 33 lb (15 kg) for a total of 66 lb (30 kg). Like the Lombardi Trophy, the "50" will be designed by Tiffany &amp; Co.</t>
  </si>
  <si>
    <t>What may be possible for multiple Kuznets' cycles to be in at any given time?</t>
  </si>
  <si>
    <t>the Society of St Pius X</t>
  </si>
  <si>
    <t>decrease</t>
  </si>
  <si>
    <t>worst-case time complexity</t>
  </si>
  <si>
    <t>One of FIS' agenda items was to force women to start doing what?</t>
  </si>
  <si>
    <t>From here, the situation becomes more complicated, as the Dutch name Rijn no longer coincides with the main flow of water. Two thirds of the water flow volume of the Rhine flows farther west, through the Waal and then, via the Merwede and Nieuwe Merwede (De Biesbosch), merging with the Meuse, through the Hollands Diep and Haringvliet estuaries, into the North Sea. The Beneden Merwede branches off, near Hardinxveld-Giessendam and continues as the Noord, to join the Lek, near the village of Kinderdijk, to form the Nieuwe Maas; then flows past Rotterdam and continues via Het Scheur and the Nieuwe Waterweg, to the North Sea. The Oude Maas branches off, near Dordrecht, farther down rejoining the Nieuwe Maas to form Het Scheur.</t>
  </si>
  <si>
    <t>What injury did Manning suffer the summer before the season started?</t>
  </si>
  <si>
    <t>Sky Q Silver set top boxes</t>
  </si>
  <si>
    <t>function</t>
  </si>
  <si>
    <t>The executive summary of the WG I Summary for Policymakers report says they are certain that emissions resulting from human activities are substantially increasing the atmospheric concentrations of the greenhouse gases, resulting on average in an additional warming of the Earth's surface. They calculate with confidence that CO2 has been responsible for over half the enhanced greenhouse effect. They predict that under a "business as usual" (BAU) scenario, global mean temperature will increase by about 0.3 °C per decade during the [21st] century. They judge that global mean surface air temperature has increased by 0.3 to 0.6 °C over the last 100 years, broadly consistent with prediction of climate models, but also of the same magnitude as natural climate variability. The unequivocal detection of the enhanced greenhouse effect is not likely for a decade or more.</t>
  </si>
  <si>
    <t>Education Service Contracting</t>
  </si>
  <si>
    <t>13th</t>
  </si>
  <si>
    <t>protest and political action</t>
  </si>
  <si>
    <t>Newtonian</t>
  </si>
  <si>
    <t>What year was the song Fog on the Tyne released?</t>
  </si>
  <si>
    <t>European Union law</t>
  </si>
  <si>
    <t>In what year was the Corliss engine patented?</t>
  </si>
  <si>
    <t>First Amendment</t>
  </si>
  <si>
    <t>1580s</t>
  </si>
  <si>
    <t>Why would one want to give more punishment?</t>
  </si>
  <si>
    <t>What ground based group did Tesla think the weapon could be used on?</t>
  </si>
  <si>
    <t>17.5 million</t>
  </si>
  <si>
    <t>United Nations Framework Convention on Climate Change (UNFCCC)</t>
  </si>
  <si>
    <t>A second period of international expansion is linked to that of the ESPN network in the 1990s, and policies enacted in the 2000s by Disney Media Networks (which included the expansion of several of the company's U.S.-based cable networks including Disney Channel and its spinoffs Toon Disney, Playhouse Disney and Jetix; although Disney also sold its 33% stake in European sports channel Eurosport for $155 million in June 2000). In contrast to Disney's other channels, ABC is broadcast in the United States, although the network's programming is syndicated in many countries. The policy regarding wholly owned international networks was revived in 2004 when on September 27 of that year, ABC announced the launch of ABC1, a free-to-air channel in the United Kingdom owned by the ABC Group. However, on September 8, 2007, Disney announced that it would discontinue ABC1 citing to the channel's inability to attain sustainable viewership. With ABC1's shutdown that October, the company's attempt to develop ABC International were discontinued.</t>
  </si>
  <si>
    <t>What are teachers expected to give their students?</t>
  </si>
  <si>
    <t>The French thought bringing what would uplift other regions?</t>
  </si>
  <si>
    <t>Oude Maas</t>
  </si>
  <si>
    <t>plants and algae.</t>
  </si>
  <si>
    <t>Sinclair Broadcast Group</t>
  </si>
  <si>
    <t>Muhammad Abd al-Salaam Farag</t>
  </si>
  <si>
    <t>Braddock (with George Washington</t>
  </si>
  <si>
    <t>What happens to the lead fusible plugs if the water level of the boiler drops?</t>
  </si>
  <si>
    <t>The wine industry</t>
  </si>
  <si>
    <t>Where is the comparison found of this Lord's Prayer hymn?</t>
  </si>
  <si>
    <t>Who led New France reinforcements in 1756?</t>
  </si>
  <si>
    <t>Mongolian, Tibetan, and Chinese</t>
  </si>
  <si>
    <t>ctenophores</t>
  </si>
  <si>
    <t>When did the ancestors of modern Homo sapiens inhabit Kenya?</t>
  </si>
  <si>
    <t>What activity maintains topographic gradients?</t>
  </si>
  <si>
    <t>Before the St. Elizabeth's flood (1421), the Meuse flowed just south of today's line Merwede-Oude Maas to the North Sea and formed an archipelago-like estuary with Waal and Lek. This system of numerous bays, estuary-like extended rivers, many islands and constant changes of the coastline, is hard to imagine today. From 1421 to 1904, the Meuse and Waal merged further upstream at Gorinchem to form Merwede. For flood protection reasons, the Meuse was separated from the Waal through a lock and diverted into a new outlet called "Bergse Maas", then Amer and then flows into the former bay Hollands Diep.</t>
  </si>
  <si>
    <t>p − 1</t>
  </si>
  <si>
    <t xml:space="preserve">In computational complexity theory, what is the term given to describe the baseline abstract question needing to be solved? </t>
  </si>
  <si>
    <t>a lower level of economic utility in society</t>
  </si>
  <si>
    <t>In addition to chlorophylls, another group of yellow–orange pigments called carotenoids are also found in the photosystems. There are about thirty photosynthetic carotenoids. They help transfer and dissipate excess energy, and their bright colors sometimes override the chlorophyll green, like during the fall, when the leaves of some land plants change color. β-carotene is a bright red-orange carotenoid found in nearly all chloroplasts, like chlorophyll a. Xanthophylls, especially the orange-red zeaxanthin, are also common. Many other forms of carotenoids exist that are only found in certain groups of chloroplasts.</t>
  </si>
  <si>
    <t>produce both eggs and sperm at the same time</t>
  </si>
  <si>
    <t>(to 7.8%</t>
  </si>
  <si>
    <t>technological innovation</t>
  </si>
  <si>
    <t>What is the name of another type of modern primality test?</t>
  </si>
  <si>
    <t>A teacher's role may vary among cultures. Teachers may provide instruction in literacy and numeracy, craftsmanship or vocational training, the arts, religion, civics, community roles, or life skills.</t>
  </si>
  <si>
    <t>Japan</t>
  </si>
  <si>
    <t>Where does the cold and warm water meet the warm water?</t>
  </si>
  <si>
    <t>dealing with patients' prescriptions and patient safety issues</t>
  </si>
  <si>
    <t>The chloroplasts of plant and algal cells can orient themselves to best suit the available light. In low-light conditions, they will spread out in a sheet—maximizing the surface area to absorb light. Under intense light, they will seek shelter by aligning in vertical columns along the plant cell's cell wall or turning sideways so that light strikes them edge-on. This reduces exposure and protects them from photooxidative damage. This ability to distribute chloroplasts so that they can take shelter behind each other or spread out may be the reason why land plants evolved to have many small chloroplasts instead of a few big ones. Chloroplast movement is considered one of the most closely regulated stimulus-response systems that can be found in plants. Mitochondria have also been observed to follow chloroplasts as they move.</t>
  </si>
  <si>
    <t>Where might the doctor's self-interest be at odds with the patient's self-interest?</t>
  </si>
  <si>
    <t>Who found that there was a developed culture of Commissioner's who lacked responsibility?</t>
  </si>
  <si>
    <t>Which player recovered possession of the ball in the end zone?</t>
  </si>
  <si>
    <t>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t>
  </si>
  <si>
    <t>What kind of electricity was Tesla investigating?</t>
  </si>
  <si>
    <t>5,560</t>
  </si>
  <si>
    <t>Like other historic Christian churches, The United Methodist Church has official liturgies for services of Holy Communion, baptism, weddings, funerals, ordination, anointing of the sick and daily office prayer services. Some clergy offer healing services, while exorcism is an occasional practice by some clergy in The United Methodist Church in Africa. These services involve the laying on of hands and anointing with oil. Along with these, there are also special services for holy days such as All Saints Day, Ash Wednesday, Maundy Thursday, Good Friday, and Easter Vigil. These services are contained in The United Methodist Hymnal and The United Methodist Book of Worship (1992). Many of these liturgies are derived from the Anglican tradition's Book of Common Prayer. In most cases, congregations also use other elements of liturgical worship, such as candles, vestments, paraments, banners, and liturgical art.</t>
  </si>
  <si>
    <t>lymphocytes</t>
  </si>
  <si>
    <t>Judith Merril</t>
  </si>
  <si>
    <t>In which year did John Sheepshanks donated a large collection of paintings?</t>
  </si>
  <si>
    <t>2000</t>
  </si>
  <si>
    <t>Where was Luther mostly concentrating his efforts on reform?</t>
  </si>
  <si>
    <t>Robert Seamans</t>
  </si>
  <si>
    <t>What kind of weapon did Tesla talk about?</t>
  </si>
  <si>
    <t>What type of combustion does the slow reaction of triplet oxygen prevent?</t>
  </si>
  <si>
    <t>What are the two bodies that make up the European Union's legislature?</t>
  </si>
  <si>
    <t>orphans</t>
  </si>
  <si>
    <t>What has replaced lower skilled workers in the United States?</t>
  </si>
  <si>
    <t>plastoglobulus</t>
  </si>
  <si>
    <t>starch-storing amyloplasts</t>
  </si>
  <si>
    <t>What type of positions would these counties be trying to recruit for?</t>
  </si>
  <si>
    <t>student motivation and attitudes towards school</t>
  </si>
  <si>
    <t>Where did Luther describe the resting place of the saints?</t>
  </si>
  <si>
    <t>Benjamin Netanyahu</t>
  </si>
  <si>
    <t>to extend networking benefits</t>
  </si>
  <si>
    <t>honorary member of the Iroquois Confederacy</t>
  </si>
  <si>
    <t>Mount Wilson</t>
  </si>
  <si>
    <t>What did Iqbal's Allahabad address inspire?</t>
  </si>
  <si>
    <t>fluid–brain barriers</t>
  </si>
  <si>
    <t>When did Martin Luther publish his translation of the New Testament?</t>
  </si>
  <si>
    <t>strict, conservative</t>
  </si>
  <si>
    <t>40,000 pounds (18,100 kg)</t>
  </si>
  <si>
    <t>What museum in Newcastle is dedicated to children's books?</t>
  </si>
  <si>
    <t>Who is the NFL's vice president of brand and creative?</t>
  </si>
  <si>
    <t>Southwest Fresno</t>
  </si>
  <si>
    <t>In early 1938</t>
  </si>
  <si>
    <t>Methodist institutions</t>
  </si>
  <si>
    <t>existing level of inequality</t>
  </si>
  <si>
    <t>any great amount of it would undermine the law</t>
  </si>
  <si>
    <t>Aboriginal inhabitants</t>
  </si>
  <si>
    <t>Which Khitan prince became an important administrator in the Mongol Empire?</t>
  </si>
  <si>
    <t>What Peanuts special is Halloween-themed?</t>
  </si>
  <si>
    <t>During the English Civil War, the North declared for the King. In a bid to gain Newcastle and the Tyne, Cromwell's allies, the Scots, captured the town of Newburn. In 1644 the Scots then captured the reinforced fortification on the Lawe in South Shields following a siege. In 1644 the city was then besieged for many months and was eventually stormed ('with roaring drummes') and sacked by Cromwell's allies. The grateful King bestowed the motto "Fortiter Defendit Triumphans" ("Triumphing by a brave defence") upon the town. Charles I was imprisoned in Newcastle by the Scots in 1646–7.</t>
  </si>
  <si>
    <t>Why were the initial suggestions for a devolved parliament before 1914 shelved?</t>
  </si>
  <si>
    <t>0.5–1.4 m</t>
  </si>
  <si>
    <t>the division and administration of the newly conquered territory</t>
  </si>
  <si>
    <t>self-consistent unification models</t>
  </si>
  <si>
    <t>How many times was Cam Newton sacked?</t>
  </si>
  <si>
    <t>chameleon circuit</t>
  </si>
  <si>
    <t>attorney</t>
  </si>
  <si>
    <t>quantitative</t>
  </si>
  <si>
    <t>1976–77 season</t>
  </si>
  <si>
    <t>What social construct did Huguenot refugees in Canterbury practice?</t>
  </si>
  <si>
    <t>both adaptive and innate</t>
  </si>
  <si>
    <t>How many sororities belong to the National Panhellenic Conference?</t>
  </si>
  <si>
    <t>defection of a number of Kenyan athletes</t>
  </si>
  <si>
    <t>the end itself</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</si>
  <si>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</si>
  <si>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When was the Sierra Sky Park Airport formed?</t>
  </si>
  <si>
    <t>What's the biggest difference in the teaching relationship for primary and secondary school?</t>
  </si>
  <si>
    <t>It's the Great Pumpkin</t>
  </si>
  <si>
    <t>Other shopping destinations in Newcastle include Grainger Street and the area around Grey's Monument, the relatively modern Eldon Garden and Monument Mall complexes, the Newgate Centre, Central Arcade and the traditional Grainger Market. Outside the city centre, the largest suburban shopping areas are Gosforth and Byker. The largest Tesco store in the United Kingdom is located in Kingston Park on the edge of Newcastle. Close to Newcastle, the largest indoor shopping centre in Europe, the MetroCentre, is located in Gateshead.</t>
  </si>
  <si>
    <t>drug product selection</t>
  </si>
  <si>
    <t>most seats</t>
  </si>
  <si>
    <t>When is the Members Debate held?</t>
  </si>
  <si>
    <t>chairman and CEO</t>
  </si>
  <si>
    <t>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</si>
  <si>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</si>
  <si>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time</t>
  </si>
  <si>
    <t>How many doctors were in Kenya in 2011?</t>
  </si>
  <si>
    <t>fire-resistant Block II</t>
  </si>
  <si>
    <t>in force-free magnetic fields</t>
  </si>
  <si>
    <t>At what degree are the pistons of a two-cylinder compound connected to the cranks?</t>
  </si>
  <si>
    <t>What band headlined half-time during Super Bowl 50?</t>
  </si>
  <si>
    <t>The Mark of Anarchy was written to protest against what?</t>
  </si>
  <si>
    <t>Who is the executive power?</t>
  </si>
  <si>
    <t>Who demonstrated that P= NP implies problems not present in P or NP-complete?</t>
  </si>
  <si>
    <t>What CBS website provided a stream?</t>
  </si>
  <si>
    <t>Warren Buffett</t>
  </si>
  <si>
    <t>Cities that anchor the regions are often the hub for what kind of activity?</t>
  </si>
  <si>
    <t>The Museum's collections of South and South-East Asian art are the most comprehensive and important in the West comprising nearly 60,000 objects, including about 10,000 textiles and 6000 paintings, the range of the collection is immense. The Jawaharlal Nehru gallery of Indian art, opened in 1991, contains art from about 500 BC to the 19th century. There is an extensive collection of sculpture, mainly of a religious nature, Hindu, Buddhist and Jain. The gallery is richly endowed with art of the Mughal Empire and the Marathas, including fine portraits of the emperors and other paintings and drawings, jade wine cups and gold spoons inset with emeralds, diamonds and rubies, also from this period are parts of buildings such as a jaali and pillars. India was a large producer of textiles, from dyed cotton chintz, muslin to rich embroidery work using gold and silver thread, coloured sequins and beads is displayed, as are carpets from Agra and Lahore. Examples of clothing are also displayed.</t>
  </si>
  <si>
    <t>Africa</t>
  </si>
  <si>
    <t>Who was the Tangut general who fought Genghis Khan at Deshun?</t>
  </si>
  <si>
    <t>How many of the network's stations are owned-and-operated?</t>
  </si>
  <si>
    <t>When did Kenya obtain independence?</t>
  </si>
  <si>
    <t>65,000</t>
  </si>
  <si>
    <t>Supreme Court case</t>
  </si>
  <si>
    <t>What did the increase in skilled workers lead to?</t>
  </si>
  <si>
    <t>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t>
  </si>
  <si>
    <t>What percentage of total financial aid for undergraduates from Harvard was in the form of grants?</t>
  </si>
  <si>
    <t>At this time where was Luther's focus centered?</t>
  </si>
  <si>
    <t>$150,000</t>
  </si>
  <si>
    <t>map out their ancestral lands</t>
  </si>
  <si>
    <t>Gosforth and Byker are the largest shopping areas of what type?</t>
  </si>
  <si>
    <t>French-Swiss bacteriologist Alexandre Yersin</t>
  </si>
  <si>
    <t>restaurant</t>
  </si>
  <si>
    <t>In 1735, John and Charles Wesley went to America to teach the gospel to the American Indians in the colony of Georgia. In less than two years, the "Holy Club" disbanded. John Wesley returned to England and met with a group of clergy he respected. He said "they appeared to be of one heart, as well as of one judgment, resolved to be Bible-Christians at all events; and, wherever they were, to preach with all their might plain, old, Bible Christianity". The ministers retained their membership in the Church of England. Though not always emphasized or appreciated in the Anglican churches of their day, their teaching emphasized salvation by God's grace, acquired through faith in Christ. Three teachings they saw as the foundation of Christian faith were:</t>
  </si>
  <si>
    <t>From what does photosynthesis get oxygen?</t>
  </si>
  <si>
    <t>Where did ITV Tyne Tees move in 2005?</t>
  </si>
  <si>
    <t>In Newton's second law, what are the units of mass and force in relation to microscales?</t>
  </si>
  <si>
    <t>Large public works, dams, bridges, highways, water/wastewater and utility distribution are under what construction sector?</t>
  </si>
  <si>
    <t>Book of Exodus,</t>
  </si>
  <si>
    <t>solve any problem in C</t>
  </si>
  <si>
    <t>As well as creating rights for "workers" who generally lack bargaining power in the market, the Treaty on the Functioning of the European Union also protects the "freedom of establishment" in article 49, and "freedom to provide services" in article 56. In Gebhard v Consiglio dell’Ordine degli Avvocati e Procuratori di Milano the Court of Justice held that to be "established" means to participate in economic life "on a stable and continuous basis", while providing "services" meant pursuing activity more "on a temporary basis".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"justified by imperative requirements in the general interest" and proportionately applied. All people or entities that engage in economic activity, particularly the self-employed, or "undertakings" such as companies or firms, have a right to set up an enterprise without unjustified restrictions. The Court of Justice has held that both a member state government and a private party can hinder freedom of establishment, so article 49 has both "vertical" and "horizontal" direct effect. In Reyners v Belgium the Court of Justice held that a refusal to admit a lawyer to the Belgian bar because he lacked Belgian nationality was unjustified. TFEU article 49 says states are exempt from infringing others' freedom of establishment when they exercise "official authority",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t>
  </si>
  <si>
    <t>What plateau has groups of clay pits?</t>
  </si>
  <si>
    <t>holy people</t>
  </si>
  <si>
    <t>Between May and September 2005, rumors circulated that Disney–ABC was considering a sale of ABC Radio, with Clear Channel Communications and Westwood One (which had earlier purchased NBC's radio division, as well as the distribution rights to CBS's, and the Mutual Broadcasting System during the 1990s) as potential buyers. On October 19, 2005, ABC announced the restructuring of the group into six divisions: Entertainment Communications, Communications Resources, Kids Communications, News Communications, Corporate Communications, and International Communications.</t>
  </si>
  <si>
    <t xml:space="preserve">What do a and b represent in a Gaussian integer expression? </t>
  </si>
  <si>
    <t>What is included with each packet label</t>
  </si>
  <si>
    <t>1894</t>
  </si>
  <si>
    <t>How much success did this expedition with Braddock find?</t>
  </si>
  <si>
    <t>1857</t>
  </si>
  <si>
    <t>An illustrated, paraphrased version of this appeared when?</t>
  </si>
  <si>
    <t>published sources</t>
  </si>
  <si>
    <t>nine</t>
  </si>
  <si>
    <t xml:space="preserve">What did Kenya name itself on December 12, 1964? </t>
  </si>
  <si>
    <t>Who develped the theory of relativity?</t>
  </si>
  <si>
    <t>reduce growth</t>
  </si>
  <si>
    <t>What is the biggest ABC subchannel affiliate by the size of markets?</t>
  </si>
  <si>
    <t>January 18, 1974,</t>
  </si>
  <si>
    <t>cholecalciferol</t>
  </si>
  <si>
    <t>a pivotal event in the Arab Muslim world</t>
  </si>
  <si>
    <t>Where have the first episodes of Doctor Who always appeared?</t>
  </si>
  <si>
    <t>Ohio Company,</t>
  </si>
  <si>
    <t>How long has the Rhine coastline been in the same location?</t>
  </si>
  <si>
    <t>What is the name of the law which imposed the speed limit?</t>
  </si>
  <si>
    <t>multilateral</t>
  </si>
  <si>
    <t>Dundee</t>
  </si>
  <si>
    <t>Luther is honoured</t>
  </si>
  <si>
    <t>−2, −4</t>
  </si>
  <si>
    <t>Why do some people purposely resist officers of the law?</t>
  </si>
  <si>
    <t>single</t>
  </si>
  <si>
    <t>Which duty do some people believe civil disobedients have?</t>
  </si>
  <si>
    <t>What did Temüjin promise his followers in exchange for their obedience?</t>
  </si>
  <si>
    <t>How much Saharan dust falls over the Amazon basin each year?</t>
  </si>
  <si>
    <t>4,404.5</t>
  </si>
  <si>
    <t>major cities</t>
  </si>
  <si>
    <t>terraces</t>
  </si>
  <si>
    <t>How to Baptized Members become Professing Members?</t>
  </si>
  <si>
    <t>How many people per square mile lived in Fresno in 2010?</t>
  </si>
  <si>
    <t>The population of Newcastle was 189,863 according to what year's census?</t>
  </si>
  <si>
    <t>What river was Petrela located by?</t>
  </si>
  <si>
    <t>The academic bodies of the University of Chicago consist of the College, four divisions of graduate research and seven professional schools. The university also contains a library system, the University of Chicago Press, the University of Chicago Laboratory Schools, and the University of Chicago Medical Center, and holds ties with a number of independent academic institutions, including Fermilab, Argonne National Laboratory, and the Marine Biological Laboratory. The university is accredited by The Higher Learning Commission.</t>
  </si>
  <si>
    <t>Near Tamins-Reichenau the Anterior Rhine and the Posterior Rhine join and form the Rhine. The river makes a distinctive turn to the north near Chur. This section is nearly 86 km long, and descends from a height of 599 m to 396 m. It flows through a wide glacial alpine valley known as the Rhine Valley (German: Rheintal). Near Sargans a natural dam, only a few metres high, prevents it from flowing into the open Seeztal valley and then through Lake Walen and Lake Zurich into the river Aare. The Alpine Rhine begins in the most western part of the Swiss canton of Graubünden, and later forms the border between Switzerland to the West and Liechtenstein and later Austria to the East.</t>
  </si>
  <si>
    <t>What was a similar view about the Asian continent called?</t>
  </si>
  <si>
    <t>What organization is the IPCC a part of?</t>
  </si>
  <si>
    <t>The San Bernardino-Riverside area maintains the business districts of Downtown San Bernardino, Hospitality Business/Financial Centre, University Town which are in San Bernardino and Downtown Riverside.</t>
  </si>
  <si>
    <t>Who decided not to approve paying for renovations at Sun Life Stadium that the league wanted for them to do to host Super Bowl 50?</t>
  </si>
  <si>
    <t>For which ABC Movie of the Week film did Steven Spielberg first gain success?</t>
  </si>
  <si>
    <t>At what address did Goldenson secure a new headquarters for ABC?</t>
  </si>
  <si>
    <t>Which species are ribbon-shaped planktonic animals?</t>
  </si>
  <si>
    <t>local administrative structure of past Chinese dynasties</t>
  </si>
  <si>
    <t>half a million</t>
  </si>
  <si>
    <t>Matthew 16:18</t>
  </si>
  <si>
    <t>Robert Maynard Hutchins</t>
  </si>
  <si>
    <t>net force</t>
  </si>
  <si>
    <t>modern art by Polish and international artists</t>
  </si>
  <si>
    <t>Conservation is responsible for the long-term preservation of the collections, and covers all the collections held by the V&amp;A and the V&amp;A Museum of Childhood. The conservators specialise in particular areas of conservation. Areas covered by conservator's work include "preventive" conservation this includes: performing surveys, assessments and providing advice on the handling of items, correct packaging, mounting and handling procedures during movement and display to reduce risk of damaging objects. Activities include controlling the museum environment (for example, temperature and light) and preventing pests (primarily insects) from damaging artefacts. The other major category is "interventive" conservation, this includes: cleaning and reintegration to strengthen fragile objects, reveal original surface decoration, and restore shape. Interventive treatment makes an object more stable, but also more attractive and comprehensible to the viewer. It is usually undertaken on items that are to go on public display.</t>
  </si>
  <si>
    <t>wars</t>
  </si>
  <si>
    <t>a few millimeters to 1.5 m</t>
  </si>
  <si>
    <t>What bridge did the Germans fail to demolish?</t>
  </si>
  <si>
    <t>presidential representative democratic republic</t>
  </si>
  <si>
    <t>City council</t>
  </si>
  <si>
    <t>What venue in Miami was a candidate for the site of Super Bowl 50?</t>
  </si>
  <si>
    <t>How did the party overthrow the elected government in 1989?</t>
  </si>
  <si>
    <t>October 6, 1973</t>
  </si>
  <si>
    <t>fell significantly</t>
  </si>
  <si>
    <t>Diatomic oxygen gas</t>
  </si>
  <si>
    <t>elementary school education certificate</t>
  </si>
  <si>
    <t>Along with drought, what is one other factor that is pushing the Amazon rainforest towards a tipping point?</t>
  </si>
  <si>
    <t>What is heralded by the sounding of the division bell?</t>
  </si>
  <si>
    <t>What may also be required of teachers, in some areas?</t>
  </si>
  <si>
    <t>P ⊆ NP ⊆ PP ⊆ PSPACE</t>
  </si>
  <si>
    <t>part of the trapped air</t>
  </si>
  <si>
    <t>Where do cicadas spend the majority of their lives?</t>
  </si>
  <si>
    <t>direct effect or indirect effect on the laws of European Union member states</t>
  </si>
  <si>
    <t>Keck and Mithouard</t>
  </si>
  <si>
    <t>In 1521 Luther dealt largely with prophecy, in which he broadened the foundations of the Reformation placing them on prophetic faith. His main interest was centered on the prophecy of the Little Horn in Daniel 8:9–12, 23–25. The antichrist of 2 Thessalonians 2 was identified as the power of the Papacy. So too was the Little Horn of Daniel 7, coming up among the divisions of Rome, explicitly applied.</t>
  </si>
  <si>
    <t>higher levels</t>
  </si>
  <si>
    <t>What is the average age of people who live in Newcastle?</t>
  </si>
  <si>
    <t>St Thomas Becket,</t>
  </si>
  <si>
    <t>research, exhibitions and other shows</t>
  </si>
  <si>
    <t>What two environmental conditions are controlled in the museum?</t>
  </si>
  <si>
    <t>Where did Maududi's books place Islam?</t>
  </si>
  <si>
    <t>the University of California, Irvine</t>
  </si>
  <si>
    <t>the British Empire</t>
  </si>
  <si>
    <t>What happened when cyanobacteria was assimilated?</t>
  </si>
  <si>
    <t>photosynthetic pigments or true thylakoids</t>
  </si>
  <si>
    <t>to fund his Colorado Springs experiments.</t>
  </si>
  <si>
    <t>What alternate payment did Edison offer Tesla?</t>
  </si>
  <si>
    <t>about the year 2000</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</si>
  <si>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</si>
  <si>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halve poverty</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</si>
  <si>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</si>
  <si>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In what constituent country of the United Kingdom is Merthyr Tydfil located?</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</si>
  <si>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</si>
  <si>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pamphlets</t>
  </si>
  <si>
    <t>The Lone Ranger</t>
  </si>
  <si>
    <t>Who formulated the idea of clonal selection theory of immunity?</t>
  </si>
  <si>
    <t>Federica Mogherini</t>
  </si>
  <si>
    <t>thermal expansion</t>
  </si>
  <si>
    <t>tentacles</t>
  </si>
  <si>
    <t>What team received the opening kickoff?</t>
  </si>
  <si>
    <t>Before Genghis Khan died, he assigned Ögedei Khan as his successor and split his empire into khanates among his sons and grandsons. He died in 1227 after defeating the Western Xia. He was buried in an unmarked grave somewhere in Mongolia at an unknown location. His descendants extended the Mongol Empire across most of Eurasia by conquering or creating vassal states out of all of modern-day China, Korea, the Caucasus, Central Asia, and substantial portions of modern Eastern Europe, Russia, and Southwest Asia. Many of these invasions repeated the earlier large-scale slaughters of local populations. As a result, Genghis Khan and his empire have a fearsome reputation in local histories.</t>
  </si>
  <si>
    <t>India</t>
  </si>
  <si>
    <t>What is a protein that is closely intertwined with circadian rhythms?</t>
  </si>
  <si>
    <t>Why are ctenophores extremely rare as fossils?</t>
  </si>
  <si>
    <t xml:space="preserve">How many people, at most, have died of plague in Baghdad? </t>
  </si>
  <si>
    <t>How old was John Elway when he played in Super Bowl XXXIII?</t>
  </si>
  <si>
    <t>What kind of disorders occur when part of the immune system isn't active?</t>
  </si>
  <si>
    <t>the outer core and inner core</t>
  </si>
  <si>
    <t>most common</t>
  </si>
  <si>
    <t>18%</t>
  </si>
  <si>
    <t>via pores in the epidermis</t>
  </si>
  <si>
    <t>What is the clarity of liquid oxygen?</t>
  </si>
  <si>
    <t>Genghis Khan and Tolui</t>
  </si>
  <si>
    <t>What is the name of the desert near the border of Nevada?</t>
  </si>
  <si>
    <t>What molecules are recognized as foreign by the immune system?</t>
  </si>
  <si>
    <t>What process down the line does rubisco's flaw interfere with?</t>
  </si>
  <si>
    <t>They lost money</t>
  </si>
  <si>
    <t>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t>
  </si>
  <si>
    <t>Ludwig Krapf recorded the name was what?</t>
  </si>
  <si>
    <t>What did the Italian government fail to do in Francovich v Italy?</t>
  </si>
  <si>
    <t>617 ft</t>
  </si>
  <si>
    <t>What is the final stage of a bill in the Scottish Parliament?</t>
  </si>
  <si>
    <t>Oswego</t>
  </si>
  <si>
    <t>When did Tugh Temur found his academy?</t>
  </si>
  <si>
    <t>Whwn forces are at right ngles to each other what can they be broken down to?</t>
  </si>
  <si>
    <t>The historian Francis Aidan Gasquet wrote about the 'Great Pestilence' in 1893 and suggested that "it would appear to be some form of the ordinary Eastern or bubonic plague". He was able to adopt the epidemiology of the bubonic plague for the Black Death for the second edition in 1908, implicating rats and fleas in the process, and his interpretation was widely accepted for other ancient and medieval epidemics, such as the Justinian plague that was prevalent in the Eastern Roman Empire from 541 to 700 CE.</t>
  </si>
  <si>
    <t xml:space="preserve">What are the three major types of rock? </t>
  </si>
  <si>
    <t>In the coming decades, pharmacists are expected to become more integral within the health care system. Rather than simply dispensing medication, pharmacists are increasingly expected to be compensated for their patient care skills. In particular, Medication Therapy Management (MTM) includes the clinical services that pharmacists can provide for their patients. Such services include the thorough analysis of all medication (prescription, non-prescription, and herbals) currently being taken by an individual. The result is a reconciliation of medication and patient education resulting in increased patient health outcomes and decreased costs to the health care system.</t>
  </si>
  <si>
    <t>Vice President Agnew describes Civil disobedience in what activities?</t>
  </si>
  <si>
    <t>Q or the finite field with p elements</t>
  </si>
  <si>
    <t>San Jose</t>
  </si>
  <si>
    <t>Sandwich, Faversham and Maidstone</t>
  </si>
  <si>
    <t>inequality in wealth and income</t>
  </si>
  <si>
    <t>quietly</t>
  </si>
  <si>
    <t>January 18, 1974</t>
  </si>
  <si>
    <t>Pickawillany</t>
  </si>
  <si>
    <t>What river runs through Warsaw?</t>
  </si>
  <si>
    <t>coastal beaches and the game reserves</t>
  </si>
  <si>
    <t>Sports Night</t>
  </si>
  <si>
    <t>What is more often seen in root tip maristems?</t>
  </si>
  <si>
    <t>What has Islamism been increasingly interdependent with following the Arab Spring?</t>
  </si>
  <si>
    <t>During the Second World War</t>
  </si>
  <si>
    <t>What profession was Nathan Alterman?</t>
  </si>
  <si>
    <t>in the direction in which the mouth is pointing,</t>
  </si>
  <si>
    <t>How was it suggested that the IPCC avoid political problems?</t>
  </si>
  <si>
    <t>Liu Bingzhong and Yao Shu</t>
  </si>
  <si>
    <t>We Love TV</t>
  </si>
  <si>
    <t>To where were the belongings taken?</t>
  </si>
  <si>
    <t>whips</t>
  </si>
  <si>
    <t>the action-reaction law</t>
  </si>
  <si>
    <t>In July 1960, NASA Deputy Administrator Hugh L. Dryden announced the Apollo program to industry representatives at a series of Space Task Group conferences. Preliminary specifications were laid out for a spacecraft with a mission module cabin separate from the command module (piloting and re-entry cabin), and a propulsion and equipment module. On August 30, a feasibility study competition was announced, and on October 25, three study contracts were awarded to General Dynamics/Convair, General Electric, and the Glenn L. Martin Company. Meanwhile, NASA performed its own in-house spacecraft design studies led by Maxime Faget, to serve as a gauge to judge and monitor the three industry designs.</t>
  </si>
  <si>
    <t>education,</t>
  </si>
  <si>
    <t>Which part of China had people ranked lower in the class system?</t>
  </si>
  <si>
    <t>direction in which the mouth is pointing</t>
  </si>
  <si>
    <t>the peptidoglycan wall</t>
  </si>
  <si>
    <t>Tesco</t>
  </si>
  <si>
    <t>quantum electrodynamics</t>
  </si>
  <si>
    <t>The network began running into some trouble in the ratings by 2010. That year, the sixth and final season of Lost became the drama's lowest-rated season since its debut in 2004. Ratings for the once-instant hit Ugly Betty collapsed dramatically after it was moved to Fridays at the start of its fourth season in the fall of 2009; an attempt to boost ratings by moving the dramedy to Wednesdays failed, with its ultimate cancellation by the network eliciting negative reaction from the public, and particularly the show's fanbase. With the network's two former hit shows now out of the picture, the network's remaining top veteran shows Desperate Housewives and Grey's Anatomy, and another hit drama Brothers &amp; Sisters, all ended the 2009–10 season recorded their lowest ratings ever.</t>
  </si>
  <si>
    <t xml:space="preserve">When did Great Britain claim Australia? </t>
  </si>
  <si>
    <t>New France</t>
  </si>
  <si>
    <t>What were casualties of battle?</t>
  </si>
  <si>
    <t>The Tech Coast</t>
  </si>
  <si>
    <t>What does ctenophora rely on for digestion and respiration?</t>
  </si>
  <si>
    <t>December 1878</t>
  </si>
  <si>
    <t>What is the study of proteins involved in immune response known as?</t>
  </si>
  <si>
    <t>What chemical did Priestley use in his experiments on oxygen?</t>
  </si>
  <si>
    <t>heat shield.</t>
  </si>
  <si>
    <t>suspected to be unequal</t>
  </si>
  <si>
    <t>William Booth</t>
  </si>
  <si>
    <t>Austrian Polytechnic</t>
  </si>
  <si>
    <t>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</si>
  <si>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</si>
  <si>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</si>
  <si>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the Quaternary period</t>
  </si>
  <si>
    <t>5.3%</t>
  </si>
  <si>
    <t>What type of layout does Newcastle's streets have in many parts?</t>
  </si>
  <si>
    <t>algorithms have been written that solve the problem in reasonable times in most cases</t>
  </si>
  <si>
    <t>What is the smalled work force sector?</t>
  </si>
  <si>
    <t>16</t>
  </si>
  <si>
    <t>What may a force on one part of an object affect?</t>
  </si>
  <si>
    <t>the most distinctive buildings</t>
  </si>
  <si>
    <t>bans</t>
  </si>
  <si>
    <t>Acute oxygen toxicity</t>
  </si>
  <si>
    <t>stratigraphic sequence</t>
  </si>
  <si>
    <t>50-yard line</t>
  </si>
  <si>
    <t>How many professional schools does the University of Chicago have?</t>
  </si>
  <si>
    <t>Hyde Park</t>
  </si>
  <si>
    <t>What sort of motion did Watt's steam engine continuously produce?</t>
  </si>
  <si>
    <t>dreadnought battleships</t>
  </si>
  <si>
    <t>In 2012, how many stadiums were named as finalists for hosting Super Bowl 50 before the final stadium was chosen?</t>
  </si>
  <si>
    <t>What type of professional is a Pharmacy Technician considered to be?</t>
  </si>
  <si>
    <t>Why did they teach them to grow peas?</t>
  </si>
  <si>
    <t>his brutality</t>
  </si>
  <si>
    <t>How many people would die of plague in largely populated cities?</t>
  </si>
  <si>
    <t>distorting the grana and thylakoids</t>
  </si>
  <si>
    <t>How long did it take for the Theses printing to spread thought Germany?</t>
  </si>
  <si>
    <t>British war plans</t>
  </si>
  <si>
    <t>Africa's most successful nation</t>
  </si>
  <si>
    <t>What spacecraft contained data to determine the oxygen content of the Sun?</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</si>
  <si>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</si>
  <si>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How many full time teachers does Victoria have?</t>
  </si>
  <si>
    <t>vBNS installed one of the first ever production OC-48c (2.5 Gbit/s) IP links in February 1999 and went on to upgrade the entire backbone to OC-48c</t>
  </si>
  <si>
    <t>accessory pigments that override the chlorophylls' green colors</t>
  </si>
  <si>
    <t>the state (including the judges)</t>
  </si>
  <si>
    <t>Mongol and Turkic tribes</t>
  </si>
  <si>
    <t>What equation desribed the physics of force before the current Schrodinger equation?</t>
  </si>
  <si>
    <t>Abercynon</t>
  </si>
  <si>
    <t>What is one main reason that civil disobedience is not recognized?</t>
  </si>
  <si>
    <t>regulations and directives</t>
  </si>
  <si>
    <t>head of government</t>
  </si>
  <si>
    <t>What kind of graph is an example of an input used in a decision problem?</t>
  </si>
  <si>
    <t>that each side is capable of performing the obligations set out</t>
  </si>
  <si>
    <t>kitchen fire</t>
  </si>
  <si>
    <t>areas cleared of forest</t>
  </si>
  <si>
    <t>the "TGIF" block</t>
  </si>
  <si>
    <t>For what purpose do organisms make peroxide and superoxide?</t>
  </si>
  <si>
    <t>What is the mace displayed in?</t>
  </si>
  <si>
    <t>30.0%</t>
  </si>
  <si>
    <t>continuing their protest</t>
  </si>
  <si>
    <t>What type of special Doctor Who shows have been shown each year since 2005?</t>
  </si>
  <si>
    <t>The Panthers beat the Seattle Seahawks in the divisional round, running up a 31–0 halftime lead and then holding off a furious second half comeback attempt to win 31–24, avenging their elimination from a year earlier. The Panthers then blew out the Arizona Cardinals in the NFC Championship Game, 49–15, racking up 487 yards and forcing seven turnovers.</t>
  </si>
  <si>
    <t>San Joaquin Valley Railroad</t>
  </si>
  <si>
    <t>2,500</t>
  </si>
  <si>
    <t>Treaty on the Functioning of the European Union</t>
  </si>
  <si>
    <t>Japan took part of Sakhalin Island</t>
  </si>
  <si>
    <t>Which team did not get a chance to defend their Super Bowl XLIX win in Super Bowl 50?</t>
  </si>
  <si>
    <t>How is the prime number p in Bertrand's postulate expressed mathematically?</t>
  </si>
  <si>
    <t>What happens when a person's capabilities aer lowered, as it relates to their income?</t>
  </si>
  <si>
    <t>Different committees have what set out in different ways?</t>
  </si>
  <si>
    <t>What did the civil war leave the state of Afghanistan's economy in?</t>
  </si>
  <si>
    <t>varied</t>
  </si>
  <si>
    <t>What satellite enabled Sky Digital to launch an all new digital service?</t>
  </si>
  <si>
    <t>Western Union superintendent</t>
  </si>
  <si>
    <t>South African Schools Act</t>
  </si>
  <si>
    <t>Skylab</t>
  </si>
  <si>
    <t>until their economic and political objectives were met</t>
  </si>
  <si>
    <t>rejected the existence of</t>
  </si>
  <si>
    <t>Singlet oxygen is a name given to several higher-energy species of molecular O
2 in which all the electron spins are paired. It is much more reactive towards common organic molecules than is molecular oxygen per se. In nature, singlet oxygen is commonly formed from water during photosynthesis, using the energy of sunlight. It is also produced in the troposphere by the photolysis of ozone by light of short wavelength, and by the immune system as a source of active oxygen. Carotenoids in photosynthetic organisms (and possibly also in animals) play a major role in absorbing energy from singlet oxygen and converting it to the unexcited ground state before it can cause harm to tissues.</t>
  </si>
  <si>
    <t>The formal language</t>
  </si>
  <si>
    <t>Since students do not pay tuition, what do they have to pay for schooling in Victoria?</t>
  </si>
  <si>
    <t>How much was the Apollo project estimated to have cost from 1959 to 1973, the length of the program?</t>
  </si>
  <si>
    <t>reassembled</t>
  </si>
  <si>
    <t>How many times was the Panthers' quarterback sacked?</t>
  </si>
  <si>
    <t>What did the license to build this type of car expire in 2011?</t>
  </si>
  <si>
    <t>giving her brother Polynices a proper burial.</t>
  </si>
  <si>
    <t>What type of hypersensitivity is associated with allergies?</t>
  </si>
  <si>
    <t>What do David Castlles-Quintana and Vicente Royuela do for a living?</t>
  </si>
  <si>
    <t>cut in half</t>
  </si>
  <si>
    <t>Western Imperialism divided the globe according to which theory?</t>
  </si>
  <si>
    <t>many important problems can be shown to have more efficient solutions</t>
  </si>
  <si>
    <t>high voltage</t>
  </si>
  <si>
    <t>The prospect of what event compelled the protection of German private schools?</t>
  </si>
  <si>
    <t>belt animals</t>
  </si>
  <si>
    <t>interconnection of national X.25 networks</t>
  </si>
  <si>
    <t>"shortening the cutoff"</t>
  </si>
  <si>
    <t>series 3</t>
  </si>
  <si>
    <t>territory east of the Mississippi</t>
  </si>
  <si>
    <t>10% of the carbon stores</t>
  </si>
  <si>
    <t>Where was the disease spreading between 1348 and 1350?</t>
  </si>
  <si>
    <t>Imperialism</t>
  </si>
  <si>
    <t>$12 billion</t>
  </si>
  <si>
    <t>a pair of long, slender tentacles</t>
  </si>
  <si>
    <t>over 900,000</t>
  </si>
  <si>
    <t>green algal derived</t>
  </si>
  <si>
    <t>capital punishment</t>
  </si>
  <si>
    <t>read lecture material</t>
  </si>
  <si>
    <t>Who might take disciplinary action against a teacher?</t>
  </si>
  <si>
    <t>married outside their immediate French communities</t>
  </si>
  <si>
    <t>What did Agricola apparently believe about who should be in control  law?</t>
  </si>
  <si>
    <t>Lutheran views,</t>
  </si>
  <si>
    <t>What type of bat that lives in the Amazon rainforest can spread rabies?</t>
  </si>
  <si>
    <t>There are some common misconceptions about the outer and inner chloroplast membranes. The fact that chloroplasts are surrounded by a double membrane is often cited as evidence that they are the descendants of endosymbiotic cyanobacteria. This is often interpreted as meaning the outer chloroplast membrane is the product of the host's cell membrane infolding to form a vesicle to surround the ancestral cyanobacterium—which is not true—both chloroplast membranes are homologous to the cyanobacterium's original double membranes.</t>
  </si>
  <si>
    <t>What time do they normally have tea?</t>
  </si>
  <si>
    <t>chemical oxygen generators</t>
  </si>
  <si>
    <t>What mechanism moves coal from a bunker to the firebox?</t>
  </si>
  <si>
    <t>Who has composed the Doctor Who incidental music since 2005?</t>
  </si>
  <si>
    <t>since the Treaty of Rome 1957</t>
  </si>
  <si>
    <t>form business partnerships with physicians</t>
  </si>
  <si>
    <t>In what year was the 20th Anniversary special aired?</t>
  </si>
  <si>
    <t>July 2015</t>
  </si>
  <si>
    <t>late 1886</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</si>
  <si>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</si>
  <si>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Duke Richard II</t>
  </si>
  <si>
    <t>What is consumed in both combustion and respiration?</t>
  </si>
  <si>
    <t>7.8%</t>
  </si>
  <si>
    <t>After 1935, who would be forbidden to enter Rhineland?</t>
  </si>
  <si>
    <t>Which Irish cities had large Huguenot enclaves?</t>
  </si>
  <si>
    <t>What is the name of the water body that is found to the east?</t>
  </si>
  <si>
    <t>obesity, alcoholism, and drug use</t>
  </si>
  <si>
    <t>a phycobilin-containing chloroplast</t>
  </si>
  <si>
    <t>value added by different classifications of workers</t>
  </si>
  <si>
    <t>American Sweetgum</t>
  </si>
  <si>
    <t>Christian Whiton</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</si>
  <si>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</si>
  <si>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WBMA-LD</t>
  </si>
  <si>
    <t>What did Microsoft announce that it would rename Sky Drive Pro to?</t>
  </si>
  <si>
    <t>Who designed the ceiling and stained-glass windows of the Green Dining Room?</t>
  </si>
  <si>
    <t>How many affiliates did ABC have in 1949?</t>
  </si>
  <si>
    <t>Festival of Britain (1951)</t>
  </si>
  <si>
    <t>999</t>
  </si>
  <si>
    <t>Rankine cycle</t>
  </si>
  <si>
    <t>The mid 1890s saw the conglomerate General Electric, backed by financier J. P. Morgan, involved in takeover attempts and patent battles with Westinghouse Electric. Although a patent-sharing agreement was signed between the two companies in 1896 Westinghouse was still cash-strapped from the financial warfare. To secure further loans, Westinghouse was forced to revisit Tesla's AC patent, which bankers considered a financial strain on the company (at that point Westinghouse had paid out an estimated $200,000 in licenses and royalties to Tesla, Brown, and Peck). In 1897, Westinghouse explained his financial difficulties to Tesla in stark terms, saying that if things continue the way they were he would no longer be in control of Westinghouse Electric and Tesla would have to "deal with the bankers" to try to collect future royalties. Westinghouse convinced Tesla to release his company from the licensing agreement over Tesla's AC patents in exchange for Westinghouse Electric purchasing the patents for a lump sum payment of $216,000; this provided Westinghouse a break from what, due to alternating current's rapid gain in popularity, had turned out to be an overly generous $2.50 per AC horsepower royalty.</t>
  </si>
  <si>
    <t>When a commission reached no decision, what happened?</t>
  </si>
  <si>
    <t>What reference is there to Huguenot lacemakers in the 19th century?</t>
  </si>
  <si>
    <t>Mi'kmaq and the Abenaki</t>
  </si>
  <si>
    <t>ideal strings that are massless, frictionless, unbreakable, and unstretchable</t>
  </si>
  <si>
    <t>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t>
  </si>
  <si>
    <t>To where was Luther's final journey?</t>
  </si>
  <si>
    <t>What were steam engines used as a source of?</t>
  </si>
  <si>
    <t>18</t>
  </si>
  <si>
    <t>When did the Arab oil producers lift the embargo?</t>
  </si>
  <si>
    <t>Treaty on European Union (TEU)</t>
  </si>
  <si>
    <t>Calvinist</t>
  </si>
  <si>
    <t>Gano</t>
  </si>
  <si>
    <t>In contrast how were Catholic saints portrayed?</t>
  </si>
  <si>
    <t>In general, what were teachers paid in the past?</t>
  </si>
  <si>
    <t>What is the force called rgarding a potential field between two locations?</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</si>
  <si>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</si>
  <si>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Which historic empire used cultural imperialism to sway local elites?</t>
  </si>
  <si>
    <t>What delimits the delta of the Rhine in the west?</t>
  </si>
  <si>
    <t>external combustion</t>
  </si>
  <si>
    <t>What kind of water body is rumored to be obscuring Genghis Khan's burial site?</t>
  </si>
  <si>
    <t>assertive</t>
  </si>
  <si>
    <t>zeaxanthin</t>
  </si>
  <si>
    <t>15,244</t>
  </si>
  <si>
    <t>General Pharmaceutical Council (GPhC) register</t>
  </si>
  <si>
    <t>Sultan Galiev and Vasyl Shakhrai</t>
  </si>
  <si>
    <t>$2.2 billion</t>
  </si>
  <si>
    <t>How much of the global wealth will the wealthiest 1 percent own by 2016?</t>
  </si>
  <si>
    <t>Who was the film Charly produced by?</t>
  </si>
  <si>
    <t>Organizational</t>
  </si>
  <si>
    <t>What was Warner Sinback</t>
  </si>
  <si>
    <t>According to the Princeton Review where has Harvard ranked as a "Dream College" in 2013</t>
  </si>
  <si>
    <t>Who figured out that his law of gravity had to be universal?</t>
  </si>
  <si>
    <t>What was required of Huguenot children after the Edict was revoked?</t>
  </si>
  <si>
    <t>Soviet</t>
  </si>
  <si>
    <t>How many touchdowns did Newton get in the 2015 season?</t>
  </si>
  <si>
    <t>What did Protestant nobles form the following year after the signing of the Augsburg Confession?</t>
  </si>
  <si>
    <t>Which Fresno district is the center for the LGBT community?</t>
  </si>
  <si>
    <t>acquiring nutrients</t>
  </si>
  <si>
    <t>Name a common autoimmune disease.</t>
  </si>
  <si>
    <t>low wage</t>
  </si>
  <si>
    <t>What troops attacked Fort William Henry in early 1757?</t>
  </si>
  <si>
    <t>24-year tenure</t>
  </si>
  <si>
    <t>On 19 October 1512, he was awarded his Doctor of Theology and, on 21 October 1512, was received into the senate of the theological faculty of the University of Wittenberg, having been called to the position of Doctor in Bible. He spent the rest of his career in this position at the University of Wittenberg.</t>
  </si>
  <si>
    <t>What is the name of the trophy given to anyone who plays on the winning team in a Super Bowl?</t>
  </si>
  <si>
    <t>the UK government</t>
  </si>
  <si>
    <t>The Annual Conference, roughly the equivalent of a diocese in the Anglican Communion and the Roman Catholic Church or a synod in some Lutheran denominations such as the Evangelical Lutheran Church in America, is the basic unit of organization within the UMC. The term Annual Conference is often used to refer to the geographical area it covers as well as the frequency of meeting. Clergy are members of their Annual Conference rather than of any local congregation, and are appointed to a local church or other charge annually by the conference's resident Bishop at the meeting of the Annual Conference. In many ways, the United Methodist Church operates in a connectional organization of the Annual Conferences, and actions taken by one conference are not binding upon another.</t>
  </si>
  <si>
    <t>Who is given credit for discovering geoglyphs along the Amazon River?</t>
  </si>
  <si>
    <t>Lady Gaga</t>
  </si>
  <si>
    <t>Who is the hero who killed a dragon on the Drachenfels?</t>
  </si>
  <si>
    <t>Book of Common Prayer.</t>
  </si>
  <si>
    <t>intractable</t>
  </si>
  <si>
    <t>HD</t>
  </si>
  <si>
    <t>When did Holden announce that it will close its Victoria plant?</t>
  </si>
  <si>
    <t>What time did a river system develop in the Upper Rhine Graben?</t>
  </si>
  <si>
    <t>Danny Lane</t>
  </si>
  <si>
    <t>international drug suppliers</t>
  </si>
  <si>
    <t>Who made early colour videos of the show?</t>
  </si>
  <si>
    <t>plot and combine</t>
  </si>
  <si>
    <t>the Romantic Rhine</t>
  </si>
  <si>
    <t>How long has Radio Tyneside been the voluntary hospital radio service?</t>
  </si>
  <si>
    <t>Pedro Menéndez de Avilés</t>
  </si>
  <si>
    <t>C3 angiosperms, and even some gymnosperms</t>
  </si>
  <si>
    <t>10–15% of the population</t>
  </si>
  <si>
    <t>adjustable spring-loaded</t>
  </si>
  <si>
    <t>Who was the Uighur King of Qocho ranked above?</t>
  </si>
  <si>
    <t>What Microsoft CEO is also an alumni of the University of Chicago?</t>
  </si>
  <si>
    <t>UK</t>
  </si>
  <si>
    <t>the first two</t>
  </si>
  <si>
    <t>How was the school able to bring aboard the best talented students?</t>
  </si>
  <si>
    <t>the interconnection of national X.25 networks</t>
  </si>
  <si>
    <t>City Road</t>
  </si>
  <si>
    <t>What is the name of the museum and research center for Near Eastern studies, that is owned by the university?</t>
  </si>
  <si>
    <t>cone-shaped</t>
  </si>
  <si>
    <t>What article was published in 1937?</t>
  </si>
  <si>
    <t>the Anglo-Saxon populations</t>
  </si>
  <si>
    <t>What is a PPP also known as?</t>
  </si>
  <si>
    <t>What is a main advantage of the Rankine cycle?</t>
  </si>
  <si>
    <t>when they improve society as a whole</t>
  </si>
  <si>
    <t>the areas in which it can make laws</t>
  </si>
  <si>
    <t>Where did Luther become angry at the widespread destruction of church property?</t>
  </si>
  <si>
    <t>Iran</t>
  </si>
  <si>
    <t>Fort William Henry</t>
  </si>
  <si>
    <t>Sophie Germain</t>
  </si>
  <si>
    <t>blood–brain barrier, blood–cerebrospinal fluid barrier, and similar fluid–brain barriers</t>
  </si>
  <si>
    <t>U.S.</t>
  </si>
  <si>
    <t>What space-time path is seen as a curved line in space?</t>
  </si>
  <si>
    <t>To remedy the causes of the fire, changes were made in the Block II spacecraft and operational procedures, the most important of which were use of a nitrogen/oxygen mixture instead of pure oxygen before and during launch, and removal of flammable cabin and space suit materials. The Block II design already called for replacement of the Block I plug-type hatch cover with a quick-release, outward opening door. NASA discontinued the manned Block I program, using the Block I spacecraft only for unmanned Saturn V flights. Crew members would also exclusively wear modified, fire-resistant Block II space suits, and would be designated by the Block II titles, regardless of whether a LM was present on the flight or not.</t>
  </si>
  <si>
    <t>digital streams of the game</t>
  </si>
  <si>
    <t>340 miles</t>
  </si>
  <si>
    <t>What was the concept of force an integral part of?</t>
  </si>
  <si>
    <t>The judicial branch</t>
  </si>
  <si>
    <t>the accidental introduction of the Mnemiopsis-eating North American ctenophore Beroe ovata, and by a cooling of the local climate from 1991 to 1993</t>
  </si>
  <si>
    <t>banned the growing of coffee, introduced a hut tax, and the landless were granted less and less land</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</si>
  <si>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</si>
  <si>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normal force</t>
  </si>
  <si>
    <t>Compared to other elements, how abundant does oxygen rank?</t>
  </si>
  <si>
    <t>What does man's justification depend on in faith?</t>
  </si>
  <si>
    <t>What does lack of education lead directly to?</t>
  </si>
  <si>
    <t>What type of wages do people unable to afford an education receive?</t>
  </si>
  <si>
    <t>Nikola Tesla (Serbian Cyrillic: Никола Тесла; 10 July 1856 – 7 January 1943) was a Serbian American inventor, electrical engineer, mechanical engineer, physicist, and futurist best known for his contributions to the design of the modern alternating current (AC) electricity supply system.</t>
  </si>
  <si>
    <t>Sanctifying Grace</t>
  </si>
  <si>
    <t>ideological struggle</t>
  </si>
  <si>
    <t>student-teacher relationships</t>
  </si>
  <si>
    <t>$400,000–$450,000</t>
  </si>
  <si>
    <t>military roads to the area</t>
  </si>
  <si>
    <t>What entity is created if the three different institutions cannot come to a consensus at any stage?</t>
  </si>
  <si>
    <t>TGIF</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</si>
  <si>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</si>
  <si>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Tuition Fee Supplement</t>
  </si>
  <si>
    <t>voucher</t>
  </si>
  <si>
    <t>What day was the game played on?</t>
  </si>
  <si>
    <t>When did Operation Anvil open?</t>
  </si>
  <si>
    <t>How many touchdowns did Brock Osweiler throw in the season?</t>
  </si>
  <si>
    <t>Biblical grounds</t>
  </si>
  <si>
    <t>What are Deacons granted if they are appointed as pastor in a local church?</t>
  </si>
  <si>
    <t>What types of programs help to redistribute wealth?</t>
  </si>
  <si>
    <t>phagocytic</t>
  </si>
  <si>
    <t>the Middle East</t>
  </si>
  <si>
    <t>Who did BSkyB team up with because it was not part of the consortium?</t>
  </si>
  <si>
    <t>How much time remained on the clock when the Broncos made the interception that clinched the AFC Championship Game?</t>
  </si>
  <si>
    <t>co-NP</t>
  </si>
  <si>
    <t>What naval battles did France lose in 1759?</t>
  </si>
  <si>
    <t>Who could be the subjects of a teacher's college investigation?</t>
  </si>
  <si>
    <t>the Cretaceous–Paleogene extinction</t>
  </si>
  <si>
    <t>Why is Priestley usually given credit for being first to discover oxygen?</t>
  </si>
  <si>
    <t>Parliament Square, High Street and George IV Bridge in Edinburgh</t>
  </si>
  <si>
    <t>When did Li Tan lead a revolt?</t>
  </si>
  <si>
    <t>12 to 15 million</t>
  </si>
  <si>
    <t>Who led the most rapid expansion of the Mongol Empire?</t>
  </si>
  <si>
    <t>extra-legal</t>
  </si>
  <si>
    <t>Christian</t>
  </si>
  <si>
    <t>liquid phase</t>
  </si>
  <si>
    <t>autoimmune diseases, inflammatory diseases and cancer</t>
  </si>
  <si>
    <t>Who was the first president of the University of Chicago?</t>
  </si>
  <si>
    <t>Extension</t>
  </si>
  <si>
    <t>Chloroplasts alone make almost all of a plant cell's amino acids in their stroma except the sulfur-containing ones like cysteine and methionine. Cysteine is made in the chloroplast (the proplastid too) but it is also synthesized in the cytosol and mitochondria, probably because it has trouble crossing membranes to get to where it is needed. The chloroplast is known to make the precursors to methionine but it is unclear whether the organelle carries out the last leg of the pathway or if it happens in the cytosol.</t>
  </si>
  <si>
    <t>3–2.7 billion years ago</t>
  </si>
  <si>
    <t>career-low 67.9 passer rating,</t>
  </si>
  <si>
    <t>If the apparant force of two fermions is repulsive, what is the spin function?</t>
  </si>
  <si>
    <t>earlier German creedal hymn,</t>
  </si>
  <si>
    <t>Chinese dynasties</t>
  </si>
  <si>
    <t>summa cum laude</t>
  </si>
  <si>
    <t>What team was the winner of Super Bowl XXXIII?</t>
  </si>
  <si>
    <t>precise</t>
  </si>
  <si>
    <t>When did the university start having a bachelor's degree program in Cinema &amp; Media studies?</t>
  </si>
  <si>
    <t>Julia Butterfly Hill</t>
  </si>
  <si>
    <t>recommended by their pastor and Church Council or Charge Conference, and complete the basic course for lay servant</t>
  </si>
  <si>
    <t>When was the soundtrack for series 5 released?</t>
  </si>
  <si>
    <t xml:space="preserve">What did Tesla struggle with while in school? </t>
  </si>
  <si>
    <t>Soap</t>
  </si>
  <si>
    <t>How many hymns did Luther contribute to the Erfurt Enchiridion?</t>
  </si>
  <si>
    <t>underground leader Piłsudski</t>
  </si>
  <si>
    <t>Los Angeles Kings</t>
  </si>
  <si>
    <t>business</t>
  </si>
  <si>
    <t>Keraite tribe</t>
  </si>
  <si>
    <t>reverts to the first Thursday in May, a multiple of four years after 1999</t>
  </si>
  <si>
    <t>William II</t>
  </si>
  <si>
    <t>mathematical by-product of exchange</t>
  </si>
  <si>
    <t>specific immune receptors</t>
  </si>
  <si>
    <t>General Ban Ki-moon</t>
  </si>
  <si>
    <t>Mohammad Iqbal was what type of father to the State of Pakistan?</t>
  </si>
  <si>
    <t>Many known complexity classes are suspected to be unequal</t>
  </si>
  <si>
    <t>Who voted against Jacksonville's annexation?</t>
  </si>
  <si>
    <t>"We are beggars,"</t>
  </si>
  <si>
    <t>How did the black death make it to the Mediterranean and Europe?</t>
  </si>
  <si>
    <t>the Legislative Council</t>
  </si>
  <si>
    <t>1904</t>
  </si>
  <si>
    <t>knight winning a bout</t>
  </si>
  <si>
    <t>homicides</t>
  </si>
  <si>
    <t>anti-colonial movements</t>
  </si>
  <si>
    <t>substitute capital equipment</t>
  </si>
  <si>
    <t>During glacial times, where was the mouth of the Rhine located?</t>
  </si>
  <si>
    <t>applied force</t>
  </si>
  <si>
    <t>San Andreas</t>
  </si>
  <si>
    <t>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"grey literature"),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t>
  </si>
  <si>
    <t>if they arrest fully informed jury leafleters, the leaflets will have to be given to the leafleter's own jury as evidence</t>
  </si>
  <si>
    <t>To whom did Luther send a letter containing his 95 Theses?</t>
  </si>
  <si>
    <t>What happened to the SM upon reentry to the atmosphere?</t>
  </si>
  <si>
    <t>a protest that blocked heavy traffic</t>
  </si>
  <si>
    <t>What is the name of the desert city?</t>
  </si>
  <si>
    <t>What does Article 102 of the Treaty of Lisbon prohibit?</t>
  </si>
  <si>
    <t>15,100</t>
  </si>
  <si>
    <t>When was the Dutch Revolt?</t>
  </si>
  <si>
    <t>either its continental North American possessions east of the Mississippi or the Caribbean islands of Guadeloupe and Martinique,</t>
  </si>
  <si>
    <t>pastors</t>
  </si>
  <si>
    <t>spring reaction force</t>
  </si>
  <si>
    <t>What Lionsgate trailer was shown during the Super Bowl?</t>
  </si>
  <si>
    <t>They arranged for Israel to pull back from the Sinai Peninsula and the Golan Heights</t>
  </si>
  <si>
    <t>a cubic interpolation formula</t>
  </si>
  <si>
    <t>What is the last name of the player who scored a 2-yard touchdown in the fourth quarter?</t>
  </si>
  <si>
    <t>Committee on Commerce, Science and Transportation</t>
  </si>
  <si>
    <t>Newborns are vulnerable to infection because they have no previous exposure to what?</t>
  </si>
  <si>
    <t>Alps</t>
  </si>
  <si>
    <t>more than 100 universities</t>
  </si>
  <si>
    <t>How many ways are available to help reduce the stress of teaching?</t>
  </si>
  <si>
    <t>antithetical</t>
  </si>
  <si>
    <t>Thoreau's essay was not published until after the end of the Mexican War</t>
  </si>
  <si>
    <t>Datanet 1 only referred to the network and the connected users via leased lines</t>
  </si>
  <si>
    <t>Which famous French artist who painted the Grande Odalisque of 1814 is represented in the drawings collection of the V&amp;A?</t>
  </si>
  <si>
    <t>frontiers between New France and the British colonies</t>
  </si>
  <si>
    <t>Gandhi's</t>
  </si>
  <si>
    <t>What is another possible explanation for the source of the signals?</t>
  </si>
  <si>
    <t>Edmund Bellinger</t>
  </si>
  <si>
    <t>The rotational inertia of planet Earth</t>
  </si>
  <si>
    <t>guidance and intervention</t>
  </si>
  <si>
    <t>What year did Charles Avison die in Newcastle?</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</si>
  <si>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</si>
  <si>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Who was the first person to play the Master?</t>
  </si>
  <si>
    <t>killer cell immunoglobulin receptors (KIR</t>
  </si>
  <si>
    <t>Who is the third riches man in America?</t>
  </si>
  <si>
    <t>kick back</t>
  </si>
  <si>
    <t>What idea was Tesla a fan of?</t>
  </si>
  <si>
    <t>What nationality are researchers Richard G. Wilkinson and Kate Pickett?</t>
  </si>
  <si>
    <t>AC development</t>
  </si>
  <si>
    <t>difficult to resolve</t>
  </si>
  <si>
    <t>religious groups</t>
  </si>
  <si>
    <t>catechism</t>
  </si>
  <si>
    <t>digital streams</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</si>
  <si>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</si>
  <si>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François, the hero of the First World War Battle of Tannenberg, Luftwaffe General and fighter ace Adolf Galland, Luftwaffe flying ace Hans-Joachim Marseille, and famed U-boat captain Lothar von Arnauld de la Perière. The last Prime Minister of the (East) German Democratic Republic, Lothar de Maizière, is also a descendant of a Huguenot family, as is the German Federal Minister of the Interior, Thomas de Maizière.</t>
  </si>
  <si>
    <t>climate change in addition to deforestation</t>
  </si>
  <si>
    <t>each side is capable of performing the obligations set out</t>
  </si>
  <si>
    <t>What year was the only film version of Doctor Who shown?</t>
  </si>
  <si>
    <t>There are fifteen fraternities and seven sororities at the University of Chicago, as well as one co-ed community service fraternity, Alpha Phi Omega. Four of the sororities are members of the National Panhellenic Conference, and ten of the fraternities form the University of Chicago Interfraternity Council. In 2002, the Associate Director of Student Activities estimated that 8–10 percent of undergraduates were members of fraternities or sororities. The student activities office has used similar figures, stating that one in ten undergraduates participate in Greek life.</t>
  </si>
  <si>
    <t>continuous input of sediment</t>
  </si>
  <si>
    <t>stabilize greenhouse gas concentrations in the atmosphere</t>
  </si>
  <si>
    <t>Warfare and the long occupation</t>
  </si>
  <si>
    <t>What kind of self-consistent models are physicists trying to make that would create a theory of everything?</t>
  </si>
  <si>
    <t>What shows were released on Laserdisc?</t>
  </si>
  <si>
    <t>nearly two-thirds</t>
  </si>
  <si>
    <t>What is the edcuation system currently?</t>
  </si>
  <si>
    <t>Would word means burn in the Anglo-Saxon language?</t>
  </si>
  <si>
    <t>Who published the State of the Planet 2008-2009 report?</t>
  </si>
  <si>
    <t>less than $1,000</t>
  </si>
  <si>
    <t>Who founded the UMC?</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</si>
  <si>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</si>
  <si>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an Islamic state</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</si>
  <si>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</si>
  <si>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Who agreed with the burning of synagogues?</t>
  </si>
  <si>
    <t>In 1999, another special, Doctor Who and the Curse of Fatal Death, was made for Comic Relief and later released on VHS. An affectionate parody of the television series, it was split into four segments, mimicking the traditional serial format, complete with cliffhangers, and running down the same corridor several times when being chased (the version released on video was split into only two episodes). In the story, the Doctor (Rowan Atkinson) encounters both the Master (Jonathan Pryce) and the Daleks. During the special the Doctor is forced to regenerate several times, with his subsequent incarnations played by, in order, Richard E. Grant, Jim Broadbent, Hugh Grant and Joanna Lumley. The script was written by Steven Moffat, later to be head writer and executive producer to the revived series.</t>
  </si>
  <si>
    <t>In what year was Wisconsin v. Yoder decided at the Supreme Court?</t>
  </si>
  <si>
    <t>Loudoun</t>
  </si>
  <si>
    <t>What is the process by which pathogens evade the immune system by hiding inside the host cells called?</t>
  </si>
  <si>
    <t>What does co-teaching get the students to focus on?</t>
  </si>
  <si>
    <t>What year was Newcastle ninth in retail expenditures?</t>
  </si>
  <si>
    <t>What is the earliest known movie featuring scenes filmed outdoors in Newcastle?</t>
  </si>
  <si>
    <t>Objects of constant density are proportional to volume by what force to define standard weights?.</t>
  </si>
  <si>
    <t>55.1%</t>
  </si>
  <si>
    <t>dynamic equilibrium</t>
  </si>
  <si>
    <t>Commission v Austria</t>
  </si>
  <si>
    <t>What impacts distribution of wealth when evaluating labor?</t>
  </si>
  <si>
    <t>.6-million-year-old</t>
  </si>
  <si>
    <t>Who backed policies that have solutions that sound good but have poor prospects?</t>
  </si>
  <si>
    <t>What would have to be increased regarding the LM and CSM for the last five missions?</t>
  </si>
  <si>
    <t>What do some Mongolians feel non-Mongolian historians exaggerate about Genghis Khan?</t>
  </si>
  <si>
    <t>ABC Modern</t>
  </si>
  <si>
    <t>Where was the Baltimore Christmas Conference of 1784 held?</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</si>
  <si>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</si>
  <si>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What combined with ricing prices to make it difficult or impossible for poor people to keep pace?</t>
  </si>
  <si>
    <t>Who covered the halftime coverage?</t>
  </si>
  <si>
    <t>laws of physics</t>
  </si>
  <si>
    <t>What type of rail line is Pacific National?</t>
  </si>
  <si>
    <t>What are clades?</t>
  </si>
  <si>
    <t>When did ABC adopt it's iconic circle logo?</t>
  </si>
  <si>
    <t>What distinction does the Bank of America Tower hold?</t>
  </si>
  <si>
    <t>To what pathogen that causes gas gangrene is oxygen poisonous?</t>
  </si>
  <si>
    <t>How many miles does the dust travels over the Atlantic Ocean?</t>
  </si>
  <si>
    <t>Apollo 20.</t>
  </si>
  <si>
    <t>is considered essential for translation initiation in most chloroplasts and prokaryotes</t>
  </si>
  <si>
    <t>European Council</t>
  </si>
  <si>
    <t>sworn brother or blood brother</t>
  </si>
  <si>
    <t>perforin</t>
  </si>
  <si>
    <t>Qur'an</t>
  </si>
  <si>
    <t>apartheid</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</si>
  <si>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</si>
  <si>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docking</t>
  </si>
  <si>
    <t>quality of a country's institutions and high levels of education</t>
  </si>
  <si>
    <t>the Mongols</t>
  </si>
  <si>
    <t>Who ruined Roussel de Bailleul's plans for an independent state?</t>
  </si>
  <si>
    <t>Half of Paris's population of 100,000 people</t>
  </si>
  <si>
    <t>10th</t>
  </si>
  <si>
    <t>What is the process by which the immune system identifies tumors called?</t>
  </si>
  <si>
    <t>Quaternary</t>
  </si>
  <si>
    <t>the Han Chinese</t>
  </si>
  <si>
    <t>military roads to the area by Braddock and Forbes</t>
  </si>
  <si>
    <t>from near the mouth to the opposite end</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</si>
  <si>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</si>
  <si>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How many touchdowns did Manning throw in the game?</t>
  </si>
  <si>
    <t>What is a typical name for learning that is not inside of the classroom?</t>
  </si>
  <si>
    <t>Who was the MVP of Super Bowl I and II?</t>
  </si>
  <si>
    <t>the process of a country taking physical control of another</t>
  </si>
  <si>
    <t xml:space="preserve">How was this possible </t>
  </si>
  <si>
    <t>What river is near Genghis Khan's likely place of burial?</t>
  </si>
  <si>
    <t>What memorial was built years after Genghis Khan's death and burial?</t>
  </si>
  <si>
    <t>When was the construction that changed the Rhine's Delta?</t>
  </si>
  <si>
    <t>What is the largest city in Poland?</t>
  </si>
  <si>
    <t>Philosophers in antiquity used the concept of force in the study of stationary and moving objects and simple machines, but thinkers such as Aristotle and Archimedes retained fundamental errors in understanding force. In part this was due to an incomplete understanding of the sometimes non-obvious force of friction, and a consequently inadequate view of the nature of natural motion. A fundamental error was the belief that a force is required to maintain motion, even at a constant velocity. Most of the previous misunderstandings about motion and force were eventually corrected by Galileo Galilei and Sir Isaac Newton. With his mathematical insight, Sir Isaac Newton formulated laws of motion that were not improved-on for nearly three hundred years. By the early 20th century, Einstein developed a theory of relativity that correctly predicted the action of forces on objects with increasing momenta near the speed of light, and also provided insight into the forces produced by gravitation and inertia.</t>
  </si>
  <si>
    <t>What is the highest point of the Rhine basin called?</t>
  </si>
  <si>
    <t>During which eon did free oxygen begin appearing in quantity?</t>
  </si>
  <si>
    <t>the San Fernando Valley</t>
  </si>
  <si>
    <t>the founding of new Protestant churches</t>
  </si>
  <si>
    <t>tolerant</t>
  </si>
  <si>
    <t>Rhin</t>
  </si>
  <si>
    <t>What is the name for a response of the immune system that damages the body's native tissues?</t>
  </si>
  <si>
    <t>Dutch architect Janjaap Ruijssenaars's performative architecture 3D-printed building is scheduled to be built when?</t>
  </si>
  <si>
    <t>old boy network</t>
  </si>
  <si>
    <t>What offers a conceptual definition of force?</t>
  </si>
  <si>
    <t>At what time did Martin Luther die?</t>
  </si>
  <si>
    <t>The term Annual Conference is often used to refer to what?</t>
  </si>
  <si>
    <t>the machine gun</t>
  </si>
  <si>
    <t>The logo for the Twelfth Doctor</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</si>
  <si>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</si>
  <si>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How were Huguenot settlers assimilated into North American society at large?</t>
  </si>
  <si>
    <t>the most popular show</t>
  </si>
  <si>
    <t>Massachusetts</t>
  </si>
  <si>
    <t>7,000,000 square kilometres (2,70</t>
  </si>
  <si>
    <t>the European Court of Human Rights</t>
  </si>
  <si>
    <t>Who reported on the sideline for ESPN Deportes?</t>
  </si>
  <si>
    <t>1883</t>
  </si>
  <si>
    <t xml:space="preserve">What properties are analyzed with a conoscopic lens by petrologists? </t>
  </si>
  <si>
    <t>Energiprojekt AB</t>
  </si>
  <si>
    <t xml:space="preserve">If the tops of the rock units within the folds remain pointing upwards, they are called what? </t>
  </si>
  <si>
    <t>When was the IPCC Trust Fund founded?</t>
  </si>
  <si>
    <t>What kind of division of power did Kublai's government have?</t>
  </si>
  <si>
    <t>How does the secondary theory say most cpDNA is structured?</t>
  </si>
  <si>
    <t>What has given the American economy a tendency to go "from bubble to bubble"?</t>
  </si>
  <si>
    <t>student</t>
  </si>
  <si>
    <t>Approximately how many works of art are included in the Far Eastern collections?</t>
  </si>
  <si>
    <t>2100</t>
  </si>
  <si>
    <t>reduced the population of Seville by half</t>
  </si>
  <si>
    <t>soluble components</t>
  </si>
  <si>
    <t>a strong Islamist outlook</t>
  </si>
  <si>
    <t>John Mearsheimer and Robert Pape</t>
  </si>
  <si>
    <t>In the United States, the game was televised by CBS, as part of a cycle between the three main broadcast television partners of the NFL. The network's lead broadcast team of Jim Nantz and Phil Simms called the contest, with Tracy Wolfson and Evan Washburn on the sidelines. CBS introduced new features during the telecast, including pylon cameras and microphones along with EyeVision 360—an array of 36 cameras along the upper deck that can be used to provide a 360-degree view of plays and "bullet time" effects. (An earlier version of EyeVision was last used in Super Bowl XXXV; for Super Bowl 50, the cameras were upgraded to 5K resolution.)</t>
  </si>
  <si>
    <t>Who noted the different current uses of civil disobedience?</t>
  </si>
  <si>
    <t>Why do firms substitute equipment for workers?</t>
  </si>
  <si>
    <t>appear to become lighter and seem to lose something in the process</t>
  </si>
  <si>
    <t>Captain America: Civil War</t>
  </si>
  <si>
    <t>Shakespeare's</t>
  </si>
  <si>
    <t>How did Luther respond to Agricola?</t>
  </si>
  <si>
    <t>During which period did Jacksonville become a popular destination for the rich?</t>
  </si>
  <si>
    <t>A study by the World Institute for Development Economics Research at United Nations University reports that the richest 1% of adults alone owned 40% of global assets in the year 2000. The three richest people in the world possess more financial assets than the lowest 48 nations combined. The combined wealth of the "10 million dollar millionaires" grew to nearly $41 trillion in 2008. A January 2014 report by Oxfam claims that the 85 wealthiest individuals in the world have a combined wealth equal to that of the bottom 50% of the world's population, or about 3.5 billion people. According to a Los Angeles Times analysis of the report, the wealthiest 1% owns 46% of the world's wealth; the 85 richest people, a small part of the wealthiest 1%, own about 0.7% of the human population's wealth, which is the same as the bottom half of the population. More recently, in January 2015, Oxfam reported that the wealthiest 1 percent will own more than half of the global wealth by 2016. An October 2014 study by Credit Suisse also claims that the top 1% now own nearly half of the world's wealth and that the accelerating disparity could trigger a recession. In October 2015, Credit Suisse published a study which shows global inequality continues to increase, and that half of the world's wealth is now in the hands of those in the top percentile, whose assets each exceed $759,900. A 2016 report by Oxfam claims that the 62 wealthiest individuals own as much wealth as the poorer half of the global population combined. 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debts).[unreliable source?][unreliable source?] Anthony Shorrocks, the lead author of the Credit Suisse report which is one of the sources of Oxfam's data, considers the criticism about debt to be a "silly argument" and "a non-issue . . . a diversion."</t>
  </si>
  <si>
    <t>Who may have been called upon to fund the festival associated with the Super Bowl in Santa Clara?</t>
  </si>
  <si>
    <t>What did the Warsaw Confederation formally establish in 1573?</t>
  </si>
  <si>
    <t>France Antarctique</t>
  </si>
  <si>
    <t>rate of flow was increased</t>
  </si>
  <si>
    <t>What body has stated that physicians can also dispense drugs under specific conditions?</t>
  </si>
  <si>
    <t>What year was North America's first printing press started?</t>
  </si>
  <si>
    <t>burned liquid hydrogen</t>
  </si>
  <si>
    <t>Decision tree is an example of what type of measure?</t>
  </si>
  <si>
    <t>How many nations control this region in total?</t>
  </si>
  <si>
    <t>Since he didn't believe that salvation was acquired through good deeds, how was it achieved?</t>
  </si>
  <si>
    <t>What is income inequality attributed to?</t>
  </si>
  <si>
    <t>Scottish Parliament grew</t>
  </si>
  <si>
    <t>the American Philosophical Society</t>
  </si>
  <si>
    <t>IgE</t>
  </si>
  <si>
    <t>the ordination order of transitional deacon was abolished</t>
  </si>
  <si>
    <t>What element is used as a coolant in the process of making liquid oxygen?</t>
  </si>
  <si>
    <t>Who was the first NASA scientist in space?</t>
  </si>
  <si>
    <t>When was Levi's Stadium picked for Super bowl 50?</t>
  </si>
  <si>
    <t>The Space Museum</t>
  </si>
  <si>
    <t>Triumphing by a brave defence</t>
  </si>
  <si>
    <t>What net loss did the Conservatives suffer?</t>
  </si>
  <si>
    <t>What injury did Thomas Davis suffer in the NFC Championship?</t>
  </si>
  <si>
    <t>What do forces have with regard to additive quantities?</t>
  </si>
  <si>
    <t>sail loft on Dock Street</t>
  </si>
  <si>
    <t>Cytokine TBF-B suppresses the activity of what cell types?</t>
  </si>
  <si>
    <t>30,000</t>
  </si>
  <si>
    <t>What was the color of the jerseys in Super Bowl XXXII when Elway was quarterback?</t>
  </si>
  <si>
    <t>science</t>
  </si>
  <si>
    <t>What has recent testing of Kuznets theory with superior data show it to be?</t>
  </si>
  <si>
    <t>the rain shadow</t>
  </si>
  <si>
    <t>only of essentially holy people</t>
  </si>
  <si>
    <t>third stage</t>
  </si>
  <si>
    <t xml:space="preserve">Who scored the Panthers first touchdown? </t>
  </si>
  <si>
    <t>caning</t>
  </si>
  <si>
    <t>the Adriatic</t>
  </si>
  <si>
    <t>the building is ready to occupy</t>
  </si>
  <si>
    <t>Saturnian hunger,</t>
  </si>
  <si>
    <t>the General Conference</t>
  </si>
  <si>
    <t>1313</t>
  </si>
  <si>
    <t>Base Titanium</t>
  </si>
  <si>
    <t>sixth</t>
  </si>
  <si>
    <t>the Karluk Kara-Khanid ruler</t>
  </si>
  <si>
    <t>free trade</t>
  </si>
  <si>
    <t>What distinguishes granal thylakoids?</t>
  </si>
  <si>
    <t>γδ</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</si>
  <si>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</si>
  <si>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diatom (heterokontophyte) derived</t>
  </si>
  <si>
    <t>west of Kashgar</t>
  </si>
  <si>
    <t>as soon as they enter into force</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</si>
  <si>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</si>
  <si>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The United Methodist Church in Africa.</t>
  </si>
  <si>
    <t>Which Super Bowl did Elway win at 38 years old?</t>
  </si>
  <si>
    <t>Who were otachi?</t>
  </si>
  <si>
    <t>a very precise notation of a correct African pronunciation</t>
  </si>
  <si>
    <t>people</t>
  </si>
  <si>
    <t>Who were the first two actors that played Doctor Who?</t>
  </si>
  <si>
    <t>What additional srevice did BSkyB offer besides HD channels that they claimed offered "substantially more value"?</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</si>
  <si>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</si>
  <si>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What did 'Da Yuan Tong Zhi' mean?</t>
  </si>
  <si>
    <t>It expanded</t>
  </si>
  <si>
    <t>HAMAS</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</si>
  <si>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</si>
  <si>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Roger Goodell</t>
  </si>
  <si>
    <t>Who, with Jim Nantz, was a member of the game's lead broadcast team?</t>
  </si>
  <si>
    <t>Williamite war</t>
  </si>
  <si>
    <t>How many astronauts visited space on missions and were rewarded for their efforts?</t>
  </si>
  <si>
    <t>When did the Bantu expansion reach the area from West-Central Africa?</t>
  </si>
  <si>
    <t>Who was appointed to head a team to find the problems North America had regarding manned space flight?</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</si>
  <si>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</si>
  <si>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Newton's Second Law asserts the direct proportionality of acceleration to force and the inverse proportionality of acceleration to mass. Accelerations can be defined through kinematic measurements. However, while kinematics are well-described through reference frame analysis in advanced physics, there are still deep questions that remain as to what is the proper definition of mass. General relativity offers an equivalence between space-time and mass, but lacking a coherent theory of quantum gravity, it is unclear as to how or whether this connection is relevant on microscales. With some justification, Newton's second law can be taken as a quantitative definition of mass by writing the law as an equality; the relative units of force and mass then are fixed.</t>
  </si>
  <si>
    <t>around 1700</t>
  </si>
  <si>
    <t>On what date did the Florida legislature decide against the plan to renovate the Miami stadium?</t>
  </si>
  <si>
    <t>Which Thesis questions the Pope's actions in building the basilica of St. Peter with the money of the poor?</t>
  </si>
  <si>
    <t>When did people once again start to show an interest in Tesla?</t>
  </si>
  <si>
    <t>the Merkits</t>
  </si>
  <si>
    <t>irrational and backward</t>
  </si>
  <si>
    <t>Who ruled the duchy of Normandy</t>
  </si>
  <si>
    <t>Who designed the Scottish Parliament building?</t>
  </si>
  <si>
    <t>lightning</t>
  </si>
  <si>
    <t>most radically anti-Semitic tract ever published</t>
  </si>
  <si>
    <t>What was the emphasis focuses on?</t>
  </si>
  <si>
    <t>collectively refuse to sign bail until certain demands are met</t>
  </si>
  <si>
    <t>neuroimmune</t>
  </si>
  <si>
    <t>In early 2009, Disney–ABC Television Group merged ABC Entertainment and ABC Studios into a new division, ABC Entertainment Group, which would be responsible for both its production and broadcasting operations. During this reorganization, the group announced that it would lay off 5% of its workforce. On April 2, 2009, Citadel Communications announced that it would rebrand ABC Radio as Citadel Media; however, ABC News continued to provide news content for Citadel. On December 22, Disney–ABC Television Group announced a partnership with Apple Inc. to make individual episodes of ABC and Disney Channel programs available for purchase on iTunes.</t>
  </si>
  <si>
    <t>Doctor_Who</t>
  </si>
  <si>
    <t>Who makes up the BBC commentary team with Greg Brady and Rocky Boiman?</t>
  </si>
  <si>
    <t>governments also wanted to increase their independence and strengthen legislation</t>
  </si>
  <si>
    <t>inane</t>
  </si>
  <si>
    <t>south Wales</t>
  </si>
  <si>
    <t>Lowry Digital</t>
  </si>
  <si>
    <t>What types of European groups were able to avoid the plague?</t>
  </si>
  <si>
    <t>66</t>
  </si>
  <si>
    <t>What complex measurements were defined by "On the Computational Complexity of Algorithms"?</t>
  </si>
  <si>
    <t>second-largest global producer</t>
  </si>
  <si>
    <t>air conditioning</t>
  </si>
  <si>
    <t>consultant</t>
  </si>
  <si>
    <t>a period of foreign domination</t>
  </si>
  <si>
    <t>Jani Beg</t>
  </si>
  <si>
    <t>rapid expansion in telecommunication and financial activity</t>
  </si>
  <si>
    <t>$4.093 million</t>
  </si>
  <si>
    <t>top tax rate</t>
  </si>
  <si>
    <t>the Maling company</t>
  </si>
  <si>
    <t>knowledgeable</t>
  </si>
  <si>
    <t>input size</t>
  </si>
  <si>
    <t>Groton School</t>
  </si>
  <si>
    <t>What was Tesla's father afraid would happen to him in school?</t>
  </si>
  <si>
    <t>1332</t>
  </si>
  <si>
    <t>The Church rejects was as an instrument of what?</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</si>
  <si>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</si>
  <si>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 xml:space="preserve">WHat did foreign clones of DATAPAC allow for </t>
  </si>
  <si>
    <t xml:space="preserve">First published by Sir Charles Lyell in 1830 this book was called what? </t>
  </si>
  <si>
    <t>Session</t>
  </si>
  <si>
    <t>an international data communications network headquartered in San Jose, CA</t>
  </si>
  <si>
    <t>pedagogy</t>
  </si>
  <si>
    <t>apicomplexan-related diseases</t>
  </si>
  <si>
    <t>Because of its unpaired electrons</t>
  </si>
  <si>
    <t>From what pad was Apollo 5 launched from?</t>
  </si>
  <si>
    <t>How much capital did Danish law require to start a company?</t>
  </si>
  <si>
    <t>What is a term that means constant temperature?</t>
  </si>
  <si>
    <t>After what battle did Union forces return to and occupy Jacksonville for the rest of the war?</t>
  </si>
  <si>
    <t>Who did the Mongols send to Bukhara as administrators?</t>
  </si>
  <si>
    <t>severely reduced rainfall and increased temperatures</t>
  </si>
  <si>
    <t>What work of Luther's became popular?</t>
  </si>
  <si>
    <t>destination address, source address, and port numbers</t>
  </si>
  <si>
    <t>as grubs underground</t>
  </si>
  <si>
    <t xml:space="preserve">What is the conventional method to measure the Rhine? </t>
  </si>
  <si>
    <t>What did the non-Afghan veterans returning home have in addition to their prestige?</t>
  </si>
  <si>
    <t>In December 1984, Thomas S. Murphy, chief executive officer of Capital Cities Communications, contacted Leonard Goldenson about a proposal to merge their respective companies. On March 16, 1985, ABC's executive committee accepted the merger offer, which was formally announced on March 18, 1985, with Capital Cities purchasing ABC and its related properties for $3.5 billion and $118 for each of ABC's shares as well as a guarantee of 10% (or $3) for a total of $121 per share. To finance the purchase, Capital Cities borrowed $2.1 billion from a consortium of banks, which sold certain assets that Capital Cites could not acquire or retain due to FCC ownership rules for a combined $900 million and sold off several cable television systems, which were sold to The Washington Post Company (forming the present-day Cable One). The remaining $500 million was loaned by Warren Buffett, who promised that his company Berkshire Hathaway would purchase $3 million in shares, at $172.50 apiece. Due to an FCC ban on same-market ownership of television and radio stations by a single company (although the deal would have otherwise complied with new ownership rules implemented by the FCC in January 1985, that allowed broadcasters to own a maximum of 12 television stations), ABC and Capital Cities respectively decided to sell WXYZ-TV and Tampa independent station WFTS-TV to the E. W. Scripps Company (although Capital Cities/ABC originally intended to seek a cross-ownership waiver to retain WXYZ and Capital Cities-owned radio stations WJR and WHYT).</t>
  </si>
  <si>
    <t>What effect does trade with poorer countries have on the workers in richer countries?</t>
  </si>
  <si>
    <t>Cargill Meat Solutions and Foster Farms</t>
  </si>
  <si>
    <t>When were the Mongols defeated by the Tran?</t>
  </si>
  <si>
    <t>they have two cell membranes.</t>
  </si>
  <si>
    <t>Prior to Manning, who was the oldest quarterback to play in a Super Bowl?</t>
  </si>
  <si>
    <t>What does the pleurobrachia have on opposite sides of its body?</t>
  </si>
  <si>
    <t>small portion of the population lives off unearned property income</t>
  </si>
  <si>
    <t>members of the International Association of Methodist-related Schools, Colleges, and Universities. The church operates three hundred sixty scho</t>
  </si>
  <si>
    <t>Chancel Chapel</t>
  </si>
  <si>
    <t>arguing that it infringed on democratic freedoms</t>
  </si>
  <si>
    <t>Where can chloroplasts sometimes be found?</t>
  </si>
  <si>
    <t>What did Luther call good works that existed solely to attract God's favor?</t>
  </si>
  <si>
    <t>WZZM and WOTV</t>
  </si>
  <si>
    <t>against governmental entities</t>
  </si>
  <si>
    <t>The aim of the French competition law was to do what?</t>
  </si>
  <si>
    <t>Which ctenophora have been studies the most?</t>
  </si>
  <si>
    <t>Duke Kent-Brown</t>
  </si>
  <si>
    <t>The two AAA clubs divided the state into a northern and southern California as opposed to what point of view?</t>
  </si>
  <si>
    <t>tungsten</t>
  </si>
  <si>
    <t>eastern coast of the continent,</t>
  </si>
  <si>
    <t>What type of valve is used by recent safety valves?</t>
  </si>
  <si>
    <t>5K</t>
  </si>
  <si>
    <t>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t>
  </si>
  <si>
    <t>Compromise of 1850</t>
  </si>
  <si>
    <t>study of positions of rock units and their deformation</t>
  </si>
  <si>
    <t>joy</t>
  </si>
  <si>
    <t>Get Carter</t>
  </si>
  <si>
    <t>Where is corporal punishment practiced the most?</t>
  </si>
  <si>
    <t>a typographical error</t>
  </si>
  <si>
    <t>What did Luther think was the only source of knowledge of God?</t>
  </si>
  <si>
    <t>unpaired electrons in the molecule</t>
  </si>
  <si>
    <t>Mitochondria</t>
  </si>
  <si>
    <t>What has lately been being viewed as a fundamental status of member state nationals by the Court of Justice?</t>
  </si>
  <si>
    <t>certain number of teacher's salaries are paid by the State</t>
  </si>
  <si>
    <t>had to be successfully accomplished</t>
  </si>
  <si>
    <t>paintings</t>
  </si>
  <si>
    <t>Who approached the BBC in 1989 about relaunching the show?</t>
  </si>
  <si>
    <t>United Methodists on Abortion and Sexuality (TUMAS)</t>
  </si>
  <si>
    <t>Victorian architecture</t>
  </si>
  <si>
    <t>The West saw themselves as what compared to the east?</t>
  </si>
  <si>
    <t>the Main Quadrangles</t>
  </si>
  <si>
    <t>mosaics</t>
  </si>
  <si>
    <t>When did Tesla start deliberately experimenting with X-ray imaging?</t>
  </si>
  <si>
    <t>2%</t>
  </si>
  <si>
    <t>What philosophy of thought  addresses wealth inequality?</t>
  </si>
  <si>
    <t>2008-2009</t>
  </si>
  <si>
    <t>Sanders</t>
  </si>
  <si>
    <t>Wealth concentration is a theoretical[according to whom?] process by which, under certain conditions, newly created wealth concentrates in the possession of already-wealthy individuals or entities. According to this theory, those who already hold wealth have the means to invest in new sources of creating wealth or to otherwise leverage the accumulation of wealth, thus are the beneficiaries of the new wealth. Over time, wealth condensation can significantly contribute to the persistence of inequality within society. Thomas Piketty in his book Capital in the Twenty-First Century argues that the fundamental force for divergence is the usually greater return of capital (r) than economic growth (g), and that larger fortunes generate higher returns [pp. 384 Table 12.2, U.S. university endowment size vs. real annual rate of return]</t>
  </si>
  <si>
    <t>When did Pachauri resign as chair of the IPCC?</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</si>
  <si>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</si>
  <si>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How quickly is the sea level rising?</t>
  </si>
  <si>
    <t>Sky Digital</t>
  </si>
  <si>
    <t>planning,[citation needed] design, and financing and continues until the project is built</t>
  </si>
  <si>
    <t xml:space="preserve">What is Creon trying to stop Antigone from doing in the play? </t>
  </si>
  <si>
    <t>hiding a Jew in their house</t>
  </si>
  <si>
    <t>Who ended the series in 1989?</t>
  </si>
  <si>
    <t>1568–1609</t>
  </si>
  <si>
    <t>Royal Institute of British Architects</t>
  </si>
  <si>
    <t>over 40,000 pounds</t>
  </si>
  <si>
    <t>Who purchased or commissioned the works of European artists included the British galleries of the V&amp;A?</t>
  </si>
  <si>
    <t>Presburger arithmetic</t>
  </si>
  <si>
    <t>Trioxygen (O
3) is usually known as ozone and is a very reactive allotrope of oxygen that is damaging to lung tissue. Ozone is produced in the upper atmosphere when O
2 combines with atomic oxygen made by the splitting of O
2 by ultraviolet (UV) radiation. Since ozone absorbs strongly in the UV region of the spectrum, the ozone layer of the upper atmosphere functions as a protective radiation shield for the planet. Near the Earth's surface, it is a pollutant formed as a by-product of automobile exhaust. The metastable molecule tetraoxygen (O
4) was discovered in 2001, and was assumed to exist in one of the six phases of solid oxygen. It was proven in 2006 that this phase, created by pressurizing O
2 to 20 GPa, is in fact a rhombohedral O
8 cluster. This cluster has the potential to be a much more powerful oxidizer than either O
2 or O
3 and may therefore be used in rocket fuel. A metallic phase was discovered in 1990 when solid oxygen is subjected to a pressure of above 96 GPa and it was shown in 1998 that at very low temperatures, this phase becomes superconducting.</t>
  </si>
  <si>
    <t>What group of civil disobedients brought medicine to Iraq without the permission of the government?</t>
  </si>
  <si>
    <t>silicates (in silicate minerals)</t>
  </si>
  <si>
    <t>The Reconstruction of Religious Thought in Islam</t>
  </si>
  <si>
    <t>While experimenting, Tesla inadvertently faulted a power station generator, causing a power outage. In August 1917, Tesla explained what had happened in The Electrical Experimenter: "As an example of what has been done with several hundred kilowatts of high frequency energy liberated, it was found that the dynamos in a power house six miles away were repeatedly burned out, due to the powerful high frequency currents set up in them, and which caused heavy sparks to jump through the windings and destroy the insulation!"</t>
  </si>
  <si>
    <t>New Orleans'</t>
  </si>
  <si>
    <t>It is uncertain</t>
  </si>
  <si>
    <t>three hundred sixty schools and institutions overseas.</t>
  </si>
  <si>
    <t>macrophages and lymphocytes</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</si>
  <si>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</si>
  <si>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Cramér's conjecture.</t>
  </si>
  <si>
    <t>Who was the first Warsaw President?</t>
  </si>
  <si>
    <t>What is the highest peak in Victoria?</t>
  </si>
  <si>
    <t>steal</t>
  </si>
  <si>
    <t>home schooling</t>
  </si>
  <si>
    <t>savanna to the north and east</t>
  </si>
  <si>
    <t>What is the density of all primes compatible with a modulo 9?</t>
  </si>
  <si>
    <t>Which theory states that Earth's features remained unchanged after forming in one single catastrophic event?</t>
  </si>
  <si>
    <t>What did Luther say would allow the Jews to stay?</t>
  </si>
  <si>
    <t>steam-powered</t>
  </si>
  <si>
    <t>the 19th</t>
  </si>
  <si>
    <t>Who patented a high-pressure compound engine in 1805?</t>
  </si>
  <si>
    <t>What is the opposite of an ongoing role of teaching?</t>
  </si>
  <si>
    <t>How many members in the seats of the Scottish Parliament are members of the Scottish Government?</t>
  </si>
  <si>
    <t>a problem instance</t>
  </si>
  <si>
    <t>1982</t>
  </si>
  <si>
    <t>What is the highest court in the United Methodist denomination?</t>
  </si>
  <si>
    <t>What is the name of the longest bridge in Germany?</t>
  </si>
  <si>
    <t>To accurately map the Amazon's biomass and subsequent carbon related emissions, the classification of tree growth stages within different parts of the forest is crucial. In 2006 Tatiana Kuplich organized the trees of the Amazon into four categories: (1) mature forest, (2) regenerating forest [less than three years], (3) regenerating forest [between three and five years of regrowth], and (4) regenerating forest [eleven to eighteen years of continued development]. The researcher used a combination of Synthetic aperture radar (SAR) and Thematic Mapper (TM) to accurately place the different portions of the Amazon into one of the four classifications.</t>
  </si>
  <si>
    <t>The principle of cross-cutting relationships</t>
  </si>
  <si>
    <t>Paul Revere</t>
  </si>
  <si>
    <t>Most power of what sort is generated by steam turbines today?</t>
  </si>
  <si>
    <t>preventing it from being cut down</t>
  </si>
  <si>
    <t>Where did the president appoint cabinet members from?</t>
  </si>
  <si>
    <t>In what year did original fiction featuring Doctor Who appear?</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</si>
  <si>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</si>
  <si>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Who owns more wealth than the bottom 90 percent of people in the U.S.?</t>
  </si>
  <si>
    <t>stress</t>
  </si>
  <si>
    <t>Jewish conversion to Christianity</t>
  </si>
  <si>
    <t>poor harvest in 1757</t>
  </si>
  <si>
    <t>Tancred</t>
  </si>
  <si>
    <t>Who does the Presiding Officer submit the final bill to?</t>
  </si>
  <si>
    <t>Did Tesla graduate from the university?</t>
  </si>
  <si>
    <t>In 1993, Galor and Zeira showed that inequality in the presence of credit market imperfections has a long lasting detrimental effect on human capital formation and economic development. A 1996 study by Perotti examined the channels through which inequality may affect economic growth. He showed that, in accordance with the credit market imperfection approach, inequality is associated with lower level of human capital formation (education, experience, and apprenticeship) and higher level of fertility, and thereby lower levels of growth. He found that inequality is associated with higher levels of redistributive taxation, which is associated with lower levels of growth from reductions in private savings and investment. Perotti concluded that, "more equal societies have lower fertility rates and higher rates of investment in education. Both are reflected in higher rates of growth. Also, very unequal societies tend to be politically and socially unstable, which is reflected in lower rates of investment and therefore growth."</t>
  </si>
  <si>
    <t>growing anti-communist fervor</t>
  </si>
  <si>
    <t>rejected</t>
  </si>
  <si>
    <t>What year was the new bus station in Newcastle officially opened?</t>
  </si>
  <si>
    <t>Lincoln Continental,</t>
  </si>
  <si>
    <t>. Karl von Miltitz</t>
  </si>
  <si>
    <t>threatened</t>
  </si>
  <si>
    <t>British blockade of the French coastline</t>
  </si>
  <si>
    <t>Who returned a punt for 61 yards, setting a new Super Bowl record?</t>
  </si>
  <si>
    <t>50 letters</t>
  </si>
  <si>
    <t>How many research institutes does the university run on campus?</t>
  </si>
  <si>
    <t>What could inverted repeats help do?</t>
  </si>
  <si>
    <t>NP-complete Boolean satisfiability problem</t>
  </si>
  <si>
    <t xml:space="preserve">What is the height of the section that turns north? </t>
  </si>
  <si>
    <t>What are the principal cash crops in Kenya?</t>
  </si>
  <si>
    <t>kilogram-force</t>
  </si>
  <si>
    <t>molecular orbitals</t>
  </si>
  <si>
    <t>Tiffany &amp; Co.</t>
  </si>
  <si>
    <t>The French and Indian War (1754–1763)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</si>
  <si>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Which courts have a duty to interpret domestic law as far as possible?</t>
  </si>
  <si>
    <t>Like many cities in Central and Eastern Europe, infrastructure in Warsaw suffered considerably during its time as an Eastern Bloc economy –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</si>
  <si>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489</t>
  </si>
  <si>
    <t>What is the eighth most populous city in the nation?</t>
  </si>
  <si>
    <t>the official declaration of war in 1756 to the signing of the peace treaty in 1763</t>
  </si>
  <si>
    <t>PBS</t>
  </si>
  <si>
    <t>Brown v. Board of Education of Topeka</t>
  </si>
  <si>
    <t>What was the end of the War of the Austrian Succession?</t>
  </si>
  <si>
    <t>increase</t>
  </si>
  <si>
    <t>Chloroplasts are one of many types of organelles in the plant cell. They are considered to have originated from cyanobacteria through endosymbiosis—when a eukaryotic cell engulfed a photosynthesizing cyanobacterium that became a permanent resident in the cell. Mitochondria are thought to have come from a similar event, where an aerobic prokaryote was engulfed. This origin of chloroplasts was first suggested by the Russian biologist Konstantin Mereschkowski in 1905 after Andreas Schimper observed in 1883 that chloroplasts closely resemble cyanobacteria. Chloroplasts are only found in plants and algae.</t>
  </si>
  <si>
    <t>competition</t>
  </si>
  <si>
    <t>his chastity</t>
  </si>
  <si>
    <t>alternating current system</t>
  </si>
  <si>
    <t>belonging to Warsz</t>
  </si>
  <si>
    <t>theorem of arithmetic</t>
  </si>
  <si>
    <t>Which car shows the DOT's revision of categories?</t>
  </si>
  <si>
    <t>In what states are pharmacist clinicians given prescriptive and diagnostic authority?</t>
  </si>
  <si>
    <t>to revolve a balance</t>
  </si>
  <si>
    <t>sit-ins</t>
  </si>
  <si>
    <t>1914</t>
  </si>
  <si>
    <t>What have the two different Islamist movements been described as oscillating between?</t>
  </si>
  <si>
    <t>41</t>
  </si>
  <si>
    <t>What plans of the British did this attach on Oneida Carry set back?</t>
  </si>
  <si>
    <t>Babai and Eugene Luks</t>
  </si>
  <si>
    <t>What ABC division handles domestic television distribution?</t>
  </si>
  <si>
    <t>Dave Logan</t>
  </si>
  <si>
    <t>Bert Bolin</t>
  </si>
  <si>
    <t>Who ran for a Carolina touchdown to make the score 10–7?</t>
  </si>
  <si>
    <t>What season was it when Genghis Khan took Xiliang-fu from the Tanguts?</t>
  </si>
  <si>
    <t>What led to protests and open discrediting of the ECK?</t>
  </si>
  <si>
    <t>What effect does trade with richer countries have on the workers in poorer countries?</t>
  </si>
  <si>
    <t>Who else observed that Luther view of souls was different form later views?</t>
  </si>
  <si>
    <t>Rhine Valley</t>
  </si>
  <si>
    <t>the Belgian Football Association v Bosman</t>
  </si>
  <si>
    <t>infinitely many prime numbers</t>
  </si>
  <si>
    <t>decisions of non-governmental agencies</t>
  </si>
  <si>
    <t>NBC Red Network</t>
  </si>
  <si>
    <t>What was the only comedy to earn a second season for the 2010-11 schedule?</t>
  </si>
  <si>
    <t>The election held in 1988 saw the advent of the mlolongo (queuing) system, where voters were supposed to line up behind their favoured candidates instead of a secret ballot. This was seen as the climax of a very undemocratic regime and it led to widespread agitation for constitutional reform. Several contentious clauses, including one that allowed for only one political party were changed in the following years. In democratic, multiparty elections in 1992 and 1997, Daniel arap Moi won re-election.</t>
  </si>
  <si>
    <t>rapid combustion</t>
  </si>
  <si>
    <t>In which case did the Court of Justice hold that a German court couldn't deny a Dutch building company the right to enforce a contract based in Germany?</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</si>
  <si>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</si>
  <si>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How old are the gravestones that reference the plague?</t>
  </si>
  <si>
    <t>Hasar, Hachiun, and Temüge</t>
  </si>
  <si>
    <t>store</t>
  </si>
  <si>
    <t>the main hall</t>
  </si>
  <si>
    <t>BBC Radio 5 Live</t>
  </si>
  <si>
    <t>the likelihood of damage to the existing electrical, water, sewage, phone, and cable facilities</t>
  </si>
  <si>
    <t>300 men</t>
  </si>
  <si>
    <t>1851</t>
  </si>
  <si>
    <t>How long does the Members Debate last?</t>
  </si>
  <si>
    <t>patent archives</t>
  </si>
  <si>
    <t>priests, religious leaders, and case workers as well as teachers</t>
  </si>
  <si>
    <t>Whose plan called for the Mongolian army to split in two after the Khwarezmian conquest?</t>
  </si>
  <si>
    <t>December 2014</t>
  </si>
  <si>
    <t>pre-Columbian</t>
  </si>
  <si>
    <t>Who led the attack of the French colony in 1565?</t>
  </si>
  <si>
    <t>lines or a punishment essay</t>
  </si>
  <si>
    <t>What is the Norman architecture idiom?</t>
  </si>
  <si>
    <t>33</t>
  </si>
  <si>
    <t>13 June 1525</t>
  </si>
  <si>
    <t>chronically understaffed</t>
  </si>
  <si>
    <t xml:space="preserve">What are among the most well known experiments in structural geology? </t>
  </si>
  <si>
    <t>What do the leaders of the opposition parties and other MSPs question the First Minister about?</t>
  </si>
  <si>
    <t>connect host computers (servers)at thousands of large companies, educational institutions, and government agencies</t>
  </si>
  <si>
    <t>What other European Protestant leader was educated at the University of Paris?</t>
  </si>
  <si>
    <t>0</t>
  </si>
  <si>
    <t>What feature normally allows the TARDIS to disguise itself?</t>
  </si>
  <si>
    <t>ABC originally launched on October 12, 1943 as a radio network, separated from and serving as the successor to the NBC Blue Network, which had been purchased by Edward J. Noble. It extended its operations to television in 1948, following in the footsteps of established broadcast networks CBS and NBC. In the mid-1950s, ABC merged with United Paramount Theatres, a chain of movie theaters that formerly operated as a subsidiary of Paramount Pictures. Leonard Goldenson, who had been the head of UPT, made the new television network profitable by helping develop and greenlight many successful series. In the 1980s, after purchasing an 80% interest in cable sports channel ESPN, the network's parent merged with Capital Cities Communications, owner of several print publications, and television and radio stations. In 1996, most of Capital Cities/ABC's assets were purchased by The Walt Disney Company.</t>
  </si>
  <si>
    <t>compressing and cooling</t>
  </si>
  <si>
    <t>Hassan al Banna</t>
  </si>
  <si>
    <t>to be reborn</t>
  </si>
  <si>
    <t>WBT-FM (99.3 FM)</t>
  </si>
  <si>
    <t>the mass of the system</t>
  </si>
  <si>
    <t>shocked by the reminder of his part in the stock market crash and by Tesla's breach of contract</t>
  </si>
  <si>
    <t>National Science Foundation</t>
  </si>
  <si>
    <t>Rates of sea-level rise</t>
  </si>
  <si>
    <t>22 per cent</t>
  </si>
  <si>
    <t>Governor Robert Dinwiddie of Virginia was an investor in the Ohio Company, which stood to lose money if the French held their claim. To counter the French military presence in Ohio, in October 1753 Dinwiddie ordered the 21-year-old Major George Washington (whose brother was another Ohio Company investor) of the Virginia Regiment to warn the French to leave Virginia territory. Washington left with a small party, picking up along the way Jacob Van Braam as an interpreter; Christopher Gist, a company surveyor working in the area; and a few Mingo led by Tanaghrisson. On December 12, Washington and his men reached Fort Le Boeuf.</t>
  </si>
  <si>
    <t>Apollo set several major human spaceflight milestones. It stands alone in sending manned missions beyond low Earth orbit. Apollo 8 was the first manned spacecraft to orbit another celestial body, while the final Apollo 17 mission marked the sixth Moon landing and the ninth manned mission beyond low Earth orbit. The program returned 842 pounds (382 kg) of lunar rocks and soil to Earth, greatly contributing to the understanding of the Moon's composition and geological history. The program laid the foundation for NASA's current human spaceflight capability, and funded construction of its Johnson Space Center and Kennedy Space Center. Apollo also spurred advances in many areas of technology incidental to rocketry and manned spaceflight, including avionics, telecommunications, and computers.</t>
  </si>
  <si>
    <t>Reciprocating piston type</t>
  </si>
  <si>
    <t>What is defined as the majority vote?</t>
  </si>
  <si>
    <t>In what year was the Super Bowl last held in the Miami/South Florida area?</t>
  </si>
  <si>
    <t>Saxon Garden</t>
  </si>
  <si>
    <t>Conciliation Committee</t>
  </si>
  <si>
    <t>7,200</t>
  </si>
  <si>
    <t>From Newcastle International Ferry Terminal, at North Shields, Danish DFDS Seaways run a service to IJmuiden (near Amsterdam). The DFDS ferry service to Gothenburg, Sweden, ceased at the end of October 2006 – the company cited high fuel prices and new competition from low-cost air services as the cause – and their service to Bergen and Stavanger, Norway was terminated late 2008. Since summer 2007, Thomson cruise lines have included Newcastle as a departure port on its Norwegian and Fjords cruise.</t>
  </si>
  <si>
    <t>backing for the uprising</t>
  </si>
  <si>
    <t>617.1</t>
  </si>
  <si>
    <t>scourge sent to punish Christians</t>
  </si>
  <si>
    <t>combustible</t>
  </si>
  <si>
    <t>In addition, the United Methodist Church prohibits the celebration of same-sex unions. Rev. Jimmy Creech was defrocked after a highly publicized church trial in 1999 on account of his participation in same-sex union ceremonies. It forbids any United Methodist board, agency, committee, commission, or council to give United Methodist funds to any gay organization or group, or otherwise use such funds to promote the acceptance of homosexuality. Other ministers have been defrocked for officiating at same-sex weddings and several trials of others are scheduled. Still, some congregations have sought other ways to recognize same-sex couples. For example, one congregation hosted a proposal for a same-sex couple announcing their engagement. Moreover, some churches, especially in 2016 after same-sex marriage was legalized nationwide, have provided blessings for same-sex marriages. In April of 2016, a United Methodist bishop made a bold statement by performing a same-sex marriage in church as a clear sign of his advocacy for change.</t>
  </si>
  <si>
    <t>Who was Warsz?</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</si>
  <si>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</si>
  <si>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What were some of Tesla's experiments?</t>
  </si>
  <si>
    <t>Under which policy are labor unions encouraged?</t>
  </si>
  <si>
    <t>Who forced four fumbles for the Broncos in the 2015 season?</t>
  </si>
  <si>
    <t>What did the radical reformers cause in the new order?</t>
  </si>
  <si>
    <t>negotiations</t>
  </si>
  <si>
    <t>illegal boycotts, refusals to pay taxes, draft dodging, distributed denial-of-service attacks, and sit-ins</t>
  </si>
  <si>
    <t>Until 1932 the generally accepted length of the Rhine was 1,230 kilometres (764 miles). In 1932 the German encyclopedia Knaurs Lexikon stated the length as 1,320 kilometres (820 miles), presumably a typographical error. After this number was placed into the authoritative Brockhaus Enzyklopädie, it became generally accepted and found its way into numerous textbooks and official publications. The error was discovered in 2010, and the Dutch Rijkswaterstaat confirms the length at 1,232 kilometres (766 miles).[note 1]</t>
  </si>
  <si>
    <t>Mosley Street</t>
  </si>
  <si>
    <t>Abe Silverstein</t>
  </si>
  <si>
    <t>Trotsky thought what was needed for a true Russian revolution.</t>
  </si>
  <si>
    <t>unity of God</t>
  </si>
  <si>
    <t>too cold in northern Europe for the survival of fleas</t>
  </si>
  <si>
    <t>Mexico–United States border</t>
  </si>
  <si>
    <t>How did other countries have copies of the show?</t>
  </si>
  <si>
    <t>Along with internal combustion engines, what machines have superseded steam in some areas?</t>
  </si>
  <si>
    <t>Students at the University of Chicago run over 400 clubs and organizations known as Recognized Student Organizations (RSOs). These include cultural and religious groups, academic clubs and teams, and common-interest organizations. Notable extracurricular groups include the University of Chicago College Bowl Team, which has won 118 tournaments and 15 national championships, leading both categories internationally. The university's competitive Model United Nations team was the top ranked team in North America in 2013-14 and 2014-2015. Among notable RSOs are the nation's longest continuously running student film society Doc Films, organizing committee for the University of Chicago Scavenger Hunt, the twice-weekly student newspaper The Chicago Maroon, the alternative weekly student newspaper South Side Weekly, the nation's second oldest continuously running student improvisational theater troupe Off-Off Campus, and the university-owned radio station WHPK.</t>
  </si>
  <si>
    <t>What Apollo mission was first cancelled due to not being needed to build the Skylab in space, as it was pre-built on the ground?</t>
  </si>
  <si>
    <t>the 1960s and 1970s</t>
  </si>
  <si>
    <t>Upon learning of a French scounting party in the area, what did Washington do?</t>
  </si>
  <si>
    <t>In what year did ABC launch the Movie of the Week?</t>
  </si>
  <si>
    <t>After the Peterloo massacre what poet wrote The Massacre of Anarchy?</t>
  </si>
  <si>
    <t xml:space="preserve">How many types of X.25 networks were there originally </t>
  </si>
  <si>
    <t>Where is corporal punishment usually performed these days?</t>
  </si>
  <si>
    <t>5</t>
  </si>
  <si>
    <t>What is the largest item from Italy that is part of the sculpture collection?</t>
  </si>
  <si>
    <t>What year was the Carolina Panthers franchise founded?</t>
  </si>
  <si>
    <t>What toxin induces apoptosis in the target cell?</t>
  </si>
  <si>
    <t>conservation of momentum</t>
  </si>
  <si>
    <t>higher political office</t>
  </si>
  <si>
    <t>Who continued to hold the citadel of Bukhara after the Mongols took the rest of the city?</t>
  </si>
  <si>
    <t>nitrogen/oxygen</t>
  </si>
  <si>
    <t>Warsaw Uprising Museum</t>
  </si>
  <si>
    <t>3, 4, &amp; 5</t>
  </si>
  <si>
    <t>differences in value added by different classifications of workers</t>
  </si>
  <si>
    <t>Ten</t>
  </si>
  <si>
    <t>ABC Pictures</t>
  </si>
  <si>
    <t>storage vessels</t>
  </si>
  <si>
    <t>1259</t>
  </si>
  <si>
    <t>1987</t>
  </si>
  <si>
    <t>supervisory church body</t>
  </si>
  <si>
    <t>1880</t>
  </si>
  <si>
    <t>1565</t>
  </si>
  <si>
    <t>"blurring of theological and confessional differences in the interests of unity</t>
  </si>
  <si>
    <t>fifty</t>
  </si>
  <si>
    <t>a not-for-profit United States computer networking consortium led by members from the research and education communities, industry, and government</t>
  </si>
  <si>
    <t>main</t>
  </si>
  <si>
    <t>royal assent</t>
  </si>
  <si>
    <t>ctenophore Mnemiopsis leidyi</t>
  </si>
  <si>
    <t>Who did the U.S. collaborate with on an Earth orbit mission in 1975?</t>
  </si>
  <si>
    <t>What is the only form potential energy can change into?</t>
  </si>
  <si>
    <t>How many men did Duquesne send to relieve  Saint-Pierre ?</t>
  </si>
  <si>
    <t>As the designated home team in the annual rotation between AFC and NFC teams, the Broncos elected to wear their road white jerseys with matching white pants. Elway stated, "We've had Super Bowl success in our white uniforms." The Broncos last wore matching white jerseys and pants in the Super Bowl in Super Bowl XXXIII, Elway's last game as Denver QB, when they defeated the Atlanta Falcons 34–19. In their only other Super Bowl win in Super Bowl XXXII, Denver wore blue jerseys, which was their primary color at the time. They also lost Super Bowl XXI when they wore white jerseys, but they are 0-4 in Super Bowls when wearing orange jerseys, losing in Super Bowl XII, XXII, XXIV, and XLVIII. The only other AFC champion team to have worn white as the designated home team in the Super Bowl was the Pittsburgh Steelers; they defeated the Seattle Seahawks 21–10 in Super Bowl XL 10 seasons prior. The Broncos' decision to wear white meant the Panthers would wear their standard home uniform: black jerseys with silver pants.</t>
  </si>
  <si>
    <t>During which era did the Aztec and Incan empires thrive?</t>
  </si>
  <si>
    <t>Xbox</t>
  </si>
  <si>
    <t>through increasing functionings</t>
  </si>
  <si>
    <t>What can be combined with geophysical data to produce a better view of the subsurface?</t>
  </si>
  <si>
    <t>the Department for Culture, Media and Sport.</t>
  </si>
  <si>
    <t>herbal</t>
  </si>
  <si>
    <t>What is a regulatory factor produced by macrophages?</t>
  </si>
  <si>
    <t>How many homes had BSkyB's direct-to-home satellite service available to them in 2010?</t>
  </si>
  <si>
    <t>What park covers an area of 76 ha.?</t>
  </si>
  <si>
    <t>Who is the current President and the High Representative for Foreign and Security Policy?</t>
  </si>
  <si>
    <t>Which sculpture by Michelangelo has a full-size replica in the Cast Courts?</t>
  </si>
  <si>
    <t>Genoese traders</t>
  </si>
  <si>
    <t>All Italian chocolate is made from what alone?</t>
  </si>
  <si>
    <t>Due to its electronegativity, oxygen forms chemical bonds with almost all other elements to give corresponding oxides. The surface of most metals, such as aluminium and titanium, are oxidized in the presence of air and become coated with a thin film of oxide that passivates the metal and slows further corrosion. Many oxides of the transition metals are non-stoichiometric compounds, with slightly less metal than the chemical formula would show. For example, the mineral FeO (wüstite) is written as Fe
1 − xO, where x is usually around 0.05.</t>
  </si>
  <si>
    <t>Who punted the ball for Carolina?</t>
  </si>
  <si>
    <t>unstable six-carbon molecules that immediately break down</t>
  </si>
  <si>
    <t>worked to radicalize the Islamist movement</t>
  </si>
  <si>
    <t>builders ask for too little money to complete the project</t>
  </si>
  <si>
    <t>11th</t>
  </si>
  <si>
    <t>confessional church based on personal faith and experience and a territorial church including all in a given locality</t>
  </si>
  <si>
    <t>Th1</t>
  </si>
  <si>
    <t>The Earth's mantle</t>
  </si>
  <si>
    <t>Since its founding, the EU has operated among an increasing plurality of national and globalising legal systems. This has meant both the European Court of Justice and the highest national courts have had to develop principles to resolve conflicts of laws between different systems. Within the EU itself, the Court of Justice's view is that if EU law conflicts with a provision of national law, then EU law has primacy. In the first major case in 1964, Costa v ENEL, a Milanese lawyer, and former shareholder of an energy company, named Mr Costa refused to pay his electricity bill to Enel, as a protest against the nationalisation of the Italian energy corporations. He claimed the Italian nationalisation law conflicted with the Treaty of Rome, and requested a reference be made to both the Italian Constitutional Court and the Court of Justice under TFEU article 267. The Italian Constitutional Court gave an opinion that because the nationalisation law was from 1962, and the treaty was in force from 1958, Costa had no claim. By contrast, the Court of Justice held that ultimately the Treaty of Rome in no way prevented energy nationalisation, and in any case under the Treaty provisions only the Commission could have brought a claim, not Mr Costa. However, in principle, Mr Costa was entitled to plead that the Treaty conflicted with national law, and the court would have a duty to consider his claim to make a reference if there would be no appeal against its decision. The Court of Justice, repeating its view in Van Gend en Loos, said member states "albeit within limited spheres, have restricted their sovereign rights and created a body of law applicable both to their nationals and to themselves" on the "basis of reciprocity". EU law would not "be overridden by domestic legal provisions, however framed... without the legal basis of the community itself being called into question." This meant any "subsequent unilateral act" of the member state inapplicable. Similarly, in Amministrazione delle Finanze v Simmenthal SpA, a company, Simmenthal SpA, claimed that a public health inspection fee under an Italian law of 1970 for importing beef from France to Italy was contrary to two Regulations from 1964 and 1968. In "accordance with the principle of the precedence of Community law," said the Court of Justice, the "directly applicable measures of the institutions" (such as the Regulations in the case) "render automatically inapplicable any conflicting provision of current national law". This was necessary to prevent a "corresponding denial" of Treaty "obligations undertaken unconditionally and irrevocably by member states", that could "imperil the very foundations of the" EU. But despite the views of the Court of Justice, the national courts of member states have not accepted the same analysis.</t>
  </si>
  <si>
    <t>The right to create private schools in Germany is in Article 7, Paragraph 4 of the Grundgesetz and cannot be suspended even in a state of emergency. It is also 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6.1% to 7.8% (including rise from 0.5% to 6.1% in the former GDR). Percent of students in private high schools reached 11.1%.</t>
  </si>
  <si>
    <t>Who is the present quarterback of the Broncos?</t>
  </si>
  <si>
    <t>What period was 2.5 million years ago?</t>
  </si>
  <si>
    <t>Why did Vision 2030 add the NCCAP?</t>
  </si>
  <si>
    <t>What is the name of the stadium in San Francisco Bay Area?</t>
  </si>
  <si>
    <t>The Maroons are apart of what association?</t>
  </si>
  <si>
    <t>"Huguenot Street Historic District" in New Paltz</t>
  </si>
  <si>
    <t>Onon</t>
  </si>
  <si>
    <t>1253</t>
  </si>
  <si>
    <t>physical experiments</t>
  </si>
  <si>
    <t>the product of the host's cell membrane infolding to form a vesicle to surround the ancestral cyanobacterium</t>
  </si>
  <si>
    <t>throughout the St. Lawrence and Mississippi watersheds</t>
  </si>
  <si>
    <t>To avoid confusing or upsetting the people, Luther avoided extreme change. He also did not wish to replace one controlling system with another. He concentrated on the church in the Electorate of Saxony, acting only as an adviser to churches in new territories, many of which followed his Saxon model. He worked closely with the new elector, John the Steadfast, to whom he turned for secular leadership and funds on behalf of a church largely shorn of its assets and income after the break with Rome. For Luther's biographer Martin Brecht, this partnership "was the beginning of a questionable and originally unintended development towards a church government under the temporal sovereign". The elector authorised a visitation of the church, a power formerly exercised by bishops. At times, Luther's practical reforms fell short of his earlier radical pronouncements. For example, the Instructions for the Visitors of Parish Pastors in Electoral Saxony (1528), drafted by Melanchthon with Luther's approval, stressed the role of repentance in the forgiveness of sins, despite Luther's position that faith alone ensures justification. The Eisleben reformer Johannes Agricola challenged this compromise, and Luther condemned him for teaching that faith is separate from works. The Instruction is a problematic document for those seeking a consistent evolution in Luther's thought and practice.</t>
  </si>
  <si>
    <t>its energy content</t>
  </si>
  <si>
    <t>what do conquering people pass down to native populations?</t>
  </si>
  <si>
    <t>a result of increasing crime and poverty</t>
  </si>
  <si>
    <t>petroleum</t>
  </si>
  <si>
    <t>tidal delta</t>
  </si>
  <si>
    <t>one year at a time,</t>
  </si>
  <si>
    <t>Jan Hus</t>
  </si>
  <si>
    <t>the kingdom</t>
  </si>
  <si>
    <t>Dark Water</t>
  </si>
  <si>
    <t>Who did Luther think was behind the antinomian theses circulating in Wittenberg?</t>
  </si>
  <si>
    <t>Behind the Sofa</t>
  </si>
  <si>
    <t>raises the productivity of each worker</t>
  </si>
  <si>
    <t>reflects the desire to encourage consensus amongst elected members</t>
  </si>
  <si>
    <t>triple</t>
  </si>
  <si>
    <t>during one hunting excursion</t>
  </si>
  <si>
    <t>10 o'clock tea (chai ya saa nne) and 4 pm</t>
  </si>
  <si>
    <t>When was the debut of the 1983 special called The Five Doctors?</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</si>
  <si>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</si>
  <si>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the sidelines</t>
  </si>
  <si>
    <t>agriculture</t>
  </si>
  <si>
    <t>the leaflets will have to be given to the leafleter's own jury as evidence</t>
  </si>
  <si>
    <t>the German Te Deum</t>
  </si>
  <si>
    <t>What do clinical pharmacists often participate in?</t>
  </si>
  <si>
    <t>savings and investment</t>
  </si>
  <si>
    <t>How much money did a 1/2 minute commercial cost?</t>
  </si>
  <si>
    <t>How much carbon gets wasted by using O2 instead of CO2?</t>
  </si>
  <si>
    <t>How many quadrangles does the Main Quadrangles have?</t>
  </si>
  <si>
    <t>Reports document that how many Parisien Protestants were killed by September 17?</t>
  </si>
  <si>
    <t>instantaneously in action-reaction pairs</t>
  </si>
  <si>
    <t>divide to form new pyrenoids, or be produced "de novo"</t>
  </si>
  <si>
    <t>Resign</t>
  </si>
  <si>
    <t>What did Pope Leo X launch against Luther?</t>
  </si>
  <si>
    <t>110 mph</t>
  </si>
  <si>
    <t>Up to what age do students in the United Kingdom attend preparatory schools?</t>
  </si>
  <si>
    <t>the Cape of Good Hope</t>
  </si>
  <si>
    <t>A satellite that measured the amount of dust going to the Amazon was named what?</t>
  </si>
  <si>
    <t>Transpac</t>
  </si>
  <si>
    <t>employ consultant pharmacists and/or provide consulting services</t>
  </si>
  <si>
    <t>overweight people</t>
  </si>
  <si>
    <t>Marshall Space Flight Center (MSFC)</t>
  </si>
  <si>
    <t>1798</t>
  </si>
  <si>
    <t>The long tentacles on the pleurbrachia are protected by what?</t>
  </si>
  <si>
    <t>What did historians do in the absence of census figures?</t>
  </si>
  <si>
    <t>What is the delta in the Rhine delimited in the west by?</t>
  </si>
  <si>
    <t>Who is responsible for ensuring the Parliament works smoothly?</t>
  </si>
  <si>
    <t>Who wrote the poem The Mark of Anarchy?</t>
  </si>
  <si>
    <t>How wide is the Rhine in Germany between Emmrich and Cleves?</t>
  </si>
  <si>
    <t>VideoGuard</t>
  </si>
  <si>
    <t>What chloroplast lineage is Cyanophora in?</t>
  </si>
  <si>
    <t>Hugh Downs</t>
  </si>
  <si>
    <t>Who led the Kievian Rus' troops against Subutai's Mongol army?</t>
  </si>
  <si>
    <t>When was the Battle of Frankenhausen?</t>
  </si>
  <si>
    <t>people who give services "for remuneration", especially commercial or professional activity</t>
  </si>
  <si>
    <t>Davies is credited with coining the modern name packet switching and inspiring numerous packet switching networks in Europe</t>
  </si>
  <si>
    <t>would be killed through overwork</t>
  </si>
  <si>
    <t>exactly 8:10 p.m.,</t>
  </si>
  <si>
    <t>Prime</t>
  </si>
  <si>
    <t>In what year did Roger Rocka's Dinner Theater &amp; Good Company Players open?</t>
  </si>
  <si>
    <t>geophysical</t>
  </si>
  <si>
    <t>What is the state average growth rate?</t>
  </si>
  <si>
    <t>What Egyptian president jailed thousands of members of the Brotherhood?</t>
  </si>
  <si>
    <t>When did the Meuse and Waal merge?</t>
  </si>
  <si>
    <t>What was a long term goal of French foreign policy along the Rhine?</t>
  </si>
  <si>
    <t>7:00 to 9:00 a.m</t>
  </si>
  <si>
    <t>There are two types of thylakoids—granal thylakoids, which are arranged in grana, and stromal thylakoids, which are in contact with the stroma. Granal thylakoids are pancake-shaped circular disks about 300–600 nanometers in diameter. Stromal thylakoids are helicoid sheets that spiral around grana. The flat tops and bottoms of granal thylakoids contain only the relatively flat photosystem II protein complex. This allows them to stack tightly, forming grana with many layers of tightly appressed membrane, called granal membrane, increasing stability and surface area for light capture.</t>
  </si>
  <si>
    <t>Economy, Energy and Tourism is one of the what?</t>
  </si>
  <si>
    <t>What was normal British defense?</t>
  </si>
  <si>
    <t>series 1</t>
  </si>
  <si>
    <t>Afranji</t>
  </si>
  <si>
    <t>firms engaged in managing construction projects</t>
  </si>
  <si>
    <t>What types of houses are designed by Fresno architects?</t>
  </si>
  <si>
    <t>topographic gradients</t>
  </si>
  <si>
    <t>1712</t>
  </si>
  <si>
    <t>potential drug interactions, adverse drug reactions, and assess patient drug allergies</t>
  </si>
  <si>
    <t>nolo contendere</t>
  </si>
  <si>
    <t>What items comprise the John Jones Collection?</t>
  </si>
  <si>
    <t>lower sixth</t>
  </si>
  <si>
    <t>Who presented the mac to the Scottish Parliament when it was initially opened?</t>
  </si>
  <si>
    <t>the San Jose State practice facility</t>
  </si>
  <si>
    <t>Upper Rhine region</t>
  </si>
  <si>
    <t>a maze of semantical problems</t>
  </si>
  <si>
    <t>What river separates Jacksonville?</t>
  </si>
  <si>
    <t>Who granted Newcastle a new charter in 1589?</t>
  </si>
  <si>
    <t>What is the historic heart of Newcastle?</t>
  </si>
  <si>
    <t>It is uncertain how ctenophores control their buoyancy, but experiments have shown that some species rely on osmotic pressure to adapt to water of different densities. Their body fluids are normally as concentrated as seawater. If they enter less dense brackish water, the ciliary rosettes in the body cavity may pump this into the mesoglea to increase its bulk and decrease its density, to avoid sinking. Conversely if they move from brackish to full-strength seawater, the rosettes may pump water out of the mesoglea to reduce its volume and increase its density.</t>
  </si>
  <si>
    <t>When do Plastoglobuli occur in linked groups?</t>
  </si>
  <si>
    <t>What does the National Museum boast having from Adolf Hitler's private collection?</t>
  </si>
  <si>
    <t>What did this statement of Tetzel's show about him?</t>
  </si>
  <si>
    <t>How many chloroplasts are in a square mm of a leaf?</t>
  </si>
  <si>
    <t>executed</t>
  </si>
  <si>
    <t>In what year was the Alan Turing's definitional model of a computing device received?</t>
  </si>
  <si>
    <t>recover the latent heat of vaporisation</t>
  </si>
  <si>
    <t>Who was the game's top receiver?</t>
  </si>
  <si>
    <t>Who designed Salamanca?</t>
  </si>
  <si>
    <t>The largest construction projects are known as what?</t>
  </si>
  <si>
    <t>What two railroads have railyards in the city of Fresno?</t>
  </si>
  <si>
    <t>missile projects</t>
  </si>
  <si>
    <t>What do these teachers NOT do?</t>
  </si>
  <si>
    <t>What is the throat called?</t>
  </si>
  <si>
    <t>With what European country did the Huguenots feel kinship for emigration to?</t>
  </si>
  <si>
    <t>Nicholas E. Golovin</t>
  </si>
  <si>
    <t>that they convert</t>
  </si>
  <si>
    <t>Which two leading roles did Audra McDonald perform when she was in high school?</t>
  </si>
  <si>
    <t>the oldest street in the United States of America</t>
  </si>
  <si>
    <t>What does China's investment mean for Kenya?</t>
  </si>
  <si>
    <t>directed toward the center of the curving path</t>
  </si>
  <si>
    <t>In what era did some members of this community emigrate to the US?</t>
  </si>
  <si>
    <t>a monthly subscription</t>
  </si>
  <si>
    <t>At the time, countries such as Spain didn't have a crime against what?</t>
  </si>
  <si>
    <t>What did the government and civil society organisations start after the riots?</t>
  </si>
  <si>
    <t>British patrons</t>
  </si>
  <si>
    <t>particular events in his life</t>
  </si>
  <si>
    <t>Jelme and Bo'orchu</t>
  </si>
  <si>
    <t>February 7, 2016</t>
  </si>
  <si>
    <t>Euler's totient function</t>
  </si>
  <si>
    <t>shut down host defenses.</t>
  </si>
  <si>
    <t>tear huge areas of land into the sea</t>
  </si>
  <si>
    <t>When was the Ming dynasty in power?</t>
  </si>
  <si>
    <t>What has a classification system for construction companies?</t>
  </si>
  <si>
    <t>What did this help accomplish?</t>
  </si>
  <si>
    <t>Which type of livestock was the argricultural region known for?</t>
  </si>
  <si>
    <t>Pulfrich effect</t>
  </si>
  <si>
    <t>What is the scenario called in which we don't change our greenhouse gas creation practices?</t>
  </si>
  <si>
    <t>On what date did the first railway trip in the world occur?</t>
  </si>
  <si>
    <t>17th century.</t>
  </si>
  <si>
    <t>heart disease, chronic pain, and asthma</t>
  </si>
  <si>
    <t>Anglican</t>
  </si>
  <si>
    <t>What was cancelled by NASA after the Apollo 6 testing, after deeming the Saturn V ready to hold men?</t>
  </si>
  <si>
    <t>phycobilin phycoerytherin</t>
  </si>
  <si>
    <t>obligately anaerobic</t>
  </si>
  <si>
    <t>On the television side, in September 1969, ABC launched the Movie of the Week, a weekly showcase aimed at capitalizing on the growing success of made-for-TV movies since the early 1960s. The Movie of the Week broadcast feature-length dramatic films directed by such talented filmmakers as Aaron Spelling, David Wolper and Steven Spielberg (the latter of whom gained early success through the showcase for his 1971 film Duel) that were produced on an average budget of $400,000–$450,000. Hits for the television network during the late 1960s and early 1970s included The Courtship of Eddie's Father, The Brady Bunch and The Partridge Family.</t>
  </si>
  <si>
    <t>pathogens or pathogen-infected cells</t>
  </si>
  <si>
    <t>Michael Heckenberger</t>
  </si>
  <si>
    <t>What is the name of the scheme that provides tuition and fee assistance to students due to excess enrollment?</t>
  </si>
  <si>
    <t>Who introduced plague to Europe?</t>
  </si>
  <si>
    <t>What is grown in the fertile highlands?</t>
  </si>
  <si>
    <t>Bill Clinton</t>
  </si>
  <si>
    <t>What type of math was advanced during the Yuan?</t>
  </si>
  <si>
    <t>guru</t>
  </si>
  <si>
    <t>What work of Luther's is seen as a clear religious teaching?</t>
  </si>
  <si>
    <t>Dutch Republic</t>
  </si>
  <si>
    <t>a liquid</t>
  </si>
  <si>
    <t>miniature cydippids</t>
  </si>
  <si>
    <t>What format do Hearst Television's ABC affiliates transmit in?</t>
  </si>
  <si>
    <t>tracks, signalling and overhead wires</t>
  </si>
  <si>
    <t>What shape are granal thylakoids?</t>
  </si>
  <si>
    <t>What is happening to the average age of teachers in Wales?</t>
  </si>
  <si>
    <t>How long was the Summer Theatre in operation?</t>
  </si>
  <si>
    <t>$15.5 million</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</si>
  <si>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d'état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</si>
  <si>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share recordings</t>
  </si>
  <si>
    <t>conservation of mechanical energy</t>
  </si>
  <si>
    <t>shaping ideas about the free market</t>
  </si>
  <si>
    <t>his papers</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</si>
  <si>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</si>
  <si>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history of arms</t>
  </si>
  <si>
    <t>BBC Television</t>
  </si>
  <si>
    <t>the arts capital of the UK</t>
  </si>
  <si>
    <t>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t>
  </si>
  <si>
    <t>success</t>
  </si>
  <si>
    <t>Which work of Luther's is effective in teaching children?</t>
  </si>
  <si>
    <t>his siblings' families</t>
  </si>
  <si>
    <t>Which canal was dug in France to carry Rhine's water?</t>
  </si>
  <si>
    <t>representatives</t>
  </si>
  <si>
    <t>Los Angeles is in the lower part of what?</t>
  </si>
  <si>
    <t xml:space="preserve">Stretched rocks that pinch into lenses are known by what word? </t>
  </si>
  <si>
    <t>the Gini index</t>
  </si>
  <si>
    <t>Who did the churches claim had suggested expulsion of Jews from Germany?</t>
  </si>
  <si>
    <t>what did tesla do at his old school in 1879?</t>
  </si>
  <si>
    <t>When did Western governments support fledgling Islamists?</t>
  </si>
  <si>
    <t>October 16, 1973</t>
  </si>
  <si>
    <t>88</t>
  </si>
  <si>
    <t>What is Warsaw's economy characterized by?</t>
  </si>
  <si>
    <t>change of appearance</t>
  </si>
  <si>
    <t>twin prime conjecture</t>
  </si>
  <si>
    <t>Some in the UMC feel that false ecumenism might result in what?</t>
  </si>
  <si>
    <t>How long might a speaker address the members during the Time of Reflection?</t>
  </si>
  <si>
    <t>main contractor</t>
  </si>
  <si>
    <t>instance</t>
  </si>
  <si>
    <t>How many sons did Börte bear Genghis Khan after Jochi?</t>
  </si>
  <si>
    <t>In low-light conditions</t>
  </si>
  <si>
    <t>reasonably well</t>
  </si>
  <si>
    <t>Combustion is caused by an oxidant and a fuel. What role does oxygen play in combustion?</t>
  </si>
  <si>
    <t>How many fumbles did Von Miller force in Super Bowl 50?</t>
  </si>
  <si>
    <t>sports tourism</t>
  </si>
  <si>
    <t>LGBT community</t>
  </si>
  <si>
    <t>Betty Meggers</t>
  </si>
  <si>
    <t>What amount of time was the longest that Tesla spent working without stopping to rest?</t>
  </si>
  <si>
    <t>the Golden Horde</t>
  </si>
  <si>
    <t>How many color analysts were involved with Super Bowl 50?</t>
  </si>
  <si>
    <t>comb-bearing</t>
  </si>
  <si>
    <t>5,000 to 30,000</t>
  </si>
  <si>
    <t>Politically, Victoria has 37 seats in the Australian House of Representatives and 12 seats in the Australian Senate. At state level, the Parliament of Victoria consists of the Legislative Assembly (the lower house) and the Legislative Council (the upper house). Victoria is currently governed by the Labor Party, with Daniel Andrews the current Premier. The personal representative of the Queen of Australia in the state is the Governor of Victoria, currently Linda Dessau. Local government is concentrated in 79 municipal districts, including 33 cities, although a number of unincorporated areas still exist, which are administered directly by the state.</t>
  </si>
  <si>
    <t>Lampea</t>
  </si>
  <si>
    <t>1538</t>
  </si>
  <si>
    <t>BBC Books</t>
  </si>
  <si>
    <t>What additional benefits are there to surrounding community of expansion?</t>
  </si>
  <si>
    <t>1973–1974</t>
  </si>
  <si>
    <t>Chevrolet Bel Air, and Ford Galaxie 500</t>
  </si>
  <si>
    <t>little Hugos</t>
  </si>
  <si>
    <t>What does civil disobedience relate to?</t>
  </si>
  <si>
    <t>a lack of remorse</t>
  </si>
  <si>
    <t>bunker</t>
  </si>
  <si>
    <t>Why would rampant violence prevent people from going to work?</t>
  </si>
  <si>
    <t>How big was the Vertical Assembly Building?</t>
  </si>
  <si>
    <t>late 17th century</t>
  </si>
  <si>
    <t>What is an important catalyst of economic growth?</t>
  </si>
  <si>
    <t>1980s</t>
  </si>
  <si>
    <t>IgG</t>
  </si>
  <si>
    <t>Where is the border of Swiss and Austria?</t>
  </si>
  <si>
    <t>Much of the city's tax base dissipated, leading to problems with funding education, sanitation, and traffic control within the city limits. In addition, residents in unincorporated suburbs had difficulty obtaining municipal services, such as sewage and building code enforcement. In 1958, a study recommended that the city of Jacksonville begin annexing outlying communities in order to create the needed tax base to improve services throughout the county. Voters outside the city limits rejected annexation plans in six referendums between 1960 and 1965.</t>
  </si>
  <si>
    <t>at the right bank of the Vistula</t>
  </si>
  <si>
    <t>rainfall in the basin during the LGM was lower than for the present</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</si>
  <si>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</si>
  <si>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south</t>
  </si>
  <si>
    <t>What researcher showed that air is a necessity for combustion?</t>
  </si>
  <si>
    <t>free-to-view</t>
  </si>
  <si>
    <t>James Hutton is often viewed as the first modern geologist. In 1785 he presented a paper entitled Theory of the Earth to the Royal Society of Edinburgh. In his paper, he explained his theory that the Earth must be much older than had previously been supposed in order to allow enough time for mountains to be eroded and for sediments to form new rocks at the bottom of the sea, which in turn were raised up to become dry land. Hutton published a two-volume version of his ideas in 1795 (Vol. 1, Vol. 2).</t>
  </si>
  <si>
    <t>1944</t>
  </si>
  <si>
    <t>Who was the second female Nobel laureate ?</t>
  </si>
  <si>
    <t>a second Bachelor's Degree</t>
  </si>
  <si>
    <t>the most common</t>
  </si>
  <si>
    <t>Who was announced as the LEM contractor in November 1962?</t>
  </si>
  <si>
    <t>$125 per month</t>
  </si>
  <si>
    <t>Where is the largest number of tourist coming from?</t>
  </si>
  <si>
    <t>person or group of people</t>
  </si>
  <si>
    <t>Since January 2012, all ABC programming has been presented in what format?</t>
  </si>
  <si>
    <t>nitrogen</t>
  </si>
  <si>
    <t>What did Gano hit on his 44-yard field goal attempt?</t>
  </si>
  <si>
    <t>predators</t>
  </si>
  <si>
    <t>If a detention asks the student to write, what do they write?</t>
  </si>
  <si>
    <t>south-east</t>
  </si>
  <si>
    <t>Dr. Harrison Schmitt</t>
  </si>
  <si>
    <t>What was enhanced in 2014?</t>
  </si>
  <si>
    <t>How long until the Provisional Registration is upgraded, if requirements are met?</t>
  </si>
  <si>
    <t>Sir Francis Chantrey</t>
  </si>
  <si>
    <t>What story was the first Doctor Who audio release based on?</t>
  </si>
  <si>
    <t>building is ready to occupy</t>
  </si>
  <si>
    <t>Who did the Broncos defeat in the AFC Championship game?</t>
  </si>
  <si>
    <t>Roone Arledge</t>
  </si>
  <si>
    <t>regulatory T cells</t>
  </si>
  <si>
    <t>How long was the broadcast delay the first time the series premiered?</t>
  </si>
  <si>
    <t>The chloroplastidan chloroplasts, or green chloroplasts, are another large, highly diverse primary chloroplast lineage. Their host organisms are commonly known as the green algae and land plants. They differ from glaucophyte and red algal chloroplasts in that they have lost their phycobilisomes, and contain chlorophyll b instead. Most green chloroplasts are (obviously) green, though some aren't, like some forms of Hæmatococcus pluvialis, due to accessory pigments that override the chlorophylls' green colors. Chloroplastidan chloroplasts have lost the peptidoglycan wall between their double membrane, and have replaced it with an intermembrane space. Some plants seem to have kept the genes for the synthesis of the peptidoglycan layer, though they've been repurposed for use in chloroplast division instead.</t>
  </si>
  <si>
    <t>gift from God</t>
  </si>
  <si>
    <t>Who attempted to arrange a compromise?</t>
  </si>
  <si>
    <t>its dominance in middle-distance and long-distance athletics</t>
  </si>
  <si>
    <t>Super Bowl 50 decided the NFL champion for what season?</t>
  </si>
  <si>
    <t>Egypt</t>
  </si>
  <si>
    <t>The edict protected Catholics by discouraging what?</t>
  </si>
  <si>
    <t>The UMC established and is affiliated with approximately how many colleges and universities in the U.S.?</t>
  </si>
  <si>
    <t>draining the surrounding land</t>
  </si>
  <si>
    <t>Where was the first horse racetrack located?</t>
  </si>
  <si>
    <t>How many cameras did EyeVision 360 utilize?</t>
  </si>
  <si>
    <t>teacher enthusiasm</t>
  </si>
  <si>
    <t>elected</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</si>
  <si>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</si>
  <si>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16th and 17th centuries,</t>
  </si>
  <si>
    <t>stronger in the Scottish Parliament than in other parliamentary systems</t>
  </si>
  <si>
    <t>Northumberland</t>
  </si>
  <si>
    <t>What video game series did Alex Seropian make?</t>
  </si>
  <si>
    <t>What is the resultant force called when two forces act on a particle?</t>
  </si>
  <si>
    <t>How else might a physician take advantage of self-interest?</t>
  </si>
  <si>
    <t>What is the basis of the hymn?</t>
  </si>
  <si>
    <t>What was the title of Philo's work?</t>
  </si>
  <si>
    <t>gender inequality in education</t>
  </si>
  <si>
    <t>How many Victorians are non-religious?</t>
  </si>
  <si>
    <t>representatives appointed by governments and organizations</t>
  </si>
  <si>
    <t>Protestant</t>
  </si>
  <si>
    <t>In April 2014, how many New Zealand students attended private schools?</t>
  </si>
  <si>
    <t>A large body of mathematical work would still be valid when calling 1 a prime, but Euclid's fundamental theorem of arithmetic (mentioned above) would not hold as stated. For example, the number 15 can be factored as 3 · 5 and 1 · 3 · 5; if 1 were admitted as a prime, these two presentations would be considered different factorizations of 15 into prime numbers, so the statement of that theorem would have to be modified. Similarly, the sieve of Eratosthenes would not work correctly if 1 were considered a prime: a modified version of the sieve that considers 1 as prime would eliminate all multiples of 1 (that is, all other numbers) and produce as output only the single number 1. Furthermore, the prime numbers have several properties that the number 1 lacks, such as the relationship of the number to its corresponding value of Euler's totient function or the sum of divisors function.</t>
  </si>
  <si>
    <t>Apollo spacecraft</t>
  </si>
  <si>
    <t>What was the year when Tesla went back to Smiljan?</t>
  </si>
  <si>
    <t>for the George W. Bush Presidential Library</t>
  </si>
  <si>
    <t>classroom</t>
  </si>
  <si>
    <t>local talent</t>
  </si>
  <si>
    <t>How many yards did Brad Nortman's punt travel?</t>
  </si>
  <si>
    <t>Tibetan art from which period is represented in the V&amp;A collection?</t>
  </si>
  <si>
    <t>What sea bordered Genghis Khan's empire to the east when he died?</t>
  </si>
  <si>
    <t>malaria parasite</t>
  </si>
  <si>
    <t>about 2.5 million</t>
  </si>
  <si>
    <t>seasons 3, 4, &amp; 5</t>
  </si>
  <si>
    <t>offshore of Brest,</t>
  </si>
  <si>
    <t>jiggle TV</t>
  </si>
  <si>
    <t>St. George's Church</t>
  </si>
  <si>
    <t>250,000</t>
  </si>
  <si>
    <t>Where was the burial site used for testing located?</t>
  </si>
  <si>
    <t>Who was responsible for the preliminary archaeological research at Ologesailie and Hyrax Hill?</t>
  </si>
  <si>
    <t>outdated or only approproriate if herbal remedies were on offer to a large extent</t>
  </si>
  <si>
    <t>the tin had increased in weight and that increase was the same as the weight of the air that rushed back in</t>
  </si>
  <si>
    <t>Between which two streets along Kearney Boulevard were wealthy African-Americans at one time residing?</t>
  </si>
  <si>
    <t>Starting in what year has Harvard topped the Academic Rankings of World Universities?</t>
  </si>
  <si>
    <t>$2,000</t>
  </si>
  <si>
    <t>New York Times</t>
  </si>
  <si>
    <t>Historical and Critical Dictionary</t>
  </si>
  <si>
    <t xml:space="preserve">What is the name of one algorithm useful for conveniently testing the primality of large numbers? </t>
  </si>
  <si>
    <t>international data communications network</t>
  </si>
  <si>
    <t>What Doctor Who was written without Doctor Who in it?</t>
  </si>
  <si>
    <t>In what year was the trial of Rev. Jimmy Creech?</t>
  </si>
  <si>
    <t>What is one supplementary source of European Union law?</t>
  </si>
  <si>
    <t>85%</t>
  </si>
  <si>
    <t>In what year was the battle that resulted from a Confederate cavalry unit attacking a Union expedition?</t>
  </si>
  <si>
    <t>4,222,000</t>
  </si>
  <si>
    <t>What is the name of the process which confirms the primality of a number n?</t>
  </si>
  <si>
    <t>Graubünden</t>
  </si>
  <si>
    <t>In which case were French vigilantes sabotaging shipments of Spanish Strawberries?</t>
  </si>
  <si>
    <t>unknown</t>
  </si>
  <si>
    <t xml:space="preserve">What field of computer science analyzes all possible algorithms in aggregate to determine the resource requirements needed to solve to a given problem?  </t>
  </si>
  <si>
    <t>William Pitt</t>
  </si>
  <si>
    <t>What region of the Rhine was changed by the Rhine Straightening program?</t>
  </si>
  <si>
    <t>Oliver</t>
  </si>
  <si>
    <t>What was the containment failure rate in a tobacco plant study using plastid transformation?</t>
  </si>
  <si>
    <t>States or departments in four nations contain "Amazonas" in their names.</t>
  </si>
  <si>
    <t>by undulating their bodies as well as by the beating of their comb-rows</t>
  </si>
  <si>
    <t>What direction do ctenophore swim?</t>
  </si>
  <si>
    <t>What is essential for the successful execution of a project?</t>
  </si>
  <si>
    <t>in 2016</t>
  </si>
  <si>
    <t>What company confirmed that Beyoncé would participate in the Super Bowl 50 halftime show?</t>
  </si>
  <si>
    <t>unwavering loyalty</t>
  </si>
  <si>
    <t>With a budget of $230,000, the surviving original lunar broadcast data from Apollo 11 was compiled by Nafzger and assigned to Lowry Digital for restoration. The video was processed to remove random noise and camera shake without destroying historical legitimacy. The images were from tapes in Australia, the CBS News archive, and kinescope recordings made at Johnson Space Center. The restored video, remaining in black and white, contains conservative digital enhancements and did not include sound quality improvements.</t>
  </si>
  <si>
    <t>Miller-Boyett Productions</t>
  </si>
  <si>
    <t>When was the Parental Leave directive created?</t>
  </si>
  <si>
    <t>Where is the coldest section of Victoria?</t>
  </si>
  <si>
    <t>Which university did Tesla audit in 1880?</t>
  </si>
  <si>
    <t>according to a multiple access scheme</t>
  </si>
  <si>
    <t>The Use of Money,</t>
  </si>
  <si>
    <t>gastric acid and proteases</t>
  </si>
  <si>
    <t>2,290 m3/s</t>
  </si>
  <si>
    <t>Where did the Rhine occupy during the Holocene?</t>
  </si>
  <si>
    <t>What is the example of another problem characterized by large instances that is routinely solved by SAT handlers employing efficient algorithms?</t>
  </si>
  <si>
    <t>What was the name of the 2007 Christmas special?</t>
  </si>
  <si>
    <t>Charles I</t>
  </si>
  <si>
    <t>How many launch pads were originally planned?</t>
  </si>
  <si>
    <t>What soap opera is currently featured in ABC's daytime programming?</t>
  </si>
  <si>
    <t>Schrödinger</t>
  </si>
  <si>
    <t>Lutheran and Reformed</t>
  </si>
  <si>
    <t>The 2012 Act</t>
  </si>
  <si>
    <t>What must be passed using democratic means by the entire school community?</t>
  </si>
  <si>
    <t>Tesla, you don't understand our American humor</t>
  </si>
  <si>
    <t>At what temperatures is O2 more soluble?</t>
  </si>
  <si>
    <t>kinetic</t>
  </si>
  <si>
    <t>confirmation</t>
  </si>
  <si>
    <t>The legislative competence of the Parliament species what areas?</t>
  </si>
  <si>
    <t>quality of a country's institutions</t>
  </si>
  <si>
    <t>Cricket</t>
  </si>
  <si>
    <t>Chris Chibnall</t>
  </si>
  <si>
    <t>Current faculty include the anthropologist Marshall Sahlins, historian Dipesh Chakrabarty, paleontologists Neil Shubin and Paul Sereno, evolutionary biologist Jerry Coyne, Nobel prize winning physicist Yoichiro Nambu, Nobel prize winning physicist James Cronin, Nobel Prize winning economists Eugene Fama, James Heckman, Lars Peter Hansen, Roger Myerson and Robert Lucas, Jr., Freakonomics author and noted economist Steven Levitt, current governor of India's central bank Raghuram Rajan, the 74th United States Secretary of the Treasury and former Goldman Sachs Chairman and CEO Hank Paulson, former Chairman of President Barack Obama's Council of Economic Advisors Austan Goolsbee, Shakespeare scholar David Bevington, and renowned political scientists John Mearsheimer and Robert Pape.</t>
  </si>
  <si>
    <t>100–5,000</t>
  </si>
  <si>
    <t>What is the most common length of Doctor Who episodes?</t>
  </si>
  <si>
    <t>The unproven Riemann hypothesis, dating from 1859, states that except for s = −2, −4, ..., all zeroes of the ζ-function have real part equal to 1/2. The connection to prime numbers is that it essentially says that the primes are as regularly distributed as possible.[clarification needed] From a physical viewpoint, it roughly states that the irregularity in the distribution of primes only comes from random noise. From a mathematical viewpoint, it roughly states that the asymptotic distribution of primes (about x/log x of numbers less than x are primes, the prime number theorem) also holds for much shorter intervals of length about the square root of x (for intervals near x). This hypothesis is generally believed to be correct. In particular, the simplest assumption is that primes should have no significant irregularities without good reason.</t>
  </si>
  <si>
    <t>What is the second busiest airport in the United States?</t>
  </si>
  <si>
    <t>When did Luther write  a German mass?</t>
  </si>
  <si>
    <t>Who was Louis XIV's main rival?</t>
  </si>
  <si>
    <t>Where did the monks flee to?</t>
  </si>
  <si>
    <t>stainless steel</t>
  </si>
  <si>
    <t>What can keep an object from moving when it is being pushed on a surface?</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</si>
  <si>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</si>
  <si>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a piston</t>
  </si>
  <si>
    <t>What are private secondary schools in Germany called?</t>
  </si>
  <si>
    <t>Advanced Steam movement</t>
  </si>
  <si>
    <t>What term resulted from Dioscorides' book?</t>
  </si>
  <si>
    <t>two catechisms.</t>
  </si>
  <si>
    <t>How are pharmacists regulated in most jurisdictions?</t>
  </si>
  <si>
    <t>Cobb, Shepley, Rutan and Coolidge, Holabird &amp; Roche,</t>
  </si>
  <si>
    <t>use the potential energy stored in an H+, or hydrogen ion gradient to generate ATP energy</t>
  </si>
  <si>
    <t>What did Luther refuse to do?</t>
  </si>
  <si>
    <t>In November 1969, Gemini veteran Charles "Pete" Conrad and rookie Alan L. Bean made a precision landing on Apollo 12 within walking distance of the Surveyor 3 unmanned lunar probe, which had landed in April 1967 on the Ocean of Storms. The Command Module Pilot was Gemini veteran Richard F. Gordon, Jr. Conrad and Bean carried the first lunar surface color television camera, but it was damaged when accidentally pointed into the Sun. They made two EVAs totaling 7 hours and 45 minutes. On one, they walked to the Surveyor, photographed it, and removed some parts which they returned to Earth.</t>
  </si>
  <si>
    <t>The smaller the economic inequality, the more waste and pollution is created, resulting in many cases, in more environmental degradation. This can be explained by the fact that as the poor people in the society become more wealthy, it increases their yearly carbon emissions. This relation is expressed by the Environmental Kuznets Curve (EKC).[not in citation given] It should be noted here however that in certain cases, with great economic inequality, there is nonetheless not more waste and pollution created as the waste/pollution is cleaned up better afterwards (water treatment, filtering, ...).... Also note that the whole of the increase in environmental degradation is the result of the increase of emissions per person being multiplied by a multiplier. If there were fewer people however, this multiplier would be lower, and thus the amount of environmental degradation would be lower as well. As such, the current high level of population has a large impact on this as well. If (as WWF argued), population levels would start to drop to a sustainable level (1/3 of current levels, so about 2 billion people), human inequality can be addressed/corrected, while still not resulting in an increase of environmental damage.</t>
  </si>
  <si>
    <t>eight-year</t>
  </si>
  <si>
    <t>According to the text, how much money did the Host Committee raise?</t>
  </si>
  <si>
    <t>all angles remain the same</t>
  </si>
  <si>
    <t>Church and the Methodist-Christian theological tradition</t>
  </si>
  <si>
    <t>When is the Wianki festival held?</t>
  </si>
  <si>
    <t>drowned</t>
  </si>
  <si>
    <t>Treaty of Hubertusburg on 15 February 1763</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</si>
  <si>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</si>
  <si>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good, clear laws</t>
  </si>
  <si>
    <t>Thomas Savery</t>
  </si>
  <si>
    <t>Ticonderoga</t>
  </si>
  <si>
    <t>the Seine</t>
  </si>
  <si>
    <t>On what date was Super Bowl 50 given to Levi's Stadium?</t>
  </si>
  <si>
    <t>Hamas has continued to be a major player in Palestine. From 2000 to 2007 it killed 542 people in 140 suicide bombing or "martyrdom operations". In the January 2006 legislative election—its first foray into the political process—it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</si>
  <si>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the Huguenot rebellions</t>
  </si>
  <si>
    <t>death in body and soul</t>
  </si>
  <si>
    <t>Smalcald Articles</t>
  </si>
  <si>
    <t>Augustinian order</t>
  </si>
  <si>
    <t>Along with marine engines and industrial units, in what machines was compounding popular?</t>
  </si>
  <si>
    <t>European</t>
  </si>
  <si>
    <t>traditional private schools</t>
  </si>
  <si>
    <t>What is decreased by staging expansion across multiple cylinders?</t>
  </si>
  <si>
    <t>What is stage 1 in the life of a bill?</t>
  </si>
  <si>
    <t>What does many workers willing to work for a lot of time competing for a job that only requires a few workers result in?</t>
  </si>
  <si>
    <t>1869,</t>
  </si>
  <si>
    <t>It is usually recognized that lawbreaking, if it is not done publicly, at least must be publicly announced in order to constitute civil disobedience. But Stephen Eilmann argues that if it is necessary to disobey rules that conflict with morality, we might ask why disobedience should take the form of public civil disobedience rather than simply covert lawbreaking. If a lawyer wishes to help a client overcome legal obstacles to securing her or his natural rights, he might, for instance, find that assisting in fabricating evidence or committing perjury is more effective than open disobedience. This assumes that common morality does not have a prohibition on deceit in such situations. The Fully Informed Jury Association's publication "A Primer for Prospective Jurors" notes, "Think of the dilemma faced by German citizens when Hitler's secret police demanded to know if they were hiding a Jew in their house." By this definition, civil disobedience could be traced back to the Book of Exodus, where Shiphrah and Puah refused a direct order of Pharaoh but misrepresented how they did it. (Exodus 1: 15-19)</t>
  </si>
  <si>
    <t>How many inhabitants did Betty Meggers believe could occupy each square kilometre of the Amazon?</t>
  </si>
  <si>
    <t>There were many Chinese with what unexpected status?</t>
  </si>
  <si>
    <t xml:space="preserve">What is the name of the Pulitzer Prize novelist who was also a university alumni? </t>
  </si>
  <si>
    <t>The invasion failed both militarily and politically, as Pitt again planned significant campaigns against New France</t>
  </si>
  <si>
    <t>Jawaharlal Nehru</t>
  </si>
  <si>
    <t>The Talons of Weng-Chiang</t>
  </si>
  <si>
    <t>What company paid for a Super Bowl 50 ad to show a trailer of X-Men: Apocalypse?</t>
  </si>
  <si>
    <t>What group initiated the community dialogues?</t>
  </si>
  <si>
    <t>Tunbridge Wells.</t>
  </si>
  <si>
    <t>What happened to NASA's budget after the first successful moon landing?</t>
  </si>
  <si>
    <t>Who was the first Huguenot to arrive at the Cape of Good Hope?</t>
  </si>
  <si>
    <t>United States Senate Committee on Commerce, Science and Transportation</t>
  </si>
  <si>
    <t>other parts</t>
  </si>
  <si>
    <t>What did Luther's degree in 1509 concern?</t>
  </si>
  <si>
    <t>What did Artur Oppman give to the world?</t>
  </si>
  <si>
    <t>increasingly aggressively</t>
  </si>
  <si>
    <t>2000 guests</t>
  </si>
  <si>
    <t>Starting in 1894, Tesla began investigating what he referred to as radiant energy of "invisible" kinds after he had noticed damaged film in his laboratory in previous experiments (later identified as "Roentgen rays" or "X-Rays"). His early experiments were with Crookes tubes, a cold cathode electrical discharge tube. Soon after, much of Tesla's early research—hundreds of invention models, plans, notes, laboratory data, tools, photographs, valued at $50,000—was lost in the 5th Avenue laboratory fire of March 1895. Tesla is quoted by The New York Times as saying, "I am in too much grief to talk. What can I say?" Tesla may have inadvertently captured an X-ray image—predating, by a few weeks, Wilhelm Röntgen's December 1895 announcement of the discovery of x-rays—when he tried to photograph Mark Twain illuminated by a Geissler tube, an earlier type of gas discharge tube. The only thing captured in the image was the metal locking screw on the camera lens.:134</t>
  </si>
  <si>
    <t>How many times did southern California attempt to achieve a separate statehood?</t>
  </si>
  <si>
    <t>Where was American Broadcasting-Paramount Theatres, Inc headquartered after the merger?</t>
  </si>
  <si>
    <t>join a polytechnic or other technical college</t>
  </si>
  <si>
    <t>microorganisms</t>
  </si>
  <si>
    <t>In what country does some clergy in the UMC occasionally practice exorcism?</t>
  </si>
  <si>
    <t xml:space="preserve">2 differences betwen X.25 and ARPNET CITA technologies </t>
  </si>
  <si>
    <t>Who was the sideline reporter for ESPN Deportes?</t>
  </si>
  <si>
    <t>"Jacksonvillians" or "Jaxsons"</t>
  </si>
  <si>
    <t>$200,000</t>
  </si>
  <si>
    <t>microbes</t>
  </si>
  <si>
    <t>organizational change, relationships with students, fellow teachers, and administrative personnel, working environment, expectations to substitute</t>
  </si>
  <si>
    <t>Which sea was oil discovered in?</t>
  </si>
  <si>
    <t>Winter Film Capital of the World</t>
  </si>
  <si>
    <t>the Metropolitan Police Authority</t>
  </si>
  <si>
    <t>How many of the four field goal attempts did McManus succeed at during SUper Bowl 50?</t>
  </si>
  <si>
    <t>whether or not to plead guilty.</t>
  </si>
  <si>
    <t>law and philosophy</t>
  </si>
  <si>
    <t>good</t>
  </si>
  <si>
    <t>March 1896</t>
  </si>
  <si>
    <t>Large predators of the Amazon rainforest include the jaguar, cougar, and anaconda, what is one other example?</t>
  </si>
  <si>
    <t>crust and lithosphere</t>
  </si>
  <si>
    <t>polynomial time algorithm</t>
  </si>
  <si>
    <t>third-most</t>
  </si>
  <si>
    <t>Neutrophils and macrophages</t>
  </si>
  <si>
    <t>What is the largest stadium in Australia?</t>
  </si>
  <si>
    <t>A B cell identifies pathogens when antibodies on its surface bind to a specific foreign antigen. This antigen/antibody complex is taken up by the B cell and processed by proteolysis into peptides. The B cell then displays these antigenic peptides on its surface MHC class II molecules. This combination of MHC and antigen attracts a matching helper T cell, which releases lymphokines and activates the B cell. As the activated B cell then begins to divide, its offspring (plasma cells) secrete millions of copies of the antibody that recognizes this antigen. These antibodies circulate in blood plasma and lymph, bind to pathogens expressing the antigen and mark them for destruction by complement activation or for uptake and destruction by phagocytes. Antibodies can also neutralize challenges directly, by binding to bacterial toxins or by interfering with the receptors that viruses and bacteria use to infect cells.</t>
  </si>
  <si>
    <t>If q=9 and a=1,2,4,5,7, or 8, how many primes would be in a progression?</t>
  </si>
  <si>
    <t>What was the last game that Elway played as a quarterback for Denver?</t>
  </si>
  <si>
    <t>About how many Walloons and Huguenots emigrated to England and Ireland in this era?</t>
  </si>
  <si>
    <t>Who listed the Grainger Market architecture as grade 1 in 1954?</t>
  </si>
  <si>
    <t>Where did the Song dynasty continue to cause problems for Kublai?</t>
  </si>
  <si>
    <t>City of Malindi</t>
  </si>
  <si>
    <t>to counteract the constant flooding and strong sedimentation in the western Rhine Delta</t>
  </si>
  <si>
    <t>a bachelor's degree</t>
  </si>
  <si>
    <t>N–S</t>
  </si>
  <si>
    <t>Nixon requested Congress to appropriate $2.2 billion in emergency aid to Israel</t>
  </si>
  <si>
    <t>patient care rounds drug product selection</t>
  </si>
  <si>
    <t>family member</t>
  </si>
  <si>
    <t>Where was Melanchthon at the time?</t>
  </si>
  <si>
    <t>a yellow chlorophyll precursor</t>
  </si>
  <si>
    <t>The companion figure – generally a human – has been a constant feature in Doctor Who since the programme's inception in 1963. One of the roles of the companion is to remind the Doctor of his "moral duty". The Doctor's first companions seen on screen were his granddaughter Susan Foreman (Carole Ann Ford) and her teachers Barbara Wright (Jacqueline Hill) and Ian Chesterton (William Russell). These characters were intended to act as audience surrogates, through which the audience would discover information about the Doctor who was to act as a mysterious father figure. The only story from the original series in which the Doctor travels alone is The Deadly Assassin. Notable companions from the earlier series included Romana (Mary Tamm and Lalla Ward), a Time Lady; Sarah Jane Smith (Elisabeth Sladen); and Jo Grant (Katy Manning). Dramatically, these characters provide a figure with whom the audience can identify, and serve to further the story by requesting exposition from the Doctor and manufacturing peril for the Doctor to resolve. The Doctor regularly gains new companions and loses old ones; sometimes they return home or find new causes — or loves — on worlds they have visited. Some have died during the course of the series. Companions are usually human, or humanoid aliens.</t>
  </si>
  <si>
    <t>The Knowledge School</t>
  </si>
  <si>
    <t>Institute for Policy Studies</t>
  </si>
  <si>
    <t>William E. Simon</t>
  </si>
  <si>
    <t>How fast is pharmacy informatics growing?</t>
  </si>
  <si>
    <t>1760</t>
  </si>
  <si>
    <t>when they would be married,</t>
  </si>
  <si>
    <t>the proprietors of illegal medical cannabis dispensaries</t>
  </si>
  <si>
    <t>to help strengthen their territorial claims</t>
  </si>
  <si>
    <t>Jonathan Powell</t>
  </si>
  <si>
    <t>rare and desired skills</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</si>
  <si>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</si>
  <si>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In Australia, the show has had a strong fan base since its inception, having been exclusively first run by the Australian Broadcasting Corporation (ABC) since January 1965. The ABC has periodically repeated episodes; of note were the weekly screenings of all available classic episodes starting in 2003, for the show's 40th anniversary, and the weekdaily screenings of all available revived episodes in 2013 for the show's 50th anniversary. The ABC broadcasts the modern series first run on ABC1, with repeats on ABC2. The ABC also provided partial funding for the 20th anniversary special The Five Doctors in 1983. Repeats of both the classic and modern series have also been shown on subscription television channels BBC UKTV, SF and later on SyFy upon SF's closure.[citation needed]</t>
  </si>
  <si>
    <t>otter, beaver and hundreds of bird species.</t>
  </si>
  <si>
    <t>Apologie</t>
  </si>
  <si>
    <t>In what city's Marriott did the Broncos stay?</t>
  </si>
  <si>
    <t>What spurred increased support for government reform?</t>
  </si>
  <si>
    <t>reduce</t>
  </si>
  <si>
    <t>How many Panthers were designated All-Pro?</t>
  </si>
  <si>
    <t>Brainerd Holmes</t>
  </si>
  <si>
    <t>When did Walt Disney Productions purchase ABC's shares in the Disneyland theme park?</t>
  </si>
  <si>
    <t>What area differs from other areas in the United Kingdom regarding education?</t>
  </si>
  <si>
    <t>the early 1950s</t>
  </si>
  <si>
    <t>In January 1880</t>
  </si>
  <si>
    <t>1707</t>
  </si>
  <si>
    <t>pathogen</t>
  </si>
  <si>
    <t>a covalent double bond</t>
  </si>
  <si>
    <t>strikes by coal miners and railroad workers</t>
  </si>
  <si>
    <t>What attribute of humans interfered with nature's ruthlessness in Tesla's opinion?</t>
  </si>
  <si>
    <t>Agents of S.H.I.E.L.D.</t>
  </si>
  <si>
    <t>What had Luther's community done to Jews years earlier?</t>
  </si>
  <si>
    <t>What brand of car is manufactured in Broadmeadows?</t>
  </si>
  <si>
    <t>What does ctenophora mean in Greek?</t>
  </si>
  <si>
    <t>in 1972 (though Norway did not end up joining)</t>
  </si>
  <si>
    <t>GTE</t>
  </si>
  <si>
    <t>What types of medications do specialty pharmacies stock?</t>
  </si>
  <si>
    <t>September 30, 1960</t>
  </si>
  <si>
    <t>The principle of faunal succession was developed 100 years before whose theory of evolution?</t>
  </si>
  <si>
    <t>At the heart of scholars' debate about Luther's influence is whether it is anachronistic to view his work as a precursor of the racial antisemitism of the Nazis. Some scholars see Luther's influence as limited, and the Nazis' use of his work as opportunistic. Biographer Martin Brecht points out that "There is a world of difference between his belief in salvation and a racial ideology. Nevertheless, his misguided agitation had the evil result that Luther fatefully became one of the 'church fathers' of anti-Semitism and thus provided material for the modern hatred of the Jews, cloaking it with the authority of the Reformer." Johannes Wallmann argues that Luther's writings against the Jews were largely ignored in the 18th and 19th centuries, and that there was no continuity between Luther's thought and Nazi ideology. Uwe Siemon-Netto agreed, arguing that it was because the Nazis were already anti-Semites that they revived Luther's work. Hans J. Hillerbrand agreed that to focus on Luther was to adopt an essentially ahistorical perspective of Nazi antisemitism that ignored other contributory factors in German history. Similarly, Roland Bainton, noted church historian and Luther biographer, wrote "One could wish that Luther had died before ever [On the Jews and Their Lies] was written. His position was entirely religious and in no respect racial."</t>
  </si>
  <si>
    <t>an 8–4–4 system</t>
  </si>
  <si>
    <t>Who is the patron saint of the Huguenots?</t>
  </si>
  <si>
    <t>Pegasus satellites</t>
  </si>
  <si>
    <t>What method is used for tallying votes in the second vote of the ballot?</t>
  </si>
  <si>
    <t>Sherwood Boehlert</t>
  </si>
  <si>
    <t>electrical</t>
  </si>
  <si>
    <t>union membership</t>
  </si>
  <si>
    <t>colleges</t>
  </si>
  <si>
    <t>lipid monolayer</t>
  </si>
  <si>
    <t>nitrogen/oxygen mixture</t>
  </si>
  <si>
    <t>Carolina Panthers</t>
  </si>
  <si>
    <t>stood by their contents</t>
  </si>
  <si>
    <t>James Lofton</t>
  </si>
  <si>
    <t>Robert Lane and Benjamin Vail</t>
  </si>
  <si>
    <t>automated scientific instruments</t>
  </si>
  <si>
    <t>At what point in Luther's sermons did Schurf write to the elector?</t>
  </si>
  <si>
    <t>Apollo 11</t>
  </si>
  <si>
    <t>In what borough is there a neighborhood called Huguenot?</t>
  </si>
  <si>
    <t>linear time</t>
  </si>
  <si>
    <t>What type of power was displayed at the World's fair by Westinghouse and Tesla?</t>
  </si>
  <si>
    <t>Water on the eastern side flowed toward the Atlantic,</t>
  </si>
  <si>
    <t>What is the principle about relating spin and space variables?</t>
  </si>
  <si>
    <t>30% less steam</t>
  </si>
  <si>
    <t>issue of laity having a voice and vote in the administration of the church</t>
  </si>
  <si>
    <t>How old was Martin Luther when he married?</t>
  </si>
  <si>
    <t>What types of scientists looks for signs of magnetic reversals in igneous rocks within the drill cores?</t>
  </si>
  <si>
    <t>traditional Mongolian script</t>
  </si>
  <si>
    <t>available information about climate change based on published sources</t>
  </si>
  <si>
    <t>Japanese imports</t>
  </si>
  <si>
    <t>What did the Court of Justice say Steymann was entitled to?</t>
  </si>
  <si>
    <t>Motion pictures, petroleum and aircraft manufacturing have been major industries since which decade?</t>
  </si>
  <si>
    <t>Sky plc</t>
  </si>
  <si>
    <t>the plague was present somewhere in Europe in every year between 1346 and 1671</t>
  </si>
  <si>
    <t>What entity in Canada handles substitution regulations for television shows?</t>
  </si>
  <si>
    <t>research</t>
  </si>
  <si>
    <t>What did Standard &amp; Poor recommend to speed economy recovery?</t>
  </si>
  <si>
    <t>village</t>
  </si>
  <si>
    <t>25-foot (7.6 m) high</t>
  </si>
  <si>
    <t>What is the southern region where protestants are concentrated?</t>
  </si>
  <si>
    <t>hospitals</t>
  </si>
  <si>
    <t>probabilistic Turing machine</t>
  </si>
  <si>
    <t>Turkana</t>
  </si>
  <si>
    <t>Because of the gold theme, what was Super Bowl 50 known as?</t>
  </si>
  <si>
    <t>How high in altitude in feet could the vacuum chambers simulate?</t>
  </si>
  <si>
    <t>What group has approved the appointment of an openly partnered lesbian to the provisional diaconate?</t>
  </si>
  <si>
    <t>argued against resisting</t>
  </si>
  <si>
    <t>send him to the best engineering school if he recovered</t>
  </si>
  <si>
    <t>What did Thoreau claim about the majority?</t>
  </si>
  <si>
    <t>What was the last Super Bowl the Broncos participated in?</t>
  </si>
  <si>
    <t>neither conscientious nor of social benefit</t>
  </si>
  <si>
    <t>What is the medieval Esteve Pharmacy used as at present?</t>
  </si>
  <si>
    <t>president of NBC's entertainment division</t>
  </si>
  <si>
    <t>the ozone generated in contact with the skin, and to a lesser extent, by nitrous acid.</t>
  </si>
  <si>
    <t>If (as WWF argued), population levels would start to drop to a sustainable level</t>
  </si>
  <si>
    <t>The University of Chicago also maintains facilities apart from its main campus. The university's Booth School of Business maintains campuses in Singapore, London, and the downtown Streeterville neighborhood of Chicago. The Center in Paris, a campus located on the left bank of the Seine in Paris, hosts various undergraduate and graduate study programs. In fall 2010, the University of Chicago also opened a center in Beijing, near Renmin University's campus in Haidian District. The most recent additions are a center in New Delhi, India, which opened in 2014, and a center in Hong Kong which opened in 2015.</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</si>
  <si>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</si>
  <si>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an electrical exhibition</t>
  </si>
  <si>
    <t>asking for a round trip through all sites in Milan whose total length is at most 10 km</t>
  </si>
  <si>
    <t>east of the Mississippi</t>
  </si>
  <si>
    <t>The Super Bowl 50 Host Committee said it would be the most what ever?</t>
  </si>
  <si>
    <t>Who did the National Anthem at Super Bowl 50?</t>
  </si>
  <si>
    <t>2010</t>
  </si>
  <si>
    <t>Canny</t>
  </si>
  <si>
    <t>Who scored the first points for Denver?</t>
  </si>
  <si>
    <t>Who did Peyton Manning complete an 18 yard pass to on the opening drive?</t>
  </si>
  <si>
    <t>What percentage of leukocytes do neutrophils represent?</t>
  </si>
  <si>
    <t>Which performers joined the headliner during the Super Bowl 50 halftime show?</t>
  </si>
  <si>
    <t>Dane</t>
  </si>
  <si>
    <t>What are some advantages of hospital pharmacies?</t>
  </si>
  <si>
    <t>When was the Lisbon Treaty established?</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</si>
  <si>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</si>
  <si>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What did Newcastle University win in 2000?</t>
  </si>
  <si>
    <t>clinical services that pharmacists can provide for their patients</t>
  </si>
  <si>
    <t>a connection identifier rather than address information and are negotiated between endpoints so that they are delivered in order and with error checking</t>
  </si>
  <si>
    <t>low-skilled workers in the poor countries</t>
  </si>
  <si>
    <t>warm and humid tropical climate</t>
  </si>
  <si>
    <t>the trial and rehabilitation of Joan of Arc</t>
  </si>
  <si>
    <t>Who was Alfred S brown?</t>
  </si>
  <si>
    <t>bright red-orange carotenoid found in nearly all chloroplasts</t>
  </si>
  <si>
    <t>What is the only episode released on VCD?</t>
  </si>
  <si>
    <t>Whose shrine did the pilgrims go to in 1016?</t>
  </si>
  <si>
    <t>seven radio stations</t>
  </si>
  <si>
    <t>What did Tesla do for a job that paid two dollars a day?</t>
  </si>
  <si>
    <t>Who appoints elders?</t>
  </si>
  <si>
    <t>10 counties</t>
  </si>
  <si>
    <t>can produce both eggs and sperm at the same time.</t>
  </si>
  <si>
    <t>alternative</t>
  </si>
  <si>
    <t>Kumbum Monastery</t>
  </si>
  <si>
    <t>In which year did Alexander Dyce bequeathed his books to the museum?</t>
  </si>
  <si>
    <t>Who did the Panthers beat to become the NFC champs?</t>
  </si>
  <si>
    <t>some 1.7 million victims</t>
  </si>
  <si>
    <t>What was the nickname given to the team Samuel Phillips was appointed to?</t>
  </si>
  <si>
    <t>In his many notes</t>
  </si>
  <si>
    <t>Duran Duran</t>
  </si>
  <si>
    <t>micrometeorite impacts</t>
  </si>
  <si>
    <t>Lee</t>
  </si>
  <si>
    <t>cotton spinning</t>
  </si>
  <si>
    <t>justification rather depends only on such faith as is active in charity and good works</t>
  </si>
  <si>
    <t>the Gaussian integers Z[i]</t>
  </si>
  <si>
    <t>Until the bishop has read the appointments at the session of the Annual Conference,</t>
  </si>
  <si>
    <t>What previous work did Lavoisier experiments discredit?</t>
  </si>
  <si>
    <t>How can someone be recognized as local church lay servant?</t>
  </si>
  <si>
    <t>blue British police box</t>
  </si>
  <si>
    <t>time machine</t>
  </si>
  <si>
    <t>What team did Justin Tucker play for?</t>
  </si>
  <si>
    <t>the late 1960s</t>
  </si>
  <si>
    <t>freight services</t>
  </si>
  <si>
    <t>What were the names of Tesla's new partners?</t>
  </si>
  <si>
    <t>positive</t>
  </si>
  <si>
    <t>Tibetan monastery of Kumbum Monastery</t>
  </si>
  <si>
    <t>By mass, oxygen is the third-most abundant element in the universe, after hydrogen and helium.</t>
  </si>
  <si>
    <t>The early United States expressed its opposition to Imperialism, at least in a form distinct from its own Manifest Destiny, through policies such as the Monroe Doctrine. However, beginning in the late 19th and early 20th century, policies such as Theodore Roosevelt’s interventionism in Central America and Woodrow Wilson’s mission to "make the world safe for democracy" changed all this. They were often backed by military force, but were more often affected from behind the scenes. This is consistent with the general notion of hegemony and imperium of historical empires. In 1898, Americans who opposed imperialism created the Anti-Imperialist League to oppose the US annexation of the Philippines and Cuba. One year later, a war erupted in the Philippines causing business, labor and government leaders in the US to condemn America's occupation in the Philippines as they also denounced them for causing the deaths of many Filipinos. American foreign policy was denounced as a "racket" by Smedley Butler, an American general. He said, "Looking back on it, I might have given Al Capone a few hints. The best he could do was to operate his racket in three districts. I operated on three continents".</t>
  </si>
  <si>
    <t>80 percent</t>
  </si>
  <si>
    <t>11.5 inches</t>
  </si>
  <si>
    <t>In 2004, the V&amp;A alongside Royal Institute of British Architects opened the first permanent gallery in the UK covering the history of architecture with displays using models, photographs, elements from buildings and original drawings. With the opening of the new gallery, the RIBA Drawings and Archives Collection has been transferred to the museum, joining the already extensive collection held by the V&amp;A. With over 600,000 drawings, over 750,000 papers and paraphernalia, and over 700,000 photographs from around the world, together they form the world's most comprehensive architectural resource.</t>
  </si>
  <si>
    <t>Emergency Highway Energy Conservation Act</t>
  </si>
  <si>
    <t>What could the Supplemental Nutrition Assistance Program purchase?</t>
  </si>
  <si>
    <t>induction motor that ran on alternating current</t>
  </si>
  <si>
    <t>Where does the pattern of higher income-longer lives still hold true?</t>
  </si>
  <si>
    <t>Who invented a high-pressure steam engine around 1800?</t>
  </si>
  <si>
    <t>How many total tackles did Charles Johnson have in Super Bowl 50?</t>
  </si>
  <si>
    <t>Who was the Jin dynasty defector who betrayed the location of the Jin army?</t>
  </si>
  <si>
    <t>Tomingaj</t>
  </si>
  <si>
    <t>The RIBA's drawing collection of what Italian architect is considered the largest in the world?</t>
  </si>
  <si>
    <t>Fort Caroline</t>
  </si>
  <si>
    <t>What year did Newcastle first develop its cycling strategy?</t>
  </si>
  <si>
    <t>What campaign did the Communist regime initiate after WWII?</t>
  </si>
  <si>
    <t>granulysin (a protease)</t>
  </si>
  <si>
    <t>Imperial</t>
  </si>
  <si>
    <t>What was the purpose of the Turks in Luther's mind?</t>
  </si>
  <si>
    <t>"Social Chapter"</t>
  </si>
  <si>
    <t>When was liquid oxygen developed for commercial use?</t>
  </si>
  <si>
    <t>its colouring</t>
  </si>
  <si>
    <t>high-voltage, high-frequency power</t>
  </si>
  <si>
    <t>Gerhard</t>
  </si>
  <si>
    <t>What were Tesla's mother's special abilities?</t>
  </si>
  <si>
    <t>an epidemiological account</t>
  </si>
  <si>
    <t>Why did the 5th president of the university decide to get rid of the football program?</t>
  </si>
  <si>
    <t>Mission Impossible,</t>
  </si>
  <si>
    <t>What is the longest river in Germany?</t>
  </si>
  <si>
    <t>What was carried on extended lunar missions?</t>
  </si>
  <si>
    <t>What year did the storm hit Richard's fleet?</t>
  </si>
  <si>
    <t>4,686</t>
  </si>
  <si>
    <t>between 1000 and 1900</t>
  </si>
  <si>
    <t>What portion of households in Jacksonville have only one person?</t>
  </si>
  <si>
    <t>the plague was present somewhere in Europe in every year between 1346 and 1671.</t>
  </si>
  <si>
    <t>I do not think myself obliged to obey</t>
  </si>
  <si>
    <t>Name a type of Toyota compact trucks?</t>
  </si>
  <si>
    <t>Official corporal punishment, often by caning, remains commonplace in schools in some Asian, African and Caribbean countries. For details of individual countries see School corporal punishment.</t>
  </si>
  <si>
    <t>While many homes in the neighborhood date back to the 1930s or before, the neighborhood is also home to several public housing developments built between the 1960s and 1990s by the Fresno Housing Authority. The US Department of Housing and Urban Development has also built small subdivisions of single-family homes in the area for purchase by low-income working families. There have been numerous attempts to revitalize the neighborhood, including the construction of a modern shopping center on the corner of Fresno and B streets, an aborted attempt to build luxury homes and a golf course on the western edge of the neighborhood, and some new section 8 apartments have been built along Church Ave west of Elm St. Cargill Meat Solutions and Foster Farms both have large processing facilities in the neighborhood, and the stench from these (and other small industrial facilities) has long plagued area residents. The Fresno Chandler Executive Airport is also on the West Side. Due to its position on the edge of the city and years of neglect by developers, is not a true "inner-city" neighborhood, and there are many vacant lots, strawberry fields and vineyards throughout the neighborhood. The neighborhood has very little retail activity, aside from the area near Fresno Street and State Route 99 Freeway (Kearney Palm Shopping Center, built in the late 1990s) and small corner markets scattered throughout.</t>
  </si>
  <si>
    <t>What South African industry descended from Huguenot settlers?</t>
  </si>
  <si>
    <t>in the condenser</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</si>
  <si>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</si>
  <si>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9th</t>
  </si>
  <si>
    <t>What streets are contraflows to be implemented on in Newcastle?</t>
  </si>
  <si>
    <t>Who did Tesla try to get money from?</t>
  </si>
  <si>
    <t>From what country did the first person in space come from?</t>
  </si>
  <si>
    <t>What did Albrecht need the indulgences to pay for?</t>
  </si>
  <si>
    <t>1.5 m (4 ft 11 in)</t>
  </si>
  <si>
    <t>What news network did ABC launch in July 2004?</t>
  </si>
  <si>
    <t>500%</t>
  </si>
  <si>
    <t>distribution and price disruptions</t>
  </si>
  <si>
    <t>Elizabeth</t>
  </si>
  <si>
    <t>January 30</t>
  </si>
  <si>
    <t>What was Tesla's salary from Westinghouse in 1934?</t>
  </si>
  <si>
    <t>What did Sir Charles Parsons invent?</t>
  </si>
  <si>
    <t>What does the Zachęta National Gallery of Art organize exhibitions of art from?</t>
  </si>
  <si>
    <t>What is the seating arrangement of the debating chamber?</t>
  </si>
  <si>
    <t>feed the pigeons</t>
  </si>
  <si>
    <t>1,388</t>
  </si>
  <si>
    <t>Up until 1990, Saudi Arabia played an important role in restraining what groups?</t>
  </si>
  <si>
    <t>direct repeats</t>
  </si>
  <si>
    <t>What country did the Rhine continue to rise during the holocene?</t>
  </si>
  <si>
    <t>Yuan T. Lee</t>
  </si>
  <si>
    <t>criminal investigations</t>
  </si>
  <si>
    <t>What does the inner mitochondria membrane do?</t>
  </si>
  <si>
    <t>over a hundred</t>
  </si>
  <si>
    <t>Protestant clergy to marry.</t>
  </si>
  <si>
    <t>criminalized behavior</t>
  </si>
  <si>
    <t>ten seasons</t>
  </si>
  <si>
    <t>What Doctor Who spin-off only made it as far as a pilot episode?</t>
  </si>
  <si>
    <t>19</t>
  </si>
  <si>
    <t>Proper safety equipment such as harnesses and guardrails and procedures such as securing ladders and inspecting scaffolding</t>
  </si>
  <si>
    <t>Contrecœur led 500 men south from Fort Venango on April 5, 1754</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</si>
  <si>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</si>
  <si>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Outside of livestock, what else was considered a major industry in the agriculture regions?</t>
  </si>
  <si>
    <t>Which company was tasked with trying to restore the original tapes?</t>
  </si>
  <si>
    <t>Muslim and Chinese</t>
  </si>
  <si>
    <t>Maududi believed that Islam needed what to be established?</t>
  </si>
  <si>
    <t>2,200</t>
  </si>
  <si>
    <t xml:space="preserve">What motor did they end up using instead of the one Tesla wanted? </t>
  </si>
  <si>
    <t>Which architect, famous for the India Gate in New Delhi, is represented in the RIBA collection?</t>
  </si>
  <si>
    <t>Of what material were the death rays pellets made?</t>
  </si>
  <si>
    <t>What are the Sky Q mini set top boxes able to connect to?</t>
  </si>
  <si>
    <t>1756 to the signing of the peace treaty in 1763</t>
  </si>
  <si>
    <t>democratic</t>
  </si>
  <si>
    <t>What was the name of the Tangut capital?</t>
  </si>
  <si>
    <t>more than 48 hours</t>
  </si>
  <si>
    <t>The Parish Church of St Andrew is traditionally recognised as 'the oldest church in this town'. The present building was begun in the 12th Century and the last addition to it, apart from the vestries, was the main porch in 1726. It is quite possible that there was an earlier church here dating from Saxon times. This older church would have been one of several churches along the River Tyne dedicated to St Andrew, including the Priory church at Hexham. The building contains more old stonework than any other church in Newcastle. It is surrounded by the last of the ancient churchyards to retain its original character. Many key names associated with Newcastle's history worshipped and were buried here. The church tower received a battering during the Siege of Newcastle by the Scots who finally breached the Town Wall and forced surrender. Three of the cannonballs remain on site as testament to the siege.</t>
  </si>
  <si>
    <t>no French regular army troops were stationed in North America</t>
  </si>
  <si>
    <t>Who decides who gets to speak in the chamber debates?</t>
  </si>
  <si>
    <t>Edinburgh</t>
  </si>
  <si>
    <t>Whose English translation of the Bible did the Luther Bible influence?</t>
  </si>
  <si>
    <t>Danny Lane,</t>
  </si>
  <si>
    <t>hymnals</t>
  </si>
  <si>
    <t>Scholars stated that there was already an existing settlement between 2 parties prior to which date?</t>
  </si>
  <si>
    <t>magma or lava</t>
  </si>
  <si>
    <t>economic inequality</t>
  </si>
  <si>
    <t>t to render certain laws ineffective, to cause their repeal, or to exert pressure to get one's political wishes on some other issue</t>
  </si>
  <si>
    <t>the mouth and pharynx;</t>
  </si>
  <si>
    <t>excerpts from the Doctor Who Confidential</t>
  </si>
  <si>
    <t>making home craft tools, mechanical appliances, and the ability to memorize Serbian epic poems</t>
  </si>
  <si>
    <t>the Victorian architecture</t>
  </si>
  <si>
    <t>to prevent the installation of pagan images in the Temple in Jerusalem</t>
  </si>
  <si>
    <t>What is the Victoria state bird?</t>
  </si>
  <si>
    <t>56.2%</t>
  </si>
  <si>
    <t>Synthetic aperture radar</t>
  </si>
  <si>
    <t>induction</t>
  </si>
  <si>
    <t>disaster; he was defeated in the Battle of the Monongahela</t>
  </si>
  <si>
    <t>Which Italian that is credited with the creating the Baroque style of sculpture is represented in the V&amp;A's British galleries?</t>
  </si>
  <si>
    <t>What planet did astrophysisist predict to explain the problems with Mercury?</t>
  </si>
  <si>
    <t>What would a community member need to teach informally?</t>
  </si>
  <si>
    <t>The United States is divided into five jurisdictions</t>
  </si>
  <si>
    <t>In schools using popularly based authority, what is public order like?</t>
  </si>
  <si>
    <t>'empty land'</t>
  </si>
  <si>
    <t>An increase in imported cars</t>
  </si>
  <si>
    <t>15th-century</t>
  </si>
  <si>
    <t>some paintings</t>
  </si>
  <si>
    <t>KMJ-TV</t>
  </si>
  <si>
    <t>levels of economic inequality</t>
  </si>
  <si>
    <t>Thoreau's</t>
  </si>
  <si>
    <t>Hutchinson Hall was designed to look like what Oxford hall?</t>
  </si>
  <si>
    <t>What substance is used to make high quality liquid O2?</t>
  </si>
  <si>
    <t>Besides Britain and North America, where else did Huguenot refugees settle?</t>
  </si>
  <si>
    <t>lost the funding</t>
  </si>
  <si>
    <t>progressive tax</t>
  </si>
  <si>
    <t>86 km</t>
  </si>
  <si>
    <t>lack of understanding</t>
  </si>
  <si>
    <t>senior pharmacy technicians</t>
  </si>
  <si>
    <t>hydroelectric stations at dams</t>
  </si>
  <si>
    <t>The third law</t>
  </si>
  <si>
    <t>a restaurant situated at a Grade</t>
  </si>
  <si>
    <t>What is the most important role of chloroplasts?</t>
  </si>
  <si>
    <t>In the process of vaccination, what is introduced in order to develop a specific immunity?</t>
  </si>
  <si>
    <t>In the virtual call system, the network guarantees sequenced delivery of data to the host</t>
  </si>
  <si>
    <t>BSkyB has no veto over the presence of channels on their EPG, with open access being an enforced part of their operating licence from Ofcom. Any channel which can get carriage on a suitable beam of a satellite at 28° East is entitled to access to BSkyB's EPG for a fee, ranging from £15–100,000. Third-party channels which opt for encryption receive discounts ranging from reduced price to free EPG entries, free carriage on a BSkyB leased transponder, or actual payment for being carried. However, even in this case, BSkyB does not carry any control over the channel's content or carriage issues such as picture quality.</t>
  </si>
  <si>
    <t>prestigious</t>
  </si>
  <si>
    <t>sixteenth century</t>
  </si>
  <si>
    <t>What later invention was Tesla's idea similar to?</t>
  </si>
  <si>
    <t>only marginally more</t>
  </si>
  <si>
    <t>Who broadcast the Super Bowl on TV?</t>
  </si>
  <si>
    <t>84 hours</t>
  </si>
  <si>
    <t>Which Doctors were in Project: Lazarus?</t>
  </si>
  <si>
    <t>the Treaties establishing the European Union</t>
  </si>
  <si>
    <t>What is another plague thought to have spread the same way?</t>
  </si>
  <si>
    <t>What Goldman Sachs CEO is also an alumni of the University of Chicago?</t>
  </si>
  <si>
    <t>When did Astor provide the money?</t>
  </si>
  <si>
    <t>own more than half of the global wealth by 2016</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</si>
  <si>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</si>
  <si>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difficult for predators to evolve that could specialize as predators on Magicicadas</t>
  </si>
  <si>
    <t>What was the advantage that the LOR method produced in the event of a spacecraft failure?</t>
  </si>
  <si>
    <t>What is the force between two locations related to?</t>
  </si>
  <si>
    <t>primary</t>
  </si>
  <si>
    <t>Seattle Seahawks</t>
  </si>
  <si>
    <t>How many Doctor Who soundtracks have been released since 2005?</t>
  </si>
  <si>
    <t>black jerseys with silver pants.</t>
  </si>
  <si>
    <t>Administrator Webb realized that in order to keep Apollo costs under control, he had to develop greater project management skills in his organization, so he recruited Dr. George E. Mueller for a high management job. Mueller accepted, on the condition that he have a say in NASA reorganization necessary to effectively administer Apollo. Webb then worked with Associate Administrator (later Deputy Administrator) Robert Seamans to reorganize the Office of Manned Space Flight (OMSF). On July 23, 1963, Webb announced Mueller's appointment as Deputy Associate Administrator for Manned Space Flight, to replace then Associate Administrator D. Brainerd Holmes on his retirement effective September 1. Under Webb's reorganization, the directors of the Manned Spacecraft Center (Gilruth) Marshall Space Flight Center (von Braun) and the Launch Operations Center (Debus) effectively reported to Mueller.</t>
  </si>
  <si>
    <t>scorpion venom</t>
  </si>
  <si>
    <t>The Victoria and Albert Museum’s Word and Image Department was under the same pressure being felt in archives around the world, to digitize their collection. A large scale digitization project began in 2007 in that department. That project was entitled the Factory Project to reference Andy Warhol and to create a factory to completely digitize the collection. The first step of the Factory Project was to take photographs utilizing digital cameras. The Word and Image Department had a collection of old photos but they were in black and white and in variant conditions, so new photos were shot. Those new photographs will be accessible to researchers to the Victoria and Albert Museum web-site. 15,000 images were taken during the first year of the Factory Project, including drawings, watercolors, computer-generated art, photographs, posters, and woodcuts. The second step of the Factory Project is to catalog everything. The third step of the Factory Project is to audit the collection. All of those items which were photographed and cataloged, must be audited to make sure everything listed as being in the collection was physically found during the creation of the Factory Project. The fourth goal of the Factory Project is conservation, which means performing some basic preventable procedures to those items in the department. There is a "Search the Collections" feature on the Victoria and Albert web-site. The main impetus behind the large-scale digitization project called the Factory Project was to list more items in the collections in those computer databases.</t>
  </si>
  <si>
    <t>Which State Route has been in discussion to upgrade to interstate standards?</t>
  </si>
  <si>
    <t>when they would be married, and to whom</t>
  </si>
  <si>
    <t>complete the basic course and one advanced lay servant course,</t>
  </si>
  <si>
    <t>What type of compounds does oxygen most commonly form?</t>
  </si>
  <si>
    <t>How much weight could the Saturn IB send into space with this amount of thrust?</t>
  </si>
  <si>
    <t>26 seconds off the modern Gregorian calendar</t>
  </si>
  <si>
    <t>If Roman numerals were used in the naming of the 50th Super Bowl, which one would have been used?</t>
  </si>
  <si>
    <t>to avoid being targeted by the boycott</t>
  </si>
  <si>
    <t>115.7 metres</t>
  </si>
  <si>
    <t>All My Children and One Life to Live</t>
  </si>
  <si>
    <t>politically and socially unstable</t>
  </si>
  <si>
    <t>In April 1191 Richard the Lion-hearted left Messina with a large fleet in order to reach Acre. But a storm dispersed the fleet. After some searching, it was discovered that the boat carrying his sister and his fiancée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</si>
  <si>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What followed The Late Show with Stephen Colbert?</t>
  </si>
  <si>
    <t>well logs</t>
  </si>
  <si>
    <t>Thursday</t>
  </si>
  <si>
    <t>Who hired Tesla in New York?</t>
  </si>
  <si>
    <t>100 billion dollars</t>
  </si>
  <si>
    <t>the housing bubble</t>
  </si>
  <si>
    <t>What is the Roman numeral for 50?</t>
  </si>
  <si>
    <t>Jazdów</t>
  </si>
  <si>
    <t>herring barrels</t>
  </si>
  <si>
    <t>How did Der Sturmer describe Luther's On the Jews and their Lies</t>
  </si>
  <si>
    <t>授時暦</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</si>
  <si>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</si>
  <si>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</si>
  <si>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What does oxidative phosphorylation do?</t>
  </si>
  <si>
    <t>An igneous rock is a rock that crystallizes from what?</t>
  </si>
  <si>
    <t>anointing with oil</t>
  </si>
  <si>
    <t>75,000 to 100,000</t>
  </si>
  <si>
    <t>What special was created for the show's 30th anniversary?</t>
  </si>
  <si>
    <t>Greek</t>
  </si>
  <si>
    <t>Sultan Muhammad</t>
  </si>
  <si>
    <t>What resolution were the cameras increased to for the game?</t>
  </si>
  <si>
    <t>When did Tesla move to New York City?</t>
  </si>
  <si>
    <t>money from foreign Islamist banking systems</t>
  </si>
  <si>
    <t>1720 in Marseille.</t>
  </si>
  <si>
    <t>Henry Plitt</t>
  </si>
  <si>
    <t>The UMC maintains that war is incompatible with what?</t>
  </si>
  <si>
    <t>What was the name of the character known as the Time Lady?</t>
  </si>
  <si>
    <t>What is the highest court in European Union law?</t>
  </si>
  <si>
    <t>How do competing businesses attract workers?</t>
  </si>
  <si>
    <t>the Keraite</t>
  </si>
  <si>
    <t>How far do the wildebeest migrate searching for food and water?</t>
  </si>
  <si>
    <t>What school did he enroll in during 1875?</t>
  </si>
  <si>
    <t>What health problem did Tesla have in 1879?</t>
  </si>
  <si>
    <t>What church in Virginia is maintained by Huguenots as a historic shrine?</t>
  </si>
  <si>
    <t>What was the first series to be televised in color on ABC?</t>
  </si>
  <si>
    <t>his arrest</t>
  </si>
  <si>
    <t>noir thriller</t>
  </si>
  <si>
    <t>£15–100,000</t>
  </si>
  <si>
    <t>Đuka Tesla</t>
  </si>
  <si>
    <t>Bedau notes that illegal protests towards public policy may serve as what purpose?</t>
  </si>
  <si>
    <t>Sieur de La Salle had explored the Ohio Country nearly a century earlier</t>
  </si>
  <si>
    <t>Rheinbrech</t>
  </si>
  <si>
    <t>definitions of time and space complexity</t>
  </si>
  <si>
    <t>What type of ideals generalize prime elements?</t>
  </si>
  <si>
    <t>In 1227, Genghis Khan's army attacked and destroyed the Tangut capital of Ning Hia and continued to advance, seizing Lintiao-fu, Xining province, Xindu-fu, and Deshun province in quick succession in the spring. At Deshun, the Tangut general Ma Jianlong put up a fierce resistance for several days and personally led charges against the invaders outside the city gate. Ma Jianlong later died from wounds received from arrows in battle. Genghis Khan, after conquering Deshun, went to Liupanshan (Qingshui County, Gansu Province) to escape the severe summer. The new Tangut emperor quickly surrendered to the Mongols, and the rest of the Tanguts officially surrendered soon after. Not happy with their betrayal and resistance, Genghis Khan ordered the entire imperial family to be executed, effectively ending the Tangut lineage.</t>
  </si>
  <si>
    <t>45 minutes</t>
  </si>
  <si>
    <t>In 2013-14, NBC finished behind what network in the ratings?</t>
  </si>
  <si>
    <t>For what nation did Ribault initially claim what is now Jacksonville?</t>
  </si>
  <si>
    <t>Which branch of the EU has had the most influence on the development of EU law?</t>
  </si>
  <si>
    <t>the First Minister</t>
  </si>
  <si>
    <t>Vicodin, generically known as hydrocodone</t>
  </si>
  <si>
    <t>All of ABC's owned-and-operated stations and affiliates have had their own facilities and studios, but transverse entities have been created to produce national programming. As a result, television series were produced by ABC Circle Films beginning in 1962 and by Touchstone Television beginning in 1985, before Touchstone was reorganized as ABC Studios in February 2007. Since the 1950s, ABC has had two main production facilities: the ABC Television Center (now The Prospect Studios) on Prospect Avenue in Hollywood, California, shared with the operations of KABC-TV until 1999; and the ABC Television Center, East, a set of studios located throughout the New York City.</t>
  </si>
  <si>
    <t>Because the operations of the armed forces have been traditionally cloaked by the ubiquitous blanket of “state security”</t>
  </si>
  <si>
    <t>a luncheon in his honor</t>
  </si>
  <si>
    <t>unincorporated suburbs</t>
  </si>
  <si>
    <t>What are two examples of primitive jawless vertebrates?</t>
  </si>
  <si>
    <t>ABC began to focus on what kind of series after NBC's success in 1984?</t>
  </si>
  <si>
    <t>at larger distances.</t>
  </si>
  <si>
    <t>When was the last plague outbreak?</t>
  </si>
  <si>
    <t>authorities</t>
  </si>
  <si>
    <t>How did the Better Jacksonville Plan generate money?</t>
  </si>
  <si>
    <t>National Defence University</t>
  </si>
  <si>
    <t>in the 10th and 11th centuries</t>
  </si>
  <si>
    <t>In the year 2000 how many square kilometres of the Amazon forest had been lost?</t>
  </si>
  <si>
    <t>Gaussian integers Z[i],</t>
  </si>
  <si>
    <t>By the opening of the 2008 General Conference, total UMC membership was estimated at 11.4 million, with about 7.9 million in the U.S. and 3.5 million overseas. Significantly, about 20% of the conference delegates were from Africa, with Filipinos and Europeans making up another 10%. During the conference, the delegates voted to finalize the induction of the Methodist Church of the Ivory Coast and its 700,000 members into the denomination. Given current trends in the UMC—with overseas churches growing, especially in Africa, and U.S. churches collectively losing about 1,000 members a week—it has been estimated that Africans will make up at least 30% of the delegates at the 2012 General Conference, and it is also possible that 40% of the delegates will be from outside the U.S. One Congolese bishop has estimated that typical Sunday attendance of the UMC is higher in his country than in the entire United States.</t>
  </si>
  <si>
    <t>quantum mechanics</t>
  </si>
  <si>
    <t>What was the occasion for the boat demonstration?</t>
  </si>
  <si>
    <t>higher economic inequality</t>
  </si>
  <si>
    <t>forced Tesla out leaving him penniless</t>
  </si>
  <si>
    <t>also known in English as Amazonia or the Amazon Jungle,</t>
  </si>
  <si>
    <t>he dropped out of school</t>
  </si>
  <si>
    <t>religious</t>
  </si>
  <si>
    <t>Who was RCA president in 1942?</t>
  </si>
  <si>
    <t>Knight Ridder</t>
  </si>
  <si>
    <t>Licensed Local Pastor</t>
  </si>
  <si>
    <t>Political</t>
  </si>
  <si>
    <t>Whose chandelier grace the rotunda at the V&amp;A's main entrance?</t>
  </si>
  <si>
    <t>René Lalique</t>
  </si>
  <si>
    <t>What exchange in Warsaw is one of the most important for Central and Eastern Europe?</t>
  </si>
  <si>
    <t>the least onerous</t>
  </si>
  <si>
    <t>Waterlogged roots</t>
  </si>
  <si>
    <t>What body part did Thomas Davis break during the NFC Championship Game?</t>
  </si>
  <si>
    <t>fourteen points</t>
  </si>
  <si>
    <t>Texas</t>
  </si>
  <si>
    <t>granted the Huguenots substantial religious, political and military autonomy</t>
  </si>
  <si>
    <t>Lower Lorraine</t>
  </si>
  <si>
    <t>What university alumni member was known for his work on portfolio theory?</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</si>
  <si>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</si>
  <si>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pathogen attack</t>
  </si>
  <si>
    <t>What department store is thought to be the first in the world?</t>
  </si>
  <si>
    <t>a larger challenge to the legal system</t>
  </si>
  <si>
    <t>1928-1933</t>
  </si>
  <si>
    <t>The Rhine (Romansh: Rein, German: Rhein, French: le Rhin, Dutch: Rijn) is a European river that begins in the Swiss canton of Graubünden in the southeastern Swiss Alps, forms part of the Swiss-Austrian, Swiss-Liechtenstein border, Swiss-German and then the Franco-German border, then flows through the Rhineland and eventually empties into the North Sea in the Netherlands. The biggest city on the river Rhine is Cologne, Germany with a population of more than 1,050,000 people. It is the second-longest river in Central and Western Europe (after the Danube), at about 1,230 km (760 mi),[note 2][note 1] with an average discharge of about 2,900 m3/s (100,000 cu ft/s).</t>
  </si>
  <si>
    <t>What percentage of the vote for a Scottish Assembly in favor of it?</t>
  </si>
  <si>
    <t>7 February 2009</t>
  </si>
  <si>
    <t>Cilia can g ow up too what length?</t>
  </si>
  <si>
    <t>its role in photosynthesis</t>
  </si>
  <si>
    <t>around 10 billion barrels.</t>
  </si>
  <si>
    <t>The Judiciary</t>
  </si>
  <si>
    <t>nonviolent resistance</t>
  </si>
  <si>
    <t>Many Han Chinese and Khitan defected to the Mongols to fight against the Jin. Two Han Chinese leaders, Shi Tianze, Liu Heima (劉黑馬, Liu Ni), and the Khitan Xiao Zhala (蕭札剌) defected and commanded the 3 Tumens in the Mongol army. Liu Heima and Shi Tianze served Ogödei Khan. Liu Heima and Shi Tianxiang led armies against Western Xia for the Mongols. There were 4 Han Tumens and 3 Khitan Tumens, with each Tumen consisting of 10,000 troops. The three Khitan Generals Shimobeidier (石抹孛迭兒), Tabuyir (塔不已兒) and Xiaozhacizhizizhongxi (蕭札刺之子重喜) commanded the three Khitan Tumens and the four Han Generals Zhang Rou, Yan Shi, Shi Tianze, and Liu Heima commanded the four Han tumens under Ogödei Khan.</t>
  </si>
  <si>
    <t>pure speech</t>
  </si>
  <si>
    <t>ABC Inc.</t>
  </si>
  <si>
    <t>"new converts"</t>
  </si>
  <si>
    <t>136,000 square kilometres</t>
  </si>
  <si>
    <t>Who designed the new Medieval and Renaissance galleries which opened in 2009?</t>
  </si>
  <si>
    <t>the oxygen cycle</t>
  </si>
  <si>
    <t>The use of remote sensing for the conservation of the Amazon is also being used by the indigenous tribes of the basin to protect their tribal lands from commercial interests. Using handheld GPS devices and programs like Google Earth, members of the Trio Tribe, who live in the rainforests of southern Suriname, map out their ancestral lands to help strengthen their territorial claims. Currently, most tribes in the Amazon do not have clearly defined boundaries, making it easier for commercial ventures to target their territories.</t>
  </si>
  <si>
    <t>Pictish tribes</t>
  </si>
  <si>
    <t>1759-60</t>
  </si>
  <si>
    <t>reduced rainfall and increased temperatures</t>
  </si>
  <si>
    <t>Which museum would receive items on loans from the Musical Instruments gallery?</t>
  </si>
  <si>
    <t xml:space="preserve">What is Donald Davies credited with </t>
  </si>
  <si>
    <t>What had to happen to each mission before they would continue on to the next mission?</t>
  </si>
  <si>
    <t>post-classical sculpture</t>
  </si>
  <si>
    <t>the Mexico–United States border</t>
  </si>
  <si>
    <t>means to invest</t>
  </si>
  <si>
    <t>innate immune system</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</si>
  <si>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</si>
  <si>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What was roaring as Newcastle was stormed?</t>
  </si>
  <si>
    <t>the Swynnerton Plan, which was used to both reward loyalists and punish Mau Mau.</t>
  </si>
  <si>
    <t>Another important role of the immune system is to identify and eliminate tumors. This is called immune surveillance. The transformed cells of tumors express antigens that are not found on normal cells. To the immune system, these antigens appear foreign, and their presence causes immune cells to attack the transformed tumor cells. The antigens expressed by tumors have several sources; some are derived from oncogenic viruses like human papillomavirus, which causes cervical cancer, while others are the organism's own proteins that occur at low levels in normal cells but reach high levels in tumor cells. One example is an enzyme called tyrosinase that, when expressed at high levels, transforms certain skin cells (e.g. melanocytes) into tumors called melanomas. A third possible source of tumor antigens are proteins normally important for regulating cell growth and survival, that commonly mutate into cancer inducing molecules called oncogenes.</t>
  </si>
  <si>
    <t>When are the ashes now?</t>
  </si>
  <si>
    <t>citizen's</t>
  </si>
  <si>
    <t>over 232</t>
  </si>
  <si>
    <t>What did Luther state he would not exchange for his life with his wife?</t>
  </si>
  <si>
    <t>What was a major success, especially in rebuilding Warsaw?</t>
  </si>
  <si>
    <t>a proper legal basis</t>
  </si>
  <si>
    <t>What type of relationships do enthusiastic teachers cause?</t>
  </si>
  <si>
    <t>In contrast to product requirements or other laws that hinder market access, the Court of Justice developed a presumption that "selling arrangements" would be presumed to not fall into TFEU article 34, if they applied equally to all sellers, and affected them in the same manner in fact. In Keck and Mithouard two importers claimed that their prosecution under a French competition law, which prevented them selling Picon beer under wholesale price, was unlawful. The aim of the law was to prevent cut throat competition, not to hinder trade. The Court of Justice held, as "in law and in fact" it was an equally applicable "selling arrangement" (not something that alters a product's content) it was outside the scope of article 34, and so did not need to be justified. Selling arrangements can be held to have an unequal effect "in fact" particularly where traders from another member state are seeking to break into the market, but there are restrictions on advertising and marketing. In Konsumentombudsmannen v De Agostini the Court of Justice reviewed Swedish bans on advertising to children under age 12, and misleading commercials for skin care products. While the bans have remained (justifiable under article 36 or as a mandatory requirement) the Court emphasised that complete marketing bans could be disproportionate if advertising were "the only effective form of promotion enabling [a trader] to penetrate" the market. In Konsumentombudsmannen v Gourmet AB the Court suggested that a total ban for advertising alcohol on the radio, TV and in magazines could fall within article 34 where advertising was the only way for sellers to overcome consumers' "traditional social practices and to local habits and customs" to buy their products, but again the national courts would decide whether it was justified under article 36 to protect public health. Under the Unfair Commercial Practices Directive, the EU harmonised restrictions on restrictions on marketing and advertising, to forbid conduct that distorts average consumer behaviour, is misleading or aggressive, and sets out a list of examples that count as unfair. Increasingly, states have to give mutual recognition to each other's standards of regulation, while the EU has attempted to harmonise minimum ideals of best practice. The attempt to raise standards is hoped to avoid a regulatory "race to the bottom", while allowing consumers access to goods from around the continent.</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</si>
  <si>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André Lortie), a leading Huguenot theologian and writer who led the exiled community in London, became known for articulating their criticism of the Pope and the doctrine of transubstantiation during Mass.</t>
  </si>
  <si>
    <t>What is another word for the Earth's upper mantle?</t>
  </si>
  <si>
    <t>When was Luther  called by von Staupitz to Wittenberg?</t>
  </si>
  <si>
    <t>Who claims that public companies can also be part of civil disobedience?</t>
  </si>
  <si>
    <t>Members of the United Methodist Church</t>
  </si>
  <si>
    <t>signal amplification</t>
  </si>
  <si>
    <t>Kevin Harlan</t>
  </si>
  <si>
    <t>In 1735</t>
  </si>
  <si>
    <t>arbitrary graph</t>
  </si>
  <si>
    <t>25 May 1521</t>
  </si>
  <si>
    <t>What did he believe the ether did?</t>
  </si>
  <si>
    <t>plead guilty to one misdemeanor count and receive no jail time</t>
  </si>
  <si>
    <t>How does inequality prevent growth?</t>
  </si>
  <si>
    <t>How much does 17.7% of the population live on a day?</t>
  </si>
  <si>
    <t>What individual is the school named after?</t>
  </si>
  <si>
    <t>Where did France lose a war in the 1950's?</t>
  </si>
  <si>
    <t>visions</t>
  </si>
  <si>
    <t>horses</t>
  </si>
  <si>
    <t>Middle East.</t>
  </si>
  <si>
    <t>format of the congress and many specifics of the plan became the prototype for confederation during the War of Independence</t>
  </si>
  <si>
    <t>a form of starch</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</si>
  <si>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</si>
  <si>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his granddaughter</t>
  </si>
  <si>
    <t xml:space="preserve">What was the result of the 2007 election? </t>
  </si>
  <si>
    <t>main hymn</t>
  </si>
  <si>
    <t>Sundays</t>
  </si>
  <si>
    <t>they produce secretions (ink) that luminesce</t>
  </si>
  <si>
    <t>Terry Nation</t>
  </si>
  <si>
    <t>cicadas</t>
  </si>
  <si>
    <t>What does a teacher need to be with regards to their subject matter?</t>
  </si>
  <si>
    <t>What is the eukaryotic parasite responsible for malaria known as?</t>
  </si>
  <si>
    <t>system to power the city's streetcars</t>
  </si>
  <si>
    <t>What law staes that forces are interactions between bodies?</t>
  </si>
  <si>
    <t>How many paid holiday days do most member states require?</t>
  </si>
  <si>
    <t>What kind of death did Luther say the revolting peasants deserve?</t>
  </si>
  <si>
    <t>a genuine love of God with heart, soul, mind, and strength, and a genuine love of our neighbors as ourselves</t>
  </si>
  <si>
    <t>DVB-compliant MPEG-2</t>
  </si>
  <si>
    <t>What device was one of the first to aid a controversy?</t>
  </si>
  <si>
    <t>Great Elector Frederick William</t>
  </si>
  <si>
    <t>How old most a person be to apply to be an MSP?</t>
  </si>
  <si>
    <t>the Rhind papyrus</t>
  </si>
  <si>
    <t>third largest</t>
  </si>
  <si>
    <t>10.0%</t>
  </si>
  <si>
    <t>William S. Paley</t>
  </si>
  <si>
    <t>Death Wish Coffee</t>
  </si>
  <si>
    <t>the d'Hondt method</t>
  </si>
  <si>
    <t>Muslims</t>
  </si>
  <si>
    <t>over 200</t>
  </si>
  <si>
    <t>salvation by God's grace</t>
  </si>
  <si>
    <t>deterministic Turing machine</t>
  </si>
  <si>
    <t>a High Sheriff and one of the founders of the Bank of Ireland</t>
  </si>
  <si>
    <t>Who did internet2 partner with</t>
  </si>
  <si>
    <t>Which fault can produce a magnitude earthquake of 8.0?</t>
  </si>
  <si>
    <t>expected to become more integral within the health care system</t>
  </si>
  <si>
    <t>cell which contains chloroplasts</t>
  </si>
  <si>
    <t>allowing the lander spacecraft to be used as a "lifeboat</t>
  </si>
  <si>
    <t>What kind of data did ABC begin using in the 1970s to better target ads and programming for certain audiences?</t>
  </si>
  <si>
    <t>When was the regime in Pakistan overthrown by General Zia-ul-Haq?</t>
  </si>
  <si>
    <t>What did Tesla dress in while in Tominaj?</t>
  </si>
  <si>
    <t>architectural</t>
  </si>
  <si>
    <t>Margarethe von der Saale</t>
  </si>
  <si>
    <t>What type of process is the oxygen cycle?</t>
  </si>
  <si>
    <t xml:space="preserve">What delivery message was used </t>
  </si>
  <si>
    <t>necessity rather than opportunity</t>
  </si>
  <si>
    <t>Who makes up the Student Government?</t>
  </si>
  <si>
    <t>Utopia</t>
  </si>
  <si>
    <t>a pastor</t>
  </si>
  <si>
    <t>TVNZ</t>
  </si>
  <si>
    <t>thylakoids and intermembrane space</t>
  </si>
  <si>
    <t>two official bodies of the United Methodist Church</t>
  </si>
  <si>
    <t>89 Liberty Street in Manhattan</t>
  </si>
  <si>
    <t>turbine casing</t>
  </si>
  <si>
    <t>10.</t>
  </si>
  <si>
    <t>Where did Tesla and Twain hang out?</t>
  </si>
  <si>
    <t>Newcastle has a horse racing course at Gosforth Park. The city is also home to the Newcastle Eagles basketball team who play their home games at the new Sport Central complex at Northumbria University. The Eagles are the most successful team in the history of the British Basketball League (BBL). The city's speedway team Newcastle Diamonds are based at Brough Park in Byker, a venue that is also home to greyhound racing. Newcastle also hosts the start of the annual Great North Run, the world's largest half-marathon in which participants race over the Tyne Bridge into Gateshead and then towards the finish line 13.1 miles (21.1 km) away on the coast at South Shields. Another famous athletic event is the 5.9-mile (9.5 km) Blaydon Race (a road race from Newcastle to Blaydon), which has taken place on 9 June annually since 1981, to commemorate the celebrated Blaydon Races horse racing.</t>
  </si>
  <si>
    <t>How much did Saudi Arabia spend on spreading Wahhabism?</t>
  </si>
  <si>
    <t>In 1881, Tesla moved to Budapest to work under Ferenc Puskás at a telegraph company, the Budapest Telephone Exchange. Upon arrival, Tesla realized that the company, then under construction, was not functional, so he worked as a draftsman in the Central Telegraph Office instead. Within a few months, the Budapest Telephone Exchange became functional and Tesla was allocated the chief electrician position. During his employment, Tesla made many improvements to the Central Station equipment and claimed to have perfected a telephone repeater or amplifier, which was never patented nor publicly described.</t>
  </si>
  <si>
    <t>July 31, 1995</t>
  </si>
  <si>
    <t>the Seattle Seahawks</t>
  </si>
  <si>
    <t>900,000</t>
  </si>
  <si>
    <t>meeting of the Church's General Assembly</t>
  </si>
  <si>
    <t>fourth</t>
  </si>
  <si>
    <t>world revolution.</t>
  </si>
  <si>
    <t>less than two percent per year</t>
  </si>
  <si>
    <t>The merger between ITT and ABC was suspended after a complaint was filed by whom in July 1967?</t>
  </si>
  <si>
    <t>variant of German spoken at the Saxon chancellery,</t>
  </si>
  <si>
    <t>What was the main idea of James Hutton's paper?</t>
  </si>
  <si>
    <t>What is important for a teacher to enjoy?</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</si>
  <si>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</si>
  <si>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it can fertilize its own egg</t>
  </si>
  <si>
    <t>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t>
  </si>
  <si>
    <t>College</t>
  </si>
  <si>
    <t>Some theories developed in the 1970s established possible avenues through which inequality may have a positive effect on economic development. According to a 1955 review, savings by the wealthy, if these increase with inequality, were thought to offset reduced consumer demand. A 2013 report on Nigeria suggests that growth has risen with increased income inequality. Some theories popular from the 1950s to 2011 incorrectly stated that inequality had a positive effect on economic development. Analyses based on comparing yearly equality figures to yearly growth rates were misleading because it takes several years for effects to manifest as changes to economic growth. IMF economists found a strong association between lower levels of inequality in developing countries and sustained periods of economic growth. Developing countries with high inequality have "succeeded in initiating growth at high rates for a few years" but "longer growth spells are robustly associated with more equality in the income distribution."</t>
  </si>
  <si>
    <t>human cosmonauts</t>
  </si>
  <si>
    <t>1338–39</t>
  </si>
  <si>
    <t>Linux</t>
  </si>
  <si>
    <t>What is the minimum distance between a patient's home and the nearest pharmacy that allows a physician in Austria to give out medicine?</t>
  </si>
  <si>
    <t>What is justifying grace also known as today?</t>
  </si>
  <si>
    <t>social unrest</t>
  </si>
  <si>
    <t>a personal concept, and not subject to law or interference</t>
  </si>
  <si>
    <t>Jan Andrzej Menich</t>
  </si>
  <si>
    <t>San Joaquin Light &amp; Power Building</t>
  </si>
  <si>
    <t>trade liberalisation</t>
  </si>
  <si>
    <t>Firstly, certain costs are difficult to avoid and are shared by everyone, such as the costs of housing, pensions, education and health care. If the state does not provide these services, then for those on lower incomes, the costs must be borrowed and often those on lower incomes are those who are worse equipped to manage their finances. Secondly, aspirational consumption describes the process of middle income earners aspiring to achieve the standards of living enjoyed by their wealthier counterparts and one method of achieving this aspiration is by taking on debt. The result leads to even greater inequality and potential economic instability.</t>
  </si>
  <si>
    <t>What was the name of the wife arranged for Temüjin by his father?</t>
  </si>
  <si>
    <t>Which president ended the Emergency Energy Conservation Act?</t>
  </si>
  <si>
    <t xml:space="preserve">What is the colloquial phrase used to convey the continuum of algorithms with unlimited availability irrespective of time? </t>
  </si>
  <si>
    <t>governing body for pharmacy health care professionals</t>
  </si>
  <si>
    <t>Gymnasium</t>
  </si>
  <si>
    <t>Cyanobacteria</t>
  </si>
  <si>
    <t>was lost in the 5th Avenue laboratory fire of March 1895</t>
  </si>
  <si>
    <t>cryptophyte</t>
  </si>
  <si>
    <t>Which retired ref disagreed with the outcome of the challenge of a incomplete pass?</t>
  </si>
  <si>
    <t>Inner Mongolia region</t>
  </si>
  <si>
    <t>"Southwest Fresno"</t>
  </si>
  <si>
    <t>Who was the leader when the Franks entered the Euphrates valley?</t>
  </si>
  <si>
    <t>What is the name of the third, permanent Huguenot church in New Rochelle?</t>
  </si>
  <si>
    <t>rainfall</t>
  </si>
  <si>
    <t>Almost all species are hermaphrodites, in other words they function as both males and females at the same time – except that in two species of the genus Ocryopsis individuals remain of the same single sex all their lives. The gonads are located in the parts of the internal canal network under the comb rows, and eggs and sperm are released via pores in the epidermis. Fertilization is external in most species, but platyctenids use internal fertilization and keep the eggs in brood chambers until they hatch. Self-fertilization has occasionally been seen in species of the genus Mnemiopsis, and it is thought that most of the hermaphroditic species are self-fertile.</t>
  </si>
  <si>
    <t>Islamic Group</t>
  </si>
  <si>
    <t>geomorphologic</t>
  </si>
  <si>
    <t>John Houghton</t>
  </si>
  <si>
    <t>largest</t>
  </si>
  <si>
    <t>Time Warner Cable</t>
  </si>
  <si>
    <t>Zaha Hadid</t>
  </si>
  <si>
    <t>BBC 1</t>
  </si>
  <si>
    <t>six to nine percent</t>
  </si>
  <si>
    <t>Scientists disagree with how the Amazon rainforest changed over time with some arguing that it was reduced to isolated refugia seperated by what?</t>
  </si>
  <si>
    <t>vitamin D.</t>
  </si>
  <si>
    <t>What was another possible reason that Tesla and Edison did not get the award?.</t>
  </si>
  <si>
    <t>Mandatory Committees</t>
  </si>
  <si>
    <t>63 days</t>
  </si>
  <si>
    <t>a water-cooled undergarment</t>
  </si>
  <si>
    <t>What did Germanic tribes establish with help from the Rhine?</t>
  </si>
  <si>
    <t>the people</t>
  </si>
  <si>
    <t>growing quickly</t>
  </si>
  <si>
    <t>tool of the devil,</t>
  </si>
  <si>
    <t>What does less education lead to when working?</t>
  </si>
  <si>
    <t>1745</t>
  </si>
  <si>
    <t>AUSTPAC was an Australian public X.25 network operated by Telstra. Started by Telecom Australia in the early 1980s, AUSTPAC was Australia's first public packet-switched data network, supporting applications such as on-line betting, financial applications — the Australian Tax Office made use of AUSTPAC — and remote terminal access to academic institutions, who maintained their connections to AUSTPAC up until the mid-late 1990s in some cases. Access can be via a dial-up terminal to a PAD, or, by linking a permanent X.25 node to the network.[citation needed]</t>
  </si>
  <si>
    <t>more fundamental electroweak interaction.</t>
  </si>
  <si>
    <t>What do we call the empire that Genghis Khan founded?</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</si>
  <si>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d'état.</t>
  </si>
  <si>
    <t>backing</t>
  </si>
  <si>
    <t>In the Sandgate area, to the east of the city and beside the river, resided the close-knit community of keelmen and their families. They were so called because they worked on the keels, boats that were used to transfer coal from the river banks to the waiting colliers, for export to London and elsewhere. In the 1630s about 7,000 out of 20,000 inhabitants of Newcastle died of plague, more than one-third of the population. Specifically within the year 1636, it is roughly estimated with evidence held by the Society of Antiquaries that 47% of the then population of Newcastle died from the epidemic; this may also have been the most devastating loss in any British City in this period.</t>
  </si>
  <si>
    <t>What is tertiary endosymbiosis of haptophyte chloroplasts expected to create?</t>
  </si>
  <si>
    <t>What did he light at his laboratories to demonstrate his wireless power transmission?</t>
  </si>
  <si>
    <t>1519</t>
  </si>
  <si>
    <t>Genghis Khan was aware of the friction between his sons (particularly between Chagatai and Jochi) and worried of possible conflict between them if he died. He therefore decided to divide his empire among his sons and make all of them Khan in their own right, while appointing one of his sons as his successor. Chagatai was considered unstable due to his temper and rash behavior, because of statements he made that he would not follow Jochi if he were to become his father's successor. Tolui, Genghis Khan's youngest son, was not to be his successor because he was the youngest and in the Mongol culture, youngest sons were not given much responsibility due to their age. If Jochi were to become successor, it was likely that Chagatai would engage in warfare with him and collapse the empire. Therefore, Genghis Khan decided to give the throne to Ögedei. Ögedei was seen by Genghis Khan as dependable in character and relatively stable and down to earth and would be a neutral candidate and might defuse the situation between his brothers.</t>
  </si>
  <si>
    <t>What is the name of the Latin translation of Dioscorides' book?</t>
  </si>
  <si>
    <t>There are conflicting views of Genghis Khan in the People's Republic of China with some viewing him positively in the Inner Mongolia region where there are a monument and buildings about him and where there is a considerable number of Mongols in the area with a population of around 5 million, almost twice the population of Mongolia. While Genghis Khan never conquered all of China, his grandson Kublai Khan completed that conquest and established the Yuan dynasty that is often credited with re-uniting China. There has been much artwork and literature praising Genghis as a great military leader and political genius. The years of the Mongol-established Yuan dynasty left an indelible imprint on Chinese political and social structures for subsequent generations with literature during the Jin dynasty relatively fewer. In general the legacy of Genghis Khan and his successors, who completed the conquest of China after 65 years of struggle, remains a mixed topic.[citation needed]</t>
  </si>
  <si>
    <t>energy content</t>
  </si>
  <si>
    <t>steadily increased</t>
  </si>
  <si>
    <t>Who sets the legislative agenda in Victoria?</t>
  </si>
  <si>
    <t>its use of violence</t>
  </si>
  <si>
    <t>1097</t>
  </si>
  <si>
    <t>The sieve of Eratosthenes would not be valid if what were true?</t>
  </si>
  <si>
    <t>primorial primes</t>
  </si>
  <si>
    <t>What problem did some tree ring data have?</t>
  </si>
  <si>
    <t>Peter Davison, Colin Baker, Sylvester McCoy and Paul McGann</t>
  </si>
  <si>
    <t>Which species eggs are fertilized and kept inside the parents body until hatched?</t>
  </si>
  <si>
    <t>anaerobic bacteria</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</si>
  <si>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</si>
  <si>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Emperor Charles V</t>
  </si>
  <si>
    <t>collenchyma tissue</t>
  </si>
  <si>
    <t>Which group keep the eggs are fertilized and kept inside the parent's body until they hatch?</t>
  </si>
  <si>
    <t>Gods of Egypt</t>
  </si>
  <si>
    <t>recover market share</t>
  </si>
  <si>
    <t>his birthtown, Smiljan</t>
  </si>
  <si>
    <t>in late antiquity</t>
  </si>
  <si>
    <t>What is a secondary goal of pleading not guilty?</t>
  </si>
  <si>
    <t>Richard the Lion-Heart</t>
  </si>
  <si>
    <t>street cars</t>
  </si>
  <si>
    <t>What is the largest city of Poland?</t>
  </si>
  <si>
    <t>Instability troubled the early years of Kublai Khan's reign. Ogedei's grandson Kaidu refused to submit to Kublai and threatened the western frontier of Kublai's domain. The hostile but weakened Song dynasty remained an obstacle in the south. Kublai secured the northeast border in 1259 by installing the hostage prince Wonjong as the ruler of Korea, making it a Mongol tributary state. Kublai was also threatened by domestic unrest. Li Tan, the son-in-law of a powerful official, instigated a revolt against Mongol rule in 1262. After successfully suppressing the revolt, Kublai curbed the influence of the Han Chinese advisers in his court. He feared that his dependence on Chinese officials left him vulnerable to future revolts and defections to the Song.</t>
  </si>
  <si>
    <t>punts.</t>
  </si>
  <si>
    <t>In which year did the newspaper define southern California?</t>
  </si>
  <si>
    <t>decision problems</t>
  </si>
  <si>
    <t>its chloroplast, and sometimes its cell membrane and nucleus</t>
  </si>
  <si>
    <t>sometimes the eaten alga's cell membrane, and the phagosomal vacuole from the host's cell membrane</t>
  </si>
  <si>
    <t>What sacrament accords Christians renewed life?</t>
  </si>
  <si>
    <t>high risk of a conflict of interest</t>
  </si>
  <si>
    <t>1543</t>
  </si>
  <si>
    <t>Some species of beroe have a pair of strips of adhesive cells on the stomach wall. What does it do?</t>
  </si>
  <si>
    <t>How many types of science fiction have been impacted by Tesla?</t>
  </si>
  <si>
    <t>David Sarnoff</t>
  </si>
  <si>
    <t>Muhammad ibn Zakarīya Rāzi</t>
  </si>
  <si>
    <t>During the mid-Eocene, it is believed that the drainage basin of the Amazon was split along the middle of the continent by the Purus Arch.</t>
  </si>
  <si>
    <t>Where can you find more information on a country's practices?</t>
  </si>
  <si>
    <t>Omnicare, Kindred Healthcare and PharMerica</t>
  </si>
  <si>
    <t>St. Lawrence and Mississippi</t>
  </si>
  <si>
    <t>What is the oldest Methodist church in continuous use in the United States?</t>
  </si>
  <si>
    <t>fluid inclusion data</t>
  </si>
  <si>
    <t>Apostles' Creed</t>
  </si>
  <si>
    <t>ensure that ignition sources are minimized</t>
  </si>
  <si>
    <t>Where do ctenophora live?</t>
  </si>
  <si>
    <t>What declaration predicated the emigration of Huguenot refugees?</t>
  </si>
  <si>
    <t>unreliable datagrams and associated end-to-end protocol mechanisms</t>
  </si>
  <si>
    <t>with common rules for coal and steel</t>
  </si>
  <si>
    <t>Doctorin' the Tardis</t>
  </si>
  <si>
    <t>Where are nearly all teachers taught?</t>
  </si>
  <si>
    <t>August 1944</t>
  </si>
  <si>
    <t>secularism</t>
  </si>
  <si>
    <t>In Ancient Greece, Diocles of Carystus (4th century BC) was one of several men studying the medicinal properties of plants. He wrote several treatises on the topic. The Greek physician Pedanius Dioscorides is famous for writing a five volume book in his native Greek Περί ύλης ιατρικής in the 1st century AD. The Latin translation De Materia Medica (Concerning medical substances) was used a basis for many medieval texts, and was built upon by many middle eastern scientists during the Islamic Golden Age. The title coined the term materia medica.</t>
  </si>
  <si>
    <t>In the Philippines, what percentage of secondary school students attend private schools?</t>
  </si>
  <si>
    <t>it has survived many wars, conflicts and invasions</t>
  </si>
  <si>
    <t>How do you pronounce Fresno?</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</si>
  <si>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</si>
  <si>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The Day of the Doctor</t>
  </si>
  <si>
    <t>What city served as Poland's capital in 1313?</t>
  </si>
  <si>
    <t>In October 2010</t>
  </si>
  <si>
    <t>use microscopic analysis of oriented thin sections of geologic samples</t>
  </si>
  <si>
    <t>What did Article 12 of the Allied Armistice terms require Germany to withdraw from?</t>
  </si>
  <si>
    <t>To what is singlet oxygen more reactive?</t>
  </si>
  <si>
    <t>What was the population of the Dutch Republic before this emigration?</t>
  </si>
  <si>
    <t>fifty percent</t>
  </si>
  <si>
    <t>50 fund</t>
  </si>
  <si>
    <t>BankAmericard</t>
  </si>
  <si>
    <t xml:space="preserve">What is the most recent example of financial fault lines? </t>
  </si>
  <si>
    <t>What did the popularity of Luther's translation contribute to?</t>
  </si>
  <si>
    <t>November 2006 and May 2008</t>
  </si>
  <si>
    <t>The 2007 Lisbon Treaty explicitly recognised fundamental rights by providing in Article 6(1) that "The Union recognises the rights, freedoms and principles set out in the Charter of Fundamental Rights of the European Union of 7 December 2000, as adopted at Strasbourg on 12 December 2007, which shall have the same legal value as the Treaties." Therefore, the Charter of Fundamental Rights of the European Union has become an integral part of European Union law, codifying the fundamental rights which were previously considered general principles of European Union law. In effect, after the Lisbon Treaty, the Charter and the Convention now co-exist under European Union law, though the former is enforced by the European Court of Justice in relation to European Union measures, and the latter by the European Court of Human Rights in relation to measures by member states.</t>
  </si>
  <si>
    <t>Juvenile and adult  beroe lack what?</t>
  </si>
  <si>
    <t>the town council</t>
  </si>
  <si>
    <t>Romanesque</t>
  </si>
  <si>
    <t>March Battle of Fort Bull</t>
  </si>
  <si>
    <t>to reduce consumer costs</t>
  </si>
  <si>
    <t>What lesson did Johann von Staupitz teach Luther  repentance was?</t>
  </si>
  <si>
    <t>Elders</t>
  </si>
  <si>
    <t>Who was the Norse leader?</t>
  </si>
  <si>
    <t>Sky UK Limited</t>
  </si>
  <si>
    <t>independent</t>
  </si>
  <si>
    <t>Miasma theory.</t>
  </si>
  <si>
    <t>Henry Cole</t>
  </si>
  <si>
    <t>Panini</t>
  </si>
  <si>
    <t>Within the 30 days how many digiboxes had been sold?</t>
  </si>
  <si>
    <t>sorcery or even poison</t>
  </si>
  <si>
    <t>In the early 1970s, Michael Eisner, who joined ABC in 1966, became the network's program development manager. He helped bring about ideas for many series including Happy Days (which originated as a segment on the anthology series Love, American Style), as well as several soap operas; however, Eisner's main credit at ABC was for developing youth-oriented programming. He was responsible for reacquiring the rights to the Looney Tunes-Merrie Melodies library, bringing the shorts back to ABC after spending several years on CBS, as well as developing The Jackson 5ive animated series and a series about the Osmonds, and greenlighting Super Friends, based on DC Comics' Justice League of America series. Eisner left ABC in 1976 to become president of Paramount Pictures (and would later become the President of ABC's eventual parent company, Disney).</t>
  </si>
  <si>
    <t>dammed</t>
  </si>
  <si>
    <t>Töregene Khatun</t>
  </si>
  <si>
    <t>What had Bhutto planned on banning within six months, before he was overthrown?</t>
  </si>
  <si>
    <t>father of the house</t>
  </si>
  <si>
    <t>In which episode does the First Doctor see himself?</t>
  </si>
  <si>
    <t>What did Luther decide about the Catholic Church?</t>
  </si>
  <si>
    <t>What do ctenophore use to capture their prey?</t>
  </si>
  <si>
    <t>What kingdom annexed Warsaw in 1796?</t>
  </si>
  <si>
    <t>primary law, secondary law and supplementary law.</t>
  </si>
  <si>
    <t>Sam Chisholm and Rupert Murdoch</t>
  </si>
  <si>
    <t>choosing their own ministers</t>
  </si>
  <si>
    <t>Breast milk or colostrum</t>
  </si>
  <si>
    <t>How much revenue is private?</t>
  </si>
  <si>
    <t>What type of atmosphere helped fuel the fire throughout the cabin?</t>
  </si>
  <si>
    <t>What type of system takes students from one specialist to another for each subject?</t>
  </si>
  <si>
    <t>paid professionals.</t>
  </si>
  <si>
    <t>develop and produce a new lighting system</t>
  </si>
  <si>
    <t>comb jelly</t>
  </si>
  <si>
    <t>How many miles east of Berlin is Warsaw?</t>
  </si>
  <si>
    <t>In what years did the show see audiences as high as 12 million?</t>
  </si>
  <si>
    <t>Independence Day: Resurgence</t>
  </si>
  <si>
    <t>What is the glacial alpine valley known as?</t>
  </si>
  <si>
    <t>what did the UK parliment hear that a subscription to BSkyB was?</t>
  </si>
  <si>
    <t>StubHub Center</t>
  </si>
  <si>
    <t>What are the two official languages?</t>
  </si>
  <si>
    <t>What is a Hauptlied?</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</si>
  <si>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d'état.</t>
  </si>
  <si>
    <t>incitement to terrorism</t>
  </si>
  <si>
    <t>increased the asking price</t>
  </si>
  <si>
    <t>How many volumes does the John Crerar Library roughly hold?</t>
  </si>
  <si>
    <t>What book was Iqbal's seven English lectures published as?</t>
  </si>
  <si>
    <t xml:space="preserve">Why is it important to precisely date rocks within the stratigraphic section? </t>
  </si>
  <si>
    <t>What is the delta in the Rhine delimited in the east by?</t>
  </si>
  <si>
    <t>ITT</t>
  </si>
  <si>
    <t>to render certain laws ineffective,</t>
  </si>
  <si>
    <t>hunting of various animals</t>
  </si>
  <si>
    <t>Who was the Most Valuable Player of Super Bowl XLI?</t>
  </si>
  <si>
    <t>What does the Nederrikn's name change into?</t>
  </si>
  <si>
    <t>designed to equip students with necessary skill sets to be able to perform at work</t>
  </si>
  <si>
    <t>19 April 1943</t>
  </si>
  <si>
    <t>11,700 years ago</t>
  </si>
  <si>
    <t>over three days</t>
  </si>
  <si>
    <t>the extinction of the dinosaurs and the wetter climate</t>
  </si>
  <si>
    <t>to hide the fact that he dropped out of school</t>
  </si>
  <si>
    <t>an open work crown surmounted by a statue of fame</t>
  </si>
  <si>
    <t>effective guerrilla warfare campaign, living off the land, capturing British supplies, and remaining undefeated</t>
  </si>
  <si>
    <t>Samuel Phillips</t>
  </si>
  <si>
    <t>a mainline Protestant Methodist denomination</t>
  </si>
  <si>
    <t>conflict between France and Great Britain</t>
  </si>
  <si>
    <t>Deformational events</t>
  </si>
  <si>
    <t>When did the Jin dynasty begin?</t>
  </si>
  <si>
    <t>preserving Mongol interests in China and satisfying the demands of his Chinese subjects</t>
  </si>
  <si>
    <t>How similar was the Lisbon Treaty to the constitutional treaty?</t>
  </si>
  <si>
    <t>What is the atomic number of the element oxygen?</t>
  </si>
  <si>
    <t>poverty, the lack of access to education and weak government institutions</t>
  </si>
  <si>
    <t>How often are elections for the counsel held?</t>
  </si>
  <si>
    <t>Where did a bloody civil war break out?</t>
  </si>
  <si>
    <t>325</t>
  </si>
  <si>
    <t>offering a higher wage</t>
  </si>
  <si>
    <t>What is the name of the country's longest continuously running student film society?</t>
  </si>
  <si>
    <t>greatest good</t>
  </si>
  <si>
    <t>What kind of non-peer-reviewed sources does the IPCC use?</t>
  </si>
  <si>
    <t>Enthusiastic teachers may cause students to become more ____ about their learning process?</t>
  </si>
  <si>
    <t>the American Medical Association (AMA)</t>
  </si>
  <si>
    <t>Who was Margaret's brother?</t>
  </si>
  <si>
    <t>1876</t>
  </si>
  <si>
    <t>Which conference do the teams in southern California play in?</t>
  </si>
  <si>
    <t>prétendus réformés</t>
  </si>
  <si>
    <t>What types of work did the Han do in Central Asia?</t>
  </si>
  <si>
    <t>Aboriginal</t>
  </si>
  <si>
    <t>adaptive and innate immune responses</t>
  </si>
  <si>
    <t>Which type of school has a closer teacher-child relationship?</t>
  </si>
  <si>
    <t>In what century did the history of the steam engine begin?</t>
  </si>
  <si>
    <t>Parliament of the United Kingdom</t>
  </si>
  <si>
    <t>against Prussia and its allies</t>
  </si>
  <si>
    <t>Writers Guild of America</t>
  </si>
  <si>
    <t>fund travelers who would come back with tales of their discoveries</t>
  </si>
  <si>
    <t>Geographically speaking, where is California's north - south midway point in terms of latitude?</t>
  </si>
  <si>
    <t>What is the name of Sky Q's broadband router?</t>
  </si>
  <si>
    <t>Philip Howard</t>
  </si>
  <si>
    <t>What sport attracts most tourists to Jacksonville?</t>
  </si>
  <si>
    <t>There is criticism that the energy policies are expensive quick fixes that ignore which facts?</t>
  </si>
  <si>
    <t>Name an extra that was added to the production of the compacts.</t>
  </si>
  <si>
    <t>emerging market</t>
  </si>
  <si>
    <t>from 1294 to 1307</t>
  </si>
  <si>
    <t>What do isolated, spaced out graves of plague victims indicate?</t>
  </si>
  <si>
    <t>When did ABC first get in to television broadcasts?</t>
  </si>
  <si>
    <t>When do cash flow problems exist?</t>
  </si>
  <si>
    <t>Where do all trains going to Scotland stop at?</t>
  </si>
  <si>
    <t>What are chloroplasts descended from?</t>
  </si>
  <si>
    <t>John Wesley</t>
  </si>
  <si>
    <t>Though trained as a lawyer, what profession did Maududi pursue instead?</t>
  </si>
  <si>
    <t>How often does the General Conference meet?</t>
  </si>
  <si>
    <t>What did the war first start out as being between?</t>
  </si>
  <si>
    <t>What is the strongest main interaction?</t>
  </si>
  <si>
    <t>Why should someone not commit a crime when they are protesting?</t>
  </si>
  <si>
    <t>Doctor Who: More Than 30 Years in the TARDIS</t>
  </si>
  <si>
    <t>logistical difficulties</t>
  </si>
  <si>
    <t>Who did the BBC work with to reconstruct some of The Invasion episodes?</t>
  </si>
  <si>
    <t>Female sex hormones are immunostimulators of which immune responses?</t>
  </si>
  <si>
    <t>Where is Galaxy Public School located?</t>
  </si>
  <si>
    <t>The Entertainment Channel</t>
  </si>
  <si>
    <t>poor application of well-established IPCC procedures</t>
  </si>
  <si>
    <t>What museum preserves the memory of the crime?</t>
  </si>
  <si>
    <t>The idea of acquired immunity in jawed vertebrates is the basis of what medical treatment?</t>
  </si>
  <si>
    <t>What is the estimate of how many physicians give out drugs on their own?</t>
  </si>
  <si>
    <t>Santa Clara</t>
  </si>
  <si>
    <t>vice president</t>
  </si>
  <si>
    <t>What is the Mongolian name for the original place of the Genghis Khan mausoleum?</t>
  </si>
  <si>
    <t>George W. Bush</t>
  </si>
  <si>
    <t>What is the comparison in price between Australian private schools versus public?</t>
  </si>
  <si>
    <t>a commune</t>
  </si>
  <si>
    <t>early 1990s</t>
  </si>
  <si>
    <t>What do chloroplasts use to fix carbon dioxide into sugar?</t>
  </si>
  <si>
    <t>blank spaces on contemporary maps</t>
  </si>
  <si>
    <t>What fields of study were advanced during the Yuan?</t>
  </si>
  <si>
    <t>War of the Two Capitals</t>
  </si>
  <si>
    <t>How does the level of tuition in German private schools compare to private schools in other Western European countries?</t>
  </si>
  <si>
    <t>recalled and replaced by Jeffery Amherst, victor at Louisbourg.</t>
  </si>
  <si>
    <t>The plague struck various countries in the Middle East during the pandemic, leading to serious depopulation and permanent change in both economic and social structures. As it spread to western Europe, the disease entered the region from southern Russia also. By autumn 1347, the plague reached Alexandria in Egypt, probably through the port's trade with Constantinople, and ports on the Black Sea. During 1347, the disease travelled eastward to Gaza, and north along the eastern coast to cities in Lebanon, Syria and Palestine, including Ashkelon, Acre, Jerusalem, Sidon, Damascus, Homs, and Aleppo. In 1348–49, the disease reached Antioch. The city's residents fled to the north, most of them dying during the journey, but the infection had been spread to the people of Asia Minor.[citation needed]</t>
  </si>
  <si>
    <t>Who sculpted the representations of Prince Albert and Queen Victoria found in the main entrance?</t>
  </si>
  <si>
    <t>semi-private</t>
  </si>
  <si>
    <t>Glenn T. Seaborg</t>
  </si>
  <si>
    <t>Turkey</t>
  </si>
  <si>
    <t>the Keraites</t>
  </si>
  <si>
    <t>Co-teaching has also become a new trend amongst educational institutions. Co-teaching is defined as two or more teachers working harmoniously to fulfill the needs of every student in the classroom. Co-teaching focuses the student on learning by providing a social networking support that allows them to reach their full cognitive potential. Co-teachers work in sync with one another to create a climate of learning.</t>
  </si>
  <si>
    <t>What two radio stations in Denver carried Super Bowl 50?</t>
  </si>
  <si>
    <t>Elbegdorj</t>
  </si>
  <si>
    <t>£4.2bn</t>
  </si>
  <si>
    <t>The "West Side" of Fresno, also often called "Southwest Fresno", is one of the oldest neighborhoods in the city. The neighborhood lies southwest of the 99 freeway (which divides it from Downtown Fresno), west of the 41 freeway and south of Nielsen Ave (or the newly constructed 180 Freeway), and extends to the city limits to the west and south. The neighborhood is traditionally considered to be the center of Fresno's African-American community. It is culturally diverse and also includes significant Mexican-American and Asian-American (principally Hmong or Laotian) populations.</t>
  </si>
  <si>
    <t>According to certain Geographical theories what type of human does a tropical climate produce?</t>
  </si>
  <si>
    <t>What is the most important problem in the United States and elsewhere?</t>
  </si>
  <si>
    <t>the mouth of the Monongahela River</t>
  </si>
  <si>
    <t>How many levels of galleries do the façades surround?</t>
  </si>
  <si>
    <t>A vote clerk</t>
  </si>
  <si>
    <t>empty land</t>
  </si>
  <si>
    <t>One of the things Tesla developed at that laboratory in 1887 was an induction motor that ran on alternating current, a power system format that was starting to be built in Europe and the United States because of its advantages in long-distance, high-voltage transmission. The motor used polyphase current which generated a rotating magnetic field to turn the motor (a principle Tesla claimed to have conceived in 1882). This innovative electric motor, patented in May 1888, was a simple self-starting design that did not need a commutator, thus avoiding sparking and the high maintenance of constantly servicing and replacing mechanical brushes.</t>
  </si>
  <si>
    <t>Jason Bourne</t>
  </si>
  <si>
    <t>1520</t>
  </si>
  <si>
    <t>a sheath</t>
  </si>
  <si>
    <t>Great Yassa</t>
  </si>
  <si>
    <t>How many farms are there in Victoria?</t>
  </si>
  <si>
    <t>1929</t>
  </si>
  <si>
    <t>In which year did Genghis Khan's grandson invade Kievan Rus'?</t>
  </si>
  <si>
    <t>How many people are likely to visit Justin Herman Plaza during the week of the Super Bowl?</t>
  </si>
  <si>
    <t>nerves rather than by water disturbances created by the cilia</t>
  </si>
  <si>
    <t>Vicodin</t>
  </si>
  <si>
    <t>tallest building in Downtown Jacksonville</t>
  </si>
  <si>
    <t>What is the name of Newcastle's basketball team?</t>
  </si>
  <si>
    <t>Southern California is second to which island in terms of famous serf breaks?</t>
  </si>
  <si>
    <t>What costumes collection did the V&amp;A acquired in 2002?</t>
  </si>
  <si>
    <t>When was the "Dalekmania" period?</t>
  </si>
  <si>
    <t>2 July 1505</t>
  </si>
  <si>
    <t>How many Muslim empires have used imperialism?</t>
  </si>
  <si>
    <t>What are PD rings?</t>
  </si>
  <si>
    <t>What was named "The Tesla" in his honor?</t>
  </si>
  <si>
    <t>talking to criminal investigators</t>
  </si>
  <si>
    <t xml:space="preserve">What did Davies want to build </t>
  </si>
  <si>
    <t>raised his arm</t>
  </si>
  <si>
    <t>The administrators and directors Gilruth, von Braun and Debus reported to who?</t>
  </si>
  <si>
    <t>TEU articles 4 and 5</t>
  </si>
  <si>
    <t>What percentage of Scotland's voting population failed to actually vote?</t>
  </si>
  <si>
    <t>board of trustees</t>
  </si>
  <si>
    <t>The Central Pacific Railroad established a station for its new line in what year?</t>
  </si>
  <si>
    <t>In 1984, the ABC arts channel ARTS was merged with what other channel?</t>
  </si>
  <si>
    <t>How successful was the French revised efforts?</t>
  </si>
  <si>
    <t>falling</t>
  </si>
  <si>
    <t>The Lutheran theologian Franz Pieper observed that Luther's teaching about the state of the Christian's soul after death differed from the later Lutheran theologians such as Johann Gerhard. Lessing (1755) had earlier reached the same conclusion in his analysis of Lutheran orthodoxy on this issue.</t>
  </si>
  <si>
    <t>When did Tesla claim to have built the weapon?</t>
  </si>
  <si>
    <t>In World War II, it was recognised that the Rhine would present a formidable natural obstacle to the invasion of Germany, by the Western Allies. The Rhine bridge at Arnhem, immortalized in the book, A Bridge Too Far and the film, was a central focus of the battle for Arnhem, during the failed Operation Market Garden of September 1944. The bridges at Nijmegen, over the Waal distributary of the Rhine, were also an objective of Operation Market Garden. In a separate operation, the Ludendorff Bridge, crossing the Rhine at Remagen, became famous, when U.S. forces were able to capture it intact – much to their own surprise – after the Germans failed to demolish it. This also became the subject of a film, The Bridge at Remagen. Seven Days to the River Rhine was a Warsaw Pact war plan for an invasion of Western Europe during the Cold War.</t>
  </si>
  <si>
    <t>When was the coldest temperature in Newcastle recorded?</t>
  </si>
  <si>
    <t>How big can ctenophora grow?</t>
  </si>
  <si>
    <t>lifeboat</t>
  </si>
  <si>
    <t>12 million</t>
  </si>
  <si>
    <t>What did the Works Council Directive require?</t>
  </si>
  <si>
    <t>Which full-sized model cars were not popular?</t>
  </si>
  <si>
    <t>The logo from 1973–80</t>
  </si>
  <si>
    <t>Zond 5</t>
  </si>
  <si>
    <t>in the 1950s</t>
  </si>
  <si>
    <t>political unity</t>
  </si>
  <si>
    <t>What company agreed to terminate high court proceedings with Virgin Media?</t>
  </si>
  <si>
    <t>some activists who commit civil disobedience as a group collectively refuse to sign bail until certain demands are met</t>
  </si>
  <si>
    <t>enthusiastic</t>
  </si>
  <si>
    <t>When was Richard Grainger actively building and developing?</t>
  </si>
  <si>
    <t>In Mongolia today, Genghis Khan's name and likeness are endorsed on products, streets, buildings, and other places. His face can be found on everyday commodities, from liquor bottles to candy products, and on the largest denominations of 500, 1,000, 5,000, 10,000, and 20,000 Mongolian tögrög (₮). Mongolia's main international airport in Ulaanbaatar is named Chinggis Khaan International Airport. Major Genghis Khan statues have been erected before the parliament and near Ulaanbaatar. There have been repeated discussions about regulating the use of his name and image to avoid trivialization.</t>
  </si>
  <si>
    <t xml:space="preserve">What is the Canal in Wesel? </t>
  </si>
  <si>
    <t>What is the main purpose of the jurisdictions and central conferences?</t>
  </si>
  <si>
    <t>Free movement of goods within the European Union is achieved by a customs union, and the principle of non-discrimination. The EU manages imports from non-member states, duties between member states are prohibited, and imports circulate freely. In addition under the Treaty on the Functioning of the European Union article 34, ‘Quantitative restrictions on imports and all measures having equivalent effect shall be prohibited between Member States’. In Procureur du Roi v Dassonville the Court of Justice held that this rule meant all "trading rules" that are "enacted by Member States" which could hinder trade "directly or indirectly, actually or potentially" would be caught by article 34. This meant that a Belgian law requiring Scotch whisky imports to have a certificate of origin was unlikely to be lawful. It discriminated against parallel importers like Mr Dassonville, who could not get certificates from authorities in France, where they bought the Scotch. This "wide test", to determine what could potentially be an unlawful restriction on trade, applies equally to actions by quasi-government bodies, such as the former "Buy Irish" company that had government appointees. It also means states can be responsible for private actors. For instance, in Commission v France French farmer vigilantes were continually sabotaging shipments of Spanish strawberries, and even Belgian tomato imports. France was liable for these hindrances to trade because the authorities ‘manifestly and persistently abstained' from preventing the sabotage. Generally speaking, if a member state has laws or practices that directly discriminate against imports (or exports under TFEU article 35) then it must be justified under article 36. The justifications include public morality, policy or security, "protection of health and life of humans, animals or plants", "national treasures" of "artistic, historic or archaeological value" and "industrial and commercial property." In addition, although not clearly listed, environmental protection can justify restrictions on trade as an overriding requirement derived from TFEU article 11. More generally, it has been increasingly acknowledged that fundamental human rights should take priority over all trade rules. So, in Schmidberger v Austria the Court of Justice held that Austria did not infringe article 34 by failing to ban a protest that blocked heavy traffic passing over the A13, Brenner Autobahn, en route to Italy. Although many companies, including Mr Schmidberger's German undertaking, were prevented from trading, the Court of Justice reasoned that freedom of association is one of the ‘fundamental pillars of a democratic society’, against which the free movement of goods had to be balanced, and was probably subordinate. If a member state does appeal to the article 36 justification, the measures it takes have to be applied proportionately. This means the rule must be pursue a legitimate aim and (1) be suitable to achieve the aim, (2) be necessary, so that a less restrictive measure could not achieve the same result, and (3) be reasonable in balancing the interests of free trade with interests in article 36.</t>
  </si>
  <si>
    <t>Mexico</t>
  </si>
  <si>
    <t>7–4–2–3 system</t>
  </si>
  <si>
    <t>American aid to Israel</t>
  </si>
  <si>
    <t>What should a teacher guide a student in?</t>
  </si>
  <si>
    <t>Central Asian Muslims</t>
  </si>
  <si>
    <t>What position does Von Miller play?</t>
  </si>
  <si>
    <t>Charleston</t>
  </si>
  <si>
    <t>Where did Dinophysis get its chloroplasts from?</t>
  </si>
  <si>
    <t>What is the nature of the relationship between T-cells and vitamin D?</t>
  </si>
  <si>
    <t>What could a teacher help in organizing?</t>
  </si>
  <si>
    <t>Ismail El Gizouli</t>
  </si>
  <si>
    <t>productivity gap between highly-paid professions and lower-paid professions</t>
  </si>
  <si>
    <t>How are the rates of social goods in countries with higher inequality?</t>
  </si>
  <si>
    <t>problem</t>
  </si>
  <si>
    <t>When was Mueller announced and appointed as Deputy Associate Administrator?</t>
  </si>
  <si>
    <t xml:space="preserve">What completed the triad </t>
  </si>
  <si>
    <t>What company created Doctor Who?</t>
  </si>
  <si>
    <t>help direct microscopic prey toward the mouth</t>
  </si>
  <si>
    <t>What agency did the Spanish version of the Super Bowl?</t>
  </si>
  <si>
    <t>crustal rock</t>
  </si>
  <si>
    <t>What was the first Disney program televised on ABC as a result of the Disney-ABC agreement?</t>
  </si>
  <si>
    <t>How long were the fighters of the Warsaw Ghetto Uprising able to hold out?</t>
  </si>
  <si>
    <t>What was Westinghouse potentially trying to avoid by paying Tesla?</t>
  </si>
  <si>
    <t>How long would Tesla spend gambling sometimes?</t>
  </si>
  <si>
    <t>Karp reductions and Levin reductions</t>
  </si>
  <si>
    <t>What was faith's greatest enemy according to Luther?</t>
  </si>
  <si>
    <t>policies such as the Monroe Doctrine</t>
  </si>
  <si>
    <t>flour mill</t>
  </si>
  <si>
    <t>Who headlined the halftime show for Super Bowl 50?</t>
  </si>
  <si>
    <t>These books became a foundational text for what library?</t>
  </si>
  <si>
    <t>When did General Hospital first debut on ABC?</t>
  </si>
  <si>
    <t>Whose First Law of Motion says that unless acted upon be forces, objects would continue to move at a constant velocity?</t>
  </si>
  <si>
    <t>In most countries, the dispensary is subject to pharmacy legislation; with requirements for storage conditions, compulsory texts, equipment, etc., specified in legislation. Where it was once the case that pharmacists stayed within the dispensary compounding/dispensing medications, there has been an increasing trend towards the use of trained pharmacy technicians while the pharmacist spends more time communicating with patients. Pharmacy technicians are now more dependent upon automation to assist them in their new role dealing with patients' prescriptions and patient safety issues.</t>
  </si>
  <si>
    <t>4,530</t>
  </si>
  <si>
    <t>11 of the then 12 member states</t>
  </si>
  <si>
    <t>Almost all ctenophores are predators, taking prey ranging from microscopic larvae and rotifers to the adults of small crustaceans; the exceptions are juveniles of two species, which live as parasites on the salps on which adults of their species feed. In favorable circumstances, ctenophores can eat ten times their own weight in a day. Only 100–150 species have been validated, and possibly another 25 have not been fully described and named. The textbook examples are cydippids with egg-shaped bodies and a pair of retractable tentacles fringed with tentilla ("little tentacles") that are covered with colloblasts, sticky cells that capture prey. The phylum has a wide range of body forms, including the flattened, deep-sea platyctenids, in which the adults of most species lack combs, and the coastal beroids, which lack tentacles and prey on other ctenophores by using huge mouths armed with groups of large, stiffened cilia that act as teeth. These variations enable different species to build huge populations in the same area, because they specialize in different types of prey, which they capture by as wide a range of methods as spiders use.</t>
  </si>
  <si>
    <t>the series would return</t>
  </si>
  <si>
    <t>Who decide to make a very large donation to the university's Booth School of Business?</t>
  </si>
  <si>
    <t>What kind of programs can be credited for ABC's success in the late 1950s?</t>
  </si>
  <si>
    <t>special efforts</t>
  </si>
  <si>
    <t>P</t>
  </si>
  <si>
    <t>How much does petroleum account for of the national import bill?</t>
  </si>
  <si>
    <t>Alpha Repertory Television Service (ARTS)</t>
  </si>
  <si>
    <t>Li Meng</t>
  </si>
  <si>
    <t>legal equality of all individuals</t>
  </si>
  <si>
    <t>October 12, 1943</t>
  </si>
  <si>
    <t>a diatom (heterokontophyte) derived chloroplast</t>
  </si>
  <si>
    <t>Greg Brady</t>
  </si>
  <si>
    <t>What did Martin Luther's marriage allow?</t>
  </si>
  <si>
    <t>3,837</t>
  </si>
  <si>
    <t>In what month and year did the Apollo 11 mission occur?</t>
  </si>
  <si>
    <t>encoding</t>
  </si>
  <si>
    <t>LOVE Radio</t>
  </si>
  <si>
    <t>What will a pharmacist who passes the ambulatory pharmacist exam be called?</t>
  </si>
  <si>
    <t>The Late Late Show with James Corden</t>
  </si>
  <si>
    <t>2005–2010</t>
  </si>
  <si>
    <t>In 2005, what did Doctor Who think the condition of his home planet was?</t>
  </si>
  <si>
    <t>What did Low suggest using Apollo 8 for instead of simply orbiting the Earth's surface?</t>
  </si>
  <si>
    <t>What crops were introduced or popularized in the Yuan?</t>
  </si>
  <si>
    <t>Which theory justifies imperialism in part?</t>
  </si>
  <si>
    <t xml:space="preserve">By 199 how many universities were connected </t>
  </si>
  <si>
    <t>Conan O'Brien</t>
  </si>
  <si>
    <t>V</t>
  </si>
  <si>
    <t>international organizations and foreign governments</t>
  </si>
  <si>
    <t>What are those with lower incomes often unable to manage?</t>
  </si>
  <si>
    <t>Quaternary period</t>
  </si>
  <si>
    <t>The defeat of the Arab troops in the Six-Day War constituted what for the Arab Muslim world?</t>
  </si>
  <si>
    <t>When did Tesla go to Prague?</t>
  </si>
  <si>
    <t>private actors</t>
  </si>
  <si>
    <t>What is evidence chloroplasts descended from endosymbiotic cyanobacteria?</t>
  </si>
  <si>
    <t>A contract</t>
  </si>
  <si>
    <t>In 2009, NASA held a symposium on project costs which presented an estimate of the Apollo program costs in 2005 dollars as roughly $170 billion. This included all research and development costs; the procurement of 15 Saturn V rockets, 16 Command/Service Modules, 12 Lunar Modules, plus program support and management costs; construction expenses for facilities and their upgrading, and costs for flight operations. This was based on a Congressional Budget Office report, A Budgetary Analysis of NASA's New Vision for Space, September 2004. The Space Review estimated in 2010 the cost of Apollo from 1959 to 1973 as $20.4 billion, or $109 billion in 2010 dollars.</t>
  </si>
  <si>
    <t>the number of social services that people can access wherever they move</t>
  </si>
  <si>
    <t>If q=9 and a=3,6 or 9, how many primes would be in the progression?</t>
  </si>
  <si>
    <t>Horace Walpole</t>
  </si>
  <si>
    <t>service</t>
  </si>
  <si>
    <t>integral calculus</t>
  </si>
  <si>
    <t>paying his rent at the Hotel New Yorker</t>
  </si>
  <si>
    <t>three-dimensional</t>
  </si>
  <si>
    <t>construction manager, design engineer, construction engineer or project manager</t>
  </si>
  <si>
    <t>1 were considered a prime</t>
  </si>
  <si>
    <t>macrophages, neutrophils, and dendritic cells</t>
  </si>
  <si>
    <t>What did Tesla mistakenly believe X-rays were?</t>
  </si>
  <si>
    <t>eukaryotes</t>
  </si>
  <si>
    <t>Which army attacked and destroyed this colony?</t>
  </si>
  <si>
    <t>The poor and the middle class</t>
  </si>
  <si>
    <t>In what type of water does oxygen dissolve more slowly?</t>
  </si>
  <si>
    <t>The Holocene</t>
  </si>
  <si>
    <t>Who is an example of a sedentary people who were not favored by the laws of the Mongol Empire?</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</si>
  <si>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</si>
  <si>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wine</t>
  </si>
  <si>
    <t>Who first discovered his body?</t>
  </si>
  <si>
    <t>South Fifth Avenue</t>
  </si>
  <si>
    <t>How long has the concept of legal certainty been recognized as one of the general principles by the EU law?</t>
  </si>
  <si>
    <t>1963</t>
  </si>
  <si>
    <t>How many photographic plates comprise the Animal Locomotion collection?</t>
  </si>
  <si>
    <t>it is not a unit and cannot be written as a product of two ring elements that are not units</t>
  </si>
  <si>
    <t>6.04 milliliters</t>
  </si>
  <si>
    <t>internal thylakoid system</t>
  </si>
  <si>
    <t>Who was first on the team in total tackles?</t>
  </si>
  <si>
    <t>Boomer Esiason and Dan Fouts</t>
  </si>
  <si>
    <t>Fresno Traction Company</t>
  </si>
  <si>
    <t>British researchers Richard G. Wilkinson and Kate Pickett have found higher rates of health and social problems (obesity, mental illness, homicides, teenage births, incarceration, child conflict, drug use), and lower rates of social goods (life expectancy by country, educational performance, trust among strangers, women's status, social mobility, even numbers of patents issued) in countries and states with higher inequality. Using statistics from 23 developed countries and the 50 states of the US, they found social/health problems lower in countries like Japan and Finland and states like Utah and New Hampshire with high levels of equality, than in countries (US and UK) and states (Mississippi and New York) with large differences in household income.</t>
  </si>
  <si>
    <t>private finance initiatives (PFIs)</t>
  </si>
  <si>
    <t>What logo was modified and reused for the 50th Anniversary special?</t>
  </si>
  <si>
    <t>impediments</t>
  </si>
  <si>
    <t>Who sacked Newton a few plays after the challenge?</t>
  </si>
  <si>
    <t>What does the name Fresno mean in Spanish?</t>
  </si>
  <si>
    <t>non-combustible substances that corrode</t>
  </si>
  <si>
    <t>Plants lack what kind of immune cells?</t>
  </si>
  <si>
    <t>June 1862</t>
  </si>
  <si>
    <t>Who established the Confederation of the Rhine?</t>
  </si>
  <si>
    <t>aligning his personal goals with his academic goals.</t>
  </si>
  <si>
    <t>internal</t>
  </si>
  <si>
    <t>Who married the wedding couple?</t>
  </si>
  <si>
    <t>Independence Day</t>
  </si>
  <si>
    <t>second-largest</t>
  </si>
  <si>
    <t>How many players have been awarded the Most Valuable Player distinction for the Super Bowl?</t>
  </si>
  <si>
    <t>What does immunodeficiency cause?</t>
  </si>
  <si>
    <t>KGPE</t>
  </si>
  <si>
    <t>Which laws mentioned predate EU law?</t>
  </si>
  <si>
    <t>Bishop Lloyd Christ</t>
  </si>
  <si>
    <t>Newton's First Law of Motion states that objects continue to move in a state of constant velocity unless acted upon by an external net force or resultant force. This law is an extension of Galileo's insight that constant velocity was associated with a lack of net force (see a more detailed description of this below). Newton proposed that every object with mass has an innate inertia that functions as the fundamental equilibrium "natural state" in place of the Aristotelian idea of the "natural state of rest". That is, the first law contradicts the intuitive Aristotelian belief that a net force is required to keep an object moving with constant velocity. By making rest physically indistinguishable from non-zero constant velocity, Newton's First Law directly connects inertia with the concept of relative velocities. Specifically, in systems where objects are moving with different velocities, it is impossible to determine which object is "in motion" and which object is "at rest". In other words, to phrase matters more technically, the laws of physics are the same in every inertial frame of reference, that is, in all frames related by a Galilean transformation.</t>
  </si>
  <si>
    <t>the Tehachapi Mountains</t>
  </si>
  <si>
    <t>about one-eighth the number</t>
  </si>
  <si>
    <t>fixed</t>
  </si>
  <si>
    <t>combustible materials</t>
  </si>
  <si>
    <t>restriction modification system</t>
  </si>
  <si>
    <t>~11,700 years ago</t>
  </si>
  <si>
    <t>carbon related</t>
  </si>
  <si>
    <t>Gryphon</t>
  </si>
  <si>
    <t>his sons and grandsons.</t>
  </si>
  <si>
    <t>When was ctenophore mnemiopsis leidyi introduced into The Black Sea and the Sea of Azov?</t>
  </si>
  <si>
    <t>When was the military-political complex reflected upon within the scope of understanding imperialism?</t>
  </si>
  <si>
    <t>John C. Messenger</t>
  </si>
  <si>
    <t>the continuous input of sediment into the lake will silt up the lake</t>
  </si>
  <si>
    <t>Who did Webb recruit for better project management?</t>
  </si>
  <si>
    <t>the curriculum.</t>
  </si>
  <si>
    <t>Which region of California is Palm Springs located in?</t>
  </si>
  <si>
    <t>Published at a time of rising demand for German-language publications, Luther's version quickly became a popular and influential Bible translation. As such, it made a significant contribution to the evolution of the German language and literature. Furnished with notes and prefaces by Luther, and with woodcuts by Lucas Cranach that contained anti-papal imagery, it played a major role in the spread of Luther's doctrine throughout Germany. The Luther Bible influenced other vernacular translations, such as William Tyndale's English Bible (1525 forward), a precursor of the King James Bible.</t>
  </si>
  <si>
    <t>bilaterians</t>
  </si>
  <si>
    <t>not in Wittenberg</t>
  </si>
  <si>
    <t>In what year did the FCC publish it's report?</t>
  </si>
  <si>
    <t>According to Luther what justifies us?</t>
  </si>
  <si>
    <t>amylopectin starch granules</t>
  </si>
  <si>
    <t>temperature rise was near the top end of the range given</t>
  </si>
  <si>
    <t>Who was the receiver on the successful 2-point conversion?</t>
  </si>
  <si>
    <t>rebelled against what they deem to be unfair</t>
  </si>
  <si>
    <t>What is the income inequality gap between genders in Botswana?</t>
  </si>
  <si>
    <t>Where was the Archangel Michael shrine located?</t>
  </si>
  <si>
    <t>What is the Safair Rally known as?</t>
  </si>
  <si>
    <t>What ranking in terms of busiest airports from international passenger volume is the Los Angeles International Airport?</t>
  </si>
  <si>
    <t>Miasma theory</t>
  </si>
  <si>
    <t>When did the German army reoccupy Rhineland?</t>
  </si>
  <si>
    <t>What dynasty came after the Yuan?</t>
  </si>
  <si>
    <t>the Black Sea</t>
  </si>
  <si>
    <t>Super Bowl V</t>
  </si>
  <si>
    <t>Where does the gold in the parliamentary mace come from?</t>
  </si>
  <si>
    <t>The addition of new rock units, both depositionally and intrusively, often occurs during deformation. Faulting and other deformational processes result in the creation of topographic gradients, causing material on the rock unit that is increasing in elevation to be eroded by hillslopes and channels. These sediments are deposited on the rock unit that is going down. Continual motion along the fault maintains the topographic gradient in spite of the movement of sediment, and continues to create accommodation space for the material to deposit. Deformational events are often also associated with volcanism and igneous activity. Volcanic ashes and lavas accumulate on the surface, and igneous intrusions enter from below. Dikes, long, planar igneous intrusions, enter along cracks, and therefore often form in large numbers in areas that are being actively deformed. This can result in the emplacement of dike swarms, such as those that are observable across the Canadian shield, or rings of dikes around the lava tube of a volcano.</t>
  </si>
  <si>
    <t>How many individual libraries make up the main school library?</t>
  </si>
  <si>
    <t>Andes Mountains</t>
  </si>
  <si>
    <t>not always</t>
  </si>
  <si>
    <t>What year did Slayton select the first Apollo crew?</t>
  </si>
  <si>
    <t>General Sejm</t>
  </si>
  <si>
    <t>delegates more power to local governments and gives Kenyans a bill of rights</t>
  </si>
  <si>
    <t>George Stephenson</t>
  </si>
  <si>
    <t>deterministic</t>
  </si>
  <si>
    <t>Who did a morphologically analysis in 1985 that concluded cydippids are not monophyletic?</t>
  </si>
  <si>
    <t>Building activity occurred in numerous noble palaces and churches during the later decades of the 17th century. One of the best examples of this architecture are Krasiński Palace (1677–1683), Wilanów Palace (1677–1696) and St. Kazimierz Church (1688–1692). The most impressive examples of rococo architecture are Czapski Palace (1712–1721), Palace of the Four Winds (1730s) and Visitationist Church (façade 1728–1761). The neoclassical architecture in Warsaw can be described by the simplicity of the geometrical forms teamed with a great inspiration from the Roman period. Some of the best examples of the neoclassical style are the Palace on the Water (rebuilt 1775–1795), Królikarnia (1782–1786), Carmelite Church (façade 1761–1783) and Evangelical Holy Trinity Church (1777–1782). The economic growth during the first years of Congress Poland caused a rapid rise architecture. The Neoclassical revival affected all aspects of architecture, the most notable are the Great Theater (1825–1833) and buildings located at Bank Square (1825–1828).</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</si>
  <si>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</si>
  <si>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The Prospect Studios</t>
  </si>
  <si>
    <t>the current King of Thebes, who is trying to stop her from giving her brother Polynices a proper burial</t>
  </si>
  <si>
    <t>we are neither making maximum effort nor achieving results necessary</t>
  </si>
  <si>
    <t>How many were killed by plague in Naples in 1656?</t>
  </si>
  <si>
    <t>Who demonstrated how to create a perfect number from a Mersenne prime?</t>
  </si>
  <si>
    <t>At what angle were the groups of pistons set in relation to one another in a 4-cylinder compound?</t>
  </si>
  <si>
    <t>it has trouble crossing membranes</t>
  </si>
  <si>
    <t>a separate condenser</t>
  </si>
  <si>
    <t>5 to 15</t>
  </si>
  <si>
    <t>What other inventor did he work with?</t>
  </si>
  <si>
    <t>How are Victorian cabinet members chosen?</t>
  </si>
  <si>
    <t>Where did the highwaymen take Luther?</t>
  </si>
  <si>
    <t>What term is used to explain a change in the appearance of Doctor Who?</t>
  </si>
  <si>
    <t>level fell</t>
  </si>
  <si>
    <t>How much time was left in the game when Denver took the score to 24-10?</t>
  </si>
  <si>
    <t>In a report, published in early February 2007 by the Ear Institute at the University College London, and Widex, a Danish hearing aid manufacturer, Newcastle was named as the noisiest city in the whole of the UK, with an average level of 80.4 decibels. The report claimed that these noise levels would have a negative long-term impact on the health of the city's residents. The report was criticized, however, for attaching too much weight to readings at arbitrarily selected locations, which in Newcastle's case included a motorway underpass without pedestrian access.</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</si>
  <si>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</si>
  <si>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"informal" imperialism</t>
  </si>
  <si>
    <t>Which country today is a remnant of the Ottoman empire?</t>
  </si>
  <si>
    <t>Where did Super Bowl 50 take place?</t>
  </si>
  <si>
    <t>How many interceptions did Manning have at the end of the game?</t>
  </si>
  <si>
    <t>Muslims) and Catholics</t>
  </si>
  <si>
    <t>What did Luther do during Lent at this time?</t>
  </si>
  <si>
    <t>International Crops Research Institute for the Semi-Arid Tropics</t>
  </si>
  <si>
    <t>Who first proved Bertrand's postulate?</t>
  </si>
  <si>
    <t>1698</t>
  </si>
  <si>
    <t>Where was French withdrawal to?</t>
  </si>
  <si>
    <t>1976</t>
  </si>
  <si>
    <t>votes</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</si>
  <si>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communiqué stating that, from then on, they would price oil in terms of a fixed amount of gold.</t>
  </si>
  <si>
    <t>Council of Industrial Design</t>
  </si>
  <si>
    <t>private member</t>
  </si>
  <si>
    <t>Who was ABC's vice-president of engineering?</t>
  </si>
  <si>
    <t>Besides public key cryptography, what is another application for prime numbers?</t>
  </si>
  <si>
    <t>What is the first line of defense against pathogens that prevents them from entering an organism?</t>
  </si>
  <si>
    <t>fashion, architecture, product design, graphic arts and photography</t>
  </si>
  <si>
    <t>Teachers face several occupational hazards in their line of work, including occupational stress, which can negatively impact teachers' mental and physical health, productivity, and students' performance. Stress can be caused by organizational change, relationships with students, fellow teachers, and administrative personnel, working environment, expectations to substitute, long hours with a heavy workload, and inspections. Teachers are also at high risk for occupational burnout.</t>
  </si>
  <si>
    <t>non-religious war</t>
  </si>
  <si>
    <t>What is the main goal of criminal punishment of civil disobedients?</t>
  </si>
  <si>
    <t>What other two famous performers were part of the Super Bowl 50 halftime?</t>
  </si>
  <si>
    <t>knowledge or skills</t>
  </si>
  <si>
    <t>Why was it thought that  ctenophores were a poor diet for other animals?</t>
  </si>
  <si>
    <t>What did Michael Mullet call Luther's speech?</t>
  </si>
  <si>
    <t>Which other empires or dynasties did Genghis Khan conquer?</t>
  </si>
  <si>
    <t>At first what did Tesla think was the main cause of damage to skin cells when they were exposed to X-rays?</t>
  </si>
  <si>
    <t>the deportation of the French-speaking Acadian population</t>
  </si>
  <si>
    <t>The Sand Bernardino - Riverside area maintains what kind of district?</t>
  </si>
  <si>
    <t>the metropolitan</t>
  </si>
  <si>
    <t>dams</t>
  </si>
  <si>
    <t>black background</t>
  </si>
  <si>
    <t>La Rochelle</t>
  </si>
  <si>
    <t>words spoken by Jesus</t>
  </si>
  <si>
    <t>George Low.</t>
  </si>
  <si>
    <t>47</t>
  </si>
  <si>
    <t>only had the Dalek serial to go</t>
  </si>
  <si>
    <t>Who warned of the potential impact?</t>
  </si>
  <si>
    <t>status superior to all others in health-related fields such as physicians and acupuncturists</t>
  </si>
  <si>
    <t>How would the capabilities approach achieve it's goal?</t>
  </si>
  <si>
    <t>After Malaysia's independence in 1957, the government instructed all schools to surrender their properties and be assimilated into the National School system. This caused an uproar among the Chinese and a compromise was achieved in that the schools would instead become "National Type" schools. Under such a system, the government is only in charge of the school curriculum and teaching personnel while the lands still belonged to the schools. While Chinese primary schools were allowed to retain Chinese as the medium of instruction, Chinese secondary schools are required to change into English-medium schools. Over 60 schools converted to become National Type schools.</t>
  </si>
  <si>
    <t>four years</t>
  </si>
  <si>
    <t>In what two age groups is the strength of the immune system reduced?</t>
  </si>
  <si>
    <t>Kenya's first system of education was introduced by British colonists. After Kenya's independence on 12 December 1963, an authority named the Ominde Commission was formed to introduce changes that would reflect the nation's sovereignty. The commission focused on identity and unity, which were critical issues at the time. Changes in the subject content of history and geography were made to reflect national cohesion. Between 1964 and 1985, the 7–4–2–3 system was adopted – seven years of primary, four years of lower secondary, two years of upper secondary, and three years of university. All schools had a common curriculum.</t>
  </si>
  <si>
    <t>captured</t>
  </si>
  <si>
    <t>NFL Mobile service.</t>
  </si>
  <si>
    <t>What translation of Luther's is still used today?</t>
  </si>
  <si>
    <t>What religion's schools were integrated into New Zealand public schools between 1979 and 1984?</t>
  </si>
  <si>
    <t>multi-member proportional</t>
  </si>
  <si>
    <t>Who led the Panthers in sacks?</t>
  </si>
  <si>
    <t>flight delays</t>
  </si>
  <si>
    <t>The city of Bukhara was not heavily fortified, with a moat and a single wall, and the citadel typical of Khwarezmi cities. The city leaders opened the gates to the Mongols, though a unit of Turkish defenders held the city's citadel for another twelve days. Survivors from the citadel were executed, artisans and craftsmen were sent back to Mongolia, young men who had not fought were drafted into the Mongolian army and the rest of the population was sent into slavery. As the Mongol soldiers looted the city, a fire broke out, razing most of the city to the ground. Genghis Khan had the city's surviving population assemble in the main mosque of the town, where he declared that he was the flail of God, sent to punish them for their sins.</t>
  </si>
  <si>
    <t>$60,000 in cash and stock and a royalty</t>
  </si>
  <si>
    <t>dummy upper stages filled with water.</t>
  </si>
  <si>
    <t>(/ˈfrɛznoʊ/ FREZ-noh)</t>
  </si>
  <si>
    <t>Approximately how many objects are in the V&amp;A sculpture collection?</t>
  </si>
  <si>
    <t>Who described Kublai's China to Europe?</t>
  </si>
  <si>
    <t>How many Apollo missions were manned by the previous Mercury and Gemini veterans?</t>
  </si>
  <si>
    <t>cancers</t>
  </si>
  <si>
    <t>all women</t>
  </si>
  <si>
    <t>the Philippines</t>
  </si>
  <si>
    <t>Many organizations have recently called for broader acceptance of which community?</t>
  </si>
  <si>
    <t xml:space="preserve">Where does the name Rhine derive from? </t>
  </si>
  <si>
    <t>Which company sponsored a contest called "Small Business Big Game"?</t>
  </si>
  <si>
    <t>When did the so called gentlemen's agreement between Sadat and the Islamists break down?</t>
  </si>
  <si>
    <t>Elders are called by God, affirmed by the church, and ordained by a bishop to a ministry of Word, Sacrament, Order and Service within the church. They may be appointed to the local church, or to other valid extension ministries of the church. Elders are given the authority to preach the Word of God, administer the sacraments of the church, to provide care and counseling, and to order the life of the church for ministry and mission. Elders may also be assigned as District Superintendents, and they are eligible for election to the episcopacy. Elders serve a term of 2–3 years as provisional Elders prior to their ordination.</t>
  </si>
  <si>
    <t>When many people are arrested, what is a common tactic negotiating?</t>
  </si>
  <si>
    <t>constant factors and smaller terms</t>
  </si>
  <si>
    <t>Civil disobedience has been argued in more recent times to have suffered from what?</t>
  </si>
  <si>
    <t>Gothic architecture</t>
  </si>
  <si>
    <t>Who did Duke Yansheng Kong Duanyou flee with?</t>
  </si>
  <si>
    <t>To which period is the largest item from Italy that is included in the sculpture collection dated?</t>
  </si>
  <si>
    <t>rain</t>
  </si>
  <si>
    <t>president and CEO</t>
  </si>
  <si>
    <t>Who had military control during the Yuan?</t>
  </si>
  <si>
    <t>heavily concentrated along the St. Lawrence River valley, with some also in Acadia</t>
  </si>
  <si>
    <t>new office developments</t>
  </si>
  <si>
    <t>What do red algal chloroplasts have that green chloroplasts don't?</t>
  </si>
  <si>
    <t>informal</t>
  </si>
  <si>
    <t>third unmanned test.</t>
  </si>
  <si>
    <t>It has won the Short Form of the Hugo Award for Best Dramatic Presentation, the oldest science fiction/fantasy award for films and series, six times (every year since 2006, except for 2009, 2013 and 2014). The winning episodes were "The Empty Child"/"The Doctor Dances" (2006), "The Girl in the Fireplace" (2007), "Blink" (2008), "The Waters of Mars" (2010), "The Pandorica Opens"/"The Big Bang" (2011), and "The Doctor's Wife" (2012). Doctor Who star Matt Smith won Best Actor in the 2012 National Television awards alongside Karen Gillan who won Best Actress. Doctor Who has been nominated for over 200 awards and has won over a hundred of them.</t>
  </si>
  <si>
    <t>attention-seeking and disruptive students</t>
  </si>
  <si>
    <t>the Kenya Certificate of Secondary Education</t>
  </si>
  <si>
    <t>After WW-II where did Russia apply its old Tsarist regimes?</t>
  </si>
  <si>
    <t>Buena Vista Television</t>
  </si>
  <si>
    <t>Who won the Nobel Prize in 1905?</t>
  </si>
  <si>
    <t>silt</t>
  </si>
  <si>
    <t>How many were killed by plague in Italy in the 17th century?</t>
  </si>
  <si>
    <t>As the moon has no atmosphere, what is prevalant in many moon rock samples brought back from Apollo missions?</t>
  </si>
  <si>
    <t>What helped spread Protestantism in France?</t>
  </si>
  <si>
    <t>How many times have the Panthers been in the Super Bowl?</t>
  </si>
  <si>
    <t>What country are all the counties in?</t>
  </si>
  <si>
    <t>To which year is the Gloucester Candlestick dated?</t>
  </si>
  <si>
    <t>the 20th</t>
  </si>
  <si>
    <t>US Supreme Court</t>
  </si>
  <si>
    <t>From where was the Muslim historical figure Attar, whose murder by the Mongols was long remembered?</t>
  </si>
  <si>
    <t>bubbles of inert gas, mostly nitrogen and helium, forming in their blood</t>
  </si>
  <si>
    <t>denoted scalar quantities</t>
  </si>
  <si>
    <t>What method was used to clear forest for crop cultivation in the amazon forest?</t>
  </si>
  <si>
    <t>What entity enforces the Charter of Fundamental Rights of the European Union?</t>
  </si>
  <si>
    <t>What did the General Conference on Weights and Measures name after Tesla in 1960?</t>
  </si>
  <si>
    <t>study of rocks</t>
  </si>
  <si>
    <t>Widener Library</t>
  </si>
  <si>
    <t>Kamoya Kimeu</t>
  </si>
  <si>
    <t>1521</t>
  </si>
  <si>
    <t>What are both Branko Milanovic and Joseph Stiglitz?</t>
  </si>
  <si>
    <t>Who spoke to Luther about his books on behalf of the Empire?</t>
  </si>
  <si>
    <t>Which Super Bowl, after the 50th one, will begin have Roman numerals in the title again?</t>
  </si>
  <si>
    <t>30 November 1963</t>
  </si>
  <si>
    <t>What work is useful for pastors?</t>
  </si>
  <si>
    <t>Amazonia</t>
  </si>
  <si>
    <t>Silk Road</t>
  </si>
  <si>
    <t>January 1518</t>
  </si>
  <si>
    <t>Trial division involves dividing n by every integer m greater than what?</t>
  </si>
  <si>
    <t>Where was France's Huguenot population largely centered?</t>
  </si>
  <si>
    <t>extra costs</t>
  </si>
  <si>
    <t>business is chronically understaffed</t>
  </si>
  <si>
    <t>Tyne</t>
  </si>
  <si>
    <t>What is the name for a teacher of just one person?</t>
  </si>
  <si>
    <t>20,980</t>
  </si>
  <si>
    <t>What Apollo mission was this LOR method used and needed?</t>
  </si>
  <si>
    <t>on the city's waterfront</t>
  </si>
  <si>
    <t>1950s through the 1970s</t>
  </si>
  <si>
    <t>inverted repeat regions</t>
  </si>
  <si>
    <t>17 nm</t>
  </si>
  <si>
    <t>When was the heyday of secular Arab nationalism?</t>
  </si>
  <si>
    <t>forbidden speech</t>
  </si>
  <si>
    <t>Science</t>
  </si>
  <si>
    <t>How has civil disobedience evolved in current times?</t>
  </si>
  <si>
    <t>General Pharmaceutical Council (GPhC)</t>
  </si>
  <si>
    <t>St. Lawrence and Mississippi watersheds</t>
  </si>
  <si>
    <t>Where can a tribute to the fall of Warsaw be found?</t>
  </si>
  <si>
    <t>generally unfounded and also marginal to the assessment</t>
  </si>
  <si>
    <t>In 1898,</t>
  </si>
  <si>
    <t>Theory of the Earth</t>
  </si>
  <si>
    <t>What term best describes southern California's collection of landscapes?</t>
  </si>
  <si>
    <t>ten minutes</t>
  </si>
  <si>
    <t>John the Steadfast</t>
  </si>
  <si>
    <t>not be directly connected to ARPANET</t>
  </si>
  <si>
    <t>proportionally to the number of votes received</t>
  </si>
  <si>
    <t>porridge with bread, chapati, mahamri, boiled sweet potatoes or yams</t>
  </si>
  <si>
    <t>What health condition can deep sea diving cause?</t>
  </si>
  <si>
    <t>Korean</t>
  </si>
  <si>
    <t>Paleoclimatologists</t>
  </si>
  <si>
    <t>If 1 were to be considered as prime what would the sieve of Eratosthenes yield for all other numbers?</t>
  </si>
  <si>
    <t>0.52</t>
  </si>
  <si>
    <t>How many languages did Tesla know?</t>
  </si>
  <si>
    <t>It became clear that managing the Apollo program would exceed the capabilities of Robert R. Gilruth's Space Task Group, which had been directing the nation's manned space program from NASA's Langley Research Center. So Gilruth was given authority to grow his organization into a new NASA center, the Manned Spacecraft Center (MSC). A site was chosen in Houston, Texas, on land donated by Rice University, and Administrator Webb announced the conversion on September 19, 1961. It was also clear NASA would soon outgrow its practice of controlling missions from its Cape Canaveral Air Force Station launch facilities in Florida, so a new Mission Control Center would be included in the MSC.</t>
  </si>
  <si>
    <t>When did Paul Rand's iconic ABC logo first debut?</t>
  </si>
  <si>
    <t>highlands</t>
  </si>
  <si>
    <t>Legislative Council</t>
  </si>
  <si>
    <t>What type of membership will allow local pastors to retire as clergy?</t>
  </si>
  <si>
    <t>How many photosynthetic carotenoids are there?</t>
  </si>
  <si>
    <t>How many of the remaining launches were successful?</t>
  </si>
  <si>
    <t>What runs from the balancer in the statocyst to the comb rows?</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</si>
  <si>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</si>
  <si>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over 17.5 million</t>
  </si>
  <si>
    <t>What was the the movement called that brought Baltic countries independence from the Soviet Union?</t>
  </si>
  <si>
    <t>chemical oxygen generators or oxygen candles</t>
  </si>
  <si>
    <t>Los Angeles Times</t>
  </si>
  <si>
    <t>What did Fritschel say the man's sleep was disturbed by?</t>
  </si>
  <si>
    <t>What is NSFNET</t>
  </si>
  <si>
    <t>91.3</t>
  </si>
  <si>
    <t>Design Event festival</t>
  </si>
  <si>
    <t>filling of molecular orbitals</t>
  </si>
  <si>
    <t>$12</t>
  </si>
  <si>
    <t>What danger did the IPCC understate?</t>
  </si>
  <si>
    <t>advances made in the Middle East in botany and chemistry</t>
  </si>
  <si>
    <t>Bishop Lloyd Christ Wicke</t>
  </si>
  <si>
    <t>conversion, "accepting Jesus as your personal Lord and Savior," or being "born again</t>
  </si>
  <si>
    <t>Another important library – the University Library, founded in 1816, is home to over two million items. The building was designed by architects Marek Budzyński and Zbigniew Badowski and opened on 15 December 1999. It is surrounded by green. The University Library garden, designed by Irena Bajerska, was opened on 12 June 2002. It is one of the largest and most beautiful roof gardens in Europe with an area of more than 10,000 m2 (107,639.10 sq ft), and plants covering 5,111 m2 (55,014.35 sq ft). As the university garden it is open to the public every day.</t>
  </si>
  <si>
    <t>In what year did Massachusetts first require children to be educated in schools?</t>
  </si>
  <si>
    <t>In what form are most hospital medications?</t>
  </si>
  <si>
    <t>91%</t>
  </si>
  <si>
    <t>harassment</t>
  </si>
  <si>
    <t>National Aeronautics and Space Administration (NASA</t>
  </si>
  <si>
    <t>delayed the sealing of the hatch</t>
  </si>
  <si>
    <t>Super Bowl 50 was an American football game to determine the champion of the National Football League (NFL) for the 2015 season. The American Football Conference (AFC) champion Denver Broncos defeated the National Football Conference (NFC) champion Carolina Panthers 24–10 to earn their third Super Bowl title. The game was played on February 7, 2016, at Levi's Stadium in the San Francisco Bay Area at Santa Clara, California. As this was the 50th Super Bowl, the league emphasized the "golden anniversary" with various gold-themed initiatives, as well as temporarily suspending the tradition of naming each Super Bowl game with Roman numerals (under which the game would have been known as "Super Bowl L"), so that the logo could prominently feature the Arabic numerals 50.</t>
  </si>
  <si>
    <t>By the opening of the 2008 General Conference, what was the total UMC membership in the U.S.?</t>
  </si>
  <si>
    <t>What channel shows repeats of the Doctor Who shows?</t>
  </si>
  <si>
    <t>What makes red algae red?</t>
  </si>
  <si>
    <t>the Parliament of the United Kingdom at Westminster</t>
  </si>
  <si>
    <t>94</t>
  </si>
  <si>
    <t>constant flooding</t>
  </si>
  <si>
    <t>When was a part of Grainger Town destroyed?</t>
  </si>
  <si>
    <t>1679</t>
  </si>
  <si>
    <t>about 1820</t>
  </si>
  <si>
    <t>What happens as they build phase 1?</t>
  </si>
  <si>
    <t>What si the comparison to sea level with the oxygen level in space suits?</t>
  </si>
  <si>
    <t>an unbalanced torque</t>
  </si>
  <si>
    <t xml:space="preserve">Is the packet header long </t>
  </si>
  <si>
    <t>eight U.S. presidents</t>
  </si>
  <si>
    <t>immunomodulators</t>
  </si>
  <si>
    <t>Peridinin</t>
  </si>
  <si>
    <t>University of Washington</t>
  </si>
  <si>
    <t>The Daily Mail newspaper reported in 2012 that the UK government's benefits agency was checking claimants' "Sky TV bills to establish if a woman in receipt of benefits as a single mother is wrongly claiming to be living alone" – as, it claimed, subscription to sports channels would betray a man's presence in the household. In December, the UK’s parliament heard a claim that a subscription to BSkyB was ‘often damaging’, along with alcohol, tobacco and gambling. Conservative MP Alec Shelbrooke was proposing the payments of benefits and tax credits on a "Welfare Cash Card", in the style of the Supplemental Nutrition Assistance Program, that could be used to buy only "essentials".</t>
  </si>
  <si>
    <t>What are pharmacists forbidden to do?</t>
  </si>
  <si>
    <t>a major part</t>
  </si>
  <si>
    <t>What is tertiary education?</t>
  </si>
  <si>
    <t>a proper hierarchy</t>
  </si>
  <si>
    <t>What countries use a red stylized A to signify pharmacy?</t>
  </si>
  <si>
    <t>All green parts</t>
  </si>
  <si>
    <t>approximately 45 million</t>
  </si>
  <si>
    <t>All clergy appointments are made for how long?</t>
  </si>
  <si>
    <t>The 1960s would be marked by the rise of family-oriented series in an attempt by ABC to counterprogram its established competitors, but the decade was also marked by the network's gradual transition to color. On September 30, 1960, ABC premiered The Flintstones, another example of counterprogramming; although the animated series from William Hanna and Joseph Barbera was filmed in color from the beginning, it was initially broadcast in black-and-white, as ABC had not made the necessary technical upgrades to broadcast its programming in color at the time. The Flintstones allowed ABC to present a novelty, that of prime-time animated programming, but it also allowed the network to begin filling the hole opened by the conclusion of the Disney partnership by carrying family-oriented programming from other producers.</t>
  </si>
  <si>
    <t>WABC-TV and Philadelphia O&amp;O WPVI-TV</t>
  </si>
  <si>
    <t>What force acted on bodies to retard their velocity?</t>
  </si>
  <si>
    <t>the 16th century</t>
  </si>
  <si>
    <t>Many words</t>
  </si>
  <si>
    <t>The T. T. Tsui Gallery</t>
  </si>
  <si>
    <t>May 3, 2013</t>
  </si>
  <si>
    <t>"Bairn" and "hyem", meaning "child" and "home", respectively, are examples of Geordie words with origins in Scandinavia; barn and hjem are the corresponding modern Norwegian and Danish words. Some words used in the Geordie dialect are used elsewhere in the Northern United Kingdom. The words "bonny" (meaning "pretty"), "howay" ("come on"), "stot" ("bounce") and "hadaway" ("go away" or "you're kidding"), all appear to be used in Scots; "aye" ("yes") and "nowt" (IPA://naʊt/, rhymes with out,"nothing") are used elsewhere in Northern England. Many words, however, appear to be used exclusively in Newcastle and the surrounding area, such as "Canny" (a versatile word meaning "good", "nice" or "very"), "hacky" ("dirty"), "netty" ("toilet"), "hoy" ("throw", from the Dutch gooien, via West Frisian), "hockle" ("spit").</t>
  </si>
  <si>
    <t>How large are Chloroplast ribosomes?</t>
  </si>
  <si>
    <t>What did Polo call the Yuan capital?</t>
  </si>
  <si>
    <t>How many men were in Robert's army?</t>
  </si>
  <si>
    <t>number 24</t>
  </si>
  <si>
    <t>1731</t>
  </si>
  <si>
    <t>What type of image was Tesla thought to have accidentally taken a week prior to the announcement of its discovery?</t>
  </si>
  <si>
    <t>United Nations</t>
  </si>
  <si>
    <t>the army and the populace</t>
  </si>
  <si>
    <t>the death of Elisabeth Sladen</t>
  </si>
  <si>
    <t>34</t>
  </si>
  <si>
    <t>engage in moral dialogue</t>
  </si>
  <si>
    <t>What is another general concept that applies to elements of commutative rings?</t>
  </si>
  <si>
    <t>Doctor in Bible.</t>
  </si>
  <si>
    <t>How effective was the military use of the "Afghan Arabs"?</t>
  </si>
  <si>
    <t>136</t>
  </si>
  <si>
    <t>Josiah Wedgwood, William De Morgan and Bernard Leach</t>
  </si>
  <si>
    <t>Caris &amp; Co.</t>
  </si>
  <si>
    <t>Emperor Chengzong</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</si>
</sst>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font>
    <font>
      <color theme="1"/>
      <name val="Calibri"/>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0</v>
      </c>
      <c r="B1" s="1" t="s">
        <v>1</v>
      </c>
    </row>
    <row r="2">
      <c r="A2" s="2" t="s">
        <v>2</v>
      </c>
      <c r="B2" s="2" t="str">
        <f>IFERROR(__xludf.DUMMYFUNCTION("GOOGLETRANSLATE(A2, ""en"", ""mt"")"),"Lulju")</f>
        <v>Lulju</v>
      </c>
    </row>
    <row r="3">
      <c r="A3" s="2" t="s">
        <v>3</v>
      </c>
      <c r="B3" s="2" t="str">
        <f>IFERROR(__xludf.DUMMYFUNCTION("GOOGLETRANSLATE(A3, ""en"", ""mt"")"),"Aġitazzjoni mifruxa għal riforma kostituzzjonali")</f>
        <v>Aġitazzjoni mifruxa għal riforma kostituzzjonali</v>
      </c>
    </row>
    <row r="4">
      <c r="A4" s="2" t="s">
        <v>4</v>
      </c>
      <c r="B4" s="2" t="str">
        <f>IFERROR(__xludf.DUMMYFUNCTION("GOOGLETRANSLATE(A4, ""en"", ""mt"")"),"Meta Varsavja saret iċ-ċentru tal-Kungress tal-Polonja?")</f>
        <v>Meta Varsavja saret iċ-ċentru tal-Kungress tal-Polonja?</v>
      </c>
    </row>
    <row r="5">
      <c r="A5" s="2" t="s">
        <v>5</v>
      </c>
      <c r="B5" s="2" t="str">
        <f>IFERROR(__xludf.DUMMYFUNCTION("GOOGLETRANSLATE(A5, ""en"", ""mt"")"),"Minbarra New York fejn Tesla wettaq esperimenti?")</f>
        <v>Minbarra New York fejn Tesla wettaq esperimenti?</v>
      </c>
    </row>
    <row r="6">
      <c r="A6" s="2" t="s">
        <v>6</v>
      </c>
      <c r="B6" s="2" t="str">
        <f>IFERROR(__xludf.DUMMYFUNCTION("GOOGLETRANSLATE(A6, ""en"", ""mt"")"),"X'ġara mill-ekwipaġġ ta 'Apollo 13 biex iġġiegħelhom jużaw l-LM bħala ""dgħajsa tal-ħajja"" kif kien iddisinjat?")</f>
        <v>X'ġara mill-ekwipaġġ ta 'Apollo 13 biex iġġiegħelhom jużaw l-LM bħala "dgħajsa tal-ħajja" kif kien iddisinjat?</v>
      </c>
    </row>
    <row r="7">
      <c r="A7" s="2" t="s">
        <v>7</v>
      </c>
      <c r="B7" s="2" t="str">
        <f>IFERROR(__xludf.DUMMYFUNCTION("GOOGLETRANSLATE(A7, ""en"", ""mt"")"),"Liema professjoni missieru Martin ried li ibnu jsegwi?")</f>
        <v>Liema professjoni missieru Martin ried li ibnu jsegwi?</v>
      </c>
    </row>
    <row r="8">
      <c r="A8" s="2" t="s">
        <v>8</v>
      </c>
      <c r="B8" s="2" t="str">
        <f>IFERROR(__xludf.DUMMYFUNCTION("GOOGLETRANSLATE(A8, ""en"", ""mt"")"),"Dak li għen lill-Lama jiddetermina li jerġa 'jinbena?")</f>
        <v>Dak li għen lill-Lama jiddetermina li jerġa 'jinbena?</v>
      </c>
    </row>
    <row r="9">
      <c r="A9" s="2" t="s">
        <v>9</v>
      </c>
      <c r="B9" s="2" t="str">
        <f>IFERROR(__xludf.DUMMYFUNCTION("GOOGLETRANSLATE(A9, ""en"", ""mt"")"),"John Mayow miet f'liema sena?")</f>
        <v>John Mayow miet f'liema sena?</v>
      </c>
    </row>
    <row r="10">
      <c r="A10" s="2" t="s">
        <v>10</v>
      </c>
      <c r="B10" s="2" t="str">
        <f>IFERROR(__xludf.DUMMYFUNCTION("GOOGLETRANSLATE(A10, ""en"", ""mt"")"),"L-istil tal-ħġieġ Art Deco huwa rrappreżentat minn liema artist?")</f>
        <v>L-istil tal-ħġieġ Art Deco huwa rrappreżentat minn liema artist?</v>
      </c>
    </row>
    <row r="11">
      <c r="A11" s="2" t="s">
        <v>11</v>
      </c>
      <c r="B11" s="2" t="str">
        <f>IFERROR(__xludf.DUMMYFUNCTION("GOOGLETRANSLATE(A11, ""en"", ""mt"")"),"memorja immunoloġika")</f>
        <v>memorja immunoloġika</v>
      </c>
    </row>
    <row r="12">
      <c r="A12" s="2" t="s">
        <v>12</v>
      </c>
      <c r="B12" s="2" t="str">
        <f>IFERROR(__xludf.DUMMYFUNCTION("GOOGLETRANSLATE(A12, ""en"", ""mt"")"),"Lewkoċiti")</f>
        <v>Lewkoċiti</v>
      </c>
    </row>
    <row r="13">
      <c r="A13" s="2" t="s">
        <v>13</v>
      </c>
      <c r="B13" s="2" t="str">
        <f>IFERROR(__xludf.DUMMYFUNCTION("GOOGLETRANSLATE(A13, ""en"", ""mt"")"),"X’taħseb li kien kullimkien fl-univers?")</f>
        <v>X’taħseb li kien kullimkien fl-univers?</v>
      </c>
    </row>
    <row r="14">
      <c r="A14" s="2" t="s">
        <v>14</v>
      </c>
      <c r="B14" s="2" t="str">
        <f>IFERROR(__xludf.DUMMYFUNCTION("GOOGLETRANSLATE(A14, ""en"", ""mt"")"),"Mansfeld")</f>
        <v>Mansfeld</v>
      </c>
    </row>
    <row r="15">
      <c r="A15" s="2" t="s">
        <v>15</v>
      </c>
      <c r="B15" s="2" t="str">
        <f>IFERROR(__xludf.DUMMYFUNCTION("GOOGLETRANSLATE(A15, ""en"", ""mt"")"),"Kabinett tal-Konferenza Annwali")</f>
        <v>Kabinett tal-Konferenza Annwali</v>
      </c>
    </row>
    <row r="16">
      <c r="A16" s="2" t="s">
        <v>16</v>
      </c>
      <c r="B16" s="2" t="str">
        <f>IFERROR(__xludf.DUMMYFUNCTION("GOOGLETRANSLATE(A16, ""en"", ""mt"")"),"Utilità aggregata ogħla")</f>
        <v>Utilità aggregata ogħla</v>
      </c>
    </row>
    <row r="17">
      <c r="A17" s="2" t="s">
        <v>17</v>
      </c>
      <c r="B17" s="2" t="str">
        <f>IFERROR(__xludf.DUMMYFUNCTION("GOOGLETRANSLATE(A17, ""en"", ""mt"")"),"Liema vot fuq abbozz iseħħ fl-istadju 3?")</f>
        <v>Liema vot fuq abbozz iseħħ fl-istadju 3?</v>
      </c>
    </row>
    <row r="18">
      <c r="A18" s="2" t="s">
        <v>18</v>
      </c>
      <c r="B18" s="2" t="str">
        <f>IFERROR(__xludf.DUMMYFUNCTION("GOOGLETRANSLATE(A18, ""en"", ""mt"")"),"Għal xiex hi magħrufa l-Kenja?")</f>
        <v>Għal xiex hi magħrufa l-Kenja?</v>
      </c>
    </row>
    <row r="19">
      <c r="A19" s="2" t="s">
        <v>19</v>
      </c>
      <c r="B19" s="2" t="str">
        <f>IFERROR(__xludf.DUMMYFUNCTION("GOOGLETRANSLATE(A19, ""en"", ""mt"")"),"Il-biċċa l-kbira tal-kors attwali tar-Rhine ma kienx taħt is-silġ matul l-aħħar età tas-silġ; Għalkemm, is-sors tiegħu xorta għandu jkun glaċier. Tundra, bil-flora u l-fawna tal-età tas-silġ, tiġġebbed madwar l-Ewropa Nofsani, mill-Asja sal-Oċean Atlantik"&amp;"u. Dan kien il-każ matul l-aħħar massimu glaċjali, ca. 22,000–14,000 yr bp, meta l-folji tas-silġ koprew l-Iskandinavja, il-Baltiċi, l-Iskozja u l-Alpi, iżda ħallew l-ispazju bejn it-tundra miftuħa. It-trab tal-loess jew tar-riħ minfuħ fuq dik it-tundra, "&amp;"stabbilixxa ġewwa u madwar il-wied tar-Renu, li jikkontribwixxi għall-utilità agrikola attwali tagħha.")</f>
        <v>Il-biċċa l-kbira tal-kors attwali tar-Rhine ma kienx taħt is-silġ matul l-aħħar età tas-silġ; Għalkemm, is-sors tiegħu xorta għandu jkun glaċier. Tundra, bil-flora u l-fawna tal-età tas-silġ, tiġġebbed madwar l-Ewropa Nofsani, mill-Asja sal-Oċean Atlantiku. Dan kien il-każ matul l-aħħar massimu glaċjali, ca. 22,000–14,000 yr bp, meta l-folji tas-silġ koprew l-Iskandinavja, il-Baltiċi, l-Iskozja u l-Alpi, iżda ħallew l-ispazju bejn it-tundra miftuħa. It-trab tal-loess jew tar-riħ minfuħ fuq dik it-tundra, stabbilixxa ġewwa u madwar il-wied tar-Renu, li jikkontribwixxi għall-utilità agrikola attwali tagħha.</v>
      </c>
    </row>
    <row r="20">
      <c r="A20" s="2" t="s">
        <v>20</v>
      </c>
      <c r="B20" s="2" t="str">
        <f>IFERROR(__xludf.DUMMYFUNCTION("GOOGLETRANSLATE(A20, ""en"", ""mt"")"),"Amazoneregenwoud")</f>
        <v>Amazoneregenwoud</v>
      </c>
    </row>
    <row r="21" ht="15.75" customHeight="1">
      <c r="A21" s="2" t="s">
        <v>21</v>
      </c>
      <c r="B21" s="2" t="str">
        <f>IFERROR(__xludf.DUMMYFUNCTION("GOOGLETRANSLATE(A21, ""en"", ""mt"")"),"Warner ipprova b'suċċess imħallat biex jadatta wħud mill-aktar films ta 'suċċess tagħha bħala serje televiżiva ABC, u vetrina dawn l-adattamenti bħala parti mis-serje tar-roti Warner Bros. jippreżenta. Ix-xandir matul l-istaġun 1955-56, huwa wera adattame"&amp;"nti tat-televiżjoni tal-1942 Films Kings Row u Casablanca; Cheyenne (adattat mill-film tal-1947 Wyoming Kid); Sugarfoot (remake tal-film tal-1954 The Boy minn Oklahoma); u Maverick. Madankollu, l-iktar ikonika tar-relazzjonijiet ta 'ABC mal-produtturi ta'"&amp;" Hollywood kienet il-ftehim tagħha ma 'Walt Disney; Wara l-bidu tar-rabta tan-netwerk mal-istudjo Disney, James Lewis Baughman, li ħadem bħala columnist dak iż-żmien, osserva li ""fil-kwartieri ġenerali ta 'ABC fi New York, is-segretarji [issa kienu] lieb"&amp;"es kpiepel ma' Mickey Mouse Ears"".")</f>
        <v>Warner ipprova b'suċċess imħallat biex jadatta wħud mill-aktar films ta 'suċċess tagħha bħala serje televiżiva ABC, u vetrina dawn l-adattamenti bħala parti mis-serje tar-roti Warner Bros. jippreżenta. Ix-xandir matul l-istaġun 1955-56, huwa wera adattamenti tat-televiżjoni tal-1942 Films Kings Row u Casablanca; Cheyenne (adattat mill-film tal-1947 Wyoming Kid); Sugarfoot (remake tal-film tal-1954 The Boy minn Oklahoma); u Maverick. Madankollu, l-iktar ikonika tar-relazzjonijiet ta 'ABC mal-produtturi ta' Hollywood kienet il-ftehim tagħha ma 'Walt Disney; Wara l-bidu tar-rabta tan-netwerk mal-istudjo Disney, James Lewis Baughman, li ħadem bħala columnist dak iż-żmien, osserva li "fil-kwartieri ġenerali ta 'ABC fi New York, is-segretarji [issa kienu] liebes kpiepel ma' Mickey Mouse Ears".</v>
      </c>
    </row>
    <row r="22" ht="15.75" customHeight="1">
      <c r="A22" s="2" t="s">
        <v>22</v>
      </c>
      <c r="B22" s="2" t="str">
        <f>IFERROR(__xludf.DUMMYFUNCTION("GOOGLETRANSLATE(A22, ""en"", ""mt"")"),"X'kienet ir-risposta ta 'Brittaniku l-Qadim għal Celeron?")</f>
        <v>X'kienet ir-risposta ta 'Brittaniku l-Qadim għal Celeron?</v>
      </c>
    </row>
    <row r="23" ht="15.75" customHeight="1">
      <c r="A23" s="2" t="s">
        <v>23</v>
      </c>
      <c r="B23" s="2" t="str">
        <f>IFERROR(__xludf.DUMMYFUNCTION("GOOGLETRANSLATE(A23, ""en"", ""mt"")"),"Wojciech Bogusławski Theatre")</f>
        <v>Wojciech Bogusławski Theatre</v>
      </c>
    </row>
    <row r="24" ht="15.75" customHeight="1">
      <c r="A24" s="2" t="s">
        <v>24</v>
      </c>
      <c r="B24" s="2" t="str">
        <f>IFERROR(__xludf.DUMMYFUNCTION("GOOGLETRANSLATE(A24, ""en"", ""mt"")"),"Skeda 5")</f>
        <v>Skeda 5</v>
      </c>
    </row>
    <row r="25" ht="15.75" customHeight="1">
      <c r="A25" s="2" t="s">
        <v>25</v>
      </c>
      <c r="B25" s="2" t="str">
        <f>IFERROR(__xludf.DUMMYFUNCTION("GOOGLETRANSLATE(A25, ""en"", ""mt"")"),"X'jista 'jnaqqas ir-riskju ta' korrimenti fuq ix-xogħol fl-industrija tal-kostruzzjoni?")</f>
        <v>X'jista 'jnaqqas ir-riskju ta' korrimenti fuq ix-xogħol fl-industrija tal-kostruzzjoni?</v>
      </c>
    </row>
    <row r="26" ht="15.75" customHeight="1">
      <c r="A26" s="2" t="s">
        <v>26</v>
      </c>
      <c r="B26" s="2" t="str">
        <f>IFERROR(__xludf.DUMMYFUNCTION("GOOGLETRANSLATE(A26, ""en"", ""mt"")"),"Għaliex ma setax jirreġistra fl-università?")</f>
        <v>Għaliex ma setax jirreġistra fl-università?</v>
      </c>
    </row>
    <row r="27" ht="15.75" customHeight="1">
      <c r="A27" s="2" t="s">
        <v>27</v>
      </c>
      <c r="B27" s="2" t="str">
        <f>IFERROR(__xludf.DUMMYFUNCTION("GOOGLETRANSLATE(A27, ""en"", ""mt"")"),"L-istennija tal-foresta tropikali tal-Amazon kienet ristretta qabel liema era?")</f>
        <v>L-istennija tal-foresta tropikali tal-Amazon kienet ristretta qabel liema era?</v>
      </c>
    </row>
    <row r="28" ht="15.75" customHeight="1">
      <c r="A28" s="2" t="s">
        <v>28</v>
      </c>
      <c r="B28" s="2" t="str">
        <f>IFERROR(__xludf.DUMMYFUNCTION("GOOGLETRANSLATE(A28, ""en"", ""mt"")"),"Problemi kompluti NP")</f>
        <v>Problemi kompluti NP</v>
      </c>
    </row>
    <row r="29" ht="15.75" customHeight="1">
      <c r="A29" s="2" t="s">
        <v>29</v>
      </c>
      <c r="B29" s="2" t="str">
        <f>IFERROR(__xludf.DUMMYFUNCTION("GOOGLETRANSLATE(A29, ""en"", ""mt"")"),"Min hu mgħallem fil-kulleġġi tal-għalliema?")</f>
        <v>Min hu mgħallem fil-kulleġġi tal-għalliema?</v>
      </c>
    </row>
    <row r="30" ht="15.75" customHeight="1">
      <c r="A30" s="2" t="s">
        <v>30</v>
      </c>
      <c r="B30" s="2" t="str">
        <f>IFERROR(__xludf.DUMMYFUNCTION("GOOGLETRANSLATE(A30, ""en"", ""mt"")"),"It-twaqqif ta ’knejjes Protestanti ġodda f’reġjuni kkontrollati mill-Kattoliċi")</f>
        <v>It-twaqqif ta ’knejjes Protestanti ġodda f’reġjuni kkontrollati mill-Kattoliċi</v>
      </c>
    </row>
    <row r="31" ht="15.75" customHeight="1">
      <c r="A31" s="2" t="s">
        <v>31</v>
      </c>
      <c r="B31" s="2" t="str">
        <f>IFERROR(__xludf.DUMMYFUNCTION("GOOGLETRANSLATE(A31, ""en"", ""mt"")"),"Ir-revoka pprojbixxa s-Servizzi Protestanti, kien jeħtieġ edukazzjoni tat-tfal bħala Kattoliċi, u emigrat ipprojbit. Irriżulta diżastruż għall-Huguenots u jiswa ħafna flus għal Franza. Huwa ppreċipita t-tixrid tad-demm ċivili, il-kummerċ imħassar, u rriżu"&amp;"lta fit-titjira illegali mill-pajjiż ta 'mijiet ta' eluf ta 'protestanti, li ħafna minnhom saru intellettwali, tobba u mexxejja tan-negozju fil-Gran Brittanja kif ukoll l-Olanda, il-Prussja, u l-Afrika t'Isfel. Erbgħa elf emigraw lejn il-kolonji ta 'l-Ame"&amp;"rika ta' Fuq, fejn stabbilixxew fi New York u Virginia, speċjalment. L-Ingliżi laqgħu r-refuġjati Franċiżi, u pprovdew flus kemm mill-gvern kif ukoll mill-aġenziji privati ​​biex jgħinu r-rilokazzjoni tagħhom. Dawk il-Huguenots li qagħdu fi Franza saru Ka"&amp;"ttoliċi u kienu jissejħu ""konvertiti ġodda"".")</f>
        <v>Ir-revoka pprojbixxa s-Servizzi Protestanti, kien jeħtieġ edukazzjoni tat-tfal bħala Kattoliċi, u emigrat ipprojbit. Irriżulta diżastruż għall-Huguenots u jiswa ħafna flus għal Franza. Huwa ppreċipita t-tixrid tad-demm ċivili, il-kummerċ imħassar, u rriżulta fit-titjira illegali mill-pajjiż ta 'mijiet ta' eluf ta 'protestanti, li ħafna minnhom saru intellettwali, tobba u mexxejja tan-negozju fil-Gran Brittanja kif ukoll l-Olanda, il-Prussja, u l-Afrika t'Isfel. Erbgħa elf emigraw lejn il-kolonji ta 'l-Amerika ta' Fuq, fejn stabbilixxew fi New York u Virginia, speċjalment. L-Ingliżi laqgħu r-refuġjati Franċiżi, u pprovdew flus kemm mill-gvern kif ukoll mill-aġenziji privati ​​biex jgħinu r-rilokazzjoni tagħhom. Dawk il-Huguenots li qagħdu fi Franza saru Kattoliċi u kienu jissejħu "konvertiti ġodda".</v>
      </c>
    </row>
    <row r="32" ht="15.75" customHeight="1">
      <c r="A32" s="2" t="s">
        <v>32</v>
      </c>
      <c r="B32" s="2" t="str">
        <f>IFERROR(__xludf.DUMMYFUNCTION("GOOGLETRANSLATE(A32, ""en"", ""mt"")"),"il-forza tal-gravità fuq oġġett")</f>
        <v>il-forza tal-gravità fuq oġġett</v>
      </c>
    </row>
    <row r="33" ht="15.75" customHeight="1">
      <c r="A33" s="2" t="s">
        <v>33</v>
      </c>
      <c r="B33" s="2" t="str">
        <f>IFERROR(__xludf.DUMMYFUNCTION("GOOGLETRANSLATE(A33, ""en"", ""mt"")"),"Fin-nofsinhar")</f>
        <v>Fin-nofsinhar</v>
      </c>
    </row>
    <row r="34" ht="15.75" customHeight="1">
      <c r="A34" s="2" t="s">
        <v>34</v>
      </c>
      <c r="B34" s="2" t="str">
        <f>IFERROR(__xludf.DUMMYFUNCTION("GOOGLETRANSLATE(A34, ""en"", ""mt"")"),"Skola għall-periti navali")</f>
        <v>Skola għall-periti navali</v>
      </c>
    </row>
    <row r="35" ht="15.75" customHeight="1">
      <c r="A35" s="2" t="s">
        <v>35</v>
      </c>
      <c r="B35" s="2" t="str">
        <f>IFERROR(__xludf.DUMMYFUNCTION("GOOGLETRANSLATE(A35, ""en"", ""mt"")"),"L-Aħjar Għalliema")</f>
        <v>L-Aħjar Għalliema</v>
      </c>
    </row>
    <row r="36" ht="15.75" customHeight="1">
      <c r="A36" s="2" t="s">
        <v>36</v>
      </c>
      <c r="B36" s="2" t="str">
        <f>IFERROR(__xludf.DUMMYFUNCTION("GOOGLETRANSLATE(A36, ""en"", ""mt"")"),"Min irreġistra ""Mixi fi Fresno?""")</f>
        <v>Min irreġistra "Mixi fi Fresno?"</v>
      </c>
    </row>
    <row r="37" ht="15.75" customHeight="1">
      <c r="A37" s="2" t="s">
        <v>37</v>
      </c>
      <c r="B37" s="2" t="str">
        <f>IFERROR(__xludf.DUMMYFUNCTION("GOOGLETRANSLATE(A37, ""en"", ""mt"")"),"Fluke storiku")</f>
        <v>Fluke storiku</v>
      </c>
    </row>
    <row r="38" ht="15.75" customHeight="1">
      <c r="A38" s="2" t="s">
        <v>38</v>
      </c>
      <c r="B38" s="2" t="str">
        <f>IFERROR(__xludf.DUMMYFUNCTION("GOOGLETRANSLATE(A38, ""en"", ""mt"")"),"45 minuta")</f>
        <v>45 minuta</v>
      </c>
    </row>
    <row r="39" ht="15.75" customHeight="1">
      <c r="A39" s="2" t="s">
        <v>39</v>
      </c>
      <c r="B39" s="2" t="str">
        <f>IFERROR(__xludf.DUMMYFUNCTION("GOOGLETRANSLATE(A39, ""en"", ""mt"")"),"Liema tifqigħa kienet assoċjata mat-truppi fil-gwerra tat-tletin sena?")</f>
        <v>Liema tifqigħa kienet assoċjata mat-truppi fil-gwerra tat-tletin sena?</v>
      </c>
    </row>
    <row r="40" ht="15.75" customHeight="1">
      <c r="A40" s="2" t="s">
        <v>40</v>
      </c>
      <c r="B40" s="2" t="str">
        <f>IFERROR(__xludf.DUMMYFUNCTION("GOOGLETRANSLATE(A40, ""en"", ""mt"")"),"Prima Scriptura")</f>
        <v>Prima Scriptura</v>
      </c>
    </row>
    <row r="41" ht="15.75" customHeight="1">
      <c r="A41" s="2" t="s">
        <v>41</v>
      </c>
      <c r="B41" s="2" t="str">
        <f>IFERROR(__xludf.DUMMYFUNCTION("GOOGLETRANSLATE(A41, ""en"", ""mt"")"),"X'inhu l-isem taż-żona li għadda mill-fruntiera li fiha l-Megaregion testendi?")</f>
        <v>X'inhu l-isem taż-żona li għadda mill-fruntiera li fiha l-Megaregion testendi?</v>
      </c>
    </row>
    <row r="42" ht="15.75" customHeight="1">
      <c r="A42" s="2" t="s">
        <v>42</v>
      </c>
      <c r="B42" s="2" t="str">
        <f>IFERROR(__xludf.DUMMYFUNCTION("GOOGLETRANSLATE(A42, ""en"", ""mt"")"),"pajjiż")</f>
        <v>pajjiż</v>
      </c>
    </row>
    <row r="43" ht="15.75" customHeight="1">
      <c r="A43" s="2" t="s">
        <v>43</v>
      </c>
      <c r="B43" s="2" t="str">
        <f>IFERROR(__xludf.DUMMYFUNCTION("GOOGLETRANSLATE(A43, ""en"", ""mt"")"),"Meta Honda, Toyota u Nissan fetħu pjanti tal-assemblaġġ tal-Istati Uniti?")</f>
        <v>Meta Honda, Toyota u Nissan fetħu pjanti tal-assemblaġġ tal-Istati Uniti?</v>
      </c>
    </row>
    <row r="44" ht="15.75" customHeight="1">
      <c r="A44" s="2" t="s">
        <v>44</v>
      </c>
      <c r="B44" s="2" t="str">
        <f>IFERROR(__xludf.DUMMYFUNCTION("GOOGLETRANSLATE(A44, ""en"", ""mt"")"),"ikkumplikat")</f>
        <v>ikkumplikat</v>
      </c>
    </row>
    <row r="45" ht="15.75" customHeight="1">
      <c r="A45" s="2" t="s">
        <v>45</v>
      </c>
      <c r="B45" s="2" t="str">
        <f>IFERROR(__xludf.DUMMYFUNCTION("GOOGLETRANSLATE(A45, ""en"", ""mt"")"),"L-evidenza tindika li ċ-ċidippidi mhumiex xiex?")</f>
        <v>L-evidenza tindika li ċ-ċidippidi mhumiex xiex?</v>
      </c>
    </row>
    <row r="46" ht="15.75" customHeight="1">
      <c r="A46" s="2" t="s">
        <v>46</v>
      </c>
      <c r="B46" s="2" t="str">
        <f>IFERROR(__xludf.DUMMYFUNCTION("GOOGLETRANSLATE(A46, ""en"", ""mt"")"),"Żona tal-belt Grainger")</f>
        <v>Żona tal-belt Grainger</v>
      </c>
    </row>
    <row r="47" ht="15.75" customHeight="1">
      <c r="A47" s="2" t="s">
        <v>47</v>
      </c>
      <c r="B47" s="2" t="str">
        <f>IFERROR(__xludf.DUMMYFUNCTION("GOOGLETRANSLATE(A47, ""en"", ""mt"")"),"Bijokimiku")</f>
        <v>Bijokimiku</v>
      </c>
    </row>
    <row r="48" ht="15.75" customHeight="1">
      <c r="A48" s="2" t="s">
        <v>48</v>
      </c>
      <c r="B48" s="2" t="str">
        <f>IFERROR(__xludf.DUMMYFUNCTION("GOOGLETRANSLATE(A48, ""en"", ""mt"")"),"X'tagħmel it-terapija bl-ossiġenu tippromwovi l-ġisem biex jieħu?")</f>
        <v>X'tagħmel it-terapija bl-ossiġenu tippromwovi l-ġisem biex jieħu?</v>
      </c>
    </row>
    <row r="49" ht="15.75" customHeight="1">
      <c r="A49" s="2" t="s">
        <v>49</v>
      </c>
      <c r="B49" s="2" t="str">
        <f>IFERROR(__xludf.DUMMYFUNCTION("GOOGLETRANSLATE(A49, ""en"", ""mt"")"),"X'kien it-tul irreġistrat ta 'l-ewwel xrar?")</f>
        <v>X'kien it-tul irreġistrat ta 'l-ewwel xrar?</v>
      </c>
    </row>
    <row r="50" ht="15.75" customHeight="1">
      <c r="A50" s="2" t="s">
        <v>50</v>
      </c>
      <c r="B50" s="2" t="str">
        <f>IFERROR(__xludf.DUMMYFUNCTION("GOOGLETRANSLATE(A50, ""en"", ""mt"")"),"Proġetti ta 'kostruzzjoni jistgħu jsofru minn problemi finanzjarji li jistgħu jiġu evitati. Is-taħt iseħħ meta l-bennejja jitolbu ftit flus biex jitlestew il-proġett. Problemi tal-fluss tal-flus jeżistu meta l-ammont preżenti ta 'finanzjament ma jistax ik"&amp;"opri l-ispejjeż kurrenti għax-xogħol u l-materjali, u minħabba li huma kwistjoni li jkollok fondi suffiċjenti f'ħin speċifiku, tista' tinqala 'anke meta t-total ġenerali jkun biżżejjed. Il-frodi hija problema f'ħafna oqsma, iżda hija notorjament prevalent"&amp;"i fil-qasam tal-kostruzzjoni. L-ippjanar finanzjarju għall-proġett huwa maħsub biex jiżgura li pjan solidu b'salmagwardji u pjanijiet ta 'kontinġenza jkunu fis-seħħ qabel ma jinbeda l-proġett u jkun meħtieġ biex jiżgura li l-pjan jiġi eżegwit sewwa matul "&amp;"il-ħajja tal-proġett.")</f>
        <v>Proġetti ta 'kostruzzjoni jistgħu jsofru minn problemi finanzjarji li jistgħu jiġu evitati. Is-taħt iseħħ meta l-bennejja jitolbu ftit flus biex jitlestew il-proġett. Problemi tal-fluss tal-flus jeżistu meta l-ammont preżenti ta 'finanzjament ma jistax ikopri l-ispejjeż kurrenti għax-xogħol u l-materjali, u minħabba li huma kwistjoni li jkollok fondi suffiċjenti f'ħin speċifiku, tista' tinqala 'anke meta t-total ġenerali jkun biżżejjed. Il-frodi hija problema f'ħafna oqsma, iżda hija notorjament prevalenti fil-qasam tal-kostruzzjoni. L-ippjanar finanzjarju għall-proġett huwa maħsub biex jiżgura li pjan solidu b'salmagwardji u pjanijiet ta 'kontinġenza jkunu fis-seħħ qabel ma jinbeda l-proġett u jkun meħtieġ biex jiżgura li l-pjan jiġi eżegwit sewwa matul il-ħajja tal-proġett.</v>
      </c>
    </row>
    <row r="51" ht="15.75" customHeight="1">
      <c r="A51" s="2" t="s">
        <v>51</v>
      </c>
      <c r="B51" s="2" t="str">
        <f>IFERROR(__xludf.DUMMYFUNCTION("GOOGLETRANSLATE(A51, ""en"", ""mt"")"),"finali")</f>
        <v>finali</v>
      </c>
    </row>
    <row r="52" ht="15.75" customHeight="1">
      <c r="A52" s="2" t="s">
        <v>52</v>
      </c>
      <c r="B52" s="2" t="str">
        <f>IFERROR(__xludf.DUMMYFUNCTION("GOOGLETRANSLATE(A52, ""en"", ""mt"")"),"Kontra l-kulur")</f>
        <v>Kontra l-kulur</v>
      </c>
    </row>
    <row r="53" ht="15.75" customHeight="1">
      <c r="A53" s="2" t="s">
        <v>53</v>
      </c>
      <c r="B53" s="2" t="str">
        <f>IFERROR(__xludf.DUMMYFUNCTION("GOOGLETRANSLATE(A53, ""en"", ""mt"")"),"AC u NC huma klassijiet ta 'kumplessità tipikament assoċjati ma' liema tip ta 'ċirkwit?")</f>
        <v>AC u NC huma klassijiet ta 'kumplessità tipikament assoċjati ma' liema tip ta 'ċirkwit?</v>
      </c>
    </row>
    <row r="54" ht="15.75" customHeight="1">
      <c r="A54" s="2" t="s">
        <v>54</v>
      </c>
      <c r="B54" s="2" t="str">
        <f>IFERROR(__xludf.DUMMYFUNCTION("GOOGLETRANSLATE(A54, ""en"", ""mt"")"),"Modulu Lunar Pilot")</f>
        <v>Modulu Lunar Pilot</v>
      </c>
    </row>
    <row r="55" ht="15.75" customHeight="1">
      <c r="A55" s="2" t="s">
        <v>55</v>
      </c>
      <c r="B55" s="2" t="str">
        <f>IFERROR(__xludf.DUMMYFUNCTION("GOOGLETRANSLATE(A55, ""en"", ""mt"")"),"1050s")</f>
        <v>1050s</v>
      </c>
    </row>
    <row r="56" ht="15.75" customHeight="1">
      <c r="A56" s="2" t="s">
        <v>56</v>
      </c>
      <c r="B56" s="2" t="str">
        <f>IFERROR(__xludf.DUMMYFUNCTION("GOOGLETRANSLATE(A56, ""en"", ""mt"")"),"Liema pożizzjoni aċċettat Tesla fl-iskambju?")</f>
        <v>Liema pożizzjoni aċċettat Tesla fl-iskambju?</v>
      </c>
    </row>
    <row r="57" ht="15.75" customHeight="1">
      <c r="A57" s="2" t="s">
        <v>57</v>
      </c>
      <c r="B57" s="2" t="str">
        <f>IFERROR(__xludf.DUMMYFUNCTION("GOOGLETRANSLATE(A57, ""en"", ""mt"")"),"L-antiġeni jorbtu ma 'dak li jġib tweġiba tas-sistema immuni?")</f>
        <v>L-antiġeni jorbtu ma 'dak li jġib tweġiba tas-sistema immuni?</v>
      </c>
    </row>
    <row r="58" ht="15.75" customHeight="1">
      <c r="A58" s="2" t="s">
        <v>58</v>
      </c>
      <c r="B58" s="2" t="str">
        <f>IFERROR(__xludf.DUMMYFUNCTION("GOOGLETRANSLATE(A58, ""en"", ""mt"")"),"X'kien l-għan ta 'John Sheepshanks konsiderevoli għall-mużew?")</f>
        <v>X'kien l-għan ta 'John Sheepshanks konsiderevoli għall-mużew?</v>
      </c>
    </row>
    <row r="59" ht="15.75" customHeight="1">
      <c r="A59" s="2" t="s">
        <v>59</v>
      </c>
      <c r="B59" s="2" t="str">
        <f>IFERROR(__xludf.DUMMYFUNCTION("GOOGLETRANSLATE(A59, ""en"", ""mt"")"),"B'suċċess ma jħalluhx jinqata '")</f>
        <v>B'suċċess ma jħalluhx jinqata '</v>
      </c>
    </row>
    <row r="60" ht="15.75" customHeight="1">
      <c r="A60" s="2" t="s">
        <v>60</v>
      </c>
      <c r="B60" s="2" t="str">
        <f>IFERROR(__xludf.DUMMYFUNCTION("GOOGLETRANSLATE(A60, ""en"", ""mt"")"),"Min ħa t-tort ta 'Josel ta' Rosheim għall-kundizzjoni tal-Lhud fis-Sassonja?")</f>
        <v>Min ħa t-tort ta 'Josel ta' Rosheim għall-kundizzjoni tal-Lhud fis-Sassonja?</v>
      </c>
    </row>
    <row r="61" ht="15.75" customHeight="1">
      <c r="A61" s="2" t="s">
        <v>61</v>
      </c>
      <c r="B61" s="2" t="str">
        <f>IFERROR(__xludf.DUMMYFUNCTION("GOOGLETRANSLATE(A61, ""en"", ""mt"")"),"Liema foresta tropikali tkopri l-maġġoranza tal-baċin tal-Amażonja fl-Amerika t'Isfel?")</f>
        <v>Liema foresta tropikali tkopri l-maġġoranza tal-baċin tal-Amażonja fl-Amerika t'Isfel?</v>
      </c>
    </row>
    <row r="62" ht="15.75" customHeight="1">
      <c r="A62" s="2" t="s">
        <v>62</v>
      </c>
      <c r="B62" s="2" t="str">
        <f>IFERROR(__xludf.DUMMYFUNCTION("GOOGLETRANSLATE(A62, ""en"", ""mt"")"),"X'inhuma żewġ fatturi li jaffettwaw direttament kemm tista 'tkun magna tat-Turing qawwija?")</f>
        <v>X'inhuma żewġ fatturi li jaffettwaw direttament kemm tista 'tkun magna tat-Turing qawwija?</v>
      </c>
    </row>
    <row r="63" ht="15.75" customHeight="1">
      <c r="A63" s="2" t="s">
        <v>63</v>
      </c>
      <c r="B63" s="2" t="str">
        <f>IFERROR(__xludf.DUMMYFUNCTION("GOOGLETRANSLATE(A63, ""en"", ""mt"")"),"Norman Foster")</f>
        <v>Norman Foster</v>
      </c>
    </row>
    <row r="64" ht="15.75" customHeight="1">
      <c r="A64" s="2" t="s">
        <v>64</v>
      </c>
      <c r="B64" s="2" t="str">
        <f>IFERROR(__xludf.DUMMYFUNCTION("GOOGLETRANSLATE(A64, ""en"", ""mt"")"),"Stimulazzjoni tat-tkabbir tal-produzzjoni taż-żerriegħa lokali")</f>
        <v>Stimulazzjoni tat-tkabbir tal-produzzjoni taż-żerriegħa lokali</v>
      </c>
    </row>
    <row r="65" ht="15.75" customHeight="1">
      <c r="A65" s="2" t="s">
        <v>65</v>
      </c>
      <c r="B65" s="2" t="str">
        <f>IFERROR(__xludf.DUMMYFUNCTION("GOOGLETRANSLATE(A65, ""en"", ""mt"")"),"X’wassal lil Luther jikteb innijiet?")</f>
        <v>X’wassal lil Luther jikteb innijiet?</v>
      </c>
    </row>
    <row r="66" ht="15.75" customHeight="1">
      <c r="A66" s="2" t="s">
        <v>66</v>
      </c>
      <c r="B66" s="2" t="str">
        <f>IFERROR(__xludf.DUMMYFUNCTION("GOOGLETRANSLATE(A66, ""en"", ""mt"")"),"Stan Lebar")</f>
        <v>Stan Lebar</v>
      </c>
    </row>
    <row r="67" ht="15.75" customHeight="1">
      <c r="A67" s="2" t="s">
        <v>67</v>
      </c>
      <c r="B67" s="2" t="str">
        <f>IFERROR(__xludf.DUMMYFUNCTION("GOOGLETRANSLATE(A67, ""en"", ""mt"")"),"proċess edukattiv")</f>
        <v>proċess edukattiv</v>
      </c>
    </row>
    <row r="68" ht="15.75" customHeight="1">
      <c r="A68" s="2" t="s">
        <v>68</v>
      </c>
      <c r="B68" s="2" t="str">
        <f>IFERROR(__xludf.DUMMYFUNCTION("GOOGLETRANSLATE(A68, ""en"", ""mt"")"),"folk-rock")</f>
        <v>folk-rock</v>
      </c>
    </row>
    <row r="69" ht="15.75" customHeight="1">
      <c r="A69" s="2" t="s">
        <v>69</v>
      </c>
      <c r="B69" s="2" t="str">
        <f>IFERROR(__xludf.DUMMYFUNCTION("GOOGLETRANSLATE(A69, ""en"", ""mt"")"),"Kemm jistgħu jieklu Ctenophores f'ġurnata waħda?")</f>
        <v>Kemm jistgħu jieklu Ctenophores f'ġurnata waħda?</v>
      </c>
    </row>
    <row r="70" ht="15.75" customHeight="1">
      <c r="A70" s="2" t="s">
        <v>70</v>
      </c>
      <c r="B70" s="2" t="str">
        <f>IFERROR(__xludf.DUMMYFUNCTION("GOOGLETRANSLATE(A70, ""en"", ""mt"")"),"Kemm nies jappartjenu għall-bord ta 'trustees tal-università?")</f>
        <v>Kemm nies jappartjenu għall-bord ta 'trustees tal-università?</v>
      </c>
    </row>
    <row r="71" ht="15.75" customHeight="1">
      <c r="A71" s="2" t="s">
        <v>71</v>
      </c>
      <c r="B71" s="2" t="str">
        <f>IFERROR(__xludf.DUMMYFUNCTION("GOOGLETRANSLATE(A71, ""en"", ""mt"")"),"Atmosfera ta 'ossiġnu")</f>
        <v>Atmosfera ta 'ossiġnu</v>
      </c>
    </row>
    <row r="72" ht="15.75" customHeight="1">
      <c r="A72" s="2" t="s">
        <v>72</v>
      </c>
      <c r="B72" s="2" t="str">
        <f>IFERROR(__xludf.DUMMYFUNCTION("GOOGLETRANSLATE(A72, ""en"", ""mt"")"),"Matul il-provinċji tagħha ta 'l-Amerika ta' Fuq")</f>
        <v>Matul il-provinċji tagħha ta 'l-Amerika ta' Fuq</v>
      </c>
    </row>
    <row r="73" ht="15.75" customHeight="1">
      <c r="A73" s="2" t="s">
        <v>73</v>
      </c>
      <c r="B73" s="2" t="str">
        <f>IFERROR(__xludf.DUMMYFUNCTION("GOOGLETRANSLATE(A73, ""en"", ""mt"")"),"X'kien akkużat Abu Hamaz al-Masri meta ġie arrestat?")</f>
        <v>X'kien akkużat Abu Hamaz al-Masri meta ġie arrestat?</v>
      </c>
    </row>
    <row r="74" ht="15.75" customHeight="1">
      <c r="A74" s="2" t="s">
        <v>74</v>
      </c>
      <c r="B74" s="2" t="str">
        <f>IFERROR(__xludf.DUMMYFUNCTION("GOOGLETRANSLATE(A74, ""en"", ""mt"")"),"Min hu eliġibbli biex jitfa 'isimhom fil-kappell biex ikun l-ewwel ministru?")</f>
        <v>Min hu eliġibbli biex jitfa 'isimhom fil-kappell biex ikun l-ewwel ministru?</v>
      </c>
    </row>
    <row r="75" ht="15.75" customHeight="1">
      <c r="A75" s="2" t="s">
        <v>75</v>
      </c>
      <c r="B75" s="2" t="str">
        <f>IFERROR(__xludf.DUMMYFUNCTION("GOOGLETRANSLATE(A75, ""en"", ""mt"")"),"Monterey")</f>
        <v>Monterey</v>
      </c>
    </row>
    <row r="76" ht="15.75" customHeight="1">
      <c r="A76" s="2" t="s">
        <v>76</v>
      </c>
      <c r="B76" s="2" t="str">
        <f>IFERROR(__xludf.DUMMYFUNCTION("GOOGLETRANSLATE(A76, ""en"", ""mt"")"),"Liema persentaġġ ta 'telespettatur tat-TV-ħin ewlieni rrappreżentaw it-tliet netwerks kbar fl-1980?")</f>
        <v>Liema persentaġġ ta 'telespettatur tat-TV-ħin ewlieni rrappreżentaw it-tliet netwerks kbar fl-1980?</v>
      </c>
    </row>
    <row r="77" ht="15.75" customHeight="1">
      <c r="A77" s="2" t="s">
        <v>77</v>
      </c>
      <c r="B77" s="2" t="str">
        <f>IFERROR(__xludf.DUMMYFUNCTION("GOOGLETRANSLATE(A77, ""en"", ""mt"")"),"Waqt li tifel kien l-iskola")</f>
        <v>Waqt li tifel kien l-iskola</v>
      </c>
    </row>
    <row r="78" ht="15.75" customHeight="1">
      <c r="A78" s="2" t="s">
        <v>78</v>
      </c>
      <c r="B78" s="2" t="str">
        <f>IFERROR(__xludf.DUMMYFUNCTION("GOOGLETRANSLATE(A78, ""en"", ""mt"")"),"temperaturi aktar baxxi")</f>
        <v>temperaturi aktar baxxi</v>
      </c>
    </row>
    <row r="79" ht="15.75" customHeight="1">
      <c r="A79" s="2" t="s">
        <v>79</v>
      </c>
      <c r="B79" s="2" t="str">
        <f>IFERROR(__xludf.DUMMYFUNCTION("GOOGLETRANSLATE(A79, ""en"", ""mt"")"),"Oħrajn: Mexxej tad-Drittijiet Ċivili W. E. B. Du Bois; Filosofu Henry David Thoreau; Awturi Ralph Waldo Emerson u William S. Burroughs; Edukaturi Werner Baer, ​​Harlan Hanson; Poeti Wallace Stevens, T. S. Eliot u E. E. Cummings; Konduttur Leonard Bernstei"&amp;"n; cellist yo yo ma; pjanista u kompożitur Charlie Albright; Kompożitur John Alden Carpenter; kummidjant, spettaklu tat-televiżjoni u kittieb Conan O'Brien; L-atturi Tatyana Ali, Nestor Carbonell, Matt Damon, Fred Gwynne, Hill Harper, Rashida Jones, Tommy"&amp;" Lee Jones, Ashley Judd, Jack Lemmon, Natalie Portman, Mira Sorvino, Elisabeth Shue, u Scottie Thompson; id-diretturi tal-films Darren Aronofsky, Terrence Malick, Mira Nair, u Whit Stillman; Il-Perit Philip Johnson; Mużiċisti Xmajjar Cuomo, Tom Morello, u"&amp;" Gram Parsons; mużiċist, produttur u kompożitur Ryan Leslie; qattiel tas-serje Ted Kaczynski; Programmatur u attivist Richard Stallman; Il-quarterback tal-NFL Ryan Fitzpatrick; Ċentru NFL Matt Birk; Il-plejer tal-NBA Jeremy Lin; Skier tat-tim tal-iskijjar"&amp;" Amerikan Ryan Max Riley; Tabib Sachin H. Jain; Fiżista J. Robert Oppenheimer; Pijunier tal-kompjuter u inventur ta 'Wang; Tibetologu George de Roerich; u l-Ammirall Marshall Isoroku Yamamoto.")</f>
        <v>Oħrajn: Mexxej tad-Drittijiet Ċivili W. E. B. Du Bois; Filosofu Henry David Thoreau; Awturi Ralph Waldo Emerson u William S. Burroughs; Edukaturi Werner Baer, ​​Harlan Hanson; Poeti Wallace Stevens, T. S. Eliot u E. E. Cummings; Konduttur Leonard Bernstein; cellist yo yo ma; pjanista u kompożitur Charlie Albright; Kompożitur John Alden Carpenter; kummidjant, spettaklu tat-televiżjoni u kittieb Conan O'Brien; L-atturi Tatyana Ali, Nestor Carbonell, Matt Damon, Fred Gwynne, Hill Harper, Rashida Jones, Tommy Lee Jones, Ashley Judd, Jack Lemmon, Natalie Portman, Mira Sorvino, Elisabeth Shue, u Scottie Thompson; id-diretturi tal-films Darren Aronofsky, Terrence Malick, Mira Nair, u Whit Stillman; Il-Perit Philip Johnson; Mużiċisti Xmajjar Cuomo, Tom Morello, u Gram Parsons; mużiċist, produttur u kompożitur Ryan Leslie; qattiel tas-serje Ted Kaczynski; Programmatur u attivist Richard Stallman; Il-quarterback tal-NFL Ryan Fitzpatrick; Ċentru NFL Matt Birk; Il-plejer tal-NBA Jeremy Lin; Skier tat-tim tal-iskijjar Amerikan Ryan Max Riley; Tabib Sachin H. Jain; Fiżista J. Robert Oppenheimer; Pijunier tal-kompjuter u inventur ta 'Wang; Tibetologu George de Roerich; u l-Ammirall Marshall Isoroku Yamamoto.</v>
      </c>
    </row>
    <row r="80" ht="15.75" customHeight="1">
      <c r="A80" s="2" t="s">
        <v>80</v>
      </c>
      <c r="B80" s="2" t="str">
        <f>IFERROR(__xludf.DUMMYFUNCTION("GOOGLETRANSLATE(A80, ""en"", ""mt"")"),"ħama l-għadira")</f>
        <v>ħama l-għadira</v>
      </c>
    </row>
    <row r="81" ht="15.75" customHeight="1">
      <c r="A81" s="2" t="s">
        <v>81</v>
      </c>
      <c r="B81" s="2" t="str">
        <f>IFERROR(__xludf.DUMMYFUNCTION("GOOGLETRANSLATE(A81, ""en"", ""mt"")"),"Suite proprjetarja ta 'protokolli ta' netwerking")</f>
        <v>Suite proprjetarja ta 'protokolli ta' netwerking</v>
      </c>
    </row>
    <row r="82" ht="15.75" customHeight="1">
      <c r="A82" s="2" t="s">
        <v>82</v>
      </c>
      <c r="B82" s="2" t="str">
        <f>IFERROR(__xludf.DUMMYFUNCTION("GOOGLETRANSLATE(A82, ""en"", ""mt"")"),"F’liema sena kien il-Bequest tat-Talting?")</f>
        <v>F’liema sena kien il-Bequest tat-Talting?</v>
      </c>
    </row>
    <row r="83" ht="15.75" customHeight="1">
      <c r="A83" s="2" t="s">
        <v>83</v>
      </c>
      <c r="B83" s="2" t="str">
        <f>IFERROR(__xludf.DUMMYFUNCTION("GOOGLETRANSLATE(A83, ""en"", ""mt"")"),"X'jagħmlu r-regoli dwar il-kunflitt ta 'interess li jinvolvu tobba li jiddijanjostikaw pazjenti?")</f>
        <v>X'jagħmlu r-regoli dwar il-kunflitt ta 'interess li jinvolvu tobba li jiddijanjostikaw pazjenti?</v>
      </c>
    </row>
    <row r="84" ht="15.75" customHeight="1">
      <c r="A84" s="2" t="s">
        <v>84</v>
      </c>
      <c r="B84" s="2" t="str">
        <f>IFERROR(__xludf.DUMMYFUNCTION("GOOGLETRANSLATE(A84, ""en"", ""mt"")"),"OAPEC ipproklama l-embargo li trażżan l-esportazzjonijiet lejn diversi pajjiżi u imblukkat il-kunsinni kollha taż-żejt lejn l-Istati Uniti bħala ""pajjiż ostili prinċipali")</f>
        <v>OAPEC ipproklama l-embargo li trażżan l-esportazzjonijiet lejn diversi pajjiżi u imblukkat il-kunsinni kollha taż-żejt lejn l-Istati Uniti bħala "pajjiż ostili prinċipali</v>
      </c>
    </row>
    <row r="85" ht="15.75" customHeight="1">
      <c r="A85" s="2" t="s">
        <v>85</v>
      </c>
      <c r="B85" s="2" t="str">
        <f>IFERROR(__xludf.DUMMYFUNCTION("GOOGLETRANSLATE(A85, ""en"", ""mt"")"),"Organizzazzjonijiet professjonali u tax-xogħol")</f>
        <v>Organizzazzjonijiet professjonali u tax-xogħol</v>
      </c>
    </row>
    <row r="86" ht="15.75" customHeight="1">
      <c r="A86" s="2" t="s">
        <v>86</v>
      </c>
      <c r="B86" s="2" t="str">
        <f>IFERROR(__xludf.DUMMYFUNCTION("GOOGLETRANSLATE(A86, ""en"", ""mt"")"),"estiż")</f>
        <v>estiż</v>
      </c>
    </row>
    <row r="87" ht="15.75" customHeight="1">
      <c r="A87" s="2" t="s">
        <v>87</v>
      </c>
      <c r="B87" s="2" t="str">
        <f>IFERROR(__xludf.DUMMYFUNCTION("GOOGLETRANSLATE(A87, ""en"", ""mt"")"),"Somalja u Etjopja")</f>
        <v>Somalja u Etjopja</v>
      </c>
    </row>
    <row r="88" ht="15.75" customHeight="1">
      <c r="A88" s="2" t="s">
        <v>88</v>
      </c>
      <c r="B88" s="2" t="str">
        <f>IFERROR(__xludf.DUMMYFUNCTION("GOOGLETRANSLATE(A88, ""en"", ""mt"")"),"mhux vjolenti")</f>
        <v>mhux vjolenti</v>
      </c>
    </row>
    <row r="89" ht="15.75" customHeight="1">
      <c r="A89" s="2" t="s">
        <v>89</v>
      </c>
      <c r="B89" s="2" t="str">
        <f>IFERROR(__xludf.DUMMYFUNCTION("GOOGLETRANSLATE(A89, ""en"", ""mt"")"),"Min kiteb il-mutanti?")</f>
        <v>Min kiteb il-mutanti?</v>
      </c>
    </row>
    <row r="90" ht="15.75" customHeight="1">
      <c r="A90" s="2" t="s">
        <v>90</v>
      </c>
      <c r="B90" s="2" t="str">
        <f>IFERROR(__xludf.DUMMYFUNCTION("GOOGLETRANSLATE(A90, ""en"", ""mt"")"),"Għandhom aktar assi finanzjarji mill-inqas 48 nazzjon magħquda.")</f>
        <v>Għandhom aktar assi finanzjarji mill-inqas 48 nazzjon magħquda.</v>
      </c>
    </row>
    <row r="91" ht="15.75" customHeight="1">
      <c r="A91" s="2" t="s">
        <v>91</v>
      </c>
      <c r="B91" s="2" t="str">
        <f>IFERROR(__xludf.DUMMYFUNCTION("GOOGLETRANSLATE(A91, ""en"", ""mt"")"),"Kemm mill-popolazzjoni Ewropea qatlet il-Mewt l-Iswed?")</f>
        <v>Kemm mill-popolazzjoni Ewropea qatlet il-Mewt l-Iswed?</v>
      </c>
    </row>
    <row r="92" ht="15.75" customHeight="1">
      <c r="A92" s="2" t="s">
        <v>92</v>
      </c>
      <c r="B92" s="2" t="str">
        <f>IFERROR(__xludf.DUMMYFUNCTION("GOOGLETRANSLATE(A92, ""en"", ""mt"")"),"Madwar 11-il miljun membru fi kważi 42,000 kongregazzjoni")</f>
        <v>Madwar 11-il miljun membru fi kważi 42,000 kongregazzjoni</v>
      </c>
    </row>
    <row r="93" ht="15.75" customHeight="1">
      <c r="A93" s="2" t="s">
        <v>93</v>
      </c>
      <c r="B93" s="2" t="str">
        <f>IFERROR(__xludf.DUMMYFUNCTION("GOOGLETRANSLATE(A93, ""en"", ""mt"")"),"Meta ġie adottat il-kulur krimżi f'Harvard bħala kulur uffiċjali?")</f>
        <v>Meta ġie adottat il-kulur krimżi f'Harvard bħala kulur uffiċjali?</v>
      </c>
    </row>
    <row r="94" ht="15.75" customHeight="1">
      <c r="A94" s="2" t="s">
        <v>94</v>
      </c>
      <c r="B94" s="2" t="str">
        <f>IFERROR(__xludf.DUMMYFUNCTION("GOOGLETRANSLATE(A94, ""en"", ""mt"")"),"mistrieħ")</f>
        <v>mistrieħ</v>
      </c>
    </row>
    <row r="95" ht="15.75" customHeight="1">
      <c r="A95" s="2" t="s">
        <v>95</v>
      </c>
      <c r="B95" s="2" t="str">
        <f>IFERROR(__xludf.DUMMYFUNCTION("GOOGLETRANSLATE(A95, ""en"", ""mt"")"),"aktar faċli u aktar effiċjenti")</f>
        <v>aktar faċli u aktar effiċjenti</v>
      </c>
    </row>
    <row r="96" ht="15.75" customHeight="1">
      <c r="A96" s="2" t="s">
        <v>96</v>
      </c>
      <c r="B96" s="2" t="str">
        <f>IFERROR(__xludf.DUMMYFUNCTION("GOOGLETRANSLATE(A96, ""en"", ""mt"")"),"L-oriġini tal-figura leġġendarja mhix magħrufa għal kollox. Il-leġġenda l-iktar magħrufa, ta 'Artur Oppman, hija li żmien ilu tnejn mill-bniet ta' Triton waqqfu vjaġġ fil-fond tal-oċeani u l-ibħra. Wieħed minnhom iddeċieda li jibqa ’fuq il-kosta tad-Danim"&amp;"arka u jista’ jidher bilqiegħda fid-daħla tal-Port ta ’Kopenħagen. It-tieni sirena laħqet il-ħalq tax-xmara Vistula u tefgħet fl-ilmijiet tagħha. Hija waqfet tistrieħ fuq bajja bir-ramel mill-villaġġ ta 'Warszowa, fejn is-sajjieda waslu biex jammiraw is-s"&amp;"buħija tagħha u jisimgħu l-vuċi sabiħa tagħha. Merkantili greedy sema ’wkoll il-kanzunetti tagħha; Huwa segwa s-sajjieda u qabad il-sirena.")</f>
        <v>L-oriġini tal-figura leġġendarja mhix magħrufa għal kollox. Il-leġġenda l-iktar magħrufa, ta 'Artur Oppman, hija li żmien ilu tnejn mill-bniet ta' Triton waqqfu vjaġġ fil-fond tal-oċeani u l-ibħra. Wieħed minnhom iddeċieda li jibqa ’fuq il-kosta tad-Danimarka u jista’ jidher bilqiegħda fid-daħla tal-Port ta ’Kopenħagen. It-tieni sirena laħqet il-ħalq tax-xmara Vistula u tefgħet fl-ilmijiet tagħha. Hija waqfet tistrieħ fuq bajja bir-ramel mill-villaġġ ta 'Warszowa, fejn is-sajjieda waslu biex jammiraw is-sbuħija tagħha u jisimgħu l-vuċi sabiħa tagħha. Merkantili greedy sema ’wkoll il-kanzunetti tagħha; Huwa segwa s-sajjieda u qabad il-sirena.</v>
      </c>
    </row>
    <row r="97" ht="15.75" customHeight="1">
      <c r="A97" s="2" t="s">
        <v>97</v>
      </c>
      <c r="B97" s="2" t="str">
        <f>IFERROR(__xludf.DUMMYFUNCTION("GOOGLETRANSLATE(A97, ""en"", ""mt"")"),"tixrid ta 'mard mill-Ewropa")</f>
        <v>tixrid ta 'mard mill-Ewropa</v>
      </c>
    </row>
    <row r="98" ht="15.75" customHeight="1">
      <c r="A98" s="2" t="s">
        <v>98</v>
      </c>
      <c r="B98" s="2" t="str">
        <f>IFERROR(__xludf.DUMMYFUNCTION("GOOGLETRANSLATE(A98, ""en"", ""mt"")"),"Hobson argumenta li l-imperjalizmu kien internazzjonali xiex?")</f>
        <v>Hobson argumenta li l-imperjalizmu kien internazzjonali xiex?</v>
      </c>
    </row>
    <row r="99" ht="15.75" customHeight="1">
      <c r="A99" s="2" t="s">
        <v>99</v>
      </c>
      <c r="B99" s="2" t="str">
        <f>IFERROR(__xludf.DUMMYFUNCTION("GOOGLETRANSLATE(A99, ""en"", ""mt"")"),"Liema grad irċieva Martin Luther fid-19 ta 'Ottubru, 1512?")</f>
        <v>Liema grad irċieva Martin Luther fid-19 ta 'Ottubru, 1512?</v>
      </c>
    </row>
    <row r="100" ht="15.75" customHeight="1">
      <c r="A100" s="2" t="s">
        <v>100</v>
      </c>
      <c r="B100" s="2" t="str">
        <f>IFERROR(__xludf.DUMMYFUNCTION("GOOGLETRANSLATE(A100, ""en"", ""mt"")"),"Msps")</f>
        <v>Msps</v>
      </c>
    </row>
    <row r="101" ht="15.75" customHeight="1">
      <c r="A101" s="2" t="s">
        <v>101</v>
      </c>
      <c r="B101" s="2" t="str">
        <f>IFERROR(__xludf.DUMMYFUNCTION("GOOGLETRANSLATE(A101, ""en"", ""mt"")"),"Norm isir iżgħar")</f>
        <v>Norm isir iżgħar</v>
      </c>
    </row>
    <row r="102" ht="15.75" customHeight="1">
      <c r="A102" s="2" t="s">
        <v>102</v>
      </c>
      <c r="B102" s="2" t="str">
        <f>IFERROR(__xludf.DUMMYFUNCTION("GOOGLETRANSLATE(A102, ""en"", ""mt"")"),"Tuzzjonijiet bejn il-pari")</f>
        <v>Tuzzjonijiet bejn il-pari</v>
      </c>
    </row>
    <row r="103" ht="15.75" customHeight="1">
      <c r="A103" s="2" t="s">
        <v>103</v>
      </c>
      <c r="B103" s="2" t="str">
        <f>IFERROR(__xludf.DUMMYFUNCTION("GOOGLETRANSLATE(A103, ""en"", ""mt"")"),"Knisja Kattolika Rumana")</f>
        <v>Knisja Kattolika Rumana</v>
      </c>
    </row>
    <row r="104" ht="15.75" customHeight="1">
      <c r="A104" s="2" t="s">
        <v>104</v>
      </c>
      <c r="B104" s="2" t="str">
        <f>IFERROR(__xludf.DUMMYFUNCTION("GOOGLETRANSLATE(A104, ""en"", ""mt"")"),"Min kienu t-tliet aħwa sħaħ ta 'Temüjin?")</f>
        <v>Min kienu t-tliet aħwa sħaħ ta 'Temüjin?</v>
      </c>
    </row>
    <row r="105" ht="15.75" customHeight="1">
      <c r="A105" s="2" t="s">
        <v>105</v>
      </c>
      <c r="B105" s="2" t="str">
        <f>IFERROR(__xludf.DUMMYFUNCTION("GOOGLETRANSLATE(A105, ""en"", ""mt"")"),"Kummenti ppubblikati fuq il-websajt Capital FM tal-Kenja minn Liu Guangyuan, l-Ambaxxatur taċ-Ċina fil-Kenja, fil-ħin tal-vjaġġ tal-President Kenyatta 2013 lejn Beijing, qal, ""L-investiment Ċiniż fil-Kenja ... laħaq $ 474 miljun, li jirrappreżenta l-akba"&amp;"r sors tal-Kenja ta 'investiment dirett barrani, U ... Kummerċ Bilaterali ... laħaq $ 2.84 biljun ""fl-2012. Kenyatta kien"" [a] ckumplikat minn 60 persuna tan-negozju Kenjan [u ttama li] ... jikseb appoġġ miċ-Ċina għal ferrovjarja ppjanata ta '$ 2.5 bilj"&amp;"un mill-Kenjan tan-Nofsinhar Port of Mombasa lill-Uganda ġirien, kif ukoll diga ta 'kważi $ 1.8 biljun "", skond stqarrija mill-uffiċċju tal-president ukoll fil-ħin tal-vjaġġ. Bażi tat-Titanium, sussidjarja tar-Riżorsi Bażi tal-Awstralja, bagħtet l-ewwel "&amp;"konsenja ewlenija tagħha ta ’minerali lejn iċ-Ċina. Madwar 25,000 tunnellata ta 'ilmenite ġiet immarkata barra l-belt kostali tal-Kenja ta' Kilifi. L-ewwel vjeġġ kien mistenni li jaqla 'l-Kenja madwar SHS15 - SHS20 biljun fi qligħ. Iċ-Ċina ilha tikkawża p"&amp;"roblemi ambjentali u soċjali li jinkludu s-sospensjoni reċenti tal-proġett tal-ferrovija.")</f>
        <v>Kummenti ppubblikati fuq il-websajt Capital FM tal-Kenja minn Liu Guangyuan, l-Ambaxxatur taċ-Ċina fil-Kenja, fil-ħin tal-vjaġġ tal-President Kenyatta 2013 lejn Beijing, qal, "L-investiment Ċiniż fil-Kenja ... laħaq $ 474 miljun, li jirrappreżenta l-akbar sors tal-Kenja ta 'investiment dirett barrani, U ... Kummerċ Bilaterali ... laħaq $ 2.84 biljun "fl-2012. Kenyatta kien" [a] ckumplikat minn 60 persuna tan-negozju Kenjan [u ttama li] ... jikseb appoġġ miċ-Ċina għal ferrovjarja ppjanata ta '$ 2.5 biljun mill-Kenjan tan-Nofsinhar Port of Mombasa lill-Uganda ġirien, kif ukoll diga ta 'kważi $ 1.8 biljun ", skond stqarrija mill-uffiċċju tal-president ukoll fil-ħin tal-vjaġġ. Bażi tat-Titanium, sussidjarja tar-Riżorsi Bażi tal-Awstralja, bagħtet l-ewwel konsenja ewlenija tagħha ta ’minerali lejn iċ-Ċina. Madwar 25,000 tunnellata ta 'ilmenite ġiet immarkata barra l-belt kostali tal-Kenja ta' Kilifi. L-ewwel vjeġġ kien mistenni li jaqla 'l-Kenja madwar SHS15 - SHS20 biljun fi qligħ. Iċ-Ċina ilha tikkawża problemi ambjentali u soċjali li jinkludu s-sospensjoni reċenti tal-proġett tal-ferrovija.</v>
      </c>
    </row>
    <row r="106" ht="15.75" customHeight="1">
      <c r="A106" s="2" t="s">
        <v>106</v>
      </c>
      <c r="B106" s="2" t="str">
        <f>IFERROR(__xludf.DUMMYFUNCTION("GOOGLETRANSLATE(A106, ""en"", ""mt"")"),"Huma ffokaw fuq studju tal-Bibbja, studju metodiku tal-Iskrittura u jgħixu ħajja qaddisa")</f>
        <v>Huma ffokaw fuq studju tal-Bibbja, studju metodiku tal-Iskrittura u jgħixu ħajja qaddisa</v>
      </c>
    </row>
    <row r="107" ht="15.75" customHeight="1">
      <c r="A107" s="2" t="s">
        <v>107</v>
      </c>
      <c r="B107" s="2" t="str">
        <f>IFERROR(__xludf.DUMMYFUNCTION("GOOGLETRANSLATE(A107, ""en"", ""mt"")"),"X'kienet l-ewwel magna vera li kienet suċċess kummerċjalment?")</f>
        <v>X'kienet l-ewwel magna vera li kienet suċċess kummerċjalment?</v>
      </c>
    </row>
    <row r="108" ht="15.75" customHeight="1">
      <c r="A108" s="2" t="s">
        <v>108</v>
      </c>
      <c r="B108" s="2" t="str">
        <f>IFERROR(__xludf.DUMMYFUNCTION("GOOGLETRANSLATE(A108, ""en"", ""mt"")"),"port addizzjonali")</f>
        <v>port addizzjonali</v>
      </c>
    </row>
    <row r="109" ht="15.75" customHeight="1">
      <c r="A109" s="2" t="s">
        <v>109</v>
      </c>
      <c r="B109" s="2" t="str">
        <f>IFERROR(__xludf.DUMMYFUNCTION("GOOGLETRANSLATE(A109, ""en"", ""mt"")"),"Il-kamra tad-dibattitu tal-Parlament Skoċċiż għandha bilqiegħda rranġata f'emċiklu, li jirrifletti x-xewqa li jinkoraġġixxi kunsens fost il-membri eletti. Hemm 131 siġġu fil-kamra tad-dibattitu. Mit-total ta '131 siġġu, 129 huma okkupati mill-MSPs eletti "&amp;"tal-Parlament u 2 huma siġġijiet għall-uffiċjali tal-liġi Skoċċiża - l-Avukat tal-Mulej u l-avukat ġenerali għall-Iskozja, li mhumiex eletti membri tal-Parlament iżda huma membri tal-gvern Skoċċiż. Bħala tali l-uffiċjali tal-liġi jistgħu jattendu u jitkel"&amp;"lmu fil-laqgħat plenarji tal-Parlament iżda, peress li mhumiex eletti MSPs, ma jistgħux jivvutaw. Il-membri jistgħu joqogħdu kullimkien fil-kamra tad-dibattitu, iżda tipikament joqogħdu fil-gruppi tal-partit tagħhom. L-ewwel ministru, ministri tal-kabinet"&amp;"t Skoċċiż u uffiċjali tal-liġi joqogħdu fir-ringiela ta ’quddiem, fit-taqsima tan-nofs tal-kamra. L-akbar partit fil-Parlament qiegħed fin-nofs taċ-ċirku, ma 'partijiet opposti fuq kull naħa. L-uffiċjal li jippresiedi, skrivani parlamentari u uffiċjali jo"&amp;"qogħdu membri opposti fuq quddiem tal-kamra tad-dibattitu.")</f>
        <v>Il-kamra tad-dibattitu tal-Parlament Skoċċiż għandha bilqiegħda rranġata f'emċiklu, li jirrifletti x-xewqa li jinkoraġġixxi kunsens fost il-membri eletti. Hemm 131 siġġu fil-kamra tad-dibattitu. Mit-total ta '131 siġġu, 129 huma okkupati mill-MSPs eletti tal-Parlament u 2 huma siġġijiet għall-uffiċjali tal-liġi Skoċċiża - l-Avukat tal-Mulej u l-avukat ġenerali għall-Iskozja, li mhumiex eletti membri tal-Parlament iżda huma membri tal-gvern Skoċċiż. Bħala tali l-uffiċjali tal-liġi jistgħu jattendu u jitkellmu fil-laqgħat plenarji tal-Parlament iżda, peress li mhumiex eletti MSPs, ma jistgħux jivvutaw. Il-membri jistgħu joqogħdu kullimkien fil-kamra tad-dibattitu, iżda tipikament joqogħdu fil-gruppi tal-partit tagħhom. L-ewwel ministru, ministri tal-kabinett Skoċċiż u uffiċjali tal-liġi joqogħdu fir-ringiela ta ’quddiem, fit-taqsima tan-nofs tal-kamra. L-akbar partit fil-Parlament qiegħed fin-nofs taċ-ċirku, ma 'partijiet opposti fuq kull naħa. L-uffiċjal li jippresiedi, skrivani parlamentari u uffiċjali joqogħdu membri opposti fuq quddiem tal-kamra tad-dibattitu.</v>
      </c>
    </row>
    <row r="110" ht="15.75" customHeight="1">
      <c r="A110" s="2" t="s">
        <v>110</v>
      </c>
      <c r="B110" s="2" t="str">
        <f>IFERROR(__xludf.DUMMYFUNCTION("GOOGLETRANSLATE(A110, ""en"", ""mt"")"),"Manning")</f>
        <v>Manning</v>
      </c>
    </row>
    <row r="111" ht="15.75" customHeight="1">
      <c r="A111" s="2" t="s">
        <v>111</v>
      </c>
      <c r="B111" s="2" t="str">
        <f>IFERROR(__xludf.DUMMYFUNCTION("GOOGLETRANSLATE(A111, ""en"", ""mt"")"),"Min kien President tal-Kumitat tax-Xjenza tal-Kamra?")</f>
        <v>Min kien President tal-Kumitat tax-Xjenza tal-Kamra?</v>
      </c>
    </row>
    <row r="112" ht="15.75" customHeight="1">
      <c r="A112" s="2" t="s">
        <v>112</v>
      </c>
      <c r="B112" s="2" t="str">
        <f>IFERROR(__xludf.DUMMYFUNCTION("GOOGLETRANSLATE(A112, ""en"", ""mt"")"),"X'tip ta 'aċidi amminiċi huma rappreżentati żżejjed fir-reġjuni tal-epitopi?")</f>
        <v>X'tip ta 'aċidi amminiċi huma rappreżentati żżejjed fir-reġjuni tal-epitopi?</v>
      </c>
    </row>
    <row r="113" ht="15.75" customHeight="1">
      <c r="A113" s="2" t="s">
        <v>113</v>
      </c>
      <c r="B113" s="2" t="str">
        <f>IFERROR(__xludf.DUMMYFUNCTION("GOOGLETRANSLATE(A113, ""en"", ""mt"")"),"Frar 2011")</f>
        <v>Frar 2011</v>
      </c>
    </row>
    <row r="114" ht="15.75" customHeight="1">
      <c r="A114" s="2" t="s">
        <v>114</v>
      </c>
      <c r="B114" s="2" t="str">
        <f>IFERROR(__xludf.DUMMYFUNCTION("GOOGLETRANSLATE(A114, ""en"", ""mt"")"),"iddestinat għal perdition.")</f>
        <v>iddestinat għal perdition.</v>
      </c>
    </row>
    <row r="115" ht="15.75" customHeight="1">
      <c r="A115" s="2" t="s">
        <v>115</v>
      </c>
      <c r="B115" s="2" t="str">
        <f>IFERROR(__xludf.DUMMYFUNCTION("GOOGLETRANSLATE(A115, ""en"", ""mt"")"),"Liema tim lagħab id-Denver Broncos fis-Super Bowl XXXIII?")</f>
        <v>Liema tim lagħab id-Denver Broncos fis-Super Bowl XXXIII?</v>
      </c>
    </row>
    <row r="116" ht="15.75" customHeight="1">
      <c r="A116" s="2" t="s">
        <v>116</v>
      </c>
      <c r="B116" s="2" t="str">
        <f>IFERROR(__xludf.DUMMYFUNCTION("GOOGLETRANSLATE(A116, ""en"", ""mt"")"),"Wara li kien innota film bil-ħsara fil-laboratorju tiegħu f'esperimenti preċedenti")</f>
        <v>Wara li kien innota film bil-ħsara fil-laboratorju tiegħu f'esperimenti preċedenti</v>
      </c>
    </row>
    <row r="117" ht="15.75" customHeight="1">
      <c r="A117" s="2" t="s">
        <v>117</v>
      </c>
      <c r="B117" s="2" t="str">
        <f>IFERROR(__xludf.DUMMYFUNCTION("GOOGLETRANSLATE(A117, ""en"", ""mt"")"),"Flimkien ma 'gerijiet tal-valv tal-poppet, x'tip ta' gerijiet użaw dħul separat u valvi ta 'l-egżost biex jagħtu avvenimenti ideali?")</f>
        <v>Flimkien ma 'gerijiet tal-valv tal-poppet, x'tip ta' gerijiet użaw dħul separat u valvi ta 'l-egżost biex jagħtu avvenimenti ideali?</v>
      </c>
    </row>
    <row r="118" ht="15.75" customHeight="1">
      <c r="A118" s="2" t="s">
        <v>118</v>
      </c>
      <c r="B118" s="2" t="str">
        <f>IFERROR(__xludf.DUMMYFUNCTION("GOOGLETRANSLATE(A118, ""en"", ""mt"")"),"It-Tyneside Flat kienet il-forma ta 'akkomodazzjoni dominanti mibnija fiż-żmien meta ċ-ċentri industrijali fuq Tyneside kienu qed jikbru l-iktar malajr. Jistgħu jinstabu f'żoni bħal South Heaton fi Newcastle iżda ladarba ddominaw il-pajsaġġ tat-toroq fuq "&amp;"iż-żewġ naħat tat-Tyne. Flats Tyneside nbnew bħala terrazzi, wieħed minn kull par ta 'bibien wassal għal ċatt ta' fuq waqt li l-ieħor wassal fil-pjan ċatt fl-art, kull wieħed minn żewġ jew tliet kmamar. Żvilupp ġdid fil-Wied ta 'Ouseburn irrikreahom; L-Ar"&amp;"kitetti Cany Ash u Robert Sakula kienu attirati mill-possibbiltajiet ta ’densità għolja mingħajr ma jibnu għoljin u jeħilsu minn żoni komuni.")</f>
        <v>It-Tyneside Flat kienet il-forma ta 'akkomodazzjoni dominanti mibnija fiż-żmien meta ċ-ċentri industrijali fuq Tyneside kienu qed jikbru l-iktar malajr. Jistgħu jinstabu f'żoni bħal South Heaton fi Newcastle iżda ladarba ddominaw il-pajsaġġ tat-toroq fuq iż-żewġ naħat tat-Tyne. Flats Tyneside nbnew bħala terrazzi, wieħed minn kull par ta 'bibien wassal għal ċatt ta' fuq waqt li l-ieħor wassal fil-pjan ċatt fl-art, kull wieħed minn żewġ jew tliet kmamar. Żvilupp ġdid fil-Wied ta 'Ouseburn irrikreahom; L-Arkitetti Cany Ash u Robert Sakula kienu attirati mill-possibbiltajiet ta ’densità għolja mingħajr ma jibnu għoljin u jeħilsu minn żoni komuni.</v>
      </c>
    </row>
    <row r="119" ht="15.75" customHeight="1">
      <c r="A119" s="2" t="s">
        <v>119</v>
      </c>
      <c r="B119" s="2" t="str">
        <f>IFERROR(__xludf.DUMMYFUNCTION("GOOGLETRANSLATE(A119, ""en"", ""mt"")"),"San Francisco")</f>
        <v>San Francisco</v>
      </c>
    </row>
    <row r="120" ht="15.75" customHeight="1">
      <c r="A120" s="2" t="s">
        <v>120</v>
      </c>
      <c r="B120" s="2" t="str">
        <f>IFERROR(__xludf.DUMMYFUNCTION("GOOGLETRANSLATE(A120, ""en"", ""mt"")"),"fir-renju")</f>
        <v>fir-renju</v>
      </c>
    </row>
    <row r="121" ht="15.75" customHeight="1">
      <c r="A121" s="2" t="s">
        <v>121</v>
      </c>
      <c r="B121" s="2" t="str">
        <f>IFERROR(__xludf.DUMMYFUNCTION("GOOGLETRANSLATE(A121, ""en"", ""mt"")"),"X'inhu l-isem elast tal-plejer li kien is-Super Bowl 50 Rebbieħ tar-rebbieħ?")</f>
        <v>X'inhu l-isem elast tal-plejer li kien is-Super Bowl 50 Rebbieħ tar-rebbieħ?</v>
      </c>
    </row>
    <row r="122" ht="15.75" customHeight="1">
      <c r="A122" s="2" t="s">
        <v>122</v>
      </c>
      <c r="B122" s="2" t="str">
        <f>IFERROR(__xludf.DUMMYFUNCTION("GOOGLETRANSLATE(A122, ""en"", ""mt"")"),"Fejn jintuża l-Ingliż Ingliż normalment?")</f>
        <v>Fejn jintuża l-Ingliż Ingliż normalment?</v>
      </c>
    </row>
    <row r="123" ht="15.75" customHeight="1">
      <c r="A123" s="2" t="s">
        <v>123</v>
      </c>
      <c r="B123" s="2" t="str">
        <f>IFERROR(__xludf.DUMMYFUNCTION("GOOGLETRANSLATE(A123, ""en"", ""mt"")"),"Liao, Jin, u kanzunetta")</f>
        <v>Liao, Jin, u kanzunetta</v>
      </c>
    </row>
    <row r="124" ht="15.75" customHeight="1">
      <c r="A124" s="2" t="s">
        <v>124</v>
      </c>
      <c r="B124" s="2" t="str">
        <f>IFERROR(__xludf.DUMMYFUNCTION("GOOGLETRANSLATE(A124, ""en"", ""mt"")"),"Liema markatur tat-tarzna fuq il-grawnd kien miżbugħ deheb?")</f>
        <v>Liema markatur tat-tarzna fuq il-grawnd kien miżbugħ deheb?</v>
      </c>
    </row>
    <row r="125" ht="15.75" customHeight="1">
      <c r="A125" s="2" t="s">
        <v>125</v>
      </c>
      <c r="B125" s="2" t="str">
        <f>IFERROR(__xludf.DUMMYFUNCTION("GOOGLETRANSLATE(A125, ""en"", ""mt"")"),"il-Bibbja f'lingwi vernakulari")</f>
        <v>il-Bibbja f'lingwi vernakulari</v>
      </c>
    </row>
    <row r="126" ht="15.75" customHeight="1">
      <c r="A126" s="2" t="s">
        <v>126</v>
      </c>
      <c r="B126" s="2" t="str">
        <f>IFERROR(__xludf.DUMMYFUNCTION("GOOGLETRANSLATE(A126, ""en"", ""mt"")"),"Lab Street Houston")</f>
        <v>Lab Street Houston</v>
      </c>
    </row>
    <row r="127" ht="15.75" customHeight="1">
      <c r="A127" s="2" t="s">
        <v>127</v>
      </c>
      <c r="B127" s="2" t="str">
        <f>IFERROR(__xludf.DUMMYFUNCTION("GOOGLETRANSLATE(A127, ""en"", ""mt"")"),"Liema sezzjoni tar-Renu tinstab ħafna fabbriki?")</f>
        <v>Liema sezzjoni tar-Renu tinstab ħafna fabbriki?</v>
      </c>
    </row>
    <row r="128" ht="15.75" customHeight="1">
      <c r="A128" s="2" t="s">
        <v>128</v>
      </c>
      <c r="B128" s="2" t="str">
        <f>IFERROR(__xludf.DUMMYFUNCTION("GOOGLETRANSLATE(A128, ""en"", ""mt"")"),"In-nazzjonaliżmu Għarbi sekulari ġie akkużat kemm għat-telfa tat-truppi Għarab kif ukoll għal liema tip ta 'staġnar?")</f>
        <v>In-nazzjonaliżmu Għarbi sekulari ġie akkużat kemm għat-telfa tat-truppi Għarab kif ukoll għal liema tip ta 'staġnar?</v>
      </c>
    </row>
    <row r="129" ht="15.75" customHeight="1">
      <c r="A129" s="2" t="s">
        <v>129</v>
      </c>
      <c r="B129" s="2" t="str">
        <f>IFERROR(__xludf.DUMMYFUNCTION("GOOGLETRANSLATE(A129, ""en"", ""mt"")"),"Fort Duquesne.")</f>
        <v>Fort Duquesne.</v>
      </c>
    </row>
    <row r="130" ht="15.75" customHeight="1">
      <c r="A130" s="2" t="s">
        <v>130</v>
      </c>
      <c r="B130" s="2" t="str">
        <f>IFERROR(__xludf.DUMMYFUNCTION("GOOGLETRANSLATE(A130, ""en"", ""mt"")"),"X'inhu l-Bassin de Kumpens de Plobsheim f'Alsace?")</f>
        <v>X'inhu l-Bassin de Kumpens de Plobsheim f'Alsace?</v>
      </c>
    </row>
    <row r="131" ht="15.75" customHeight="1">
      <c r="A131" s="2" t="s">
        <v>131</v>
      </c>
      <c r="B131" s="2" t="str">
        <f>IFERROR(__xludf.DUMMYFUNCTION("GOOGLETRANSLATE(A131, ""en"", ""mt"")"),"Liema sena twieled Casimir Pulaski f'Varsavja?")</f>
        <v>Liema sena twieled Casimir Pulaski f'Varsavja?</v>
      </c>
    </row>
    <row r="132" ht="15.75" customHeight="1">
      <c r="A132" s="2" t="s">
        <v>132</v>
      </c>
      <c r="B132" s="2" t="str">
        <f>IFERROR(__xludf.DUMMYFUNCTION("GOOGLETRANSLATE(A132, ""en"", ""mt"")"),"Ir-risponsi immuni żejda jinkludu t-tarf l-ieħor ta 'disfunzjoni immuni, partikolarment id-disturbi awtoimmuni. Hawnhekk, is-sistema immunitarja tonqos milli tiddistingwi sew bejn l-awto u dawk li mhumiex self, u tattakka parti mill-ġisem. Taħt ċirkostanz"&amp;"i normali, ħafna ċelloli T u antikorpi jirreaġixxu ma 'peptidi ""awto"". Waħda mill-funzjonijiet ta 'ċelloli speċjalizzati (li jinsabu fit-timu u l-mudullun) hija li tippreżenta limfoċiti żgħażagħ b'antiġeni awto prodotti madwar il-ġisem u li telimina daw"&amp;"k iċ-ċelloli li jirrikonoxxu l-awto-antiġeni, li jipprevjenu l-awtoimmunità.")</f>
        <v>Ir-risponsi immuni żejda jinkludu t-tarf l-ieħor ta 'disfunzjoni immuni, partikolarment id-disturbi awtoimmuni. Hawnhekk, is-sistema immunitarja tonqos milli tiddistingwi sew bejn l-awto u dawk li mhumiex self, u tattakka parti mill-ġisem. Taħt ċirkostanzi normali, ħafna ċelloli T u antikorpi jirreaġixxu ma 'peptidi "awto". Waħda mill-funzjonijiet ta 'ċelloli speċjalizzati (li jinsabu fit-timu u l-mudullun) hija li tippreżenta limfoċiti żgħażagħ b'antiġeni awto prodotti madwar il-ġisem u li telimina dawk iċ-ċelloli li jirrikonoxxu l-awto-antiġeni, li jipprevjenu l-awtoimmunità.</v>
      </c>
    </row>
    <row r="133" ht="15.75" customHeight="1">
      <c r="A133" s="2" t="s">
        <v>133</v>
      </c>
      <c r="B133" s="2" t="str">
        <f>IFERROR(__xludf.DUMMYFUNCTION("GOOGLETRANSLATE(A133, ""en"", ""mt"")"),"Dħul rilevanti aħjar")</f>
        <v>Dħul rilevanti aħjar</v>
      </c>
    </row>
    <row r="134" ht="15.75" customHeight="1">
      <c r="A134" s="2" t="s">
        <v>134</v>
      </c>
      <c r="B134" s="2" t="str">
        <f>IFERROR(__xludf.DUMMYFUNCTION("GOOGLETRANSLATE(A134, ""en"", ""mt"")"),"4:51")</f>
        <v>4:51</v>
      </c>
    </row>
    <row r="135" ht="15.75" customHeight="1">
      <c r="A135" s="2" t="s">
        <v>135</v>
      </c>
      <c r="B135" s="2" t="str">
        <f>IFERROR(__xludf.DUMMYFUNCTION("GOOGLETRANSLATE(A135, ""en"", ""mt"")"),"Liema forza taġixxi bejn ħlasijiet elettriċi?")</f>
        <v>Liema forza taġixxi bejn ħlasijiet elettriċi?</v>
      </c>
    </row>
    <row r="136" ht="15.75" customHeight="1">
      <c r="A136" s="2" t="s">
        <v>136</v>
      </c>
      <c r="B136" s="2" t="str">
        <f>IFERROR(__xludf.DUMMYFUNCTION("GOOGLETRANSLATE(A136, ""en"", ""mt"")"),"Uża Sickles biex tiddefla wieħed mill-koppli l-kbar")</f>
        <v>Uża Sickles biex tiddefla wieħed mill-koppli l-kbar</v>
      </c>
    </row>
    <row r="137" ht="15.75" customHeight="1">
      <c r="A137" s="2" t="s">
        <v>137</v>
      </c>
      <c r="B137" s="2" t="str">
        <f>IFERROR(__xludf.DUMMYFUNCTION("GOOGLETRANSLATE(A137, ""en"", ""mt"")"),"Spiżeriji ta 'speċjalità jfornu spiża għolja injettabbli, orali, infuża, jew inalata mediċini li jintużaw għal stati ta' mard kroniku u kumpless bħal kanċer, epatite, u artrite rewmatojde. B'differenza mill-ispiżerija tal-komunità tradizzjonali fejn il-pr"&amp;"eskrizzjonijiet għal kwalunkwe medikazzjoni komuni jistgħu jinġiebu u jimtlew, l-ispiżeriji speċjalizzati jġorru mediċini ġodda li jeħtieġu li jinħażnu sewwa, jiġu amministrati, immonitorjati bir-reqqa, u ġestiti klinikament. Minbarra li jfornu dawn il-me"&amp;"diċini, l-ispiżeriji ta 'speċjalità jipprovdu wkoll monitoraġġ tal-laboratorju, pariri ta' aderenza, u jgħinu lill-pazjenti bi strateġiji ta 'l-ispejjeż meħtieġa biex jiksbu l-mediċini speċjalizzati tagħhom. Bħalissa huwa s-settur li qed jikber bl-iktar m"&amp;"għaġġel ta 'l-industrija farmaċewtika b'19 minn 28 mediċini approvati mill-FDA li għadhom kemm ġew approvati fl-2013 li huma mediċini speċjalizzati.")</f>
        <v>Spiżeriji ta 'speċjalità jfornu spiża għolja injettabbli, orali, infuża, jew inalata mediċini li jintużaw għal stati ta' mard kroniku u kumpless bħal kanċer, epatite, u artrite rewmatojde. B'differenza mill-ispiżerija tal-komunità tradizzjonali fejn il-preskrizzjonijiet għal kwalunkwe medikazzjoni komuni jistgħu jinġiebu u jimtlew, l-ispiżeriji speċjalizzati jġorru mediċini ġodda li jeħtieġu li jinħażnu sewwa, jiġu amministrati, immonitorjati bir-reqqa, u ġestiti klinikament. Minbarra li jfornu dawn il-mediċini, l-ispiżeriji ta 'speċjalità jipprovdu wkoll monitoraġġ tal-laboratorju, pariri ta' aderenza, u jgħinu lill-pazjenti bi strateġiji ta 'l-ispejjeż meħtieġa biex jiksbu l-mediċini speċjalizzati tagħhom. Bħalissa huwa s-settur li qed jikber bl-iktar mgħaġġel ta 'l-industrija farmaċewtika b'19 minn 28 mediċini approvati mill-FDA li għadhom kemm ġew approvati fl-2013 li huma mediċini speċjalizzati.</v>
      </c>
    </row>
    <row r="138" ht="15.75" customHeight="1">
      <c r="A138" s="2" t="s">
        <v>138</v>
      </c>
      <c r="B138" s="2" t="str">
        <f>IFERROR(__xludf.DUMMYFUNCTION("GOOGLETRANSLATE(A138, ""en"", ""mt"")"),"Il-Konferenza Ġenerali li tikkostitwixxi f'Dallas, Texas.")</f>
        <v>Il-Konferenza Ġenerali li tikkostitwixxi f'Dallas, Texas.</v>
      </c>
    </row>
    <row r="139" ht="15.75" customHeight="1">
      <c r="A139" s="2" t="s">
        <v>139</v>
      </c>
      <c r="B139" s="2" t="str">
        <f>IFERROR(__xludf.DUMMYFUNCTION("GOOGLETRANSLATE(A139, ""en"", ""mt"")"),"L-aħħar glaċjali dam minn ~ 74,000 (bp = qabel il-preżent), sa tmiem il-Pleistocene (~ 11,600 bp). Fl-Ewropa tal-Majjistral, rat żewġ fażijiet kesħin ħafna, li laħqu madwar 70,000 bp u madwar 29,000-24,000 bp. L-aħħar fażi preċedenti kemmxejn qabel l-aħħa"&amp;"r massimu globali tal-età tas-silġ (l-aħħar massimu glaċjali). Matul dan iż-żmien, ir-Renu t'isfel ħareġ bejn wieħed u ieħor lejn il-punent mill-Olanda u estiż lejn il-Lbiċ, permezz tal-Kanal Ingliż u fl-aħħar, lejn l-Oċean Atlantiku. Il-Kanal Ingliż, il-"&amp;"Kanal Irlandiż u l-biċċa l-kbira tal-Baħar tat-Tramuntana kienu art niexfa, l-aktar minħabba li l-livell tal-baħar kien madwar 120 m (390 ft) inqas mil-lum.")</f>
        <v>L-aħħar glaċjali dam minn ~ 74,000 (bp = qabel il-preżent), sa tmiem il-Pleistocene (~ 11,600 bp). Fl-Ewropa tal-Majjistral, rat żewġ fażijiet kesħin ħafna, li laħqu madwar 70,000 bp u madwar 29,000-24,000 bp. L-aħħar fażi preċedenti kemmxejn qabel l-aħħar massimu globali tal-età tas-silġ (l-aħħar massimu glaċjali). Matul dan iż-żmien, ir-Renu t'isfel ħareġ bejn wieħed u ieħor lejn il-punent mill-Olanda u estiż lejn il-Lbiċ, permezz tal-Kanal Ingliż u fl-aħħar, lejn l-Oċean Atlantiku. Il-Kanal Ingliż, il-Kanal Irlandiż u l-biċċa l-kbira tal-Baħar tat-Tramuntana kienu art niexfa, l-aktar minħabba li l-livell tal-baħar kien madwar 120 m (390 ft) inqas mil-lum.</v>
      </c>
    </row>
    <row r="140" ht="15.75" customHeight="1">
      <c r="A140" s="2" t="s">
        <v>140</v>
      </c>
      <c r="B140" s="2" t="str">
        <f>IFERROR(__xludf.DUMMYFUNCTION("GOOGLETRANSLATE(A140, ""en"", ""mt"")"),"9000 bp")</f>
        <v>9000 bp</v>
      </c>
    </row>
    <row r="141" ht="15.75" customHeight="1">
      <c r="A141" s="2" t="s">
        <v>141</v>
      </c>
      <c r="B141" s="2" t="str">
        <f>IFERROR(__xludf.DUMMYFUNCTION("GOOGLETRANSLATE(A141, ""en"", ""mt"")"),"Mis-sekli 16 u 17")</f>
        <v>Mis-sekli 16 u 17</v>
      </c>
    </row>
    <row r="142" ht="15.75" customHeight="1">
      <c r="A142" s="2" t="s">
        <v>142</v>
      </c>
      <c r="B142" s="2" t="str">
        <f>IFERROR(__xludf.DUMMYFUNCTION("GOOGLETRANSLATE(A142, ""en"", ""mt"")"),"ossidi")</f>
        <v>ossidi</v>
      </c>
    </row>
    <row r="143" ht="15.75" customHeight="1">
      <c r="A143" s="2" t="s">
        <v>143</v>
      </c>
      <c r="B143" s="2" t="str">
        <f>IFERROR(__xludf.DUMMYFUNCTION("GOOGLETRANSLATE(A143, ""en"", ""mt"")"),"Kemm midalji tad-deheb rebħu l-Kenja waqt l-Olimpjadi ta 'Beijing?")</f>
        <v>Kemm midalji tad-deheb rebħu l-Kenja waqt l-Olimpjadi ta 'Beijing?</v>
      </c>
    </row>
    <row r="144" ht="15.75" customHeight="1">
      <c r="A144" s="2" t="s">
        <v>144</v>
      </c>
      <c r="B144" s="2" t="str">
        <f>IFERROR(__xludf.DUMMYFUNCTION("GOOGLETRANSLATE(A144, ""en"", ""mt"")"),"Qrati tal-Istat Membru")</f>
        <v>Qrati tal-Istat Membru</v>
      </c>
    </row>
    <row r="145" ht="15.75" customHeight="1">
      <c r="A145" s="2" t="s">
        <v>145</v>
      </c>
      <c r="B145" s="2" t="str">
        <f>IFERROR(__xludf.DUMMYFUNCTION("GOOGLETRANSLATE(A145, ""en"", ""mt"")"),"Wara l-perjodu ta 'Oligocene, taħt liema perjodu bdiet tespandi l-foresta tropikali tal-Amazon?")</f>
        <v>Wara l-perjodu ta 'Oligocene, taħt liema perjodu bdiet tespandi l-foresta tropikali tal-Amazon?</v>
      </c>
    </row>
    <row r="146" ht="15.75" customHeight="1">
      <c r="A146" s="2" t="s">
        <v>146</v>
      </c>
      <c r="B146" s="2" t="str">
        <f>IFERROR(__xludf.DUMMYFUNCTION("GOOGLETRANSLATE(A146, ""en"", ""mt"")"),"X'kien l-alleat Persjan tal-Yuan?")</f>
        <v>X'kien l-alleat Persjan tal-Yuan?</v>
      </c>
    </row>
    <row r="147" ht="15.75" customHeight="1">
      <c r="A147" s="2" t="s">
        <v>147</v>
      </c>
      <c r="B147" s="2" t="str">
        <f>IFERROR(__xludf.DUMMYFUNCTION("GOOGLETRANSLATE(A147, ""en"", ""mt"")"),"Id-deforestazzjoni hija l-konverżjoni ta 'żoni forestali f'żoni mhux forestati. Is-sorsi ewlenin ta 'deforestazzjoni fl-Amażonja huma s-soluzzjoni umana u l-iżvilupp tal-art. Qabel il-bidu tas-snin 1960, l-aċċess għall-intern tal-foresta kien ristrett ħaf"&amp;"na, u l-foresta baqgħet bażikament intatta. L-irziezet stabbiliti matul is-snin 1960 kienu bbażati fuq il-kultivazzjoni tal-għelejjel u l-metodu slash u ħruq. Madankollu, il-kolonisti ma setgħux jimmaniġġjaw l-għelieqi tagħhom u l-għelejjel minħabba t-tel"&amp;"f tal-fertilità tal-ħamrija u l-invażjoni tal-ħaxix ħażin. Il-ħamrija fl-Amażonja huma produttivi għal perjodu qasir ta 'żmien, u għalhekk il-bdiewa qed jimxu kontinwament għal żoni ġodda u jikklerjaw aktar art. Dawn il-prattiki tal-biedja wasslu għal def"&amp;"orestazzjoni u kkawżaw ħsara ambjentali estensiva. Id-deforestazzjoni hija konsiderevoli, u ż-żoni mneħħija mill-foresta huma viżibbli għall-għajn mill-ispazju ta 'barra.")</f>
        <v>Id-deforestazzjoni hija l-konverżjoni ta 'żoni forestali f'żoni mhux forestati. Is-sorsi ewlenin ta 'deforestazzjoni fl-Amażonja huma s-soluzzjoni umana u l-iżvilupp tal-art. Qabel il-bidu tas-snin 1960, l-aċċess għall-intern tal-foresta kien ristrett ħafna, u l-foresta baqgħet bażikament intatta. L-irziezet stabbiliti matul is-snin 1960 kienu bbażati fuq il-kultivazzjoni tal-għelejjel u l-metodu slash u ħruq. Madankollu, il-kolonisti ma setgħux jimmaniġġjaw l-għelieqi tagħhom u l-għelejjel minħabba t-telf tal-fertilità tal-ħamrija u l-invażjoni tal-ħaxix ħażin. Il-ħamrija fl-Amażonja huma produttivi għal perjodu qasir ta 'żmien, u għalhekk il-bdiewa qed jimxu kontinwament għal żoni ġodda u jikklerjaw aktar art. Dawn il-prattiki tal-biedja wasslu għal deforestazzjoni u kkawżaw ħsara ambjentali estensiva. Id-deforestazzjoni hija konsiderevoli, u ż-żoni mneħħija mill-foresta huma viżibbli għall-għajn mill-ispazju ta 'barra.</v>
      </c>
    </row>
    <row r="148" ht="15.75" customHeight="1">
      <c r="A148" s="2" t="s">
        <v>148</v>
      </c>
      <c r="B148" s="2" t="str">
        <f>IFERROR(__xludf.DUMMYFUNCTION("GOOGLETRANSLATE(A148, ""en"", ""mt"")"),"San Ġwanni l-Battista")</f>
        <v>San Ġwanni l-Battista</v>
      </c>
    </row>
    <row r="149" ht="15.75" customHeight="1">
      <c r="A149" s="2" t="s">
        <v>149</v>
      </c>
      <c r="B149" s="2" t="str">
        <f>IFERROR(__xludf.DUMMYFUNCTION("GOOGLETRANSLATE(A149, ""en"", ""mt"")"),"Liema l-ewwel ġiegħel il-kunċett ta 'riġenerazzjoni?")</f>
        <v>Liema l-ewwel ġiegħel il-kunċett ta 'riġenerazzjoni?</v>
      </c>
    </row>
    <row r="150" ht="15.75" customHeight="1">
      <c r="A150" s="2" t="s">
        <v>150</v>
      </c>
      <c r="B150" s="2" t="str">
        <f>IFERROR(__xludf.DUMMYFUNCTION("GOOGLETRANSLATE(A150, ""en"", ""mt"")"),"Numru ta 'kotba u artikli")</f>
        <v>Numru ta 'kotba u artikli</v>
      </c>
    </row>
    <row r="151" ht="15.75" customHeight="1">
      <c r="A151" s="2" t="s">
        <v>151</v>
      </c>
      <c r="B151" s="2" t="str">
        <f>IFERROR(__xludf.DUMMYFUNCTION("GOOGLETRANSLATE(A151, ""en"", ""mt"")"),"Politika tat-Taxxa fuq il-Propjetà")</f>
        <v>Politika tat-Taxxa fuq il-Propjetà</v>
      </c>
    </row>
    <row r="152" ht="15.75" customHeight="1">
      <c r="A152" s="2" t="s">
        <v>152</v>
      </c>
      <c r="B152" s="2" t="str">
        <f>IFERROR(__xludf.DUMMYFUNCTION("GOOGLETRANSLATE(A152, ""en"", ""mt"")"),"Meta l-Prim Ministru Wilson impenja ruħu għal xi forma ta 'leġiżlatura devoluta?")</f>
        <v>Meta l-Prim Ministru Wilson impenja ruħu għal xi forma ta 'leġiżlatura devoluta?</v>
      </c>
    </row>
    <row r="153" ht="15.75" customHeight="1">
      <c r="A153" s="2" t="s">
        <v>153</v>
      </c>
      <c r="B153" s="2" t="str">
        <f>IFERROR(__xludf.DUMMYFUNCTION("GOOGLETRANSLATE(A153, ""en"", ""mt"")"),"Il-ġirien")</f>
        <v>Il-ġirien</v>
      </c>
    </row>
    <row r="154" ht="15.75" customHeight="1">
      <c r="A154" s="2" t="s">
        <v>154</v>
      </c>
      <c r="B154" s="2" t="str">
        <f>IFERROR(__xludf.DUMMYFUNCTION("GOOGLETRANSLATE(A154, ""en"", ""mt"")"),"Qoxra ta 'veġetazzjoni tropikali niedja")</f>
        <v>Qoxra ta 'veġetazzjoni tropikali niedja</v>
      </c>
    </row>
    <row r="155" ht="15.75" customHeight="1">
      <c r="A155" s="2" t="s">
        <v>155</v>
      </c>
      <c r="B155" s="2" t="str">
        <f>IFERROR(__xludf.DUMMYFUNCTION("GOOGLETRANSLATE(A155, ""en"", ""mt"")"),"Il-Workshop Orbitali S-IVB kien l-uniku wieħed minn dawn il-pjanijiet biex joħroġ mill-bord tat-tpinġija. Dubbed Skylab, ġie mibni komplut fuq l-art aktar milli fl-ispazju, u ġie mniedi fl-1973 bl-użu taż-żewġ stadji aktar baxxi ta 'Saturn V. Kien mgħamma"&amp;"r b'muntatura tat-teleskopju Apollo, it-teleskopju solari li kien jintuża fuq it-teleskopju Apollo Missjonijiet. L-aħħar ekwipaġġ ta 'SkyLab telaq mill-istazzjon fit-8 ta' Frar, 1974, u l-istazzjon innifsu reġa 'daħal fl-atmosfera fl-1979, sa liema żmien "&amp;"kien sar l-eqdem komponent operattiv Apollo-Saturn.")</f>
        <v>Il-Workshop Orbitali S-IVB kien l-uniku wieħed minn dawn il-pjanijiet biex joħroġ mill-bord tat-tpinġija. Dubbed Skylab, ġie mibni komplut fuq l-art aktar milli fl-ispazju, u ġie mniedi fl-1973 bl-użu taż-żewġ stadji aktar baxxi ta 'Saturn V. Kien mgħammar b'muntatura tat-teleskopju Apollo, it-teleskopju solari li kien jintuża fuq it-teleskopju Apollo Missjonijiet. L-aħħar ekwipaġġ ta 'SkyLab telaq mill-istazzjon fit-8 ta' Frar, 1974, u l-istazzjon innifsu reġa 'daħal fl-atmosfera fl-1979, sa liema żmien kien sar l-eqdem komponent operattiv Apollo-Saturn.</v>
      </c>
    </row>
    <row r="156" ht="15.75" customHeight="1">
      <c r="A156" s="2" t="s">
        <v>156</v>
      </c>
      <c r="B156" s="2" t="str">
        <f>IFERROR(__xludf.DUMMYFUNCTION("GOOGLETRANSLATE(A156, ""en"", ""mt"")"),"Fejn kien jinsab Edison Machine Works?")</f>
        <v>Fejn kien jinsab Edison Machine Works?</v>
      </c>
    </row>
    <row r="157" ht="15.75" customHeight="1">
      <c r="A157" s="2" t="s">
        <v>157</v>
      </c>
      <c r="B157" s="2" t="str">
        <f>IFERROR(__xludf.DUMMYFUNCTION("GOOGLETRANSLATE(A157, ""en"", ""mt"")"),"Biex iżżid l-erja tal-wiċċ tal-kloroplast għat-trasport tal-membrana")</f>
        <v>Biex iżżid l-erja tal-wiċċ tal-kloroplast għat-trasport tal-membrana</v>
      </c>
    </row>
    <row r="158" ht="15.75" customHeight="1">
      <c r="A158" s="2" t="s">
        <v>158</v>
      </c>
      <c r="B158" s="2" t="str">
        <f>IFERROR(__xludf.DUMMYFUNCTION("GOOGLETRANSLATE(A158, ""en"", ""mt"")"),"40 km")</f>
        <v>40 km</v>
      </c>
    </row>
    <row r="159" ht="15.75" customHeight="1">
      <c r="A159" s="2" t="s">
        <v>159</v>
      </c>
      <c r="B159" s="2" t="str">
        <f>IFERROR(__xludf.DUMMYFUNCTION("GOOGLETRANSLATE(A159, ""en"", ""mt"")"),"Ibqa '")</f>
        <v>Ibqa '</v>
      </c>
    </row>
    <row r="160" ht="15.75" customHeight="1">
      <c r="A160" s="2" t="s">
        <v>160</v>
      </c>
      <c r="B160" s="2" t="str">
        <f>IFERROR(__xludf.DUMMYFUNCTION("GOOGLETRANSLATE(A160, ""en"", ""mt"")"),"X'inhu l-isem tat-turf użat fil-Levi's Stadium għas-Super Bowl?")</f>
        <v>X'inhu l-isem tat-turf użat fil-Levi's Stadium għas-Super Bowl?</v>
      </c>
    </row>
    <row r="161" ht="15.75" customHeight="1">
      <c r="A161" s="2" t="s">
        <v>161</v>
      </c>
      <c r="B161" s="2" t="str">
        <f>IFERROR(__xludf.DUMMYFUNCTION("GOOGLETRANSLATE(A161, ""en"", ""mt"")"),"F’Ottubru 2016")</f>
        <v>F’Ottubru 2016</v>
      </c>
    </row>
    <row r="162" ht="15.75" customHeight="1">
      <c r="A162" s="2" t="s">
        <v>162</v>
      </c>
      <c r="B162" s="2" t="str">
        <f>IFERROR(__xludf.DUMMYFUNCTION("GOOGLETRANSLATE(A162, ""en"", ""mt"")"),"Bħalissa, kemm hemm voti mill-352 vot totali huma meħtieġa għal maġġoranza?")</f>
        <v>Bħalissa, kemm hemm voti mill-352 vot totali huma meħtieġa għal maġġoranza?</v>
      </c>
    </row>
    <row r="163" ht="15.75" customHeight="1">
      <c r="A163" s="2" t="s">
        <v>163</v>
      </c>
      <c r="B163" s="2" t="str">
        <f>IFERROR(__xludf.DUMMYFUNCTION("GOOGLETRANSLATE(A163, ""en"", ""mt"")"),"forza elettrostatika (minħabba l-kamp elettriku) u l-forza manjetika")</f>
        <v>forza elettrostatika (minħabba l-kamp elettriku) u l-forza manjetika</v>
      </c>
    </row>
    <row r="164" ht="15.75" customHeight="1">
      <c r="A164" s="2" t="s">
        <v>164</v>
      </c>
      <c r="B164" s="2" t="str">
        <f>IFERROR(__xludf.DUMMYFUNCTION("GOOGLETRANSLATE(A164, ""en"", ""mt"")"),"""Iġbed""")</f>
        <v>"Iġbed"</v>
      </c>
    </row>
    <row r="165" ht="15.75" customHeight="1">
      <c r="A165" s="2" t="s">
        <v>165</v>
      </c>
      <c r="B165" s="2" t="str">
        <f>IFERROR(__xludf.DUMMYFUNCTION("GOOGLETRANSLATE(A165, ""en"", ""mt"")"),"assenjathom lill-kumpanija minflok l-istokk")</f>
        <v>assenjathom lill-kumpanija minflok l-istokk</v>
      </c>
    </row>
    <row r="166" ht="15.75" customHeight="1">
      <c r="A166" s="2" t="s">
        <v>166</v>
      </c>
      <c r="B166" s="2" t="str">
        <f>IFERROR(__xludf.DUMMYFUNCTION("GOOGLETRANSLATE(A166, ""en"", ""mt"")"),"Is-Swaħili bena Mombasa f'belt tal-port maġġuri u stabbilixxa rabtiet kummerċjali ma 'stati oħra tal-belt fil-viċin, kif ukoll ċentri kummerċjali fil-Persja, l-Arabja, u anke l-Indja. Sal-15-il seklu, il-Voyager Portugiż Duarte Barbosa sostna li ""Mombasa"&amp;" huwa post ta 'traffiku kbir u għandu port tajjeb li fih dejjem hemm inġenji żgħar ta' ħafna tipi u vapuri kbar, it-tnejn li huma marbuta minn Sofala u oħrajn li ġejjin minn Cambay u Melinde u oħrajn li jbaħħru lejn il-gżira ta 'Zanzibar. """)</f>
        <v>Is-Swaħili bena Mombasa f'belt tal-port maġġuri u stabbilixxa rabtiet kummerċjali ma 'stati oħra tal-belt fil-viċin, kif ukoll ċentri kummerċjali fil-Persja, l-Arabja, u anke l-Indja. Sal-15-il seklu, il-Voyager Portugiż Duarte Barbosa sostna li "Mombasa huwa post ta 'traffiku kbir u għandu port tajjeb li fih dejjem hemm inġenji żgħar ta' ħafna tipi u vapuri kbar, it-tnejn li huma marbuta minn Sofala u oħrajn li ġejjin minn Cambay u Melinde u oħrajn li jbaħħru lejn il-gżira ta 'Zanzibar. "</v>
      </c>
    </row>
    <row r="167" ht="15.75" customHeight="1">
      <c r="A167" s="2" t="s">
        <v>167</v>
      </c>
      <c r="B167" s="2" t="str">
        <f>IFERROR(__xludf.DUMMYFUNCTION("GOOGLETRANSLATE(A167, ""en"", ""mt"")"),"Phowa u Siddhi")</f>
        <v>Phowa u Siddhi</v>
      </c>
    </row>
    <row r="168" ht="15.75" customHeight="1">
      <c r="A168" s="2" t="s">
        <v>168</v>
      </c>
      <c r="B168" s="2" t="str">
        <f>IFERROR(__xludf.DUMMYFUNCTION("GOOGLETRANSLATE(A168, ""en"", ""mt"")"),"X'kienu l-pjanijiet ta 'Loudoun għall-1757?")</f>
        <v>X'kienu l-pjanijiet ta 'Loudoun għall-1757?</v>
      </c>
    </row>
    <row r="169" ht="15.75" customHeight="1">
      <c r="A169" s="2" t="s">
        <v>169</v>
      </c>
      <c r="B169" s="2" t="str">
        <f>IFERROR(__xludf.DUMMYFUNCTION("GOOGLETRANSLATE(A169, ""en"", ""mt"")"),"Lactobacilli")</f>
        <v>Lactobacilli</v>
      </c>
    </row>
    <row r="170" ht="15.75" customHeight="1">
      <c r="A170" s="2" t="s">
        <v>170</v>
      </c>
      <c r="B170" s="2" t="str">
        <f>IFERROR(__xludf.DUMMYFUNCTION("GOOGLETRANSLATE(A170, ""en"", ""mt"")"),"Kemm ilu li l-ġeoglifi ġew skoperti l-ewwel fuq art deforestata?")</f>
        <v>Kemm ilu li l-ġeoglifi ġew skoperti l-ewwel fuq art deforestata?</v>
      </c>
    </row>
    <row r="171" ht="15.75" customHeight="1">
      <c r="A171" s="2" t="s">
        <v>171</v>
      </c>
      <c r="B171" s="2" t="str">
        <f>IFERROR(__xludf.DUMMYFUNCTION("GOOGLETRANSLATE(A171, ""en"", ""mt"")"),"Venerazzjoni tal-antenati Konfucian u l-antenati")</f>
        <v>Venerazzjoni tal-antenati Konfucian u l-antenati</v>
      </c>
    </row>
    <row r="172" ht="15.75" customHeight="1">
      <c r="A172" s="2" t="s">
        <v>172</v>
      </c>
      <c r="B172" s="2" t="str">
        <f>IFERROR(__xludf.DUMMYFUNCTION("GOOGLETRANSLATE(A172, ""en"", ""mt"")"),"Liema librerija fiha l-katalgu ta 'Selmur Productions?")</f>
        <v>Liema librerija fiha l-katalgu ta 'Selmur Productions?</v>
      </c>
    </row>
    <row r="173" ht="15.75" customHeight="1">
      <c r="A173" s="2" t="s">
        <v>173</v>
      </c>
      <c r="B173" s="2" t="str">
        <f>IFERROR(__xludf.DUMMYFUNCTION("GOOGLETRANSLATE(A173, ""en"", ""mt"")"),"Marconi trażmess b'suċċess l-ittra S mill-Ingilterra għal Newfoundland")</f>
        <v>Marconi trażmess b'suċċess l-ittra S mill-Ingilterra għal Newfoundland</v>
      </c>
    </row>
    <row r="174" ht="15.75" customHeight="1">
      <c r="A174" s="2" t="s">
        <v>174</v>
      </c>
      <c r="B174" s="2" t="str">
        <f>IFERROR(__xludf.DUMMYFUNCTION("GOOGLETRANSLATE(A174, ""en"", ""mt"")"),"Ispirat minn Shelley X'kien l-isem tad-duttrina ta 'Gandhi?")</f>
        <v>Ispirat minn Shelley X'kien l-isem tad-duttrina ta 'Gandhi?</v>
      </c>
    </row>
    <row r="175" ht="15.75" customHeight="1">
      <c r="A175" s="2" t="s">
        <v>175</v>
      </c>
      <c r="B175" s="2" t="str">
        <f>IFERROR(__xludf.DUMMYFUNCTION("GOOGLETRANSLATE(A175, ""en"", ""mt"")"),"siekta")</f>
        <v>siekta</v>
      </c>
    </row>
    <row r="176" ht="15.75" customHeight="1">
      <c r="A176" s="2" t="s">
        <v>176</v>
      </c>
      <c r="B176" s="2" t="str">
        <f>IFERROR(__xludf.DUMMYFUNCTION("GOOGLETRANSLATE(A176, ""en"", ""mt"")"),"Minn x'kienet id-dieta ta 'dud ta' assemblaġġ?")</f>
        <v>Minn x'kienet id-dieta ta 'dud ta' assemblaġġ?</v>
      </c>
    </row>
    <row r="177" ht="15.75" customHeight="1">
      <c r="A177" s="2" t="s">
        <v>177</v>
      </c>
      <c r="B177" s="2" t="str">
        <f>IFERROR(__xludf.DUMMYFUNCTION("GOOGLETRANSLATE(A177, ""en"", ""mt"")"),"SOHO SQUARE")</f>
        <v>SOHO SQUARE</v>
      </c>
    </row>
    <row r="178" ht="15.75" customHeight="1">
      <c r="A178" s="2" t="s">
        <v>178</v>
      </c>
      <c r="B178" s="2" t="str">
        <f>IFERROR(__xludf.DUMMYFUNCTION("GOOGLETRANSLATE(A178, ""en"", ""mt"")"),"Kumitati suġġetti")</f>
        <v>Kumitati suġġetti</v>
      </c>
    </row>
    <row r="179" ht="15.75" customHeight="1">
      <c r="A179" s="2" t="s">
        <v>179</v>
      </c>
      <c r="B179" s="2" t="str">
        <f>IFERROR(__xludf.DUMMYFUNCTION("GOOGLETRANSLATE(A179, ""en"", ""mt"")"),"Min qal, ""Hawn jien. Ma nistax nagħmel l-ebda ieħor""?")</f>
        <v>Min qal, "Hawn jien. Ma nistax nagħmel l-ebda ieħor"?</v>
      </c>
    </row>
    <row r="180" ht="15.75" customHeight="1">
      <c r="A180" s="2" t="s">
        <v>180</v>
      </c>
      <c r="B180" s="2" t="str">
        <f>IFERROR(__xludf.DUMMYFUNCTION("GOOGLETRANSLATE(A180, ""en"", ""mt"")"),"Skond it-teorema ta 'Wilson, liema fatt irid ikun diviżibbli minn P jekk xi numru sħiħ p&gt; 1 għandu jkun ikkunsidrat bħala prim?")</f>
        <v>Skond it-teorema ta 'Wilson, liema fatt irid ikun diviżibbli minn P jekk xi numru sħiħ p&gt; 1 għandu jkun ikkunsidrat bħala prim?</v>
      </c>
    </row>
    <row r="181" ht="15.75" customHeight="1">
      <c r="A181" s="2" t="s">
        <v>181</v>
      </c>
      <c r="B181" s="2" t="str">
        <f>IFERROR(__xludf.DUMMYFUNCTION("GOOGLETRANSLATE(A181, ""en"", ""mt"")"),"X'inhu l-isem tal-festival tas-sajf tal-università?")</f>
        <v>X'inhu l-isem tal-festival tas-sajf tal-università?</v>
      </c>
    </row>
    <row r="182" ht="15.75" customHeight="1">
      <c r="A182" s="2" t="s">
        <v>182</v>
      </c>
      <c r="B182" s="2" t="str">
        <f>IFERROR(__xludf.DUMMYFUNCTION("GOOGLETRANSLATE(A182, ""en"", ""mt"")"),"trapjastomiku")</f>
        <v>trapjastomiku</v>
      </c>
    </row>
    <row r="183" ht="15.75" customHeight="1">
      <c r="A183" s="2" t="s">
        <v>183</v>
      </c>
      <c r="B183" s="2" t="str">
        <f>IFERROR(__xludf.DUMMYFUNCTION("GOOGLETRANSLATE(A183, ""en"", ""mt"")"),"Gvern Awstraljan")</f>
        <v>Gvern Awstraljan</v>
      </c>
    </row>
    <row r="184" ht="15.75" customHeight="1">
      <c r="A184" s="2" t="s">
        <v>184</v>
      </c>
      <c r="B184" s="2" t="str">
        <f>IFERROR(__xludf.DUMMYFUNCTION("GOOGLETRANSLATE(A184, ""en"", ""mt"")"),"Fl-2012-13, ABC iddebutta kummiedja Last Man wieqfa starring min?")</f>
        <v>Fl-2012-13, ABC iddebutta kummiedja Last Man wieqfa starring min?</v>
      </c>
    </row>
    <row r="185" ht="15.75" customHeight="1">
      <c r="A185" s="2" t="s">
        <v>185</v>
      </c>
      <c r="B185" s="2" t="str">
        <f>IFERROR(__xludf.DUMMYFUNCTION("GOOGLETRANSLATE(A185, ""en"", ""mt"")"),"il-50 fond")</f>
        <v>il-50 fond</v>
      </c>
    </row>
    <row r="186" ht="15.75" customHeight="1">
      <c r="A186" s="2" t="s">
        <v>186</v>
      </c>
      <c r="B186" s="2" t="str">
        <f>IFERROR(__xludf.DUMMYFUNCTION("GOOGLETRANSLATE(A186, ""en"", ""mt"")"),"F'liema ġurnata ġew trasmessi l-immaġini tal-wiċċ tal-qamar permezz tad-Dinja permezz ta 'immaġini televiżivi?")</f>
        <v>F'liema ġurnata ġew trasmessi l-immaġini tal-wiċċ tal-qamar permezz tad-Dinja permezz ta 'immaġini televiżivi?</v>
      </c>
    </row>
    <row r="187" ht="15.75" customHeight="1">
      <c r="A187" s="2" t="s">
        <v>187</v>
      </c>
      <c r="B187" s="2" t="str">
        <f>IFERROR(__xludf.DUMMYFUNCTION("GOOGLETRANSLATE(A187, ""en"", ""mt"")"),"Min uża l-knisja biex jgħaqqad lilhom infushom?")</f>
        <v>Min uża l-knisja biex jgħaqqad lilhom infushom?</v>
      </c>
    </row>
    <row r="188" ht="15.75" customHeight="1">
      <c r="A188" s="2" t="s">
        <v>188</v>
      </c>
      <c r="B188" s="2" t="str">
        <f>IFERROR(__xludf.DUMMYFUNCTION("GOOGLETRANSLATE(A188, ""en"", ""mt"")"),"Għal xiex iwasslu l-mekkaniżmi ta 'tqassim mill-ġdid?")</f>
        <v>Għal xiex iwasslu l-mekkaniżmi ta 'tqassim mill-ġdid?</v>
      </c>
    </row>
    <row r="189" ht="15.75" customHeight="1">
      <c r="A189" s="2" t="s">
        <v>189</v>
      </c>
      <c r="B189" s="2" t="str">
        <f>IFERROR(__xludf.DUMMYFUNCTION("GOOGLETRANSLATE(A189, ""en"", ""mt"")"),"Ma 'liema tip ta' diżabilità għalliem jgħin lil student?")</f>
        <v>Ma 'liema tip ta' diżabilità għalliem jgħin lil student?</v>
      </c>
    </row>
    <row r="190" ht="15.75" customHeight="1">
      <c r="A190" s="2" t="s">
        <v>190</v>
      </c>
      <c r="B190" s="2" t="str">
        <f>IFERROR(__xludf.DUMMYFUNCTION("GOOGLETRANSLATE(A190, ""en"", ""mt"")"),"Lokomottivi tal-ferrovija")</f>
        <v>Lokomottivi tal-ferrovija</v>
      </c>
    </row>
    <row r="191" ht="15.75" customHeight="1">
      <c r="A191" s="2" t="s">
        <v>191</v>
      </c>
      <c r="B191" s="2" t="str">
        <f>IFERROR(__xludf.DUMMYFUNCTION("GOOGLETRANSLATE(A191, ""en"", ""mt"")"),"imperi")</f>
        <v>imperi</v>
      </c>
    </row>
    <row r="192" ht="15.75" customHeight="1">
      <c r="A192" s="2" t="s">
        <v>192</v>
      </c>
      <c r="B192" s="2" t="str">
        <f>IFERROR(__xludf.DUMMYFUNCTION("GOOGLETRANSLATE(A192, ""en"", ""mt"")"),"kant ta 'innijiet Ġermaniżi")</f>
        <v>kant ta 'innijiet Ġermaniżi</v>
      </c>
    </row>
    <row r="193" ht="15.75" customHeight="1">
      <c r="A193" s="2" t="s">
        <v>193</v>
      </c>
      <c r="B193" s="2" t="str">
        <f>IFERROR(__xludf.DUMMYFUNCTION("GOOGLETRANSLATE(A193, ""en"", ""mt"")"),"Ordni mill-ġdid")</f>
        <v>Ordni mill-ġdid</v>
      </c>
    </row>
    <row r="194" ht="15.75" customHeight="1">
      <c r="A194" s="2" t="s">
        <v>194</v>
      </c>
      <c r="B194" s="2" t="str">
        <f>IFERROR(__xludf.DUMMYFUNCTION("GOOGLETRANSLATE(A194, ""en"", ""mt"")"),"Ċelloli tal-memorja b'ħajja twila jistgħu jiftakru inkontri preċedenti ma 'xiex?")</f>
        <v>Ċelloli tal-memorja b'ħajja twila jistgħu jiftakru inkontri preċedenti ma 'xiex?</v>
      </c>
    </row>
    <row r="195" ht="15.75" customHeight="1">
      <c r="A195" s="2" t="s">
        <v>195</v>
      </c>
      <c r="B195" s="2" t="str">
        <f>IFERROR(__xludf.DUMMYFUNCTION("GOOGLETRANSLATE(A195, ""en"", ""mt"")"),"L-żieda għall-poter ta 'Adolf Hitler")</f>
        <v>L-żieda għall-poter ta 'Adolf Hitler</v>
      </c>
    </row>
    <row r="196" ht="15.75" customHeight="1">
      <c r="A196" s="2" t="s">
        <v>196</v>
      </c>
      <c r="B196" s="2" t="str">
        <f>IFERROR(__xludf.DUMMYFUNCTION("GOOGLETRANSLATE(A196, ""en"", ""mt"")"),"it-tieni stadju")</f>
        <v>it-tieni stadju</v>
      </c>
    </row>
    <row r="197" ht="15.75" customHeight="1">
      <c r="A197" s="2" t="s">
        <v>197</v>
      </c>
      <c r="B197" s="2" t="str">
        <f>IFERROR(__xludf.DUMMYFUNCTION("GOOGLETRANSLATE(A197, ""en"", ""mt"")"),"X'kienet ir-relazzjoni ta 'Julian Hawthorne ma' Tesla?")</f>
        <v>X'kienet ir-relazzjoni ta 'Julian Hawthorne ma' Tesla?</v>
      </c>
    </row>
    <row r="198" ht="15.75" customHeight="1">
      <c r="A198" s="2" t="s">
        <v>198</v>
      </c>
      <c r="B198" s="2" t="str">
        <f>IFERROR(__xludf.DUMMYFUNCTION("GOOGLETRANSLATE(A198, ""en"", ""mt"")"),"Il-qtil ta 'John F. Kennedy")</f>
        <v>Il-qtil ta 'John F. Kennedy</v>
      </c>
    </row>
    <row r="199" ht="15.75" customHeight="1">
      <c r="A199" s="2" t="s">
        <v>199</v>
      </c>
      <c r="B199" s="2" t="str">
        <f>IFERROR(__xludf.DUMMYFUNCTION("GOOGLETRANSLATE(A199, ""en"", ""mt"")"),"Viċi President Agnew")</f>
        <v>Viċi President Agnew</v>
      </c>
    </row>
    <row r="200" ht="15.75" customHeight="1">
      <c r="A200" s="2" t="s">
        <v>200</v>
      </c>
      <c r="B200" s="2" t="str">
        <f>IFERROR(__xludf.DUMMYFUNCTION("GOOGLETRANSLATE(A200, ""en"", ""mt"")"),"jgħix")</f>
        <v>jgħix</v>
      </c>
    </row>
    <row r="201" ht="15.75" customHeight="1">
      <c r="A201" s="2" t="s">
        <v>201</v>
      </c>
      <c r="B201" s="2" t="str">
        <f>IFERROR(__xludf.DUMMYFUNCTION("GOOGLETRANSLATE(A201, ""en"", ""mt"")"),"L-aħjar belt li tħares l-Ingilterra")</f>
        <v>L-aħjar belt li tħares l-Ingilterra</v>
      </c>
    </row>
    <row r="202" ht="15.75" customHeight="1">
      <c r="A202" s="2" t="s">
        <v>202</v>
      </c>
      <c r="B202" s="2" t="str">
        <f>IFERROR(__xludf.DUMMYFUNCTION("GOOGLETRANSLATE(A202, ""en"", ""mt"")"),"gass ​​ossiġnu")</f>
        <v>gass ​​ossiġnu</v>
      </c>
    </row>
    <row r="203" ht="15.75" customHeight="1">
      <c r="A203" s="2" t="s">
        <v>203</v>
      </c>
      <c r="B203" s="2" t="str">
        <f>IFERROR(__xludf.DUMMYFUNCTION("GOOGLETRANSLATE(A203, ""en"", ""mt"")"),"metalli")</f>
        <v>metalli</v>
      </c>
    </row>
    <row r="204" ht="15.75" customHeight="1">
      <c r="A204" s="2" t="s">
        <v>204</v>
      </c>
      <c r="B204" s="2" t="str">
        <f>IFERROR(__xludf.DUMMYFUNCTION("GOOGLETRANSLATE(A204, ""en"", ""mt"")"),"L-iktar algoritmu effiċjenti jsolvi problema partikolari")</f>
        <v>L-iktar algoritmu effiċjenti jsolvi problema partikolari</v>
      </c>
    </row>
    <row r="205" ht="15.75" customHeight="1">
      <c r="A205" s="2" t="s">
        <v>205</v>
      </c>
      <c r="B205" s="2" t="str">
        <f>IFERROR(__xludf.DUMMYFUNCTION("GOOGLETRANSLATE(A205, ""en"", ""mt"")"),"Il-fakultà ta ’Harvard tinkludi studjużi bħall-bijologu E. O. Wilson, ix-xjentist konjittiv Steven Pinker, il-fiżiċi Lisa Randall u Roy Glauber, kimiċi Elias Corey, Dudley R. Herschbach u George M. Whitesides, xjenzati tal-kompjuter Michael O. Rabin u Les"&amp;"lie Valiant, Shakespeare Scholar Stephblatt Stephen Greenblatt , Kittieb Louis Menand, Kritika Helen Vendler, Storiċi Henry Louis Gates, Jr u ​​Niall Ferguson, Ekonomisti Amartya Sen, N. Gregory Mankiw, Robert Barro, Stephen A. Marglin, Don M. Wilson III "&amp;"u Martin Feldstein, filosfi politiċi, Harvey Mansfield , Barunessa Shirley Williams u Michael Sandel, Midalja tal-Fields Mathematician Shing-Tung Yau, Xjentisti Politiċi Robert Putnam, Joseph Nye, u Stanley Hoffmann, studjuż / kompożituri Robert Levin u B"&amp;"ernard Rands, astrofiżiċista Alyssa A. Goodman, u l-istudjużi legali Alan Dershowiz u l-Lawrence Lessig.")</f>
        <v>Il-fakultà ta ’Harvard tinkludi studjużi bħall-bijologu E. O. Wilson, ix-xjentist konjittiv Steven Pinker, il-fiżiċi Lisa Randall u Roy Glauber, kimiċi Elias Corey, Dudley R. Herschbach u George M. Whitesides, xjenzati tal-kompjuter Michael O. Rabin u Leslie Valiant, Shakespeare Scholar Stephblatt Stephen Greenblatt , Kittieb Louis Menand, Kritika Helen Vendler, Storiċi Henry Louis Gates, Jr u ​​Niall Ferguson, Ekonomisti Amartya Sen, N. Gregory Mankiw, Robert Barro, Stephen A. Marglin, Don M. Wilson III u Martin Feldstein, filosfi politiċi, Harvey Mansfield , Barunessa Shirley Williams u Michael Sandel, Midalja tal-Fields Mathematician Shing-Tung Yau, Xjentisti Politiċi Robert Putnam, Joseph Nye, u Stanley Hoffmann, studjuż / kompożituri Robert Levin u Bernard Rands, astrofiżiċista Alyssa A. Goodman, u l-istudjużi legali Alan Dershowiz u l-Lawrence Lessig.</v>
      </c>
    </row>
    <row r="206" ht="15.75" customHeight="1">
      <c r="A206" s="2" t="s">
        <v>206</v>
      </c>
      <c r="B206" s="2" t="str">
        <f>IFERROR(__xludf.DUMMYFUNCTION("GOOGLETRANSLATE(A206, ""en"", ""mt"")"),"Meta seħħet l-estinzjoni tal-Paleogene Kretaċeju?")</f>
        <v>Meta seħħet l-estinzjoni tal-Paleogene Kretaċeju?</v>
      </c>
    </row>
    <row r="207" ht="15.75" customHeight="1">
      <c r="A207" s="2" t="s">
        <v>207</v>
      </c>
      <c r="B207" s="2" t="str">
        <f>IFERROR(__xludf.DUMMYFUNCTION("GOOGLETRANSLATE(A207, ""en"", ""mt"")"),"Malik Jackson")</f>
        <v>Malik Jackson</v>
      </c>
    </row>
    <row r="208" ht="15.75" customHeight="1">
      <c r="A208" s="2" t="s">
        <v>208</v>
      </c>
      <c r="B208" s="2" t="str">
        <f>IFERROR(__xludf.DUMMYFUNCTION("GOOGLETRANSLATE(A208, ""en"", ""mt"")"),"Sky + Pvr")</f>
        <v>Sky + Pvr</v>
      </c>
    </row>
    <row r="209" ht="15.75" customHeight="1">
      <c r="A209" s="2" t="s">
        <v>209</v>
      </c>
      <c r="B209" s="2" t="str">
        <f>IFERROR(__xludf.DUMMYFUNCTION("GOOGLETRANSLATE(A209, ""en"", ""mt"")"),"Reġjun tal-Fruntiera tan-Nofsinhar")</f>
        <v>Reġjun tal-Fruntiera tan-Nofsinhar</v>
      </c>
    </row>
    <row r="210" ht="15.75" customHeight="1">
      <c r="A210" s="2" t="s">
        <v>210</v>
      </c>
      <c r="B210" s="2" t="str">
        <f>IFERROR(__xludf.DUMMYFUNCTION("GOOGLETRANSLATE(A210, ""en"", ""mt"")"),"Kemm ingħataw kuntratti ta 'studju fil-25 ta' Ottubru?")</f>
        <v>Kemm ingħataw kuntratti ta 'studju fil-25 ta' Ottubru?</v>
      </c>
    </row>
    <row r="211" ht="15.75" customHeight="1">
      <c r="A211" s="2" t="s">
        <v>211</v>
      </c>
      <c r="B211" s="2" t="str">
        <f>IFERROR(__xludf.DUMMYFUNCTION("GOOGLETRANSLATE(A211, ""en"", ""mt"")"),"22,000–14,000 yr bp")</f>
        <v>22,000–14,000 yr bp</v>
      </c>
    </row>
    <row r="212" ht="15.75" customHeight="1">
      <c r="A212" s="2" t="s">
        <v>212</v>
      </c>
      <c r="B212" s="2" t="str">
        <f>IFERROR(__xludf.DUMMYFUNCTION("GOOGLETRANSLATE(A212, ""en"", ""mt"")"),"ġew miktuba algoritmi")</f>
        <v>ġew miktuba algoritmi</v>
      </c>
    </row>
    <row r="213" ht="15.75" customHeight="1">
      <c r="A213" s="2" t="s">
        <v>213</v>
      </c>
      <c r="B213" s="2" t="str">
        <f>IFERROR(__xludf.DUMMYFUNCTION("GOOGLETRANSLATE(A213, ""en"", ""mt"")"),"pittura")</f>
        <v>pittura</v>
      </c>
    </row>
    <row r="214" ht="15.75" customHeight="1">
      <c r="A214" s="2" t="s">
        <v>214</v>
      </c>
      <c r="B214" s="2" t="str">
        <f>IFERROR(__xludf.DUMMYFUNCTION("GOOGLETRANSLATE(A214, ""en"", ""mt"")"),"Festival tal-Gran Brittanja")</f>
        <v>Festival tal-Gran Brittanja</v>
      </c>
    </row>
    <row r="215" ht="15.75" customHeight="1">
      <c r="A215" s="2" t="s">
        <v>215</v>
      </c>
      <c r="B215" s="2" t="str">
        <f>IFERROR(__xludf.DUMMYFUNCTION("GOOGLETRANSLATE(A215, ""en"", ""mt"")"),"1724 sal-1725")</f>
        <v>1724 sal-1725</v>
      </c>
    </row>
    <row r="216" ht="15.75" customHeight="1">
      <c r="A216" s="2" t="s">
        <v>216</v>
      </c>
      <c r="B216" s="2" t="str">
        <f>IFERROR(__xludf.DUMMYFUNCTION("GOOGLETRANSLATE(A216, ""en"", ""mt"")"),"Jon Corzine")</f>
        <v>Jon Corzine</v>
      </c>
    </row>
    <row r="217" ht="15.75" customHeight="1">
      <c r="A217" s="2" t="s">
        <v>217</v>
      </c>
      <c r="B217" s="2" t="str">
        <f>IFERROR(__xludf.DUMMYFUNCTION("GOOGLETRANSLATE(A217, ""en"", ""mt"")"),"Liema element jinstab fil-biċċa l-kbira tal-organiżmi organiċi?")</f>
        <v>Liema element jinstab fil-biċċa l-kbira tal-organiżmi organiċi?</v>
      </c>
    </row>
    <row r="218" ht="15.75" customHeight="1">
      <c r="A218" s="2" t="s">
        <v>218</v>
      </c>
      <c r="B218" s="2" t="str">
        <f>IFERROR(__xludf.DUMMYFUNCTION("GOOGLETRANSLATE(A218, ""en"", ""mt"")"),"Telf tal-bijodiversità")</f>
        <v>Telf tal-bijodiversità</v>
      </c>
    </row>
    <row r="219" ht="15.75" customHeight="1">
      <c r="A219" s="2" t="s">
        <v>219</v>
      </c>
      <c r="B219" s="2" t="str">
        <f>IFERROR(__xludf.DUMMYFUNCTION("GOOGLETRANSLATE(A219, ""en"", ""mt"")"),"X'inhi l-istratigrafija?")</f>
        <v>X'inhi l-istratigrafija?</v>
      </c>
    </row>
    <row r="220" ht="15.75" customHeight="1">
      <c r="A220" s="2" t="s">
        <v>220</v>
      </c>
      <c r="B220" s="2" t="str">
        <f>IFERROR(__xludf.DUMMYFUNCTION("GOOGLETRANSLATE(A220, ""en"", ""mt"")"),"Jihad armat")</f>
        <v>Jihad armat</v>
      </c>
    </row>
    <row r="221" ht="15.75" customHeight="1">
      <c r="A221" s="2" t="s">
        <v>221</v>
      </c>
      <c r="B221" s="2" t="str">
        <f>IFERROR(__xludf.DUMMYFUNCTION("GOOGLETRANSLATE(A221, ""en"", ""mt"")"),"Taxxa fuq il-bejgħ nofs-penny")</f>
        <v>Taxxa fuq il-bejgħ nofs-penny</v>
      </c>
    </row>
    <row r="222" ht="15.75" customHeight="1">
      <c r="A222" s="2" t="s">
        <v>222</v>
      </c>
      <c r="B222" s="2" t="str">
        <f>IFERROR(__xludf.DUMMYFUNCTION("GOOGLETRANSLATE(A222, ""en"", ""mt"")"),"Ċirkulari ċċattjata")</f>
        <v>Ċirkulari ċċattjata</v>
      </c>
    </row>
    <row r="223" ht="15.75" customHeight="1">
      <c r="A223" s="2" t="s">
        <v>223</v>
      </c>
      <c r="B223" s="2" t="str">
        <f>IFERROR(__xludf.DUMMYFUNCTION("GOOGLETRANSLATE(A223, ""en"", ""mt"")"),"enerġija ħafifa")</f>
        <v>enerġija ħafifa</v>
      </c>
    </row>
    <row r="224" ht="15.75" customHeight="1">
      <c r="A224" s="2" t="s">
        <v>224</v>
      </c>
      <c r="B224" s="2" t="str">
        <f>IFERROR(__xludf.DUMMYFUNCTION("GOOGLETRANSLATE(A224, ""en"", ""mt"")"),"Ġie argumentat li t-terminu ""diżubbidjenza ċivili"" dejjem sofra minn ambigwità u fi żminijiet moderni, sar kompletament imnaqqas. Marshall Cohen jinnota, ""Intuża biex jiddeskrivi kollox mill-ġbir ta 'każ fil-qrati federali biex jieħu l-għan lejn uffiċj"&amp;"al federali. Tassew, għall-Viċi President Agnew sar kelma ta' kodiċi li tiddeskrivi l-attivitajiet ta 'muggers, Arsonists , Abbozzi ta 'Evaders, Hecklers tal-Kampanja, Militanti tal-Kampus, Dimostraturi Kontra l-Gwerra, Delinkwenti tal-Minorenni u Assassi"&amp;"ni Politiċi. """)</f>
        <v>Ġie argumentat li t-terminu "diżubbidjenza ċivili" dejjem sofra minn ambigwità u fi żminijiet moderni, sar kompletament imnaqqas. Marshall Cohen jinnota, "Intuża biex jiddeskrivi kollox mill-ġbir ta 'każ fil-qrati federali biex jieħu l-għan lejn uffiċjal federali. Tassew, għall-Viċi President Agnew sar kelma ta' kodiċi li tiddeskrivi l-attivitajiet ta 'muggers, Arsonists , Abbozzi ta 'Evaders, Hecklers tal-Kampanja, Militanti tal-Kampus, Dimostraturi Kontra l-Gwerra, Delinkwenti tal-Minorenni u Assassini Politiċi. "</v>
      </c>
    </row>
    <row r="225" ht="15.75" customHeight="1">
      <c r="A225" s="2" t="s">
        <v>225</v>
      </c>
      <c r="B225" s="2" t="str">
        <f>IFERROR(__xludf.DUMMYFUNCTION("GOOGLETRANSLATE(A225, ""en"", ""mt"")"),"Ibbażat fuq il-ħtieġa")</f>
        <v>Ibbażat fuq il-ħtieġa</v>
      </c>
    </row>
    <row r="226" ht="15.75" customHeight="1">
      <c r="A226" s="2" t="s">
        <v>226</v>
      </c>
      <c r="B226" s="2" t="str">
        <f>IFERROR(__xludf.DUMMYFUNCTION("GOOGLETRANSLATE(A226, ""en"", ""mt"")"),"fuq kwalunkwe distanza terrestri")</f>
        <v>fuq kwalunkwe distanza terrestri</v>
      </c>
    </row>
    <row r="227" ht="15.75" customHeight="1">
      <c r="A227" s="2" t="s">
        <v>227</v>
      </c>
      <c r="B227" s="2" t="str">
        <f>IFERROR(__xludf.DUMMYFUNCTION("GOOGLETRANSLATE(A227, ""en"", ""mt"")"),"Meta ABC Premier The Flintstones?")</f>
        <v>Meta ABC Premier The Flintstones?</v>
      </c>
    </row>
    <row r="228" ht="15.75" customHeight="1">
      <c r="A228" s="2" t="s">
        <v>228</v>
      </c>
      <c r="B228" s="2" t="str">
        <f>IFERROR(__xludf.DUMMYFUNCTION("GOOGLETRANSLATE(A228, ""en"", ""mt"")"),"1654")</f>
        <v>1654</v>
      </c>
    </row>
    <row r="229" ht="15.75" customHeight="1">
      <c r="A229" s="2" t="s">
        <v>229</v>
      </c>
      <c r="B229" s="2" t="str">
        <f>IFERROR(__xludf.DUMMYFUNCTION("GOOGLETRANSLATE(A229, ""en"", ""mt"")"),"karboidrati")</f>
        <v>karboidrati</v>
      </c>
    </row>
    <row r="230" ht="15.75" customHeight="1">
      <c r="A230" s="2" t="s">
        <v>230</v>
      </c>
      <c r="B230" s="2" t="str">
        <f>IFERROR(__xludf.DUMMYFUNCTION("GOOGLETRANSLATE(A230, ""en"", ""mt"")"),"esperimentazzjoni")</f>
        <v>esperimentazzjoni</v>
      </c>
    </row>
    <row r="231" ht="15.75" customHeight="1">
      <c r="A231" s="2" t="s">
        <v>231</v>
      </c>
      <c r="B231" s="2" t="str">
        <f>IFERROR(__xludf.DUMMYFUNCTION("GOOGLETRANSLATE(A231, ""en"", ""mt"")"),"Dak li jurina l-kloroplasti mitlufa?")</f>
        <v>Dak li jurina l-kloroplasti mitlufa?</v>
      </c>
    </row>
    <row r="232" ht="15.75" customHeight="1">
      <c r="A232" s="2" t="s">
        <v>232</v>
      </c>
      <c r="B232" s="2" t="str">
        <f>IFERROR(__xludf.DUMMYFUNCTION("GOOGLETRANSLATE(A232, ""en"", ""mt"")"),"kulleġġ")</f>
        <v>kulleġġ</v>
      </c>
    </row>
    <row r="233" ht="15.75" customHeight="1">
      <c r="A233" s="2" t="s">
        <v>233</v>
      </c>
      <c r="B233" s="2" t="str">
        <f>IFERROR(__xludf.DUMMYFUNCTION("GOOGLETRANSLATE(A233, ""en"", ""mt"")"),"Eero Saarinen")</f>
        <v>Eero Saarinen</v>
      </c>
    </row>
    <row r="234" ht="15.75" customHeight="1">
      <c r="A234" s="2" t="s">
        <v>234</v>
      </c>
      <c r="B234" s="2" t="str">
        <f>IFERROR(__xludf.DUMMYFUNCTION("GOOGLETRANSLATE(A234, ""en"", ""mt"")"),"Liema aġent ta 'projbizzjoni kien ukoll alumni fl-università?")</f>
        <v>Liema aġent ta 'projbizzjoni kien ukoll alumni fl-università?</v>
      </c>
    </row>
    <row r="235" ht="15.75" customHeight="1">
      <c r="A235" s="2" t="s">
        <v>235</v>
      </c>
      <c r="B235" s="2" t="str">
        <f>IFERROR(__xludf.DUMMYFUNCTION("GOOGLETRANSLATE(A235, ""en"", ""mt"")"),"Liema forma huma pyrenoids?")</f>
        <v>Liema forma huma pyrenoids?</v>
      </c>
    </row>
    <row r="236" ht="15.75" customHeight="1">
      <c r="A236" s="2" t="s">
        <v>236</v>
      </c>
      <c r="B236" s="2" t="str">
        <f>IFERROR(__xludf.DUMMYFUNCTION("GOOGLETRANSLATE(A236, ""en"", ""mt"")"),"Il-vleġġa")</f>
        <v>Il-vleġġa</v>
      </c>
    </row>
    <row r="237" ht="15.75" customHeight="1">
      <c r="A237" s="2" t="s">
        <v>237</v>
      </c>
      <c r="B237" s="2" t="str">
        <f>IFERROR(__xludf.DUMMYFUNCTION("GOOGLETRANSLATE(A237, ""en"", ""mt"")"),"Il-Panthers")</f>
        <v>Il-Panthers</v>
      </c>
    </row>
    <row r="238" ht="15.75" customHeight="1">
      <c r="A238" s="2" t="s">
        <v>238</v>
      </c>
      <c r="B238" s="2" t="str">
        <f>IFERROR(__xludf.DUMMYFUNCTION("GOOGLETRANSLATE(A238, ""en"", ""mt"")"),"Editt ta 'Nantes")</f>
        <v>Editt ta 'Nantes</v>
      </c>
    </row>
    <row r="239" ht="15.75" customHeight="1">
      <c r="A239" s="2" t="s">
        <v>239</v>
      </c>
      <c r="B239" s="2" t="str">
        <f>IFERROR(__xludf.DUMMYFUNCTION("GOOGLETRANSLATE(A239, ""en"", ""mt"")"),"Madera")</f>
        <v>Madera</v>
      </c>
    </row>
    <row r="240" ht="15.75" customHeight="1">
      <c r="A240" s="2" t="s">
        <v>240</v>
      </c>
      <c r="B240" s="2" t="str">
        <f>IFERROR(__xludf.DUMMYFUNCTION("GOOGLETRANSLATE(A240, ""en"", ""mt"")"),"effett dirett jew effett indirett")</f>
        <v>effett dirett jew effett indirett</v>
      </c>
    </row>
    <row r="241" ht="15.75" customHeight="1">
      <c r="A241" s="2" t="s">
        <v>241</v>
      </c>
      <c r="B241" s="2" t="str">
        <f>IFERROR(__xludf.DUMMYFUNCTION("GOOGLETRANSLATE(A241, ""en"", ""mt"")"),"Ftit snin wara l-ewwel kruċjata, fl-1107, in-Normanni taħt il-kmand ta 'Bohemond, iben Robert, żbarkaw f'Valona u assedjaw id-Dyrrachium billi jużaw l-iktar tagħmir militari sofistikat ta' dak iż-żmien, iżda għalxejn. Sadanittant, huma okkupaw Petrela, iċ"&amp;"-Ċittadella ta ’Mili fil-banek tax-Xmara Deabolis, Glllavenica (Ballsh), Kanina u Jericho. Din id-darba, l-Albaniżi naħat man-Normanni, mhux sodisfatti mit-taxxi tqal li l-Biżantini kienu imponew fuqhom. Bl-għajnuna tagħhom, in-Normanni assiguraw il-pass "&amp;"ta ’Arbanon u fetħu triqthom lejn Dibra. In-nuqqas ta ’provvisti, mard u reżistenza Biżantina ġiegħlu lil Bohemond jirtira mill-kampanja tiegħu u jiffirma trattat ta’ paċi mal-Biżantini fil-belt ta ’Deabolis.")</f>
        <v>Ftit snin wara l-ewwel kruċjata, fl-1107, in-Normanni taħt il-kmand ta 'Bohemond, iben Robert, żbarkaw f'Valona u assedjaw id-Dyrrachium billi jużaw l-iktar tagħmir militari sofistikat ta' dak iż-żmien, iżda għalxejn. Sadanittant, huma okkupaw Petrela, iċ-Ċittadella ta ’Mili fil-banek tax-Xmara Deabolis, Glllavenica (Ballsh), Kanina u Jericho. Din id-darba, l-Albaniżi naħat man-Normanni, mhux sodisfatti mit-taxxi tqal li l-Biżantini kienu imponew fuqhom. Bl-għajnuna tagħhom, in-Normanni assiguraw il-pass ta ’Arbanon u fetħu triqthom lejn Dibra. In-nuqqas ta ’provvisti, mard u reżistenza Biżantina ġiegħlu lil Bohemond jirtira mill-kampanja tiegħu u jiffirma trattat ta’ paċi mal-Biżantini fil-belt ta ’Deabolis.</v>
      </c>
    </row>
    <row r="242" ht="15.75" customHeight="1">
      <c r="A242" s="2" t="s">
        <v>242</v>
      </c>
      <c r="B242" s="2" t="str">
        <f>IFERROR(__xludf.DUMMYFUNCTION("GOOGLETRANSLATE(A242, ""en"", ""mt"")"),"Politiki dgħajfa, korruzzjoni, ħaddiema tas-saħħa inadegwati, ġestjoni dgħajfa u tmexxija fqira")</f>
        <v>Politiki dgħajfa, korruzzjoni, ħaddiema tas-saħħa inadegwati, ġestjoni dgħajfa u tmexxija fqira</v>
      </c>
    </row>
    <row r="243" ht="15.75" customHeight="1">
      <c r="A243" s="2" t="s">
        <v>243</v>
      </c>
      <c r="B243" s="2" t="str">
        <f>IFERROR(__xludf.DUMMYFUNCTION("GOOGLETRANSLATE(A243, ""en"", ""mt"")"),"f'pari ta 'reazzjoni ta' azzjoni")</f>
        <v>f'pari ta 'reazzjoni ta' azzjoni</v>
      </c>
    </row>
    <row r="244" ht="15.75" customHeight="1">
      <c r="A244" s="2" t="s">
        <v>244</v>
      </c>
      <c r="B244" s="2" t="str">
        <f>IFERROR(__xludf.DUMMYFUNCTION("GOOGLETRANSLATE(A244, ""en"", ""mt"")"),"L-ebda ħin tal-ħabs")</f>
        <v>L-ebda ħin tal-ħabs</v>
      </c>
    </row>
    <row r="245" ht="15.75" customHeight="1">
      <c r="A245" s="2" t="s">
        <v>245</v>
      </c>
      <c r="B245" s="2" t="str">
        <f>IFERROR(__xludf.DUMMYFUNCTION("GOOGLETRANSLATE(A245, ""en"", ""mt"")"),"Il-Paleoproterozoic eon")</f>
        <v>Il-Paleoproterozoic eon</v>
      </c>
    </row>
    <row r="246" ht="15.75" customHeight="1">
      <c r="A246" s="2" t="s">
        <v>246</v>
      </c>
      <c r="B246" s="2" t="str">
        <f>IFERROR(__xludf.DUMMYFUNCTION("GOOGLETRANSLATE(A246, ""en"", ""mt"")"),"X'inhu t-terminu użat biex tidentifika magna tat-Turing deterministika li għandha bits każwali addizzjonali?")</f>
        <v>X'inhu t-terminu użat biex tidentifika magna tat-Turing deterministika li għandha bits każwali addizzjonali?</v>
      </c>
    </row>
    <row r="247" ht="15.75" customHeight="1">
      <c r="A247" s="2" t="s">
        <v>247</v>
      </c>
      <c r="B247" s="2" t="str">
        <f>IFERROR(__xludf.DUMMYFUNCTION("GOOGLETRANSLATE(A247, ""en"", ""mt"")"),"Kongregazzjoni twaqqfet fl-1767,")</f>
        <v>Kongregazzjoni twaqqfet fl-1767,</v>
      </c>
    </row>
    <row r="248" ht="15.75" customHeight="1">
      <c r="A248" s="2" t="s">
        <v>248</v>
      </c>
      <c r="B248" s="2" t="str">
        <f>IFERROR(__xludf.DUMMYFUNCTION("GOOGLETRANSLATE(A248, ""en"", ""mt"")"),"ma riedx jirriskja konvoj kbar biex jgħinu l-forzi limitati li kellu fi Franza l-ġdida")</f>
        <v>ma riedx jirriskja konvoj kbar biex jgħinu l-forzi limitati li kellu fi Franza l-ġdida</v>
      </c>
    </row>
    <row r="249" ht="15.75" customHeight="1">
      <c r="A249" s="2" t="s">
        <v>249</v>
      </c>
      <c r="B249" s="2" t="str">
        <f>IFERROR(__xludf.DUMMYFUNCTION("GOOGLETRANSLATE(A249, ""en"", ""mt"")"),"tieħu dejn")</f>
        <v>tieħu dejn</v>
      </c>
    </row>
    <row r="250" ht="15.75" customHeight="1">
      <c r="A250" s="2" t="s">
        <v>250</v>
      </c>
      <c r="B250" s="2" t="str">
        <f>IFERROR(__xludf.DUMMYFUNCTION("GOOGLETRANSLATE(A250, ""en"", ""mt"")"),"Memorja immunoloġika tista 'tieħu liema żewġ forom?")</f>
        <v>Memorja immunoloġika tista 'tieħu liema żewġ forom?</v>
      </c>
    </row>
    <row r="251" ht="15.75" customHeight="1">
      <c r="A251" s="2" t="s">
        <v>251</v>
      </c>
      <c r="B251" s="2" t="str">
        <f>IFERROR(__xludf.DUMMYFUNCTION("GOOGLETRANSLATE(A251, ""en"", ""mt"")"),"Min serva l-pranzu tiegħu?")</f>
        <v>Min serva l-pranzu tiegħu?</v>
      </c>
    </row>
    <row r="252" ht="15.75" customHeight="1">
      <c r="A252" s="2" t="s">
        <v>252</v>
      </c>
      <c r="B252" s="2" t="str">
        <f>IFERROR(__xludf.DUMMYFUNCTION("GOOGLETRANSLATE(A252, ""en"", ""mt"")"),"Kemm btieħi kien il-mira tal-grawnd McManus?")</f>
        <v>Kemm btieħi kien il-mira tal-grawnd McManus?</v>
      </c>
    </row>
    <row r="253" ht="15.75" customHeight="1">
      <c r="A253" s="2" t="s">
        <v>253</v>
      </c>
      <c r="B253" s="2" t="str">
        <f>IFERROR(__xludf.DUMMYFUNCTION("GOOGLETRANSLATE(A253, ""en"", ""mt"")"),"wieħed mill-agħar żbalji li għamel Luther,")</f>
        <v>wieħed mill-agħar żbalji li għamel Luther,</v>
      </c>
    </row>
    <row r="254" ht="15.75" customHeight="1">
      <c r="A254" s="2" t="s">
        <v>254</v>
      </c>
      <c r="B254" s="2" t="str">
        <f>IFERROR(__xludf.DUMMYFUNCTION("GOOGLETRANSLATE(A254, ""en"", ""mt"")"),"Liema molekula għandha x-xemx fi proporzjon ogħla mid-Dinja?")</f>
        <v>Liema molekula għandha x-xemx fi proporzjon ogħla mid-Dinja?</v>
      </c>
    </row>
    <row r="255" ht="15.75" customHeight="1">
      <c r="A255" s="2" t="s">
        <v>255</v>
      </c>
      <c r="B255" s="2" t="str">
        <f>IFERROR(__xludf.DUMMYFUNCTION("GOOGLETRANSLATE(A255, ""en"", ""mt"")"),"X'inhu isem ieħor biex tiddeskrivi x-xjenza tat-tagħlim?")</f>
        <v>X'inhu isem ieħor biex tiddeskrivi x-xjenza tat-tagħlim?</v>
      </c>
    </row>
    <row r="256" ht="15.75" customHeight="1">
      <c r="A256" s="2" t="s">
        <v>256</v>
      </c>
      <c r="B256" s="2" t="str">
        <f>IFERROR(__xludf.DUMMYFUNCTION("GOOGLETRANSLATE(A256, ""en"", ""mt"")"),"Bħal sponoż u cnidarians, ctenophores għandhom żewġ saffi ewlenin ta 'ċelloli li sandwich saff tan-nofs ta' materjal li jixbah il-ġelatina, li jissejjaħ il-mesoglea f'Cnidarians u ctenophores; Annimali aktar kumplessi għandhom tliet saffi taċ-ċelloli ewle"&amp;"nin u l-ebda saff intermedju simili tal-ġelatina. Għalhekk ctenophores u cnidarians tradizzjonalment ġew ittikkettjati diplobastic, flimkien ma 'sponoż. Kemm ctenophores kif ukoll cnidarians għandhom tip ta 'muskolu li, f'annimali aktar kumplessi, joħroġ "&amp;"mis-saff taċ-ċellula tan-nofs, u bħala riżultat xi kotba ta' test riċenti jikklassifikaw Ctenophores bħala triploblastic, filwaqt li oħrajn għadhom iqisuhom bħala diploBlastic.")</f>
        <v>Bħal sponoż u cnidarians, ctenophores għandhom żewġ saffi ewlenin ta 'ċelloli li sandwich saff tan-nofs ta' materjal li jixbah il-ġelatina, li jissejjaħ il-mesoglea f'Cnidarians u ctenophores; Annimali aktar kumplessi għandhom tliet saffi taċ-ċelloli ewlenin u l-ebda saff intermedju simili tal-ġelatina. Għalhekk ctenophores u cnidarians tradizzjonalment ġew ittikkettjati diplobastic, flimkien ma 'sponoż. Kemm ctenophores kif ukoll cnidarians għandhom tip ta 'muskolu li, f'annimali aktar kumplessi, joħroġ mis-saff taċ-ċellula tan-nofs, u bħala riżultat xi kotba ta' test riċenti jikklassifikaw Ctenophores bħala triploblastic, filwaqt li oħrajn għadhom iqisuhom bħala diploBlastic.</v>
      </c>
    </row>
    <row r="257" ht="15.75" customHeight="1">
      <c r="A257" s="2" t="s">
        <v>257</v>
      </c>
      <c r="B257" s="2" t="str">
        <f>IFERROR(__xludf.DUMMYFUNCTION("GOOGLETRANSLATE(A257, ""en"", ""mt"")"),"Fluttwazzjonijiet relatati mat-temp")</f>
        <v>Fluttwazzjonijiet relatati mat-temp</v>
      </c>
    </row>
    <row r="258" ht="15.75" customHeight="1">
      <c r="A258" s="2" t="s">
        <v>258</v>
      </c>
      <c r="B258" s="2" t="str">
        <f>IFERROR(__xludf.DUMMYFUNCTION("GOOGLETRANSLATE(A258, ""en"", ""mt"")"),"ġeneralment bnedmin")</f>
        <v>ġeneralment bnedmin</v>
      </c>
    </row>
    <row r="259" ht="15.75" customHeight="1">
      <c r="A259" s="2" t="s">
        <v>259</v>
      </c>
      <c r="B259" s="2" t="str">
        <f>IFERROR(__xludf.DUMMYFUNCTION("GOOGLETRANSLATE(A259, ""en"", ""mt"")"),"Biex ""teqred"" il-ħlejjaq kollha mhux Dalek")</f>
        <v>Biex "teqred" il-ħlejjaq kollha mhux Dalek</v>
      </c>
    </row>
    <row r="260" ht="15.75" customHeight="1">
      <c r="A260" s="2" t="s">
        <v>260</v>
      </c>
      <c r="B260" s="2" t="str">
        <f>IFERROR(__xludf.DUMMYFUNCTION("GOOGLETRANSLATE(A260, ""en"", ""mt"")"),"Thomas Commerford Martin")</f>
        <v>Thomas Commerford Martin</v>
      </c>
    </row>
    <row r="261" ht="15.75" customHeight="1">
      <c r="A261" s="2" t="s">
        <v>261</v>
      </c>
      <c r="B261" s="2" t="str">
        <f>IFERROR(__xludf.DUMMYFUNCTION("GOOGLETRANSLATE(A261, ""en"", ""mt"")"),"membrani addizzjonali")</f>
        <v>membrani addizzjonali</v>
      </c>
    </row>
    <row r="262" ht="15.75" customHeight="1">
      <c r="A262" s="2" t="s">
        <v>262</v>
      </c>
      <c r="B262" s="2" t="str">
        <f>IFERROR(__xludf.DUMMYFUNCTION("GOOGLETRANSLATE(A262, ""en"", ""mt"")"),"Għal xiex tispikka l-akronimu LEM?")</f>
        <v>Għal xiex tispikka l-akronimu LEM?</v>
      </c>
    </row>
    <row r="263" ht="15.75" customHeight="1">
      <c r="A263" s="2" t="s">
        <v>263</v>
      </c>
      <c r="B263" s="2" t="str">
        <f>IFERROR(__xludf.DUMMYFUNCTION("GOOGLETRANSLATE(A263, ""en"", ""mt"")"),"Meta twieled Zhu Shijie?")</f>
        <v>Meta twieled Zhu Shijie?</v>
      </c>
    </row>
    <row r="264" ht="15.75" customHeight="1">
      <c r="A264" s="2" t="s">
        <v>264</v>
      </c>
      <c r="B264" s="2" t="str">
        <f>IFERROR(__xludf.DUMMYFUNCTION("GOOGLETRANSLATE(A264, ""en"", ""mt"")"),"Liema pajjiżi huma d-DVDs tat-tabib li jinxtraw?")</f>
        <v>Liema pajjiżi huma d-DVDs tat-tabib li jinxtraw?</v>
      </c>
    </row>
    <row r="265" ht="15.75" customHeight="1">
      <c r="A265" s="2" t="s">
        <v>265</v>
      </c>
      <c r="B265" s="2" t="str">
        <f>IFERROR(__xludf.DUMMYFUNCTION("GOOGLETRANSLATE(A265, ""en"", ""mt"")"),"Liema sena kienu l-ewwel Doctor Who Stories disponibbli fuq CD?")</f>
        <v>Liema sena kienu l-ewwel Doctor Who Stories disponibbli fuq CD?</v>
      </c>
    </row>
    <row r="266" ht="15.75" customHeight="1">
      <c r="A266" s="2" t="s">
        <v>266</v>
      </c>
      <c r="B266" s="2" t="str">
        <f>IFERROR(__xludf.DUMMYFUNCTION("GOOGLETRANSLATE(A266, ""en"", ""mt"")"),"Żvantaġġ ta 'Dħul Baxx u Applikanti ta' Minoranza")</f>
        <v>Żvantaġġ ta 'Dħul Baxx u Applikanti ta' Minoranza</v>
      </c>
    </row>
    <row r="267" ht="15.75" customHeight="1">
      <c r="A267" s="2" t="s">
        <v>267</v>
      </c>
      <c r="B267" s="2" t="str">
        <f>IFERROR(__xludf.DUMMYFUNCTION("GOOGLETRANSLATE(A267, ""en"", ""mt"")"),"permezz ta 'sponsors")</f>
        <v>permezz ta 'sponsors</v>
      </c>
    </row>
    <row r="268" ht="15.75" customHeight="1">
      <c r="A268" s="2" t="s">
        <v>268</v>
      </c>
      <c r="B268" s="2" t="str">
        <f>IFERROR(__xludf.DUMMYFUNCTION("GOOGLETRANSLATE(A268, ""en"", ""mt"")"),"ekwipaġġ ewlieni")</f>
        <v>ekwipaġġ ewlieni</v>
      </c>
    </row>
    <row r="269" ht="15.75" customHeight="1">
      <c r="A269" s="2" t="s">
        <v>269</v>
      </c>
      <c r="B269" s="2" t="str">
        <f>IFERROR(__xludf.DUMMYFUNCTION("GOOGLETRANSLATE(A269, ""en"", ""mt"")"),"X'tip ta 'mġieba fil-primes huwa possibbli li tiddetermina?")</f>
        <v>X'tip ta 'mġieba fil-primes huwa possibbli li tiddetermina?</v>
      </c>
    </row>
    <row r="270" ht="15.75" customHeight="1">
      <c r="A270" s="2" t="s">
        <v>270</v>
      </c>
      <c r="B270" s="2" t="str">
        <f>IFERROR(__xludf.DUMMYFUNCTION("GOOGLETRANSLATE(A270, ""en"", ""mt"")"),"Madwar 17 nm")</f>
        <v>Madwar 17 nm</v>
      </c>
    </row>
    <row r="271" ht="15.75" customHeight="1">
      <c r="A271" s="2" t="s">
        <v>271</v>
      </c>
      <c r="B271" s="2" t="str">
        <f>IFERROR(__xludf.DUMMYFUNCTION("GOOGLETRANSLATE(A271, ""en"", ""mt"")"),"Il-Kenja hija attiva f’diversi sports, fosthom cricket, rally, futbol, ​​unjoni tar-rugby u boxing. Il-pajjiż huwa magħruf prinċipalment għad-dominanza tiegħu fl-atletika fuq distanza medja u fuq distanza twila, wara li pproduċa b'mod konsistenti ċ-ċampji"&amp;"ns tal-Logħob Olimpiku u tal-Commonwealth f'diversi avvenimenti mill-bogħod, speċjalment f'800 m, 1,500 m, 3,000 m Steeplechase, 5,000 m, 5,000 m, 10,000 m u maratona. L-atleti Kenjani (partikolarment Kalenjin) ikomplu jiddominaw id-dinja tat-tmexxija mil"&amp;"l-bogħod, għalkemm il-kompetizzjoni mill-Marokk u l-Etjopja naqqset din is-supremazija. L-iktar atleti magħrufa tal-Kenja kienu jinkludu r-rebbieħa tal-Maratona tan-Nisa ta ’Boston u darbtejn Catherine Ndereba, id-detentur tar-rekord dinji ta’ 800m David "&amp;"Rudisha, ex-detentur tad-dinja tad-dinja tal-maratona Paul Tergat, u John Ngugi.")</f>
        <v>Il-Kenja hija attiva f’diversi sports, fosthom cricket, rally, futbol, ​​unjoni tar-rugby u boxing. Il-pajjiż huwa magħruf prinċipalment għad-dominanza tiegħu fl-atletika fuq distanza medja u fuq distanza twila, wara li pproduċa b'mod konsistenti ċ-ċampjins tal-Logħob Olimpiku u tal-Commonwealth f'diversi avvenimenti mill-bogħod, speċjalment f'800 m, 1,500 m, 3,000 m Steeplechase, 5,000 m, 5,000 m, 10,000 m u maratona. L-atleti Kenjani (partikolarment Kalenjin) ikomplu jiddominaw id-dinja tat-tmexxija mill-bogħod, għalkemm il-kompetizzjoni mill-Marokk u l-Etjopja naqqset din is-supremazija. L-iktar atleti magħrufa tal-Kenja kienu jinkludu r-rebbieħa tal-Maratona tan-Nisa ta ’Boston u darbtejn Catherine Ndereba, id-detentur tar-rekord dinji ta’ 800m David Rudisha, ex-detentur tad-dinja tad-dinja tal-maratona Paul Tergat, u John Ngugi.</v>
      </c>
    </row>
    <row r="272" ht="15.75" customHeight="1">
      <c r="A272" s="2" t="s">
        <v>272</v>
      </c>
      <c r="B272" s="2" t="str">
        <f>IFERROR(__xludf.DUMMYFUNCTION("GOOGLETRANSLATE(A272, ""en"", ""mt"")"),"Huwa wasal tard wisq biex jinkiteb fl-Università Charles-Ferdinand; Hu qatt ma studja l-Grieg, suġġett meħtieġ; u kien illitterat fiċ-Ċek")</f>
        <v>Huwa wasal tard wisq biex jinkiteb fl-Università Charles-Ferdinand; Hu qatt ma studja l-Grieg, suġġett meħtieġ; u kien illitterat fiċ-Ċek</v>
      </c>
    </row>
    <row r="273" ht="15.75" customHeight="1">
      <c r="A273" s="2" t="s">
        <v>273</v>
      </c>
      <c r="B273" s="2" t="str">
        <f>IFERROR(__xludf.DUMMYFUNCTION("GOOGLETRANSLATE(A273, ""en"", ""mt"")"),"F'liema belt hija l-iskola tal-bniet Rangi Ruru?")</f>
        <v>F'liema belt hija l-iskola tal-bniet Rangi Ruru?</v>
      </c>
    </row>
    <row r="274" ht="15.75" customHeight="1">
      <c r="A274" s="2" t="s">
        <v>274</v>
      </c>
      <c r="B274" s="2" t="str">
        <f>IFERROR(__xludf.DUMMYFUNCTION("GOOGLETRANSLATE(A274, ""en"", ""mt"")"),"Liema kanzunetta relatata mat-Tabib min laħqet in-numru wieħed fir-Renju Unit?")</f>
        <v>Liema kanzunetta relatata mat-Tabib min laħqet in-numru wieħed fir-Renju Unit?</v>
      </c>
    </row>
    <row r="275" ht="15.75" customHeight="1">
      <c r="A275" s="2" t="s">
        <v>275</v>
      </c>
      <c r="B275" s="2" t="str">
        <f>IFERROR(__xludf.DUMMYFUNCTION("GOOGLETRANSLATE(A275, ""en"", ""mt"")"),"Permezz ta 'ġustifikazzjoni ċerta teoriji razzjali u ġeografiċi, l-Ewropa ħasbet minnha nnifisha?")</f>
        <v>Permezz ta 'ġustifikazzjoni ċerta teoriji razzjali u ġeografiċi, l-Ewropa ħasbet minnha nnifisha?</v>
      </c>
    </row>
    <row r="276" ht="15.75" customHeight="1">
      <c r="A276" s="2" t="s">
        <v>276</v>
      </c>
      <c r="B276" s="2" t="str">
        <f>IFERROR(__xludf.DUMMYFUNCTION("GOOGLETRANSLATE(A276, ""en"", ""mt"")"),"1979")</f>
        <v>1979</v>
      </c>
    </row>
    <row r="277" ht="15.75" customHeight="1">
      <c r="A277" s="2" t="s">
        <v>277</v>
      </c>
      <c r="B277" s="2" t="str">
        <f>IFERROR(__xludf.DUMMYFUNCTION("GOOGLETRANSLATE(A277, ""en"", ""mt"")"),"Dak li ġiegħel il-kanċellazzjonijiet ta 'tliet inżul futur?")</f>
        <v>Dak li ġiegħel il-kanċellazzjonijiet ta 'tliet inżul futur?</v>
      </c>
    </row>
    <row r="278" ht="15.75" customHeight="1">
      <c r="A278" s="2" t="s">
        <v>278</v>
      </c>
      <c r="B278" s="2" t="str">
        <f>IFERROR(__xludf.DUMMYFUNCTION("GOOGLETRANSLATE(A278, ""en"", ""mt"")"),"Tiġġustifika l-grazzja")</f>
        <v>Tiġġustifika l-grazzja</v>
      </c>
    </row>
    <row r="279" ht="15.75" customHeight="1">
      <c r="A279" s="2" t="s">
        <v>279</v>
      </c>
      <c r="B279" s="2" t="str">
        <f>IFERROR(__xludf.DUMMYFUNCTION("GOOGLETRANSLATE(A279, ""en"", ""mt"")"),"Perjodu Paleolitiku aktar baxx")</f>
        <v>Perjodu Paleolitiku aktar baxx</v>
      </c>
    </row>
    <row r="280" ht="15.75" customHeight="1">
      <c r="A280" s="2" t="s">
        <v>280</v>
      </c>
      <c r="B280" s="2" t="str">
        <f>IFERROR(__xludf.DUMMYFUNCTION("GOOGLETRANSLATE(A280, ""en"", ""mt"")"),"Liema elementi mis-sistema Rift fl-orogenija Alpina fil-Lbiċ tal-Ġermanja?")</f>
        <v>Liema elementi mis-sistema Rift fl-orogenija Alpina fil-Lbiċ tal-Ġermanja?</v>
      </c>
    </row>
    <row r="281" ht="15.75" customHeight="1">
      <c r="A281" s="2" t="s">
        <v>281</v>
      </c>
      <c r="B281" s="2" t="str">
        <f>IFERROR(__xludf.DUMMYFUNCTION("GOOGLETRANSLATE(A281, ""en"", ""mt"")"),"Liema kumpanija għandha ABC?")</f>
        <v>Liema kumpanija għandha ABC?</v>
      </c>
    </row>
    <row r="282" ht="15.75" customHeight="1">
      <c r="A282" s="2" t="s">
        <v>282</v>
      </c>
      <c r="B282" s="2" t="str">
        <f>IFERROR(__xludf.DUMMYFUNCTION("GOOGLETRANSLATE(A282, ""en"", ""mt"")"),"Ħafna nies anzjani issa qed jieħdu bosta mediċini iżda jkomplu jgħixu barra minn settings istituzzjonali")</f>
        <v>Ħafna nies anzjani issa qed jieħdu bosta mediċini iżda jkomplu jgħixu barra minn settings istituzzjonali</v>
      </c>
    </row>
    <row r="283" ht="15.75" customHeight="1">
      <c r="A283" s="2" t="s">
        <v>283</v>
      </c>
      <c r="B283" s="2" t="str">
        <f>IFERROR(__xludf.DUMMYFUNCTION("GOOGLETRANSLATE(A283, ""en"", ""mt"")"),"Missier, l-Iben, jew l-Ispirtu s-Santu.")</f>
        <v>Missier, l-Iben, jew l-Ispirtu s-Santu.</v>
      </c>
    </row>
    <row r="284" ht="15.75" customHeight="1">
      <c r="A284" s="2" t="s">
        <v>284</v>
      </c>
      <c r="B284" s="2" t="str">
        <f>IFERROR(__xludf.DUMMYFUNCTION("GOOGLETRANSLATE(A284, ""en"", ""mt"")"),"X'kienu ż-żewġ kwartieri Huguenot maħluqa f'Berlin?")</f>
        <v>X'kienu ż-żewġ kwartieri Huguenot maħluqa f'Berlin?</v>
      </c>
    </row>
    <row r="285" ht="15.75" customHeight="1">
      <c r="A285" s="2" t="s">
        <v>285</v>
      </c>
      <c r="B285" s="2" t="str">
        <f>IFERROR(__xludf.DUMMYFUNCTION("GOOGLETRANSLATE(A285, ""en"", ""mt"")"),"Hemm ħafna kunċetti ta 'għalliema fl-Islam, li jvarjaw minn mullahs (l-għalliema fil-madrassas) għal Ulemas, li jgħallmu l-liġijiet tal-Iżlam għall-mod xieraq ta' għajxien Iżlamiku skond is-Sunnah u Ahadith, u jistgħu jirrendu verdetti legali fuq kwistjon"&amp;"ijiet ta ' Liġi Iżlamika skont it-tagħlim ta 'waħda mill-erba' skejjel ta 'ġurisprudenza. Fit-tradizzjoni Iżlamika aktar spiritwali jew mistika tas-Sufiżmu, il-pożizzjoni ta 'għalliem spiritwali u esoteriku (għall-kuntrarju ta' eżoteriċi, jew orjentati le"&amp;"jn l-azzjonijiet, e.g. il-ħames pilastri tal-Iżlam) l-ispiritwalità u l-għarfien spiritwali jieħdu dimensjoni aktar importanti, b'enfasi Meta jitgħallmu mill-qaddisin ħajjin - l-ogħla wieħed minnhom huwa QUTB - u ta 'tradizzjonijiet mgħoddija mill-bidu għ"&amp;"all-bidu, u traċċabbli lura lill-fundatur tal-ordni.")</f>
        <v>Hemm ħafna kunċetti ta 'għalliema fl-Islam, li jvarjaw minn mullahs (l-għalliema fil-madrassas) għal Ulemas, li jgħallmu l-liġijiet tal-Iżlam għall-mod xieraq ta' għajxien Iżlamiku skond is-Sunnah u Ahadith, u jistgħu jirrendu verdetti legali fuq kwistjonijiet ta ' Liġi Iżlamika skont it-tagħlim ta 'waħda mill-erba' skejjel ta 'ġurisprudenza. Fit-tradizzjoni Iżlamika aktar spiritwali jew mistika tas-Sufiżmu, il-pożizzjoni ta 'għalliem spiritwali u esoteriku (għall-kuntrarju ta' eżoteriċi, jew orjentati lejn l-azzjonijiet, e.g. il-ħames pilastri tal-Iżlam) l-ispiritwalità u l-għarfien spiritwali jieħdu dimensjoni aktar importanti, b'enfasi Meta jitgħallmu mill-qaddisin ħajjin - l-ogħla wieħed minnhom huwa QUTB - u ta 'tradizzjonijiet mgħoddija mill-bidu għall-bidu, u traċċabbli lura lill-fundatur tal-ordni.</v>
      </c>
    </row>
    <row r="286" ht="15.75" customHeight="1">
      <c r="A286" s="2" t="s">
        <v>286</v>
      </c>
      <c r="B286" s="2" t="str">
        <f>IFERROR(__xludf.DUMMYFUNCTION("GOOGLETRANSLATE(A286, ""en"", ""mt"")"),"Liema kollettur tal-flus tal-knisja qal li s-sould se joħroġ mill-purgatorju permezz ta 'donazzjonijiet monetarji?")</f>
        <v>Liema kollettur tal-flus tal-knisja qal li s-sould se joħroġ mill-purgatorju permezz ta 'donazzjonijiet monetarji?</v>
      </c>
    </row>
    <row r="287" ht="15.75" customHeight="1">
      <c r="A287" s="2" t="s">
        <v>287</v>
      </c>
      <c r="B287" s="2" t="str">
        <f>IFERROR(__xludf.DUMMYFUNCTION("GOOGLETRANSLATE(A287, ""en"", ""mt"")"),"Kif xi studjużi jaraw l-użu tan-Nażisti tax-xogħol ta 'Luther?")</f>
        <v>Kif xi studjużi jaraw l-użu tan-Nażisti tax-xogħol ta 'Luther?</v>
      </c>
    </row>
    <row r="288" ht="15.75" customHeight="1">
      <c r="A288" s="2" t="s">
        <v>288</v>
      </c>
      <c r="B288" s="2" t="str">
        <f>IFERROR(__xludf.DUMMYFUNCTION("GOOGLETRANSLATE(A288, ""en"", ""mt"")"),"X'inhuma l-peptidi anitmikrobiċi msejħa mill-ġilda?")</f>
        <v>X'inhuma l-peptidi anitmikrobiċi msejħa mill-ġilda?</v>
      </c>
    </row>
    <row r="289" ht="15.75" customHeight="1">
      <c r="A289" s="2" t="s">
        <v>289</v>
      </c>
      <c r="B289" s="2" t="str">
        <f>IFERROR(__xludf.DUMMYFUNCTION("GOOGLETRANSLATE(A289, ""en"", ""mt"")"),"Inbiddel il-proċess kollu ta 'valutazzjoni tax-xjenza dwar il-klima f'wikipedia-IPCC moderat ""ħaj""")</f>
        <v>Inbiddel il-proċess kollu ta 'valutazzjoni tax-xjenza dwar il-klima f'wikipedia-IPCC moderat "ħaj"</v>
      </c>
    </row>
    <row r="290" ht="15.75" customHeight="1">
      <c r="A290" s="2" t="s">
        <v>290</v>
      </c>
      <c r="B290" s="2" t="str">
        <f>IFERROR(__xludf.DUMMYFUNCTION("GOOGLETRANSLATE(A290, ""en"", ""mt"")"),"Fejn jinsabu dawn l-annimali l-aktar?")</f>
        <v>Fejn jinsabu dawn l-annimali l-aktar?</v>
      </c>
    </row>
    <row r="291" ht="15.75" customHeight="1">
      <c r="A291" s="2" t="s">
        <v>291</v>
      </c>
      <c r="B291" s="2" t="str">
        <f>IFERROR(__xludf.DUMMYFUNCTION("GOOGLETRANSLATE(A291, ""en"", ""mt"")"),"Lejn tmiem ħajtu")</f>
        <v>Lejn tmiem ħajtu</v>
      </c>
    </row>
    <row r="292" ht="15.75" customHeight="1">
      <c r="A292" s="2" t="s">
        <v>292</v>
      </c>
      <c r="B292" s="2" t="str">
        <f>IFERROR(__xludf.DUMMYFUNCTION("GOOGLETRANSLATE(A292, ""en"", ""mt"")"),"L-akbar kollezzjoni nazzjonali tar-Renju Unit dwar il-prestazzjoni diretta fir-Renju Unit")</f>
        <v>L-akbar kollezzjoni nazzjonali tar-Renju Unit dwar il-prestazzjoni diretta fir-Renju Unit</v>
      </c>
    </row>
    <row r="293" ht="15.75" customHeight="1">
      <c r="A293" s="2" t="s">
        <v>293</v>
      </c>
      <c r="B293" s="2" t="str">
        <f>IFERROR(__xludf.DUMMYFUNCTION("GOOGLETRANSLATE(A293, ""en"", ""mt"")"),"Liema kumpanija tal-produzzjoni pproduċiet is-serje animata The Flintstones for ABC?")</f>
        <v>Liema kumpanija tal-produzzjoni pproduċiet is-serje animata The Flintstones for ABC?</v>
      </c>
    </row>
    <row r="294" ht="15.75" customHeight="1">
      <c r="A294" s="2" t="s">
        <v>294</v>
      </c>
      <c r="B294" s="2" t="str">
        <f>IFERROR(__xludf.DUMMYFUNCTION("GOOGLETRANSLATE(A294, ""en"", ""mt"")"),"X'kien it-titlu mogħti lill-proġett ewlieni biex tfassal mill-ġdid il-galleriji kollha fil-mużew?")</f>
        <v>X'kien it-titlu mogħti lill-proġett ewlieni biex tfassal mill-ġdid il-galleriji kollha fil-mużew?</v>
      </c>
    </row>
    <row r="295" ht="15.75" customHeight="1">
      <c r="A295" s="2" t="s">
        <v>295</v>
      </c>
      <c r="B295" s="2" t="str">
        <f>IFERROR(__xludf.DUMMYFUNCTION("GOOGLETRANSLATE(A295, ""en"", ""mt"")"),"Archduke Sigismund")</f>
        <v>Archduke Sigismund</v>
      </c>
    </row>
    <row r="296" ht="15.75" customHeight="1">
      <c r="A296" s="2" t="s">
        <v>296</v>
      </c>
      <c r="B296" s="2" t="str">
        <f>IFERROR(__xludf.DUMMYFUNCTION("GOOGLETRANSLATE(A296, ""en"", ""mt"")"),"rilaxx ta 'malajr")</f>
        <v>rilaxx ta 'malajr</v>
      </c>
    </row>
    <row r="297" ht="15.75" customHeight="1">
      <c r="A297" s="2" t="s">
        <v>297</v>
      </c>
      <c r="B297" s="2" t="str">
        <f>IFERROR(__xludf.DUMMYFUNCTION("GOOGLETRANSLATE(A297, ""en"", ""mt"")"),"Daniel Arap Moi")</f>
        <v>Daniel Arap Moi</v>
      </c>
    </row>
    <row r="298" ht="15.75" customHeight="1">
      <c r="A298" s="2" t="s">
        <v>298</v>
      </c>
      <c r="B298" s="2" t="str">
        <f>IFERROR(__xludf.DUMMYFUNCTION("GOOGLETRANSLATE(A298, ""en"", ""mt"")"),"Okkupazzjoni Ingliża")</f>
        <v>Okkupazzjoni Ingliża</v>
      </c>
    </row>
    <row r="299" ht="15.75" customHeight="1">
      <c r="A299" s="2" t="s">
        <v>299</v>
      </c>
      <c r="B299" s="2" t="str">
        <f>IFERROR(__xludf.DUMMYFUNCTION("GOOGLETRANSLATE(A299, ""en"", ""mt"")"),"X'inhuma l-partiċelli skambjati mbassra mill-mudell standard?")</f>
        <v>X'inhuma l-partiċelli skambjati mbassra mill-mudell standard?</v>
      </c>
    </row>
    <row r="300" ht="15.75" customHeight="1">
      <c r="A300" s="2" t="s">
        <v>300</v>
      </c>
      <c r="B300" s="2" t="str">
        <f>IFERROR(__xludf.DUMMYFUNCTION("GOOGLETRANSLATE(A300, ""en"", ""mt"")"),"Liema belt, attakkata minn gruppi u duki, ippreċediet il-fondazzjoni ta 'Warszowa?")</f>
        <v>Liema belt, attakkata minn gruppi u duki, ippreċediet il-fondazzjoni ta 'Warszowa?</v>
      </c>
    </row>
    <row r="301" ht="15.75" customHeight="1">
      <c r="A301" s="2" t="s">
        <v>301</v>
      </c>
      <c r="B301" s="2" t="str">
        <f>IFERROR(__xludf.DUMMYFUNCTION("GOOGLETRANSLATE(A301, ""en"", ""mt"")"),"L-ex president tal-IPCC Robert Watson qal li ""l-iżbalji kollha jidhru li marru fid-direzzjoni li jidhru li t-tibdil fil-klima huwa iktar serju billi jnissel l-impatt. Dan huwa inkwetanti. L-IPCC jeħtieġ li jħares lejn din ix-xejra fl-iżbalji u jistaqsu G"&amp;"ħaliex ġara "". Martin Parry, espert fil-klima li kien ko-president tal-Grupp ta 'Ħidma II tal-IPCC, qal li ""dak li beda bi żball wieħed sfortunat fuq il-glaċieri tal-Ħimalaja sar clamor mingħajr sustanza"" u l-IPCC kien investiga l-allegati żbalji l-oħr"&amp;"a l-oħra, li kienu ""ġeneralment infondati u marġinali wkoll għall-valutazzjoni"".")</f>
        <v>L-ex president tal-IPCC Robert Watson qal li "l-iżbalji kollha jidhru li marru fid-direzzjoni li jidhru li t-tibdil fil-klima huwa iktar serju billi jnissel l-impatt. Dan huwa inkwetanti. L-IPCC jeħtieġ li jħares lejn din ix-xejra fl-iżbalji u jistaqsu Għaliex ġara ". Martin Parry, espert fil-klima li kien ko-president tal-Grupp ta 'Ħidma II tal-IPCC, qal li "dak li beda bi żball wieħed sfortunat fuq il-glaċieri tal-Ħimalaja sar clamor mingħajr sustanza" u l-IPCC kien investiga l-allegati żbalji l-oħra l-oħra, li kienu "ġeneralment infondati u marġinali wkoll għall-valutazzjoni".</v>
      </c>
    </row>
    <row r="302" ht="15.75" customHeight="1">
      <c r="A302" s="2" t="s">
        <v>302</v>
      </c>
      <c r="B302" s="2" t="str">
        <f>IFERROR(__xludf.DUMMYFUNCTION("GOOGLETRANSLATE(A302, ""en"", ""mt"")"),"X'inhu tip ta 'diżubbidjenza kontra l-gvern federali?")</f>
        <v>X'inhu tip ta 'diżubbidjenza kontra l-gvern federali?</v>
      </c>
    </row>
    <row r="303" ht="15.75" customHeight="1">
      <c r="A303" s="2" t="s">
        <v>303</v>
      </c>
      <c r="B303" s="2" t="str">
        <f>IFERROR(__xludf.DUMMYFUNCTION("GOOGLETRANSLATE(A303, ""en"", ""mt"")"),"ambigwu")</f>
        <v>ambigwu</v>
      </c>
    </row>
    <row r="304" ht="15.75" customHeight="1">
      <c r="A304" s="2" t="s">
        <v>304</v>
      </c>
      <c r="B304" s="2" t="str">
        <f>IFERROR(__xludf.DUMMYFUNCTION("GOOGLETRANSLATE(A304, ""en"", ""mt"")"),"Liema etniċità kienet Shi Tianze?")</f>
        <v>Liema etniċità kienet Shi Tianze?</v>
      </c>
    </row>
    <row r="305" ht="15.75" customHeight="1">
      <c r="A305" s="2" t="s">
        <v>305</v>
      </c>
      <c r="B305" s="2" t="str">
        <f>IFERROR(__xludf.DUMMYFUNCTION("GOOGLETRANSLATE(A305, ""en"", ""mt"")"),"Għaliex huwa importanti r-rikonoxximent tas-sekwenza Shine-Dalgarno?")</f>
        <v>Għaliex huwa importanti r-rikonoxximent tas-sekwenza Shine-Dalgarno?</v>
      </c>
    </row>
    <row r="306" ht="15.75" customHeight="1">
      <c r="A306" s="2" t="s">
        <v>306</v>
      </c>
      <c r="B306" s="2" t="str">
        <f>IFERROR(__xludf.DUMMYFUNCTION("GOOGLETRANSLATE(A306, ""en"", ""mt"")"),"Liema provinċji fil-Kanada jillimitaw id-drittijiet tal-ispiżjara fil-preskrizzjoni?")</f>
        <v>Liema provinċji fil-Kanada jillimitaw id-drittijiet tal-ispiżjara fil-preskrizzjoni?</v>
      </c>
    </row>
    <row r="307" ht="15.75" customHeight="1">
      <c r="A307" s="2" t="s">
        <v>307</v>
      </c>
      <c r="B307" s="2" t="str">
        <f>IFERROR(__xludf.DUMMYFUNCTION("GOOGLETRANSLATE(A307, ""en"", ""mt"")"),"ABC fuq talba")</f>
        <v>ABC fuq talba</v>
      </c>
    </row>
    <row r="308" ht="15.75" customHeight="1">
      <c r="A308" s="2" t="s">
        <v>308</v>
      </c>
      <c r="B308" s="2" t="str">
        <f>IFERROR(__xludf.DUMMYFUNCTION("GOOGLETRANSLATE(A308, ""en"", ""mt"")"),"Newtrofili")</f>
        <v>Newtrofili</v>
      </c>
    </row>
    <row r="309" ht="15.75" customHeight="1">
      <c r="A309" s="2" t="s">
        <v>309</v>
      </c>
      <c r="B309" s="2" t="str">
        <f>IFERROR(__xludf.DUMMYFUNCTION("GOOGLETRANSLATE(A309, ""en"", ""mt"")"),"Impenn finanzjarju massiv")</f>
        <v>Impenn finanzjarju massiv</v>
      </c>
    </row>
    <row r="310" ht="15.75" customHeight="1">
      <c r="A310" s="2" t="s">
        <v>310</v>
      </c>
      <c r="B310" s="2" t="str">
        <f>IFERROR(__xludf.DUMMYFUNCTION("GOOGLETRANSLATE(A310, ""en"", ""mt"")"),"Astra 2a")</f>
        <v>Astra 2a</v>
      </c>
    </row>
    <row r="311" ht="15.75" customHeight="1">
      <c r="A311" s="2" t="s">
        <v>311</v>
      </c>
      <c r="B311" s="2" t="str">
        <f>IFERROR(__xludf.DUMMYFUNCTION("GOOGLETRANSLATE(A311, ""en"", ""mt"")"),"X'inhu l-effett finali li żżid aktar u aktar kordi ta 'idea ma' tagħbija?")</f>
        <v>X'inhu l-effett finali li żżid aktar u aktar kordi ta 'idea ma' tagħbija?</v>
      </c>
    </row>
    <row r="312" ht="15.75" customHeight="1">
      <c r="A312" s="2" t="s">
        <v>312</v>
      </c>
      <c r="B312" s="2" t="str">
        <f>IFERROR(__xludf.DUMMYFUNCTION("GOOGLETRANSLATE(A312, ""en"", ""mt"")"),"X'kien l-isem tas-servizz diġitali ta 'BSKYB?")</f>
        <v>X'kien l-isem tas-servizz diġitali ta 'BSKYB?</v>
      </c>
    </row>
    <row r="313" ht="15.75" customHeight="1">
      <c r="A313" s="2" t="s">
        <v>313</v>
      </c>
      <c r="B313" s="2" t="str">
        <f>IFERROR(__xludf.DUMMYFUNCTION("GOOGLETRANSLATE(A313, ""en"", ""mt"")"),"innifsek")</f>
        <v>innifsek</v>
      </c>
    </row>
    <row r="314" ht="15.75" customHeight="1">
      <c r="A314" s="2" t="s">
        <v>314</v>
      </c>
      <c r="B314" s="2" t="str">
        <f>IFERROR(__xludf.DUMMYFUNCTION("GOOGLETRANSLATE(A314, ""en"", ""mt"")"),"Ċentru tax-Xiri tal-Pjazza Eldon,")</f>
        <v>Ċentru tax-Xiri tal-Pjazza Eldon,</v>
      </c>
    </row>
    <row r="315" ht="15.75" customHeight="1">
      <c r="A315" s="2" t="s">
        <v>315</v>
      </c>
      <c r="B315" s="2" t="str">
        <f>IFERROR(__xludf.DUMMYFUNCTION("GOOGLETRANSLATE(A315, ""en"", ""mt"")"),"X’meċidiet Warner Sinback")</f>
        <v>X’meċidiet Warner Sinback</v>
      </c>
    </row>
    <row r="316" ht="15.75" customHeight="1">
      <c r="A316" s="2" t="s">
        <v>316</v>
      </c>
      <c r="B316" s="2" t="str">
        <f>IFERROR(__xludf.DUMMYFUNCTION("GOOGLETRANSLATE(A316, ""en"", ""mt"")"),"tifforma 'gallerija nazzjonali tal-arti Ingliża'")</f>
        <v>tifforma 'gallerija nazzjonali tal-arti Ingliża'</v>
      </c>
    </row>
    <row r="317" ht="15.75" customHeight="1">
      <c r="A317" s="2" t="s">
        <v>317</v>
      </c>
      <c r="B317" s="2" t="str">
        <f>IFERROR(__xludf.DUMMYFUNCTION("GOOGLETRANSLATE(A317, ""en"", ""mt"")"),"sena")</f>
        <v>sena</v>
      </c>
    </row>
    <row r="318" ht="15.75" customHeight="1">
      <c r="A318" s="2" t="s">
        <v>318</v>
      </c>
      <c r="B318" s="2" t="str">
        <f>IFERROR(__xludf.DUMMYFUNCTION("GOOGLETRANSLATE(A318, ""en"", ""mt"")"),"Ir-reġjun ċentrali")</f>
        <v>Ir-reġjun ċentrali</v>
      </c>
    </row>
    <row r="319" ht="15.75" customHeight="1">
      <c r="A319" s="2" t="s">
        <v>319</v>
      </c>
      <c r="B319" s="2" t="str">
        <f>IFERROR(__xludf.DUMMYFUNCTION("GOOGLETRANSLATE(A319, ""en"", ""mt"")"),"xhur wara li ġara")</f>
        <v>xhur wara li ġara</v>
      </c>
    </row>
    <row r="320" ht="15.75" customHeight="1">
      <c r="A320" s="2" t="s">
        <v>320</v>
      </c>
      <c r="B320" s="2" t="str">
        <f>IFERROR(__xludf.DUMMYFUNCTION("GOOGLETRANSLATE(A320, ""en"", ""mt"")"),"500")</f>
        <v>500</v>
      </c>
    </row>
    <row r="321" ht="15.75" customHeight="1">
      <c r="A321" s="2" t="s">
        <v>321</v>
      </c>
      <c r="B321" s="2" t="str">
        <f>IFERROR(__xludf.DUMMYFUNCTION("GOOGLETRANSLATE(A321, ""en"", ""mt"")"),"Liema netwerk tat-TV Ingliż se jġorr is-Super Bowl?")</f>
        <v>Liema netwerk tat-TV Ingliż se jġorr is-Super Bowl?</v>
      </c>
    </row>
    <row r="322" ht="15.75" customHeight="1">
      <c r="A322" s="2" t="s">
        <v>322</v>
      </c>
      <c r="B322" s="2" t="str">
        <f>IFERROR(__xludf.DUMMYFUNCTION("GOOGLETRANSLATE(A322, ""en"", ""mt"")"),"Legalizza l-importazzjoni ta 'mediċini")</f>
        <v>Legalizza l-importazzjoni ta 'mediċini</v>
      </c>
    </row>
    <row r="323" ht="15.75" customHeight="1">
      <c r="A323" s="2" t="s">
        <v>323</v>
      </c>
      <c r="B323" s="2" t="str">
        <f>IFERROR(__xludf.DUMMYFUNCTION("GOOGLETRANSLATE(A323, ""en"", ""mt"")"),"15-il mil")</f>
        <v>15-il mil</v>
      </c>
    </row>
    <row r="324" ht="15.75" customHeight="1">
      <c r="A324" s="2" t="s">
        <v>324</v>
      </c>
      <c r="B324" s="2" t="str">
        <f>IFERROR(__xludf.DUMMYFUNCTION("GOOGLETRANSLATE(A324, ""en"", ""mt"")"),"ogħla minn għalliema li ma wrewx ħafna entużjażmu")</f>
        <v>ogħla minn għalliema li ma wrewx ħafna entużjażmu</v>
      </c>
    </row>
    <row r="325" ht="15.75" customHeight="1">
      <c r="A325" s="2" t="s">
        <v>325</v>
      </c>
      <c r="B325" s="2" t="str">
        <f>IFERROR(__xludf.DUMMYFUNCTION("GOOGLETRANSLATE(A325, ""en"", ""mt"")"),"Ma 'min għexu l-Keelmen f'komunità stretta tal-kavallier fil-lvant ta' Newcastle?")</f>
        <v>Ma 'min għexu l-Keelmen f'komunità stretta tal-kavallier fil-lvant ta' Newcastle?</v>
      </c>
    </row>
    <row r="326" ht="15.75" customHeight="1">
      <c r="A326" s="2" t="s">
        <v>326</v>
      </c>
      <c r="B326" s="2" t="str">
        <f>IFERROR(__xludf.DUMMYFUNCTION("GOOGLETRANSLATE(A326, ""en"", ""mt"")"),"382 kg")</f>
        <v>382 kg</v>
      </c>
    </row>
    <row r="327" ht="15.75" customHeight="1">
      <c r="A327" s="2" t="s">
        <v>327</v>
      </c>
      <c r="B327" s="2" t="str">
        <f>IFERROR(__xludf.DUMMYFUNCTION("GOOGLETRANSLATE(A327, ""en"", ""mt"")"),"F’mill-inqas xi speċi, il-minorenni huma kapaċi jirriproduċu qabel ma jilħqu d-daqs tal-adult")</f>
        <v>F’mill-inqas xi speċi, il-minorenni huma kapaċi jirriproduċu qabel ma jilħqu d-daqs tal-adult</v>
      </c>
    </row>
    <row r="328" ht="15.75" customHeight="1">
      <c r="A328" s="2" t="s">
        <v>328</v>
      </c>
      <c r="B328" s="2" t="str">
        <f>IFERROR(__xludf.DUMMYFUNCTION("GOOGLETRANSLATE(A328, ""en"", ""mt"")"),"Liema struttura tal-kloroplast hija simili għall-membrana tal-mitokondrija ta 'ġewwa?")</f>
        <v>Liema struttura tal-kloroplast hija simili għall-membrana tal-mitokondrija ta 'ġewwa?</v>
      </c>
    </row>
    <row r="329" ht="15.75" customHeight="1">
      <c r="A329" s="2" t="s">
        <v>329</v>
      </c>
      <c r="B329" s="2" t="str">
        <f>IFERROR(__xludf.DUMMYFUNCTION("GOOGLETRANSLATE(A329, ""en"", ""mt"")"),"1562 sal-1598")</f>
        <v>1562 sal-1598</v>
      </c>
    </row>
    <row r="330" ht="15.75" customHeight="1">
      <c r="A330" s="2" t="s">
        <v>330</v>
      </c>
      <c r="B330" s="2" t="str">
        <f>IFERROR(__xludf.DUMMYFUNCTION("GOOGLETRANSLATE(A330, ""en"", ""mt"")"),"Ġranet it-Tajba")</f>
        <v>Ġranet it-Tajba</v>
      </c>
    </row>
    <row r="331" ht="15.75" customHeight="1">
      <c r="A331" s="2" t="s">
        <v>331</v>
      </c>
      <c r="B331" s="2" t="str">
        <f>IFERROR(__xludf.DUMMYFUNCTION("GOOGLETRANSLATE(A331, ""en"", ""mt"")"),"Tfal fil-bżonn")</f>
        <v>Tfal fil-bżonn</v>
      </c>
    </row>
    <row r="332" ht="15.75" customHeight="1">
      <c r="A332" s="2" t="s">
        <v>332</v>
      </c>
      <c r="B332" s="2" t="str">
        <f>IFERROR(__xludf.DUMMYFUNCTION("GOOGLETRANSLATE(A332, ""en"", ""mt"")"),"Fejn kienet l-ewwel darba Victoria li kienet tinsab fl-Awstralja?")</f>
        <v>Fejn kienet l-ewwel darba Victoria li kienet tinsab fl-Awstralja?</v>
      </c>
    </row>
    <row r="333" ht="15.75" customHeight="1">
      <c r="A333" s="2" t="s">
        <v>333</v>
      </c>
      <c r="B333" s="2" t="str">
        <f>IFERROR(__xludf.DUMMYFUNCTION("GOOGLETRANSLATE(A333, ""en"", ""mt"")"),"X'tip ta 'kuntratt jingħata meta l-kuntrattur jingħata speċifikazzjoni ta' prestazzjoni u għandu jwettaq il-proġett mid-disinn għall-kostruzzjoni, filwaqt li jeħel mal-ispeċifikazzjonijiet tal-prestazzjoni?")</f>
        <v>X'tip ta 'kuntratt jingħata meta l-kuntrattur jingħata speċifikazzjoni ta' prestazzjoni u għandu jwettaq il-proġett mid-disinn għall-kostruzzjoni, filwaqt li jeħel mal-ispeċifikazzjonijiet tal-prestazzjoni?</v>
      </c>
    </row>
    <row r="334" ht="15.75" customHeight="1">
      <c r="A334" s="2" t="s">
        <v>334</v>
      </c>
      <c r="B334" s="2" t="str">
        <f>IFERROR(__xludf.DUMMYFUNCTION("GOOGLETRANSLATE(A334, ""en"", ""mt"")"),"Awtoimmuni")</f>
        <v>Awtoimmuni</v>
      </c>
    </row>
    <row r="335" ht="15.75" customHeight="1">
      <c r="A335" s="2" t="s">
        <v>335</v>
      </c>
      <c r="B335" s="2" t="str">
        <f>IFERROR(__xludf.DUMMYFUNCTION("GOOGLETRANSLATE(A335, ""en"", ""mt"")"),"jiksru l-wegħdiet tagħhom mingħajr dnub,")</f>
        <v>jiksru l-wegħdiet tagħhom mingħajr dnub,</v>
      </c>
    </row>
    <row r="336" ht="15.75" customHeight="1">
      <c r="A336" s="2" t="s">
        <v>336</v>
      </c>
      <c r="B336" s="2" t="str">
        <f>IFERROR(__xludf.DUMMYFUNCTION("GOOGLETRANSLATE(A336, ""en"", ""mt"")"),"Kemm ġew stmati nies li jmorru għall-avvenimenti differenti b'tema tal-logħob matul il-ġimgħa ta 'qabel is-Super Bowl 50 fil-belt li fiha kien hemm?")</f>
        <v>Kemm ġew stmati nies li jmorru għall-avvenimenti differenti b'tema tal-logħob matul il-ġimgħa ta 'qabel is-Super Bowl 50 fil-belt li fiha kien hemm?</v>
      </c>
    </row>
    <row r="337" ht="15.75" customHeight="1">
      <c r="A337" s="2" t="s">
        <v>337</v>
      </c>
      <c r="B337" s="2" t="str">
        <f>IFERROR(__xludf.DUMMYFUNCTION("GOOGLETRANSLATE(A337, ""en"", ""mt"")"),"ex-mexxej tal-partit")</f>
        <v>ex-mexxej tal-partit</v>
      </c>
    </row>
    <row r="338" ht="15.75" customHeight="1">
      <c r="A338" s="2" t="s">
        <v>338</v>
      </c>
      <c r="B338" s="2" t="str">
        <f>IFERROR(__xludf.DUMMYFUNCTION("GOOGLETRANSLATE(A338, ""en"", ""mt"")"),"Minħabba l-animozità tagħhom lejn xulxin")</f>
        <v>Minħabba l-animozità tagħhom lejn xulxin</v>
      </c>
    </row>
    <row r="339" ht="15.75" customHeight="1">
      <c r="A339" s="2" t="s">
        <v>339</v>
      </c>
      <c r="B339" s="2" t="str">
        <f>IFERROR(__xludf.DUMMYFUNCTION("GOOGLETRANSLATE(A339, ""en"", ""mt"")"),"Il-kostruzzjoni sseħħ fuq il-post għal min?")</f>
        <v>Il-kostruzzjoni sseħħ fuq il-post għal min?</v>
      </c>
    </row>
    <row r="340" ht="15.75" customHeight="1">
      <c r="A340" s="2" t="s">
        <v>340</v>
      </c>
      <c r="B340" s="2" t="str">
        <f>IFERROR(__xludf.DUMMYFUNCTION("GOOGLETRANSLATE(A340, ""en"", ""mt"")"),"Getty Oil's")</f>
        <v>Getty Oil's</v>
      </c>
    </row>
    <row r="341" ht="15.75" customHeight="1">
      <c r="A341" s="2" t="s">
        <v>341</v>
      </c>
      <c r="B341" s="2" t="str">
        <f>IFERROR(__xludf.DUMMYFUNCTION("GOOGLETRANSLATE(A341, ""en"", ""mt"")"),"Sa kemm liġijiet Tesla emmnu li l-liġijiet fundamentali jistgħu jitnaqqsu?")</f>
        <v>Sa kemm liġijiet Tesla emmnu li l-liġijiet fundamentali jistgħu jitnaqqsu?</v>
      </c>
    </row>
    <row r="342" ht="15.75" customHeight="1">
      <c r="A342" s="2" t="s">
        <v>342</v>
      </c>
      <c r="B342" s="2" t="str">
        <f>IFERROR(__xludf.DUMMYFUNCTION("GOOGLETRANSLATE(A342, ""en"", ""mt"")"),"X'inhu notevoli dwar il-foresta tal-Amażonja meta tidher mill-ispazju?")</f>
        <v>X'inhu notevoli dwar il-foresta tal-Amażonja meta tidher mill-ispazju?</v>
      </c>
    </row>
    <row r="343" ht="15.75" customHeight="1">
      <c r="A343" s="2" t="s">
        <v>343</v>
      </c>
      <c r="B343" s="2" t="str">
        <f>IFERROR(__xludf.DUMMYFUNCTION("GOOGLETRANSLATE(A343, ""en"", ""mt"")"),"Oġġett beda b'veloċità mhux żero")</f>
        <v>Oġġett beda b'veloċità mhux żero</v>
      </c>
    </row>
    <row r="344" ht="15.75" customHeight="1">
      <c r="A344" s="2" t="s">
        <v>344</v>
      </c>
      <c r="B344" s="2" t="str">
        <f>IFERROR(__xludf.DUMMYFUNCTION("GOOGLETRANSLATE(A344, ""en"", ""mt"")"),"KOA (850 AM) u KRFX (103.5 FM)")</f>
        <v>KOA (850 AM) u KRFX (103.5 FM)</v>
      </c>
    </row>
    <row r="345" ht="15.75" customHeight="1">
      <c r="A345" s="2" t="s">
        <v>345</v>
      </c>
      <c r="B345" s="2" t="str">
        <f>IFERROR(__xludf.DUMMYFUNCTION("GOOGLETRANSLATE(A345, ""en"", ""mt"")"),"X’għamlet il-Kummissjoni Omine?")</f>
        <v>X’għamlet il-Kummissjoni Omine?</v>
      </c>
    </row>
    <row r="346" ht="15.75" customHeight="1">
      <c r="A346" s="2" t="s">
        <v>346</v>
      </c>
      <c r="B346" s="2" t="str">
        <f>IFERROR(__xludf.DUMMYFUNCTION("GOOGLETRANSLATE(A346, ""en"", ""mt"")"),"elite")</f>
        <v>elite</v>
      </c>
    </row>
    <row r="347" ht="15.75" customHeight="1">
      <c r="A347" s="2" t="s">
        <v>347</v>
      </c>
      <c r="B347" s="2" t="str">
        <f>IFERROR(__xludf.DUMMYFUNCTION("GOOGLETRANSLATE(A347, ""en"", ""mt"")"),"adenosine trifosfat")</f>
        <v>adenosine trifosfat</v>
      </c>
    </row>
    <row r="348" ht="15.75" customHeight="1">
      <c r="A348" s="2" t="s">
        <v>348</v>
      </c>
      <c r="B348" s="2" t="str">
        <f>IFERROR(__xludf.DUMMYFUNCTION("GOOGLETRANSLATE(A348, ""en"", ""mt"")"),"Joriġinaw bħala l-Jama'at al-Tawhid Wal-Jihad fl-1999, wiegħed lealtà lejn al-Qaeda fl-2004, ipparteċipa fl-ribelljoni Iraqqina li segwiet l-invażjoni ta 'Marzu 2003 tal-Iraq mill-forzi tal-Punent, ingħaqdet mal-ġlieda fil-Gwerra Ċivili Sirjana Bidu f'Mar"&amp;"zu 2011, u ġie mkeċċi minn al-Qaeda fil-bidu tal-2014, (li lmenta min-nuqqas tiegħu li jikkonsulta u ""intransigenza notorja""). Il-grupp kiseb prominenza wara li mexxa l-forzi tal-gvern Iraqqin barra mill-ibliet ewlenin fil-Punent tal-Iraq fi offensiva t"&amp;"al-2014. Il-grupp huwa adept fil-midja soċjali, li jippubblika vidjows tal-internet ta 'bejs ta' suldati, ċivili, ġurnalisti u ħaddiema tal-għajnuna, u huwa magħruf għall-qerda tiegħu ta 'siti ta' wirt kulturali. In-Nazzjonijiet Uniti żammet l-ISIL respon"&amp;"sabbli għall-abbużi tad-drittijiet tal-bniedem u r-reati tal-gwerra, u Amnesty International irrappurtat tindif etniku mill-grupp fuq ""skala storika"". Il-grupp ġie nominat organizzazzjoni terroristika min-Nazzjonijiet Uniti, l-Unjoni Ewropea u l-Istati "&amp;"Membri, l-Istati Uniti, l-Indja, l-Indoneżja, it-Turkija, l-Arabja Sawdija, is-Sirja u pajjiżi oħra.")</f>
        <v>Joriġinaw bħala l-Jama'at al-Tawhid Wal-Jihad fl-1999, wiegħed lealtà lejn al-Qaeda fl-2004, ipparteċipa fl-ribelljoni Iraqqina li segwiet l-invażjoni ta 'Marzu 2003 tal-Iraq mill-forzi tal-Punent, ingħaqdet mal-ġlieda fil-Gwerra Ċivili Sirjana Bidu f'Marzu 2011, u ġie mkeċċi minn al-Qaeda fil-bidu tal-2014, (li lmenta min-nuqqas tiegħu li jikkonsulta u "intransigenza notorja"). Il-grupp kiseb prominenza wara li mexxa l-forzi tal-gvern Iraqqin barra mill-ibliet ewlenin fil-Punent tal-Iraq fi offensiva tal-2014. Il-grupp huwa adept fil-midja soċjali, li jippubblika vidjows tal-internet ta 'bejs ta' suldati, ċivili, ġurnalisti u ħaddiema tal-għajnuna, u huwa magħruf għall-qerda tiegħu ta 'siti ta' wirt kulturali. In-Nazzjonijiet Uniti żammet l-ISIL responsabbli għall-abbużi tad-drittijiet tal-bniedem u r-reati tal-gwerra, u Amnesty International irrappurtat tindif etniku mill-grupp fuq "skala storika". Il-grupp ġie nominat organizzazzjoni terroristika min-Nazzjonijiet Uniti, l-Unjoni Ewropea u l-Istati Membri, l-Istati Uniti, l-Indja, l-Indoneżja, it-Turkija, l-Arabja Sawdija, is-Sirja u pajjiżi oħra.</v>
      </c>
    </row>
    <row r="349" ht="15.75" customHeight="1">
      <c r="A349" s="2" t="s">
        <v>349</v>
      </c>
      <c r="B349" s="2" t="str">
        <f>IFERROR(__xludf.DUMMYFUNCTION("GOOGLETRANSLATE(A349, ""en"", ""mt"")"),"Liema professjoni huma Cany Ash u Robert Sakula?")</f>
        <v>Liema professjoni huma Cany Ash u Robert Sakula?</v>
      </c>
    </row>
    <row r="350" ht="15.75" customHeight="1">
      <c r="A350" s="2" t="s">
        <v>350</v>
      </c>
      <c r="B350" s="2" t="str">
        <f>IFERROR(__xludf.DUMMYFUNCTION("GOOGLETRANSLATE(A350, ""en"", ""mt"")"),"H Dati ta 'Prova tal-Qorti Kriminali Internazzjonali fl-2013 kemm għall-President Kenyatta kif ukoll għall-Viċi President William Ruto")</f>
        <v>H Dati ta 'Prova tal-Qorti Kriminali Internazzjonali fl-2013 kemm għall-President Kenyatta kif ukoll għall-Viċi President William Ruto</v>
      </c>
    </row>
    <row r="351" ht="15.75" customHeight="1">
      <c r="A351" s="2" t="s">
        <v>351</v>
      </c>
      <c r="B351" s="2" t="str">
        <f>IFERROR(__xludf.DUMMYFUNCTION("GOOGLETRANSLATE(A351, ""en"", ""mt"")"),"It-teorema fundamentali tal-aritmetika")</f>
        <v>It-teorema fundamentali tal-aritmetika</v>
      </c>
    </row>
    <row r="352" ht="15.75" customHeight="1">
      <c r="A352" s="2" t="s">
        <v>352</v>
      </c>
      <c r="B352" s="2" t="str">
        <f>IFERROR(__xludf.DUMMYFUNCTION("GOOGLETRANSLATE(A352, ""en"", ""mt"")"),"1820")</f>
        <v>1820</v>
      </c>
    </row>
    <row r="353" ht="15.75" customHeight="1">
      <c r="A353" s="2" t="s">
        <v>353</v>
      </c>
      <c r="B353" s="2" t="str">
        <f>IFERROR(__xludf.DUMMYFUNCTION("GOOGLETRANSLATE(A353, ""en"", ""mt"")"),"James Bryant Conant (President, 1933–1953) reġa 'ssaħħaħ il-borża ta' studju kreattiv biex jiggarantixxi l-preeminenza tagħha fost l-istituzzjonijiet ta 'riċerka. Huwa ra l-edukazzjoni għolja bħala vettura ta 'opportunità għat-talent minflok intitolament "&amp;"għall-għonja, u għalhekk Conant fassal programmi biex jidentifikaw, jirreklutaw u jappoġġjaw żgħażagħ b'talent. Fl-1943, huwa talab lill-fakultà tagħmel dikjarazzjoni definittiva dwar dak li għandha tkun l-edukazzjoni ġenerali, fil-livell sekondarju kif u"&amp;"koll fil-livell tal-kulleġġ. Ir-rapport li rriżulta, ippubblikat fl-1945, kien wieħed mill-aktar manifesti influwenti fl-istorja tal-edukazzjoni Amerikana fis-seklu 20.")</f>
        <v>James Bryant Conant (President, 1933–1953) reġa 'ssaħħaħ il-borża ta' studju kreattiv biex jiggarantixxi l-preeminenza tagħha fost l-istituzzjonijiet ta 'riċerka. Huwa ra l-edukazzjoni għolja bħala vettura ta 'opportunità għat-talent minflok intitolament għall-għonja, u għalhekk Conant fassal programmi biex jidentifikaw, jirreklutaw u jappoġġjaw żgħażagħ b'talent. Fl-1943, huwa talab lill-fakultà tagħmel dikjarazzjoni definittiva dwar dak li għandha tkun l-edukazzjoni ġenerali, fil-livell sekondarju kif ukoll fil-livell tal-kulleġġ. Ir-rapport li rriżulta, ippubblikat fl-1945, kien wieħed mill-aktar manifesti influwenti fl-istorja tal-edukazzjoni Amerikana fis-seklu 20.</v>
      </c>
    </row>
    <row r="354" ht="15.75" customHeight="1">
      <c r="A354" s="2" t="s">
        <v>354</v>
      </c>
      <c r="B354" s="2" t="str">
        <f>IFERROR(__xludf.DUMMYFUNCTION("GOOGLETRANSLATE(A354, ""en"", ""mt"")"),"Liema politiki tal-wan ma jħobbux il-Musulmani?")</f>
        <v>Liema politiki tal-wan ma jħobbux il-Musulmani?</v>
      </c>
    </row>
    <row r="355" ht="15.75" customHeight="1">
      <c r="A355" s="2" t="s">
        <v>355</v>
      </c>
      <c r="B355" s="2" t="str">
        <f>IFERROR(__xludf.DUMMYFUNCTION("GOOGLETRANSLATE(A355, ""en"", ""mt"")"),"Fejn hi l-Librerija Presidenzjali George W. Bush?")</f>
        <v>Fejn hi l-Librerija Presidenzjali George W. Bush?</v>
      </c>
    </row>
    <row r="356" ht="15.75" customHeight="1">
      <c r="A356" s="2" t="s">
        <v>356</v>
      </c>
      <c r="B356" s="2" t="str">
        <f>IFERROR(__xludf.DUMMYFUNCTION("GOOGLETRANSLATE(A356, ""en"", ""mt"")"),"Studju AAUW")</f>
        <v>Studju AAUW</v>
      </c>
    </row>
    <row r="357" ht="15.75" customHeight="1">
      <c r="A357" s="2" t="s">
        <v>357</v>
      </c>
      <c r="B357" s="2" t="str">
        <f>IFERROR(__xludf.DUMMYFUNCTION("GOOGLETRANSLATE(A357, ""en"", ""mt"")"),"tipproduċi riżultati akkademiċi aħjar")</f>
        <v>tipproduċi riżultati akkademiċi aħjar</v>
      </c>
    </row>
    <row r="358" ht="15.75" customHeight="1">
      <c r="A358" s="2" t="s">
        <v>358</v>
      </c>
      <c r="B358" s="2" t="str">
        <f>IFERROR(__xludf.DUMMYFUNCTION("GOOGLETRANSLATE(A358, ""en"", ""mt"")"),"Biex tkun żgurata s-sigurtà tal-missjonijiet spazjali futuri l-ossiġnu ntuża fi _____ tal-pressjoni normali.")</f>
        <v>Biex tkun żgurata s-sigurtà tal-missjonijiet spazjali futuri l-ossiġnu ntuża fi _____ tal-pressjoni normali.</v>
      </c>
    </row>
    <row r="359" ht="15.75" customHeight="1">
      <c r="A359" s="2" t="s">
        <v>359</v>
      </c>
      <c r="B359" s="2" t="str">
        <f>IFERROR(__xludf.DUMMYFUNCTION("GOOGLETRANSLATE(A359, ""en"", ""mt"")"),"Fakultà notevoli fil-fiżika inkludew il-veloċità tal-kalkulatur tad-dawl A. A. Michelson, il-kalkulatur tal-ħlas elementari Robert A. Millikan, skopertur tal-effett Compton Arthur H. Compton, il-kreatur tal-ewwel reattur nukleari Enrico Fermi, ""il-missie"&amp;"r tal-bomba tal-idroġenu"" Edward Teller, ""wieħed mill-aktar fiżiċi sperimentali brillanti u produttivi tas-seklu għoxrin"" Luis Walter Alvarez, Murray Gell-Mann li introduċa l-Quark, it-tieni mara Nobel Laureate Maria Goeppert-Mayer, l-iżgħar rebbieħa A"&amp;"merikana tal-Premju Nobel Tsung- Dao Lee, u l-astrofiżiku Subrahmanyan Chandrasekhar.")</f>
        <v>Fakultà notevoli fil-fiżika inkludew il-veloċità tal-kalkulatur tad-dawl A. A. Michelson, il-kalkulatur tal-ħlas elementari Robert A. Millikan, skopertur tal-effett Compton Arthur H. Compton, il-kreatur tal-ewwel reattur nukleari Enrico Fermi, "il-missier tal-bomba tal-idroġenu" Edward Teller, "wieħed mill-aktar fiżiċi sperimentali brillanti u produttivi tas-seklu għoxrin" Luis Walter Alvarez, Murray Gell-Mann li introduċa l-Quark, it-tieni mara Nobel Laureate Maria Goeppert-Mayer, l-iżgħar rebbieħa Amerikana tal-Premju Nobel Tsung- Dao Lee, u l-astrofiżiku Subrahmanyan Chandrasekhar.</v>
      </c>
    </row>
    <row r="360" ht="15.75" customHeight="1">
      <c r="A360" s="2" t="s">
        <v>360</v>
      </c>
      <c r="B360" s="2" t="str">
        <f>IFERROR(__xludf.DUMMYFUNCTION("GOOGLETRANSLATE(A360, ""en"", ""mt"")"),"Assoċjazzjoni Medika Amerikana (AMA)")</f>
        <v>Assoċjazzjoni Medika Amerikana (AMA)</v>
      </c>
    </row>
    <row r="361" ht="15.75" customHeight="1">
      <c r="A361" s="2" t="s">
        <v>361</v>
      </c>
      <c r="B361" s="2" t="str">
        <f>IFERROR(__xludf.DUMMYFUNCTION("GOOGLETRANSLATE(A361, ""en"", ""mt"")"),"Montcalm jaljena")</f>
        <v>Montcalm jaljena</v>
      </c>
    </row>
    <row r="362" ht="15.75" customHeight="1">
      <c r="A362" s="2" t="s">
        <v>362</v>
      </c>
      <c r="B362" s="2" t="str">
        <f>IFERROR(__xludf.DUMMYFUNCTION("GOOGLETRANSLATE(A362, ""en"", ""mt"")"),"Jegħleb sekulari")</f>
        <v>Jegħleb sekulari</v>
      </c>
    </row>
    <row r="363" ht="15.75" customHeight="1">
      <c r="A363" s="2" t="s">
        <v>363</v>
      </c>
      <c r="B363" s="2" t="str">
        <f>IFERROR(__xludf.DUMMYFUNCTION("GOOGLETRANSLATE(A363, ""en"", ""mt"")"),"Fejn huma r-reġjuni l-aktar ta 'suċċess ta' prodcution agrikolu?")</f>
        <v>Fejn huma r-reġjuni l-aktar ta 'suċċess ta' prodcution agrikolu?</v>
      </c>
    </row>
    <row r="364" ht="15.75" customHeight="1">
      <c r="A364" s="2" t="s">
        <v>364</v>
      </c>
      <c r="B364" s="2" t="str">
        <f>IFERROR(__xludf.DUMMYFUNCTION("GOOGLETRANSLATE(A364, ""en"", ""mt"")"),"X'kien l-isem tas-sieħeb ta 'Watt?")</f>
        <v>X'kien l-isem tas-sieħeb ta 'Watt?</v>
      </c>
    </row>
    <row r="365" ht="15.75" customHeight="1">
      <c r="A365" s="2" t="s">
        <v>365</v>
      </c>
      <c r="B365" s="2" t="str">
        <f>IFERROR(__xludf.DUMMYFUNCTION("GOOGLETRANSLATE(A365, ""en"", ""mt"")"),"dirett")</f>
        <v>dirett</v>
      </c>
    </row>
    <row r="366" ht="15.75" customHeight="1">
      <c r="A366" s="2" t="s">
        <v>366</v>
      </c>
      <c r="B366" s="2" t="str">
        <f>IFERROR(__xludf.DUMMYFUNCTION("GOOGLETRANSLATE(A366, ""en"", ""mt"")"),"Kif ir-Renu jestendi l-ilma lejn in-nofsinhar?")</f>
        <v>Kif ir-Renu jestendi l-ilma lejn in-nofsinhar?</v>
      </c>
    </row>
    <row r="367" ht="15.75" customHeight="1">
      <c r="A367" s="2" t="s">
        <v>367</v>
      </c>
      <c r="B367" s="2" t="str">
        <f>IFERROR(__xludf.DUMMYFUNCTION("GOOGLETRANSLATE(A367, ""en"", ""mt"")"),"Bord tal-Fiduċjarji")</f>
        <v>Bord tal-Fiduċjarji</v>
      </c>
    </row>
    <row r="368" ht="15.75" customHeight="1">
      <c r="A368" s="2" t="s">
        <v>368</v>
      </c>
      <c r="B368" s="2" t="str">
        <f>IFERROR(__xludf.DUMMYFUNCTION("GOOGLETRANSLATE(A368, ""en"", ""mt"")"),"X'tipprovdi l-imbuttar u l-ġbid tal-perċezzjonijiet għad-deskrizzjoni tal-forzi?")</f>
        <v>X'tipprovdi l-imbuttar u l-ġbid tal-perċezzjonijiet għad-deskrizzjoni tal-forzi?</v>
      </c>
    </row>
    <row r="369" ht="15.75" customHeight="1">
      <c r="A369" s="2" t="s">
        <v>369</v>
      </c>
      <c r="B369" s="2" t="str">
        <f>IFERROR(__xludf.DUMMYFUNCTION("GOOGLETRANSLATE(A369, ""en"", ""mt"")"),"Tesla kif attendiet l-università?")</f>
        <v>Tesla kif attendiet l-università?</v>
      </c>
    </row>
    <row r="370" ht="15.75" customHeight="1">
      <c r="A370" s="2" t="s">
        <v>370</v>
      </c>
      <c r="B370" s="2" t="str">
        <f>IFERROR(__xludf.DUMMYFUNCTION("GOOGLETRANSLATE(A370, ""en"", ""mt"")"),"Sagrament tal-Ikla tal-Mulej")</f>
        <v>Sagrament tal-Ikla tal-Mulej</v>
      </c>
    </row>
    <row r="371" ht="15.75" customHeight="1">
      <c r="A371" s="2" t="s">
        <v>371</v>
      </c>
      <c r="B371" s="2" t="str">
        <f>IFERROR(__xludf.DUMMYFUNCTION("GOOGLETRANSLATE(A371, ""en"", ""mt"")"),"gentrifikazzjoni ta 'kwartieri anzjani")</f>
        <v>gentrifikazzjoni ta 'kwartieri anzjani</v>
      </c>
    </row>
    <row r="372" ht="15.75" customHeight="1">
      <c r="A372" s="2" t="s">
        <v>372</v>
      </c>
      <c r="B372" s="2" t="str">
        <f>IFERROR(__xludf.DUMMYFUNCTION("GOOGLETRANSLATE(A372, ""en"", ""mt"")"),"Min iddisinja l- ""50""?")</f>
        <v>Min iddisinja l- "50"?</v>
      </c>
    </row>
    <row r="373" ht="15.75" customHeight="1">
      <c r="A373" s="2" t="s">
        <v>373</v>
      </c>
      <c r="B373" s="2" t="str">
        <f>IFERROR(__xludf.DUMMYFUNCTION("GOOGLETRANSLATE(A373, ""en"", ""mt"")"),"Liema verżjoni tat-traduzzjoni bl-Ingliż tal-Bibbja affettwat it-traduzzjoni ta 'Luther?")</f>
        <v>Liema verżjoni tat-traduzzjoni bl-Ingliż tal-Bibbja affettwat it-traduzzjoni ta 'Luther?</v>
      </c>
    </row>
    <row r="374" ht="15.75" customHeight="1">
      <c r="A374" s="2" t="s">
        <v>374</v>
      </c>
      <c r="B374" s="2" t="str">
        <f>IFERROR(__xludf.DUMMYFUNCTION("GOOGLETRANSLATE(A374, ""en"", ""mt"")"),"10 miljun")</f>
        <v>10 miljun</v>
      </c>
    </row>
    <row r="375" ht="15.75" customHeight="1">
      <c r="A375" s="2" t="s">
        <v>375</v>
      </c>
      <c r="B375" s="2" t="str">
        <f>IFERROR(__xludf.DUMMYFUNCTION("GOOGLETRANSLATE(A375, ""en"", ""mt"")"),"X'għamel il-kunflitt li galvanizza lill-Musulmani madwar id-dinja?")</f>
        <v>X'għamel il-kunflitt li galvanizza lill-Musulmani madwar id-dinja?</v>
      </c>
    </row>
    <row r="376" ht="15.75" customHeight="1">
      <c r="A376" s="2" t="s">
        <v>376</v>
      </c>
      <c r="B376" s="2" t="str">
        <f>IFERROR(__xludf.DUMMYFUNCTION("GOOGLETRANSLATE(A376, ""en"", ""mt"")"),"Min kien ikun il-klassi l-iktar baxxa?")</f>
        <v>Min kien ikun il-klassi l-iktar baxxa?</v>
      </c>
    </row>
    <row r="377" ht="15.75" customHeight="1">
      <c r="A377" s="2" t="s">
        <v>377</v>
      </c>
      <c r="B377" s="2" t="str">
        <f>IFERROR(__xludf.DUMMYFUNCTION("GOOGLETRANSLATE(A377, ""en"", ""mt"")"),"Politiki dgħajfa, korruzzjoni, ħaddiema tas-saħħa inadegwati, ġestjoni dgħajfa u tmexxija ħażina fis-settur tas-saħħa pubblika")</f>
        <v>Politiki dgħajfa, korruzzjoni, ħaddiema tas-saħħa inadegwati, ġestjoni dgħajfa u tmexxija ħażina fis-settur tas-saħħa pubblika</v>
      </c>
    </row>
    <row r="378" ht="15.75" customHeight="1">
      <c r="A378" s="2" t="s">
        <v>378</v>
      </c>
      <c r="B378" s="2" t="str">
        <f>IFERROR(__xludf.DUMMYFUNCTION("GOOGLETRANSLATE(A378, ""en"", ""mt"")"),"X'kien użu ieħor għall-arma?")</f>
        <v>X'kien użu ieħor għall-arma?</v>
      </c>
    </row>
    <row r="379" ht="15.75" customHeight="1">
      <c r="A379" s="2" t="s">
        <v>379</v>
      </c>
      <c r="B379" s="2" t="str">
        <f>IFERROR(__xludf.DUMMYFUNCTION("GOOGLETRANSLATE(A379, ""en"", ""mt"")"),"każ tal-ħġieġ")</f>
        <v>każ tal-ħġieġ</v>
      </c>
    </row>
    <row r="380" ht="15.75" customHeight="1">
      <c r="A380" s="2" t="s">
        <v>380</v>
      </c>
      <c r="B380" s="2" t="str">
        <f>IFERROR(__xludf.DUMMYFUNCTION("GOOGLETRANSLATE(A380, ""en"", ""mt"")"),"Regolamenti ġodda tax-xandir mill-FCC fl-1968 ippermettew lill-kumpaniji biex ikollhom massimu ta 'kemm stazzjonijiet tar-radju?")</f>
        <v>Regolamenti ġodda tax-xandir mill-FCC fl-1968 ippermettew lill-kumpaniji biex ikollhom massimu ta 'kemm stazzjonijiet tar-radju?</v>
      </c>
    </row>
    <row r="381" ht="15.75" customHeight="1">
      <c r="A381" s="2" t="s">
        <v>381</v>
      </c>
      <c r="B381" s="2" t="str">
        <f>IFERROR(__xludf.DUMMYFUNCTION("GOOGLETRANSLATE(A381, ""en"", ""mt"")"),"Mill-2006 il-verifika tal-Garda ġiet introdotta għal parteċipanti ġodda għall-professjoni tat-tagħlim. Dawn il-proċeduri japplikaw għat-tagħlim u wkoll għal karigi mhux ta 'tagħlim u dawk li jirrifjutaw li l-ivverifikar ""ma jistgħux jinħatru jew ingaġġat"&amp;"i mill-iskola fi kwalunkwe kapaċità inkluż fir-rwol volontarju"". L-istaff eżistenti se jkun ivverifikat fuq bażi gradwali.")</f>
        <v>Mill-2006 il-verifika tal-Garda ġiet introdotta għal parteċipanti ġodda għall-professjoni tat-tagħlim. Dawn il-proċeduri japplikaw għat-tagħlim u wkoll għal karigi mhux ta 'tagħlim u dawk li jirrifjutaw li l-ivverifikar "ma jistgħux jinħatru jew ingaġġati mill-iskola fi kwalunkwe kapaċità inkluż fir-rwol volontarju". L-istaff eżistenti se jkun ivverifikat fuq bażi gradwali.</v>
      </c>
    </row>
    <row r="382" ht="15.75" customHeight="1">
      <c r="A382" s="2" t="s">
        <v>382</v>
      </c>
      <c r="B382" s="2" t="str">
        <f>IFERROR(__xludf.DUMMYFUNCTION("GOOGLETRANSLATE(A382, ""en"", ""mt"")"),"Newcastle upon Tyne (rp: I / ˌNjuːkɑːsəl əˌpɒn ˈtaɪn /; lokalment: i / njuːˌkæsəl əˌpən ˈtaɪn /), komunement magħrufa bħala Newcastle, hija belt fi Tyne u Wear, North England, 103 mili (166 km) fin-Nofsinhar ta 'Edinburgh u 277 mil (446 km) fit-tramuntana"&amp;" ta ’Londra fuq il-bank tat-tramuntana tax-xmara Tyne, 8.5 mi (13.7 km) mill-Baħar tat-Tramuntana. Newcastle hija l-iktar belt popolata fil-Lvant tal-Grigal u Tyneside t-tmien l-iktar conurbazzjoni popolata fir-Renju Unit. Newcastle huwa membru tal-Grupp "&amp;"tal-Bliet tal-Qalba Ingliża u huwa membru tan-Netwerk tal-Eurocities tal-Bliet Ewropej. Newcastle kien parti mill-Kontea ta 'Northumberland sal-1400, meta sar kontea nnifisha, status li żamm sakemm sar parti minn Tyne u Wear fl-1974. [Mhux fiċ-ċitazzjoni "&amp;"mogħtija] il-laqam reġjonali u d-djalett għal nies minn Newcastle u l-madwar Iż-żona hija Geordie.")</f>
        <v>Newcastle upon Tyne (rp: I / ˌNjuːkɑːsəl əˌpɒn ˈtaɪn /; lokalment: i / njuːˌkæsəl əˌpən ˈtaɪn /), komunement magħrufa bħala Newcastle, hija belt fi Tyne u Wear, North England, 103 mili (166 km) fin-Nofsinhar ta 'Edinburgh u 277 mil (446 km) fit-tramuntana ta ’Londra fuq il-bank tat-tramuntana tax-xmara Tyne, 8.5 mi (13.7 km) mill-Baħar tat-Tramuntana. Newcastle hija l-iktar belt popolata fil-Lvant tal-Grigal u Tyneside t-tmien l-iktar conurbazzjoni popolata fir-Renju Unit. Newcastle huwa membru tal-Grupp tal-Bliet tal-Qalba Ingliża u huwa membru tan-Netwerk tal-Eurocities tal-Bliet Ewropej. Newcastle kien parti mill-Kontea ta 'Northumberland sal-1400, meta sar kontea nnifisha, status li żamm sakemm sar parti minn Tyne u Wear fl-1974. [Mhux fiċ-ċitazzjoni mogħtija] il-laqam reġjonali u d-djalett għal nies minn Newcastle u l-madwar Iż-żona hija Geordie.</v>
      </c>
    </row>
    <row r="383" ht="15.75" customHeight="1">
      <c r="A383" s="2" t="s">
        <v>383</v>
      </c>
      <c r="B383" s="2" t="str">
        <f>IFERROR(__xludf.DUMMYFUNCTION("GOOGLETRANSLATE(A383, ""en"", ""mt"")"),"Newton")</f>
        <v>Newton</v>
      </c>
    </row>
    <row r="384" ht="15.75" customHeight="1">
      <c r="A384" s="2" t="s">
        <v>384</v>
      </c>
      <c r="B384" s="2" t="str">
        <f>IFERROR(__xludf.DUMMYFUNCTION("GOOGLETRANSLATE(A384, ""en"", ""mt"")"),"Ċiniż Ċiniż u Ġappuniż.")</f>
        <v>Ċiniż Ċiniż u Ġappuniż.</v>
      </c>
    </row>
    <row r="385" ht="15.75" customHeight="1">
      <c r="A385" s="2" t="s">
        <v>385</v>
      </c>
      <c r="B385" s="2" t="str">
        <f>IFERROR(__xludf.DUMMYFUNCTION("GOOGLETRANSLATE(A385, ""en"", ""mt"")"),"Ippjanar effettiv")</f>
        <v>Ippjanar effettiv</v>
      </c>
    </row>
    <row r="386" ht="15.75" customHeight="1">
      <c r="A386" s="2" t="s">
        <v>386</v>
      </c>
      <c r="B386" s="2" t="str">
        <f>IFERROR(__xludf.DUMMYFUNCTION("GOOGLETRANSLATE(A386, ""en"", ""mt"")"),"Disney - ABC Television Group")</f>
        <v>Disney - ABC Television Group</v>
      </c>
    </row>
    <row r="387" ht="15.75" customHeight="1">
      <c r="A387" s="2" t="s">
        <v>387</v>
      </c>
      <c r="B387" s="2" t="str">
        <f>IFERROR(__xludf.DUMMYFUNCTION("GOOGLETRANSLATE(A387, ""en"", ""mt"")"),"Gotiku")</f>
        <v>Gotiku</v>
      </c>
    </row>
    <row r="388" ht="15.75" customHeight="1">
      <c r="A388" s="2" t="s">
        <v>388</v>
      </c>
      <c r="B388" s="2" t="str">
        <f>IFERROR(__xludf.DUMMYFUNCTION("GOOGLETRANSLATE(A388, ""en"", ""mt"")"),"Fl-2006, skart tossiku jinxtered 'il barra mill-kosta ta' Côte d'Ivoire, minn vapur Ewropew, wassal lill-kummissjoni biex tistudja leġislazzjoni kontra l-iskart tossiku. Il-Kummissarju għall-Ambjent Stavros Dimas iddikjara li ""tali skart tossiku ħafna m'"&amp;"għandu qatt ħalla l-Unjoni Ewropea"". Ma 'pajjiżi bħal Spanja li lanqas biss ikollhom reat kontra t-tbaħħir ta' skart tossiku, Franco Fratini, il-Kummissarju tal-Ġustizzja, il-Libertà u s-Sigurtà, proposti ma 'Dimas biex joħolqu sentenzi kriminali għal """&amp;"reati ekoloġiċi"". Il-kompetenza għall-unjoni biex tagħmel dan ġiet ikkontestata fl-2005 fil-Qorti tal-Ġustizzja li rriżultat f'rebħa għall-kummissjoni. Din id-deċiżjoni stabbilixxiet preċedent li l-Kummissjoni, fuq bażi supranazzjonali, tista 'tilleġiżla"&amp;" fil-liġi kriminali - xi ħaġa li qatt ma saret qabel. S’issa, l-unika proposta oħra kienet l-abbozz tad-Direttiva dwar id-Drittijiet tal-Propjetà Intellettwali. Il-mozzjonijiet ġew imressqa fil-Parlament Ewropew kontra dik il-leġislazzjoni fuq il-bażi li "&amp;"l-liġi kriminali m'għandhiex tkun kompetenza tal-UE, iżda ġiet miċħuda bil-vot. Madankollu, f'Ottubru 2007, il-Qorti tal-Ġustizzja ddeċidiet li l-Kummissjoni ma setgħetx tipproponi x'jistgħu jkunu s-sanzjonijiet kriminali, biss li għandu jkun hemm xi wħud"&amp;".")</f>
        <v>Fl-2006, skart tossiku jinxtered 'il barra mill-kosta ta' Côte d'Ivoire, minn vapur Ewropew, wassal lill-kummissjoni biex tistudja leġislazzjoni kontra l-iskart tossiku. Il-Kummissarju għall-Ambjent Stavros Dimas iddikjara li "tali skart tossiku ħafna m'għandu qatt ħalla l-Unjoni Ewropea". Ma 'pajjiżi bħal Spanja li lanqas biss ikollhom reat kontra t-tbaħħir ta' skart tossiku, Franco Fratini, il-Kummissarju tal-Ġustizzja, il-Libertà u s-Sigurtà, proposti ma 'Dimas biex joħolqu sentenzi kriminali għal "reati ekoloġiċi". Il-kompetenza għall-unjoni biex tagħmel dan ġiet ikkontestata fl-2005 fil-Qorti tal-Ġustizzja li rriżultat f'rebħa għall-kummissjoni. Din id-deċiżjoni stabbilixxiet preċedent li l-Kummissjoni, fuq bażi supranazzjonali, tista 'tilleġiżla fil-liġi kriminali - xi ħaġa li qatt ma saret qabel. S’issa, l-unika proposta oħra kienet l-abbozz tad-Direttiva dwar id-Drittijiet tal-Propjetà Intellettwali. Il-mozzjonijiet ġew imressqa fil-Parlament Ewropew kontra dik il-leġislazzjoni fuq il-bażi li l-liġi kriminali m'għandhiex tkun kompetenza tal-UE, iżda ġiet miċħuda bil-vot. Madankollu, f'Ottubru 2007, il-Qorti tal-Ġustizzja ddeċidiet li l-Kummissjoni ma setgħetx tipproponi x'jistgħu jkunu s-sanzjonijiet kriminali, biss li għandu jkun hemm xi wħud.</v>
      </c>
    </row>
    <row r="389" ht="15.75" customHeight="1">
      <c r="A389" s="2" t="s">
        <v>389</v>
      </c>
      <c r="B389" s="2" t="str">
        <f>IFERROR(__xludf.DUMMYFUNCTION("GOOGLETRANSLATE(A389, ""en"", ""mt"")"),"In-numru ta 'kolonisti ġodda Huguenot naqas wara liema sena?")</f>
        <v>In-numru ta 'kolonisti ġodda Huguenot naqas wara liema sena?</v>
      </c>
    </row>
    <row r="390" ht="15.75" customHeight="1">
      <c r="A390" s="2" t="s">
        <v>390</v>
      </c>
      <c r="B390" s="2" t="str">
        <f>IFERROR(__xludf.DUMMYFUNCTION("GOOGLETRANSLATE(A390, ""en"", ""mt"")"),"Luther Kiteb Wir Glauben Kollha Einen Gott?")</f>
        <v>Luther Kiteb Wir Glauben Kollha Einen Gott?</v>
      </c>
    </row>
    <row r="391" ht="15.75" customHeight="1">
      <c r="A391" s="2" t="s">
        <v>391</v>
      </c>
      <c r="B391" s="2" t="str">
        <f>IFERROR(__xludf.DUMMYFUNCTION("GOOGLETRANSLATE(A391, ""en"", ""mt"")"),"Elmu tradizzjonali tal-viżiera")</f>
        <v>Elmu tradizzjonali tal-viżiera</v>
      </c>
    </row>
    <row r="392" ht="15.75" customHeight="1">
      <c r="A392" s="2" t="s">
        <v>392</v>
      </c>
      <c r="B392" s="2" t="str">
        <f>IFERROR(__xludf.DUMMYFUNCTION("GOOGLETRANSLATE(A392, ""en"", ""mt"")"),"X'inhu l-isem tal-munita Mongoljana kontemporanja?")</f>
        <v>X'inhu l-isem tal-munita Mongoljana kontemporanja?</v>
      </c>
    </row>
    <row r="393" ht="15.75" customHeight="1">
      <c r="A393" s="2" t="s">
        <v>393</v>
      </c>
      <c r="B393" s="2" t="str">
        <f>IFERROR(__xludf.DUMMYFUNCTION("GOOGLETRANSLATE(A393, ""en"", ""mt"")"),"Velamen Parallelum")</f>
        <v>Velamen Parallelum</v>
      </c>
    </row>
    <row r="394" ht="15.75" customHeight="1">
      <c r="A394" s="2" t="s">
        <v>394</v>
      </c>
      <c r="B394" s="2" t="str">
        <f>IFERROR(__xludf.DUMMYFUNCTION("GOOGLETRANSLATE(A394, ""en"", ""mt"")"),"L-ewwel iżda, l-ewwel u, l-ewwel jekk, imma l-ewwel perjodu")</f>
        <v>L-ewwel iżda, l-ewwel u, l-ewwel jekk, imma l-ewwel perjodu</v>
      </c>
    </row>
    <row r="395" ht="15.75" customHeight="1">
      <c r="A395" s="2" t="s">
        <v>395</v>
      </c>
      <c r="B395" s="2" t="str">
        <f>IFERROR(__xludf.DUMMYFUNCTION("GOOGLETRANSLATE(A395, ""en"", ""mt"")"),"mitluf")</f>
        <v>mitluf</v>
      </c>
    </row>
    <row r="396" ht="15.75" customHeight="1">
      <c r="A396" s="2" t="s">
        <v>396</v>
      </c>
      <c r="B396" s="2" t="str">
        <f>IFERROR(__xludf.DUMMYFUNCTION("GOOGLETRANSLATE(A396, ""en"", ""mt"")"),"Liema netwerk tat-TV xandar Super Bowl 50 bl-Ispanjol?")</f>
        <v>Liema netwerk tat-TV xandar Super Bowl 50 bl-Ispanjol?</v>
      </c>
    </row>
    <row r="397" ht="15.75" customHeight="1">
      <c r="A397" s="2" t="s">
        <v>397</v>
      </c>
      <c r="B397" s="2" t="str">
        <f>IFERROR(__xludf.DUMMYFUNCTION("GOOGLETRANSLATE(A397, ""en"", ""mt"")"),"Miftuħ għal dawk kollha irrispettivament mill-età, livell ta 'litteriżmu")</f>
        <v>Miftuħ għal dawk kollha irrispettivament mill-età, livell ta 'litteriżmu</v>
      </c>
    </row>
    <row r="398" ht="15.75" customHeight="1">
      <c r="A398" s="2" t="s">
        <v>398</v>
      </c>
      <c r="B398" s="2" t="str">
        <f>IFERROR(__xludf.DUMMYFUNCTION("GOOGLETRANSLATE(A398, ""en"", ""mt"")"),"X'implikazzjoni tista 'tiġi derivata għal P u NP jekk P u CO-NP huma stabbiliti li mhumiex ugwali?")</f>
        <v>X'implikazzjoni tista 'tiġi derivata għal P u NP jekk P u CO-NP huma stabbiliti li mhumiex ugwali?</v>
      </c>
    </row>
    <row r="399" ht="15.75" customHeight="1">
      <c r="A399" s="2" t="s">
        <v>399</v>
      </c>
      <c r="B399" s="2" t="str">
        <f>IFERROR(__xludf.DUMMYFUNCTION("GOOGLETRANSLATE(A399, ""en"", ""mt"")"),"Fuq il-BBC Mainstream BBC One Channel")</f>
        <v>Fuq il-BBC Mainstream BBC One Channel</v>
      </c>
    </row>
    <row r="400" ht="15.75" customHeight="1">
      <c r="A400" s="2" t="s">
        <v>400</v>
      </c>
      <c r="B400" s="2" t="str">
        <f>IFERROR(__xludf.DUMMYFUNCTION("GOOGLETRANSLATE(A400, ""en"", ""mt"")"),"Groove ciliary")</f>
        <v>Groove ciliary</v>
      </c>
    </row>
    <row r="401" ht="15.75" customHeight="1">
      <c r="A401" s="2" t="s">
        <v>401</v>
      </c>
      <c r="B401" s="2" t="str">
        <f>IFERROR(__xludf.DUMMYFUNCTION("GOOGLETRANSLATE(A401, ""en"", ""mt"")"),"X'jistgħu jużaw il-kloroplasti fiċ-ċelloli tal-mesofilla biex jagħmlu ATP?")</f>
        <v>X'jistgħu jużaw il-kloroplasti fiċ-ċelloli tal-mesofilla biex jagħmlu ATP?</v>
      </c>
    </row>
    <row r="402" ht="15.75" customHeight="1">
      <c r="A402" s="2" t="s">
        <v>402</v>
      </c>
      <c r="B402" s="2" t="str">
        <f>IFERROR(__xludf.DUMMYFUNCTION("GOOGLETRANSLATE(A402, ""en"", ""mt"")"),"X'kien imsejjaħ l-inċident fuq it-taxxi fil-Ballarat?")</f>
        <v>X'kien imsejjaħ l-inċident fuq it-taxxi fil-Ballarat?</v>
      </c>
    </row>
    <row r="403" ht="15.75" customHeight="1">
      <c r="A403" s="2" t="s">
        <v>403</v>
      </c>
      <c r="B403" s="2" t="str">
        <f>IFERROR(__xludf.DUMMYFUNCTION("GOOGLETRANSLATE(A403, ""en"", ""mt"")"),"servizz lill-proxxmu fil-vokazzjonijiet komuni u ta 'kuljum ta' din id-dinja li titħassar")</f>
        <v>servizz lill-proxxmu fil-vokazzjonijiet komuni u ta 'kuljum ta' din id-dinja li titħassar</v>
      </c>
    </row>
    <row r="404" ht="15.75" customHeight="1">
      <c r="A404" s="2" t="s">
        <v>404</v>
      </c>
      <c r="B404" s="2" t="str">
        <f>IFERROR(__xludf.DUMMYFUNCTION("GOOGLETRANSLATE(A404, ""en"", ""mt"")"),"1.4 darbiet")</f>
        <v>1.4 darbiet</v>
      </c>
    </row>
    <row r="405" ht="15.75" customHeight="1">
      <c r="A405" s="2" t="s">
        <v>405</v>
      </c>
      <c r="B405" s="2" t="str">
        <f>IFERROR(__xludf.DUMMYFUNCTION("GOOGLETRANSLATE(A405, ""en"", ""mt"")"),"X'jiekol Mnemiopsis?")</f>
        <v>X'jiekol Mnemiopsis?</v>
      </c>
    </row>
    <row r="406" ht="15.75" customHeight="1">
      <c r="A406" s="2" t="s">
        <v>406</v>
      </c>
      <c r="B406" s="2" t="str">
        <f>IFERROR(__xludf.DUMMYFUNCTION("GOOGLETRANSLATE(A406, ""en"", ""mt"")"),"Min għeleb lil Denver fil-logħba tal-kampjonat AFC 2015?")</f>
        <v>Min għeleb lil Denver fil-logħba tal-kampjonat AFC 2015?</v>
      </c>
    </row>
    <row r="407" ht="15.75" customHeight="1">
      <c r="A407" s="2" t="s">
        <v>407</v>
      </c>
      <c r="B407" s="2" t="str">
        <f>IFERROR(__xludf.DUMMYFUNCTION("GOOGLETRANSLATE(A407, ""en"", ""mt"")"),"Dollaru minfuq minn persuna fqira x'aktarx jipprovdi dak għalihom?")</f>
        <v>Dollaru minfuq minn persuna fqira x'aktarx jipprovdi dak għalihom?</v>
      </c>
    </row>
    <row r="408" ht="15.75" customHeight="1">
      <c r="A408" s="2" t="s">
        <v>408</v>
      </c>
      <c r="B408" s="2" t="str">
        <f>IFERROR(__xludf.DUMMYFUNCTION("GOOGLETRANSLATE(A408, ""en"", ""mt"")"),"Il-ħamsa u disgħin teżijiet")</f>
        <v>Il-ħamsa u disgħin teżijiet</v>
      </c>
    </row>
    <row r="409" ht="15.75" customHeight="1">
      <c r="A409" s="2" t="s">
        <v>409</v>
      </c>
      <c r="B409" s="2" t="str">
        <f>IFERROR(__xludf.DUMMYFUNCTION("GOOGLETRANSLATE(A409, ""en"", ""mt"")"),"sekulari u sagru")</f>
        <v>sekulari u sagru</v>
      </c>
    </row>
    <row r="410" ht="15.75" customHeight="1">
      <c r="A410" s="2" t="s">
        <v>410</v>
      </c>
      <c r="B410" s="2" t="str">
        <f>IFERROR(__xludf.DUMMYFUNCTION("GOOGLETRANSLATE(A410, ""en"", ""mt"")"),"X'tip ta 'riżultati tal-kaskata meta l-proteini li jikkumplimentaw jorbtu mal-mikrobi u jattivaw l-attività tal-protease tagħhom?")</f>
        <v>X'tip ta 'riżultati tal-kaskata meta l-proteini li jikkumplimentaw jorbtu mal-mikrobi u jattivaw l-attività tal-protease tagħhom?</v>
      </c>
    </row>
    <row r="411" ht="15.75" customHeight="1">
      <c r="A411" s="2" t="s">
        <v>411</v>
      </c>
      <c r="B411" s="2" t="str">
        <f>IFERROR(__xludf.DUMMYFUNCTION("GOOGLETRANSLATE(A411, ""en"", ""mt"")"),"Għaliex tintuża r-regola tal-maġġoranza?")</f>
        <v>Għaliex tintuża r-regola tal-maġġoranza?</v>
      </c>
    </row>
    <row r="412" ht="15.75" customHeight="1">
      <c r="A412" s="2" t="s">
        <v>412</v>
      </c>
      <c r="B412" s="2" t="str">
        <f>IFERROR(__xludf.DUMMYFUNCTION("GOOGLETRANSLATE(A412, ""en"", ""mt"")"),"X'inhu d-djalett Almanniku biex jiddeskrivi l-gżejjer barra fl-Awstrija?")</f>
        <v>X'inhu d-djalett Almanniku biex jiddeskrivi l-gżejjer barra fl-Awstrija?</v>
      </c>
    </row>
    <row r="413" ht="15.75" customHeight="1">
      <c r="A413" s="2" t="s">
        <v>413</v>
      </c>
      <c r="B413" s="2" t="str">
        <f>IFERROR(__xludf.DUMMYFUNCTION("GOOGLETRANSLATE(A413, ""en"", ""mt"")"),"Meta Obama fl-aħħar żar il-Kenja?")</f>
        <v>Meta Obama fl-aħħar żar il-Kenja?</v>
      </c>
    </row>
    <row r="414" ht="15.75" customHeight="1">
      <c r="A414" s="2" t="s">
        <v>414</v>
      </c>
      <c r="B414" s="2" t="str">
        <f>IFERROR(__xludf.DUMMYFUNCTION("GOOGLETRANSLATE(A414, ""en"", ""mt"")"),"Kemm hemm varjanti l-logo ABC il-ġdid li jidher bħalissa?")</f>
        <v>Kemm hemm varjanti l-logo ABC il-ġdid li jidher bħalissa?</v>
      </c>
    </row>
    <row r="415" ht="15.75" customHeight="1">
      <c r="A415" s="2" t="s">
        <v>415</v>
      </c>
      <c r="B415" s="2" t="str">
        <f>IFERROR(__xludf.DUMMYFUNCTION("GOOGLETRANSLATE(A415, ""en"", ""mt"")"),"faqar u ġew trattati ħażin")</f>
        <v>faqar u ġew trattati ħażin</v>
      </c>
    </row>
    <row r="416" ht="15.75" customHeight="1">
      <c r="A416" s="2" t="s">
        <v>416</v>
      </c>
      <c r="B416" s="2" t="str">
        <f>IFERROR(__xludf.DUMMYFUNCTION("GOOGLETRANSLATE(A416, ""en"", ""mt"")"),"1788")</f>
        <v>1788</v>
      </c>
    </row>
    <row r="417" ht="15.75" customHeight="1">
      <c r="A417" s="2" t="s">
        <v>417</v>
      </c>
      <c r="B417" s="2" t="str">
        <f>IFERROR(__xludf.DUMMYFUNCTION("GOOGLETRANSLATE(A417, ""en"", ""mt"")"),"Minn xiex kienet imsaħħa mill-ekonomija tal-Lvant u l-Afrika Ċentrali?")</f>
        <v>Minn xiex kienet imsaħħa mill-ekonomija tal-Lvant u l-Afrika Ċentrali?</v>
      </c>
    </row>
    <row r="418" ht="15.75" customHeight="1">
      <c r="A418" s="2" t="s">
        <v>418</v>
      </c>
      <c r="B418" s="2" t="str">
        <f>IFERROR(__xludf.DUMMYFUNCTION("GOOGLETRANSLATE(A418, ""en"", ""mt"")"),"Liema teorija kienet tirrappreżenta l-problema tal-merkurju?")</f>
        <v>Liema teorija kienet tirrappreżenta l-problema tal-merkurju?</v>
      </c>
    </row>
    <row r="419" ht="15.75" customHeight="1">
      <c r="A419" s="2" t="s">
        <v>419</v>
      </c>
      <c r="B419" s="2" t="str">
        <f>IFERROR(__xludf.DUMMYFUNCTION("GOOGLETRANSLATE(A419, ""en"", ""mt"")"),"Oġġetti tridimensjonali")</f>
        <v>Oġġetti tridimensjonali</v>
      </c>
    </row>
    <row r="420" ht="15.75" customHeight="1">
      <c r="A420" s="2" t="s">
        <v>420</v>
      </c>
      <c r="B420" s="2" t="str">
        <f>IFERROR(__xludf.DUMMYFUNCTION("GOOGLETRANSLATE(A420, ""en"", ""mt"")"),"Liema sena ġie stabbilit il-ftehim tal-ECSC?")</f>
        <v>Liema sena ġie stabbilit il-ftehim tal-ECSC?</v>
      </c>
    </row>
    <row r="421" ht="15.75" customHeight="1">
      <c r="A421" s="2" t="s">
        <v>421</v>
      </c>
      <c r="B421" s="2" t="str">
        <f>IFERROR(__xludf.DUMMYFUNCTION("GOOGLETRANSLATE(A421, ""en"", ""mt"")"),"""Annimali taċ-Ċinturin""")</f>
        <v>"Annimali taċ-Ċinturin"</v>
      </c>
    </row>
    <row r="422" ht="15.75" customHeight="1">
      <c r="A422" s="2" t="s">
        <v>422</v>
      </c>
      <c r="B422" s="2" t="str">
        <f>IFERROR(__xludf.DUMMYFUNCTION("GOOGLETRANSLATE(A422, ""en"", ""mt"")"),"Avvenimenti ewlenin ukoll għandhom parti kbira fit-turiżmu fir-Rabat, partikolarment it-turiżmu kulturali u t-turiżmu sportiv. Ħafna minn dawn l-avvenimenti huma ċċentrati fuq Melbourne, iżda oħrajn iseħħu fi bliet reġjonali, bħas-supercars V8 u l-mutur A"&amp;"wstraljan Grand Prix fil-Gżira Phillip, il-Grand Annwali Steeplechase f'Warrnambool u l-Airshow Internazzjonali Awstraljan f'Geelong u bosta festivals lokali bħall - Popolari Port Fairy Folk Festival, Queenscliff Music Festival, Bells Beach Surfclassic u "&amp;"The Bright Autumn Festival.")</f>
        <v>Avvenimenti ewlenin ukoll għandhom parti kbira fit-turiżmu fir-Rabat, partikolarment it-turiżmu kulturali u t-turiżmu sportiv. Ħafna minn dawn l-avvenimenti huma ċċentrati fuq Melbourne, iżda oħrajn iseħħu fi bliet reġjonali, bħas-supercars V8 u l-mutur Awstraljan Grand Prix fil-Gżira Phillip, il-Grand Annwali Steeplechase f'Warrnambool u l-Airshow Internazzjonali Awstraljan f'Geelong u bosta festivals lokali bħall - Popolari Port Fairy Folk Festival, Queenscliff Music Festival, Bells Beach Surfclassic u The Bright Autumn Festival.</v>
      </c>
    </row>
    <row r="423" ht="15.75" customHeight="1">
      <c r="A423" s="2" t="s">
        <v>423</v>
      </c>
      <c r="B423" s="2" t="str">
        <f>IFERROR(__xludf.DUMMYFUNCTION("GOOGLETRANSLATE(A423, ""en"", ""mt"")"),"Koori")</f>
        <v>Koori</v>
      </c>
    </row>
    <row r="424" ht="15.75" customHeight="1">
      <c r="A424" s="2" t="s">
        <v>424</v>
      </c>
      <c r="B424" s="2" t="str">
        <f>IFERROR(__xludf.DUMMYFUNCTION("GOOGLETRANSLATE(A424, ""en"", ""mt"")"),"Wara li n-nimeiry ġie mwaqqa 'fl-1985 il-partit ma tantx fl-elezzjonijiet nazzjonali, iżda fl-1989 kien kapaċi jwaqqa' l-gvern elett wara l-al-nimeiry bl-għajnuna tal-militar. Turabi ġie nnutat talli pproklama l-appoġġ tiegħu għall-proċess demokratiku u g"&amp;"vern liberali qabel ma jasal għall-poter, iżda applikazzjoni stretta tal-liġi tax-sharia, tortura u ħabs tal-massa tal-oppożizzjoni, u intensifikazzjoni tal-gwerra li ilha għaddejja fin-Nofsinhar tas-Sudan, darba qawwa. Ir-reġim tal-NIF ukoll qabeż lil Os"&amp;"ama bin Laden għal żmien (qabel id-9/11), u ħadem biex jgħaqqad l-oppożizzjoni Iżlamista għall-attakk Amerikan fuq l-Iraq fil-Gwerra tal-Golf tal-1991.")</f>
        <v>Wara li n-nimeiry ġie mwaqqa 'fl-1985 il-partit ma tantx fl-elezzjonijiet nazzjonali, iżda fl-1989 kien kapaċi jwaqqa' l-gvern elett wara l-al-nimeiry bl-għajnuna tal-militar. Turabi ġie nnutat talli pproklama l-appoġġ tiegħu għall-proċess demokratiku u gvern liberali qabel ma jasal għall-poter, iżda applikazzjoni stretta tal-liġi tax-sharia, tortura u ħabs tal-massa tal-oppożizzjoni, u intensifikazzjoni tal-gwerra li ilha għaddejja fin-Nofsinhar tas-Sudan, darba qawwa. Ir-reġim tal-NIF ukoll qabeż lil Osama bin Laden għal żmien (qabel id-9/11), u ħadem biex jgħaqqad l-oppożizzjoni Iżlamista għall-attakk Amerikan fuq l-Iraq fil-Gwerra tal-Golf tal-1991.</v>
      </c>
    </row>
    <row r="425" ht="15.75" customHeight="1">
      <c r="A425" s="2" t="s">
        <v>425</v>
      </c>
      <c r="B425" s="2" t="str">
        <f>IFERROR(__xludf.DUMMYFUNCTION("GOOGLETRANSLATE(A425, ""en"", ""mt"")"),"Bejn Novembru 2006 u Mejju 2008")</f>
        <v>Bejn Novembru 2006 u Mejju 2008</v>
      </c>
    </row>
    <row r="426" ht="15.75" customHeight="1">
      <c r="A426" s="2" t="s">
        <v>426</v>
      </c>
      <c r="B426" s="2" t="str">
        <f>IFERROR(__xludf.DUMMYFUNCTION("GOOGLETRANSLATE(A426, ""en"", ""mt"")"),"1580")</f>
        <v>1580</v>
      </c>
    </row>
    <row r="427" ht="15.75" customHeight="1">
      <c r="A427" s="2" t="s">
        <v>427</v>
      </c>
      <c r="B427" s="2" t="str">
        <f>IFERROR(__xludf.DUMMYFUNCTION("GOOGLETRANSLATE(A427, ""en"", ""mt"")"),"Xi jpinġi l-istorja tal-Mużew tal-Armata Pollakka?")</f>
        <v>Xi jpinġi l-istorja tal-Mużew tal-Armata Pollakka?</v>
      </c>
    </row>
    <row r="428" ht="15.75" customHeight="1">
      <c r="A428" s="2" t="s">
        <v>428</v>
      </c>
      <c r="B428" s="2" t="str">
        <f>IFERROR(__xludf.DUMMYFUNCTION("GOOGLETRANSLATE(A428, ""en"", ""mt"")"),"Stil aktar assertiv u konfrontattiv")</f>
        <v>Stil aktar assertiv u konfrontattiv</v>
      </c>
    </row>
    <row r="429" ht="15.75" customHeight="1">
      <c r="A429" s="2" t="s">
        <v>429</v>
      </c>
      <c r="B429" s="2" t="str">
        <f>IFERROR(__xludf.DUMMYFUNCTION("GOOGLETRANSLATE(A429, ""en"", ""mt"")"),"Aħna tallab")</f>
        <v>Aħna tallab</v>
      </c>
    </row>
    <row r="430" ht="15.75" customHeight="1">
      <c r="A430" s="2" t="s">
        <v>430</v>
      </c>
      <c r="B430" s="2" t="str">
        <f>IFERROR(__xludf.DUMMYFUNCTION("GOOGLETRANSLATE(A430, ""en"", ""mt"")"),"żieda fl-enfasi fuq id-divertiment u d-divertiment")</f>
        <v>żieda fl-enfasi fuq id-divertiment u d-divertiment</v>
      </c>
    </row>
    <row r="431" ht="15.75" customHeight="1">
      <c r="A431" s="2" t="s">
        <v>431</v>
      </c>
      <c r="B431" s="2" t="str">
        <f>IFERROR(__xludf.DUMMYFUNCTION("GOOGLETRANSLATE(A431, ""en"", ""mt"")"),"Minħabba ċerti dikjarazzjonijiet x’kien l-istat maħsub tal-fehmiet reliġjużi tiegħu?")</f>
        <v>Minħabba ċerti dikjarazzjonijiet x’kien l-istat maħsub tal-fehmiet reliġjużi tiegħu?</v>
      </c>
    </row>
    <row r="432" ht="15.75" customHeight="1">
      <c r="A432" s="2" t="s">
        <v>432</v>
      </c>
      <c r="B432" s="2" t="str">
        <f>IFERROR(__xludf.DUMMYFUNCTION("GOOGLETRANSLATE(A432, ""en"", ""mt"")"),"sieq tax-xellug.")</f>
        <v>sieq tax-xellug.</v>
      </c>
    </row>
    <row r="433" ht="15.75" customHeight="1">
      <c r="A433" s="2" t="s">
        <v>433</v>
      </c>
      <c r="B433" s="2" t="str">
        <f>IFERROR(__xludf.DUMMYFUNCTION("GOOGLETRANSLATE(A433, ""en"", ""mt"")"),"Supretendent Brittaniku għall-Affarijiet Indjani fir-Reġjun ta 'New York u lil hinn")</f>
        <v>Supretendent Brittaniku għall-Affarijiet Indjani fir-Reġjun ta 'New York u lil hinn</v>
      </c>
    </row>
    <row r="434" ht="15.75" customHeight="1">
      <c r="A434" s="2" t="s">
        <v>434</v>
      </c>
      <c r="B434" s="2" t="str">
        <f>IFERROR(__xludf.DUMMYFUNCTION("GOOGLETRANSLATE(A434, ""en"", ""mt"")"),"Il-Ġnien John Makeski")</f>
        <v>Il-Ġnien John Makeski</v>
      </c>
    </row>
    <row r="435" ht="15.75" customHeight="1">
      <c r="A435" s="2" t="s">
        <v>435</v>
      </c>
      <c r="B435" s="2" t="str">
        <f>IFERROR(__xludf.DUMMYFUNCTION("GOOGLETRANSLATE(A435, ""en"", ""mt"")"),"Rhine-Ruhr")</f>
        <v>Rhine-Ruhr</v>
      </c>
    </row>
    <row r="436" ht="15.75" customHeight="1">
      <c r="A436" s="2" t="s">
        <v>436</v>
      </c>
      <c r="B436" s="2" t="str">
        <f>IFERROR(__xludf.DUMMYFUNCTION("GOOGLETRANSLATE(A436, ""en"", ""mt"")"),"Matul liema staġun ABC ħa l-ewwel post fil-klassifika tat-televiżjoni?")</f>
        <v>Matul liema staġun ABC ħa l-ewwel post fil-klassifika tat-televiżjoni?</v>
      </c>
    </row>
    <row r="437" ht="15.75" customHeight="1">
      <c r="A437" s="2" t="s">
        <v>437</v>
      </c>
      <c r="B437" s="2" t="str">
        <f>IFERROR(__xludf.DUMMYFUNCTION("GOOGLETRANSLATE(A437, ""en"", ""mt"")"),"Min ingħata l-punti ewlenin tal-biċċa l-kbira tal-logħbiet?")</f>
        <v>Min ingħata l-punti ewlenin tal-biċċa l-kbira tal-logħbiet?</v>
      </c>
    </row>
    <row r="438" ht="15.75" customHeight="1">
      <c r="A438" s="2" t="s">
        <v>438</v>
      </c>
      <c r="B438" s="2" t="str">
        <f>IFERROR(__xludf.DUMMYFUNCTION("GOOGLETRANSLATE(A438, ""en"", ""mt"")"),"Liema karriera għandu Joseph Stiglitz?")</f>
        <v>Liema karriera għandu Joseph Stiglitz?</v>
      </c>
    </row>
    <row r="439" ht="15.75" customHeight="1">
      <c r="A439" s="2" t="s">
        <v>439</v>
      </c>
      <c r="B439" s="2" t="str">
        <f>IFERROR(__xludf.DUMMYFUNCTION("GOOGLETRANSLATE(A439, ""en"", ""mt"")"),"F'liema sena ġie introdott sett ta 'bidliet sinifikanti fir-regola inkluż il-pass' il quddiem?")</f>
        <v>F'liema sena ġie introdott sett ta 'bidliet sinifikanti fir-regola inkluż il-pass' il quddiem?</v>
      </c>
    </row>
    <row r="440" ht="15.75" customHeight="1">
      <c r="A440" s="2" t="s">
        <v>440</v>
      </c>
      <c r="B440" s="2" t="str">
        <f>IFERROR(__xludf.DUMMYFUNCTION("GOOGLETRANSLATE(A440, ""en"", ""mt"")"),"mhux irreġistrat f'kontijiet ta 'xhieda")</f>
        <v>mhux irreġistrat f'kontijiet ta 'xhieda</v>
      </c>
    </row>
    <row r="441" ht="15.75" customHeight="1">
      <c r="A441" s="2" t="s">
        <v>441</v>
      </c>
      <c r="B441" s="2" t="str">
        <f>IFERROR(__xludf.DUMMYFUNCTION("GOOGLETRANSLATE(A441, ""en"", ""mt"")"),"Kemm damet is-Sinjura Kucukdeveci għall-Swedex GmbH &amp; Co KG qabel ma ġiet miċħuda?")</f>
        <v>Kemm damet is-Sinjura Kucukdeveci għall-Swedex GmbH &amp; Co KG qabel ma ġiet miċħuda?</v>
      </c>
    </row>
    <row r="442" ht="15.75" customHeight="1">
      <c r="A442" s="2" t="s">
        <v>442</v>
      </c>
      <c r="B442" s="2" t="str">
        <f>IFERROR(__xludf.DUMMYFUNCTION("GOOGLETRANSLATE(A442, ""en"", ""mt"")"),"Meta nstab id-deheb qrib Ballarat?")</f>
        <v>Meta nstab id-deheb qrib Ballarat?</v>
      </c>
    </row>
    <row r="443" ht="15.75" customHeight="1">
      <c r="A443" s="2" t="s">
        <v>443</v>
      </c>
      <c r="B443" s="2" t="str">
        <f>IFERROR(__xludf.DUMMYFUNCTION("GOOGLETRANSLATE(A443, ""en"", ""mt"")"),"Fl-4 ta 'Ġunju, 2014")</f>
        <v>Fl-4 ta 'Ġunju, 2014</v>
      </c>
    </row>
    <row r="444" ht="15.75" customHeight="1">
      <c r="A444" s="2" t="s">
        <v>444</v>
      </c>
      <c r="B444" s="2" t="str">
        <f>IFERROR(__xludf.DUMMYFUNCTION("GOOGLETRANSLATE(A444, ""en"", ""mt"")"),"Kemm hemm indirizzi ta 'Von Miller waħdu fil-logħba?")</f>
        <v>Kemm hemm indirizzi ta 'Von Miller waħdu fil-logħba?</v>
      </c>
    </row>
    <row r="445" ht="15.75" customHeight="1">
      <c r="A445" s="2" t="s">
        <v>445</v>
      </c>
      <c r="B445" s="2" t="str">
        <f>IFERROR(__xludf.DUMMYFUNCTION("GOOGLETRANSLATE(A445, ""en"", ""mt"")"),"X'inhuma l-komponenti indipendenti ta 'somma ta' vettur li ġiet iddeterminata miż-żieda skalari ta 'vettori individwali?")</f>
        <v>X'inhuma l-komponenti indipendenti ta 'somma ta' vettur li ġiet iddeterminata miż-żieda skalari ta 'vettori individwali?</v>
      </c>
    </row>
    <row r="446" ht="15.75" customHeight="1">
      <c r="A446" s="2" t="s">
        <v>446</v>
      </c>
      <c r="B446" s="2" t="str">
        <f>IFERROR(__xludf.DUMMYFUNCTION("GOOGLETRANSLATE(A446, ""en"", ""mt"")"),"sponoż u cnidarians, ctenophores")</f>
        <v>sponoż u cnidarians, ctenophores</v>
      </c>
    </row>
    <row r="447" ht="15.75" customHeight="1">
      <c r="A447" s="2" t="s">
        <v>447</v>
      </c>
      <c r="B447" s="2" t="str">
        <f>IFERROR(__xludf.DUMMYFUNCTION("GOOGLETRANSLATE(A447, ""en"", ""mt"")"),"Kif il-BBC kisbet verżjonijiet awdjo tal-episodji mitlufa?")</f>
        <v>Kif il-BBC kisbet verżjonijiet awdjo tal-episodji mitlufa?</v>
      </c>
    </row>
    <row r="448" ht="15.75" customHeight="1">
      <c r="A448" s="2" t="s">
        <v>448</v>
      </c>
      <c r="B448" s="2" t="str">
        <f>IFERROR(__xludf.DUMMYFUNCTION("GOOGLETRANSLATE(A448, ""en"", ""mt"")"),"Skond l-istudjużi Walter Krämer, Götz Trenkler, Gerhard Ritter, u Gerhard Prause, l-istorja tal-istazzjonar fuq il-bieb, minkejja li stabbilixxiet bħala wieħed mill-pilastri tal-istorja, għandha ftit fondazzjoni fil-verità. L-istorja hija bbażata fuq kumm"&amp;"enti magħmula minn Philipp Melanchthon, għalkemm huwa maħsub li ma kienx f'Wittenberg dak iż-żmien.")</f>
        <v>Skond l-istudjużi Walter Krämer, Götz Trenkler, Gerhard Ritter, u Gerhard Prause, l-istorja tal-istazzjonar fuq il-bieb, minkejja li stabbilixxiet bħala wieħed mill-pilastri tal-istorja, għandha ftit fondazzjoni fil-verità. L-istorja hija bbażata fuq kummenti magħmula minn Philipp Melanchthon, għalkemm huwa maħsub li ma kienx f'Wittenberg dak iż-żmien.</v>
      </c>
    </row>
    <row r="449" ht="15.75" customHeight="1">
      <c r="A449" s="2" t="s">
        <v>449</v>
      </c>
      <c r="B449" s="2" t="str">
        <f>IFERROR(__xludf.DUMMYFUNCTION("GOOGLETRANSLATE(A449, ""en"", ""mt"")"),"Kemm ilu jgħix il-primati tal-Kenja?")</f>
        <v>Kemm ilu jgħix il-primati tal-Kenja?</v>
      </c>
    </row>
    <row r="450" ht="15.75" customHeight="1">
      <c r="A450" s="2" t="s">
        <v>450</v>
      </c>
      <c r="B450" s="2" t="str">
        <f>IFERROR(__xludf.DUMMYFUNCTION("GOOGLETRANSLATE(A450, ""en"", ""mt"")"),"Goldman Sachs")</f>
        <v>Goldman Sachs</v>
      </c>
    </row>
    <row r="451" ht="15.75" customHeight="1">
      <c r="A451" s="2" t="s">
        <v>451</v>
      </c>
      <c r="B451" s="2" t="str">
        <f>IFERROR(__xludf.DUMMYFUNCTION("GOOGLETRANSLATE(A451, ""en"", ""mt"")"),"Bliet Kapitali / ABC, Inc.")</f>
        <v>Bliet Kapitali / ABC, Inc.</v>
      </c>
    </row>
    <row r="452" ht="15.75" customHeight="1">
      <c r="A452" s="2" t="s">
        <v>452</v>
      </c>
      <c r="B452" s="2" t="str">
        <f>IFERROR(__xludf.DUMMYFUNCTION("GOOGLETRANSLATE(A452, ""en"", ""mt"")"),"Dak li jżid il-motivazzjoni tal-istudent biex titgħallem?")</f>
        <v>Dak li jżid il-motivazzjoni tal-istudent biex titgħallem?</v>
      </c>
    </row>
    <row r="453" ht="15.75" customHeight="1">
      <c r="A453" s="2" t="s">
        <v>453</v>
      </c>
      <c r="B453" s="2" t="str">
        <f>IFERROR(__xludf.DUMMYFUNCTION("GOOGLETRANSLATE(A453, ""en"", ""mt"")"),"Fost min kien il-imperu ta 'Genghis Khan maqsuma wara mewtu?")</f>
        <v>Fost min kien il-imperu ta 'Genghis Khan maqsuma wara mewtu?</v>
      </c>
    </row>
    <row r="454" ht="15.75" customHeight="1">
      <c r="A454" s="2" t="s">
        <v>454</v>
      </c>
      <c r="B454" s="2" t="str">
        <f>IFERROR(__xludf.DUMMYFUNCTION("GOOGLETRANSLATE(A454, ""en"", ""mt"")"),"L-Uffiċċju taċ-Ċensiment tal-Istati Uniti")</f>
        <v>L-Uffiċċju taċ-Ċensiment tal-Istati Uniti</v>
      </c>
    </row>
    <row r="455" ht="15.75" customHeight="1">
      <c r="A455" s="2" t="s">
        <v>455</v>
      </c>
      <c r="B455" s="2" t="str">
        <f>IFERROR(__xludf.DUMMYFUNCTION("GOOGLETRANSLATE(A455, ""en"", ""mt"")"),"1 ta 'Lulju 1851")</f>
        <v>1 ta 'Lulju 1851</v>
      </c>
    </row>
    <row r="456" ht="15.75" customHeight="1">
      <c r="A456" s="2" t="s">
        <v>456</v>
      </c>
      <c r="B456" s="2" t="str">
        <f>IFERROR(__xludf.DUMMYFUNCTION("GOOGLETRANSLATE(A456, ""en"", ""mt"")"),"Meta l-kampjonat mar minn 15 sa 16-il logħba fl-istaġun regolari?")</f>
        <v>Meta l-kampjonat mar minn 15 sa 16-il logħba fl-istaġun regolari?</v>
      </c>
    </row>
    <row r="457" ht="15.75" customHeight="1">
      <c r="A457" s="2" t="s">
        <v>457</v>
      </c>
      <c r="B457" s="2" t="str">
        <f>IFERROR(__xludf.DUMMYFUNCTION("GOOGLETRANSLATE(A457, ""en"", ""mt"")"),"forma ġdida")</f>
        <v>forma ġdida</v>
      </c>
    </row>
    <row r="458" ht="15.75" customHeight="1">
      <c r="A458" s="2" t="s">
        <v>458</v>
      </c>
      <c r="B458" s="2" t="str">
        <f>IFERROR(__xludf.DUMMYFUNCTION("GOOGLETRANSLATE(A458, ""en"", ""mt"")"),"Jgħix mill-973–1048 CE kien wieħed mill-ewwel ġeoloġi Persjani, x'kien ismu?")</f>
        <v>Jgħix mill-973–1048 CE kien wieħed mill-ewwel ġeoloġi Persjani, x'kien ismu?</v>
      </c>
    </row>
    <row r="459" ht="15.75" customHeight="1">
      <c r="A459" s="2" t="s">
        <v>459</v>
      </c>
      <c r="B459" s="2" t="str">
        <f>IFERROR(__xludf.DUMMYFUNCTION("GOOGLETRANSLATE(A459, ""en"", ""mt"")"),"Valley San Fernando")</f>
        <v>Valley San Fernando</v>
      </c>
    </row>
    <row r="460" ht="15.75" customHeight="1">
      <c r="A460" s="2" t="s">
        <v>460</v>
      </c>
      <c r="B460" s="2" t="str">
        <f>IFERROR(__xludf.DUMMYFUNCTION("GOOGLETRANSLATE(A460, ""en"", ""mt"")"),"X'inhu l-isem taċ-cydippid b'żewġ tentazzjonijiet li jitma 'fuq is-salps imsejħa?")</f>
        <v>X'inhu l-isem taċ-cydippid b'żewġ tentazzjonijiet li jitma 'fuq is-salps imsejħa?</v>
      </c>
    </row>
    <row r="461" ht="15.75" customHeight="1">
      <c r="A461" s="2" t="s">
        <v>461</v>
      </c>
      <c r="B461" s="2" t="str">
        <f>IFERROR(__xludf.DUMMYFUNCTION("GOOGLETRANSLATE(A461, ""en"", ""mt"")"),"Magna tat-Turing deterministika hija l-iktar magna bażika tat-Turing, li tuża sett fiss ta 'regoli biex tiddetermina l-azzjonijiet futuri tagħha. Magna tat-Turing probabilistika hija magna tat-Turing deterministika bi provvista żejda ta 'bits bl-addoċċ. I"&amp;"l-ħila li tieħu deċiżjonijiet probabilistiċi ħafna drabi tgħin lill-algoritmi jsolvu problemi b'mod aktar effiċjenti. Algoritmi li jużaw bits bl-addoċċ jissejħu algoritmi randomised. Magna tat-Turing mhux deterministika hija magna tat-Turing deterministik"&amp;"a b'karatteristika miżjuda ta 'non-determiniżmu, li tippermetti li magna tat-Turing ikollha azzjonijiet futuri possibbli multipli minn stat partikolari. Mod wieħed kif tara n-non-determiniżmu huwa li l-magna tat-Turing fergħat f'ħafna mogħdijiet tal-kompu"&amp;"tazzjoni possibbli f'kull pass, u jekk issolvi l-problema fi kwalunkwe waħda minn dawn il-fergħat, jingħad li solviet il-problema. B'mod ċar, dan il-mudell mhuwiex maħsub biex ikun mudell fiżikament realizzabbli, huwa biss magna astratta teoretikament int"&amp;"eressanti li tagħti lok għal klassijiet ta 'kumplessità partikolarment interessanti. Għal eżempji, ara l-algoritmu mhux deterministiku.")</f>
        <v>Magna tat-Turing deterministika hija l-iktar magna bażika tat-Turing, li tuża sett fiss ta 'regoli biex tiddetermina l-azzjonijiet futuri tagħha. Magna tat-Turing probabilistika hija magna tat-Turing deterministika bi provvista żejda ta 'bits bl-addoċċ. Il-ħila li tieħu deċiżjonijiet probabilistiċi ħafna drabi tgħin lill-algoritmi jsolvu problemi b'mod aktar effiċjenti. Algoritmi li jużaw bits bl-addoċċ jissejħu algoritmi randomised. Magna tat-Turing mhux deterministika hija magna tat-Turing deterministika b'karatteristika miżjuda ta 'non-determiniżmu, li tippermetti li magna tat-Turing ikollha azzjonijiet futuri possibbli multipli minn stat partikolari. Mod wieħed kif tara n-non-determiniżmu huwa li l-magna tat-Turing fergħat f'ħafna mogħdijiet tal-komputazzjoni possibbli f'kull pass, u jekk issolvi l-problema fi kwalunkwe waħda minn dawn il-fergħat, jingħad li solviet il-problema. B'mod ċar, dan il-mudell mhuwiex maħsub biex ikun mudell fiżikament realizzabbli, huwa biss magna astratta teoretikament interessanti li tagħti lok għal klassijiet ta 'kumplessità partikolarment interessanti. Għal eżempji, ara l-algoritmu mhux deterministiku.</v>
      </c>
    </row>
    <row r="462" ht="15.75" customHeight="1">
      <c r="A462" s="2" t="s">
        <v>462</v>
      </c>
      <c r="B462" s="2" t="str">
        <f>IFERROR(__xludf.DUMMYFUNCTION("GOOGLETRANSLATE(A462, ""en"", ""mt"")"),"Ma 'min Philip irrid niżżewweġ?")</f>
        <v>Ma 'min Philip irrid niżżewweġ?</v>
      </c>
    </row>
    <row r="463" ht="15.75" customHeight="1">
      <c r="A463" s="2" t="s">
        <v>463</v>
      </c>
      <c r="B463" s="2" t="str">
        <f>IFERROR(__xludf.DUMMYFUNCTION("GOOGLETRANSLATE(A463, ""en"", ""mt"")"),"Għandha problemi biex taqsam il-membrani biex tasal fejn hemm bżonn")</f>
        <v>Għandha problemi biex taqsam il-membrani biex tasal fejn hemm bżonn</v>
      </c>
    </row>
    <row r="464" ht="15.75" customHeight="1">
      <c r="A464" s="2" t="s">
        <v>464</v>
      </c>
      <c r="B464" s="2" t="str">
        <f>IFERROR(__xludf.DUMMYFUNCTION("GOOGLETRANSLATE(A464, ""en"", ""mt"")"),"Matul in-nofs l-Eoken")</f>
        <v>Matul in-nofs l-Eoken</v>
      </c>
    </row>
    <row r="465" ht="15.75" customHeight="1">
      <c r="A465" s="2" t="s">
        <v>465</v>
      </c>
      <c r="B465" s="2" t="str">
        <f>IFERROR(__xludf.DUMMYFUNCTION("GOOGLETRANSLATE(A465, ""en"", ""mt"")"),"Liema kumpanija tas-saħħa kienet sponsor tas-Super Bowl?")</f>
        <v>Liema kumpanija tas-saħħa kienet sponsor tas-Super Bowl?</v>
      </c>
    </row>
    <row r="466" ht="15.75" customHeight="1">
      <c r="A466" s="2" t="s">
        <v>466</v>
      </c>
      <c r="B466" s="2" t="str">
        <f>IFERROR(__xludf.DUMMYFUNCTION("GOOGLETRANSLATE(A466, ""en"", ""mt"")"),"Primalità")</f>
        <v>Primalità</v>
      </c>
    </row>
    <row r="467" ht="15.75" customHeight="1">
      <c r="A467" s="2" t="s">
        <v>467</v>
      </c>
      <c r="B467" s="2" t="str">
        <f>IFERROR(__xludf.DUMMYFUNCTION("GOOGLETRANSLATE(A467, ""en"", ""mt"")"),"Kemm kellha Katharina meta żżewġet lil Luther?")</f>
        <v>Kemm kellha Katharina meta żżewġet lil Luther?</v>
      </c>
    </row>
    <row r="468" ht="15.75" customHeight="1">
      <c r="A468" s="2" t="s">
        <v>468</v>
      </c>
      <c r="B468" s="2" t="str">
        <f>IFERROR(__xludf.DUMMYFUNCTION("GOOGLETRANSLATE(A468, ""en"", ""mt"")"),"Bond doppju kovalenti")</f>
        <v>Bond doppju kovalenti</v>
      </c>
    </row>
    <row r="469" ht="15.75" customHeight="1">
      <c r="A469" s="2" t="s">
        <v>469</v>
      </c>
      <c r="B469" s="2" t="str">
        <f>IFERROR(__xludf.DUMMYFUNCTION("GOOGLETRANSLATE(A469, ""en"", ""mt"")"),"Kif tidher ir-replika tal-ġibs ta 'Verrocchio David fil-qrati tal-kast?")</f>
        <v>Kif tidher ir-replika tal-ġibs ta 'Verrocchio David fil-qrati tal-kast?</v>
      </c>
    </row>
    <row r="470" ht="15.75" customHeight="1">
      <c r="A470" s="2" t="s">
        <v>470</v>
      </c>
      <c r="B470" s="2" t="str">
        <f>IFERROR(__xludf.DUMMYFUNCTION("GOOGLETRANSLATE(A470, ""en"", ""mt"")"),"9.81 metri kull sekonda")</f>
        <v>9.81 metri kull sekonda</v>
      </c>
    </row>
    <row r="471" ht="15.75" customHeight="1">
      <c r="A471" s="2" t="s">
        <v>471</v>
      </c>
      <c r="B471" s="2" t="str">
        <f>IFERROR(__xludf.DUMMYFUNCTION("GOOGLETRANSLATE(A471, ""en"", ""mt"")"),"F'liema episodju jiġri l- ""waqgħa tal-ħdax""?")</f>
        <v>F'liema episodju jiġri l- "waqgħa tal-ħdax"?</v>
      </c>
    </row>
    <row r="472" ht="15.75" customHeight="1">
      <c r="A472" s="2" t="s">
        <v>472</v>
      </c>
      <c r="B472" s="2" t="str">
        <f>IFERROR(__xludf.DUMMYFUNCTION("GOOGLETRANSLATE(A472, ""en"", ""mt"")"),"L-iskola kienet assoċjata uffiċjalment ma 'xi denominazzjoni?")</f>
        <v>L-iskola kienet assoċjata uffiċjalment ma 'xi denominazzjoni?</v>
      </c>
    </row>
    <row r="473" ht="15.75" customHeight="1">
      <c r="A473" s="2" t="s">
        <v>473</v>
      </c>
      <c r="B473" s="2" t="str">
        <f>IFERROR(__xludf.DUMMYFUNCTION("GOOGLETRANSLATE(A473, ""en"", ""mt"")"),"Meta jista 'l-gass tal-ossiġnu jipproduċi kundizzjoni tossika?")</f>
        <v>Meta jista 'l-gass tal-ossiġnu jipproduċi kundizzjoni tossika?</v>
      </c>
    </row>
    <row r="474" ht="15.75" customHeight="1">
      <c r="A474" s="2" t="s">
        <v>474</v>
      </c>
      <c r="B474" s="2" t="str">
        <f>IFERROR(__xludf.DUMMYFUNCTION("GOOGLETRANSLATE(A474, ""en"", ""mt"")"),"X'inhu l-isem tar-reġjun li mhux definit mit-tmien jew 10 definizzjonijiet tal-kontea?")</f>
        <v>X'inhu l-isem tar-reġjun li mhux definit mit-tmien jew 10 definizzjonijiet tal-kontea?</v>
      </c>
    </row>
    <row r="475" ht="15.75" customHeight="1">
      <c r="A475" s="2" t="s">
        <v>475</v>
      </c>
      <c r="B475" s="2" t="str">
        <f>IFERROR(__xludf.DUMMYFUNCTION("GOOGLETRANSLATE(A475, ""en"", ""mt"")"),"1806-07")</f>
        <v>1806-07</v>
      </c>
    </row>
    <row r="476" ht="15.75" customHeight="1">
      <c r="A476" s="2" t="s">
        <v>476</v>
      </c>
      <c r="B476" s="2" t="str">
        <f>IFERROR(__xludf.DUMMYFUNCTION("GOOGLETRANSLATE(A476, ""en"", ""mt"")"),"Reviżjonijiet multipli")</f>
        <v>Reviżjonijiet multipli</v>
      </c>
    </row>
    <row r="477" ht="15.75" customHeight="1">
      <c r="A477" s="2" t="s">
        <v>477</v>
      </c>
      <c r="B477" s="2" t="str">
        <f>IFERROR(__xludf.DUMMYFUNCTION("GOOGLETRANSLATE(A477, ""en"", ""mt"")"),"il-kummerċ tas-suf")</f>
        <v>il-kummerċ tas-suf</v>
      </c>
    </row>
    <row r="478" ht="15.75" customHeight="1">
      <c r="A478" s="2" t="s">
        <v>478</v>
      </c>
      <c r="B478" s="2" t="str">
        <f>IFERROR(__xludf.DUMMYFUNCTION("GOOGLETRANSLATE(A478, ""en"", ""mt"")"),"X'inhuma frets?")</f>
        <v>X'inhuma frets?</v>
      </c>
    </row>
    <row r="479" ht="15.75" customHeight="1">
      <c r="A479" s="2" t="s">
        <v>479</v>
      </c>
      <c r="B479" s="2" t="str">
        <f>IFERROR(__xludf.DUMMYFUNCTION("GOOGLETRANSLATE(A479, ""en"", ""mt"")"),"X'tipi ta 'skejjel huma l-iktar ErgänZungsschulen?")</f>
        <v>X'tipi ta 'skejjel huma l-iktar ErgänZungsschulen?</v>
      </c>
    </row>
    <row r="480" ht="15.75" customHeight="1">
      <c r="A480" s="2" t="s">
        <v>480</v>
      </c>
      <c r="B480" s="2" t="str">
        <f>IFERROR(__xludf.DUMMYFUNCTION("GOOGLETRANSLATE(A480, ""en"", ""mt"")"),"Liema kanali tneħħew min-netwerk f'Marzu tal-2007?")</f>
        <v>Liema kanali tneħħew min-netwerk f'Marzu tal-2007?</v>
      </c>
    </row>
    <row r="481" ht="15.75" customHeight="1">
      <c r="A481" s="2" t="s">
        <v>481</v>
      </c>
      <c r="B481" s="2" t="str">
        <f>IFERROR(__xludf.DUMMYFUNCTION("GOOGLETRANSLATE(A481, ""en"", ""mt"")"),"AS-501")</f>
        <v>AS-501</v>
      </c>
    </row>
    <row r="482" ht="15.75" customHeight="1">
      <c r="A482" s="2" t="s">
        <v>482</v>
      </c>
      <c r="B482" s="2" t="str">
        <f>IFERROR(__xludf.DUMMYFUNCTION("GOOGLETRANSLATE(A482, ""en"", ""mt"")"),"sa elf darba")</f>
        <v>sa elf darba</v>
      </c>
    </row>
    <row r="483" ht="15.75" customHeight="1">
      <c r="A483" s="2" t="s">
        <v>483</v>
      </c>
      <c r="B483" s="2" t="str">
        <f>IFERROR(__xludf.DUMMYFUNCTION("GOOGLETRANSLATE(A483, ""en"", ""mt"")"),"Laszlo Babai u Eugene Luks")</f>
        <v>Laszlo Babai u Eugene Luks</v>
      </c>
    </row>
    <row r="484" ht="15.75" customHeight="1">
      <c r="A484" s="2" t="s">
        <v>484</v>
      </c>
      <c r="B484" s="2" t="str">
        <f>IFERROR(__xludf.DUMMYFUNCTION("GOOGLETRANSLATE(A484, ""en"", ""mt"")"),"Summit ta 'Finsteraarhorn")</f>
        <v>Summit ta 'Finsteraarhorn</v>
      </c>
    </row>
    <row r="485" ht="15.75" customHeight="1">
      <c r="A485" s="2" t="s">
        <v>485</v>
      </c>
      <c r="B485" s="2" t="str">
        <f>IFERROR(__xludf.DUMMYFUNCTION("GOOGLETRANSLATE(A485, ""en"", ""mt"")"),"Ċiklu bijokimiku")</f>
        <v>Ċiklu bijokimiku</v>
      </c>
    </row>
    <row r="486" ht="15.75" customHeight="1">
      <c r="A486" s="2" t="s">
        <v>486</v>
      </c>
      <c r="B486" s="2" t="str">
        <f>IFERROR(__xludf.DUMMYFUNCTION("GOOGLETRANSLATE(A486, ""en"", ""mt"")"),"100,000")</f>
        <v>100,000</v>
      </c>
    </row>
    <row r="487" ht="15.75" customHeight="1">
      <c r="A487" s="2" t="s">
        <v>487</v>
      </c>
      <c r="B487" s="2" t="str">
        <f>IFERROR(__xludf.DUMMYFUNCTION("GOOGLETRANSLATE(A487, ""en"", ""mt"")"),"X'tip ta 'ċellula tidentifika patoġeni meta l-antikorpi fuq il-kumpless tal-wiċċ tagħha ma' antiġen barrani speċifiku?")</f>
        <v>X'tip ta 'ċellula tidentifika patoġeni meta l-antikorpi fuq il-kumpless tal-wiċċ tagħha ma' antiġen barrani speċifiku?</v>
      </c>
    </row>
    <row r="488" ht="15.75" customHeight="1">
      <c r="A488" s="2" t="s">
        <v>488</v>
      </c>
      <c r="B488" s="2" t="str">
        <f>IFERROR(__xludf.DUMMYFUNCTION("GOOGLETRANSLATE(A488, ""en"", ""mt"")"),"L-invażjoni tal-Milied")</f>
        <v>L-invażjoni tal-Milied</v>
      </c>
    </row>
    <row r="489" ht="15.75" customHeight="1">
      <c r="A489" s="2" t="s">
        <v>489</v>
      </c>
      <c r="B489" s="2" t="str">
        <f>IFERROR(__xludf.DUMMYFUNCTION("GOOGLETRANSLATE(A489, ""en"", ""mt"")"),"il-korpi tal-ilma tad-dinja")</f>
        <v>il-korpi tal-ilma tad-dinja</v>
      </c>
    </row>
    <row r="490" ht="15.75" customHeight="1">
      <c r="A490" s="2" t="s">
        <v>490</v>
      </c>
      <c r="B490" s="2" t="str">
        <f>IFERROR(__xludf.DUMMYFUNCTION("GOOGLETRANSLATE(A490, ""en"", ""mt"")"),"jipprevjenu t-tkabbir")</f>
        <v>jipprevjenu t-tkabbir</v>
      </c>
    </row>
    <row r="491" ht="15.75" customHeight="1">
      <c r="A491" s="2" t="s">
        <v>491</v>
      </c>
      <c r="B491" s="2" t="str">
        <f>IFERROR(__xludf.DUMMYFUNCTION("GOOGLETRANSLATE(A491, ""en"", ""mt"")"),"X'kienet l-etniċità ta 'Nikola Tesla?")</f>
        <v>X'kienet l-etniċità ta 'Nikola Tesla?</v>
      </c>
    </row>
    <row r="492" ht="15.75" customHeight="1">
      <c r="A492" s="2" t="s">
        <v>492</v>
      </c>
      <c r="B492" s="2" t="str">
        <f>IFERROR(__xludf.DUMMYFUNCTION("GOOGLETRANSLATE(A492, ""en"", ""mt"")"),"imnissel bħala kandidati tal-partit uffiċjali waqt elezzjonijiet futuri")</f>
        <v>imnissel bħala kandidati tal-partit uffiċjali waqt elezzjonijiet futuri</v>
      </c>
    </row>
    <row r="493" ht="15.75" customHeight="1">
      <c r="A493" s="2" t="s">
        <v>493</v>
      </c>
      <c r="B493" s="2" t="str">
        <f>IFERROR(__xludf.DUMMYFUNCTION("GOOGLETRANSLATE(A493, ""en"", ""mt"")"),"Minħabba l-kumplessità tal-mediċini li jinkludu indikazzjonijiet speċifiċi, l-effikaċja ta 'reġimi ta' trattament, is-sigurtà tal-mediċini (i.e., l-interazzjonijiet tad-droga) u kwistjonijiet ta 'konformità tal-pazjent (fl-isptar u d-dar) ħafna spiżjara l"&amp;"i jipprattikaw fl-isptarijiet jiksbu aktar edukazzjoni u taħriġ wara l-Iskola tal-Ispiżerija Residenza ta 'prattika ta' l-ispiżerija u xi kultant segwita minn residenza oħra f'qasam speċifiku. Dawk l-ispiżjara huma spiss imsejħa spiżjara kliniċi u ħafna d"&amp;"rabi jispeċjalizzaw f'diversi dixxiplini ta 'l-ispiżerija. Pereżempju, hemm spiżjara li jispeċjalizzaw fl-ematoloġija / onkoloġija, HIV / AIDS, mard infettiv, kura kritika, mediċina ta 'emerġenza, tossikoloġija, spiżerija nukleari, ġestjoni tal-uġigħ, psi"&amp;"kjatrija, kliniċi anti-koagulazzjoni, mediċina tal-ħxejjex, ġestjoni tan-newroloġija / epilessija, pedjatrija , spiżjara tat-twelid u aktar.")</f>
        <v>Minħabba l-kumplessità tal-mediċini li jinkludu indikazzjonijiet speċifiċi, l-effikaċja ta 'reġimi ta' trattament, is-sigurtà tal-mediċini (i.e., l-interazzjonijiet tad-droga) u kwistjonijiet ta 'konformità tal-pazjent (fl-isptar u d-dar) ħafna spiżjara li jipprattikaw fl-isptarijiet jiksbu aktar edukazzjoni u taħriġ wara l-Iskola tal-Ispiżerija Residenza ta 'prattika ta' l-ispiżerija u xi kultant segwita minn residenza oħra f'qasam speċifiku. Dawk l-ispiżjara huma spiss imsejħa spiżjara kliniċi u ħafna drabi jispeċjalizzaw f'diversi dixxiplini ta 'l-ispiżerija. Pereżempju, hemm spiżjara li jispeċjalizzaw fl-ematoloġija / onkoloġija, HIV / AIDS, mard infettiv, kura kritika, mediċina ta 'emerġenza, tossikoloġija, spiżerija nukleari, ġestjoni tal-uġigħ, psikjatrija, kliniċi anti-koagulazzjoni, mediċina tal-ħxejjex, ġestjoni tan-newroloġija / epilessija, pedjatrija , spiżjara tat-twelid u aktar.</v>
      </c>
    </row>
    <row r="494" ht="15.75" customHeight="1">
      <c r="A494" s="2" t="s">
        <v>494</v>
      </c>
      <c r="B494" s="2" t="str">
        <f>IFERROR(__xludf.DUMMYFUNCTION("GOOGLETRANSLATE(A494, ""en"", ""mt"")"),"Gvern tal-Unjoni")</f>
        <v>Gvern tal-Unjoni</v>
      </c>
    </row>
    <row r="495" ht="15.75" customHeight="1">
      <c r="A495" s="2" t="s">
        <v>495</v>
      </c>
      <c r="B495" s="2" t="str">
        <f>IFERROR(__xludf.DUMMYFUNCTION("GOOGLETRANSLATE(A495, ""en"", ""mt"")"),"DECNET hija suite ta 'protokolli tan-netwerk maħluqa minn Digital Equipment Corporation, oriġinarjament rilaxxata fl-1975 sabiex tikkonnettja żewġ minikompjuters PDP-11. Huwa evolva f'waħda mill-ewwel arkitetturi tan-netwerk peer-to-peer, u b'hekk ittrasf"&amp;"orma DEC f'powerhouse ta 'netwerking fis-snin 80. Inizjalment mibnija bi tliet saffi, aktar tard (1982) evolviet fi protokoll ta 'netwerking konformi ma' seba 'saffi OSI. Il-protokolli DECNET ġew iddisinjati kompletament minn Digital Equipment Corporation"&amp;". Madankollu, il-fażi II DECNET (u aktar tard) kienu standards miftuħa bi speċifikazzjonijiet ippubblikati, u diversi implimentazzjonijiet ġew żviluppati barra minn DEC, inkluż waħda għal Linux.")</f>
        <v>DECNET hija suite ta 'protokolli tan-netwerk maħluqa minn Digital Equipment Corporation, oriġinarjament rilaxxata fl-1975 sabiex tikkonnettja żewġ minikompjuters PDP-11. Huwa evolva f'waħda mill-ewwel arkitetturi tan-netwerk peer-to-peer, u b'hekk ittrasforma DEC f'powerhouse ta 'netwerking fis-snin 80. Inizjalment mibnija bi tliet saffi, aktar tard (1982) evolviet fi protokoll ta 'netwerking konformi ma' seba 'saffi OSI. Il-protokolli DECNET ġew iddisinjati kompletament minn Digital Equipment Corporation. Madankollu, il-fażi II DECNET (u aktar tard) kienu standards miftuħa bi speċifikazzjonijiet ippubblikati, u diversi implimentazzjonijiet ġew żviluppati barra minn DEC, inkluż waħda għal Linux.</v>
      </c>
    </row>
    <row r="496" ht="15.75" customHeight="1">
      <c r="A496" s="2" t="s">
        <v>496</v>
      </c>
      <c r="B496" s="2" t="str">
        <f>IFERROR(__xludf.DUMMYFUNCTION("GOOGLETRANSLATE(A496, ""en"", ""mt"")"),"Fejn u meta bdiet l-investigazzjoni tal-patoġen tal-pesta?")</f>
        <v>Fejn u meta bdiet l-investigazzjoni tal-patoġen tal-pesta?</v>
      </c>
    </row>
    <row r="497" ht="15.75" customHeight="1">
      <c r="A497" s="2" t="s">
        <v>497</v>
      </c>
      <c r="B497" s="2" t="str">
        <f>IFERROR(__xludf.DUMMYFUNCTION("GOOGLETRANSLATE(A497, ""en"", ""mt"")"),"Il-Lega Musulmana kollha tal-Indja")</f>
        <v>Il-Lega Musulmana kollha tal-Indja</v>
      </c>
    </row>
    <row r="498" ht="15.75" customHeight="1">
      <c r="A498" s="2" t="s">
        <v>498</v>
      </c>
      <c r="B498" s="2" t="str">
        <f>IFERROR(__xludf.DUMMYFUNCTION("GOOGLETRANSLATE(A498, ""en"", ""mt"")"),"Fatturi ta 'emissjoni ta' inadempjenza")</f>
        <v>Fatturi ta 'emissjoni ta' inadempjenza</v>
      </c>
    </row>
    <row r="499" ht="15.75" customHeight="1">
      <c r="A499" s="2" t="s">
        <v>499</v>
      </c>
      <c r="B499" s="2" t="str">
        <f>IFERROR(__xludf.DUMMYFUNCTION("GOOGLETRANSLATE(A499, ""en"", ""mt"")"),"BSKYB nediet is-servizz HDTV tagħha, Sky + HD, fit-22 ta 'Mejju 2006. Qabel it-tnedija tiegħu, BSKYB sostna li 40,000 persuna kienu rreġistraw biex jirċievu s-servizz HD. Fil-ġimgħa ta ’qabel it-tnedija, l-għajdut bdew joħorġu li BSKYB kien qed ikollu pro"&amp;"blemi ta’ provvista bil-Kaxxa Top Top tagħha (STB) mill-manifattur Thomson. Nhar il-Ħamis 18 ta 'Mejju 2006, u komplew matul tmiem il-ġimgħa qabel it-tnedija, in-nies kienu jirrappurtaw li BSKYB jew ikkanċella jew skeda mill-ġdid l-installazzjoni tiegħu. "&amp;"Fl-aħħarnett, il-BBC irrappurtat li 17,000 klijent kienu għad iridu jirċievu s-servizz minħabba kunsinni falluti. Fil-31 ta 'Marzu 2012, Sky ħabbret li n-numru totali ta' djar ma 'Sky + HD kien 4,222,000.")</f>
        <v>BSKYB nediet is-servizz HDTV tagħha, Sky + HD, fit-22 ta 'Mejju 2006. Qabel it-tnedija tiegħu, BSKYB sostna li 40,000 persuna kienu rreġistraw biex jirċievu s-servizz HD. Fil-ġimgħa ta ’qabel it-tnedija, l-għajdut bdew joħorġu li BSKYB kien qed ikollu problemi ta’ provvista bil-Kaxxa Top Top tagħha (STB) mill-manifattur Thomson. Nhar il-Ħamis 18 ta 'Mejju 2006, u komplew matul tmiem il-ġimgħa qabel it-tnedija, in-nies kienu jirrappurtaw li BSKYB jew ikkanċella jew skeda mill-ġdid l-installazzjoni tiegħu. Fl-aħħarnett, il-BBC irrappurtat li 17,000 klijent kienu għad iridu jirċievu s-servizz minħabba kunsinni falluti. Fil-31 ta 'Marzu 2012, Sky ħabbret li n-numru totali ta' djar ma 'Sky + HD kien 4,222,000.</v>
      </c>
    </row>
    <row r="500" ht="15.75" customHeight="1">
      <c r="A500" s="2" t="s">
        <v>500</v>
      </c>
      <c r="B500" s="2" t="str">
        <f>IFERROR(__xludf.DUMMYFUNCTION("GOOGLETRANSLATE(A500, ""en"", ""mt"")"),"Liema magni ntużaw matul il-biċċa l-kbira tas-seklu 20 biex jimbottaw vapuri?")</f>
        <v>Liema magni ntużaw matul il-biċċa l-kbira tas-seklu 20 biex jimbottaw vapuri?</v>
      </c>
    </row>
    <row r="501" ht="15.75" customHeight="1">
      <c r="A501" s="2" t="s">
        <v>501</v>
      </c>
      <c r="B501" s="2" t="str">
        <f>IFERROR(__xludf.DUMMYFUNCTION("GOOGLETRANSLATE(A501, ""en"", ""mt"")"),"kobor")</f>
        <v>kobor</v>
      </c>
    </row>
    <row r="502" ht="15.75" customHeight="1">
      <c r="A502" s="2" t="s">
        <v>502</v>
      </c>
      <c r="B502" s="2" t="str">
        <f>IFERROR(__xludf.DUMMYFUNCTION("GOOGLETRANSLATE(A502, ""en"", ""mt"")"),"Xi jfisser il-leġislazzjoni tal-ispiżerija?")</f>
        <v>Xi jfisser il-leġislazzjoni tal-ispiżerija?</v>
      </c>
    </row>
    <row r="503" ht="15.75" customHeight="1">
      <c r="A503" s="2" t="s">
        <v>503</v>
      </c>
      <c r="B503" s="2" t="str">
        <f>IFERROR(__xludf.DUMMYFUNCTION("GOOGLETRANSLATE(A503, ""en"", ""mt"")"),"Stone Cadeby")</f>
        <v>Stone Cadeby</v>
      </c>
    </row>
    <row r="504" ht="15.75" customHeight="1">
      <c r="A504" s="2" t="s">
        <v>504</v>
      </c>
      <c r="B504" s="2" t="str">
        <f>IFERROR(__xludf.DUMMYFUNCTION("GOOGLETRANSLATE(A504, ""en"", ""mt"")"),"X’għamel Luther biex jevita meta waqqaf il-knisja tiegħu?")</f>
        <v>X’għamel Luther biex jevita meta waqqaf il-knisja tiegħu?</v>
      </c>
    </row>
    <row r="505" ht="15.75" customHeight="1">
      <c r="A505" s="2" t="s">
        <v>505</v>
      </c>
      <c r="B505" s="2" t="str">
        <f>IFERROR(__xludf.DUMMYFUNCTION("GOOGLETRANSLATE(A505, ""en"", ""mt"")"),"rispons qawwi")</f>
        <v>rispons qawwi</v>
      </c>
    </row>
    <row r="506" ht="15.75" customHeight="1">
      <c r="A506" s="2" t="s">
        <v>506</v>
      </c>
      <c r="B506" s="2" t="str">
        <f>IFERROR(__xludf.DUMMYFUNCTION("GOOGLETRANSLATE(A506, ""en"", ""mt"")"),"Biża 'ta' tradiment")</f>
        <v>Biża 'ta' tradiment</v>
      </c>
    </row>
    <row r="507" ht="15.75" customHeight="1">
      <c r="A507" s="2" t="s">
        <v>507</v>
      </c>
      <c r="B507" s="2" t="str">
        <f>IFERROR(__xludf.DUMMYFUNCTION("GOOGLETRANSLATE(A507, ""en"", ""mt"")"),"260")</f>
        <v>260</v>
      </c>
    </row>
    <row r="508" ht="15.75" customHeight="1">
      <c r="A508" s="2" t="s">
        <v>508</v>
      </c>
      <c r="B508" s="2" t="str">
        <f>IFERROR(__xludf.DUMMYFUNCTION("GOOGLETRANSLATE(A508, ""en"", ""mt"")"),"ditti tas-servizz")</f>
        <v>ditti tas-servizz</v>
      </c>
    </row>
    <row r="509" ht="15.75" customHeight="1">
      <c r="A509" s="2" t="s">
        <v>509</v>
      </c>
      <c r="B509" s="2" t="str">
        <f>IFERROR(__xludf.DUMMYFUNCTION("GOOGLETRANSLATE(A509, ""en"", ""mt"")"),"F'liema sena miet Harvey Martin?")</f>
        <v>F'liema sena miet Harvey Martin?</v>
      </c>
    </row>
    <row r="510" ht="15.75" customHeight="1">
      <c r="A510" s="2" t="s">
        <v>510</v>
      </c>
      <c r="B510" s="2" t="str">
        <f>IFERROR(__xludf.DUMMYFUNCTION("GOOGLETRANSLATE(A510, ""en"", ""mt"")"),"F’liema sena Irene Elizabeth Stroud instabet ħatja fi proċess tal-knisja?")</f>
        <v>F’liema sena Irene Elizabeth Stroud instabet ħatja fi proċess tal-knisja?</v>
      </c>
    </row>
    <row r="511" ht="15.75" customHeight="1">
      <c r="A511" s="2" t="s">
        <v>511</v>
      </c>
      <c r="B511" s="2" t="str">
        <f>IFERROR(__xludf.DUMMYFUNCTION("GOOGLETRANSLATE(A511, ""en"", ""mt"")"),"Teżi ta 'Cobham-Edmonds")</f>
        <v>Teżi ta 'Cobham-Edmonds</v>
      </c>
    </row>
    <row r="512" ht="15.75" customHeight="1">
      <c r="A512" s="2" t="s">
        <v>512</v>
      </c>
      <c r="B512" s="2" t="str">
        <f>IFERROR(__xludf.DUMMYFUNCTION("GOOGLETRANSLATE(A512, ""en"", ""mt"")"),"Soċjaliżmu")</f>
        <v>Soċjaliżmu</v>
      </c>
    </row>
    <row r="513" ht="15.75" customHeight="1">
      <c r="A513" s="2" t="s">
        <v>513</v>
      </c>
      <c r="B513" s="2" t="str">
        <f>IFERROR(__xludf.DUMMYFUNCTION("GOOGLETRANSLATE(A513, ""en"", ""mt"")"),"baxx")</f>
        <v>baxx</v>
      </c>
    </row>
    <row r="514" ht="15.75" customHeight="1">
      <c r="A514" s="2" t="s">
        <v>514</v>
      </c>
      <c r="B514" s="2" t="str">
        <f>IFERROR(__xludf.DUMMYFUNCTION("GOOGLETRANSLATE(A514, ""en"", ""mt"")"),"ribosoma")</f>
        <v>ribosoma</v>
      </c>
    </row>
    <row r="515" ht="15.75" customHeight="1">
      <c r="A515" s="2" t="s">
        <v>515</v>
      </c>
      <c r="B515" s="2" t="str">
        <f>IFERROR(__xludf.DUMMYFUNCTION("GOOGLETRANSLATE(A515, ""en"", ""mt"")"),"X'għamel l-Artikolu 65 tal-Projbizzjoni tal-ECSC?")</f>
        <v>X'għamel l-Artikolu 65 tal-Projbizzjoni tal-ECSC?</v>
      </c>
    </row>
    <row r="516" ht="15.75" customHeight="1">
      <c r="A516" s="2" t="s">
        <v>516</v>
      </c>
      <c r="B516" s="2" t="str">
        <f>IFERROR(__xludf.DUMMYFUNCTION("GOOGLETRANSLATE(A516, ""en"", ""mt"")"),"Immedjatament wara l-ħin tad-deċiżjoni")</f>
        <v>Immedjatament wara l-ħin tad-deċiżjoni</v>
      </c>
    </row>
    <row r="517" ht="15.75" customHeight="1">
      <c r="A517" s="2" t="s">
        <v>517</v>
      </c>
      <c r="B517" s="2" t="str">
        <f>IFERROR(__xludf.DUMMYFUNCTION("GOOGLETRANSLATE(A517, ""en"", ""mt"")"),"Il-mekkaniżmi użati biex jevadu s-sistema immuni adatta huma aktar ikkumplikati. L-aktar approċċ sempliċi huwa li jinbidlu malajr epitopi mhux essenzjali (aċidi amminiċi u / jew zokkor) fuq il-wiċċ tal-patoġen, filwaqt li jżommu l-epitopi essenzjali moħbi"&amp;"ja. Din tissejjaħ varjazzjoni antiġenika. Eżempju huwa l-HIV, li jmut malajr, u għalhekk il-proteini fuq il-pakkett virali tiegħu li huma essenzjali għad-dħul fiċ-ċellula mmirata ospitanti tagħha qed jinbidlu kontinwament. Dawn il-bidliet frekwenti fl-ant"&amp;"iġeni jistgħu jispjegaw il-fallimenti ta 'vaċċini diretti lejn dan il-virus. Il-parassita Trypanosoma brucei tuża strateġija simili, li kontinwament taqleb tip ta 'proteina tal-wiċċ għal oħra, li tippermettilha tibqa' pass 'il quddiem mir-rispons għall-an"&amp;"tikorpi. L-antiġeni li jgħaqqdu ma 'molekuli ospitanti hija strateġija oħra komuni biex tevita d-detezzjoni mis-sistema immunitarja. Fl-HIV, l-envelop li jkopri l-virion huwa ffurmat mill-membrana l-iktar imbiegħda taċ-ċellula ospitanti; Viruses ""awto-mi"&amp;"ksija"" jagħmluha diffiċli għas-sistema immuni biex tidentifikahom bħala strutturi ""mhux self"".")</f>
        <v>Il-mekkaniżmi użati biex jevadu s-sistema immuni adatta huma aktar ikkumplikati. L-aktar approċċ sempliċi huwa li jinbidlu malajr epitopi mhux essenzjali (aċidi amminiċi u / jew zokkor) fuq il-wiċċ tal-patoġen, filwaqt li jżommu l-epitopi essenzjali moħbija. Din tissejjaħ varjazzjoni antiġenika. Eżempju huwa l-HIV, li jmut malajr, u għalhekk il-proteini fuq il-pakkett virali tiegħu li huma essenzjali għad-dħul fiċ-ċellula mmirata ospitanti tagħha qed jinbidlu kontinwament. Dawn il-bidliet frekwenti fl-antiġeni jistgħu jispjegaw il-fallimenti ta 'vaċċini diretti lejn dan il-virus. Il-parassita Trypanosoma brucei tuża strateġija simili, li kontinwament taqleb tip ta 'proteina tal-wiċċ għal oħra, li tippermettilha tibqa' pass 'il quddiem mir-rispons għall-antikorpi. L-antiġeni li jgħaqqdu ma 'molekuli ospitanti hija strateġija oħra komuni biex tevita d-detezzjoni mis-sistema immunitarja. Fl-HIV, l-envelop li jkopri l-virion huwa ffurmat mill-membrana l-iktar imbiegħda taċ-ċellula ospitanti; Viruses "awto-miksija" jagħmluha diffiċli għas-sistema immuni biex tidentifikahom bħala strutturi "mhux self".</v>
      </c>
    </row>
    <row r="518" ht="15.75" customHeight="1">
      <c r="A518" s="2" t="s">
        <v>518</v>
      </c>
      <c r="B518" s="2" t="str">
        <f>IFERROR(__xludf.DUMMYFUNCTION("GOOGLETRANSLATE(A518, ""en"", ""mt"")"),"Ottubru 2016")</f>
        <v>Ottubru 2016</v>
      </c>
    </row>
    <row r="519" ht="15.75" customHeight="1">
      <c r="A519" s="2" t="s">
        <v>519</v>
      </c>
      <c r="B519" s="2" t="str">
        <f>IFERROR(__xludf.DUMMYFUNCTION("GOOGLETRANSLATE(A519, ""en"", ""mt"")"),"Minbarra l-magħmudija, dak li juri l-futur tas-sema lill-insara?")</f>
        <v>Minbarra l-magħmudija, dak li juri l-futur tas-sema lill-insara?</v>
      </c>
    </row>
    <row r="520" ht="15.75" customHeight="1">
      <c r="A520" s="2" t="s">
        <v>520</v>
      </c>
      <c r="B520" s="2" t="str">
        <f>IFERROR(__xludf.DUMMYFUNCTION("GOOGLETRANSLATE(A520, ""en"", ""mt"")"),"X'jista 'jikkawża ""tisbiħ motivazzjonali""?")</f>
        <v>X'jista 'jikkawża "tisbiħ motivazzjonali"?</v>
      </c>
    </row>
    <row r="521" ht="15.75" customHeight="1">
      <c r="A521" s="2" t="s">
        <v>521</v>
      </c>
      <c r="B521" s="2" t="str">
        <f>IFERROR(__xludf.DUMMYFUNCTION("GOOGLETRANSLATE(A521, ""en"", ""mt"")"),"tnaqqis tax-xogħol organizzat")</f>
        <v>tnaqqis tax-xogħol organizzat</v>
      </c>
    </row>
    <row r="522" ht="15.75" customHeight="1">
      <c r="A522" s="2" t="s">
        <v>522</v>
      </c>
      <c r="B522" s="2" t="str">
        <f>IFERROR(__xludf.DUMMYFUNCTION("GOOGLETRANSLATE(A522, ""en"", ""mt"")"),"X'se tkun il-produzzjoni għal membru tal-lingwa ta 'problema ta' deċiżjoni?")</f>
        <v>X'se tkun il-produzzjoni għal membru tal-lingwa ta 'problema ta' deċiżjoni?</v>
      </c>
    </row>
    <row r="523" ht="15.75" customHeight="1">
      <c r="A523" s="2" t="s">
        <v>523</v>
      </c>
      <c r="B523" s="2" t="str">
        <f>IFERROR(__xludf.DUMMYFUNCTION("GOOGLETRANSLATE(A523, ""en"", ""mt"")"),"Netwerk Pubbliku Awstraljan X.25 Imħaddem minn Telstra")</f>
        <v>Netwerk Pubbliku Awstraljan X.25 Imħaddem minn Telstra</v>
      </c>
    </row>
    <row r="524" ht="15.75" customHeight="1">
      <c r="A524" s="2" t="s">
        <v>524</v>
      </c>
      <c r="B524" s="2" t="str">
        <f>IFERROR(__xludf.DUMMYFUNCTION("GOOGLETRANSLATE(A524, ""en"", ""mt"")"),"Liema mill-mentors ta 'Genghis Khan ipprattikaw il-Kristjaneżmu?")</f>
        <v>Liema mill-mentors ta 'Genghis Khan ipprattikaw il-Kristjaneżmu?</v>
      </c>
    </row>
    <row r="525" ht="15.75" customHeight="1">
      <c r="A525" s="2" t="s">
        <v>525</v>
      </c>
      <c r="B525" s="2" t="str">
        <f>IFERROR(__xludf.DUMMYFUNCTION("GOOGLETRANSLATE(A525, ""en"", ""mt"")"),"Min kiteb fuljett li jiddeskrivi l-ideat radikali tal-estremisti?")</f>
        <v>Min kiteb fuljett li jiddeskrivi l-ideat radikali tal-estremisti?</v>
      </c>
    </row>
    <row r="526" ht="15.75" customHeight="1">
      <c r="A526" s="2" t="s">
        <v>526</v>
      </c>
      <c r="B526" s="2" t="str">
        <f>IFERROR(__xludf.DUMMYFUNCTION("GOOGLETRANSLATE(A526, ""en"", ""mt"")"),"Il-fiduċja fi Kristu tkun aktar b'saħħitha,")</f>
        <v>Il-fiduċja fi Kristu tkun aktar b'saħħitha,</v>
      </c>
    </row>
    <row r="527" ht="15.75" customHeight="1">
      <c r="A527" s="2" t="s">
        <v>527</v>
      </c>
      <c r="B527" s="2" t="str">
        <f>IFERROR(__xludf.DUMMYFUNCTION("GOOGLETRANSLATE(A527, ""en"", ""mt"")"),"X'inhu l-għan tal-approċċ tal-kapaċitajiet?")</f>
        <v>X'inhu l-għan tal-approċċ tal-kapaċitajiet?</v>
      </c>
    </row>
    <row r="528" ht="15.75" customHeight="1">
      <c r="A528" s="2" t="s">
        <v>528</v>
      </c>
      <c r="B528" s="2" t="str">
        <f>IFERROR(__xludf.DUMMYFUNCTION("GOOGLETRANSLATE(A528, ""en"", ""mt"")"),"kummiedji u orjentati lejn il-familja")</f>
        <v>kummiedji u orjentati lejn il-familja</v>
      </c>
    </row>
    <row r="529" ht="15.75" customHeight="1">
      <c r="A529" s="2" t="s">
        <v>529</v>
      </c>
      <c r="B529" s="2" t="str">
        <f>IFERROR(__xludf.DUMMYFUNCTION("GOOGLETRANSLATE(A529, ""en"", ""mt"")"),"Suq tal-fruntiera jew kultant suq emerġenti")</f>
        <v>Suq tal-fruntiera jew kultant suq emerġenti</v>
      </c>
    </row>
    <row r="530" ht="15.75" customHeight="1">
      <c r="A530" s="2" t="s">
        <v>530</v>
      </c>
      <c r="B530" s="2" t="str">
        <f>IFERROR(__xludf.DUMMYFUNCTION("GOOGLETRANSLATE(A530, ""en"", ""mt"")"),"Iċ-ċelloli tas-sit ta 'infezzjoni f'impjant jgħaddu minn liema proċess jipprevjenu t-tixrid tal-marda?")</f>
        <v>Iċ-ċelloli tas-sit ta 'infezzjoni f'impjant jgħaddu minn liema proċess jipprevjenu t-tixrid tal-marda?</v>
      </c>
    </row>
    <row r="531" ht="15.75" customHeight="1">
      <c r="A531" s="2" t="s">
        <v>531</v>
      </c>
      <c r="B531" s="2" t="str">
        <f>IFERROR(__xludf.DUMMYFUNCTION("GOOGLETRANSLATE(A531, ""en"", ""mt"")"),"F'liema żona ta 'l-Istati Uniti marret Tesla?")</f>
        <v>F'liema żona ta 'l-Istati Uniti marret Tesla?</v>
      </c>
    </row>
    <row r="532" ht="15.75" customHeight="1">
      <c r="A532" s="2" t="s">
        <v>532</v>
      </c>
      <c r="B532" s="2" t="str">
        <f>IFERROR(__xludf.DUMMYFUNCTION("GOOGLETRANSLATE(A532, ""en"", ""mt"")"),"Huwa t-tentazzjoni li wieħed jaħseb li l-kunċett ta 'problemi ta' funzjoni huwa ħafna iktar sinjur mill-kunċett ta 'problemi ta' deċiżjoni. Madankollu, dan mhuwiex verament il-każ, peress li l-problemi tal-funzjoni jistgħu jerġgħu jinġabru bħala problemi "&amp;"ta 'deċiżjoni. Pereżempju, il-multiplikazzjoni ta 'żewġ numri interi tista' tiġi espressa bħala s-sett ta 'trippli (a, b, c) tali li r-relazzjoni a × b = c iżżomm. Jiddeċiedi jekk trippla partikolari hijiex membru ta 'dan is-sett tikkorrispondix biex isso"&amp;"lvi l-problema ta' l-immultiplikazzjoni ta 'żewġ numri.")</f>
        <v>Huwa t-tentazzjoni li wieħed jaħseb li l-kunċett ta 'problemi ta' funzjoni huwa ħafna iktar sinjur mill-kunċett ta 'problemi ta' deċiżjoni. Madankollu, dan mhuwiex verament il-każ, peress li l-problemi tal-funzjoni jistgħu jerġgħu jinġabru bħala problemi ta 'deċiżjoni. Pereżempju, il-multiplikazzjoni ta 'żewġ numri interi tista' tiġi espressa bħala s-sett ta 'trippli (a, b, c) tali li r-relazzjoni a × b = c iżżomm. Jiddeċiedi jekk trippla partikolari hijiex membru ta 'dan is-sett tikkorrispondix biex issolvi l-problema ta' l-immultiplikazzjoni ta 'żewġ numri.</v>
      </c>
    </row>
    <row r="533" ht="15.75" customHeight="1">
      <c r="A533" s="2" t="s">
        <v>533</v>
      </c>
      <c r="B533" s="2" t="str">
        <f>IFERROR(__xludf.DUMMYFUNCTION("GOOGLETRANSLATE(A533, ""en"", ""mt"")"),"X'kienet spinoff ta 'Happy Days li ddebutta fis-snin 1980 fuq ABC?")</f>
        <v>X'kienet spinoff ta 'Happy Days li ddebutta fis-snin 1980 fuq ABC?</v>
      </c>
    </row>
    <row r="534" ht="15.75" customHeight="1">
      <c r="A534" s="2" t="s">
        <v>534</v>
      </c>
      <c r="B534" s="2" t="str">
        <f>IFERROR(__xludf.DUMMYFUNCTION("GOOGLETRANSLATE(A534, ""en"", ""mt"")"),"Lejl ta 'nofs is-sajf")</f>
        <v>Lejl ta 'nofs is-sajf</v>
      </c>
    </row>
    <row r="535" ht="15.75" customHeight="1">
      <c r="A535" s="2" t="s">
        <v>535</v>
      </c>
      <c r="B535" s="2" t="str">
        <f>IFERROR(__xludf.DUMMYFUNCTION("GOOGLETRANSLATE(A535, ""en"", ""mt"")"),"X'kejp Pegasus satelliti biex jipproponu s-sigurtà ta 'l-ambjent fl-ispazju u fuq il-qamar?")</f>
        <v>X'kejp Pegasus satelliti biex jipproponu s-sigurtà ta 'l-ambjent fl-ispazju u fuq il-qamar?</v>
      </c>
    </row>
    <row r="536" ht="15.75" customHeight="1">
      <c r="A536" s="2" t="s">
        <v>536</v>
      </c>
      <c r="B536" s="2" t="str">
        <f>IFERROR(__xludf.DUMMYFUNCTION("GOOGLETRANSLATE(A536, ""en"", ""mt"")"),"X'tip ta 'spazju f'Varsavja huma l-Ġnien Botaniku u l-Ġnien tal-Librerija Universitarja?")</f>
        <v>X'tip ta 'spazju f'Varsavja huma l-Ġnien Botaniku u l-Ġnien tal-Librerija Universitarja?</v>
      </c>
    </row>
    <row r="537" ht="15.75" customHeight="1">
      <c r="A537" s="2" t="s">
        <v>537</v>
      </c>
      <c r="B537" s="2" t="str">
        <f>IFERROR(__xludf.DUMMYFUNCTION("GOOGLETRANSLATE(A537, ""en"", ""mt"")"),"Mejju 1888")</f>
        <v>Mejju 1888</v>
      </c>
    </row>
    <row r="538" ht="15.75" customHeight="1">
      <c r="A538" s="2" t="s">
        <v>538</v>
      </c>
      <c r="B538" s="2" t="str">
        <f>IFERROR(__xludf.DUMMYFUNCTION("GOOGLETRANSLATE(A538, ""en"", ""mt"")"),"Blueprint")</f>
        <v>Blueprint</v>
      </c>
    </row>
    <row r="539" ht="15.75" customHeight="1">
      <c r="A539" s="2" t="s">
        <v>539</v>
      </c>
      <c r="B539" s="2" t="str">
        <f>IFERROR(__xludf.DUMMYFUNCTION("GOOGLETRANSLATE(A539, ""en"", ""mt"")"),"ir-rivoluzzjoni tal-kant")</f>
        <v>ir-rivoluzzjoni tal-kant</v>
      </c>
    </row>
    <row r="540" ht="15.75" customHeight="1">
      <c r="A540" s="2" t="s">
        <v>540</v>
      </c>
      <c r="B540" s="2" t="str">
        <f>IFERROR(__xludf.DUMMYFUNCTION("GOOGLETRANSLATE(A540, ""en"", ""mt"")"),"Tabib fil-Bibbja")</f>
        <v>Tabib fil-Bibbja</v>
      </c>
    </row>
    <row r="541" ht="15.75" customHeight="1">
      <c r="A541" s="2" t="s">
        <v>541</v>
      </c>
      <c r="B541" s="2" t="str">
        <f>IFERROR(__xludf.DUMMYFUNCTION("GOOGLETRANSLATE(A541, ""en"", ""mt"")"),"Ġeoloġija")</f>
        <v>Ġeoloġija</v>
      </c>
    </row>
    <row r="542" ht="15.75" customHeight="1">
      <c r="A542" s="2" t="s">
        <v>542</v>
      </c>
      <c r="B542" s="2" t="str">
        <f>IFERROR(__xludf.DUMMYFUNCTION("GOOGLETRANSLATE(A542, ""en"", ""mt"")"),"L-IPCC jirċievi fondi permezz tal-Fond Fiduċjarju tal-IPCC, stabbilit fl-1989 mill-Programm tal-Ambjent tan-Nazzjonijiet Uniti (UNEP) u l-Organizzazzjoni Meteoroloġika Dinjija (WMO), l-ispejjeż tas-Segretarju u tad-Djar tas-Segretarjat huma pprovduti mill"&amp;"-WMO, filwaqt li l-UNEP tissodisfa Spiża tas-Segretarju tad-Deputat. Il-kontribuzzjonijiet annwali tal-flus kontanti għall-fond fiduċjarju huma magħmula mill-WMO, mill-UNEP, u mill-membri tal-IPCC; L-iskala tal-pagamenti hija ddeterminata mill-bord tal-IP"&amp;"CC, li huwa wkoll responsabbli biex jikkunsidra u jadotta b'kunsens tal-baġit annwali. L-organizzazzjoni hija meħtieġa tikkonforma mar-regolamenti finanzjarji u r-regoli tal-WMO.")</f>
        <v>L-IPCC jirċievi fondi permezz tal-Fond Fiduċjarju tal-IPCC, stabbilit fl-1989 mill-Programm tal-Ambjent tan-Nazzjonijiet Uniti (UNEP) u l-Organizzazzjoni Meteoroloġika Dinjija (WMO), l-ispejjeż tas-Segretarju u tad-Djar tas-Segretarjat huma pprovduti mill-WMO, filwaqt li l-UNEP tissodisfa Spiża tas-Segretarju tad-Deputat. Il-kontribuzzjonijiet annwali tal-flus kontanti għall-fond fiduċjarju huma magħmula mill-WMO, mill-UNEP, u mill-membri tal-IPCC; L-iskala tal-pagamenti hija ddeterminata mill-bord tal-IPCC, li huwa wkoll responsabbli biex jikkunsidra u jadotta b'kunsens tal-baġit annwali. L-organizzazzjoni hija meħtieġa tikkonforma mar-regolamenti finanzjarji u r-regoli tal-WMO.</v>
      </c>
    </row>
    <row r="543" ht="15.75" customHeight="1">
      <c r="A543" s="2" t="s">
        <v>543</v>
      </c>
      <c r="B543" s="2" t="str">
        <f>IFERROR(__xludf.DUMMYFUNCTION("GOOGLETRANSLATE(A543, ""en"", ""mt"")"),"Lipidi u proteini")</f>
        <v>Lipidi u proteini</v>
      </c>
    </row>
    <row r="544" ht="15.75" customHeight="1">
      <c r="A544" s="2" t="s">
        <v>544</v>
      </c>
      <c r="B544" s="2" t="str">
        <f>IFERROR(__xludf.DUMMYFUNCTION("GOOGLETRANSLATE(A544, ""en"", ""mt"")"),"Id-Danubju")</f>
        <v>Id-Danubju</v>
      </c>
    </row>
    <row r="545" ht="15.75" customHeight="1">
      <c r="A545" s="2" t="s">
        <v>545</v>
      </c>
      <c r="B545" s="2" t="str">
        <f>IFERROR(__xludf.DUMMYFUNCTION("GOOGLETRANSLATE(A545, ""en"", ""mt"")"),"Fl-aħħar tas-seklu 19")</f>
        <v>Fl-aħħar tas-seklu 19</v>
      </c>
    </row>
    <row r="546" ht="15.75" customHeight="1">
      <c r="A546" s="2" t="s">
        <v>546</v>
      </c>
      <c r="B546" s="2" t="str">
        <f>IFERROR(__xludf.DUMMYFUNCTION("GOOGLETRANSLATE(A546, ""en"", ""mt"")"),"Ċittadini Ġermaniżi Meta l-pulizija sigrieta ta 'Hitler talbu jkunu jafu jekk kinux qed jaħbu Lhudi fid-dar tagħhom")</f>
        <v>Ċittadini Ġermaniżi Meta l-pulizija sigrieta ta 'Hitler talbu jkunu jafu jekk kinux qed jaħbu Lhudi fid-dar tagħhom</v>
      </c>
    </row>
    <row r="547" ht="15.75" customHeight="1">
      <c r="A547" s="2" t="s">
        <v>547</v>
      </c>
      <c r="B547" s="2" t="str">
        <f>IFERROR(__xludf.DUMMYFUNCTION("GOOGLETRANSLATE(A547, ""en"", ""mt"")"),"dan ukoll")</f>
        <v>dan ukoll</v>
      </c>
    </row>
    <row r="548" ht="15.75" customHeight="1">
      <c r="A548" s="2" t="s">
        <v>548</v>
      </c>
      <c r="B548" s="2" t="str">
        <f>IFERROR(__xludf.DUMMYFUNCTION("GOOGLETRANSLATE(A548, ""en"", ""mt"")"),"Aktar minn 90 destinazzjoni")</f>
        <v>Aktar minn 90 destinazzjoni</v>
      </c>
    </row>
    <row r="549" ht="15.75" customHeight="1">
      <c r="A549" s="2" t="s">
        <v>549</v>
      </c>
      <c r="B549" s="2" t="str">
        <f>IFERROR(__xludf.DUMMYFUNCTION("GOOGLETRANSLATE(A549, ""en"", ""mt"")"),"F'liema sena tilef l-ewwel debutt?")</f>
        <v>F'liema sena tilef l-ewwel debutt?</v>
      </c>
    </row>
    <row r="550" ht="15.75" customHeight="1">
      <c r="A550" s="2" t="s">
        <v>550</v>
      </c>
      <c r="B550" s="2" t="str">
        <f>IFERROR(__xludf.DUMMYFUNCTION("GOOGLETRANSLATE(A550, ""en"", ""mt"")"),"OAPEC ipproklama l-embargo li trażżan l-esportazzjonijiet lejn diversi pajjiżi")</f>
        <v>OAPEC ipproklama l-embargo li trażżan l-esportazzjonijiet lejn diversi pajjiżi</v>
      </c>
    </row>
    <row r="551" ht="15.75" customHeight="1">
      <c r="A551" s="2" t="s">
        <v>551</v>
      </c>
      <c r="B551" s="2" t="str">
        <f>IFERROR(__xludf.DUMMYFUNCTION("GOOGLETRANSLATE(A551, ""en"", ""mt"")"),"18-Karat deheb")</f>
        <v>18-Karat deheb</v>
      </c>
    </row>
    <row r="552" ht="15.75" customHeight="1">
      <c r="A552" s="2" t="s">
        <v>552</v>
      </c>
      <c r="B552" s="2" t="str">
        <f>IFERROR(__xludf.DUMMYFUNCTION("GOOGLETRANSLATE(A552, ""en"", ""mt"")"),"riċetturi ta 'rikonoxximent tal-mudelli")</f>
        <v>riċetturi ta 'rikonoxximent tal-mudelli</v>
      </c>
    </row>
    <row r="553" ht="15.75" customHeight="1">
      <c r="A553" s="2" t="s">
        <v>553</v>
      </c>
      <c r="B553" s="2" t="str">
        <f>IFERROR(__xludf.DUMMYFUNCTION("GOOGLETRANSLATE(A553, ""en"", ""mt"")"),"X'inhu l-isem tal-Aġenzija tal-Unjoni Ewropea għas-sigurtà tal-fruntiera esterna?")</f>
        <v>X'inhu l-isem tal-Aġenzija tal-Unjoni Ewropea għas-sigurtà tal-fruntiera esterna?</v>
      </c>
    </row>
    <row r="554" ht="15.75" customHeight="1">
      <c r="A554" s="2" t="s">
        <v>554</v>
      </c>
      <c r="B554" s="2" t="str">
        <f>IFERROR(__xludf.DUMMYFUNCTION("GOOGLETRANSLATE(A554, ""en"", ""mt"")"),"Min ħaseb li l-forza applikata kkawżat moviment ta 'oġġett irrispettivament mill-veloċità mhux żero?")</f>
        <v>Min ħaseb li l-forza applikata kkawżat moviment ta 'oġġett irrispettivament mill-veloċità mhux żero?</v>
      </c>
    </row>
    <row r="555" ht="15.75" customHeight="1">
      <c r="A555" s="2" t="s">
        <v>555</v>
      </c>
      <c r="B555" s="2" t="str">
        <f>IFERROR(__xludf.DUMMYFUNCTION("GOOGLETRANSLATE(A555, ""en"", ""mt"")"),"yin-yang u filosofija wuxing")</f>
        <v>yin-yang u filosofija wuxing</v>
      </c>
    </row>
    <row r="556" ht="15.75" customHeight="1">
      <c r="A556" s="2" t="s">
        <v>556</v>
      </c>
      <c r="B556" s="2" t="str">
        <f>IFERROR(__xludf.DUMMYFUNCTION("GOOGLETRANSLATE(A556, ""en"", ""mt"")"),"Liema prinċipju jenfasizza s-sinifikat tal-primes fit-teorija tan-numri")</f>
        <v>Liema prinċipju jenfasizza s-sinifikat tal-primes fit-teorija tan-numri</v>
      </c>
    </row>
    <row r="557" ht="15.75" customHeight="1">
      <c r="A557" s="2" t="s">
        <v>557</v>
      </c>
      <c r="B557" s="2" t="str">
        <f>IFERROR(__xludf.DUMMYFUNCTION("GOOGLETRANSLATE(A557, ""en"", ""mt"")"),"Ċelloli nieqsa minn rashom li għandhom biss ammonti żgħar ta 'liema markatur tal-wiċċ taċ-ċellula?")</f>
        <v>Ċelloli nieqsa minn rashom li għandhom biss ammonti żgħar ta 'liema markatur tal-wiċċ taċ-ċellula?</v>
      </c>
    </row>
    <row r="558" ht="15.75" customHeight="1">
      <c r="A558" s="2" t="s">
        <v>558</v>
      </c>
      <c r="B558" s="2" t="str">
        <f>IFERROR(__xludf.DUMMYFUNCTION("GOOGLETRANSLATE(A558, ""en"", ""mt"")"),"Maududi x’kien jemmen li s-soċjetà Musulmana ma setgħetx tkun Iżlamika fin-nuqqas ta ’?")</f>
        <v>Maududi x’kien jemmen li s-soċjetà Musulmana ma setgħetx tkun Iżlamika fin-nuqqas ta ’?</v>
      </c>
    </row>
    <row r="559" ht="15.75" customHeight="1">
      <c r="A559" s="2" t="s">
        <v>559</v>
      </c>
      <c r="B559" s="2" t="str">
        <f>IFERROR(__xludf.DUMMYFUNCTION("GOOGLETRANSLATE(A559, ""en"", ""mt"")"),"il-bitħa")</f>
        <v>il-bitħa</v>
      </c>
    </row>
    <row r="560" ht="15.75" customHeight="1">
      <c r="A560" s="2" t="s">
        <v>560</v>
      </c>
      <c r="B560" s="2" t="str">
        <f>IFERROR(__xludf.DUMMYFUNCTION("GOOGLETRANSLATE(A560, ""en"", ""mt"")"),"Isomorfiżmu tal-graff")</f>
        <v>Isomorfiżmu tal-graff</v>
      </c>
    </row>
    <row r="561" ht="15.75" customHeight="1">
      <c r="A561" s="2" t="s">
        <v>561</v>
      </c>
      <c r="B561" s="2" t="str">
        <f>IFERROR(__xludf.DUMMYFUNCTION("GOOGLETRANSLATE(A561, ""en"", ""mt"")"),"Il-Partit Laburista Awstraljan taċ-Ċentru-Xellug (ALP), il-Partit Liberali taċ-Ċentru-Right tal-Awstralja, il-Partit Nazzjonali bbażat fuq l-Awstralja bbażat fuq rurali, u l-Ambjentalisti tal-Ħodor Awstraljani huma l-partiti politiċi ewlenin tar-Rabat. Tr"&amp;"adizzjonalment, ix-xogħol huwa l-iktar qawwi fil-klassi tal-ħaddiema ta 'Melbourne fil-punent u s-subborgi tat-tramuntana, u l-ibliet reġjonali ta' Ballarat, Bendigo u Geelong. L-appoġġ ewlieni tal-Liberali jinsab fis-subborgi tal-Lvant u ta 'barra l-akta"&amp;"r sinjuri ta' Melbourne, u f'xi ċentri rurali u reġjonali. Iċ-ċittadini huma l-aktar b'saħħithom fiż-żoni reġjonali rurali tal-Majjistral u tal-Lvant tar-Rabat. Il-Ħodor, li rebħu l-ewwel siġġijiet tad-dar t'isfel tagħhom fl-2014, huma l-aktar b'saħħithom"&amp;" f'Melbourne ta 'ġewwa.")</f>
        <v>Il-Partit Laburista Awstraljan taċ-Ċentru-Xellug (ALP), il-Partit Liberali taċ-Ċentru-Right tal-Awstralja, il-Partit Nazzjonali bbażat fuq l-Awstralja bbażat fuq rurali, u l-Ambjentalisti tal-Ħodor Awstraljani huma l-partiti politiċi ewlenin tar-Rabat. Tradizzjonalment, ix-xogħol huwa l-iktar qawwi fil-klassi tal-ħaddiema ta 'Melbourne fil-punent u s-subborgi tat-tramuntana, u l-ibliet reġjonali ta' Ballarat, Bendigo u Geelong. L-appoġġ ewlieni tal-Liberali jinsab fis-subborgi tal-Lvant u ta 'barra l-aktar sinjuri ta' Melbourne, u f'xi ċentri rurali u reġjonali. Iċ-ċittadini huma l-aktar b'saħħithom fiż-żoni reġjonali rurali tal-Majjistral u tal-Lvant tar-Rabat. Il-Ħodor, li rebħu l-ewwel siġġijiet tad-dar t'isfel tagħhom fl-2014, huma l-aktar b'saħħithom f'Melbourne ta 'ġewwa.</v>
      </c>
    </row>
    <row r="562" ht="15.75" customHeight="1">
      <c r="A562" s="2" t="s">
        <v>562</v>
      </c>
      <c r="B562" s="2" t="str">
        <f>IFERROR(__xludf.DUMMYFUNCTION("GOOGLETRANSLATE(A562, ""en"", ""mt"")"),"Sistemi ta 'illuminazzjoni bbażati fuq dawl tal-ark elettriku installati ddisinjati minn Tesla u kellhom ukoll disinji għal dynamo elettriku tal-magni")</f>
        <v>Sistemi ta 'illuminazzjoni bbażati fuq dawl tal-ark elettriku installati ddisinjati minn Tesla u kellhom ukoll disinji għal dynamo elettriku tal-magni</v>
      </c>
    </row>
    <row r="563" ht="15.75" customHeight="1">
      <c r="A563" s="2" t="s">
        <v>563</v>
      </c>
      <c r="B563" s="2" t="str">
        <f>IFERROR(__xludf.DUMMYFUNCTION("GOOGLETRANSLATE(A563, ""en"", ""mt"")"),"Il-Pax Mongolica (Paċi Mongol)")</f>
        <v>Il-Pax Mongolica (Paċi Mongol)</v>
      </c>
    </row>
    <row r="564" ht="15.75" customHeight="1">
      <c r="A564" s="2" t="s">
        <v>564</v>
      </c>
      <c r="B564" s="2" t="str">
        <f>IFERROR(__xludf.DUMMYFUNCTION("GOOGLETRANSLATE(A564, ""en"", ""mt"")"),"Lil min jikkontrollaw il-gurus?")</f>
        <v>Lil min jikkontrollaw il-gurus?</v>
      </c>
    </row>
    <row r="565" ht="15.75" customHeight="1">
      <c r="A565" s="2" t="s">
        <v>565</v>
      </c>
      <c r="B565" s="2" t="str">
        <f>IFERROR(__xludf.DUMMYFUNCTION("GOOGLETRANSLATE(A565, ""en"", ""mt"")"),"Kien hemm bidliet kbar fil-veġetazzjoni tal-foresta tropikali tal-Amazon matul l-aħħar kemm snin?")</f>
        <v>Kien hemm bidliet kbar fil-veġetazzjoni tal-foresta tropikali tal-Amazon matul l-aħħar kemm snin?</v>
      </c>
    </row>
    <row r="566" ht="15.75" customHeight="1">
      <c r="A566" s="2" t="s">
        <v>566</v>
      </c>
      <c r="B566" s="2" t="str">
        <f>IFERROR(__xludf.DUMMYFUNCTION("GOOGLETRANSLATE(A566, ""en"", ""mt"")"),"Min jista 'jkun għalliem spiritwali fil-knisja LDS?")</f>
        <v>Min jista 'jkun għalliem spiritwali fil-knisja LDS?</v>
      </c>
    </row>
    <row r="567" ht="15.75" customHeight="1">
      <c r="A567" s="2" t="s">
        <v>567</v>
      </c>
      <c r="B567" s="2" t="str">
        <f>IFERROR(__xludf.DUMMYFUNCTION("GOOGLETRANSLATE(A567, ""en"", ""mt"")"),"François, Duc d'Alençon")</f>
        <v>François, Duc d'Alençon</v>
      </c>
    </row>
    <row r="568" ht="15.75" customHeight="1">
      <c r="A568" s="2" t="s">
        <v>568</v>
      </c>
      <c r="B568" s="2" t="str">
        <f>IFERROR(__xludf.DUMMYFUNCTION("GOOGLETRANSLATE(A568, ""en"", ""mt"")"),"Liema belt laħqet il-Gran Canal waqt il-wan?")</f>
        <v>Liema belt laħqet il-Gran Canal waqt il-wan?</v>
      </c>
    </row>
    <row r="569" ht="15.75" customHeight="1">
      <c r="A569" s="2" t="s">
        <v>569</v>
      </c>
      <c r="B569" s="2" t="str">
        <f>IFERROR(__xludf.DUMMYFUNCTION("GOOGLETRANSLATE(A569, ""en"", ""mt"")"),"Fejn jista 'għalliem jgħallem li mhux ġewwa bini?")</f>
        <v>Fejn jista 'għalliem jgħallem li mhux ġewwa bini?</v>
      </c>
    </row>
    <row r="570" ht="15.75" customHeight="1">
      <c r="A570" s="2" t="s">
        <v>570</v>
      </c>
      <c r="B570" s="2" t="str">
        <f>IFERROR(__xludf.DUMMYFUNCTION("GOOGLETRANSLATE(A570, ""en"", ""mt"")"),"l-ispin")</f>
        <v>l-ispin</v>
      </c>
    </row>
    <row r="571" ht="15.75" customHeight="1">
      <c r="A571" s="2" t="s">
        <v>571</v>
      </c>
      <c r="B571" s="2" t="str">
        <f>IFERROR(__xludf.DUMMYFUNCTION("GOOGLETRANSLATE(A571, ""en"", ""mt"")"),"Kemm instab li għalliema ħassew stress fuq ix-xogħol fi studju ta '2000?")</f>
        <v>Kemm instab li għalliema ħassew stress fuq ix-xogħol fi studju ta '2000?</v>
      </c>
    </row>
    <row r="572" ht="15.75" customHeight="1">
      <c r="A572" s="2" t="s">
        <v>572</v>
      </c>
      <c r="B572" s="2" t="str">
        <f>IFERROR(__xludf.DUMMYFUNCTION("GOOGLETRANSLATE(A572, ""en"", ""mt"")"),"Kemm wara ftit wara l-inċident tan-nar tal-kabina n-NASA ħolqot il-bord ta 'reviżjoni tal-inċidenti tagħha?")</f>
        <v>Kemm wara ftit wara l-inċident tan-nar tal-kabina n-NASA ħolqot il-bord ta 'reviżjoni tal-inċidenti tagħha?</v>
      </c>
    </row>
    <row r="573" ht="15.75" customHeight="1">
      <c r="A573" s="2" t="s">
        <v>573</v>
      </c>
      <c r="B573" s="2" t="str">
        <f>IFERROR(__xludf.DUMMYFUNCTION("GOOGLETRANSLATE(A573, ""en"", ""mt"")"),"Ħwawar oħra")</f>
        <v>Ħwawar oħra</v>
      </c>
    </row>
    <row r="574" ht="15.75" customHeight="1">
      <c r="A574" s="2" t="s">
        <v>574</v>
      </c>
      <c r="B574" s="2" t="str">
        <f>IFERROR(__xludf.DUMMYFUNCTION("GOOGLETRANSLATE(A574, ""en"", ""mt"")"),"40 km wiesa '")</f>
        <v>40 km wiesa '</v>
      </c>
    </row>
    <row r="575" ht="15.75" customHeight="1">
      <c r="A575" s="2" t="s">
        <v>575</v>
      </c>
      <c r="B575" s="2" t="str">
        <f>IFERROR(__xludf.DUMMYFUNCTION("GOOGLETRANSLATE(A575, ""en"", ""mt"")"),"Degradazzjoni Ambjentali")</f>
        <v>Degradazzjoni Ambjentali</v>
      </c>
    </row>
    <row r="576" ht="15.75" customHeight="1">
      <c r="A576" s="2" t="s">
        <v>576</v>
      </c>
      <c r="B576" s="2" t="str">
        <f>IFERROR(__xludf.DUMMYFUNCTION("GOOGLETRANSLATE(A576, ""en"", ""mt"")"),"X'inhu l-piż ta 'bushel ta' faħam f'liri?")</f>
        <v>X'inhu l-piż ta 'bushel ta' faħam f'liri?</v>
      </c>
    </row>
    <row r="577" ht="15.75" customHeight="1">
      <c r="A577" s="2" t="s">
        <v>577</v>
      </c>
      <c r="B577" s="2" t="str">
        <f>IFERROR(__xludf.DUMMYFUNCTION("GOOGLETRANSLATE(A577, ""en"", ""mt"")"),"Minn xiex jistgħu jsofru proġetti ta 'kostruzzjoni?")</f>
        <v>Minn xiex jistgħu jsofru proġetti ta 'kostruzzjoni?</v>
      </c>
    </row>
    <row r="578" ht="15.75" customHeight="1">
      <c r="A578" s="2" t="s">
        <v>578</v>
      </c>
      <c r="B578" s="2" t="str">
        <f>IFERROR(__xludf.DUMMYFUNCTION("GOOGLETRANSLATE(A578, ""en"", ""mt"")"),"teatri.")</f>
        <v>teatri.</v>
      </c>
    </row>
    <row r="579" ht="15.75" customHeight="1">
      <c r="A579" s="2" t="s">
        <v>579</v>
      </c>
      <c r="B579" s="2" t="str">
        <f>IFERROR(__xludf.DUMMYFUNCTION("GOOGLETRANSLATE(A579, ""en"", ""mt"")"),"John F. Kennedy's")</f>
        <v>John F. Kennedy's</v>
      </c>
    </row>
    <row r="580" ht="15.75" customHeight="1">
      <c r="A580" s="2" t="s">
        <v>580</v>
      </c>
      <c r="B580" s="2" t="str">
        <f>IFERROR(__xludf.DUMMYFUNCTION("GOOGLETRANSLATE(A580, ""en"", ""mt"")"),"L-arkitettura Norman tipikament tispikka bħala stadju ġdid fl-istorja arkitettonika tar-reġjuni li huma ssottomettu. Huma xerrdu idjoma Rumanika unika lejn l-Ingilterra u l-Italja, u l-inkastellazzjoni ta 'dawn ir-reġjuni ma' żżomm fl-istil Franċiż tat-Tr"&amp;"amuntana tagħhom biddel fundamentalment il-pajsaġġ militari. L-istil tagħhom kien ikkaratterizzat minn arkati tond, partikolarment fuq twieqi u bibien, u proporzjonijiet massivi.")</f>
        <v>L-arkitettura Norman tipikament tispikka bħala stadju ġdid fl-istorja arkitettonika tar-reġjuni li huma ssottomettu. Huma xerrdu idjoma Rumanika unika lejn l-Ingilterra u l-Italja, u l-inkastellazzjoni ta 'dawn ir-reġjuni ma' żżomm fl-istil Franċiż tat-Tramuntana tagħhom biddel fundamentalment il-pajsaġġ militari. L-istil tagħhom kien ikkaratterizzat minn arkati tond, partikolarment fuq twieqi u bibien, u proporzjonijiet massivi.</v>
      </c>
    </row>
    <row r="581" ht="15.75" customHeight="1">
      <c r="A581" s="2" t="s">
        <v>581</v>
      </c>
      <c r="B581" s="2" t="str">
        <f>IFERROR(__xludf.DUMMYFUNCTION("GOOGLETRANSLATE(A581, ""en"", ""mt"")"),"X'inhu eżempju ta 'diżubbidjenza ċivili ewlenija fl-Afrika t'Isfel?")</f>
        <v>X'inhu eżempju ta 'diżubbidjenza ċivili ewlenija fl-Afrika t'Isfel?</v>
      </c>
    </row>
    <row r="582" ht="15.75" customHeight="1">
      <c r="A582" s="2" t="s">
        <v>582</v>
      </c>
      <c r="B582" s="2" t="str">
        <f>IFERROR(__xludf.DUMMYFUNCTION("GOOGLETRANSLATE(A582, ""en"", ""mt"")"),"Il-Ġeneratur tal-Van de Graaff")</f>
        <v>Il-Ġeneratur tal-Van de Graaff</v>
      </c>
    </row>
    <row r="583" ht="15.75" customHeight="1">
      <c r="A583" s="2" t="s">
        <v>583</v>
      </c>
      <c r="B583" s="2" t="str">
        <f>IFERROR(__xludf.DUMMYFUNCTION("GOOGLETRANSLATE(A583, ""en"", ""mt"")"),"tilħaq l-ogħla post fil-gvern")</f>
        <v>tilħaq l-ogħla post fil-gvern</v>
      </c>
    </row>
    <row r="584" ht="15.75" customHeight="1">
      <c r="A584" s="2" t="s">
        <v>584</v>
      </c>
      <c r="B584" s="2" t="str">
        <f>IFERROR(__xludf.DUMMYFUNCTION("GOOGLETRANSLATE(A584, ""en"", ""mt"")"),"Kemm iddum l-invażjoni tal-Lvant Nofsani sabiex tiżviluppa riżorsi rinnovabbli?")</f>
        <v>Kemm iddum l-invażjoni tal-Lvant Nofsani sabiex tiżviluppa riżorsi rinnovabbli?</v>
      </c>
    </row>
    <row r="585" ht="15.75" customHeight="1">
      <c r="A585" s="2" t="s">
        <v>585</v>
      </c>
      <c r="B585" s="2" t="str">
        <f>IFERROR(__xludf.DUMMYFUNCTION("GOOGLETRANSLATE(A585, ""en"", ""mt"")"),"Meta kien l-aħħar episodju tas-serje oriġinali?")</f>
        <v>Meta kien l-aħħar episodju tas-serje oriġinali?</v>
      </c>
    </row>
    <row r="586" ht="15.75" customHeight="1">
      <c r="A586" s="2" t="s">
        <v>586</v>
      </c>
      <c r="B586" s="2" t="str">
        <f>IFERROR(__xludf.DUMMYFUNCTION("GOOGLETRANSLATE(A586, ""en"", ""mt"")"),"L-ewwel, jekk l-iskadenza ta 'direttiva għall-implimentazzjoni ma tintlaħaqx, l-Istat Membru ma jistax jinforza liġijiet konfliġġenti, u ċittadin jista' jiddependi fuq id-direttiva f'tali azzjoni (hekk imsejjaħ effett dirett ""vertikali""). Allura, fil-Pu"&amp;"bblico Ministru v Ratti minħabba li l-gvern Taljan naqas milli jimplimenta direttiva 73/173 / KEE fuq l-imballaġġ u l-ittikkettjar tas-solventi sal-iskadenza, ġie estopped mill-infurzar ta 'liġi nazzjonali konfliġġenti mill-1963 kontra s-solvent tas-Sur R"&amp;"atti u n-negozju tal-verniċ. Stat membru jista '""ma jiddependix, kontra individwi, min-nuqqas tiegħu stess li jwettaq l-obbligi li tinvolvi d-direttiva."" It-tieni, ċittadin jew kumpanija jistgħu jinvokaw direttiva, mhux biss f'tilwima ma 'awtorità pubbl"&amp;"ika, iżda f'tilwima ma' ċittadin jew kumpanija oħra. Allura, fis-CIA Security vs Signalson u Securitel Il-Qorti tal-Ġustizzja ddeċidiet li negozju msejjaħ CIA Securit Notifikat lill-Kummissjoni bħala Direttiva meħtieġa. It-tielet, jekk direttiva tagħti es"&amp;"pressjoni lil ""prinċipju ġenerali"" tal-liġi tal-UE, tista 'tiġi invokata bejn partijiet privati ​​mhux statali qabel l-iskadenza tagħha għall-implimentazzjoni. Dan isegwi minn Kücükdeveci vs Swedex GmbH &amp; Co KG fejn il-Kodiċi Ċivili Ġermaniż §622 iddikj"&amp;"ara li s-snin li n-nies ħadmu taħt l-età ta '25 sena ma jgħoddux lejn l-avviż statutorju dejjem jiżdied qabel it-tkeċċija. Is-Sinjura Kücükdeveci ħadmet għal 10 snin, mill-età ta '18 sa 28, għall-Swedex GmbH &amp; Co KG qabel it-tkeċċija tagħha. Hija sostniet"&amp;" li l-liġi li ma tgħoddx is-snin tagħha taħt l-età ta '25 sena kienet diskriminazzjoni illegali fl-età taħt id-Direttiva Qafas ta 'l-Ugwaljanza fl-Impjiegi. Il-Qorti tal-Ġustizzja ddeċidiet li d-direttiva tista 'tiġi invokata minnha minħabba li l-ugwaljan"&amp;"za kienet ukoll prinċipju ġenerali tal-liġi tal-UE. It-tielet, jekk l-imputat huwa emanazzjoni tal-istat, anke jekk mhux gvern ċentrali, xorta jista 'jkun marbut minn direttivi. Fil-Foster V British Gas Plc il-Qorti tal-Ġustizzja ddeċidiet li s-Sinjura Fo"&amp;"ster kellha dritt li ġġib talba ta 'diskriminazzjoni sesswali kontra min iħaddemha, British Gas Plc, li għamlet lin-nisa jirtiraw fl-età ta '60 sena u rġiel ta '65 sena, jekk (1) skond stat Miżura, (2) ipprovda servizz pubbliku, u (3) kellu poteri speċjal"&amp;"i. Dan jista 'jkun minnu wkoll jekk l-intrapriża tkun privatizzata, peress li kienet miżmuma ma' kumpanija tal-ilma li kienet responsabbli għall-provvista bażika tal-ilma.")</f>
        <v>L-ewwel, jekk l-iskadenza ta 'direttiva għall-implimentazzjoni ma tintlaħaqx, l-Istat Membru ma jistax jinforza liġijiet konfliġġenti, u ċittadin jista' jiddependi fuq id-direttiva f'tali azzjoni (hekk imsejjaħ effett dirett "vertikali"). Allura, fil-Pubblico Ministru v Ratti minħabba li l-gvern Taljan naqas milli jimplimenta direttiva 73/173 / KEE fuq l-imballaġġ u l-ittikkettjar tas-solventi sal-iskadenza, ġie estopped mill-infurzar ta 'liġi nazzjonali konfliġġenti mill-1963 kontra s-solvent tas-Sur Ratti u n-negozju tal-verniċ. Stat membru jista '"ma jiddependix, kontra individwi, min-nuqqas tiegħu stess li jwettaq l-obbligi li tinvolvi d-direttiva." It-tieni, ċittadin jew kumpanija jistgħu jinvokaw direttiva, mhux biss f'tilwima ma 'awtorità pubblika, iżda f'tilwima ma' ċittadin jew kumpanija oħra. Allura, fis-CIA Security vs Signalson u Securitel Il-Qorti tal-Ġustizzja ddeċidiet li negozju msejjaħ CIA Securit Notifikat lill-Kummissjoni bħala Direttiva meħtieġa. It-tielet, jekk direttiva tagħti espressjoni lil "prinċipju ġenerali" tal-liġi tal-UE, tista 'tiġi invokata bejn partijiet privati ​​mhux statali qabel l-iskadenza tagħha għall-implimentazzjoni. Dan isegwi minn Kücükdeveci vs Swedex GmbH &amp; Co KG fejn il-Kodiċi Ċivili Ġermaniż §622 iddikjara li s-snin li n-nies ħadmu taħt l-età ta '25 sena ma jgħoddux lejn l-avviż statutorju dejjem jiżdied qabel it-tkeċċija. Is-Sinjura Kücükdeveci ħadmet għal 10 snin, mill-età ta '18 sa 28, għall-Swedex GmbH &amp; Co KG qabel it-tkeċċija tagħha. Hija sostniet li l-liġi li ma tgħoddx is-snin tagħha taħt l-età ta '25 sena kienet diskriminazzjoni illegali fl-età taħt id-Direttiva Qafas ta 'l-Ugwaljanza fl-Impjiegi. Il-Qorti tal-Ġustizzja ddeċidiet li d-direttiva tista 'tiġi invokata minnha minħabba li l-ugwaljanza kienet ukoll prinċipju ġenerali tal-liġi tal-UE. It-tielet, jekk l-imputat huwa emanazzjoni tal-istat, anke jekk mhux gvern ċentrali, xorta jista 'jkun marbut minn direttivi. Fil-Foster V British Gas Plc il-Qorti tal-Ġustizzja ddeċidiet li s-Sinjura Foster kellha dritt li ġġib talba ta 'diskriminazzjoni sesswali kontra min iħaddemha, British Gas Plc, li għamlet lin-nisa jirtiraw fl-età ta '60 sena u rġiel ta '65 sena, jekk (1) skond stat Miżura, (2) ipprovda servizz pubbliku, u (3) kellu poteri speċjali. Dan jista 'jkun minnu wkoll jekk l-intrapriża tkun privatizzata, peress li kienet miżmuma ma' kumpanija tal-ilma li kienet responsabbli għall-provvista bażika tal-ilma.</v>
      </c>
    </row>
    <row r="587" ht="15.75" customHeight="1">
      <c r="A587" s="2" t="s">
        <v>587</v>
      </c>
      <c r="B587" s="2" t="str">
        <f>IFERROR(__xludf.DUMMYFUNCTION("GOOGLETRANSLATE(A587, ""en"", ""mt"")"),"Ċeramika Ċiniża u Ġappuniża")</f>
        <v>Ċeramika Ċiniża u Ġappuniża</v>
      </c>
    </row>
    <row r="588" ht="15.75" customHeight="1">
      <c r="A588" s="2" t="s">
        <v>588</v>
      </c>
      <c r="B588" s="2" t="str">
        <f>IFERROR(__xludf.DUMMYFUNCTION("GOOGLETRANSLATE(A588, ""en"", ""mt"")"),"Fejn l-Emporer Jin irriloka l-kapitali tiegħu wara li Genghis Khan qabeż il-parti tat-tramuntana tal-imperu tiegħu?")</f>
        <v>Fejn l-Emporer Jin irriloka l-kapitali tiegħu wara li Genghis Khan qabeż il-parti tat-tramuntana tal-imperu tiegħu?</v>
      </c>
    </row>
    <row r="589" ht="15.75" customHeight="1">
      <c r="A589" s="2" t="s">
        <v>589</v>
      </c>
      <c r="B589" s="2" t="str">
        <f>IFERROR(__xludf.DUMMYFUNCTION("GOOGLETRANSLATE(A589, ""en"", ""mt"")"),"Min hu bħalissa l-President tal-Kunsill?")</f>
        <v>Min hu bħalissa l-President tal-Kunsill?</v>
      </c>
    </row>
    <row r="590" ht="15.75" customHeight="1">
      <c r="A590" s="2" t="s">
        <v>590</v>
      </c>
      <c r="B590" s="2" t="str">
        <f>IFERROR(__xludf.DUMMYFUNCTION("GOOGLETRANSLATE(A590, ""en"", ""mt"")"),"Il-Bord tal-Fiduċjarji")</f>
        <v>Il-Bord tal-Fiduċjarji</v>
      </c>
    </row>
    <row r="591" ht="15.75" customHeight="1">
      <c r="A591" s="2" t="s">
        <v>591</v>
      </c>
      <c r="B591" s="2" t="str">
        <f>IFERROR(__xludf.DUMMYFUNCTION("GOOGLETRANSLATE(A591, ""en"", ""mt"")"),"X'inhu eżempju wieħed ta 'dak li jinvolvu d-dmirijiet ta' spiżjar kliniku?")</f>
        <v>X'inhu eżempju wieħed ta 'dak li jinvolvu d-dmirijiet ta' spiżjar kliniku?</v>
      </c>
    </row>
    <row r="592" ht="15.75" customHeight="1">
      <c r="A592" s="2" t="s">
        <v>592</v>
      </c>
      <c r="B592" s="2" t="str">
        <f>IFERROR(__xludf.DUMMYFUNCTION("GOOGLETRANSLATE(A592, ""en"", ""mt"")"),"Super Bowl XXVIII")</f>
        <v>Super Bowl XXVIII</v>
      </c>
    </row>
    <row r="593" ht="15.75" customHeight="1">
      <c r="A593" s="2" t="s">
        <v>593</v>
      </c>
      <c r="B593" s="2" t="str">
        <f>IFERROR(__xludf.DUMMYFUNCTION("GOOGLETRANSLATE(A593, ""en"", ""mt"")"),"Meta Blackburne għamel l-argument tiegħu dwar Luther u l-erwieħ?")</f>
        <v>Meta Blackburne għamel l-argument tiegħu dwar Luther u l-erwieħ?</v>
      </c>
    </row>
    <row r="594" ht="15.75" customHeight="1">
      <c r="A594" s="2" t="s">
        <v>594</v>
      </c>
      <c r="B594" s="2" t="str">
        <f>IFERROR(__xludf.DUMMYFUNCTION("GOOGLETRANSLATE(A594, ""en"", ""mt"")"),"265.7")</f>
        <v>265.7</v>
      </c>
    </row>
    <row r="595" ht="15.75" customHeight="1">
      <c r="A595" s="2" t="s">
        <v>595</v>
      </c>
      <c r="B595" s="2" t="str">
        <f>IFERROR(__xludf.DUMMYFUNCTION("GOOGLETRANSLATE(A595, ""en"", ""mt"")"),"It-tarf tal-lejl")</f>
        <v>It-tarf tal-lejl</v>
      </c>
    </row>
    <row r="596" ht="15.75" customHeight="1">
      <c r="A596" s="2" t="s">
        <v>596</v>
      </c>
      <c r="B596" s="2" t="str">
        <f>IFERROR(__xludf.DUMMYFUNCTION("GOOGLETRANSLATE(A596, ""en"", ""mt"")"),"X'tip ta 'mediċina uża l-Mongolja Shamans?")</f>
        <v>X'tip ta 'mediċina uża l-Mongolja Shamans?</v>
      </c>
    </row>
    <row r="597" ht="15.75" customHeight="1">
      <c r="A597" s="2" t="s">
        <v>597</v>
      </c>
      <c r="B597" s="2" t="str">
        <f>IFERROR(__xludf.DUMMYFUNCTION("GOOGLETRANSLATE(A597, ""en"", ""mt"")"),"ix-xewqa li tipprevjeni affarijiet li huma indiskutibbli ħżiena")</f>
        <v>ix-xewqa li tipprevjeni affarijiet li huma indiskutibbli ħżiena</v>
      </c>
    </row>
    <row r="598" ht="15.75" customHeight="1">
      <c r="A598" s="2" t="s">
        <v>598</v>
      </c>
      <c r="B598" s="2" t="str">
        <f>IFERROR(__xludf.DUMMYFUNCTION("GOOGLETRANSLATE(A598, ""en"", ""mt"")"),"L-imperjalizmu spiss jaqsam il-pajjiżi billi juża liema teknika?")</f>
        <v>L-imperjalizmu spiss jaqsam il-pajjiżi billi juża liema teknika?</v>
      </c>
    </row>
    <row r="599" ht="15.75" customHeight="1">
      <c r="A599" s="2" t="s">
        <v>599</v>
      </c>
      <c r="B599" s="2" t="str">
        <f>IFERROR(__xludf.DUMMYFUNCTION("GOOGLETRANSLATE(A599, ""en"", ""mt"")"),"Liema storja għandha ftit pedament fil-verità?")</f>
        <v>Liema storja għandha ftit pedament fil-verità?</v>
      </c>
    </row>
    <row r="600" ht="15.75" customHeight="1">
      <c r="A600" s="2" t="s">
        <v>600</v>
      </c>
      <c r="B600" s="2" t="str">
        <f>IFERROR(__xludf.DUMMYFUNCTION("GOOGLETRANSLATE(A600, ""en"", ""mt"")"),"Liema konduttur famuż mar Harvard?")</f>
        <v>Liema konduttur famuż mar Harvard?</v>
      </c>
    </row>
    <row r="601" ht="15.75" customHeight="1">
      <c r="A601" s="2" t="s">
        <v>601</v>
      </c>
      <c r="B601" s="2" t="str">
        <f>IFERROR(__xludf.DUMMYFUNCTION("GOOGLETRANSLATE(A601, ""en"", ""mt"")"),"soluzzjoni")</f>
        <v>soluzzjoni</v>
      </c>
    </row>
    <row r="602" ht="15.75" customHeight="1">
      <c r="A602" s="2" t="s">
        <v>602</v>
      </c>
      <c r="B602" s="2" t="str">
        <f>IFERROR(__xludf.DUMMYFUNCTION("GOOGLETRANSLATE(A602, ""en"", ""mt"")"),"X'tip ta 'ċirku kommutattiv it-teorema ta' Lasker-Noether jesprimi kull ideali bħala intersezzjoni ta 'ideali primarji?")</f>
        <v>X'tip ta 'ċirku kommutattiv it-teorema ta' Lasker-Noether jesprimi kull ideali bħala intersezzjoni ta 'ideali primarji?</v>
      </c>
    </row>
    <row r="603" ht="15.75" customHeight="1">
      <c r="A603" s="2" t="s">
        <v>603</v>
      </c>
      <c r="B603" s="2" t="str">
        <f>IFERROR(__xludf.DUMMYFUNCTION("GOOGLETRANSLATE(A603, ""en"", ""mt"")"),"Ċaħda tal-kapaċità")</f>
        <v>Ċaħda tal-kapaċità</v>
      </c>
    </row>
    <row r="604" ht="15.75" customHeight="1">
      <c r="A604" s="2" t="s">
        <v>604</v>
      </c>
      <c r="B604" s="2" t="str">
        <f>IFERROR(__xludf.DUMMYFUNCTION("GOOGLETRANSLATE(A604, ""en"", ""mt"")"),"Fit-turbina tal-fwar, fuq liema huma mmuntati r-rotors?")</f>
        <v>Fit-turbina tal-fwar, fuq liema huma mmuntati r-rotors?</v>
      </c>
    </row>
    <row r="605" ht="15.75" customHeight="1">
      <c r="A605" s="2" t="s">
        <v>605</v>
      </c>
      <c r="B605" s="2" t="str">
        <f>IFERROR(__xludf.DUMMYFUNCTION("GOOGLETRANSLATE(A605, ""en"", ""mt"")"),"F'liema data miet Luther?")</f>
        <v>F'liema data miet Luther?</v>
      </c>
    </row>
    <row r="606" ht="15.75" customHeight="1">
      <c r="A606" s="2" t="s">
        <v>606</v>
      </c>
      <c r="B606" s="2" t="str">
        <f>IFERROR(__xludf.DUMMYFUNCTION("GOOGLETRANSLATE(A606, ""en"", ""mt"")"),"1995–96")</f>
        <v>1995–96</v>
      </c>
    </row>
    <row r="607" ht="15.75" customHeight="1">
      <c r="A607" s="2" t="s">
        <v>607</v>
      </c>
      <c r="B607" s="2" t="str">
        <f>IFERROR(__xludf.DUMMYFUNCTION("GOOGLETRANSLATE(A607, ""en"", ""mt"")"),"Kemm huwa għoli l-ogħla punt f'Varsavja?")</f>
        <v>Kemm huwa għoli l-ogħla punt f'Varsavja?</v>
      </c>
    </row>
    <row r="608" ht="15.75" customHeight="1">
      <c r="A608" s="2" t="s">
        <v>608</v>
      </c>
      <c r="B608" s="2" t="str">
        <f>IFERROR(__xludf.DUMMYFUNCTION("GOOGLETRANSLATE(A608, ""en"", ""mt"")"),"jeqirdu mikrobi li jinvadu")</f>
        <v>jeqirdu mikrobi li jinvadu</v>
      </c>
    </row>
    <row r="609" ht="15.75" customHeight="1">
      <c r="A609" s="2" t="s">
        <v>609</v>
      </c>
      <c r="B609" s="2" t="str">
        <f>IFERROR(__xludf.DUMMYFUNCTION("GOOGLETRANSLATE(A609, ""en"", ""mt"")"),"Antikità tard")</f>
        <v>Antikità tard</v>
      </c>
    </row>
    <row r="610" ht="15.75" customHeight="1">
      <c r="A610" s="2" t="s">
        <v>610</v>
      </c>
      <c r="B610" s="2" t="str">
        <f>IFERROR(__xludf.DUMMYFUNCTION("GOOGLETRANSLATE(A610, ""en"", ""mt"")"),"3,60")</f>
        <v>3,60</v>
      </c>
    </row>
    <row r="611" ht="15.75" customHeight="1">
      <c r="A611" s="2" t="s">
        <v>611</v>
      </c>
      <c r="B611" s="2" t="str">
        <f>IFERROR(__xludf.DUMMYFUNCTION("GOOGLETRANSLATE(A611, ""en"", ""mt"")"),"Amerikan t'Isfel")</f>
        <v>Amerikan t'Isfel</v>
      </c>
    </row>
    <row r="612" ht="15.75" customHeight="1">
      <c r="A612" s="2" t="s">
        <v>612</v>
      </c>
      <c r="B612" s="2" t="str">
        <f>IFERROR(__xludf.DUMMYFUNCTION("GOOGLETRANSLATE(A612, ""en"", ""mt"")"),"Liema linja ferrovjarja topera f'Melbourne?")</f>
        <v>Liema linja ferrovjarja topera f'Melbourne?</v>
      </c>
    </row>
    <row r="613" ht="15.75" customHeight="1">
      <c r="A613" s="2" t="s">
        <v>613</v>
      </c>
      <c r="B613" s="2" t="str">
        <f>IFERROR(__xludf.DUMMYFUNCTION("GOOGLETRANSLATE(A613, ""en"", ""mt"")"),"L-IPCC jikkonċentra l-attivitajiet tiegħu fuq il-kompiti allokati għalih mill-Kunsill Eżekuttiv tal-WMO rilevanti u l-UNEP li jirregola r-riżoluzzjonijiet u d-deċiżjonijiet tal-Kunsill kif ukoll fuq azzjonijiet b'appoġġ għall-proċess UNFCCC. Filwaqt li l-"&amp;"preparazzjoni tar-rapporti ta 'valutazzjoni hija funzjoni ewlenija tal-IPCC, hija tappoġġa wkoll attivitajiet oħra, bħaċ-Ċentru tad-Distribuzzjoni tad-Dejta u l-Programm Nazzjonali tal-Inventar tal-Gass serra, meħtieġa taħt l-UNFCCC. Dan jinvolvi l-pubbli"&amp;"kazzjoni ta 'fatturi ta' emissjoni ta 'inadempjenza, li huma fatturi użati biex jiġu derivati ​​stimi ta' emissjonijiet ibbażati fuq il-livelli ta 'konsum ta' fjuwil, produzzjoni industrijali u l-bqija.")</f>
        <v>L-IPCC jikkonċentra l-attivitajiet tiegħu fuq il-kompiti allokati għalih mill-Kunsill Eżekuttiv tal-WMO rilevanti u l-UNEP li jirregola r-riżoluzzjonijiet u d-deċiżjonijiet tal-Kunsill kif ukoll fuq azzjonijiet b'appoġġ għall-proċess UNFCCC. Filwaqt li l-preparazzjoni tar-rapporti ta 'valutazzjoni hija funzjoni ewlenija tal-IPCC, hija tappoġġa wkoll attivitajiet oħra, bħaċ-Ċentru tad-Distribuzzjoni tad-Dejta u l-Programm Nazzjonali tal-Inventar tal-Gass serra, meħtieġa taħt l-UNFCCC. Dan jinvolvi l-pubblikazzjoni ta 'fatturi ta' emissjoni ta 'inadempjenza, li huma fatturi użati biex jiġu derivati ​​stimi ta' emissjonijiet ibbażati fuq il-livelli ta 'konsum ta' fjuwil, produzzjoni industrijali u l-bqija.</v>
      </c>
    </row>
    <row r="614" ht="15.75" customHeight="1">
      <c r="A614" s="2" t="s">
        <v>614</v>
      </c>
      <c r="B614" s="2" t="str">
        <f>IFERROR(__xludf.DUMMYFUNCTION("GOOGLETRANSLATE(A614, ""en"", ""mt"")"),"Paċifiku t'Isfel")</f>
        <v>Paċifiku t'Isfel</v>
      </c>
    </row>
    <row r="615" ht="15.75" customHeight="1">
      <c r="A615" s="2" t="s">
        <v>615</v>
      </c>
      <c r="B615" s="2" t="str">
        <f>IFERROR(__xludf.DUMMYFUNCTION("GOOGLETRANSLATE(A615, ""en"", ""mt"")"),"Kemm iċ-ċelloli B kif ukoll iċ-ċelloli T iġorru molekuli tar-riċetturi li jirrikonoxxu miri speċifiċi. Iċ-ċelloli T jirrikonoxxu mira ""mhux self"", bħal patoġen, biss wara li l-antiġeni (frammenti żgħar tal-patoġen) ġew ipproċessati u ppreżentati flimkie"&amp;"n ma 'riċettur ""awto"" msejjaħ molekula ta' kumpless ta 'istokompatibilità maġġuri (MHC). Hemm żewġ sottotipi ewlenin ta 'ċelloli T: iċ-ċellula T qattiel u ċ-ċellula T helper. Barra minn hekk hemm ċelloli T regolatorji li għandhom rwol fil-modulazzjoni t"&amp;"ar-rispons immuni. Iċ-ċelloli T qattiel jirrikonoxxu biss antiġeni akkoppjati mal-molekuli MHC tal-klassi I, filwaqt li ċelloli T helper u ċelloli T regolatorji jirrikonoxxu biss antiġeni akkoppjati mal-molekuli tal-klassi II MHC. Dawn iż-żewġ mekkaniżmi "&amp;"ta 'preżentazzjoni ta' l-antiġen jirriflettu r-rwoli differenti taż-żewġ tipi ta 'ċelluli T. Terz, sottotip minuri huma ċ-ċelloli T γδ li jirrikonoxxu antiġeni intatti li mhumiex marbuta mar-riċetturi MHC.")</f>
        <v>Kemm iċ-ċelloli B kif ukoll iċ-ċelloli T iġorru molekuli tar-riċetturi li jirrikonoxxu miri speċifiċi. Iċ-ċelloli T jirrikonoxxu mira "mhux self", bħal patoġen, biss wara li l-antiġeni (frammenti żgħar tal-patoġen) ġew ipproċessati u ppreżentati flimkien ma 'riċettur "awto" msejjaħ molekula ta' kumpless ta 'istokompatibilità maġġuri (MHC). Hemm żewġ sottotipi ewlenin ta 'ċelloli T: iċ-ċellula T qattiel u ċ-ċellula T helper. Barra minn hekk hemm ċelloli T regolatorji li għandhom rwol fil-modulazzjoni tar-rispons immuni. Iċ-ċelloli T qattiel jirrikonoxxu biss antiġeni akkoppjati mal-molekuli MHC tal-klassi I, filwaqt li ċelloli T helper u ċelloli T regolatorji jirrikonoxxu biss antiġeni akkoppjati mal-molekuli tal-klassi II MHC. Dawn iż-żewġ mekkaniżmi ta 'preżentazzjoni ta' l-antiġen jirriflettu r-rwoli differenti taż-żewġ tipi ta 'ċelluli T. Terz, sottotip minuri huma ċ-ċelloli T γδ li jirrikonoxxu antiġeni intatti li mhumiex marbuta mar-riċetturi MHC.</v>
      </c>
    </row>
    <row r="616" ht="15.75" customHeight="1">
      <c r="A616" s="2" t="s">
        <v>616</v>
      </c>
      <c r="B616" s="2" t="str">
        <f>IFERROR(__xludf.DUMMYFUNCTION("GOOGLETRANSLATE(A616, ""en"", ""mt"")"),"Kemm gradi fin-Nofsinhar il-foresta tropikali tal-Amażonja laħqet minn 66-34 MYA?")</f>
        <v>Kemm gradi fin-Nofsinhar il-foresta tropikali tal-Amażonja laħqet minn 66-34 MYA?</v>
      </c>
    </row>
    <row r="617" ht="15.75" customHeight="1">
      <c r="A617" s="2" t="s">
        <v>617</v>
      </c>
      <c r="B617" s="2" t="str">
        <f>IFERROR(__xludf.DUMMYFUNCTION("GOOGLETRANSLATE(A617, ""en"", ""mt"")"),"Ċittadin jista 'jistrieħ fuq id-direttiva f'tali azzjoni (hekk imsejjaħ effett dirett ""vertikali"")")</f>
        <v>Ċittadin jista 'jistrieħ fuq id-direttiva f'tali azzjoni (hekk imsejjaħ effett dirett "vertikali")</v>
      </c>
    </row>
    <row r="618" ht="15.75" customHeight="1">
      <c r="A618" s="2" t="s">
        <v>618</v>
      </c>
      <c r="B618" s="2" t="str">
        <f>IFERROR(__xludf.DUMMYFUNCTION("GOOGLETRANSLATE(A618, ""en"", ""mt"")"),"infurmaw lil Céloron li huma kellhom il-pajjiż ta 'Ohio u li kienu se jinnegozjaw mal-Ingliżi irrispettivament mill-Franċiżi")</f>
        <v>infurmaw lil Céloron li huma kellhom il-pajjiż ta 'Ohio u li kienu se jinnegozjaw mal-Ingliżi irrispettivament mill-Franċiżi</v>
      </c>
    </row>
    <row r="619" ht="15.75" customHeight="1">
      <c r="A619" s="2" t="s">
        <v>619</v>
      </c>
      <c r="B619" s="2" t="str">
        <f>IFERROR(__xludf.DUMMYFUNCTION("GOOGLETRANSLATE(A619, ""en"", ""mt"")"),"Fertilizzazzjoni interna u żomm il-bajd fil-kmamar tan-nixxiegħa sakemm ifaqqsu.")</f>
        <v>Fertilizzazzjoni interna u żomm il-bajd fil-kmamar tan-nixxiegħa sakemm ifaqqsu.</v>
      </c>
    </row>
    <row r="620" ht="15.75" customHeight="1">
      <c r="A620" s="2" t="s">
        <v>620</v>
      </c>
      <c r="B620" s="2" t="str">
        <f>IFERROR(__xludf.DUMMYFUNCTION("GOOGLETRANSLATE(A620, ""en"", ""mt"")"),"X'inhi t-tul tas-sena akkademika ta 'Harvard?")</f>
        <v>X'inhi t-tul tas-sena akkademika ta 'Harvard?</v>
      </c>
    </row>
    <row r="621" ht="15.75" customHeight="1">
      <c r="A621" s="2" t="s">
        <v>621</v>
      </c>
      <c r="B621" s="2" t="str">
        <f>IFERROR(__xludf.DUMMYFUNCTION("GOOGLETRANSLATE(A621, ""en"", ""mt"")"),"X'jagħmlu r-rosettes ciliary biex jibnu bl-ingrossa u jżidu d-densità?")</f>
        <v>X'jagħmlu r-rosettes ciliary biex jibnu bl-ingrossa u jżidu d-densità?</v>
      </c>
    </row>
    <row r="622" ht="15.75" customHeight="1">
      <c r="A622" s="2" t="s">
        <v>622</v>
      </c>
      <c r="B622" s="2" t="str">
        <f>IFERROR(__xludf.DUMMYFUNCTION("GOOGLETRANSLATE(A622, ""en"", ""mt"")"),"Diviżjonijiet politiċi storiċi")</f>
        <v>Diviżjonijiet politiċi storiċi</v>
      </c>
    </row>
    <row r="623" ht="15.75" customHeight="1">
      <c r="A623" s="2" t="s">
        <v>623</v>
      </c>
      <c r="B623" s="2" t="str">
        <f>IFERROR(__xludf.DUMMYFUNCTION("GOOGLETRANSLATE(A623, ""en"", ""mt"")"),"Mejju 2000")</f>
        <v>Mejju 2000</v>
      </c>
    </row>
    <row r="624" ht="15.75" customHeight="1">
      <c r="A624" s="2" t="s">
        <v>624</v>
      </c>
      <c r="B624" s="2" t="str">
        <f>IFERROR(__xludf.DUMMYFUNCTION("GOOGLETRANSLATE(A624, ""en"", ""mt"")"),"Essenzjali")</f>
        <v>Essenzjali</v>
      </c>
    </row>
    <row r="625" ht="15.75" customHeight="1">
      <c r="A625" s="2" t="s">
        <v>625</v>
      </c>
      <c r="B625" s="2" t="str">
        <f>IFERROR(__xludf.DUMMYFUNCTION("GOOGLETRANSLATE(A625, ""en"", ""mt"")"),"Storikament, il-forzi ġew investigati l-ewwel kwantitattivament f'kundizzjonijiet ta 'bilanċ statiku fejn diversi forzi kkanċellaw lil xulxin. Esperimenti bħal dawn juru l-proprjetajiet kruċjali li l-forzi huma kwantitajiet ta 'vettur addittivi: għandhom "&amp;"kobor u direzzjoni. Meta żewġ forzi jaġixxu fuq partikula punt, il-forza li tirriżulta, li tirriżulta (tissejjaħ ukoll il-forza netta), tista 'tiġi ddeterminata billi ssegwi r-regola parallelogramma ta' vettur miżjud: iż-żieda ta 'żewġ vettori rappreżenta"&amp;"ti minn naħat ta' parallelogramma, tagħti ekwivalenti vettur li jirriżulta li huwa ugwali fil-kobor u d-direzzjoni għat-trasversali tal-parallelogramma. Il-kobor tar-riżultanti jvarja mid-differenza tal-kobor taż-żewġ forzi għas-somma tagħhom, skont l-ang"&amp;"olu bejn il-linji ta 'azzjoni tagħhom. Madankollu, jekk il-forzi qed jaġixxu fuq korp estiż, il-linji ta 'applikazzjoni rispettivi tagħhom għandhom jiġu speċifikati wkoll sabiex jiġu kkunsidrati l-effetti tagħhom fuq il-moviment tal-ġisem.")</f>
        <v>Storikament, il-forzi ġew investigati l-ewwel kwantitattivament f'kundizzjonijiet ta 'bilanċ statiku fejn diversi forzi kkanċellaw lil xulxin. Esperimenti bħal dawn juru l-proprjetajiet kruċjali li l-forzi huma kwantitajiet ta 'vettur addittivi: għandhom kobor u direzzjoni. Meta żewġ forzi jaġixxu fuq partikula punt, il-forza li tirriżulta, li tirriżulta (tissejjaħ ukoll il-forza netta), tista 'tiġi ddeterminata billi ssegwi r-regola parallelogramma ta' vettur miżjud: iż-żieda ta 'żewġ vettori rappreżentati minn naħat ta' parallelogramma, tagħti ekwivalenti vettur li jirriżulta li huwa ugwali fil-kobor u d-direzzjoni għat-trasversali tal-parallelogramma. Il-kobor tar-riżultanti jvarja mid-differenza tal-kobor taż-żewġ forzi għas-somma tagħhom, skont l-angolu bejn il-linji ta 'azzjoni tagħhom. Madankollu, jekk il-forzi qed jaġixxu fuq korp estiż, il-linji ta 'applikazzjoni rispettivi tagħhom għandhom jiġu speċifikati wkoll sabiex jiġu kkunsidrati l-effetti tagħhom fuq il-moviment tal-ġisem.</v>
      </c>
    </row>
    <row r="626" ht="15.75" customHeight="1">
      <c r="A626" s="2" t="s">
        <v>626</v>
      </c>
      <c r="B626" s="2" t="str">
        <f>IFERROR(__xludf.DUMMYFUNCTION("GOOGLETRANSLATE(A626, ""en"", ""mt"")"),"Liema suċċess Abercrombie kiseb mit-telfa f'Carillon?")</f>
        <v>Liema suċċess Abercrombie kiseb mit-telfa f'Carillon?</v>
      </c>
    </row>
    <row r="627" ht="15.75" customHeight="1">
      <c r="A627" s="2" t="s">
        <v>627</v>
      </c>
      <c r="B627" s="2" t="str">
        <f>IFERROR(__xludf.DUMMYFUNCTION("GOOGLETRANSLATE(A627, ""en"", ""mt"")"),"Ajruport ta 'Van Nuys")</f>
        <v>Ajruport ta 'Van Nuys</v>
      </c>
    </row>
    <row r="628" ht="15.75" customHeight="1">
      <c r="A628" s="2" t="s">
        <v>628</v>
      </c>
      <c r="B628" s="2" t="str">
        <f>IFERROR(__xludf.DUMMYFUNCTION("GOOGLETRANSLATE(A628, ""en"", ""mt"")"),"1817")</f>
        <v>1817</v>
      </c>
    </row>
    <row r="629" ht="15.75" customHeight="1">
      <c r="A629" s="2" t="s">
        <v>629</v>
      </c>
      <c r="B629" s="2" t="str">
        <f>IFERROR(__xludf.DUMMYFUNCTION("GOOGLETRANSLATE(A629, ""en"", ""mt"")"),"Ilma tal-għalf tal-bojler bi pressjoni baxxa")</f>
        <v>Ilma tal-għalf tal-bojler bi pressjoni baxxa</v>
      </c>
    </row>
    <row r="630" ht="15.75" customHeight="1">
      <c r="A630" s="2" t="s">
        <v>630</v>
      </c>
      <c r="B630" s="2" t="str">
        <f>IFERROR(__xludf.DUMMYFUNCTION("GOOGLETRANSLATE(A630, ""en"", ""mt"")"),"Liema organizzazzjoni hija ddedikata għall-jihad kontra l-Iżrael?")</f>
        <v>Liema organizzazzjoni hija ddedikata għall-jihad kontra l-Iżrael?</v>
      </c>
    </row>
    <row r="631" ht="15.75" customHeight="1">
      <c r="A631" s="2" t="s">
        <v>631</v>
      </c>
      <c r="B631" s="2" t="str">
        <f>IFERROR(__xludf.DUMMYFUNCTION("GOOGLETRANSLATE(A631, ""en"", ""mt"")"),"spins antiparallel")</f>
        <v>spins antiparallel</v>
      </c>
    </row>
    <row r="632" ht="15.75" customHeight="1">
      <c r="A632" s="2" t="s">
        <v>632</v>
      </c>
      <c r="B632" s="2" t="str">
        <f>IFERROR(__xludf.DUMMYFUNCTION("GOOGLETRANSLATE(A632, ""en"", ""mt"")"),"Tagħlim tar-Rote")</f>
        <v>Tagħlim tar-Rote</v>
      </c>
    </row>
    <row r="633" ht="15.75" customHeight="1">
      <c r="A633" s="2" t="s">
        <v>633</v>
      </c>
      <c r="B633" s="2" t="str">
        <f>IFERROR(__xludf.DUMMYFUNCTION("GOOGLETRANSLATE(A633, ""en"", ""mt"")"),"simboli")</f>
        <v>simboli</v>
      </c>
    </row>
    <row r="634" ht="15.75" customHeight="1">
      <c r="A634" s="2" t="s">
        <v>634</v>
      </c>
      <c r="B634" s="2" t="str">
        <f>IFERROR(__xludf.DUMMYFUNCTION("GOOGLETRANSLATE(A634, ""en"", ""mt"")"),"Jacksonville jinsab fl-ewwel reġjun tal-kosta tal-Grigal ta ’Florida u huwa ċċentrat fuq il-banek tax-Xmara San Ġwann, madwar 25 mil (40 km) fin-nofsinhar tal-linja tal-istat tal-Ġeorġja u madwar 340 mil (550 km) fit-tramuntana ta’ Miami. Il-komunitajiet "&amp;"tal-bajjiet ta 'Jacksonville huma tul il-kosta ta' l-Atlantiku li jmissu magħhom. Iż-żona kienet oriġinarjament abitata mill-poplu ta 'Timucua, u fl-1564 kien is-sit tal-kolonja Franċiża ta' Fort Caroline, wieħed mill-ewwel insedjamenti Ewropej f'dak li i"&amp;"ssa huwa l-Istati Uniti kontinentali. Taħt il-ħakma Ingliża, is-soluzzjoni kibret fil-punt dejjaq fix-xmara fejn il-baqar qasmu, magħrufa bħala Wacca Pilatka għas-Seminole u l-baqra Ford lill-Ingliżi. Ġiet stabbilita belt imqabbda hemmhekk fl-1822, sena w"&amp;"ara li l-Istati Uniti kisbu Florida minn Spanja; Ġie msemmi wara Andrew Jackson, l-ewwel gvernatur militari tat-Territorju ta ’Florida u s-Seba’ President tal-Istati Uniti.")</f>
        <v>Jacksonville jinsab fl-ewwel reġjun tal-kosta tal-Grigal ta ’Florida u huwa ċċentrat fuq il-banek tax-Xmara San Ġwann, madwar 25 mil (40 km) fin-nofsinhar tal-linja tal-istat tal-Ġeorġja u madwar 340 mil (550 km) fit-tramuntana ta’ Miami. Il-komunitajiet tal-bajjiet ta 'Jacksonville huma tul il-kosta ta' l-Atlantiku li jmissu magħhom. Iż-żona kienet oriġinarjament abitata mill-poplu ta 'Timucua, u fl-1564 kien is-sit tal-kolonja Franċiża ta' Fort Caroline, wieħed mill-ewwel insedjamenti Ewropej f'dak li issa huwa l-Istati Uniti kontinentali. Taħt il-ħakma Ingliża, is-soluzzjoni kibret fil-punt dejjaq fix-xmara fejn il-baqar qasmu, magħrufa bħala Wacca Pilatka għas-Seminole u l-baqra Ford lill-Ingliżi. Ġiet stabbilita belt imqabbda hemmhekk fl-1822, sena wara li l-Istati Uniti kisbu Florida minn Spanja; Ġie msemmi wara Andrew Jackson, l-ewwel gvernatur militari tat-Territorju ta ’Florida u s-Seba’ President tal-Istati Uniti.</v>
      </c>
    </row>
    <row r="635" ht="15.75" customHeight="1">
      <c r="A635" s="2" t="s">
        <v>635</v>
      </c>
      <c r="B635" s="2" t="str">
        <f>IFERROR(__xludf.DUMMYFUNCTION("GOOGLETRANSLATE(A635, ""en"", ""mt"")"),"Staġun 1965–66")</f>
        <v>Staġun 1965–66</v>
      </c>
    </row>
    <row r="636" ht="15.75" customHeight="1">
      <c r="A636" s="2" t="s">
        <v>636</v>
      </c>
      <c r="B636" s="2" t="str">
        <f>IFERROR(__xludf.DUMMYFUNCTION("GOOGLETRANSLATE(A636, ""en"", ""mt"")"),"li jibqa 'bl-iswed u bl-abjad,")</f>
        <v>li jibqa 'bl-iswed u bl-abjad,</v>
      </c>
    </row>
    <row r="637" ht="15.75" customHeight="1">
      <c r="A637" s="2" t="s">
        <v>637</v>
      </c>
      <c r="B637" s="2" t="str">
        <f>IFERROR(__xludf.DUMMYFUNCTION("GOOGLETRANSLATE(A637, ""en"", ""mt"")"),"estiż")</f>
        <v>estiż</v>
      </c>
    </row>
    <row r="638" ht="15.75" customHeight="1">
      <c r="A638" s="2" t="s">
        <v>638</v>
      </c>
      <c r="B638" s="2" t="str">
        <f>IFERROR(__xludf.DUMMYFUNCTION("GOOGLETRANSLATE(A638, ""en"", ""mt"")"),"Fil-granuli misjuba fl-ispazju tal-periplastid")</f>
        <v>Fil-granuli misjuba fl-ispazju tal-periplastid</v>
      </c>
    </row>
    <row r="639" ht="15.75" customHeight="1">
      <c r="A639" s="2" t="s">
        <v>639</v>
      </c>
      <c r="B639" s="2" t="str">
        <f>IFERROR(__xludf.DUMMYFUNCTION("GOOGLETRANSLATE(A639, ""en"", ""mt"")"),"Il-ħolqien ta 'stati moderni tal-Balkani u tal-Lvant Nofsani")</f>
        <v>Il-ħolqien ta 'stati moderni tal-Balkani u tal-Lvant Nofsani</v>
      </c>
    </row>
    <row r="640" ht="15.75" customHeight="1">
      <c r="A640" s="2" t="s">
        <v>640</v>
      </c>
      <c r="B640" s="2" t="str">
        <f>IFERROR(__xludf.DUMMYFUNCTION("GOOGLETRANSLATE(A640, ""en"", ""mt"")"),"Xi jagħmlu xi spiżeriji tal-komunità?")</f>
        <v>Xi jagħmlu xi spiżeriji tal-komunità?</v>
      </c>
    </row>
    <row r="641" ht="15.75" customHeight="1">
      <c r="A641" s="2" t="s">
        <v>641</v>
      </c>
      <c r="B641" s="2" t="str">
        <f>IFERROR(__xludf.DUMMYFUNCTION("GOOGLETRANSLATE(A641, ""en"", ""mt"")"),"Ftit ħin biss")</f>
        <v>Ftit ħin biss</v>
      </c>
    </row>
    <row r="642" ht="15.75" customHeight="1">
      <c r="A642" s="2" t="s">
        <v>642</v>
      </c>
      <c r="B642" s="2" t="str">
        <f>IFERROR(__xludf.DUMMYFUNCTION("GOOGLETRANSLATE(A642, ""en"", ""mt"")"),"eluf ta ’snin")</f>
        <v>eluf ta ’snin</v>
      </c>
    </row>
    <row r="643" ht="15.75" customHeight="1">
      <c r="A643" s="2" t="s">
        <v>643</v>
      </c>
      <c r="B643" s="2" t="str">
        <f>IFERROR(__xludf.DUMMYFUNCTION("GOOGLETRANSLATE(A643, ""en"", ""mt"")"),"Logo taċ-Ċirku")</f>
        <v>Logo taċ-Ċirku</v>
      </c>
    </row>
    <row r="644" ht="15.75" customHeight="1">
      <c r="A644" s="2" t="s">
        <v>644</v>
      </c>
      <c r="B644" s="2" t="str">
        <f>IFERROR(__xludf.DUMMYFUNCTION("GOOGLETRANSLATE(A644, ""en"", ""mt"")"),"Magma")</f>
        <v>Magma</v>
      </c>
    </row>
    <row r="645" ht="15.75" customHeight="1">
      <c r="A645" s="2" t="s">
        <v>645</v>
      </c>
      <c r="B645" s="2" t="str">
        <f>IFERROR(__xludf.DUMMYFUNCTION("GOOGLETRANSLATE(A645, ""en"", ""mt"")"),"Mill-2010 [aġġornament], kien hemm 366,273 djar li minnhom 11.8% kienu vakanti. 23.9% tad-djar kellhom tfal taħt it-18-il sena li jgħixu magħhom, 43.8% kienu koppji miżżewġin, 15.2% kellhom familja femminili mingħajr l-ebda raġel preżenti, u 36.4% ma kinu"&amp;"x familji. 29.7% tad-djar kollha kienu magħmula minn individwi u 7.9% kellhom lil xi ħadd li jgħix waħdu li kellu 65 sena jew aktar. Id-daqs medju tad-dar kien 2.55 u d-daqs medju tal-familja kien 3.21. Fil-belt, il-popolazzjoni kienet mifruxa bi 23.9% ta"&amp;"ħt l-età ta '18, 10.5% minn 18 sa 24, 28.5% minn 25 għal 44, 26.2% minn 45 għal 64, u 10.9% li kellhom 65 sena jew aktar - L-età medjana kienet ta ’35 .5 snin. Għal kull 100 mara kien hemm 94.1 irġiel. Għal kull 100 mara ta '18 -il sena 'l fuq, kien hemm "&amp;"91.3 irġiel.")</f>
        <v>Mill-2010 [aġġornament], kien hemm 366,273 djar li minnhom 11.8% kienu vakanti. 23.9% tad-djar kellhom tfal taħt it-18-il sena li jgħixu magħhom, 43.8% kienu koppji miżżewġin, 15.2% kellhom familja femminili mingħajr l-ebda raġel preżenti, u 36.4% ma kinux familji. 29.7% tad-djar kollha kienu magħmula minn individwi u 7.9% kellhom lil xi ħadd li jgħix waħdu li kellu 65 sena jew aktar. Id-daqs medju tad-dar kien 2.55 u d-daqs medju tal-familja kien 3.21. Fil-belt, il-popolazzjoni kienet mifruxa bi 23.9% taħt l-età ta '18, 10.5% minn 18 sa 24, 28.5% minn 25 għal 44, 26.2% minn 45 għal 64, u 10.9% li kellhom 65 sena jew aktar - L-età medjana kienet ta ’35 .5 snin. Għal kull 100 mara kien hemm 94.1 irġiel. Għal kull 100 mara ta '18 -il sena 'l fuq, kien hemm 91.3 irġiel.</v>
      </c>
    </row>
    <row r="646" ht="15.75" customHeight="1">
      <c r="A646" s="2" t="s">
        <v>646</v>
      </c>
      <c r="B646" s="2" t="str">
        <f>IFERROR(__xludf.DUMMYFUNCTION("GOOGLETRANSLATE(A646, ""en"", ""mt"")"),"Meta ġiet brevettata l-mutur innovattiv ta 'Tesla?")</f>
        <v>Meta ġiet brevettata l-mutur innovattiv ta 'Tesla?</v>
      </c>
    </row>
    <row r="647" ht="15.75" customHeight="1">
      <c r="A647" s="2" t="s">
        <v>647</v>
      </c>
      <c r="B647" s="2" t="str">
        <f>IFERROR(__xludf.DUMMYFUNCTION("GOOGLETRANSLATE(A647, ""en"", ""mt"")"),"ħafna ogħla")</f>
        <v>ħafna ogħla</v>
      </c>
    </row>
    <row r="648" ht="15.75" customHeight="1">
      <c r="A648" s="2" t="s">
        <v>648</v>
      </c>
      <c r="B648" s="2" t="str">
        <f>IFERROR(__xludf.DUMMYFUNCTION("GOOGLETRANSLATE(A648, ""en"", ""mt"")"),"Iż-żona tal-belt moderna ta 'Jacksonville ilha abitata għal eluf ta' snin. Fuq l-Iswed tal-Gżira Hammock fil-Preserva Nazzjonali Ekoloġika u Storika ta ’Timucuan, tim tal-Università ta’ Florida tat-Tramuntana skopra wħud mill-eqdem fdalijiet tal-fuħħar fl"&amp;"-Istati Uniti, li jmorru għall-2500 QK. Fis-seklu 16, il-bidu tal-era storika, ir-reġjun kien abitat mill-Mocama, sottogrupp kostali tal-poplu ta 'Timucua. Fil-ħin tal-kuntatt mal-Ewropej, l-irħula kollha tal-Mocama fil-preżent Jacksonville kienu parti mi"&amp;"ll-kapna qawwija magħrufa bħala s-Saturawa, iċċentrata madwar il-bokka tax-Xmara San Ġwann. Mappa bikrija turi raħal imsejjaħ Ossachite fis-sit ta 'dak li issa huwa d-downtown ta' Jacksonville; Dan jista 'jkun l-ewwel isem irreġistrat għal dik iż-żona.")</f>
        <v>Iż-żona tal-belt moderna ta 'Jacksonville ilha abitata għal eluf ta' snin. Fuq l-Iswed tal-Gżira Hammock fil-Preserva Nazzjonali Ekoloġika u Storika ta ’Timucuan, tim tal-Università ta’ Florida tat-Tramuntana skopra wħud mill-eqdem fdalijiet tal-fuħħar fl-Istati Uniti, li jmorru għall-2500 QK. Fis-seklu 16, il-bidu tal-era storika, ir-reġjun kien abitat mill-Mocama, sottogrupp kostali tal-poplu ta 'Timucua. Fil-ħin tal-kuntatt mal-Ewropej, l-irħula kollha tal-Mocama fil-preżent Jacksonville kienu parti mill-kapna qawwija magħrufa bħala s-Saturawa, iċċentrata madwar il-bokka tax-Xmara San Ġwann. Mappa bikrija turi raħal imsejjaħ Ossachite fis-sit ta 'dak li issa huwa d-downtown ta' Jacksonville; Dan jista 'jkun l-ewwel isem irreġistrat għal dik iż-żona.</v>
      </c>
    </row>
    <row r="649" ht="15.75" customHeight="1">
      <c r="A649" s="2" t="s">
        <v>649</v>
      </c>
      <c r="B649" s="2" t="str">
        <f>IFERROR(__xludf.DUMMYFUNCTION("GOOGLETRANSLATE(A649, ""en"", ""mt"")"),"Meta nbena l-Katidral ta ’San Ġwann?")</f>
        <v>Meta nbena l-Katidral ta ’San Ġwann?</v>
      </c>
    </row>
    <row r="650" ht="15.75" customHeight="1">
      <c r="A650" s="2" t="s">
        <v>650</v>
      </c>
      <c r="B650" s="2" t="str">
        <f>IFERROR(__xludf.DUMMYFUNCTION("GOOGLETRANSLATE(A650, ""en"", ""mt"")"),"Min għex f’siġra biex ma jħallixha tinqata ’bħala forma ta’ diżubbidjenza ċivili?")</f>
        <v>Min għex f’siġra biex ma jħallixha tinqata ’bħala forma ta’ diżubbidjenza ċivili?</v>
      </c>
    </row>
    <row r="651" ht="15.75" customHeight="1">
      <c r="A651" s="2" t="s">
        <v>651</v>
      </c>
      <c r="B651" s="2" t="str">
        <f>IFERROR(__xludf.DUMMYFUNCTION("GOOGLETRANSLATE(A651, ""en"", ""mt"")"),"Rhine-kilometri """)</f>
        <v>Rhine-kilometri "</v>
      </c>
    </row>
    <row r="652" ht="15.75" customHeight="1">
      <c r="A652" s="2" t="s">
        <v>652</v>
      </c>
      <c r="B652" s="2" t="str">
        <f>IFERROR(__xludf.DUMMYFUNCTION("GOOGLETRANSLATE(A652, ""en"", ""mt"")"),"Mattew 5: 38-39")</f>
        <v>Mattew 5: 38-39</v>
      </c>
    </row>
    <row r="653" ht="15.75" customHeight="1">
      <c r="A653" s="2" t="s">
        <v>653</v>
      </c>
      <c r="B653" s="2" t="str">
        <f>IFERROR(__xludf.DUMMYFUNCTION("GOOGLETRANSLATE(A653, ""en"", ""mt"")"),"Numru kemmxejn ikbar")</f>
        <v>Numru kemmxejn ikbar</v>
      </c>
    </row>
    <row r="654" ht="15.75" customHeight="1">
      <c r="A654" s="2" t="s">
        <v>654</v>
      </c>
      <c r="B654" s="2" t="str">
        <f>IFERROR(__xludf.DUMMYFUNCTION("GOOGLETRANSLATE(A654, ""en"", ""mt"")"),"Mark I Tip 40 TARDIS")</f>
        <v>Mark I Tip 40 TARDIS</v>
      </c>
    </row>
    <row r="655" ht="15.75" customHeight="1">
      <c r="A655" s="2" t="s">
        <v>655</v>
      </c>
      <c r="B655" s="2" t="str">
        <f>IFERROR(__xludf.DUMMYFUNCTION("GOOGLETRANSLATE(A655, ""en"", ""mt"")"),"tiffoka l-attenzjoni fuq it-theddida tal-kastig u mhux ir-raġunijiet morali biex issegwi din il-liġi")</f>
        <v>tiffoka l-attenzjoni fuq it-theddida tal-kastig u mhux ir-raġunijiet morali biex issegwi din il-liġi</v>
      </c>
    </row>
    <row r="656" ht="15.75" customHeight="1">
      <c r="A656" s="2" t="s">
        <v>656</v>
      </c>
      <c r="B656" s="2" t="str">
        <f>IFERROR(__xludf.DUMMYFUNCTION("GOOGLETRANSLATE(A656, ""en"", ""mt"")"),"Min kienet l-omm adottata ta 'Bill Aiken?")</f>
        <v>Min kienet l-omm adottata ta 'Bill Aiken?</v>
      </c>
    </row>
    <row r="657" ht="15.75" customHeight="1">
      <c r="A657" s="2" t="s">
        <v>657</v>
      </c>
      <c r="B657" s="2" t="str">
        <f>IFERROR(__xludf.DUMMYFUNCTION("GOOGLETRANSLATE(A657, ""en"", ""mt"")"),"Luther x’sejjaħ il-ħobż u l-inbid ikkonsagrati?")</f>
        <v>Luther x’sejjaħ il-ħobż u l-inbid ikkonsagrati?</v>
      </c>
    </row>
    <row r="658" ht="15.75" customHeight="1">
      <c r="A658" s="2" t="s">
        <v>658</v>
      </c>
      <c r="B658" s="2" t="str">
        <f>IFERROR(__xludf.DUMMYFUNCTION("GOOGLETRANSLATE(A658, ""en"", ""mt"")"),"1234")</f>
        <v>1234</v>
      </c>
    </row>
    <row r="659" ht="15.75" customHeight="1">
      <c r="A659" s="2" t="s">
        <v>659</v>
      </c>
      <c r="B659" s="2" t="str">
        <f>IFERROR(__xludf.DUMMYFUNCTION("GOOGLETRANSLATE(A659, ""en"", ""mt"")"),"X'inhu l-Kastell Irjali l-iktar eżempju interessanti ta '?")</f>
        <v>X'inhu l-Kastell Irjali l-iktar eżempju interessanti ta '?</v>
      </c>
    </row>
    <row r="660" ht="15.75" customHeight="1">
      <c r="A660" s="2" t="s">
        <v>660</v>
      </c>
      <c r="B660" s="2" t="str">
        <f>IFERROR(__xludf.DUMMYFUNCTION("GOOGLETRANSLATE(A660, ""en"", ""mt"")"),"Creon, ir-re attwali ta 'Thebes, li qed jipprova jwaqqafha milli tagħti lil ħuha Polynices dfin xieraq")</f>
        <v>Creon, ir-re attwali ta 'Thebes, li qed jipprova jwaqqafha milli tagħti lil ħuha Polynices dfin xieraq</v>
      </c>
    </row>
    <row r="661" ht="15.75" customHeight="1">
      <c r="A661" s="2" t="s">
        <v>661</v>
      </c>
      <c r="B661" s="2" t="str">
        <f>IFERROR(__xludf.DUMMYFUNCTION("GOOGLETRANSLATE(A661, ""en"", ""mt"")"),"Min kien ir-rusher ewlieni tal-Broncos għall-istaġun 2015?")</f>
        <v>Min kien ir-rusher ewlieni tal-Broncos għall-istaġun 2015?</v>
      </c>
    </row>
    <row r="662" ht="15.75" customHeight="1">
      <c r="A662" s="2" t="s">
        <v>662</v>
      </c>
      <c r="B662" s="2" t="str">
        <f>IFERROR(__xludf.DUMMYFUNCTION("GOOGLETRANSLATE(A662, ""en"", ""mt"")"),"Ctenophores, cnidarians u liema grupp ieħor huma ttikkettjati diplobastic?")</f>
        <v>Ctenophores, cnidarians u liema grupp ieħor huma ttikkettjati diplobastic?</v>
      </c>
    </row>
    <row r="663" ht="15.75" customHeight="1">
      <c r="A663" s="2" t="s">
        <v>663</v>
      </c>
      <c r="B663" s="2" t="str">
        <f>IFERROR(__xludf.DUMMYFUNCTION("GOOGLETRANSLATE(A663, ""en"", ""mt"")"),"Marquis de la Jonquière")</f>
        <v>Marquis de la Jonquière</v>
      </c>
    </row>
    <row r="664" ht="15.75" customHeight="1">
      <c r="A664" s="2" t="s">
        <v>664</v>
      </c>
      <c r="B664" s="2" t="str">
        <f>IFERROR(__xludf.DUMMYFUNCTION("GOOGLETRANSLATE(A664, ""en"", ""mt"")"),"arbitrarju")</f>
        <v>arbitrarju</v>
      </c>
    </row>
    <row r="665" ht="15.75" customHeight="1">
      <c r="A665" s="2" t="s">
        <v>665</v>
      </c>
      <c r="B665" s="2" t="str">
        <f>IFERROR(__xludf.DUMMYFUNCTION("GOOGLETRANSLATE(A665, ""en"", ""mt"")"),"Fergħa Ġudizzjarja")</f>
        <v>Fergħa Ġudizzjarja</v>
      </c>
    </row>
    <row r="666" ht="15.75" customHeight="1">
      <c r="A666" s="2" t="s">
        <v>666</v>
      </c>
      <c r="B666" s="2" t="str">
        <f>IFERROR(__xludf.DUMMYFUNCTION("GOOGLETRANSLATE(A666, ""en"", ""mt"")"),"Meta l-Gran Brittanja tilfet il-kolonji tagħha fl-Amerika ta ’Fuq?")</f>
        <v>Meta l-Gran Brittanja tilfet il-kolonji tagħha fl-Amerika ta ’Fuq?</v>
      </c>
    </row>
    <row r="667" ht="15.75" customHeight="1">
      <c r="A667" s="2" t="s">
        <v>667</v>
      </c>
      <c r="B667" s="2" t="str">
        <f>IFERROR(__xludf.DUMMYFUNCTION("GOOGLETRANSLATE(A667, ""en"", ""mt"")"),"Fis-17 ta 'Diċembru 1941, seba' konfederazzjonijiet tal-Knisja Reġjonali Protestanti ħarġu dikjarazzjoni li taqbel mal-politika li ġiegħel lill-Lhud jilbsu l-badge isfar, ""peress li wara l-esperjenza morra tiegħu Luther kien diġà ssuġġerixxa miżuri preve"&amp;"ntivi kontra l-Lhud u t-tkeċċija tagħhom mit-territorju Ġermaniż."" Skond Daniel Goldhagen, l-Isqof Martin Sasse, knisja ewlenija Protestanti, ippubblika kompendju tal-kitbiet ta 'Luther ftit wara Kristallnacht, li għalih Diarmaid Macculloch, professur ta"&amp;"l-istorja tal-knisja fl-Università ta' Oxford argumenta li l-kitba ta 'Luther kienet ""blueprint. "" Sasse faħħar il-ħruq tas-sinagogi u l-koinċidenza tal-ġurnata, kitbet fl-introduzzjoni, ""Fl-10 ta 'Novembru 1938, f'għeluq Luther, is-sinagogi qed jaħarq"&amp;"u fil-Ġermanja."" Il-poplu Ġermaniż, huwa ħeġġeġ, kellu jagħti kas dawn il-kliem ""tal-ikbar antisemit ta 'żmienu, il-Warner tal-poplu tiegħu kontra l-Lhud.""")</f>
        <v>Fis-17 ta 'Diċembru 1941, seba' konfederazzjonijiet tal-Knisja Reġjonali Protestanti ħarġu dikjarazzjoni li taqbel mal-politika li ġiegħel lill-Lhud jilbsu l-badge isfar, "peress li wara l-esperjenza morra tiegħu Luther kien diġà ssuġġerixxa miżuri preventivi kontra l-Lhud u t-tkeċċija tagħhom mit-territorju Ġermaniż." Skond Daniel Goldhagen, l-Isqof Martin Sasse, knisja ewlenija Protestanti, ippubblika kompendju tal-kitbiet ta 'Luther ftit wara Kristallnacht, li għalih Diarmaid Macculloch, professur tal-istorja tal-knisja fl-Università ta' Oxford argumenta li l-kitba ta 'Luther kienet "blueprint. " Sasse faħħar il-ħruq tas-sinagogi u l-koinċidenza tal-ġurnata, kitbet fl-introduzzjoni, "Fl-10 ta 'Novembru 1938, f'għeluq Luther, is-sinagogi qed jaħarqu fil-Ġermanja." Il-poplu Ġermaniż, huwa ħeġġeġ, kellu jagħti kas dawn il-kliem "tal-ikbar antisemit ta 'żmienu, il-Warner tal-poplu tiegħu kontra l-Lhud."</v>
      </c>
    </row>
    <row r="668" ht="15.75" customHeight="1">
      <c r="A668" s="2" t="s">
        <v>668</v>
      </c>
      <c r="B668" s="2" t="str">
        <f>IFERROR(__xludf.DUMMYFUNCTION("GOOGLETRANSLATE(A668, ""en"", ""mt"")"),"Wieħed mit-teżori l-kbar fil-librerija huwa l-Codex Forster, uħud mill-kotba tan-nota ta 'Leonardo da Vinci. Il-Codex jikkonsisti fi tliet manuskritti marbuta mal-parċmina, Forster I, Forster II, u Forster III, daqs pjuttost żgħir, datat bejn l-1490 u l-1"&amp;"505. Il-kontenut tagħhom jinkludi kollezzjoni kbira ta 'skeċċijiet u referenzi għall-iskultura ekwestri kkummissjonata mid-Duka ta' Milan Ludovico Sforza biex ifakkar lil missieru Francesco Sforza. Dawn kienu megħluba b'aktar minn 18,000 kotba għall-mużew"&amp;" fl-1876 minn John Forster. Ir-Reverendju Alexander Dyce kien benefattur ieħor tal-librerija, u ħalla aktar minn 14,000 kotba lill-mużew fl-1869. Fost il-kotba li ġabar hemm edizzjonijiet bikrija bil-Grieg u l-Latin tal-poeti u d-drammaturi Eschylus, Aris"&amp;"totle, Homer, Livy, Ovidju, Pindar, Sophocles u Virgil. Awturi aktar riċenti jinkludu Giovanni Boccaccio, Dante, Racine, Rabelais u Molière.")</f>
        <v>Wieħed mit-teżori l-kbar fil-librerija huwa l-Codex Forster, uħud mill-kotba tan-nota ta 'Leonardo da Vinci. Il-Codex jikkonsisti fi tliet manuskritti marbuta mal-parċmina, Forster I, Forster II, u Forster III, daqs pjuttost żgħir, datat bejn l-1490 u l-1505. Il-kontenut tagħhom jinkludi kollezzjoni kbira ta 'skeċċijiet u referenzi għall-iskultura ekwestri kkummissjonata mid-Duka ta' Milan Ludovico Sforza biex ifakkar lil missieru Francesco Sforza. Dawn kienu megħluba b'aktar minn 18,000 kotba għall-mużew fl-1876 minn John Forster. Ir-Reverendju Alexander Dyce kien benefattur ieħor tal-librerija, u ħalla aktar minn 14,000 kotba lill-mużew fl-1869. Fost il-kotba li ġabar hemm edizzjonijiet bikrija bil-Grieg u l-Latin tal-poeti u d-drammaturi Eschylus, Aristotle, Homer, Livy, Ovidju, Pindar, Sophocles u Virgil. Awturi aktar riċenti jinkludu Giovanni Boccaccio, Dante, Racine, Rabelais u Molière.</v>
      </c>
    </row>
    <row r="669" ht="15.75" customHeight="1">
      <c r="A669" s="2" t="s">
        <v>669</v>
      </c>
      <c r="B669" s="2" t="str">
        <f>IFERROR(__xludf.DUMMYFUNCTION("GOOGLETRANSLATE(A669, ""en"", ""mt"")"),"replikazzjoni cairns intermedja")</f>
        <v>replikazzjoni cairns intermedja</v>
      </c>
    </row>
    <row r="670" ht="15.75" customHeight="1">
      <c r="A670" s="2" t="s">
        <v>670</v>
      </c>
      <c r="B670" s="2" t="str">
        <f>IFERROR(__xludf.DUMMYFUNCTION("GOOGLETRANSLATE(A670, ""en"", ""mt"")"),"Liema karozzi ta 'daqs kienu l-inqas karozzi mitluba fil-kriżi?")</f>
        <v>Liema karozzi ta 'daqs kienu l-inqas karozzi mitluba fil-kriżi?</v>
      </c>
    </row>
    <row r="671" ht="15.75" customHeight="1">
      <c r="A671" s="2" t="s">
        <v>671</v>
      </c>
      <c r="B671" s="2" t="str">
        <f>IFERROR(__xludf.DUMMYFUNCTION("GOOGLETRANSLATE(A671, ""en"", ""mt"")"),"X'inhi l-orjentazzjoni teoloġika tal-knisja?")</f>
        <v>X'inhi l-orjentazzjoni teoloġika tal-knisja?</v>
      </c>
    </row>
    <row r="672" ht="15.75" customHeight="1">
      <c r="A672" s="2" t="s">
        <v>672</v>
      </c>
      <c r="B672" s="2" t="str">
        <f>IFERROR(__xludf.DUMMYFUNCTION("GOOGLETRANSLATE(A672, ""en"", ""mt"")"),"Industrija u manifattura")</f>
        <v>Industrija u manifattura</v>
      </c>
    </row>
    <row r="673" ht="15.75" customHeight="1">
      <c r="A673" s="2" t="s">
        <v>673</v>
      </c>
      <c r="B673" s="2" t="str">
        <f>IFERROR(__xludf.DUMMYFUNCTION("GOOGLETRANSLATE(A673, ""en"", ""mt"")"),"Sultan ta 'Tebes")</f>
        <v>Sultan ta 'Tebes</v>
      </c>
    </row>
    <row r="674" ht="15.75" customHeight="1">
      <c r="A674" s="2" t="s">
        <v>674</v>
      </c>
      <c r="B674" s="2" t="str">
        <f>IFERROR(__xludf.DUMMYFUNCTION("GOOGLETRANSLATE(A674, ""en"", ""mt"")"),"Sonderungsverbot")</f>
        <v>Sonderungsverbot</v>
      </c>
    </row>
    <row r="675" ht="15.75" customHeight="1">
      <c r="A675" s="2" t="s">
        <v>675</v>
      </c>
      <c r="B675" s="2" t="str">
        <f>IFERROR(__xludf.DUMMYFUNCTION("GOOGLETRANSLATE(A675, ""en"", ""mt"")"),"Xi tfisser il-frażi ""tieħu l-faħam lejn Newcastle""?")</f>
        <v>Xi tfisser il-frażi "tieħu l-faħam lejn Newcastle"?</v>
      </c>
    </row>
    <row r="676" ht="15.75" customHeight="1">
      <c r="A676" s="2" t="s">
        <v>676</v>
      </c>
      <c r="B676" s="2" t="str">
        <f>IFERROR(__xludf.DUMMYFUNCTION("GOOGLETRANSLATE(A676, ""en"", ""mt"")"),"Ir-Royal Theatre")</f>
        <v>Ir-Royal Theatre</v>
      </c>
    </row>
    <row r="677" ht="15.75" customHeight="1">
      <c r="A677" s="2" t="s">
        <v>677</v>
      </c>
      <c r="B677" s="2" t="str">
        <f>IFERROR(__xludf.DUMMYFUNCTION("GOOGLETRANSLATE(A677, ""en"", ""mt"")"),"dawl")</f>
        <v>dawl</v>
      </c>
    </row>
    <row r="678" ht="15.75" customHeight="1">
      <c r="A678" s="2" t="s">
        <v>678</v>
      </c>
      <c r="B678" s="2" t="str">
        <f>IFERROR(__xludf.DUMMYFUNCTION("GOOGLETRANSLATE(A678, ""en"", ""mt"")"),"Robert Maynard Hutchins De-enfasizza l-Atletika Varsity")</f>
        <v>Robert Maynard Hutchins De-enfasizza l-Atletika Varsity</v>
      </c>
    </row>
    <row r="679" ht="15.75" customHeight="1">
      <c r="A679" s="2" t="s">
        <v>679</v>
      </c>
      <c r="B679" s="2" t="str">
        <f>IFERROR(__xludf.DUMMYFUNCTION("GOOGLETRANSLATE(A679, ""en"", ""mt"")"),"kwart tal-popolazzjoni")</f>
        <v>kwart tal-popolazzjoni</v>
      </c>
    </row>
    <row r="680" ht="15.75" customHeight="1">
      <c r="A680" s="2" t="s">
        <v>680</v>
      </c>
      <c r="B680" s="2" t="str">
        <f>IFERROR(__xludf.DUMMYFUNCTION("GOOGLETRANSLATE(A680, ""en"", ""mt"")"),"Fit-18 ta 'Lulju, 2006")</f>
        <v>Fit-18 ta 'Lulju, 2006</v>
      </c>
    </row>
    <row r="681" ht="15.75" customHeight="1">
      <c r="A681" s="2" t="s">
        <v>681</v>
      </c>
      <c r="B681" s="2" t="str">
        <f>IFERROR(__xludf.DUMMYFUNCTION("GOOGLETRANSLATE(A681, ""en"", ""mt"")"),"2 miljun")</f>
        <v>2 miljun</v>
      </c>
    </row>
    <row r="682" ht="15.75" customHeight="1">
      <c r="A682" s="2" t="s">
        <v>682</v>
      </c>
      <c r="B682" s="2" t="str">
        <f>IFERROR(__xludf.DUMMYFUNCTION("GOOGLETRANSLATE(A682, ""en"", ""mt"")"),"L-iskejjel privati ​​ġeneralment jippreferu jissejħu skejjel indipendenti, minħabba l-libertà tagħhom li joperaw barra mill-kontroll tal-gvern u tal-gvern lokali. Uħud minn dawn huma magħrufa wkoll bħala skejjel pubbliċi. Skejjel preparatorji fir-Renju Un"&amp;"it iħejju studenti ta ’sa 13-il sena biex jidħlu fl-iskejjel pubbliċi. L-isem ""skola pubblika"" huwa bbażat fuq il-fatt li l-iskejjel kienu miftuħa għall-istudenti minn kullimkien, u mhux biss għal dawk minn ċerta lokalità, u ta 'kwalunkwe reliġjon jew o"&amp;"kkupazzjoni. Skond il-gwida tal-iskejjel tajbin madwar 9 fil-mija tat-tfal li qed jiġu edukati fir-Renju Unit qed jagħmlu dan fi skejjel li jħallsu l-ħlas fil-livell tal-GSCE u 13 fil-mija fil-livell A. [Ċitazzjoni meħtieġa] Ħafna skejjel indipendenti hum"&amp;"a sess wieħed (għalkemm Dan qed isir inqas komuni). It-tariffi jvarjaw minn inqas minn £ 3,000 sa £ 21,000 u aktar fis-sena għall-istudenti ta 'kuljum, li jiżdiedu għal £ 27,000 + fis-sena għall-boarders. Għal dettalji fl-Iskozja, ara ""Tiltaqa 'mal-Ispiż"&amp;"a"".")</f>
        <v>L-iskejjel privati ​​ġeneralment jippreferu jissejħu skejjel indipendenti, minħabba l-libertà tagħhom li joperaw barra mill-kontroll tal-gvern u tal-gvern lokali. Uħud minn dawn huma magħrufa wkoll bħala skejjel pubbliċi. Skejjel preparatorji fir-Renju Unit iħejju studenti ta ’sa 13-il sena biex jidħlu fl-iskejjel pubbliċi. L-isem "skola pubblika" huwa bbażat fuq il-fatt li l-iskejjel kienu miftuħa għall-istudenti minn kullimkien, u mhux biss għal dawk minn ċerta lokalità, u ta 'kwalunkwe reliġjon jew okkupazzjoni. Skond il-gwida tal-iskejjel tajbin madwar 9 fil-mija tat-tfal li qed jiġu edukati fir-Renju Unit qed jagħmlu dan fi skejjel li jħallsu l-ħlas fil-livell tal-GSCE u 13 fil-mija fil-livell A. [Ċitazzjoni meħtieġa] Ħafna skejjel indipendenti huma sess wieħed (għalkemm Dan qed isir inqas komuni). It-tariffi jvarjaw minn inqas minn £ 3,000 sa £ 21,000 u aktar fis-sena għall-istudenti ta 'kuljum, li jiżdiedu għal £ 27,000 + fis-sena għall-boarders. Għal dettalji fl-Iskozja, ara "Tiltaqa 'mal-Ispiża".</v>
      </c>
    </row>
    <row r="683" ht="15.75" customHeight="1">
      <c r="A683" s="2" t="s">
        <v>683</v>
      </c>
      <c r="B683" s="2" t="str">
        <f>IFERROR(__xludf.DUMMYFUNCTION("GOOGLETRANSLATE(A683, ""en"", ""mt"")"),"X'inhi applikazzjoni notevoli ta 'injetturi llum?")</f>
        <v>X'inhi applikazzjoni notevoli ta 'injetturi llum?</v>
      </c>
    </row>
    <row r="684" ht="15.75" customHeight="1">
      <c r="A684" s="2" t="s">
        <v>684</v>
      </c>
      <c r="B684" s="2" t="str">
        <f>IFERROR(__xludf.DUMMYFUNCTION("GOOGLETRANSLATE(A684, ""en"", ""mt"")"),"23")</f>
        <v>23</v>
      </c>
    </row>
    <row r="685" ht="15.75" customHeight="1">
      <c r="A685" s="2" t="s">
        <v>685</v>
      </c>
      <c r="B685" s="2" t="str">
        <f>IFERROR(__xludf.DUMMYFUNCTION("GOOGLETRANSLATE(A685, ""en"", ""mt"")"),"Ċelloli T")</f>
        <v>Ċelloli T</v>
      </c>
    </row>
    <row r="686" ht="15.75" customHeight="1">
      <c r="A686" s="2" t="s">
        <v>686</v>
      </c>
      <c r="B686" s="2" t="str">
        <f>IFERROR(__xludf.DUMMYFUNCTION("GOOGLETRANSLATE(A686, ""en"", ""mt"")"),"X'inhi dik il-qawwa li tippermettilna nħobbu?")</f>
        <v>X'inhi dik il-qawwa li tippermettilna nħobbu?</v>
      </c>
    </row>
    <row r="687" ht="15.75" customHeight="1">
      <c r="A687" s="2" t="s">
        <v>687</v>
      </c>
      <c r="B687" s="2" t="str">
        <f>IFERROR(__xludf.DUMMYFUNCTION("GOOGLETRANSLATE(A687, ""en"", ""mt"")"),"X'inhu s-sinjalazzjoni retrograda?")</f>
        <v>X'inhu s-sinjalazzjoni retrograda?</v>
      </c>
    </row>
    <row r="688" ht="15.75" customHeight="1">
      <c r="A688" s="2" t="s">
        <v>688</v>
      </c>
      <c r="B688" s="2" t="str">
        <f>IFERROR(__xludf.DUMMYFUNCTION("GOOGLETRANSLATE(A688, ""en"", ""mt"")"),"Bejn Settembru u Novembru 1946")</f>
        <v>Bejn Settembru u Novembru 1946</v>
      </c>
    </row>
    <row r="689" ht="15.75" customHeight="1">
      <c r="A689" s="2" t="s">
        <v>689</v>
      </c>
      <c r="B689" s="2" t="str">
        <f>IFERROR(__xludf.DUMMYFUNCTION("GOOGLETRANSLATE(A689, ""en"", ""mt"")"),"Madwar 5 nanometri madwar")</f>
        <v>Madwar 5 nanometri madwar</v>
      </c>
    </row>
    <row r="690" ht="15.75" customHeight="1">
      <c r="A690" s="2" t="s">
        <v>690</v>
      </c>
      <c r="B690" s="2" t="str">
        <f>IFERROR(__xludf.DUMMYFUNCTION("GOOGLETRANSLATE(A690, ""en"", ""mt"")"),"Fl-1981, il-Partit tax-Xogħol Presidenzjali fit-Tieni Università ġie kkummissjonat biex iħares kemm il-possibbiltajiet li twaqqaf it-tieni università fil-Kenja kif ukoll ir-riforma tas-sistema edukattiva kollha. Il-kumitat irrakkomanda li s-sistema 7–4–2–"&amp;"3 tinbidel għal sistema 8-4-4 (tmien snin fil-primarja, erba ’snin fis-sekondarja, u erba’ snin fl-edukazzjoni universitarja). It-tabella taħt l-edukazzjoni preżenti fil-Kenja hawn taħt turi l-istruttura tas-sistema 8-4-4. Għalkemm is-sistema 7–4–2-3 inte"&amp;"mmet teoretikament bl-introduzzjoni tas-sistema l-ġdida 8-4-4 fl-1985, l-aħħar lott ta 'studenti mis-sistema ta' qabel iggradwa mill-universitajiet Kenjani fl-1992.")</f>
        <v>Fl-1981, il-Partit tax-Xogħol Presidenzjali fit-Tieni Università ġie kkummissjonat biex iħares kemm il-possibbiltajiet li twaqqaf it-tieni università fil-Kenja kif ukoll ir-riforma tas-sistema edukattiva kollha. Il-kumitat irrakkomanda li s-sistema 7–4–2–3 tinbidel għal sistema 8-4-4 (tmien snin fil-primarja, erba ’snin fis-sekondarja, u erba’ snin fl-edukazzjoni universitarja). It-tabella taħt l-edukazzjoni preżenti fil-Kenja hawn taħt turi l-istruttura tas-sistema 8-4-4. Għalkemm is-sistema 7–4–2-3 intemmet teoretikament bl-introduzzjoni tas-sistema l-ġdida 8-4-4 fl-1985, l-aħħar lott ta 'studenti mis-sistema ta' qabel iggradwa mill-universitajiet Kenjani fl-1992.</v>
      </c>
    </row>
    <row r="691" ht="15.75" customHeight="1">
      <c r="A691" s="2" t="s">
        <v>691</v>
      </c>
      <c r="B691" s="2" t="str">
        <f>IFERROR(__xludf.DUMMYFUNCTION("GOOGLETRANSLATE(A691, ""en"", ""mt"")"),"F'liema stat kienu l-faċilitajiet oriġinali tat-tnedija għall-missjonijiet?")</f>
        <v>F'liema stat kienu l-faċilitajiet oriġinali tat-tnedija għall-missjonijiet?</v>
      </c>
    </row>
    <row r="692" ht="15.75" customHeight="1">
      <c r="A692" s="2" t="s">
        <v>692</v>
      </c>
      <c r="B692" s="2" t="str">
        <f>IFERROR(__xludf.DUMMYFUNCTION("GOOGLETRANSLATE(A692, ""en"", ""mt"")"),"Monomeri tal-glukożju fil-kloroplast jistgħu jkunu marbuta flimkien")</f>
        <v>Monomeri tal-glukożju fil-kloroplast jistgħu jkunu marbuta flimkien</v>
      </c>
    </row>
    <row r="693" ht="15.75" customHeight="1">
      <c r="A693" s="2" t="s">
        <v>693</v>
      </c>
      <c r="B693" s="2" t="str">
        <f>IFERROR(__xludf.DUMMYFUNCTION("GOOGLETRANSLATE(A693, ""en"", ""mt"")"),"Imdawwar mill-gvern milli joqgħod fi New France, Huguenots immexxi minn Jessé de Forest, baħħar lejn l-Amerika ta ’Fuq fl-1624 u stabbilixxa minflok fil-kolonja Olandiża ta’ New Netherland (aktar tard inkorporat fi New York u New Jersey); kif ukoll il-kol"&amp;"onji tal-Gran Brittanja, inklużi n-Nova Scotia. Numru ta 'familji ġodda ta' Amsterdam kienu ta 'oriġini Huguenot, ħafna drabi emigraw bħala refuġjati lejn l-Olanda fis-seklu ta' qabel. Fl-1628 il-Huguenots stabbilixxew kongregazzjoni bħala L'église França"&amp;"ise à la Nouvelle-Amsterdam (il-knisja Franċiża fi New Amsterdam). Din il-parroċċa tkompli llum bħala L’Eglise du Saint-Esprit, parti mit-Tqarbin Episkopali (Anglikana), u tilqa ’lil Francophone New Yorkers mid-dinja kollha. Mal-wasla tagħhom fi New Amste"&amp;"rdam, Huguenots ġew offruti art direttament minn Manhattan fuq Long Island għal ftehim permanenti u għażlu l-port fi tmiem Newtown Creek, u saru l-ewwel Ewropej li jgħixu fi Brooklyn, imbagħad magħrufa bħala Boschwick, fil-lokal, fil-lokal issa magħruf bħ"&amp;"ala Bushwick.")</f>
        <v>Imdawwar mill-gvern milli joqgħod fi New France, Huguenots immexxi minn Jessé de Forest, baħħar lejn l-Amerika ta ’Fuq fl-1624 u stabbilixxa minflok fil-kolonja Olandiża ta’ New Netherland (aktar tard inkorporat fi New York u New Jersey); kif ukoll il-kolonji tal-Gran Brittanja, inklużi n-Nova Scotia. Numru ta 'familji ġodda ta' Amsterdam kienu ta 'oriġini Huguenot, ħafna drabi emigraw bħala refuġjati lejn l-Olanda fis-seklu ta' qabel. Fl-1628 il-Huguenots stabbilixxew kongregazzjoni bħala L'église Française à la Nouvelle-Amsterdam (il-knisja Franċiża fi New Amsterdam). Din il-parroċċa tkompli llum bħala L’Eglise du Saint-Esprit, parti mit-Tqarbin Episkopali (Anglikana), u tilqa ’lil Francophone New Yorkers mid-dinja kollha. Mal-wasla tagħhom fi New Amsterdam, Huguenots ġew offruti art direttament minn Manhattan fuq Long Island għal ftehim permanenti u għażlu l-port fi tmiem Newtown Creek, u saru l-ewwel Ewropej li jgħixu fi Brooklyn, imbagħad magħrufa bħala Boschwick, fil-lokal, fil-lokal issa magħruf bħala Bushwick.</v>
      </c>
    </row>
    <row r="694" ht="15.75" customHeight="1">
      <c r="A694" s="2" t="s">
        <v>694</v>
      </c>
      <c r="B694" s="2" t="str">
        <f>IFERROR(__xludf.DUMMYFUNCTION("GOOGLETRANSLATE(A694, ""en"", ""mt"")"),"Battalja ta 'Sainte-Foy")</f>
        <v>Battalja ta 'Sainte-Foy</v>
      </c>
    </row>
    <row r="695" ht="15.75" customHeight="1">
      <c r="A695" s="2" t="s">
        <v>695</v>
      </c>
      <c r="B695" s="2" t="str">
        <f>IFERROR(__xludf.DUMMYFUNCTION("GOOGLETRANSLATE(A695, ""en"", ""mt"")"),"id-dixxipli tagħhom")</f>
        <v>id-dixxipli tagħhom</v>
      </c>
    </row>
    <row r="696" ht="15.75" customHeight="1">
      <c r="A696" s="2" t="s">
        <v>696</v>
      </c>
      <c r="B696" s="2" t="str">
        <f>IFERROR(__xludf.DUMMYFUNCTION("GOOGLETRANSLATE(A696, ""en"", ""mt"")"),"X'tip ta 'problemi huma wieħed mis-suġġetti ewlenin studjati fit-teorija tal-kumplessità tal-komputazzjoni?")</f>
        <v>X'tip ta 'problemi huma wieħed mis-suġġetti ewlenin studjati fit-teorija tal-kumplessità tal-komputazzjoni?</v>
      </c>
    </row>
    <row r="697" ht="15.75" customHeight="1">
      <c r="A697" s="2" t="s">
        <v>697</v>
      </c>
      <c r="B697" s="2" t="str">
        <f>IFERROR(__xludf.DUMMYFUNCTION("GOOGLETRANSLATE(A697, ""en"", ""mt"")"),"Kemm jiswa l-istadium ta 'Levi?")</f>
        <v>Kemm jiswa l-istadium ta 'Levi?</v>
      </c>
    </row>
    <row r="698" ht="15.75" customHeight="1">
      <c r="A698" s="2" t="s">
        <v>698</v>
      </c>
      <c r="B698" s="2" t="str">
        <f>IFERROR(__xludf.DUMMYFUNCTION("GOOGLETRANSLATE(A698, ""en"", ""mt"")"),"Kemm ħallas Westinghouse għall-privattivi ta 'Tesla sabiex jaħrab il-problemi finanzjarji tagħha?")</f>
        <v>Kemm ħallas Westinghouse għall-privattivi ta 'Tesla sabiex jaħrab il-problemi finanzjarji tagħha?</v>
      </c>
    </row>
    <row r="699" ht="15.75" customHeight="1">
      <c r="A699" s="2" t="s">
        <v>699</v>
      </c>
      <c r="B699" s="2" t="str">
        <f>IFERROR(__xludf.DUMMYFUNCTION("GOOGLETRANSLATE(A699, ""en"", ""mt"")"),"20–18,")</f>
        <v>20–18,</v>
      </c>
    </row>
    <row r="700" ht="15.75" customHeight="1">
      <c r="A700" s="2" t="s">
        <v>700</v>
      </c>
      <c r="B700" s="2" t="str">
        <f>IFERROR(__xludf.DUMMYFUNCTION("GOOGLETRANSLATE(A700, ""en"", ""mt"")"),"Tard tas-snin 1920")</f>
        <v>Tard tas-snin 1920</v>
      </c>
    </row>
    <row r="701" ht="15.75" customHeight="1">
      <c r="A701" s="2" t="s">
        <v>701</v>
      </c>
      <c r="B701" s="2" t="str">
        <f>IFERROR(__xludf.DUMMYFUNCTION("GOOGLETRANSLATE(A701, ""en"", ""mt"")"),"Klassiku Dinji tal-Oratorju li jagħmel l-Epoch")</f>
        <v>Klassiku Dinji tal-Oratorju li jagħmel l-Epoch</v>
      </c>
    </row>
    <row r="702" ht="15.75" customHeight="1">
      <c r="A702" s="2" t="s">
        <v>702</v>
      </c>
      <c r="B702" s="2" t="str">
        <f>IFERROR(__xludf.DUMMYFUNCTION("GOOGLETRANSLATE(A702, ""en"", ""mt"")"),"Qabbad żewġ minikompjuters PDP-11")</f>
        <v>Qabbad żewġ minikompjuters PDP-11</v>
      </c>
    </row>
    <row r="703" ht="15.75" customHeight="1">
      <c r="A703" s="2" t="s">
        <v>703</v>
      </c>
      <c r="B703" s="2" t="str">
        <f>IFERROR(__xludf.DUMMYFUNCTION("GOOGLETRANSLATE(A703, ""en"", ""mt"")"),"Thomas Coke")</f>
        <v>Thomas Coke</v>
      </c>
    </row>
    <row r="704" ht="15.75" customHeight="1">
      <c r="A704" s="2" t="s">
        <v>704</v>
      </c>
      <c r="B704" s="2" t="str">
        <f>IFERROR(__xludf.DUMMYFUNCTION("GOOGLETRANSLATE(A704, ""en"", ""mt"")"),"Fl-1501, fl-età ta '19, daħal fl-Università ta 'Erfurt, li aktar tard iddeskriva bħala birra u whorehouse. Huwa kien magħmul biex iqum l-erbgħa kull filgħodu għal dak li ġie deskritt bħala ""ġurnata ta 'tagħlim tar-rote u ta' spiss li jintlibes eżerċizzji"&amp;" spiritwali."" Irċieva l-grad tal-kaptan tiegħu fl-1505.")</f>
        <v>Fl-1501, fl-età ta '19, daħal fl-Università ta 'Erfurt, li aktar tard iddeskriva bħala birra u whorehouse. Huwa kien magħmul biex iqum l-erbgħa kull filgħodu għal dak li ġie deskritt bħala "ġurnata ta 'tagħlim tar-rote u ta' spiss li jintlibes eżerċizzji spiritwali." Irċieva l-grad tal-kaptan tiegħu fl-1505.</v>
      </c>
    </row>
    <row r="705" ht="15.75" customHeight="1">
      <c r="A705" s="2" t="s">
        <v>705</v>
      </c>
      <c r="B705" s="2" t="str">
        <f>IFERROR(__xludf.DUMMYFUNCTION("GOOGLETRANSLATE(A705, ""en"", ""mt"")"),"Bethencourt")</f>
        <v>Bethencourt</v>
      </c>
    </row>
    <row r="706" ht="15.75" customHeight="1">
      <c r="A706" s="2" t="s">
        <v>706</v>
      </c>
      <c r="B706" s="2" t="str">
        <f>IFERROR(__xludf.DUMMYFUNCTION("GOOGLETRANSLATE(A706, ""en"", ""mt"")"),"Ir-rhodoplasts għandhom membrana doppja bi spazju intermembrane u pigmenti tal-phycobilin organizzati fi phycobilisomes fuq il-membrani tat-tilakoid, li jipprevjenu t-tilkoids tagħhom milli jinżlu. Xi wħud fihom pirenojdi. Ir-rhodoplasts għandhom klorofil"&amp;"la a u phycobilins għal pigmenti fotosintetiċi; Il-phycobilin phycoerytherin huwa responsabbli biex jagħti ħafna alka ħamra tal-kulur aħmar distintiv tagħhom. Madankollu, peress li fihom ukoll il-klorofilla blu-aħdar A u pigmenti oħra, ħafna huma ħamrani "&amp;"għal vjola mill-kombinazzjoni. Il-pigment tal-phycoerytherin aħmar huwa adattament biex jgħin lill-alka ħamra taqbad aktar dawl tax-xemx fl-ilma fond - bħal, xi alka ħamra li tgħix f'ilma baxx għandhom inqas phycoerytherin fir-rhodoplasts tagħhom, u jistg"&amp;"ħu jidhru aktar ħodor. Rhodoplasts sintetizza forma ta 'lamtu msejħa Floridean, li tiġbor fi granuli barra r-rhodoplast, fiċ-ċitoplasma ta' l-alka ħamra.")</f>
        <v>Ir-rhodoplasts għandhom membrana doppja bi spazju intermembrane u pigmenti tal-phycobilin organizzati fi phycobilisomes fuq il-membrani tat-tilakoid, li jipprevjenu t-tilkoids tagħhom milli jinżlu. Xi wħud fihom pirenojdi. Ir-rhodoplasts għandhom klorofilla a u phycobilins għal pigmenti fotosintetiċi; Il-phycobilin phycoerytherin huwa responsabbli biex jagħti ħafna alka ħamra tal-kulur aħmar distintiv tagħhom. Madankollu, peress li fihom ukoll il-klorofilla blu-aħdar A u pigmenti oħra, ħafna huma ħamrani għal vjola mill-kombinazzjoni. Il-pigment tal-phycoerytherin aħmar huwa adattament biex jgħin lill-alka ħamra taqbad aktar dawl tax-xemx fl-ilma fond - bħal, xi alka ħamra li tgħix f'ilma baxx għandhom inqas phycoerytherin fir-rhodoplasts tagħhom, u jistgħu jidhru aktar ħodor. Rhodoplasts sintetizza forma ta 'lamtu msejħa Floridean, li tiġbor fi granuli barra r-rhodoplast, fiċ-ċitoplasma ta' l-alka ħamra.</v>
      </c>
    </row>
    <row r="707" ht="15.75" customHeight="1">
      <c r="A707" s="2" t="s">
        <v>707</v>
      </c>
      <c r="B707" s="2" t="str">
        <f>IFERROR(__xludf.DUMMYFUNCTION("GOOGLETRANSLATE(A707, ""en"", ""mt"")"),"Forzi Torok")</f>
        <v>Forzi Torok</v>
      </c>
    </row>
    <row r="708" ht="15.75" customHeight="1">
      <c r="A708" s="2" t="s">
        <v>708</v>
      </c>
      <c r="B708" s="2" t="str">
        <f>IFERROR(__xludf.DUMMYFUNCTION("GOOGLETRANSLATE(A708, ""en"", ""mt"")"),"mewġ fil-plażma")</f>
        <v>mewġ fil-plażma</v>
      </c>
    </row>
    <row r="709" ht="15.75" customHeight="1">
      <c r="A709" s="2" t="s">
        <v>709</v>
      </c>
      <c r="B709" s="2" t="str">
        <f>IFERROR(__xludf.DUMMYFUNCTION("GOOGLETRANSLATE(A709, ""en"", ""mt"")"),"Dak li jagħmel il-frizzjoni statika titla 'jew' l isfel b'rispett biex tikkuntattja l-karatteristiċi bejn oġġett u l-wiċċ li hemm?")</f>
        <v>Dak li jagħmel il-frizzjoni statika titla 'jew' l isfel b'rispett biex tikkuntattja l-karatteristiċi bejn oġġett u l-wiċċ li hemm?</v>
      </c>
    </row>
    <row r="710" ht="15.75" customHeight="1">
      <c r="A710" s="2" t="s">
        <v>710</v>
      </c>
      <c r="B710" s="2" t="str">
        <f>IFERROR(__xludf.DUMMYFUNCTION("GOOGLETRANSLATE(A710, ""en"", ""mt"")"),"il-piż tagħha.")</f>
        <v>il-piż tagħha.</v>
      </c>
    </row>
    <row r="711" ht="15.75" customHeight="1">
      <c r="A711" s="2" t="s">
        <v>711</v>
      </c>
      <c r="B711" s="2" t="str">
        <f>IFERROR(__xludf.DUMMYFUNCTION("GOOGLETRANSLATE(A711, ""en"", ""mt"")"),"Volleyball")</f>
        <v>Volleyball</v>
      </c>
    </row>
    <row r="712" ht="15.75" customHeight="1">
      <c r="A712" s="2" t="s">
        <v>712</v>
      </c>
      <c r="B712" s="2" t="str">
        <f>IFERROR(__xludf.DUMMYFUNCTION("GOOGLETRANSLATE(A712, ""en"", ""mt"")"),"funzjoni tal-prezz tas-suq tal-ħila")</f>
        <v>funzjoni tal-prezz tas-suq tal-ħila</v>
      </c>
    </row>
    <row r="713" ht="15.75" customHeight="1">
      <c r="A713" s="2" t="s">
        <v>713</v>
      </c>
      <c r="B713" s="2" t="str">
        <f>IFERROR(__xludf.DUMMYFUNCTION("GOOGLETRANSLATE(A713, ""en"", ""mt"")"),"Liema sena ġiet ċeduta Jamukha lil Temüjin?")</f>
        <v>Liema sena ġiet ċeduta Jamukha lil Temüjin?</v>
      </c>
    </row>
    <row r="714" ht="15.75" customHeight="1">
      <c r="A714" s="2" t="s">
        <v>714</v>
      </c>
      <c r="B714" s="2" t="str">
        <f>IFERROR(__xludf.DUMMYFUNCTION("GOOGLETRANSLATE(A714, ""en"", ""mt"")"),"L-ikbar divisor komuni huwa wieħed")</f>
        <v>L-ikbar divisor komuni huwa wieħed</v>
      </c>
    </row>
    <row r="715" ht="15.75" customHeight="1">
      <c r="A715" s="2" t="s">
        <v>715</v>
      </c>
      <c r="B715" s="2" t="str">
        <f>IFERROR(__xludf.DUMMYFUNCTION("GOOGLETRANSLATE(A715, ""en"", ""mt"")"),"Tesla meta skopriet il-possibbiltà ta 'konnettività mingħajr fili?")</f>
        <v>Tesla meta skopriet il-possibbiltà ta 'konnettività mingħajr fili?</v>
      </c>
    </row>
    <row r="716" ht="15.75" customHeight="1">
      <c r="A716" s="2" t="s">
        <v>716</v>
      </c>
      <c r="B716" s="2" t="str">
        <f>IFERROR(__xludf.DUMMYFUNCTION("GOOGLETRANSLATE(A716, ""en"", ""mt"")"),"Jalla ma jibqax jeżisti")</f>
        <v>Jalla ma jibqax jeżisti</v>
      </c>
    </row>
    <row r="717" ht="15.75" customHeight="1">
      <c r="A717" s="2" t="s">
        <v>717</v>
      </c>
      <c r="B717" s="2" t="str">
        <f>IFERROR(__xludf.DUMMYFUNCTION("GOOGLETRANSLATE(A717, ""en"", ""mt"")"),"m'għandhomx forzi wieqfa")</f>
        <v>m'għandhomx forzi wieqfa</v>
      </c>
    </row>
    <row r="718" ht="15.75" customHeight="1">
      <c r="A718" s="2" t="s">
        <v>718</v>
      </c>
      <c r="B718" s="2" t="str">
        <f>IFERROR(__xludf.DUMMYFUNCTION("GOOGLETRANSLATE(A718, ""en"", ""mt"")"),"X'inhu l-moniker li qed jintuża biex jiddeskrivi t-teknoloġija diversifikata tar-reġjun?")</f>
        <v>X'inhu l-moniker li qed jintuża biex jiddeskrivi t-teknoloġija diversifikata tar-reġjun?</v>
      </c>
    </row>
    <row r="719" ht="15.75" customHeight="1">
      <c r="A719" s="2" t="s">
        <v>719</v>
      </c>
      <c r="B719" s="2" t="str">
        <f>IFERROR(__xludf.DUMMYFUNCTION("GOOGLETRANSLATE(A719, ""en"", ""mt"")"),"Minbarra r-rapporti tal-valutazzjoni tal-klima, l-IPCC qed tippubblika rapporti speċjali dwar suġġetti speċifiċi. Il-proċess ta 'preparazzjoni u approvazzjoni għar-rapporti speċjali kollha tal-IPCC isegwi l-istess proċeduri bħal għar-rapporti ta' valutazz"&amp;"joni tal-IPCC. Fis-sena 2011 ġew finalizzati żewġ rapport speċjali tal-IPCC, ir-Rapport Speċjali dwar is-Sorsi tal-Enerġija Rinnovabbli u l-Mitigazzjoni tat-Tibdil fil-Klima (SREN) u r-Rapport Speċjali dwar il-Ġestjoni tar-Riskji ta 'Avvenimenti u Diżastr"&amp;"i estremi biex javvanzaw l-Adattament tal-Bidla fil-Klima (SREX). Iż-żewġ rapporti speċjali ntalbu mill-gvernijiet.")</f>
        <v>Minbarra r-rapporti tal-valutazzjoni tal-klima, l-IPCC qed tippubblika rapporti speċjali dwar suġġetti speċifiċi. Il-proċess ta 'preparazzjoni u approvazzjoni għar-rapporti speċjali kollha tal-IPCC isegwi l-istess proċeduri bħal għar-rapporti ta' valutazzjoni tal-IPCC. Fis-sena 2011 ġew finalizzati żewġ rapport speċjali tal-IPCC, ir-Rapport Speċjali dwar is-Sorsi tal-Enerġija Rinnovabbli u l-Mitigazzjoni tat-Tibdil fil-Klima (SREN) u r-Rapport Speċjali dwar il-Ġestjoni tar-Riskji ta 'Avvenimenti u Diżastri estremi biex javvanzaw l-Adattament tal-Bidla fil-Klima (SREX). Iż-żewġ rapporti speċjali ntalbu mill-gvernijiet.</v>
      </c>
    </row>
    <row r="720" ht="15.75" customHeight="1">
      <c r="A720" s="2" t="s">
        <v>720</v>
      </c>
      <c r="B720" s="2" t="str">
        <f>IFERROR(__xludf.DUMMYFUNCTION("GOOGLETRANSLATE(A720, ""en"", ""mt"")"),"Meta n-Nuncio Papali Karl von Miltitz ġab lil Luther biex jagħmel konċessjonijiet?")</f>
        <v>Meta n-Nuncio Papali Karl von Miltitz ġab lil Luther biex jagħmel konċessjonijiet?</v>
      </c>
    </row>
    <row r="721" ht="15.75" customHeight="1">
      <c r="A721" s="2" t="s">
        <v>721</v>
      </c>
      <c r="B721" s="2" t="str">
        <f>IFERROR(__xludf.DUMMYFUNCTION("GOOGLETRANSLATE(A721, ""en"", ""mt"")"),"Kampanja għal Indja Ħieles")</f>
        <v>Kampanja għal Indja Ħieles</v>
      </c>
    </row>
    <row r="722" ht="15.75" customHeight="1">
      <c r="A722" s="2" t="s">
        <v>722</v>
      </c>
      <c r="B722" s="2" t="str">
        <f>IFERROR(__xludf.DUMMYFUNCTION("GOOGLETRANSLATE(A722, ""en"", ""mt"")"),"80 miljun aderent")</f>
        <v>80 miljun aderent</v>
      </c>
    </row>
    <row r="723" ht="15.75" customHeight="1">
      <c r="A723" s="2" t="s">
        <v>723</v>
      </c>
      <c r="B723" s="2" t="str">
        <f>IFERROR(__xludf.DUMMYFUNCTION("GOOGLETRANSLATE(A723, ""en"", ""mt"")"),"Fl-isforz li jinżamm livell ta 'astrazzjoni, liema għażla tipikament titħalla indipendenti?")</f>
        <v>Fl-isforz li jinżamm livell ta 'astrazzjoni, liema għażla tipikament titħalla indipendenti?</v>
      </c>
    </row>
    <row r="724" ht="15.75" customHeight="1">
      <c r="A724" s="2" t="s">
        <v>724</v>
      </c>
      <c r="B724" s="2" t="str">
        <f>IFERROR(__xludf.DUMMYFUNCTION("GOOGLETRANSLATE(A724, ""en"", ""mt"")"),"24 tagħhom stess")</f>
        <v>24 tagħhom stess</v>
      </c>
    </row>
    <row r="725" ht="15.75" customHeight="1">
      <c r="A725" s="2" t="s">
        <v>725</v>
      </c>
      <c r="B725" s="2" t="str">
        <f>IFERROR(__xludf.DUMMYFUNCTION("GOOGLETRANSLATE(A725, ""en"", ""mt"")"),"Liema belt fi stat ta ’New York ġiet solvuta minn Huguenots?")</f>
        <v>Liema belt fi stat ta ’New York ġiet solvuta minn Huguenots?</v>
      </c>
    </row>
    <row r="726" ht="15.75" customHeight="1">
      <c r="A726" s="2" t="s">
        <v>726</v>
      </c>
      <c r="B726" s="2" t="str">
        <f>IFERROR(__xludf.DUMMYFUNCTION("GOOGLETRANSLATE(A726, ""en"", ""mt"")"),"X'kien is-sors tal-iżball?")</f>
        <v>X'kien is-sors tal-iżball?</v>
      </c>
    </row>
    <row r="727" ht="15.75" customHeight="1">
      <c r="A727" s="2" t="s">
        <v>727</v>
      </c>
      <c r="B727" s="2" t="str">
        <f>IFERROR(__xludf.DUMMYFUNCTION("GOOGLETRANSLATE(A727, ""en"", ""mt"")"),"X'kienu qed jinżammu proċeduri tal-Qorti Għolja?")</f>
        <v>X'kienu qed jinżammu proċeduri tal-Qorti Għolja?</v>
      </c>
    </row>
    <row r="728" ht="15.75" customHeight="1">
      <c r="A728" s="2" t="s">
        <v>728</v>
      </c>
      <c r="B728" s="2" t="str">
        <f>IFERROR(__xludf.DUMMYFUNCTION("GOOGLETRANSLATE(A728, ""en"", ""mt"")"),"Tabelli tal-hash")</f>
        <v>Tabelli tal-hash</v>
      </c>
    </row>
    <row r="729" ht="15.75" customHeight="1">
      <c r="A729" s="2" t="s">
        <v>729</v>
      </c>
      <c r="B729" s="2" t="str">
        <f>IFERROR(__xludf.DUMMYFUNCTION("GOOGLETRANSLATE(A729, ""en"", ""mt"")"),"Kif ħoss il-kitbiet ta 'Luther hekk kif sar inqas b'saħħtu?")</f>
        <v>Kif ħoss il-kitbiet ta 'Luther hekk kif sar inqas b'saħħtu?</v>
      </c>
    </row>
    <row r="730" ht="15.75" customHeight="1">
      <c r="A730" s="2" t="s">
        <v>730</v>
      </c>
      <c r="B730" s="2" t="str">
        <f>IFERROR(__xludf.DUMMYFUNCTION("GOOGLETRANSLATE(A730, ""en"", ""mt"")"),"Liema tim kellu l-ewwel kickoff?")</f>
        <v>Liema tim kellu l-ewwel kickoff?</v>
      </c>
    </row>
    <row r="731" ht="15.75" customHeight="1">
      <c r="A731" s="2" t="s">
        <v>731</v>
      </c>
      <c r="B731" s="2" t="str">
        <f>IFERROR(__xludf.DUMMYFUNCTION("GOOGLETRANSLATE(A731, ""en"", ""mt"")"),"Kumpaniji tax-Xandir Amerikani")</f>
        <v>Kumpaniji tax-Xandir Amerikani</v>
      </c>
    </row>
    <row r="732" ht="15.75" customHeight="1">
      <c r="A732" s="2" t="s">
        <v>732</v>
      </c>
      <c r="B732" s="2" t="str">
        <f>IFERROR(__xludf.DUMMYFUNCTION("GOOGLETRANSLATE(A732, ""en"", ""mt"")"),"Dominanza fl-atletika fuq distanza tan-nofs u fuq distanza twila")</f>
        <v>Dominanza fl-atletika fuq distanza tan-nofs u fuq distanza twila</v>
      </c>
    </row>
    <row r="733" ht="15.75" customHeight="1">
      <c r="A733" s="2" t="s">
        <v>733</v>
      </c>
      <c r="B733" s="2" t="str">
        <f>IFERROR(__xludf.DUMMYFUNCTION("GOOGLETRANSLATE(A733, ""en"", ""mt"")"),"Teologu Albert C. Outler")</f>
        <v>Teologu Albert C. Outler</v>
      </c>
    </row>
    <row r="734" ht="15.75" customHeight="1">
      <c r="A734" s="2" t="s">
        <v>734</v>
      </c>
      <c r="B734" s="2" t="str">
        <f>IFERROR(__xludf.DUMMYFUNCTION("GOOGLETRANSLATE(A734, ""en"", ""mt"")"),"Forma aktar drammatika")</f>
        <v>Forma aktar drammatika</v>
      </c>
    </row>
    <row r="735" ht="15.75" customHeight="1">
      <c r="A735" s="2" t="s">
        <v>735</v>
      </c>
      <c r="B735" s="2" t="str">
        <f>IFERROR(__xludf.DUMMYFUNCTION("GOOGLETRANSLATE(A735, ""en"", ""mt"")"),"Fuq liema linja tat-tarzna bdiet Carolina bl-4: 51 telqet fil-logħba?")</f>
        <v>Fuq liema linja tat-tarzna bdiet Carolina bl-4: 51 telqet fil-logħba?</v>
      </c>
    </row>
    <row r="736" ht="15.75" customHeight="1">
      <c r="A736" s="2" t="s">
        <v>736</v>
      </c>
      <c r="B736" s="2" t="str">
        <f>IFERROR(__xludf.DUMMYFUNCTION("GOOGLETRANSLATE(A736, ""en"", ""mt"")"),"Tard is-seklu 14")</f>
        <v>Tard is-seklu 14</v>
      </c>
    </row>
    <row r="737" ht="15.75" customHeight="1">
      <c r="A737" s="2" t="s">
        <v>737</v>
      </c>
      <c r="B737" s="2" t="str">
        <f>IFERROR(__xludf.DUMMYFUNCTION("GOOGLETRANSLATE(A737, ""en"", ""mt"")"),"Normandija")</f>
        <v>Normandija</v>
      </c>
    </row>
    <row r="738" ht="15.75" customHeight="1">
      <c r="A738" s="2" t="s">
        <v>738</v>
      </c>
      <c r="B738" s="2" t="str">
        <f>IFERROR(__xludf.DUMMYFUNCTION("GOOGLETRANSLATE(A738, ""en"", ""mt"")"),"X'effett għandu d-difett ta 'Rubisco?")</f>
        <v>X'effett għandu d-difett ta 'Rubisco?</v>
      </c>
    </row>
    <row r="739" ht="15.75" customHeight="1">
      <c r="A739" s="2" t="s">
        <v>739</v>
      </c>
      <c r="B739" s="2" t="str">
        <f>IFERROR(__xludf.DUMMYFUNCTION("GOOGLETRANSLATE(A739, ""en"", ""mt"")"),"L-Iskoċċiżi")</f>
        <v>L-Iskoċċiżi</v>
      </c>
    </row>
    <row r="740" ht="15.75" customHeight="1">
      <c r="A740" s="2" t="s">
        <v>740</v>
      </c>
      <c r="B740" s="2" t="str">
        <f>IFERROR(__xludf.DUMMYFUNCTION("GOOGLETRANSLATE(A740, ""en"", ""mt"")"),"Min kiteb ""Walking in Fresno?""")</f>
        <v>Min kiteb "Walking in Fresno?"</v>
      </c>
    </row>
    <row r="741" ht="15.75" customHeight="1">
      <c r="A741" s="2" t="s">
        <v>741</v>
      </c>
      <c r="B741" s="2" t="str">
        <f>IFERROR(__xludf.DUMMYFUNCTION("GOOGLETRANSLATE(A741, ""en"", ""mt"")"),"Bucks Point")</f>
        <v>Bucks Point</v>
      </c>
    </row>
    <row r="742" ht="15.75" customHeight="1">
      <c r="A742" s="2" t="s">
        <v>742</v>
      </c>
      <c r="B742" s="2" t="str">
        <f>IFERROR(__xludf.DUMMYFUNCTION("GOOGLETRANSLATE(A742, ""en"", ""mt"")"),"L-Ispettur tal-Bini Muniċipali")</f>
        <v>L-Ispettur tal-Bini Muniċipali</v>
      </c>
    </row>
    <row r="743" ht="15.75" customHeight="1">
      <c r="A743" s="2" t="s">
        <v>743</v>
      </c>
      <c r="B743" s="2" t="str">
        <f>IFERROR(__xludf.DUMMYFUNCTION("GOOGLETRANSLATE(A743, ""en"", ""mt"")"),"maniġer tal-kostruzzjoni, inġinier tad-disinn, inġinier tal-kostruzzjoni jew maniġer tal-proġett")</f>
        <v>maniġer tal-kostruzzjoni, inġinier tad-disinn, inġinier tal-kostruzzjoni jew maniġer tal-proġett</v>
      </c>
    </row>
    <row r="744" ht="15.75" customHeight="1">
      <c r="A744" s="2" t="s">
        <v>744</v>
      </c>
      <c r="B744" s="2" t="str">
        <f>IFERROR(__xludf.DUMMYFUNCTION("GOOGLETRANSLATE(A744, ""en"", ""mt"")"),"X'inhu r-rwol tal-għalliema fl-edukazzjoni?")</f>
        <v>X'inhu r-rwol tal-għalliema fl-edukazzjoni?</v>
      </c>
    </row>
    <row r="745" ht="15.75" customHeight="1">
      <c r="A745" s="2" t="s">
        <v>745</v>
      </c>
      <c r="B745" s="2" t="str">
        <f>IFERROR(__xludf.DUMMYFUNCTION("GOOGLETRANSLATE(A745, ""en"", ""mt"")"),"Fi ftit mijiet ta 'piedi minn xulxin")</f>
        <v>Fi ftit mijiet ta 'piedi minn xulxin</v>
      </c>
    </row>
    <row r="746" ht="15.75" customHeight="1">
      <c r="A746" s="2" t="s">
        <v>746</v>
      </c>
      <c r="B746" s="2" t="str">
        <f>IFERROR(__xludf.DUMMYFUNCTION("GOOGLETRANSLATE(A746, ""en"", ""mt"")"),"Kummissjoni v Edith Cresson")</f>
        <v>Kummissjoni v Edith Cresson</v>
      </c>
    </row>
    <row r="747" ht="15.75" customHeight="1">
      <c r="A747" s="2" t="s">
        <v>747</v>
      </c>
      <c r="B747" s="2" t="str">
        <f>IFERROR(__xludf.DUMMYFUNCTION("GOOGLETRANSLATE(A747, ""en"", ""mt"")"),"X'inhu l-isem preċedenti tal-V &amp; A Theatre &amp; Performance Galleries?")</f>
        <v>X'inhu l-isem preċedenti tal-V &amp; A Theatre &amp; Performance Galleries?</v>
      </c>
    </row>
    <row r="748" ht="15.75" customHeight="1">
      <c r="A748" s="2" t="s">
        <v>748</v>
      </c>
      <c r="B748" s="2" t="str">
        <f>IFERROR(__xludf.DUMMYFUNCTION("GOOGLETRANSLATE(A748, ""en"", ""mt"")"),"Reazzjoni tar-Rebbiegħa")</f>
        <v>Reazzjoni tar-Rebbiegħa</v>
      </c>
    </row>
    <row r="749" ht="15.75" customHeight="1">
      <c r="A749" s="2" t="s">
        <v>749</v>
      </c>
      <c r="B749" s="2" t="str">
        <f>IFERROR(__xludf.DUMMYFUNCTION("GOOGLETRANSLATE(A749, ""en"", ""mt"")"),"lisożima")</f>
        <v>lisożima</v>
      </c>
    </row>
    <row r="750" ht="15.75" customHeight="1">
      <c r="A750" s="2" t="s">
        <v>750</v>
      </c>
      <c r="B750" s="2" t="str">
        <f>IFERROR(__xludf.DUMMYFUNCTION("GOOGLETRANSLATE(A750, ""en"", ""mt"")"),"singularment")</f>
        <v>singularment</v>
      </c>
    </row>
    <row r="751" ht="15.75" customHeight="1">
      <c r="A751" s="2" t="s">
        <v>751</v>
      </c>
      <c r="B751" s="2" t="str">
        <f>IFERROR(__xludf.DUMMYFUNCTION("GOOGLETRANSLATE(A751, ""en"", ""mt"")"),"Xiri")</f>
        <v>Xiri</v>
      </c>
    </row>
    <row r="752" ht="15.75" customHeight="1">
      <c r="A752" s="2" t="s">
        <v>752</v>
      </c>
      <c r="B752" s="2" t="str">
        <f>IFERROR(__xludf.DUMMYFUNCTION("GOOGLETRANSLATE(A752, ""en"", ""mt"")"),"X'ġara waqt it-test tal-plugs-out waqt id-dewmien għall-irwejjaħ spazjali?")</f>
        <v>X'ġara waqt it-test tal-plugs-out waqt id-dewmien għall-irwejjaħ spazjali?</v>
      </c>
    </row>
    <row r="753" ht="15.75" customHeight="1">
      <c r="A753" s="2" t="s">
        <v>753</v>
      </c>
      <c r="B753" s="2" t="str">
        <f>IFERROR(__xludf.DUMMYFUNCTION("GOOGLETRANSLATE(A753, ""en"", ""mt"")"),"Kważi l-bijomolekuli kollha li huma importanti għal (jew iġġenerati minn) il-ħajja")</f>
        <v>Kważi l-bijomolekuli kollha li huma importanti għal (jew iġġenerati minn) il-ħajja</v>
      </c>
    </row>
    <row r="754" ht="15.75" customHeight="1">
      <c r="A754" s="2" t="s">
        <v>754</v>
      </c>
      <c r="B754" s="2" t="str">
        <f>IFERROR(__xludf.DUMMYFUNCTION("GOOGLETRANSLATE(A754, ""en"", ""mt"")"),"Min hu missier Antigone fid-dramm?")</f>
        <v>Min hu missier Antigone fid-dramm?</v>
      </c>
    </row>
    <row r="755" ht="15.75" customHeight="1">
      <c r="A755" s="2" t="s">
        <v>755</v>
      </c>
      <c r="B755" s="2" t="str">
        <f>IFERROR(__xludf.DUMMYFUNCTION("GOOGLETRANSLATE(A755, ""en"", ""mt"")"),"Il-belt għadha fiha ħafna teatri. L-akbar, it-Teatru Irjali fi Triq Grey, l-ewwel infetaħ fl-1837, iddisinjat minn John u Benjamin Green. Huwa ospita staġun ta 'wirjiet mill-Royal Shakespeare Company għal aktar minn 25 sena, kif ukoll produzzjonijiet li j"&amp;"duru ta' musicals West End. It-Teatru tal-Mill Volvo Tyne jospita produzzjonijiet iżgħar tat-touring, filwaqt li postijiet oħra jinkludu talent lokali. Stadju tat-Tramuntana, magħruf formalment bħala Newcastle Playhouse u Gulbenkian Studio, jospita divers"&amp;"i produzzjonijiet lokali, nazzjonali u internazzjonali minbarra dawk prodotti mill-Kumpanija tal-Istadju tat-Tramuntana. Teatri oħra fil-belt jinkludu t-Teatru Live, it-Teatru tal-Poplu u t-Teatru tal-Ġublew. Newcastlegateshead ġie vvutat fl-2006 bħala l-"&amp;"Kapitali tal-Arti tar-Renju Unit fi stħarriġ immexxi mill-istazzjon tat-TV Artsworld.")</f>
        <v>Il-belt għadha fiha ħafna teatri. L-akbar, it-Teatru Irjali fi Triq Grey, l-ewwel infetaħ fl-1837, iddisinjat minn John u Benjamin Green. Huwa ospita staġun ta 'wirjiet mill-Royal Shakespeare Company għal aktar minn 25 sena, kif ukoll produzzjonijiet li jduru ta' musicals West End. It-Teatru tal-Mill Volvo Tyne jospita produzzjonijiet iżgħar tat-touring, filwaqt li postijiet oħra jinkludu talent lokali. Stadju tat-Tramuntana, magħruf formalment bħala Newcastle Playhouse u Gulbenkian Studio, jospita diversi produzzjonijiet lokali, nazzjonali u internazzjonali minbarra dawk prodotti mill-Kumpanija tal-Istadju tat-Tramuntana. Teatri oħra fil-belt jinkludu t-Teatru Live, it-Teatru tal-Poplu u t-Teatru tal-Ġublew. Newcastlegateshead ġie vvutat fl-2006 bħala l-Kapitali tal-Arti tar-Renju Unit fi stħarriġ immexxi mill-istazzjon tat-TV Artsworld.</v>
      </c>
    </row>
    <row r="756" ht="15.75" customHeight="1">
      <c r="A756" s="2" t="s">
        <v>756</v>
      </c>
      <c r="B756" s="2" t="str">
        <f>IFERROR(__xludf.DUMMYFUNCTION("GOOGLETRANSLATE(A756, ""en"", ""mt"")"),"Taħriġ speċjali biex jiżgura li s-sorsi tat-tqabbid jiġu mminimizzati")</f>
        <v>Taħriġ speċjali biex jiżgura li s-sorsi tat-tqabbid jiġu mminimizzati</v>
      </c>
    </row>
    <row r="757" ht="15.75" customHeight="1">
      <c r="A757" s="2" t="s">
        <v>757</v>
      </c>
      <c r="B757" s="2" t="str">
        <f>IFERROR(__xludf.DUMMYFUNCTION("GOOGLETRANSLATE(A757, ""en"", ""mt"")"),"l-osservazzjoni tiegħu ta 'qxur ta' annimali fossili")</f>
        <v>l-osservazzjoni tiegħu ta 'qxur ta' annimali fossili</v>
      </c>
    </row>
    <row r="758" ht="15.75" customHeight="1">
      <c r="A758" s="2" t="s">
        <v>758</v>
      </c>
      <c r="B758" s="2" t="str">
        <f>IFERROR(__xludf.DUMMYFUNCTION("GOOGLETRANSLATE(A758, ""en"", ""mt"")"),"ħafna elementi")</f>
        <v>ħafna elementi</v>
      </c>
    </row>
    <row r="759" ht="15.75" customHeight="1">
      <c r="A759" s="2" t="s">
        <v>759</v>
      </c>
      <c r="B759" s="2" t="str">
        <f>IFERROR(__xludf.DUMMYFUNCTION("GOOGLETRANSLATE(A759, ""en"", ""mt"")"),"Seklu 16")</f>
        <v>Seklu 16</v>
      </c>
    </row>
    <row r="760" ht="15.75" customHeight="1">
      <c r="A760" s="2" t="s">
        <v>760</v>
      </c>
      <c r="B760" s="2" t="str">
        <f>IFERROR(__xludf.DUMMYFUNCTION("GOOGLETRANSLATE(A760, ""en"", ""mt"")"),"Liema żewġ trattati pprovdew istituzzjonijiet aktar formali tal-Unjoni Ewropea?")</f>
        <v>Liema żewġ trattati pprovdew istituzzjonijiet aktar formali tal-Unjoni Ewropea?</v>
      </c>
    </row>
    <row r="761" ht="15.75" customHeight="1">
      <c r="A761" s="2" t="s">
        <v>761</v>
      </c>
      <c r="B761" s="2" t="str">
        <f>IFERROR(__xludf.DUMMYFUNCTION("GOOGLETRANSLATE(A761, ""en"", ""mt"")"),"Armata tal-Ġermanja inferjuri")</f>
        <v>Armata tal-Ġermanja inferjuri</v>
      </c>
    </row>
    <row r="762" ht="15.75" customHeight="1">
      <c r="A762" s="2" t="s">
        <v>762</v>
      </c>
      <c r="B762" s="2" t="str">
        <f>IFERROR(__xludf.DUMMYFUNCTION("GOOGLETRANSLATE(A762, ""en"", ""mt"")"),"Min kien il-president ta 'ABC Television fl-1976?")</f>
        <v>Min kien il-president ta 'ABC Television fl-1976?</v>
      </c>
    </row>
    <row r="763" ht="15.75" customHeight="1">
      <c r="A763" s="2" t="s">
        <v>763</v>
      </c>
      <c r="B763" s="2" t="str">
        <f>IFERROR(__xludf.DUMMYFUNCTION("GOOGLETRANSLATE(A763, ""en"", ""mt"")"),"Newcastle Student Radio")</f>
        <v>Newcastle Student Radio</v>
      </c>
    </row>
    <row r="764" ht="15.75" customHeight="1">
      <c r="A764" s="2" t="s">
        <v>764</v>
      </c>
      <c r="B764" s="2" t="str">
        <f>IFERROR(__xludf.DUMMYFUNCTION("GOOGLETRANSLATE(A764, ""en"", ""mt"")"),"Liema ammont tal-karbonju tad-dinja huwa maħżun fil-foresta tal-Amażonja?")</f>
        <v>Liema ammont tal-karbonju tad-dinja huwa maħżun fil-foresta tal-Amażonja?</v>
      </c>
    </row>
    <row r="765" ht="15.75" customHeight="1">
      <c r="A765" s="2" t="s">
        <v>765</v>
      </c>
      <c r="B765" s="2" t="str">
        <f>IFERROR(__xludf.DUMMYFUNCTION("GOOGLETRANSLATE(A765, ""en"", ""mt"")"),"Ġlieda kontra l-apartheid")</f>
        <v>Ġlieda kontra l-apartheid</v>
      </c>
    </row>
    <row r="766" ht="15.75" customHeight="1">
      <c r="A766" s="2" t="s">
        <v>766</v>
      </c>
      <c r="B766" s="2" t="str">
        <f>IFERROR(__xludf.DUMMYFUNCTION("GOOGLETRANSLATE(A766, ""en"", ""mt"")"),"stima ta '$ 200,000 f'liċenzji u royalties")</f>
        <v>stima ta '$ 200,000 f'liċenzji u royalties</v>
      </c>
    </row>
    <row r="767" ht="15.75" customHeight="1">
      <c r="A767" s="2" t="s">
        <v>767</v>
      </c>
      <c r="B767" s="2" t="str">
        <f>IFERROR(__xludf.DUMMYFUNCTION("GOOGLETRANSLATE(A767, ""en"", ""mt"")"),"Elementi ewlenin")</f>
        <v>Elementi ewlenin</v>
      </c>
    </row>
    <row r="768" ht="15.75" customHeight="1">
      <c r="A768" s="2" t="s">
        <v>768</v>
      </c>
      <c r="B768" s="2" t="str">
        <f>IFERROR(__xludf.DUMMYFUNCTION("GOOGLETRANSLATE(A768, ""en"", ""mt"")"),"Bejn wieħed u ieħor kemm tpinġijiet Ingliżi huma inklużi fil-kollezzjoni V &amp; A?")</f>
        <v>Bejn wieħed u ieħor kemm tpinġijiet Ingliżi huma inklużi fil-kollezzjoni V &amp; A?</v>
      </c>
    </row>
    <row r="769" ht="15.75" customHeight="1">
      <c r="A769" s="2" t="s">
        <v>769</v>
      </c>
      <c r="B769" s="2" t="str">
        <f>IFERROR(__xludf.DUMMYFUNCTION("GOOGLETRANSLATE(A769, ""en"", ""mt"")"),"It-tensjoni, il-kompressjoni, u t-tkaxkir huma x'tip ta 'forzi?")</f>
        <v>It-tensjoni, il-kompressjoni, u t-tkaxkir huma x'tip ta 'forzi?</v>
      </c>
    </row>
    <row r="770" ht="15.75" customHeight="1">
      <c r="A770" s="2" t="s">
        <v>770</v>
      </c>
      <c r="B770" s="2" t="str">
        <f>IFERROR(__xludf.DUMMYFUNCTION("GOOGLETRANSLATE(A770, ""en"", ""mt"")"),"Liema proċess jattribwixxi ġid ġdid lil dawk li diġà għandhom?")</f>
        <v>Liema proċess jattribwixxi ġid ġdid lil dawk li diġà għandhom?</v>
      </c>
    </row>
    <row r="771" ht="15.75" customHeight="1">
      <c r="A771" s="2" t="s">
        <v>771</v>
      </c>
      <c r="B771" s="2" t="str">
        <f>IFERROR(__xludf.DUMMYFUNCTION("GOOGLETRANSLATE(A771, ""en"", ""mt"")"),"Meta kien Geegen l-Imperatur?")</f>
        <v>Meta kien Geegen l-Imperatur?</v>
      </c>
    </row>
    <row r="772" ht="15.75" customHeight="1">
      <c r="A772" s="2" t="s">
        <v>772</v>
      </c>
      <c r="B772" s="2" t="str">
        <f>IFERROR(__xludf.DUMMYFUNCTION("GOOGLETRANSLATE(A772, ""en"", ""mt"")"),"Gvernijiet inkompetenti, ineffiċjenti, jew negliċi")</f>
        <v>Gvernijiet inkompetenti, ineffiċjenti, jew negliċi</v>
      </c>
    </row>
    <row r="773" ht="15.75" customHeight="1">
      <c r="A773" s="2" t="s">
        <v>773</v>
      </c>
      <c r="B773" s="2" t="str">
        <f>IFERROR(__xludf.DUMMYFUNCTION("GOOGLETRANSLATE(A773, ""en"", ""mt"")"),"Liema indiċi huwa indikatur tal-effetti tat-taxxi applikati għall-infiq soċjali?")</f>
        <v>Liema indiċi huwa indikatur tal-effetti tat-taxxi applikati għall-infiq soċjali?</v>
      </c>
    </row>
    <row r="774" ht="15.75" customHeight="1">
      <c r="A774" s="2" t="s">
        <v>774</v>
      </c>
      <c r="B774" s="2" t="str">
        <f>IFERROR(__xludf.DUMMYFUNCTION("GOOGLETRANSLATE(A774, ""en"", ""mt"")"),"Liema Papa bħala nattiv tal-Polonja?")</f>
        <v>Liema Papa bħala nattiv tal-Polonja?</v>
      </c>
    </row>
    <row r="775" ht="15.75" customHeight="1">
      <c r="A775" s="2" t="s">
        <v>775</v>
      </c>
      <c r="B775" s="2" t="str">
        <f>IFERROR(__xludf.DUMMYFUNCTION("GOOGLETRANSLATE(A775, ""en"", ""mt"")"),"X'tip ta 'magni użaw is-sistema ta' bilanċ ta 'l-ischlick-tweedy Yarrow?")</f>
        <v>X'tip ta 'magni użaw is-sistema ta' bilanċ ta 'l-ischlick-tweedy Yarrow?</v>
      </c>
    </row>
    <row r="776" ht="15.75" customHeight="1">
      <c r="A776" s="2" t="s">
        <v>776</v>
      </c>
      <c r="B776" s="2" t="str">
        <f>IFERROR(__xludf.DUMMYFUNCTION("GOOGLETRANSLATE(A776, ""en"", ""mt"")"),"Kif tissejjaħ id-diżubbidjenza ċivili fejn in-nies jirrifjutaw li jiġu meħlusa?")</f>
        <v>Kif tissejjaħ id-diżubbidjenza ċivili fejn in-nies jirrifjutaw li jiġu meħlusa?</v>
      </c>
    </row>
    <row r="777" ht="15.75" customHeight="1">
      <c r="A777" s="2" t="s">
        <v>777</v>
      </c>
      <c r="B777" s="2" t="str">
        <f>IFERROR(__xludf.DUMMYFUNCTION("GOOGLETRANSLATE(A777, ""en"", ""mt"")"),"konnessi permezz ta 'konnessjonijiet dial-up jew konnessjonijiet async dedikati")</f>
        <v>konnessi permezz ta 'konnessjonijiet dial-up jew konnessjonijiet async dedikati</v>
      </c>
    </row>
    <row r="778" ht="15.75" customHeight="1">
      <c r="A778" s="2" t="s">
        <v>778</v>
      </c>
      <c r="B778" s="2" t="str">
        <f>IFERROR(__xludf.DUMMYFUNCTION("GOOGLETRANSLATE(A778, ""en"", ""mt"")"),"X logħob")</f>
        <v>X logħob</v>
      </c>
    </row>
    <row r="779" ht="15.75" customHeight="1">
      <c r="A779" s="2" t="s">
        <v>779</v>
      </c>
      <c r="B779" s="2" t="str">
        <f>IFERROR(__xludf.DUMMYFUNCTION("GOOGLETRANSLATE(A779, ""en"", ""mt"")"),"L-UMC")</f>
        <v>L-UMC</v>
      </c>
    </row>
    <row r="780" ht="15.75" customHeight="1">
      <c r="A780" s="2" t="s">
        <v>780</v>
      </c>
      <c r="B780" s="2" t="str">
        <f>IFERROR(__xludf.DUMMYFUNCTION("GOOGLETRANSLATE(A780, ""en"", ""mt"")"),"Hemm ħdax-il skejjel iffinanzjati mill-LEA u seba 'skejjel indipendenti bis-sitt formoli fi Newcastle. Hemm numru ta 'skejjel tal-istat ta' suċċess, inklużi Walker Technology College, Gosforth High School, Heaton Manor School, St Cuthbert's High School, S"&amp;"t Mary's Catholic Comprensive School, Kenton School, George Stephenson High School, Sacred Heart u Benfield School. L-akbar skola indipendenti ko-ed hija l-Iskola tal-Grammatika Rjali. L-akbar skola indipendenti tal-bniet hija Newcastle High School for Gi"&amp;"rls. Iż-żewġ skejjel jinsabu fl-istess triq f'Jesmond. Newcastle School for Boys hija l-unika skola tas-subien indipendenti fil-belt u tinsab f'Gosforth. Newcastle College huwa l-akbar kulleġġ ġenerali ta ’edukazzjoni ulterjuri fil-Lvant tal-Grigal u huwa"&amp;" kulleġġ tal-istatus tal-beacon; Hemm żewġ kulleġġi iżgħar fiż-żona ta 'Newcastle. L-Iskola Sekondarja ta ’St Cuthbert u l-Qalb Sagra huma ż-żewġ skejjel għolja tal-istat-Kattoliku tal-Istat, u t-tnejn qed jiksbu riżultati bl-istess mod mal-iskejjel indip"&amp;"endenti fi Newcastle.")</f>
        <v>Hemm ħdax-il skejjel iffinanzjati mill-LEA u seba 'skejjel indipendenti bis-sitt formoli fi Newcastle. Hemm numru ta 'skejjel tal-istat ta' suċċess, inklużi Walker Technology College, Gosforth High School, Heaton Manor School, St Cuthbert's High School, St Mary's Catholic Comprensive School, Kenton School, George Stephenson High School, Sacred Heart u Benfield School. L-akbar skola indipendenti ko-ed hija l-Iskola tal-Grammatika Rjali. L-akbar skola indipendenti tal-bniet hija Newcastle High School for Girls. Iż-żewġ skejjel jinsabu fl-istess triq f'Jesmond. Newcastle School for Boys hija l-unika skola tas-subien indipendenti fil-belt u tinsab f'Gosforth. Newcastle College huwa l-akbar kulleġġ ġenerali ta ’edukazzjoni ulterjuri fil-Lvant tal-Grigal u huwa kulleġġ tal-istatus tal-beacon; Hemm żewġ kulleġġi iżgħar fiż-żona ta 'Newcastle. L-Iskola Sekondarja ta ’St Cuthbert u l-Qalb Sagra huma ż-żewġ skejjel għolja tal-istat-Kattoliku tal-Istat, u t-tnejn qed jiksbu riżultati bl-istess mod mal-iskejjel indipendenti fi Newcastle.</v>
      </c>
    </row>
    <row r="781" ht="15.75" customHeight="1">
      <c r="A781" s="2" t="s">
        <v>781</v>
      </c>
      <c r="B781" s="2" t="str">
        <f>IFERROR(__xludf.DUMMYFUNCTION("GOOGLETRANSLATE(A781, ""en"", ""mt"")"),"Wara l-massakru ta 'Peterloo tal-1819, il-poeta Percy Shelley kiteb il-poeżija politika The Mask of Anarchy aktar tard dik is-sena, li tibda bl-immaġini ta' dak li hu ħaseb li huma l-forom inġusti ta 'awtorità ta' żmienu - u mbagħad jimmaġinaw it-taħwid t"&amp;"a 'ġdid forma ta 'azzjoni soċjali. Hija forsi l-ewwel dikjarazzjoni moderna [vaga] tal-prinċipju ta 'protesta mhux vjolenti. Verżjoni ttieħdet mill-awtur Henry David Thoreau fl-esej tiegħu diżubbidjenza ċivili, u aktar tard minn Gandhi fid-duttrina tiegħu"&amp;" ta 'Satyagraha. Satyagraha ta 'Gandhi kienet parzjalment influwenzata u ispirata min-nonvjolenza ta' Shelley bħala protesta u azzjoni politika. B'mod partikolari, huwa magħruf li Gandhi spiss jikkwota l-masque ta 'l-anarkija ta' Shelley għal udjenzi vast"&amp;"i matul il-kampanja għal Indja ħielsa.")</f>
        <v>Wara l-massakru ta 'Peterloo tal-1819, il-poeta Percy Shelley kiteb il-poeżija politika The Mask of Anarchy aktar tard dik is-sena, li tibda bl-immaġini ta' dak li hu ħaseb li huma l-forom inġusti ta 'awtorità ta' żmienu - u mbagħad jimmaġinaw it-taħwid ta 'ġdid forma ta 'azzjoni soċjali. Hija forsi l-ewwel dikjarazzjoni moderna [vaga] tal-prinċipju ta 'protesta mhux vjolenti. Verżjoni ttieħdet mill-awtur Henry David Thoreau fl-esej tiegħu diżubbidjenza ċivili, u aktar tard minn Gandhi fid-duttrina tiegħu ta 'Satyagraha. Satyagraha ta 'Gandhi kienet parzjalment influwenzata u ispirata min-nonvjolenza ta' Shelley bħala protesta u azzjoni politika. B'mod partikolari, huwa magħruf li Gandhi spiss jikkwota l-masque ta 'l-anarkija ta' Shelley għal udjenzi vasti matul il-kampanja għal Indja ħielsa.</v>
      </c>
    </row>
    <row r="782" ht="15.75" customHeight="1">
      <c r="A782" s="2" t="s">
        <v>782</v>
      </c>
      <c r="B782" s="2" t="str">
        <f>IFERROR(__xludf.DUMMYFUNCTION("GOOGLETRANSLATE(A782, ""en"", ""mt"")"),"identifikazzjoni ta 'għanijiet ta' terapija")</f>
        <v>identifikazzjoni ta 'għanijiet ta' terapija</v>
      </c>
    </row>
    <row r="783" ht="15.75" customHeight="1">
      <c r="A783" s="2" t="s">
        <v>783</v>
      </c>
      <c r="B783" s="2" t="str">
        <f>IFERROR(__xludf.DUMMYFUNCTION("GOOGLETRANSLATE(A783, ""en"", ""mt"")"),"Liema kejl tal-ħin jintuża fit-tnaqqis tal-ħin polinomjali?")</f>
        <v>Liema kejl tal-ħin jintuża fit-tnaqqis tal-ħin polinomjali?</v>
      </c>
    </row>
    <row r="784" ht="15.75" customHeight="1">
      <c r="A784" s="2" t="s">
        <v>784</v>
      </c>
      <c r="B784" s="2" t="str">
        <f>IFERROR(__xludf.DUMMYFUNCTION("GOOGLETRANSLATE(A784, ""en"", ""mt"")"),"Kemm nies mietu fit-tifqigħa tal-1471?")</f>
        <v>Kemm nies mietu fit-tifqigħa tal-1471?</v>
      </c>
    </row>
    <row r="785" ht="15.75" customHeight="1">
      <c r="A785" s="2" t="s">
        <v>785</v>
      </c>
      <c r="B785" s="2" t="str">
        <f>IFERROR(__xludf.DUMMYFUNCTION("GOOGLETRANSLATE(A785, ""en"", ""mt"")"),"X'kien l-għan tal-expedition ta 'Braddock?")</f>
        <v>X'kien l-għan tal-expedition ta 'Braddock?</v>
      </c>
    </row>
    <row r="786" ht="15.75" customHeight="1">
      <c r="A786" s="2" t="s">
        <v>786</v>
      </c>
      <c r="B786" s="2" t="str">
        <f>IFERROR(__xludf.DUMMYFUNCTION("GOOGLETRANSLATE(A786, ""en"", ""mt"")"),"1864")</f>
        <v>1864</v>
      </c>
    </row>
    <row r="787" ht="15.75" customHeight="1">
      <c r="A787" s="2" t="s">
        <v>787</v>
      </c>
      <c r="B787" s="2" t="str">
        <f>IFERROR(__xludf.DUMMYFUNCTION("GOOGLETRANSLATE(A787, ""en"", ""mt"")"),"poter politiku")</f>
        <v>poter politiku</v>
      </c>
    </row>
    <row r="788" ht="15.75" customHeight="1">
      <c r="A788" s="2" t="s">
        <v>788</v>
      </c>
      <c r="B788" s="2" t="str">
        <f>IFERROR(__xludf.DUMMYFUNCTION("GOOGLETRANSLATE(A788, ""en"", ""mt"")"),"Bejn Settembru u Novembru 1946,")</f>
        <v>Bejn Settembru u Novembru 1946,</v>
      </c>
    </row>
    <row r="789" ht="15.75" customHeight="1">
      <c r="A789" s="2" t="s">
        <v>789</v>
      </c>
      <c r="B789" s="2" t="str">
        <f>IFERROR(__xludf.DUMMYFUNCTION("GOOGLETRANSLATE(A789, ""en"", ""mt"")"),"Il-Kunsill Ewropew")</f>
        <v>Il-Kunsill Ewropew</v>
      </c>
    </row>
    <row r="790" ht="15.75" customHeight="1">
      <c r="A790" s="2" t="s">
        <v>790</v>
      </c>
      <c r="B790" s="2" t="str">
        <f>IFERROR(__xludf.DUMMYFUNCTION("GOOGLETRANSLATE(A790, ""en"", ""mt"")"),"Meta rritorna l-armata ta 'Subutai fil-Mongolja?")</f>
        <v>Meta rritorna l-armata ta 'Subutai fil-Mongolja?</v>
      </c>
    </row>
    <row r="791" ht="15.75" customHeight="1">
      <c r="A791" s="2" t="s">
        <v>791</v>
      </c>
      <c r="B791" s="2" t="str">
        <f>IFERROR(__xludf.DUMMYFUNCTION("GOOGLETRANSLATE(A791, ""en"", ""mt"")"),"Ta 'liema kumpanija tal-films ta' Hollywood kienet upt sussidjarja ta 'meta ngħaqdet ma' ABC?")</f>
        <v>Ta 'liema kumpanija tal-films ta' Hollywood kienet upt sussidjarja ta 'meta ngħaqdet ma' ABC?</v>
      </c>
    </row>
    <row r="792" ht="15.75" customHeight="1">
      <c r="A792" s="2" t="s">
        <v>792</v>
      </c>
      <c r="B792" s="2" t="str">
        <f>IFERROR(__xludf.DUMMYFUNCTION("GOOGLETRANSLATE(A792, ""en"", ""mt"")"),"Il-Lag Constance jifred il-Bavarja tal-Istat Ġermaniż minn liema waħda oħra?")</f>
        <v>Il-Lag Constance jifred il-Bavarja tal-Istat Ġermaniż minn liema waħda oħra?</v>
      </c>
    </row>
    <row r="793" ht="15.75" customHeight="1">
      <c r="A793" s="2" t="s">
        <v>793</v>
      </c>
      <c r="B793" s="2" t="str">
        <f>IFERROR(__xludf.DUMMYFUNCTION("GOOGLETRANSLATE(A793, ""en"", ""mt"")"),"idolatrija")</f>
        <v>idolatrija</v>
      </c>
    </row>
    <row r="794" ht="15.75" customHeight="1">
      <c r="A794" s="2" t="s">
        <v>794</v>
      </c>
      <c r="B794" s="2" t="str">
        <f>IFERROR(__xludf.DUMMYFUNCTION("GOOGLETRANSLATE(A794, ""en"", ""mt"")"),"Qorti Suprema tar-Renju Unit")</f>
        <v>Qorti Suprema tar-Renju Unit</v>
      </c>
    </row>
    <row r="795" ht="15.75" customHeight="1">
      <c r="A795" s="2" t="s">
        <v>795</v>
      </c>
      <c r="B795" s="2" t="str">
        <f>IFERROR(__xludf.DUMMYFUNCTION("GOOGLETRANSLATE(A795, ""en"", ""mt"")"),"Speċjalisti tas-suġġetti differenti")</f>
        <v>Speċjalisti tas-suġġetti differenti</v>
      </c>
    </row>
    <row r="796" ht="15.75" customHeight="1">
      <c r="A796" s="2" t="s">
        <v>796</v>
      </c>
      <c r="B796" s="2" t="str">
        <f>IFERROR(__xludf.DUMMYFUNCTION("GOOGLETRANSLATE(A796, ""en"", ""mt"")"),"Qrati tal-Istati Membri u l-Qorti tal-Ġustizzja tal-Unjoni Ewropea")</f>
        <v>Qrati tal-Istati Membri u l-Qorti tal-Ġustizzja tal-Unjoni Ewropea</v>
      </c>
    </row>
    <row r="797" ht="15.75" customHeight="1">
      <c r="A797" s="2" t="s">
        <v>797</v>
      </c>
      <c r="B797" s="2" t="str">
        <f>IFERROR(__xludf.DUMMYFUNCTION("GOOGLETRANSLATE(A797, ""en"", ""mt"")"),"€ 25,000")</f>
        <v>€ 25,000</v>
      </c>
    </row>
    <row r="798" ht="15.75" customHeight="1">
      <c r="A798" s="2" t="s">
        <v>798</v>
      </c>
      <c r="B798" s="2" t="str">
        <f>IFERROR(__xludf.DUMMYFUNCTION("GOOGLETRANSLATE(A798, ""en"", ""mt"")"),"Problemi intermedjati NP")</f>
        <v>Problemi intermedjati NP</v>
      </c>
    </row>
    <row r="799" ht="15.75" customHeight="1">
      <c r="A799" s="2" t="s">
        <v>799</v>
      </c>
      <c r="B799" s="2" t="str">
        <f>IFERROR(__xludf.DUMMYFUNCTION("GOOGLETRANSLATE(A799, ""en"", ""mt"")"),"Ming-Tan")</f>
        <v>Ming-Tan</v>
      </c>
    </row>
    <row r="800" ht="15.75" customHeight="1">
      <c r="A800" s="2" t="s">
        <v>800</v>
      </c>
      <c r="B800" s="2" t="str">
        <f>IFERROR(__xludf.DUMMYFUNCTION("GOOGLETRANSLATE(A800, ""en"", ""mt"")"),"Kibaki għalaq id-distakk u mbagħad għadda lill-avversarju tiegħu b'marġni sostanzjali wara li l-voti mill-fortizza tiegħu waslu aktar tard")</f>
        <v>Kibaki għalaq id-distakk u mbagħad għadda lill-avversarju tiegħu b'marġni sostanzjali wara li l-voti mill-fortizza tiegħu waslu aktar tard</v>
      </c>
    </row>
    <row r="801" ht="15.75" customHeight="1">
      <c r="A801" s="2" t="s">
        <v>801</v>
      </c>
      <c r="B801" s="2" t="str">
        <f>IFERROR(__xludf.DUMMYFUNCTION("GOOGLETRANSLATE(A801, ""en"", ""mt"")"),"Futbol Ingliż Premier League")</f>
        <v>Futbol Ingliż Premier League</v>
      </c>
    </row>
    <row r="802" ht="15.75" customHeight="1">
      <c r="A802" s="2" t="s">
        <v>802</v>
      </c>
      <c r="B802" s="2" t="str">
        <f>IFERROR(__xludf.DUMMYFUNCTION("GOOGLETRANSLATE(A802, ""en"", ""mt"")"),"L-Isqof qara l-appuntamenti fis-sessjoni tal-Konferenza Annwali")</f>
        <v>L-Isqof qara l-appuntamenti fis-sessjoni tal-Konferenza Annwali</v>
      </c>
    </row>
    <row r="803" ht="15.75" customHeight="1">
      <c r="A803" s="2" t="s">
        <v>803</v>
      </c>
      <c r="B803" s="2" t="str">
        <f>IFERROR(__xludf.DUMMYFUNCTION("GOOGLETRANSLATE(A803, ""en"", ""mt"")"),"Kif Huguenots evolvew it-twemmin reliġjuż tagħhom fid-dinja l-ġdida?")</f>
        <v>Kif Huguenots evolvew it-twemmin reliġjuż tagħhom fid-dinja l-ġdida?</v>
      </c>
    </row>
    <row r="804" ht="15.75" customHeight="1">
      <c r="A804" s="2" t="s">
        <v>804</v>
      </c>
      <c r="B804" s="2" t="str">
        <f>IFERROR(__xludf.DUMMYFUNCTION("GOOGLETRANSLATE(A804, ""en"", ""mt"")"),"Jekk l-NP ma jkunx daqs P, meqjus permezz ta 'din il-lenti, liema tip ta' problemi jistgħu wkoll jitqiesu intrattabbli?")</f>
        <v>Jekk l-NP ma jkunx daqs P, meqjus permezz ta 'din il-lenti, liema tip ta' problemi jistgħu wkoll jitqiesu intrattabbli?</v>
      </c>
    </row>
    <row r="805" ht="15.75" customHeight="1">
      <c r="A805" s="2" t="s">
        <v>805</v>
      </c>
      <c r="B805" s="2" t="str">
        <f>IFERROR(__xludf.DUMMYFUNCTION("GOOGLETRANSLATE(A805, ""en"", ""mt"")"),"turbini tal-gass")</f>
        <v>turbini tal-gass</v>
      </c>
    </row>
    <row r="806" ht="15.75" customHeight="1">
      <c r="A806" s="2" t="s">
        <v>806</v>
      </c>
      <c r="B806" s="2" t="str">
        <f>IFERROR(__xludf.DUMMYFUNCTION("GOOGLETRANSLATE(A806, ""en"", ""mt"")"),"Antichrist")</f>
        <v>Antichrist</v>
      </c>
    </row>
    <row r="807" ht="15.75" customHeight="1">
      <c r="A807" s="2" t="s">
        <v>807</v>
      </c>
      <c r="B807" s="2" t="str">
        <f>IFERROR(__xludf.DUMMYFUNCTION("GOOGLETRANSLATE(A807, ""en"", ""mt"")"),"L-Att dwar il-Kostituzzjoni tar-Rabat 1855")</f>
        <v>L-Att dwar il-Kostituzzjoni tar-Rabat 1855</v>
      </c>
    </row>
    <row r="808" ht="15.75" customHeight="1">
      <c r="A808" s="2" t="s">
        <v>808</v>
      </c>
      <c r="B808" s="2" t="str">
        <f>IFERROR(__xludf.DUMMYFUNCTION("GOOGLETRANSLATE(A808, ""en"", ""mt"")"),"X’istenna lil Genghis Khan mill-ġenerali tiegħu flimkien mal-awtonomija li tahom?")</f>
        <v>X’istenna lil Genghis Khan mill-ġenerali tiegħu flimkien mal-awtonomija li tahom?</v>
      </c>
    </row>
    <row r="809" ht="15.75" customHeight="1">
      <c r="A809" s="2" t="s">
        <v>809</v>
      </c>
      <c r="B809" s="2" t="str">
        <f>IFERROR(__xludf.DUMMYFUNCTION("GOOGLETRANSLATE(A809, ""en"", ""mt"")"),"Reazzjoni ta 'azzjoni")</f>
        <v>Reazzjoni ta 'azzjoni</v>
      </c>
    </row>
    <row r="810" ht="15.75" customHeight="1">
      <c r="A810" s="2" t="s">
        <v>810</v>
      </c>
      <c r="B810" s="2" t="str">
        <f>IFERROR(__xludf.DUMMYFUNCTION("GOOGLETRANSLATE(A810, ""en"", ""mt"")"),"Xi jfisser l-isem oriġinali ta 'Colonia Agrippina?")</f>
        <v>Xi jfisser l-isem oriġinali ta 'Colonia Agrippina?</v>
      </c>
    </row>
    <row r="811" ht="15.75" customHeight="1">
      <c r="A811" s="2" t="s">
        <v>811</v>
      </c>
      <c r="B811" s="2" t="str">
        <f>IFERROR(__xludf.DUMMYFUNCTION("GOOGLETRANSLATE(A811, ""en"", ""mt"")"),"Huma jaraw il-valur ekonomiku tal-kannamieli tal-gżejjer tal-Karibew biex ikun akbar")</f>
        <v>Huma jaraw il-valur ekonomiku tal-kannamieli tal-gżejjer tal-Karibew biex ikun akbar</v>
      </c>
    </row>
    <row r="812" ht="15.75" customHeight="1">
      <c r="A812" s="2" t="s">
        <v>812</v>
      </c>
      <c r="B812" s="2" t="str">
        <f>IFERROR(__xludf.DUMMYFUNCTION("GOOGLETRANSLATE(A812, ""en"", ""mt"")"),"Min lagħab il-kaptan fil-film tat-TV tal-1996?")</f>
        <v>Min lagħab il-kaptan fil-film tat-TV tal-1996?</v>
      </c>
    </row>
    <row r="813" ht="15.75" customHeight="1">
      <c r="A813" s="2" t="s">
        <v>813</v>
      </c>
      <c r="B813" s="2" t="str">
        <f>IFERROR(__xludf.DUMMYFUNCTION("GOOGLETRANSLATE(A813, ""en"", ""mt"")"),"Kent, partikolarment Sandwich, Faversham u Maidstone")</f>
        <v>Kent, partikolarment Sandwich, Faversham u Maidstone</v>
      </c>
    </row>
    <row r="814" ht="15.75" customHeight="1">
      <c r="A814" s="2" t="s">
        <v>814</v>
      </c>
      <c r="B814" s="2" t="str">
        <f>IFERROR(__xludf.DUMMYFUNCTION("GOOGLETRANSLATE(A814, ""en"", ""mt"")"),"It-tirojde ta ’Hashimoto")</f>
        <v>It-tirojde ta ’Hashimoto</v>
      </c>
    </row>
    <row r="815" ht="15.75" customHeight="1">
      <c r="A815" s="2" t="s">
        <v>815</v>
      </c>
      <c r="B815" s="2" t="str">
        <f>IFERROR(__xludf.DUMMYFUNCTION("GOOGLETRANSLATE(A815, ""en"", ""mt"")"),"Ir-riċetturi tar-rikonoxximent tal-mudelli jirrikonoxxu komponenti preżenti fi gruppi wesgħin ta 'xiex?")</f>
        <v>Ir-riċetturi tar-rikonoxximent tal-mudelli jirrikonoxxu komponenti preżenti fi gruppi wesgħin ta 'xiex?</v>
      </c>
    </row>
    <row r="816" ht="15.75" customHeight="1">
      <c r="A816" s="2" t="s">
        <v>816</v>
      </c>
      <c r="B816" s="2" t="str">
        <f>IFERROR(__xludf.DUMMYFUNCTION("GOOGLETRANSLATE(A816, ""en"", ""mt"")"),"Kemm hemm thylakoids tal-granal ġeneralment f'kull granum?")</f>
        <v>Kemm hemm thylakoids tal-granal ġeneralment f'kull granum?</v>
      </c>
    </row>
    <row r="817" ht="15.75" customHeight="1">
      <c r="A817" s="2" t="s">
        <v>817</v>
      </c>
      <c r="B817" s="2" t="str">
        <f>IFERROR(__xludf.DUMMYFUNCTION("GOOGLETRANSLATE(A817, ""en"", ""mt"")"),"F'liema oqsma huma l-informatika tal-ispiżerija ppreparati biex taħdem?")</f>
        <v>F'liema oqsma huma l-informatika tal-ispiżerija ppreparati biex taħdem?</v>
      </c>
    </row>
    <row r="818" ht="15.75" customHeight="1">
      <c r="A818" s="2" t="s">
        <v>818</v>
      </c>
      <c r="B818" s="2" t="str">
        <f>IFERROR(__xludf.DUMMYFUNCTION("GOOGLETRANSLATE(A818, ""en"", ""mt"")"),"Capitol Hill, Washington, D.C.")</f>
        <v>Capitol Hill, Washington, D.C.</v>
      </c>
    </row>
    <row r="819" ht="15.75" customHeight="1">
      <c r="A819" s="2" t="s">
        <v>819</v>
      </c>
      <c r="B819" s="2" t="str">
        <f>IFERROR(__xludf.DUMMYFUNCTION("GOOGLETRANSLATE(A819, ""en"", ""mt"")"),"Għaliex huwa preferut li d-diżubbidjenza ċivili mhix vjolenti?")</f>
        <v>Għaliex huwa preferut li d-diżubbidjenza ċivili mhix vjolenti?</v>
      </c>
    </row>
    <row r="820" ht="15.75" customHeight="1">
      <c r="A820" s="2" t="s">
        <v>820</v>
      </c>
      <c r="B820" s="2" t="str">
        <f>IFERROR(__xludf.DUMMYFUNCTION("GOOGLETRANSLATE(A820, ""en"", ""mt"")"),"jinkorporaw in-nematokisti tal-priża tagħhom (ċelloli stinging) fit-tentakli tagħhom stess minflok kolloblasti")</f>
        <v>jinkorporaw in-nematokisti tal-priża tagħhom (ċelloli stinging) fit-tentakli tagħhom stess minflok kolloblasti</v>
      </c>
    </row>
    <row r="821" ht="15.75" customHeight="1">
      <c r="A821" s="2" t="s">
        <v>821</v>
      </c>
      <c r="B821" s="2" t="str">
        <f>IFERROR(__xludf.DUMMYFUNCTION("GOOGLETRANSLATE(A821, ""en"", ""mt"")"),"L-iżvilupp ta 'Terra Preta ppermetta għal dak li jiġri fil-foresta tal-Amażonja?")</f>
        <v>L-iżvilupp ta 'Terra Preta ppermetta għal dak li jiġri fil-foresta tal-Amażonja?</v>
      </c>
    </row>
    <row r="822" ht="15.75" customHeight="1">
      <c r="A822" s="2" t="s">
        <v>822</v>
      </c>
      <c r="B822" s="2" t="str">
        <f>IFERROR(__xludf.DUMMYFUNCTION("GOOGLETRANSLATE(A822, ""en"", ""mt"")"),"skart tossiku")</f>
        <v>skart tossiku</v>
      </c>
    </row>
    <row r="823" ht="15.75" customHeight="1">
      <c r="A823" s="2" t="s">
        <v>823</v>
      </c>
      <c r="B823" s="2" t="str">
        <f>IFERROR(__xludf.DUMMYFUNCTION("GOOGLETRANSLATE(A823, ""en"", ""mt"")"),"Fl-2008, is-sonda Selene tal-Aġenzija tal-Esplorazzjoni tal-Aerospazjali tal-Ġappun osservat evidenza tal-halo li jdawwar il-modulu Lunar Apollo 15 Lunar Crater waqt li jorbita 'l fuq mill-wiċċ Lunar. Fl-2009, l-orbiter robotiku tan-NASA Lunar, waqt li jo"&amp;"rbita 50 kilometru (31 mi) 'il fuq mill-qamar, beda jirriproduċi l-fdalijiet tal-programm Apollo li ħalla fuq il-wiċċ Lunar, u fotografat kull sit fejn it-titjiriet Apollo ħatt l-art. Il-bnadar kollha tal-U. il-modulu tal-kmand tal-missjoni fl-orbita luna"&amp;"ri; Il-grad sa fejn dawn il-bnadar iżommu l-kuluri oriġinali tagħhom għadu mhux magħruf.")</f>
        <v>Fl-2008, is-sonda Selene tal-Aġenzija tal-Esplorazzjoni tal-Aerospazjali tal-Ġappun osservat evidenza tal-halo li jdawwar il-modulu Lunar Apollo 15 Lunar Crater waqt li jorbita 'l fuq mill-wiċċ Lunar. Fl-2009, l-orbiter robotiku tan-NASA Lunar, waqt li jorbita 50 kilometru (31 mi) 'il fuq mill-qamar, beda jirriproduċi l-fdalijiet tal-programm Apollo li ħalla fuq il-wiċċ Lunar, u fotografat kull sit fejn it-titjiriet Apollo ħatt l-art. Il-bnadar kollha tal-U. il-modulu tal-kmand tal-missjoni fl-orbita lunari; Il-grad sa fejn dawn il-bnadar iżommu l-kuluri oriġinali tagħhom għadu mhux magħruf.</v>
      </c>
    </row>
    <row r="824" ht="15.75" customHeight="1">
      <c r="A824" s="2" t="s">
        <v>824</v>
      </c>
      <c r="B824" s="2" t="str">
        <f>IFERROR(__xludf.DUMMYFUNCTION("GOOGLETRANSLATE(A824, ""en"", ""mt"")"),"X'inhuma kawżi oħra ta 'fatalità?")</f>
        <v>X'inhuma kawżi oħra ta 'fatalità?</v>
      </c>
    </row>
    <row r="825" ht="15.75" customHeight="1">
      <c r="A825" s="2" t="s">
        <v>825</v>
      </c>
      <c r="B825" s="2" t="str">
        <f>IFERROR(__xludf.DUMMYFUNCTION("GOOGLETRANSLATE(A825, ""en"", ""mt"")"),"Lingwa solvuta fi żmien kwadratiku timplika l-użu ta 'liema tip ta' magna tat-Turing?")</f>
        <v>Lingwa solvuta fi żmien kwadratiku timplika l-użu ta 'liema tip ta' magna tat-Turing?</v>
      </c>
    </row>
    <row r="826" ht="15.75" customHeight="1">
      <c r="A826" s="2" t="s">
        <v>826</v>
      </c>
      <c r="B826" s="2" t="str">
        <f>IFERROR(__xludf.DUMMYFUNCTION("GOOGLETRANSLATE(A826, ""en"", ""mt"")"),"Biex tiżgura li r-riċetta tkun valida")</f>
        <v>Biex tiżgura li r-riċetta tkun valida</v>
      </c>
    </row>
    <row r="827" ht="15.75" customHeight="1">
      <c r="A827" s="2" t="s">
        <v>827</v>
      </c>
      <c r="B827" s="2" t="str">
        <f>IFERROR(__xludf.DUMMYFUNCTION("GOOGLETRANSLATE(A827, ""en"", ""mt"")"),"13-il sena")</f>
        <v>13-il sena</v>
      </c>
    </row>
    <row r="828" ht="15.75" customHeight="1">
      <c r="A828" s="2" t="s">
        <v>828</v>
      </c>
      <c r="B828" s="2" t="str">
        <f>IFERROR(__xludf.DUMMYFUNCTION("GOOGLETRANSLATE(A828, ""en"", ""mt"")"),"fi 89 Triq il-Libertà")</f>
        <v>fi 89 Triq il-Libertà</v>
      </c>
    </row>
    <row r="829" ht="15.75" customHeight="1">
      <c r="A829" s="2" t="s">
        <v>829</v>
      </c>
      <c r="B829" s="2" t="str">
        <f>IFERROR(__xludf.DUMMYFUNCTION("GOOGLETRANSLATE(A829, ""en"", ""mt"")"),"negozjar kollettiv, influwenza politika, jew korruzzjoni")</f>
        <v>negozjar kollettiv, influwenza politika, jew korruzzjoni</v>
      </c>
    </row>
    <row r="830" ht="15.75" customHeight="1">
      <c r="A830" s="2" t="s">
        <v>830</v>
      </c>
      <c r="B830" s="2" t="str">
        <f>IFERROR(__xludf.DUMMYFUNCTION("GOOGLETRANSLATE(A830, ""en"", ""mt"")"),"Il-ġeoloġi strutturali jużaw analiżi mikroskopika ta 'sezzjonijiet irqaq orjentati ta' kampjuni ġeoloġiċi biex josservaw id-drapp fil-blat li jagħti informazzjoni dwar ir-razza fl-istruttura kristallina tal-blat. Huma wkoll jippjanaw u jikkombinaw kejl ta"&amp;" 'strutturi ġeoloġiċi sabiex jifhmu aħjar l-orjentazzjonijiet ta' ħsarat u jingħalaq sabiex terġa 'tinbena l-istorja tad-deformazzjoni tal-blat fiż-żona. Barra minn hekk, huma jwettqu esperimenti analogi u numeriċi ta 'deformazzjoni tal-blat f'ambjenti kb"&amp;"ar u żgħar.")</f>
        <v>Il-ġeoloġi strutturali jużaw analiżi mikroskopika ta 'sezzjonijiet irqaq orjentati ta' kampjuni ġeoloġiċi biex josservaw id-drapp fil-blat li jagħti informazzjoni dwar ir-razza fl-istruttura kristallina tal-blat. Huma wkoll jippjanaw u jikkombinaw kejl ta 'strutturi ġeoloġiċi sabiex jifhmu aħjar l-orjentazzjonijiet ta' ħsarat u jingħalaq sabiex terġa 'tinbena l-istorja tad-deformazzjoni tal-blat fiż-żona. Barra minn hekk, huma jwettqu esperimenti analogi u numeriċi ta 'deformazzjoni tal-blat f'ambjenti kbar u żgħar.</v>
      </c>
    </row>
    <row r="831" ht="15.75" customHeight="1">
      <c r="A831" s="2" t="s">
        <v>831</v>
      </c>
      <c r="B831" s="2" t="str">
        <f>IFERROR(__xludf.DUMMYFUNCTION("GOOGLETRANSLATE(A831, ""en"", ""mt"")"),"raġuni")</f>
        <v>raġuni</v>
      </c>
    </row>
    <row r="832" ht="15.75" customHeight="1">
      <c r="A832" s="2" t="s">
        <v>832</v>
      </c>
      <c r="B832" s="2" t="str">
        <f>IFERROR(__xludf.DUMMYFUNCTION("GOOGLETRANSLATE(A832, ""en"", ""mt"")"),"Kemm kienu pro bowlers fuq ir-reat tal-Panthers?")</f>
        <v>Kemm kienu pro bowlers fuq ir-reat tal-Panthers?</v>
      </c>
    </row>
    <row r="833" ht="15.75" customHeight="1">
      <c r="A833" s="2" t="s">
        <v>833</v>
      </c>
      <c r="B833" s="2" t="str">
        <f>IFERROR(__xludf.DUMMYFUNCTION("GOOGLETRANSLATE(A833, ""en"", ""mt"")"),"Aktar minn $ 20 biljun")</f>
        <v>Aktar minn $ 20 biljun</v>
      </c>
    </row>
    <row r="834" ht="15.75" customHeight="1">
      <c r="A834" s="2" t="s">
        <v>834</v>
      </c>
      <c r="B834" s="2" t="str">
        <f>IFERROR(__xludf.DUMMYFUNCTION("GOOGLETRANSLATE(A834, ""en"", ""mt"")"),"Meta rritornat għal formazzjoni interna?")</f>
        <v>Meta rritornat għal formazzjoni interna?</v>
      </c>
    </row>
    <row r="835" ht="15.75" customHeight="1">
      <c r="A835" s="2" t="s">
        <v>835</v>
      </c>
      <c r="B835" s="2" t="str">
        <f>IFERROR(__xludf.DUMMYFUNCTION("GOOGLETRANSLATE(A835, ""en"", ""mt"")"),"Hamas")</f>
        <v>Hamas</v>
      </c>
    </row>
    <row r="836" ht="15.75" customHeight="1">
      <c r="A836" s="2" t="s">
        <v>836</v>
      </c>
      <c r="B836" s="2" t="str">
        <f>IFERROR(__xludf.DUMMYFUNCTION("GOOGLETRANSLATE(A836, ""en"", ""mt"")"),"definizzjonijiet")</f>
        <v>definizzjonijiet</v>
      </c>
    </row>
    <row r="837" ht="15.75" customHeight="1">
      <c r="A837" s="2" t="s">
        <v>837</v>
      </c>
      <c r="B837" s="2" t="str">
        <f>IFERROR(__xludf.DUMMYFUNCTION("GOOGLETRANSLATE(A837, ""en"", ""mt"")"),"Saċerdozju qaddis")</f>
        <v>Saċerdozju qaddis</v>
      </c>
    </row>
    <row r="838" ht="15.75" customHeight="1">
      <c r="A838" s="2" t="s">
        <v>838</v>
      </c>
      <c r="B838" s="2" t="str">
        <f>IFERROR(__xludf.DUMMYFUNCTION("GOOGLETRANSLATE(A838, ""en"", ""mt"")"),"X'inhu membru fundatur tal-Kenja?")</f>
        <v>X'inhu membru fundatur tal-Kenja?</v>
      </c>
    </row>
    <row r="839" ht="15.75" customHeight="1">
      <c r="A839" s="2" t="s">
        <v>839</v>
      </c>
      <c r="B839" s="2" t="str">
        <f>IFERROR(__xludf.DUMMYFUNCTION("GOOGLETRANSLATE(A839, ""en"", ""mt"")"),"Titjib fid-Dar")</f>
        <v>Titjib fid-Dar</v>
      </c>
    </row>
    <row r="840" ht="15.75" customHeight="1">
      <c r="A840" s="2" t="s">
        <v>840</v>
      </c>
      <c r="B840" s="2" t="str">
        <f>IFERROR(__xludf.DUMMYFUNCTION("GOOGLETRANSLATE(A840, ""en"", ""mt"")"),"Is-sistema immuni intrinsika tirrispondi b'mod ġeneriku, fis-sens li hu?")</f>
        <v>Is-sistema immuni intrinsika tirrispondi b'mod ġeneriku, fis-sens li hu?</v>
      </c>
    </row>
    <row r="841" ht="15.75" customHeight="1">
      <c r="A841" s="2" t="s">
        <v>841</v>
      </c>
      <c r="B841" s="2" t="str">
        <f>IFERROR(__xludf.DUMMYFUNCTION("GOOGLETRANSLATE(A841, ""en"", ""mt"")"),"Il-liġijiet tal-fiżika huma l-istess f'kull qafas ta 'referenza inerzjali")</f>
        <v>Il-liġijiet tal-fiżika huma l-istess f'kull qafas ta 'referenza inerzjali</v>
      </c>
    </row>
    <row r="842" ht="15.75" customHeight="1">
      <c r="A842" s="2" t="s">
        <v>842</v>
      </c>
      <c r="B842" s="2" t="str">
        <f>IFERROR(__xludf.DUMMYFUNCTION("GOOGLETRANSLATE(A842, ""en"", ""mt"")"),"Liema teorija tispjega l-aħjar il-gravità?")</f>
        <v>Liema teorija tispjega l-aħjar il-gravità?</v>
      </c>
    </row>
    <row r="843" ht="15.75" customHeight="1">
      <c r="A843" s="2" t="s">
        <v>843</v>
      </c>
      <c r="B843" s="2" t="str">
        <f>IFERROR(__xludf.DUMMYFUNCTION("GOOGLETRANSLATE(A843, ""en"", ""mt"")"),"Teleautomaton")</f>
        <v>Teleautomaton</v>
      </c>
    </row>
    <row r="844" ht="15.75" customHeight="1">
      <c r="A844" s="2" t="s">
        <v>844</v>
      </c>
      <c r="B844" s="2" t="str">
        <f>IFERROR(__xludf.DUMMYFUNCTION("GOOGLETRANSLATE(A844, ""en"", ""mt"")"),"Fejn kienet il-Kapitali Khwarezmid imċaqlaq wara li l-forzi ta 'Genghis Khan kienu jipprevalu f'Samarkand?")</f>
        <v>Fejn kienet il-Kapitali Khwarezmid imċaqlaq wara li l-forzi ta 'Genghis Khan kienu jipprevalu f'Samarkand?</v>
      </c>
    </row>
    <row r="845" ht="15.75" customHeight="1">
      <c r="A845" s="2" t="s">
        <v>845</v>
      </c>
      <c r="B845" s="2" t="str">
        <f>IFERROR(__xludf.DUMMYFUNCTION("GOOGLETRANSLATE(A845, ""en"", ""mt"")"),"ossiġnu")</f>
        <v>ossiġnu</v>
      </c>
    </row>
    <row r="846" ht="15.75" customHeight="1">
      <c r="A846" s="2" t="s">
        <v>846</v>
      </c>
      <c r="B846" s="2" t="str">
        <f>IFERROR(__xludf.DUMMYFUNCTION("GOOGLETRANSLATE(A846, ""en"", ""mt"")"),"Meta huwa ospitat il-Festival tal-Evoluzzjoni?")</f>
        <v>Meta huwa ospitat il-Festival tal-Evoluzzjoni?</v>
      </c>
    </row>
    <row r="847" ht="15.75" customHeight="1">
      <c r="A847" s="2" t="s">
        <v>847</v>
      </c>
      <c r="B847" s="2" t="str">
        <f>IFERROR(__xludf.DUMMYFUNCTION("GOOGLETRANSLATE(A847, ""en"", ""mt"")"),"Liema programm li jixxandar bejn Last Man Standing u Shark Tank ġie kkanċellat minn ABC fl-2013?")</f>
        <v>Liema programm li jixxandar bejn Last Man Standing u Shark Tank ġie kkanċellat minn ABC fl-2013?</v>
      </c>
    </row>
    <row r="848" ht="15.75" customHeight="1">
      <c r="A848" s="2" t="s">
        <v>848</v>
      </c>
      <c r="B848" s="2" t="str">
        <f>IFERROR(__xludf.DUMMYFUNCTION("GOOGLETRANSLATE(A848, ""en"", ""mt"")"),"X'kien effett proġettat addizzjonali tal-attentat ta 'riforma?")</f>
        <v>X'kien effett proġettat addizzjonali tal-attentat ta 'riforma?</v>
      </c>
    </row>
    <row r="849" ht="15.75" customHeight="1">
      <c r="A849" s="2" t="s">
        <v>849</v>
      </c>
      <c r="B849" s="2" t="str">
        <f>IFERROR(__xludf.DUMMYFUNCTION("GOOGLETRANSLATE(A849, ""en"", ""mt"")"),"Minn min ingħata nobbli d-drittijiet għall-isem tal-kumpanija tax-xandir Amerikana?")</f>
        <v>Minn min ingħata nobbli d-drittijiet għall-isem tal-kumpanija tax-xandir Amerikana?</v>
      </c>
    </row>
    <row r="850" ht="15.75" customHeight="1">
      <c r="A850" s="2" t="s">
        <v>850</v>
      </c>
      <c r="B850" s="2" t="str">
        <f>IFERROR(__xludf.DUMMYFUNCTION("GOOGLETRANSLATE(A850, ""en"", ""mt"")"),"Arthur H. Compton")</f>
        <v>Arthur H. Compton</v>
      </c>
    </row>
    <row r="851" ht="15.75" customHeight="1">
      <c r="A851" s="2" t="s">
        <v>851</v>
      </c>
      <c r="B851" s="2" t="str">
        <f>IFERROR(__xludf.DUMMYFUNCTION("GOOGLETRANSLATE(A851, ""en"", ""mt"")"),"Is-salarji għall-għalliema tal-iskola primarja u sekondarja varjaw minn £ 20,133 sa £ 41,004 f'Settembru 2007, għalkemm xi salarji jistgħu jmorru ferm ogħla skont l-esperjenza u r-responsabbiltajiet żejda. L-għalliema ta 'qabel l-iskola jistgħu jaqilgħu £"&amp;" 20,980 kull sena. [Ċitazzjoni meħtieġa] L-għalliema fl-iskejjel tal-istat għandu jkollhom mill-inqas grad ta' baċellerat, jimlew programm ta 'edukazzjoni tal-għalliema approvati, u jkunu liċenzjati.")</f>
        <v>Is-salarji għall-għalliema tal-iskola primarja u sekondarja varjaw minn £ 20,133 sa £ 41,004 f'Settembru 2007, għalkemm xi salarji jistgħu jmorru ferm ogħla skont l-esperjenza u r-responsabbiltajiet żejda. L-għalliema ta 'qabel l-iskola jistgħu jaqilgħu £ 20,980 kull sena. [Ċitazzjoni meħtieġa] L-għalliema fl-iskejjel tal-istat għandu jkollhom mill-inqas grad ta' baċellerat, jimlew programm ta 'edukazzjoni tal-għalliema approvati, u jkunu liċenzjati.</v>
      </c>
    </row>
    <row r="852" ht="15.75" customHeight="1">
      <c r="A852" s="2" t="s">
        <v>852</v>
      </c>
      <c r="B852" s="2" t="str">
        <f>IFERROR(__xludf.DUMMYFUNCTION("GOOGLETRANSLATE(A852, ""en"", ""mt"")"),"Fl-1870, Tesla marret tgħix Karlovac, biex tattendi l-iskola fl-ogħla ġinnasju reali, fejn kien influwenzat profondament minn għalliem tal-matematika Martin Sekulić.: 32 Il-klassijiet saru bil-Ġermaniż, peress li kienet skola fil-fruntiera militari Awstro"&amp;"-Ungeriża - Tesla kien kapaċi jwettaq kalkolu integrali fir-ras tiegħu, li wassal lill-għalliema tiegħu biex jemmnu li kien qed iqarraq. Huwa temm mandat ta 'erba' snin fi tliet snin, jiggradwa fl-1873 .:33")</f>
        <v>Fl-1870, Tesla marret tgħix Karlovac, biex tattendi l-iskola fl-ogħla ġinnasju reali, fejn kien influwenzat profondament minn għalliem tal-matematika Martin Sekulić.: 32 Il-klassijiet saru bil-Ġermaniż, peress li kienet skola fil-fruntiera militari Awstro-Ungeriża - Tesla kien kapaċi jwettaq kalkolu integrali fir-ras tiegħu, li wassal lill-għalliema tiegħu biex jemmnu li kien qed iqarraq. Huwa temm mandat ta 'erba' snin fi tliet snin, jiggradwa fl-1873 .:33</v>
      </c>
    </row>
    <row r="853" ht="15.75" customHeight="1">
      <c r="A853" s="2" t="s">
        <v>853</v>
      </c>
      <c r="B853" s="2" t="str">
        <f>IFERROR(__xludf.DUMMYFUNCTION("GOOGLETRANSLATE(A853, ""en"", ""mt"")"),"Min jaħtar il-Bord tal-Bank Ċentrali Ewropew?")</f>
        <v>Min jaħtar il-Bord tal-Bank Ċentrali Ewropew?</v>
      </c>
    </row>
    <row r="854" ht="15.75" customHeight="1">
      <c r="A854" s="2" t="s">
        <v>854</v>
      </c>
      <c r="B854" s="2" t="str">
        <f>IFERROR(__xludf.DUMMYFUNCTION("GOOGLETRANSLATE(A854, ""en"", ""mt"")"),"arja")</f>
        <v>arja</v>
      </c>
    </row>
    <row r="855" ht="15.75" customHeight="1">
      <c r="A855" s="2" t="s">
        <v>855</v>
      </c>
      <c r="B855" s="2" t="str">
        <f>IFERROR(__xludf.DUMMYFUNCTION("GOOGLETRANSLATE(A855, ""en"", ""mt"")"),"relatat mat-temp")</f>
        <v>relatat mat-temp</v>
      </c>
    </row>
    <row r="856" ht="15.75" customHeight="1">
      <c r="A856" s="2" t="s">
        <v>856</v>
      </c>
      <c r="B856" s="2" t="str">
        <f>IFERROR(__xludf.DUMMYFUNCTION("GOOGLETRANSLATE(A856, ""en"", ""mt"")"),"Għal liema responsabbiltajiet kienu limitati t-tekniċi tal-ispiżerija?")</f>
        <v>Għal liema responsabbiltajiet kienu limitati t-tekniċi tal-ispiżerija?</v>
      </c>
    </row>
    <row r="857" ht="15.75" customHeight="1">
      <c r="A857" s="2" t="s">
        <v>857</v>
      </c>
      <c r="B857" s="2" t="str">
        <f>IFERROR(__xludf.DUMMYFUNCTION("GOOGLETRANSLATE(A857, ""en"", ""mt"")"),"L-eżekuzzjoni ta 'Müntzer,")</f>
        <v>L-eżekuzzjoni ta 'Müntzer,</v>
      </c>
    </row>
    <row r="858" ht="15.75" customHeight="1">
      <c r="A858" s="2" t="s">
        <v>858</v>
      </c>
      <c r="B858" s="2" t="str">
        <f>IFERROR(__xludf.DUMMYFUNCTION("GOOGLETRANSLATE(A858, ""en"", ""mt"")"),"Fejn jinsabu l-gonadi?")</f>
        <v>Fejn jinsabu l-gonadi?</v>
      </c>
    </row>
    <row r="859" ht="15.75" customHeight="1">
      <c r="A859" s="2" t="s">
        <v>859</v>
      </c>
      <c r="B859" s="2" t="str">
        <f>IFERROR(__xludf.DUMMYFUNCTION("GOOGLETRANSLATE(A859, ""en"", ""mt"")"),"BSKYB Meta temm is-servizz analogu tagħhom?")</f>
        <v>BSKYB Meta temm is-servizz analogu tagħhom?</v>
      </c>
    </row>
    <row r="860" ht="15.75" customHeight="1">
      <c r="A860" s="2" t="s">
        <v>860</v>
      </c>
      <c r="B860" s="2" t="str">
        <f>IFERROR(__xludf.DUMMYFUNCTION("GOOGLETRANSLATE(A860, ""en"", ""mt"")"),"Pax Mongolica (Paċi Mongol)")</f>
        <v>Pax Mongolica (Paċi Mongol)</v>
      </c>
    </row>
    <row r="861" ht="15.75" customHeight="1">
      <c r="A861" s="2" t="s">
        <v>861</v>
      </c>
      <c r="B861" s="2" t="str">
        <f>IFERROR(__xludf.DUMMYFUNCTION("GOOGLETRANSLATE(A861, ""en"", ""mt"")"),"il-kondensatur separat")</f>
        <v>il-kondensatur separat</v>
      </c>
    </row>
    <row r="862" ht="15.75" customHeight="1">
      <c r="A862" s="2" t="s">
        <v>862</v>
      </c>
      <c r="B862" s="2" t="str">
        <f>IFERROR(__xludf.DUMMYFUNCTION("GOOGLETRANSLATE(A862, ""en"", ""mt"")"),"Fil-bidu tal-1893 l-inġinier Westinghouse Benjamin Lamme kien għamel progress kbir biex jiżviluppa verżjoni effiċjenti tal-mutur ta 'induzzjoni ta' Tesla u Westinghouse Electric bdew jimmarkaw is-sistema AC tal-fażi tal-polifażi kompluta tagħhom bħala s-s"&amp;"istema ""Tesla Polyphase"", u nnota kif jemmnu kif jemmnu li l-privattivi ta 'Tesla tawhom prijorità tal-privattiva fuq sistemi AC oħra.")</f>
        <v>Fil-bidu tal-1893 l-inġinier Westinghouse Benjamin Lamme kien għamel progress kbir biex jiżviluppa verżjoni effiċjenti tal-mutur ta 'induzzjoni ta' Tesla u Westinghouse Electric bdew jimmarkaw is-sistema AC tal-fażi tal-polifażi kompluta tagħhom bħala s-sistema "Tesla Polyphase", u nnota kif jemmnu kif jemmnu li l-privattivi ta 'Tesla tawhom prijorità tal-privattiva fuq sistemi AC oħra.</v>
      </c>
    </row>
    <row r="863" ht="15.75" customHeight="1">
      <c r="A863" s="2" t="s">
        <v>863</v>
      </c>
      <c r="B863" s="2" t="str">
        <f>IFERROR(__xludf.DUMMYFUNCTION("GOOGLETRANSLATE(A863, ""en"", ""mt"")"),"X'inhu kastig komuni fir-Renju Unit u fl-Irlanda?")</f>
        <v>X'inhu kastig komuni fir-Renju Unit u fl-Irlanda?</v>
      </c>
    </row>
    <row r="864" ht="15.75" customHeight="1">
      <c r="A864" s="2" t="s">
        <v>864</v>
      </c>
      <c r="B864" s="2" t="str">
        <f>IFERROR(__xludf.DUMMYFUNCTION("GOOGLETRANSLATE(A864, ""en"", ""mt"")"),"X'kien il-baġit medju għall-films tal-ABC Movie of the Week?")</f>
        <v>X'kien il-baġit medju għall-films tal-ABC Movie of the Week?</v>
      </c>
    </row>
    <row r="865" ht="15.75" customHeight="1">
      <c r="A865" s="2" t="s">
        <v>865</v>
      </c>
      <c r="B865" s="2" t="str">
        <f>IFERROR(__xludf.DUMMYFUNCTION("GOOGLETRANSLATE(A865, ""en"", ""mt"")"),"Min kien il-kreatur tat-tema għall-50 anniversarju speċjali?")</f>
        <v>Min kien il-kreatur tat-tema għall-50 anniversarju speċjali?</v>
      </c>
    </row>
    <row r="866" ht="15.75" customHeight="1">
      <c r="A866" s="2" t="s">
        <v>866</v>
      </c>
      <c r="B866" s="2" t="str">
        <f>IFERROR(__xludf.DUMMYFUNCTION("GOOGLETRANSLATE(A866, ""en"", ""mt"")"),"Min għamel play-by-play għax-xandira tad-WBT?")</f>
        <v>Min għamel play-by-play għax-xandira tad-WBT?</v>
      </c>
    </row>
    <row r="867" ht="15.75" customHeight="1">
      <c r="A867" s="2" t="s">
        <v>867</v>
      </c>
      <c r="B867" s="2" t="str">
        <f>IFERROR(__xludf.DUMMYFUNCTION("GOOGLETRANSLATE(A867, ""en"", ""mt"")"),"Rhine-kilometri")</f>
        <v>Rhine-kilometri</v>
      </c>
    </row>
    <row r="868" ht="15.75" customHeight="1">
      <c r="A868" s="2" t="s">
        <v>868</v>
      </c>
      <c r="B868" s="2" t="str">
        <f>IFERROR(__xludf.DUMMYFUNCTION("GOOGLETRANSLATE(A868, ""en"", ""mt"")"),"Il-konkwista rapida Anglo-Norman irriżulta iktar importanti milli deher. Il-gżira okkupat pożizzjoni strateġika ewlenija fuq il-karreġġjati marittimi lejn l-Art Imqaddsa, li l-okkupazzjoni tagħha mill-Insara ma setgħetx tkompli mingħajr appoġġ mill-baħar."&amp;" Ftit wara l-konkwista, Ċipru nbiegħ lill-Kavallieri Templar u sussegwentement ġie akkwistat, fl-1192, minn Guy de Lusignan u sar renju feudali stabbli. Kien biss fl-1489 li l-Venezjani akkwistaw kontroll sħiħ tal-gżira, li baqgħet fortizza Nisranija sal-"&amp;"waqgħa ta 'Famagusta fl-1571.")</f>
        <v>Il-konkwista rapida Anglo-Norman irriżulta iktar importanti milli deher. Il-gżira okkupat pożizzjoni strateġika ewlenija fuq il-karreġġjati marittimi lejn l-Art Imqaddsa, li l-okkupazzjoni tagħha mill-Insara ma setgħetx tkompli mingħajr appoġġ mill-baħar. Ftit wara l-konkwista, Ċipru nbiegħ lill-Kavallieri Templar u sussegwentement ġie akkwistat, fl-1192, minn Guy de Lusignan u sar renju feudali stabbli. Kien biss fl-1489 li l-Venezjani akkwistaw kontroll sħiħ tal-gżira, li baqgħet fortizza Nisranija sal-waqgħa ta 'Famagusta fl-1571.</v>
      </c>
    </row>
    <row r="869" ht="15.75" customHeight="1">
      <c r="A869" s="2" t="s">
        <v>869</v>
      </c>
      <c r="B869" s="2" t="str">
        <f>IFERROR(__xludf.DUMMYFUNCTION("GOOGLETRANSLATE(A869, ""en"", ""mt"")"),"X'kien il-valur idealizzat tal-imperjalizmu?")</f>
        <v>X'kien il-valur idealizzat tal-imperjalizmu?</v>
      </c>
    </row>
    <row r="870" ht="15.75" customHeight="1">
      <c r="A870" s="2" t="s">
        <v>870</v>
      </c>
      <c r="B870" s="2" t="str">
        <f>IFERROR(__xludf.DUMMYFUNCTION("GOOGLETRANSLATE(A870, ""en"", ""mt"")"),"90 ° lil xulxin")</f>
        <v>90 ° lil xulxin</v>
      </c>
    </row>
    <row r="871" ht="15.75" customHeight="1">
      <c r="A871" s="2" t="s">
        <v>871</v>
      </c>
      <c r="B871" s="2" t="str">
        <f>IFERROR(__xludf.DUMMYFUNCTION("GOOGLETRANSLATE(A871, ""en"", ""mt"")"),"deċimali rikurrenti")</f>
        <v>deċimali rikurrenti</v>
      </c>
    </row>
    <row r="872" ht="15.75" customHeight="1">
      <c r="A872" s="2" t="s">
        <v>872</v>
      </c>
      <c r="B872" s="2" t="str">
        <f>IFERROR(__xludf.DUMMYFUNCTION("GOOGLETRANSLATE(A872, ""en"", ""mt"")"),"4,404.5 persuni")</f>
        <v>4,404.5 persuni</v>
      </c>
    </row>
    <row r="873" ht="15.75" customHeight="1">
      <c r="A873" s="2" t="s">
        <v>873</v>
      </c>
      <c r="B873" s="2" t="str">
        <f>IFERROR(__xludf.DUMMYFUNCTION("GOOGLETRANSLATE(A873, ""en"", ""mt"")"),"Il-libertà li tipprovdi servizzi taħt l-Artikolu 56 tat-TFEU tapplika għal min?")</f>
        <v>Il-libertà li tipprovdi servizzi taħt l-Artikolu 56 tat-TFEU tapplika għal min?</v>
      </c>
    </row>
    <row r="874" ht="15.75" customHeight="1">
      <c r="A874" s="2" t="s">
        <v>874</v>
      </c>
      <c r="B874" s="2" t="str">
        <f>IFERROR(__xludf.DUMMYFUNCTION("GOOGLETRANSLATE(A874, ""en"", ""mt"")"),"Il-litosfera timxi fuq liema mantell n-teorija tat-tektonika tal-pjanċa?")</f>
        <v>Il-litosfera timxi fuq liema mantell n-teorija tat-tektonika tal-pjanċa?</v>
      </c>
    </row>
    <row r="875" ht="15.75" customHeight="1">
      <c r="A875" s="2" t="s">
        <v>875</v>
      </c>
      <c r="B875" s="2" t="str">
        <f>IFERROR(__xludf.DUMMYFUNCTION("GOOGLETRANSLATE(A875, ""en"", ""mt"")"),"Parti ewlenija tas-sinsla tal-internet")</f>
        <v>Parti ewlenija tas-sinsla tal-internet</v>
      </c>
    </row>
    <row r="876" ht="15.75" customHeight="1">
      <c r="A876" s="2" t="s">
        <v>876</v>
      </c>
      <c r="B876" s="2" t="str">
        <f>IFERROR(__xludf.DUMMYFUNCTION("GOOGLETRANSLATE(A876, ""en"", ""mt"")"),"Nies ta 'Timucua")</f>
        <v>Nies ta 'Timucua</v>
      </c>
    </row>
    <row r="877" ht="15.75" customHeight="1">
      <c r="A877" s="2" t="s">
        <v>877</v>
      </c>
      <c r="B877" s="2" t="str">
        <f>IFERROR(__xludf.DUMMYFUNCTION("GOOGLETRANSLATE(A877, ""en"", ""mt"")"),"Ajruport Internazzjonali ta ’Los Angeles")</f>
        <v>Ajruport Internazzjonali ta ’Los Angeles</v>
      </c>
    </row>
    <row r="878" ht="15.75" customHeight="1">
      <c r="A878" s="2" t="s">
        <v>878</v>
      </c>
      <c r="B878" s="2" t="str">
        <f>IFERROR(__xludf.DUMMYFUNCTION("GOOGLETRANSLATE(A878, ""en"", ""mt"")"),"Min kien il-proponent ewlieni tat-teorija ċellulari tal-immunità?")</f>
        <v>Min kien il-proponent ewlieni tat-teorija ċellulari tal-immunità?</v>
      </c>
    </row>
    <row r="879" ht="15.75" customHeight="1">
      <c r="A879" s="2" t="s">
        <v>879</v>
      </c>
      <c r="B879" s="2" t="str">
        <f>IFERROR(__xludf.DUMMYFUNCTION("GOOGLETRANSLATE(A879, ""en"", ""mt"")"),"Meta ġie kkoreġut il-kejl tar-Rhine lura għall-oriġinal?")</f>
        <v>Meta ġie kkoreġut il-kejl tar-Rhine lura għall-oriġinal?</v>
      </c>
    </row>
    <row r="880" ht="15.75" customHeight="1">
      <c r="A880" s="2" t="s">
        <v>880</v>
      </c>
      <c r="B880" s="2" t="str">
        <f>IFERROR(__xludf.DUMMYFUNCTION("GOOGLETRANSLATE(A880, ""en"", ""mt"")"),"X'kien l-ewwel stazzjon tat-televiżjoni li xxandar fi Fresno?")</f>
        <v>X'kien l-ewwel stazzjon tat-televiżjoni li xxandar fi Fresno?</v>
      </c>
    </row>
    <row r="881" ht="15.75" customHeight="1">
      <c r="A881" s="2" t="s">
        <v>881</v>
      </c>
      <c r="B881" s="2" t="str">
        <f>IFERROR(__xludf.DUMMYFUNCTION("GOOGLETRANSLATE(A881, ""en"", ""mt"")"),"L-UMC jappoġġja l-finanzjament federali għar-riċerka dwar l-embrijuni maħluqa għal liema skop?")</f>
        <v>L-UMC jappoġġja l-finanzjament federali għar-riċerka dwar l-embrijuni maħluqa għal liema skop?</v>
      </c>
    </row>
    <row r="882" ht="15.75" customHeight="1">
      <c r="A882" s="2" t="s">
        <v>882</v>
      </c>
      <c r="B882" s="2" t="str">
        <f>IFERROR(__xludf.DUMMYFUNCTION("GOOGLETRANSLATE(A882, ""en"", ""mt"")"),"X'inhu l-festival ta 'l-ikel u x-xorb magħruf bħala?")</f>
        <v>X'inhu l-festival ta 'l-ikel u x-xorb magħruf bħala?</v>
      </c>
    </row>
    <row r="883" ht="15.75" customHeight="1">
      <c r="A883" s="2" t="s">
        <v>883</v>
      </c>
      <c r="B883" s="2" t="str">
        <f>IFERROR(__xludf.DUMMYFUNCTION("GOOGLETRANSLATE(A883, ""en"", ""mt"")"),"Rappreżentant Presidenzjali Repubblika Demokratika")</f>
        <v>Rappreżentant Presidenzjali Repubblika Demokratika</v>
      </c>
    </row>
    <row r="884" ht="15.75" customHeight="1">
      <c r="A884" s="2" t="s">
        <v>884</v>
      </c>
      <c r="B884" s="2" t="str">
        <f>IFERROR(__xludf.DUMMYFUNCTION("GOOGLETRANSLATE(A884, ""en"", ""mt"")"),"""Imbotta""")</f>
        <v>"Imbotta"</v>
      </c>
    </row>
    <row r="885" ht="15.75" customHeight="1">
      <c r="A885" s="2" t="s">
        <v>885</v>
      </c>
      <c r="B885" s="2" t="str">
        <f>IFERROR(__xludf.DUMMYFUNCTION("GOOGLETRANSLATE(A885, ""en"", ""mt"")"),"Ġeorġja")</f>
        <v>Ġeorġja</v>
      </c>
    </row>
    <row r="886" ht="15.75" customHeight="1">
      <c r="A886" s="2" t="s">
        <v>886</v>
      </c>
      <c r="B886" s="2" t="str">
        <f>IFERROR(__xludf.DUMMYFUNCTION("GOOGLETRANSLATE(A886, ""en"", ""mt"")"),"restorant")</f>
        <v>restorant</v>
      </c>
    </row>
    <row r="887" ht="15.75" customHeight="1">
      <c r="A887" s="2" t="s">
        <v>887</v>
      </c>
      <c r="B887" s="2" t="str">
        <f>IFERROR(__xludf.DUMMYFUNCTION("GOOGLETRANSLATE(A887, ""en"", ""mt"")"),"Permezz ta ’esperimentazzjoni")</f>
        <v>Permezz ta ’esperimentazzjoni</v>
      </c>
    </row>
    <row r="888" ht="15.75" customHeight="1">
      <c r="A888" s="2" t="s">
        <v>888</v>
      </c>
      <c r="B888" s="2" t="str">
        <f>IFERROR(__xludf.DUMMYFUNCTION("GOOGLETRANSLATE(A888, ""en"", ""mt"")"),"Ħtieġa għal alleanzi.")</f>
        <v>Ħtieġa għal alleanzi.</v>
      </c>
    </row>
    <row r="889" ht="15.75" customHeight="1">
      <c r="A889" s="2" t="s">
        <v>889</v>
      </c>
      <c r="B889" s="2" t="str">
        <f>IFERROR(__xludf.DUMMYFUNCTION("GOOGLETRANSLATE(A889, ""en"", ""mt"")"),"siġġijiet tal-kostitwenza")</f>
        <v>siġġijiet tal-kostitwenza</v>
      </c>
    </row>
    <row r="890" ht="15.75" customHeight="1">
      <c r="A890" s="2" t="s">
        <v>890</v>
      </c>
      <c r="B890" s="2" t="str">
        <f>IFERROR(__xludf.DUMMYFUNCTION("GOOGLETRANSLATE(A890, ""en"", ""mt"")"),"Sit tal-Wirt Dinji tal-UNESCO.")</f>
        <v>Sit tal-Wirt Dinji tal-UNESCO.</v>
      </c>
    </row>
    <row r="891" ht="15.75" customHeight="1">
      <c r="A891" s="2" t="s">
        <v>891</v>
      </c>
      <c r="B891" s="2" t="str">
        <f>IFERROR(__xludf.DUMMYFUNCTION("GOOGLETRANSLATE(A891, ""en"", ""mt"")"),"ewforika ħafifa suppost")</f>
        <v>ewforika ħafifa suppost</v>
      </c>
    </row>
    <row r="892" ht="15.75" customHeight="1">
      <c r="A892" s="2" t="s">
        <v>892</v>
      </c>
      <c r="B892" s="2" t="str">
        <f>IFERROR(__xludf.DUMMYFUNCTION("GOOGLETRANSLATE(A892, ""en"", ""mt"")"),"Spy diġitali")</f>
        <v>Spy diġitali</v>
      </c>
    </row>
    <row r="893" ht="15.75" customHeight="1">
      <c r="A893" s="2" t="s">
        <v>893</v>
      </c>
      <c r="B893" s="2" t="str">
        <f>IFERROR(__xludf.DUMMYFUNCTION("GOOGLETRANSLATE(A893, ""en"", ""mt"")"),"profezija")</f>
        <v>profezija</v>
      </c>
    </row>
    <row r="894" ht="15.75" customHeight="1">
      <c r="A894" s="2" t="s">
        <v>894</v>
      </c>
      <c r="B894" s="2" t="str">
        <f>IFERROR(__xludf.DUMMYFUNCTION("GOOGLETRANSLATE(A894, ""en"", ""mt"")"),"Patrijiet Agostinjani")</f>
        <v>Patrijiet Agostinjani</v>
      </c>
    </row>
    <row r="895" ht="15.75" customHeight="1">
      <c r="A895" s="2" t="s">
        <v>895</v>
      </c>
      <c r="B895" s="2" t="str">
        <f>IFERROR(__xludf.DUMMYFUNCTION("GOOGLETRANSLATE(A895, ""en"", ""mt"")"),"X’għamlu l-kimiċi Ewropej li jistgħu jintużaw fil-gwerra?")</f>
        <v>X’għamlu l-kimiċi Ewropej li jistgħu jintużaw fil-gwerra?</v>
      </c>
    </row>
    <row r="896" ht="15.75" customHeight="1">
      <c r="A896" s="2" t="s">
        <v>896</v>
      </c>
      <c r="B896" s="2" t="str">
        <f>IFERROR(__xludf.DUMMYFUNCTION("GOOGLETRANSLATE(A896, ""en"", ""mt"")"),"Librerija tal-Kungress tal-Istati Uniti")</f>
        <v>Librerija tal-Kungress tal-Istati Uniti</v>
      </c>
    </row>
    <row r="897" ht="15.75" customHeight="1">
      <c r="A897" s="2" t="s">
        <v>897</v>
      </c>
      <c r="B897" s="2" t="str">
        <f>IFERROR(__xludf.DUMMYFUNCTION("GOOGLETRANSLATE(A897, ""en"", ""mt"")"),"Depressurizzazzjoni tal-kabina")</f>
        <v>Depressurizzazzjoni tal-kabina</v>
      </c>
    </row>
    <row r="898" ht="15.75" customHeight="1">
      <c r="A898" s="2" t="s">
        <v>898</v>
      </c>
      <c r="B898" s="2" t="str">
        <f>IFERROR(__xludf.DUMMYFUNCTION("GOOGLETRANSLATE(A898, ""en"", ""mt"")"),"tikkomunika mal-pazjenti")</f>
        <v>tikkomunika mal-pazjenti</v>
      </c>
    </row>
    <row r="899" ht="15.75" customHeight="1">
      <c r="A899" s="2" t="s">
        <v>899</v>
      </c>
      <c r="B899" s="2" t="str">
        <f>IFERROR(__xludf.DUMMYFUNCTION("GOOGLETRANSLATE(A899, ""en"", ""mt"")"),"Fibrożi pulmonari")</f>
        <v>Fibrożi pulmonari</v>
      </c>
    </row>
    <row r="900" ht="15.75" customHeight="1">
      <c r="A900" s="2" t="s">
        <v>900</v>
      </c>
      <c r="B900" s="2" t="str">
        <f>IFERROR(__xludf.DUMMYFUNCTION("GOOGLETRANSLATE(A900, ""en"", ""mt"")"),"Liema kompożitur minimalista huwa wkoll gradwat universitarju?")</f>
        <v>Liema kompożitur minimalista huwa wkoll gradwat universitarju?</v>
      </c>
    </row>
    <row r="901" ht="15.75" customHeight="1">
      <c r="A901" s="2" t="s">
        <v>901</v>
      </c>
      <c r="B901" s="2" t="str">
        <f>IFERROR(__xludf.DUMMYFUNCTION("GOOGLETRANSLATE(A901, ""en"", ""mt"")"),"Kemm-il darba jiltaqa 'l-kunsill?")</f>
        <v>Kemm-il darba jiltaqa 'l-kunsill?</v>
      </c>
    </row>
    <row r="902" ht="15.75" customHeight="1">
      <c r="A902" s="2" t="s">
        <v>902</v>
      </c>
      <c r="B902" s="2" t="str">
        <f>IFERROR(__xludf.DUMMYFUNCTION("GOOGLETRANSLATE(A902, ""en"", ""mt"")"),"Żieda fil-kriminalità u l-faqar fil-viċinat tal-Hyde Park")</f>
        <v>Żieda fil-kriminalità u l-faqar fil-viċinat tal-Hyde Park</v>
      </c>
    </row>
    <row r="903" ht="15.75" customHeight="1">
      <c r="A903" s="2" t="s">
        <v>903</v>
      </c>
      <c r="B903" s="2" t="str">
        <f>IFERROR(__xludf.DUMMYFUNCTION("GOOGLETRANSLATE(A903, ""en"", ""mt"")"),"F’liema żona ta ’din il-kolonja Ingliża kienu l-għotjiet tal-art Huguenot?")</f>
        <v>F’liema żona ta ’din il-kolonja Ingliża kienu l-għotjiet tal-art Huguenot?</v>
      </c>
    </row>
    <row r="904" ht="15.75" customHeight="1">
      <c r="A904" s="2" t="s">
        <v>904</v>
      </c>
      <c r="B904" s="2" t="str">
        <f>IFERROR(__xludf.DUMMYFUNCTION("GOOGLETRANSLATE(A904, ""en"", ""mt"")"),"Min kien l-abbozz tal-għażla numru tnejn għall-2011?")</f>
        <v>Min kien l-abbozz tal-għażla numru tnejn għall-2011?</v>
      </c>
    </row>
    <row r="905" ht="15.75" customHeight="1">
      <c r="A905" s="2" t="s">
        <v>905</v>
      </c>
      <c r="B905" s="2" t="str">
        <f>IFERROR(__xludf.DUMMYFUNCTION("GOOGLETRANSLATE(A905, ""en"", ""mt"")"),"Liema ekwipaġġ bagħat l-ewwel immaġini li qatt ħajjin tad-dinja u l-qamar lejn l-art?")</f>
        <v>Liema ekwipaġġ bagħat l-ewwel immaġini li qatt ħajjin tad-dinja u l-qamar lejn l-art?</v>
      </c>
    </row>
    <row r="906" ht="15.75" customHeight="1">
      <c r="A906" s="2" t="s">
        <v>906</v>
      </c>
      <c r="B906" s="2" t="str">
        <f>IFERROR(__xludf.DUMMYFUNCTION("GOOGLETRANSLATE(A906, ""en"", ""mt"")"),"Ma 'min għamlu l-Imperu Ottoman f'WW I?")</f>
        <v>Ma 'min għamlu l-Imperu Ottoman f'WW I?</v>
      </c>
    </row>
    <row r="907" ht="15.75" customHeight="1">
      <c r="A907" s="2" t="s">
        <v>907</v>
      </c>
      <c r="B907" s="2" t="str">
        <f>IFERROR(__xludf.DUMMYFUNCTION("GOOGLETRANSLATE(A907, ""en"", ""mt"")"),"Fejn jinsab il-kors tat-tiġrijiet taż-żwiemel ta 'Newcastle?")</f>
        <v>Fejn jinsab il-kors tat-tiġrijiet taż-żwiemel ta 'Newcastle?</v>
      </c>
    </row>
    <row r="908" ht="15.75" customHeight="1">
      <c r="A908" s="2" t="s">
        <v>908</v>
      </c>
      <c r="B908" s="2" t="str">
        <f>IFERROR(__xludf.DUMMYFUNCTION("GOOGLETRANSLATE(A908, ""en"", ""mt"")"),"Xi jfisser Newcastle għadu fih ħafna?")</f>
        <v>Xi jfisser Newcastle għadu fih ħafna?</v>
      </c>
    </row>
    <row r="909" ht="15.75" customHeight="1">
      <c r="A909" s="2" t="s">
        <v>909</v>
      </c>
      <c r="B909" s="2" t="str">
        <f>IFERROR(__xludf.DUMMYFUNCTION("GOOGLETRANSLATE(A909, ""en"", ""mt"")"),"vakuole fagoċitiku")</f>
        <v>vakuole fagoċitiku</v>
      </c>
    </row>
    <row r="910" ht="15.75" customHeight="1">
      <c r="A910" s="2" t="s">
        <v>910</v>
      </c>
      <c r="B910" s="2" t="str">
        <f>IFERROR(__xludf.DUMMYFUNCTION("GOOGLETRANSLATE(A910, ""en"", ""mt"")"),"Davis")</f>
        <v>Davis</v>
      </c>
    </row>
    <row r="911" ht="15.75" customHeight="1">
      <c r="A911" s="2" t="s">
        <v>911</v>
      </c>
      <c r="B911" s="2" t="str">
        <f>IFERROR(__xludf.DUMMYFUNCTION("GOOGLETRANSLATE(A911, ""en"", ""mt"")"),"1279")</f>
        <v>1279</v>
      </c>
    </row>
    <row r="912" ht="15.75" customHeight="1">
      <c r="A912" s="2" t="s">
        <v>912</v>
      </c>
      <c r="B912" s="2" t="str">
        <f>IFERROR(__xludf.DUMMYFUNCTION("GOOGLETRANSLATE(A912, ""en"", ""mt"")"),"Denominazzjoni Protestanti Mainline")</f>
        <v>Denominazzjoni Protestanti Mainline</v>
      </c>
    </row>
    <row r="913" ht="15.75" customHeight="1">
      <c r="A913" s="2" t="s">
        <v>913</v>
      </c>
      <c r="B913" s="2" t="str">
        <f>IFERROR(__xludf.DUMMYFUNCTION("GOOGLETRANSLATE(A913, ""en"", ""mt"")"),"Fil-komunità usa '")</f>
        <v>Fil-komunità usa '</v>
      </c>
    </row>
    <row r="914" ht="15.75" customHeight="1">
      <c r="A914" s="2" t="s">
        <v>914</v>
      </c>
      <c r="B914" s="2" t="str">
        <f>IFERROR(__xludf.DUMMYFUNCTION("GOOGLETRANSLATE(A914, ""en"", ""mt"")"),"Xenoliti")</f>
        <v>Xenoliti</v>
      </c>
    </row>
    <row r="915" ht="15.75" customHeight="1">
      <c r="A915" s="2" t="s">
        <v>915</v>
      </c>
      <c r="B915" s="2" t="str">
        <f>IFERROR(__xludf.DUMMYFUNCTION("GOOGLETRANSLATE(A915, ""en"", ""mt"")"),"Il-Baħar tat-Tramuntana fl-Olanda")</f>
        <v>Il-Baħar tat-Tramuntana fl-Olanda</v>
      </c>
    </row>
    <row r="916" ht="15.75" customHeight="1">
      <c r="A916" s="2" t="s">
        <v>916</v>
      </c>
      <c r="B916" s="2" t="str">
        <f>IFERROR(__xludf.DUMMYFUNCTION("GOOGLETRANSLATE(A916, ""en"", ""mt"")"),"Ewropew kontinentali")</f>
        <v>Ewropew kontinentali</v>
      </c>
    </row>
    <row r="917" ht="15.75" customHeight="1">
      <c r="A917" s="2" t="s">
        <v>917</v>
      </c>
      <c r="B917" s="2" t="str">
        <f>IFERROR(__xludf.DUMMYFUNCTION("GOOGLETRANSLATE(A917, ""en"", ""mt"")"),"Aveo")</f>
        <v>Aveo</v>
      </c>
    </row>
    <row r="918" ht="15.75" customHeight="1">
      <c r="A918" s="2" t="s">
        <v>918</v>
      </c>
      <c r="B918" s="2" t="str">
        <f>IFERROR(__xludf.DUMMYFUNCTION("GOOGLETRANSLATE(A918, ""en"", ""mt"")"),"Knisja Luterana Evanġelika")</f>
        <v>Knisja Luterana Evanġelika</v>
      </c>
    </row>
    <row r="919" ht="15.75" customHeight="1">
      <c r="A919" s="2" t="s">
        <v>919</v>
      </c>
      <c r="B919" s="2" t="str">
        <f>IFERROR(__xludf.DUMMYFUNCTION("GOOGLETRANSLATE(A919, ""en"", ""mt"")"),"Andre Caldwell")</f>
        <v>Andre Caldwell</v>
      </c>
    </row>
    <row r="920" ht="15.75" customHeight="1">
      <c r="A920" s="2" t="s">
        <v>920</v>
      </c>
      <c r="B920" s="2" t="str">
        <f>IFERROR(__xludf.DUMMYFUNCTION("GOOGLETRANSLATE(A920, ""en"", ""mt"")"),"Sweyn Forkbeard")</f>
        <v>Sweyn Forkbeard</v>
      </c>
    </row>
    <row r="921" ht="15.75" customHeight="1">
      <c r="A921" s="2" t="s">
        <v>921</v>
      </c>
      <c r="B921" s="2" t="str">
        <f>IFERROR(__xludf.DUMMYFUNCTION("GOOGLETRANSLATE(A921, ""en"", ""mt"")"),"'Bucks Point'")</f>
        <v>'Bucks Point'</v>
      </c>
    </row>
    <row r="922" ht="15.75" customHeight="1">
      <c r="A922" s="2" t="s">
        <v>922</v>
      </c>
      <c r="B922" s="2" t="str">
        <f>IFERROR(__xludf.DUMMYFUNCTION("GOOGLETRANSLATE(A922, ""en"", ""mt"")"),"iċċattjat")</f>
        <v>iċċattjat</v>
      </c>
    </row>
    <row r="923" ht="15.75" customHeight="1">
      <c r="A923" s="2" t="s">
        <v>923</v>
      </c>
      <c r="B923" s="2" t="str">
        <f>IFERROR(__xludf.DUMMYFUNCTION("GOOGLETRANSLATE(A923, ""en"", ""mt"")"),"X'tip ta 'intervent ikun qed jinbidel l-ambjent tax-xogħol?")</f>
        <v>X'tip ta 'intervent ikun qed jinbidel l-ambjent tax-xogħol?</v>
      </c>
    </row>
    <row r="924" ht="15.75" customHeight="1">
      <c r="A924" s="2" t="s">
        <v>924</v>
      </c>
      <c r="B924" s="2" t="str">
        <f>IFERROR(__xludf.DUMMYFUNCTION("GOOGLETRANSLATE(A924, ""en"", ""mt"")"),"Fuq xiex se tiffoka fuq V &amp; A Dundee?")</f>
        <v>Fuq xiex se tiffoka fuq V &amp; A Dundee?</v>
      </c>
    </row>
    <row r="925" ht="15.75" customHeight="1">
      <c r="A925" s="2" t="s">
        <v>925</v>
      </c>
      <c r="B925" s="2" t="str">
        <f>IFERROR(__xludf.DUMMYFUNCTION("GOOGLETRANSLATE(A925, ""en"", ""mt"")"),"Ideali ewlenin")</f>
        <v>Ideali ewlenin</v>
      </c>
    </row>
    <row r="926" ht="15.75" customHeight="1">
      <c r="A926" s="2" t="s">
        <v>926</v>
      </c>
      <c r="B926" s="2" t="str">
        <f>IFERROR(__xludf.DUMMYFUNCTION("GOOGLETRANSLATE(A926, ""en"", ""mt"")"),"MLB")</f>
        <v>MLB</v>
      </c>
    </row>
    <row r="927" ht="15.75" customHeight="1">
      <c r="A927" s="2" t="s">
        <v>927</v>
      </c>
      <c r="B927" s="2" t="str">
        <f>IFERROR(__xludf.DUMMYFUNCTION("GOOGLETRANSLATE(A927, ""en"", ""mt"")"),"Ko-President tal-Tar WGI")</f>
        <v>Ko-President tal-Tar WGI</v>
      </c>
    </row>
    <row r="928" ht="15.75" customHeight="1">
      <c r="A928" s="2" t="s">
        <v>928</v>
      </c>
      <c r="B928" s="2" t="str">
        <f>IFERROR(__xludf.DUMMYFUNCTION("GOOGLETRANSLATE(A928, ""en"", ""mt"")"),"L-ewwel")</f>
        <v>L-ewwel</v>
      </c>
    </row>
    <row r="929" ht="15.75" customHeight="1">
      <c r="A929" s="2" t="s">
        <v>929</v>
      </c>
      <c r="B929" s="2" t="str">
        <f>IFERROR(__xludf.DUMMYFUNCTION("GOOGLETRANSLATE(A929, ""en"", ""mt"")"),"40,000 lira")</f>
        <v>40,000 lira</v>
      </c>
    </row>
    <row r="930" ht="15.75" customHeight="1">
      <c r="A930" s="2" t="s">
        <v>930</v>
      </c>
      <c r="B930" s="2" t="str">
        <f>IFERROR(__xludf.DUMMYFUNCTION("GOOGLETRANSLATE(A930, ""en"", ""mt"")"),"Stampar tal-istampa.")</f>
        <v>Stampar tal-istampa.</v>
      </c>
    </row>
    <row r="931" ht="15.75" customHeight="1">
      <c r="A931" s="2" t="s">
        <v>931</v>
      </c>
      <c r="B931" s="2" t="str">
        <f>IFERROR(__xludf.DUMMYFUNCTION("GOOGLETRANSLATE(A931, ""en"", ""mt"")"),"Min-naħa l-oħra, fl-aħħar tas-snin 1980, il-Punent tal-Atlantiku Ctenophore Mnemiopsis Leidyi ġie introdott aċċidentalment fil-Baħar l-Iswed u l-Baħar ta 'Azov permezz tat-tankijiet tas-saborra tal-vapuri, u ġie akkużat li kkawża qtar qawwi fil-qabdiet ta"&amp;"l-ħut billi tiekol iż-żewġ larva tal-ħut u Krustaċji żgħar li altrimenti jitimgħu l-ħut adult. Mnemiopsis huwa mgħammar tajjeb biex jinvadi territorji ġodda (għalkemm dan ma kienx imbassar sa wara li kkolonizza b'suċċess il-Baħar l-Iswed), peress li jista"&amp;" 'jitrabba malajr ħafna u jittollera firxa wiesgħa ta' temperaturi u salinitajiet tal-ilma. L-impatt żdied permezz ta 'sajd żejjed kroniku, u permezz ta' ewtrofikazzjoni li tat lill-ekosistema kollha spinta għal żmien qasir, li kkawżat il-popolazzjoni ta "&amp;"'mnemiopsis biex tiżdied saħansitra aktar malajr min-normal - u fuq kollox bin-nuqqas ta' predaturi effiċjenti fuq dawn il-ctenophores introdotti. Il-popolazzjonijiet ta 'Mnemiopsis f'dawk iż-żoni eventwalment ingħataw taħt kontroll mill-introduzzjoni aċċ"&amp;"identali tal-mnemiopsis li jieklu l-Amerika ta' Fuq Ctenophore Beroe ovata, u permezz ta 'tkessiħ tal-klima lokali mill-1991 sal-1993, li naqqas b'mod sinifikanti l-metaboliżmu tal-annimal. Madankollu l-abbundanza ta 'plankton fiż-żona jidher li x'aktarx "&amp;"ma tiġix restawrata għal-livelli ta' qabel il-mnemiopsis.")</f>
        <v>Min-naħa l-oħra, fl-aħħar tas-snin 1980, il-Punent tal-Atlantiku Ctenophore Mnemiopsis Leidyi ġie introdott aċċidentalment fil-Baħar l-Iswed u l-Baħar ta 'Azov permezz tat-tankijiet tas-saborra tal-vapuri, u ġie akkużat li kkawża qtar qawwi fil-qabdiet tal-ħut billi tiekol iż-żewġ larva tal-ħut u Krustaċji żgħar li altrimenti jitimgħu l-ħut adult. Mnemiopsis huwa mgħammar tajjeb biex jinvadi territorji ġodda (għalkemm dan ma kienx imbassar sa wara li kkolonizza b'suċċess il-Baħar l-Iswed), peress li jista 'jitrabba malajr ħafna u jittollera firxa wiesgħa ta' temperaturi u salinitajiet tal-ilma. L-impatt żdied permezz ta 'sajd żejjed kroniku, u permezz ta' ewtrofikazzjoni li tat lill-ekosistema kollha spinta għal żmien qasir, li kkawżat il-popolazzjoni ta 'mnemiopsis biex tiżdied saħansitra aktar malajr min-normal - u fuq kollox bin-nuqqas ta' predaturi effiċjenti fuq dawn il-ctenophores introdotti. Il-popolazzjonijiet ta 'Mnemiopsis f'dawk iż-żoni eventwalment ingħataw taħt kontroll mill-introduzzjoni aċċidentali tal-mnemiopsis li jieklu l-Amerika ta' Fuq Ctenophore Beroe ovata, u permezz ta 'tkessiħ tal-klima lokali mill-1991 sal-1993, li naqqas b'mod sinifikanti l-metaboliżmu tal-annimal. Madankollu l-abbundanza ta 'plankton fiż-żona jidher li x'aktarx ma tiġix restawrata għal-livelli ta' qabel il-mnemiopsis.</v>
      </c>
    </row>
    <row r="932" ht="15.75" customHeight="1">
      <c r="A932" s="2" t="s">
        <v>932</v>
      </c>
      <c r="B932" s="2" t="str">
        <f>IFERROR(__xludf.DUMMYFUNCTION("GOOGLETRANSLATE(A932, ""en"", ""mt"")"),"riformi soċjali domestiċi")</f>
        <v>riformi soċjali domestiċi</v>
      </c>
    </row>
    <row r="933" ht="15.75" customHeight="1">
      <c r="A933" s="2" t="s">
        <v>933</v>
      </c>
      <c r="B933" s="2" t="str">
        <f>IFERROR(__xludf.DUMMYFUNCTION("GOOGLETRANSLATE(A933, ""en"", ""mt"")"),"Fulton Mall")</f>
        <v>Fulton Mall</v>
      </c>
    </row>
    <row r="934" ht="15.75" customHeight="1">
      <c r="A934" s="2" t="s">
        <v>934</v>
      </c>
      <c r="B934" s="2" t="str">
        <f>IFERROR(__xludf.DUMMYFUNCTION("GOOGLETRANSLATE(A934, ""en"", ""mt"")"),"Dwar x’tip Tesla għat-telf tal-flus inizjali?")</f>
        <v>Dwar x’tip Tesla għat-telf tal-flus inizjali?</v>
      </c>
    </row>
    <row r="935" ht="15.75" customHeight="1">
      <c r="A935" s="2" t="s">
        <v>935</v>
      </c>
      <c r="B935" s="2" t="str">
        <f>IFERROR(__xludf.DUMMYFUNCTION("GOOGLETRANSLATE(A935, ""en"", ""mt"")"),"Liġi")</f>
        <v>Liġi</v>
      </c>
    </row>
    <row r="936" ht="15.75" customHeight="1">
      <c r="A936" s="2" t="s">
        <v>936</v>
      </c>
      <c r="B936" s="2" t="str">
        <f>IFERROR(__xludf.DUMMYFUNCTION("GOOGLETRANSLATE(A936, ""en"", ""mt"")"),"Meta ġie ppubblikat ir-Rapport tat-Tielet Valutazzjoni tal-IPCC?")</f>
        <v>Meta ġie ppubblikat ir-Rapport tat-Tielet Valutazzjoni tal-IPCC?</v>
      </c>
    </row>
    <row r="937" ht="15.75" customHeight="1">
      <c r="A937" s="2" t="s">
        <v>937</v>
      </c>
      <c r="B937" s="2" t="str">
        <f>IFERROR(__xludf.DUMMYFUNCTION("GOOGLETRANSLATE(A937, ""en"", ""mt"")"),"Ħakkiema Khitan,")</f>
        <v>Ħakkiema Khitan,</v>
      </c>
    </row>
    <row r="938" ht="15.75" customHeight="1">
      <c r="A938" s="2" t="s">
        <v>938</v>
      </c>
      <c r="B938" s="2" t="str">
        <f>IFERROR(__xludf.DUMMYFUNCTION("GOOGLETRANSLATE(A938, ""en"", ""mt"")"),"X'inhuma l-outputs molekulari għall-fotosintesi?")</f>
        <v>X'inhuma l-outputs molekulari għall-fotosintesi?</v>
      </c>
    </row>
    <row r="939" ht="15.75" customHeight="1">
      <c r="A939" s="2" t="s">
        <v>939</v>
      </c>
      <c r="B939" s="2" t="str">
        <f>IFERROR(__xludf.DUMMYFUNCTION("GOOGLETRANSLATE(A939, ""en"", ""mt"")"),"tard tas-snin 1980")</f>
        <v>tard tas-snin 1980</v>
      </c>
    </row>
    <row r="940" ht="15.75" customHeight="1">
      <c r="A940" s="2" t="s">
        <v>940</v>
      </c>
      <c r="B940" s="2" t="str">
        <f>IFERROR(__xludf.DUMMYFUNCTION("GOOGLETRANSLATE(A940, ""en"", ""mt"")"),"Wilderness tad-distrett ta 'Maine u' l isfel fix-xmara Chaudière")</f>
        <v>Wilderness tad-distrett ta 'Maine u' l isfel fix-xmara Chaudière</v>
      </c>
    </row>
    <row r="941" ht="15.75" customHeight="1">
      <c r="A941" s="2" t="s">
        <v>941</v>
      </c>
      <c r="B941" s="2" t="str">
        <f>IFERROR(__xludf.DUMMYFUNCTION("GOOGLETRANSLATE(A941, ""en"", ""mt"")"),"Netwerk deċentralizzat b'ħafna mogħdijiet bejn kwalunkwe żewġ punti")</f>
        <v>Netwerk deċentralizzat b'ħafna mogħdijiet bejn kwalunkwe żewġ punti</v>
      </c>
    </row>
    <row r="942" ht="15.75" customHeight="1">
      <c r="A942" s="2" t="s">
        <v>942</v>
      </c>
      <c r="B942" s="2" t="str">
        <f>IFERROR(__xludf.DUMMYFUNCTION("GOOGLETRANSLATE(A942, ""en"", ""mt"")"),"X'kien l-għan tas-sistema")</f>
        <v>X'kien l-għan tas-sistema</v>
      </c>
    </row>
    <row r="943" ht="15.75" customHeight="1">
      <c r="A943" s="2" t="s">
        <v>943</v>
      </c>
      <c r="B943" s="2" t="str">
        <f>IFERROR(__xludf.DUMMYFUNCTION("GOOGLETRANSLATE(A943, ""en"", ""mt"")"),"Maxwell")</f>
        <v>Maxwell</v>
      </c>
    </row>
    <row r="944" ht="15.75" customHeight="1">
      <c r="A944" s="2" t="s">
        <v>944</v>
      </c>
      <c r="B944" s="2" t="str">
        <f>IFERROR(__xludf.DUMMYFUNCTION("GOOGLETRANSLATE(A944, ""en"", ""mt"")"),"Studenti esposti għal għalliem entużjastiku ġeneralment għamlu dak li iktar spiss barra l-klassi?")</f>
        <v>Studenti esposti għal għalliem entużjastiku ġeneralment għamlu dak li iktar spiss barra l-klassi?</v>
      </c>
    </row>
    <row r="945" ht="15.75" customHeight="1">
      <c r="A945" s="2" t="s">
        <v>945</v>
      </c>
      <c r="B945" s="2" t="str">
        <f>IFERROR(__xludf.DUMMYFUNCTION("GOOGLETRANSLATE(A945, ""en"", ""mt"")"),"Editt ta 'Potsdam")</f>
        <v>Editt ta 'Potsdam</v>
      </c>
    </row>
    <row r="946" ht="15.75" customHeight="1">
      <c r="A946" s="2" t="s">
        <v>946</v>
      </c>
      <c r="B946" s="2" t="str">
        <f>IFERROR(__xludf.DUMMYFUNCTION("GOOGLETRANSLATE(A946, ""en"", ""mt"")"),"Funzjoni tal-paviment")</f>
        <v>Funzjoni tal-paviment</v>
      </c>
    </row>
    <row r="947" ht="15.75" customHeight="1">
      <c r="A947" s="2" t="s">
        <v>947</v>
      </c>
      <c r="B947" s="2" t="str">
        <f>IFERROR(__xludf.DUMMYFUNCTION("GOOGLETRANSLATE(A947, ""en"", ""mt"")"),"veduta differenti")</f>
        <v>veduta differenti</v>
      </c>
    </row>
    <row r="948" ht="15.75" customHeight="1">
      <c r="A948" s="2" t="s">
        <v>948</v>
      </c>
      <c r="B948" s="2" t="str">
        <f>IFERROR(__xludf.DUMMYFUNCTION("GOOGLETRANSLATE(A948, ""en"", ""mt"")"),"Liema serje tal-komiks iddebutta ABC fl-2013-14?")</f>
        <v>Liema serje tal-komiks iddebutta ABC fl-2013-14?</v>
      </c>
    </row>
    <row r="949" ht="15.75" customHeight="1">
      <c r="A949" s="2" t="s">
        <v>949</v>
      </c>
      <c r="B949" s="2" t="str">
        <f>IFERROR(__xludf.DUMMYFUNCTION("GOOGLETRANSLATE(A949, ""en"", ""mt"")"),"Orjentaliżmu")</f>
        <v>Orjentaliżmu</v>
      </c>
    </row>
    <row r="950" ht="15.75" customHeight="1">
      <c r="A950" s="2" t="s">
        <v>950</v>
      </c>
      <c r="B950" s="2" t="str">
        <f>IFERROR(__xludf.DUMMYFUNCTION("GOOGLETRANSLATE(A950, ""en"", ""mt"")"),"Meta huwa l-eqdem inċident irreġistrat ta 'diżubbidjenza ċivili?")</f>
        <v>Meta huwa l-eqdem inċident irreġistrat ta 'diżubbidjenza ċivili?</v>
      </c>
    </row>
    <row r="951" ht="15.75" customHeight="1">
      <c r="A951" s="2" t="s">
        <v>951</v>
      </c>
      <c r="B951" s="2" t="str">
        <f>IFERROR(__xludf.DUMMYFUNCTION("GOOGLETRANSLATE(A951, ""en"", ""mt"")"),"X’kawżaw ir-riformi?")</f>
        <v>X’kawżaw ir-riformi?</v>
      </c>
    </row>
    <row r="952" ht="15.75" customHeight="1">
      <c r="A952" s="2" t="s">
        <v>952</v>
      </c>
      <c r="B952" s="2" t="str">
        <f>IFERROR(__xludf.DUMMYFUNCTION("GOOGLETRANSLATE(A952, ""en"", ""mt"")"),"Tendenza akbar li tieħu d-djun")</f>
        <v>Tendenza akbar li tieħu d-djun</v>
      </c>
    </row>
    <row r="953" ht="15.75" customHeight="1">
      <c r="A953" s="2" t="s">
        <v>953</v>
      </c>
      <c r="B953" s="2" t="str">
        <f>IFERROR(__xludf.DUMMYFUNCTION("GOOGLETRANSLATE(A953, ""en"", ""mt"")"),"Tolui")</f>
        <v>Tolui</v>
      </c>
    </row>
    <row r="954" ht="15.75" customHeight="1">
      <c r="A954" s="2" t="s">
        <v>954</v>
      </c>
      <c r="B954" s="2" t="str">
        <f>IFERROR(__xludf.DUMMYFUNCTION("GOOGLETRANSLATE(A954, ""en"", ""mt"")"),"Liema kunċett użaw il-filosfi fl-antikità biex jistudjaw magni sempliċi?")</f>
        <v>Liema kunċett użaw il-filosfi fl-antikità biex jistudjaw magni sempliċi?</v>
      </c>
    </row>
    <row r="955" ht="15.75" customHeight="1">
      <c r="A955" s="2" t="s">
        <v>955</v>
      </c>
      <c r="B955" s="2" t="str">
        <f>IFERROR(__xludf.DUMMYFUNCTION("GOOGLETRANSLATE(A955, ""en"", ""mt"")"),"Liema entitajiet huma inklużi fis-sistema federali tal-kura tas-saħħa?")</f>
        <v>Liema entitajiet huma inklużi fis-sistema federali tal-kura tas-saħħa?</v>
      </c>
    </row>
    <row r="956" ht="15.75" customHeight="1">
      <c r="A956" s="2" t="s">
        <v>956</v>
      </c>
      <c r="B956" s="2" t="str">
        <f>IFERROR(__xludf.DUMMYFUNCTION("GOOGLETRANSLATE(A956, ""en"", ""mt"")"),"2013")</f>
        <v>2013</v>
      </c>
    </row>
    <row r="957" ht="15.75" customHeight="1">
      <c r="A957" s="2" t="s">
        <v>957</v>
      </c>
      <c r="B957" s="2" t="str">
        <f>IFERROR(__xludf.DUMMYFUNCTION("GOOGLETRANSLATE(A957, ""en"", ""mt"")"),"F'valv aġġustabbli mgħobbi bir-rebbiegħa, x'hemm bżonn li jinqasam biex jippermetti lill-operatur ibagħbas miegħu?")</f>
        <v>F'valv aġġustabbli mgħobbi bir-rebbiegħa, x'hemm bżonn li jinqasam biex jippermetti lill-operatur ibagħbas miegħu?</v>
      </c>
    </row>
    <row r="958" ht="15.75" customHeight="1">
      <c r="A958" s="2" t="s">
        <v>958</v>
      </c>
      <c r="B958" s="2" t="str">
        <f>IFERROR(__xludf.DUMMYFUNCTION("GOOGLETRANSLATE(A958, ""en"", ""mt"")"),"Kemm għandu siġġijiet l-anfiteatru fil-Woodward Park?")</f>
        <v>Kemm għandu siġġijiet l-anfiteatru fil-Woodward Park?</v>
      </c>
    </row>
    <row r="959" ht="15.75" customHeight="1">
      <c r="A959" s="2" t="s">
        <v>959</v>
      </c>
      <c r="B959" s="2" t="str">
        <f>IFERROR(__xludf.DUMMYFUNCTION("GOOGLETRANSLATE(A959, ""en"", ""mt"")"),"Liema reliġjon infirxet il-Franċiżi flimkien mal-imperjalizmu tagħhom?")</f>
        <v>Liema reliġjon infirxet il-Franċiżi flimkien mal-imperjalizmu tagħhom?</v>
      </c>
    </row>
    <row r="960" ht="15.75" customHeight="1">
      <c r="A960" s="2" t="s">
        <v>960</v>
      </c>
      <c r="B960" s="2" t="str">
        <f>IFERROR(__xludf.DUMMYFUNCTION("GOOGLETRANSLATE(A960, ""en"", ""mt"")"),"Aristotile's")</f>
        <v>Aristotile's</v>
      </c>
    </row>
    <row r="961" ht="15.75" customHeight="1">
      <c r="A961" s="2" t="s">
        <v>961</v>
      </c>
      <c r="B961" s="2" t="str">
        <f>IFERROR(__xludf.DUMMYFUNCTION("GOOGLETRANSLATE(A961, ""en"", ""mt"")"),"Theta Forma Intermedjarja")</f>
        <v>Theta Forma Intermedjarja</v>
      </c>
    </row>
    <row r="962" ht="15.75" customHeight="1">
      <c r="A962" s="2" t="s">
        <v>962</v>
      </c>
      <c r="B962" s="2" t="str">
        <f>IFERROR(__xludf.DUMMYFUNCTION("GOOGLETRANSLATE(A962, ""en"", ""mt"")"),"Kemm qal kmieni Luther li kellu jqajjem kuljum?")</f>
        <v>Kemm qal kmieni Luther li kellu jqajjem kuljum?</v>
      </c>
    </row>
    <row r="963" ht="15.75" customHeight="1">
      <c r="A963" s="2" t="s">
        <v>963</v>
      </c>
      <c r="B963" s="2" t="str">
        <f>IFERROR(__xludf.DUMMYFUNCTION("GOOGLETRANSLATE(A963, ""en"", ""mt"")"),"Kemm ħin l-aħjar algoritmu jeħtieġ biex issolvi l-problema")</f>
        <v>Kemm ħin l-aħjar algoritmu jeħtieġ biex issolvi l-problema</v>
      </c>
    </row>
    <row r="964" ht="15.75" customHeight="1">
      <c r="A964" s="2" t="s">
        <v>964</v>
      </c>
      <c r="B964" s="2" t="str">
        <f>IFERROR(__xludf.DUMMYFUNCTION("GOOGLETRANSLATE(A964, ""en"", ""mt"")"),"Kif Luther Tfaħħlu 12-il sorijiet barra minn kunvent waqt ir-ribelljoni?")</f>
        <v>Kif Luther Tfaħħlu 12-il sorijiet barra minn kunvent waqt ir-ribelljoni?</v>
      </c>
    </row>
    <row r="965" ht="15.75" customHeight="1">
      <c r="A965" s="2" t="s">
        <v>965</v>
      </c>
      <c r="B965" s="2" t="str">
        <f>IFERROR(__xludf.DUMMYFUNCTION("GOOGLETRANSLATE(A965, ""en"", ""mt"")"),"Ċentrifugali f’ħafna stadji")</f>
        <v>Ċentrifugali f’ħafna stadji</v>
      </c>
    </row>
    <row r="966" ht="15.75" customHeight="1">
      <c r="A966" s="2" t="s">
        <v>966</v>
      </c>
      <c r="B966" s="2" t="str">
        <f>IFERROR(__xludf.DUMMYFUNCTION("GOOGLETRANSLATE(A966, ""en"", ""mt"")"),"Delegazzjoni Amerikana mill-Konferenza tal-Paċi ta 'Pariġi")</f>
        <v>Delegazzjoni Amerikana mill-Konferenza tal-Paċi ta 'Pariġi</v>
      </c>
    </row>
    <row r="967" ht="15.75" customHeight="1">
      <c r="A967" s="2" t="s">
        <v>967</v>
      </c>
      <c r="B967" s="2" t="str">
        <f>IFERROR(__xludf.DUMMYFUNCTION("GOOGLETRANSLATE(A967, ""en"", ""mt"")"),"Ktieb tal-Eżodu")</f>
        <v>Ktieb tal-Eżodu</v>
      </c>
    </row>
    <row r="968" ht="15.75" customHeight="1">
      <c r="A968" s="2" t="s">
        <v>968</v>
      </c>
      <c r="B968" s="2" t="str">
        <f>IFERROR(__xludf.DUMMYFUNCTION("GOOGLETRANSLATE(A968, ""en"", ""mt"")"),"Kemm kien preċiż Guo għamel il-kalendarju lunisolari riformat?")</f>
        <v>Kemm kien preċiż Guo għamel il-kalendarju lunisolari riformat?</v>
      </c>
    </row>
    <row r="969" ht="15.75" customHeight="1">
      <c r="A969" s="2" t="s">
        <v>969</v>
      </c>
      <c r="B969" s="2" t="str">
        <f>IFERROR(__xludf.DUMMYFUNCTION("GOOGLETRANSLATE(A969, ""en"", ""mt"")"),"X'inhu l-isem tal-unika ċinema tal-aħbarijiet li fadal tar-Renju Unit?")</f>
        <v>X'inhu l-isem tal-unika ċinema tal-aħbarijiet li fadal tar-Renju Unit?</v>
      </c>
    </row>
    <row r="970" ht="15.75" customHeight="1">
      <c r="A970" s="2" t="s">
        <v>970</v>
      </c>
      <c r="B970" s="2" t="str">
        <f>IFERROR(__xludf.DUMMYFUNCTION("GOOGLETRANSLATE(A970, ""en"", ""mt"")"),"Il-granit huwa magħmul fil-biċċa l-kbira minn liema kompost kimiku?")</f>
        <v>Il-granit huwa magħmul fil-biċċa l-kbira minn liema kompost kimiku?</v>
      </c>
    </row>
    <row r="971" ht="15.75" customHeight="1">
      <c r="A971" s="2" t="s">
        <v>971</v>
      </c>
      <c r="B971" s="2" t="str">
        <f>IFERROR(__xludf.DUMMYFUNCTION("GOOGLETRANSLATE(A971, ""en"", ""mt"")"),"tikkompressa l-iktar era riċenti")</f>
        <v>tikkompressa l-iktar era riċenti</v>
      </c>
    </row>
    <row r="972" ht="15.75" customHeight="1">
      <c r="A972" s="2" t="s">
        <v>972</v>
      </c>
      <c r="B972" s="2" t="str">
        <f>IFERROR(__xludf.DUMMYFUNCTION("GOOGLETRANSLATE(A972, ""en"", ""mt"")"),"Il-Kummissjoni u l-Kunsill")</f>
        <v>Il-Kummissjoni u l-Kunsill</v>
      </c>
    </row>
    <row r="973" ht="15.75" customHeight="1">
      <c r="A973" s="2" t="s">
        <v>973</v>
      </c>
      <c r="B973" s="2" t="str">
        <f>IFERROR(__xludf.DUMMYFUNCTION("GOOGLETRANSLATE(A973, ""en"", ""mt"")"),"faqar")</f>
        <v>faqar</v>
      </c>
    </row>
    <row r="974" ht="15.75" customHeight="1">
      <c r="A974" s="2" t="s">
        <v>974</v>
      </c>
      <c r="B974" s="2" t="str">
        <f>IFERROR(__xludf.DUMMYFUNCTION("GOOGLETRANSLATE(A974, ""en"", ""mt"")"),"X'inhi l-forza repulsiva ta 'interazzjoni ta' atomu ta 'firxa mill-qrib?")</f>
        <v>X'inhi l-forza repulsiva ta 'interazzjoni ta' atomu ta 'firxa mill-qrib?</v>
      </c>
    </row>
    <row r="975" ht="15.75" customHeight="1">
      <c r="A975" s="2" t="s">
        <v>975</v>
      </c>
      <c r="B975" s="2" t="str">
        <f>IFERROR(__xludf.DUMMYFUNCTION("GOOGLETRANSLATE(A975, ""en"", ""mt"")"),"X'tip ta 'status ivvota l-UMC biex tfittex fl-Assoċjazzjoni Nazzjonali tal-Evanġeliċi?")</f>
        <v>X'tip ta 'status ivvota l-UMC biex tfittex fl-Assoċjazzjoni Nazzjonali tal-Evanġeliċi?</v>
      </c>
    </row>
    <row r="976" ht="15.75" customHeight="1">
      <c r="A976" s="2" t="s">
        <v>976</v>
      </c>
      <c r="B976" s="2" t="str">
        <f>IFERROR(__xludf.DUMMYFUNCTION("GOOGLETRANSLATE(A976, ""en"", ""mt"")"),"X'inhu l-benefiċċju li l-alka ħamra tkun ħamra?")</f>
        <v>X'inhu l-benefiċċju li l-alka ħamra tkun ħamra?</v>
      </c>
    </row>
    <row r="977" ht="15.75" customHeight="1">
      <c r="A977" s="2" t="s">
        <v>977</v>
      </c>
      <c r="B977" s="2" t="str">
        <f>IFERROR(__xludf.DUMMYFUNCTION("GOOGLETRANSLATE(A977, ""en"", ""mt"")"),"mill-inqas erbgħa")</f>
        <v>mill-inqas erbgħa</v>
      </c>
    </row>
    <row r="978" ht="15.75" customHeight="1">
      <c r="A978" s="2" t="s">
        <v>978</v>
      </c>
      <c r="B978" s="2" t="str">
        <f>IFERROR(__xludf.DUMMYFUNCTION("GOOGLETRANSLATE(A978, ""en"", ""mt"")"),"Ġwanni 8: 7.")</f>
        <v>Ġwanni 8: 7.</v>
      </c>
    </row>
    <row r="979" ht="15.75" customHeight="1">
      <c r="A979" s="2" t="s">
        <v>979</v>
      </c>
      <c r="B979" s="2" t="str">
        <f>IFERROR(__xludf.DUMMYFUNCTION("GOOGLETRANSLATE(A979, ""en"", ""mt"")"),"ħila")</f>
        <v>ħila</v>
      </c>
    </row>
    <row r="980" ht="15.75" customHeight="1">
      <c r="A980" s="2" t="s">
        <v>980</v>
      </c>
      <c r="B980" s="2" t="str">
        <f>IFERROR(__xludf.DUMMYFUNCTION("GOOGLETRANSLATE(A980, ""en"", ""mt"")"),"Tapit Ardabil")</f>
        <v>Tapit Ardabil</v>
      </c>
    </row>
    <row r="981" ht="15.75" customHeight="1">
      <c r="A981" s="2" t="s">
        <v>981</v>
      </c>
      <c r="B981" s="2" t="str">
        <f>IFERROR(__xludf.DUMMYFUNCTION("GOOGLETRANSLATE(A981, ""en"", ""mt"")"),"Dürer")</f>
        <v>Dürer</v>
      </c>
    </row>
    <row r="982" ht="15.75" customHeight="1">
      <c r="A982" s="2" t="s">
        <v>982</v>
      </c>
      <c r="B982" s="2" t="str">
        <f>IFERROR(__xludf.DUMMYFUNCTION("GOOGLETRANSLATE(A982, ""en"", ""mt"")"),"Liema dipartiment tal-gvern għalaq Buyantu?")</f>
        <v>Liema dipartiment tal-gvern għalaq Buyantu?</v>
      </c>
    </row>
    <row r="983" ht="15.75" customHeight="1">
      <c r="A983" s="2" t="s">
        <v>983</v>
      </c>
      <c r="B983" s="2" t="str">
        <f>IFERROR(__xludf.DUMMYFUNCTION("GOOGLETRANSLATE(A983, ""en"", ""mt"")"),"Kif huwa kkommemorat Luther fuq il-kalendarji Luterani, Episkopali u tal-Knisja tal-Ingilterra?")</f>
        <v>Kif huwa kkommemorat Luther fuq il-kalendarji Luterani, Episkopali u tal-Knisja tal-Ingilterra?</v>
      </c>
    </row>
    <row r="984" ht="15.75" customHeight="1">
      <c r="A984" s="2" t="s">
        <v>984</v>
      </c>
      <c r="B984" s="2" t="str">
        <f>IFERROR(__xludf.DUMMYFUNCTION("GOOGLETRANSLATE(A984, ""en"", ""mt"")"),"Capital City u ABC biegħu l-istazzjonijiet WXYZ-TV u WFTS-TV lil liema kumpanija?")</f>
        <v>Capital City u ABC biegħu l-istazzjonijiet WXYZ-TV u WFTS-TV lil liema kumpanija?</v>
      </c>
    </row>
    <row r="985" ht="15.75" customHeight="1">
      <c r="A985" s="2" t="s">
        <v>985</v>
      </c>
      <c r="B985" s="2" t="str">
        <f>IFERROR(__xludf.DUMMYFUNCTION("GOOGLETRANSLATE(A985, ""en"", ""mt"")"),"90 °")</f>
        <v>90 °</v>
      </c>
    </row>
    <row r="986" ht="15.75" customHeight="1">
      <c r="A986" s="2" t="s">
        <v>986</v>
      </c>
      <c r="B986" s="2" t="str">
        <f>IFERROR(__xludf.DUMMYFUNCTION("GOOGLETRANSLATE(A986, ""en"", ""mt"")"),"Andrew Jackson")</f>
        <v>Andrew Jackson</v>
      </c>
    </row>
    <row r="987" ht="15.75" customHeight="1">
      <c r="A987" s="2" t="s">
        <v>987</v>
      </c>
      <c r="B987" s="2" t="str">
        <f>IFERROR(__xludf.DUMMYFUNCTION("GOOGLETRANSLATE(A987, ""en"", ""mt"")"),"Fatturi ekonomiċi jew finanzjarji")</f>
        <v>Fatturi ekonomiċi jew finanzjarji</v>
      </c>
    </row>
    <row r="988" ht="15.75" customHeight="1">
      <c r="A988" s="2" t="s">
        <v>988</v>
      </c>
      <c r="B988" s="2" t="str">
        <f>IFERROR(__xludf.DUMMYFUNCTION("GOOGLETRANSLATE(A988, ""en"", ""mt"")"),"Hemm tliet tipi ewlenin ta 'blat: igneous, sedimentarji, u metamorfiċi. Iċ-ċiklu tal-blat huwa kunċett importanti fil-ġeoloġija li juri r-relazzjonijiet bejn dawn it-tliet tipi ta 'blat, u magma. Meta blat jikkristallizza minn tidwib (magma u / jew lava),"&amp;" huwa blat igneous. Dan il-blat jista 'jitħaffef u jitnaqqar, u mbagħad jerġa' jiġi mdaħħal mill-ġdid u mdaħħal fi blat sedimentarju, jew jinbidel fi blat metamorfiku minħabba s-sħana u l-pressjoni li jibdlu l-kontenut minerali tal-blat li jagħtih drapp k"&amp;"aratteristiku. Il-blat sedimentarju jista 'mbagħad jiġi sussegwentement jinbidel fi blat metamorfiku minħabba s-sħana u l-pressjoni u mbagħad jiġi mtawwal, imnaqqar, depożitat, u litifikat, fl-aħħar isir blat sedimentarju. Il-blat sedimentarju jista 'wkol"&amp;"l jerġa' jiġi evitat u mill-ġdid, u l-blat metamorfiku jista 'wkoll jgħaddi minn metamorfiżmu addizzjonali. It-tliet tipi ta 'blat kollha jistgħu jerġgħu jinħallu; Meta jiġri dan, hija ffurmata magma ġdida, li minnha blat igneous jista 'jerġa' jikkristall"&amp;"izza.")</f>
        <v>Hemm tliet tipi ewlenin ta 'blat: igneous, sedimentarji, u metamorfiċi. Iċ-ċiklu tal-blat huwa kunċett importanti fil-ġeoloġija li juri r-relazzjonijiet bejn dawn it-tliet tipi ta 'blat, u magma. Meta blat jikkristallizza minn tidwib (magma u / jew lava), huwa blat igneous. Dan il-blat jista 'jitħaffef u jitnaqqar, u mbagħad jerġa' jiġi mdaħħal mill-ġdid u mdaħħal fi blat sedimentarju, jew jinbidel fi blat metamorfiku minħabba s-sħana u l-pressjoni li jibdlu l-kontenut minerali tal-blat li jagħtih drapp karatteristiku. Il-blat sedimentarju jista 'mbagħad jiġi sussegwentement jinbidel fi blat metamorfiku minħabba s-sħana u l-pressjoni u mbagħad jiġi mtawwal, imnaqqar, depożitat, u litifikat, fl-aħħar isir blat sedimentarju. Il-blat sedimentarju jista 'wkoll jerġa' jiġi evitat u mill-ġdid, u l-blat metamorfiku jista 'wkoll jgħaddi minn metamorfiżmu addizzjonali. It-tliet tipi ta 'blat kollha jistgħu jerġgħu jinħallu; Meta jiġri dan, hija ffurmata magma ġdida, li minnha blat igneous jista 'jerġa' jikkristallizza.</v>
      </c>
    </row>
    <row r="989" ht="15.75" customHeight="1">
      <c r="A989" s="2" t="s">
        <v>989</v>
      </c>
      <c r="B989" s="2" t="str">
        <f>IFERROR(__xludf.DUMMYFUNCTION("GOOGLETRANSLATE(A989, ""en"", ""mt"")"),"Harvard għandu diversi faċilitajiet atletiċi, bħall-Padiljun Lavietes, arena b'diversi skopijiet u dar għat-timijiet tal-basketball ta 'Harvard. Iċ-Ċentru Atletiku ta 'Malkin, magħruf bħala ""Mac"", iservi kemm bħala l-faċilità ta' rikreazzjoni primarja t"&amp;"al-università kif ukoll bħala post bis-satellita għal diversi sports ta 'varsity. Il-bini b'ħames sulari jinkludi żewġ kmamar kardjo, pixxina ta 'daqs Olimpiku, ġabra iżgħar għall-akwaerobika u attivitajiet oħra, mezzanin, fejn huma miżmuma t-tipi kollha "&amp;"ta' klassijiet, studju ta 'ċikliżmu fuq ġewwa, tliet kmamar tal-piż, u tlieta Qorti tal-ġinnasju tal-qorti biex tilgħab il-baskitbol. Il-Mac joffri trejners personali u klassijiet ta 'speċjalità. Huwa d-dar ta 'Harvard Volleyball, Fencing u Wrestling. L-u"&amp;"ffiċċji ta 'bosta mill-kowċis tal-varsity tal-iskola huma wkoll fil-Mac.")</f>
        <v>Harvard għandu diversi faċilitajiet atletiċi, bħall-Padiljun Lavietes, arena b'diversi skopijiet u dar għat-timijiet tal-basketball ta 'Harvard. Iċ-Ċentru Atletiku ta 'Malkin, magħruf bħala "Mac", iservi kemm bħala l-faċilità ta' rikreazzjoni primarja tal-università kif ukoll bħala post bis-satellita għal diversi sports ta 'varsity. Il-bini b'ħames sulari jinkludi żewġ kmamar kardjo, pixxina ta 'daqs Olimpiku, ġabra iżgħar għall-akwaerobika u attivitajiet oħra, mezzanin, fejn huma miżmuma t-tipi kollha ta' klassijiet, studju ta 'ċikliżmu fuq ġewwa, tliet kmamar tal-piż, u tlieta Qorti tal-ġinnasju tal-qorti biex tilgħab il-baskitbol. Il-Mac joffri trejners personali u klassijiet ta 'speċjalità. Huwa d-dar ta 'Harvard Volleyball, Fencing u Wrestling. L-uffiċċji ta 'bosta mill-kowċis tal-varsity tal-iskola huma wkoll fil-Mac.</v>
      </c>
    </row>
    <row r="990" ht="15.75" customHeight="1">
      <c r="A990" s="2" t="s">
        <v>990</v>
      </c>
      <c r="B990" s="2" t="str">
        <f>IFERROR(__xludf.DUMMYFUNCTION("GOOGLETRANSLATE(A990, ""en"", ""mt"")"),"Elie Metchnikoff")</f>
        <v>Elie Metchnikoff</v>
      </c>
    </row>
    <row r="991" ht="15.75" customHeight="1">
      <c r="A991" s="2" t="s">
        <v>991</v>
      </c>
      <c r="B991" s="2" t="str">
        <f>IFERROR(__xludf.DUMMYFUNCTION("GOOGLETRANSLATE(A991, ""en"", ""mt"")"),"Programm tal-Ambjent tan-Nazzjonijiet Uniti")</f>
        <v>Programm tal-Ambjent tan-Nazzjonijiet Uniti</v>
      </c>
    </row>
    <row r="992" ht="15.75" customHeight="1">
      <c r="A992" s="2" t="s">
        <v>992</v>
      </c>
      <c r="B992" s="2" t="str">
        <f>IFERROR(__xludf.DUMMYFUNCTION("GOOGLETRANSLATE(A992, ""en"", ""mt"")"),"Min kien l-alleat ta 'missieru li Genghis Khan waqa' hekk kif għadda ż-żmien?")</f>
        <v>Min kien l-alleat ta 'missieru li Genghis Khan waqa' hekk kif għadda ż-żmien?</v>
      </c>
    </row>
    <row r="993" ht="15.75" customHeight="1">
      <c r="A993" s="2" t="s">
        <v>993</v>
      </c>
      <c r="B993" s="2" t="str">
        <f>IFERROR(__xludf.DUMMYFUNCTION("GOOGLETRANSLATE(A993, ""en"", ""mt"")"),"Kif tissejjaħ il-pleurobrachia kostali komuni?")</f>
        <v>Kif tissejjaħ il-pleurobrachia kostali komuni?</v>
      </c>
    </row>
    <row r="994" ht="15.75" customHeight="1">
      <c r="A994" s="2" t="s">
        <v>994</v>
      </c>
      <c r="B994" s="2" t="str">
        <f>IFERROR(__xludf.DUMMYFUNCTION("GOOGLETRANSLATE(A994, ""en"", ""mt"")"),"John Fox")</f>
        <v>John Fox</v>
      </c>
    </row>
    <row r="995" ht="15.75" customHeight="1">
      <c r="A995" s="2" t="s">
        <v>995</v>
      </c>
      <c r="B995" s="2" t="str">
        <f>IFERROR(__xludf.DUMMYFUNCTION("GOOGLETRANSLATE(A995, ""en"", ""mt"")"),"bankini wiesgħa")</f>
        <v>bankini wiesgħa</v>
      </c>
    </row>
    <row r="996" ht="15.75" customHeight="1">
      <c r="A996" s="2" t="s">
        <v>996</v>
      </c>
      <c r="B996" s="2" t="str">
        <f>IFERROR(__xludf.DUMMYFUNCTION("GOOGLETRANSLATE(A996, ""en"", ""mt"")"),"Verżjonijiet tax-xogħol tat-teknoloġija tal-bini tal-istampar 3D diġà qed jistampaw kemm materjal tal-bini fis-siegħa?")</f>
        <v>Verżjonijiet tax-xogħol tat-teknoloġija tal-bini tal-istampar 3D diġà qed jistampaw kemm materjal tal-bini fis-siegħa?</v>
      </c>
    </row>
    <row r="997" ht="15.75" customHeight="1">
      <c r="A997" s="2" t="s">
        <v>997</v>
      </c>
      <c r="B997" s="2" t="str">
        <f>IFERROR(__xludf.DUMMYFUNCTION("GOOGLETRANSLATE(A997, ""en"", ""mt"")"),"Agostino Carlini")</f>
        <v>Agostino Carlini</v>
      </c>
    </row>
    <row r="998" ht="15.75" customHeight="1">
      <c r="A998" s="2" t="s">
        <v>998</v>
      </c>
      <c r="B998" s="2" t="str">
        <f>IFERROR(__xludf.DUMMYFUNCTION("GOOGLETRANSLATE(A998, ""en"", ""mt"")"),"Kotba Doctor Who ġew ippubblikati minn nofs is-snin sittin sal-lum. Mill-1965 sal-1991 il-kotba ppubblikati kienu primarjament adattamenti novellati ta 'episodji ta' xandir; Bidu fl-1991 tnediet linja estensiva ta 'finzjoni oriġinali, il-Virgin New Advent"&amp;"ures u l-Virgin Nieqes Adventures. Mit-tnedija mill-ġdid tal-programm fl-2005, firxa ġdida ta 'rumanzi ġew ippubblikati mill-BBC Books. Ġew ippubblikati wkoll bosta kotba mhux fittizji dwar is-serje, inklużi l-ktieb gwida u l-istudji kritiċi, u rivista Do"&amp;"ctor Who biċ-ċirkolazzjoni dedikata ġiet ippubblikata regolarment mill-1979. Dan huwa ppubblikat minn Panini, kif inhi r-rivista Doctor Who Adventures għal Fannijiet iżgħar.")</f>
        <v>Kotba Doctor Who ġew ippubblikati minn nofs is-snin sittin sal-lum. Mill-1965 sal-1991 il-kotba ppubblikati kienu primarjament adattamenti novellati ta 'episodji ta' xandir; Bidu fl-1991 tnediet linja estensiva ta 'finzjoni oriġinali, il-Virgin New Adventures u l-Virgin Nieqes Adventures. Mit-tnedija mill-ġdid tal-programm fl-2005, firxa ġdida ta 'rumanzi ġew ippubblikati mill-BBC Books. Ġew ippubblikati wkoll bosta kotba mhux fittizji dwar is-serje, inklużi l-ktieb gwida u l-istudji kritiċi, u rivista Doctor Who biċ-ċirkolazzjoni dedikata ġiet ippubblikata regolarment mill-1979. Dan huwa ppubblikat minn Panini, kif inhi r-rivista Doctor Who Adventures għal Fannijiet iżgħar.</v>
      </c>
    </row>
    <row r="999" ht="15.75" customHeight="1">
      <c r="A999" s="2" t="s">
        <v>999</v>
      </c>
      <c r="B999" s="2" t="str">
        <f>IFERROR(__xludf.DUMMYFUNCTION("GOOGLETRANSLATE(A999, ""en"", ""mt"")"),"Minħabba li l-ilbies ta 'kuljum minn eras preċedenti ġeneralment ma baqax ħaj")</f>
        <v>Minħabba li l-ilbies ta 'kuljum minn eras preċedenti ġeneralment ma baqax ħaj</v>
      </c>
    </row>
    <row r="1000" ht="15.75" customHeight="1">
      <c r="A1000" s="2" t="s">
        <v>1000</v>
      </c>
      <c r="B1000" s="2" t="str">
        <f>IFERROR(__xludf.DUMMYFUNCTION("GOOGLETRANSLATE(A1000, ""en"", ""mt"")"),"tolleranza")</f>
        <v>tolleranza</v>
      </c>
    </row>
    <row r="1001" ht="15.75" customHeight="1">
      <c r="A1001" s="2" t="s">
        <v>1001</v>
      </c>
      <c r="B1001" s="2" t="str">
        <f>IFERROR(__xludf.DUMMYFUNCTION("GOOGLETRANSLATE(A1001, ""en"", ""mt"")"),"Minħabba malfunzjoni fiċ-ċirkwit tal-kamaleont")</f>
        <v>Minħabba malfunzjoni fiċ-ċirkwit tal-kamaleont</v>
      </c>
    </row>
    <row r="1002" ht="15.75" customHeight="1">
      <c r="A1002" s="2" t="s">
        <v>1002</v>
      </c>
      <c r="B1002" s="2" t="str">
        <f>IFERROR(__xludf.DUMMYFUNCTION("GOOGLETRANSLATE(A1002, ""en"", ""mt"")"),"proċess edukattiv jew da'wah")</f>
        <v>proċess edukattiv jew da'wah</v>
      </c>
    </row>
    <row r="1003" ht="15.75" customHeight="1">
      <c r="A1003" s="2" t="s">
        <v>1003</v>
      </c>
      <c r="B1003" s="2" t="str">
        <f>IFERROR(__xludf.DUMMYFUNCTION("GOOGLETRANSLATE(A1003, ""en"", ""mt"")"),"Aktar tard fil-ħajja, Tesla għamlet talbiet dwar arma ""Teleforce"" wara li studjat il-ġeneratur ta 'Van de Graaff. L-istampa rreferiet b'mod varjabbli għaliha bħala ""Ray Peace"" jew Death Ray. Tesla ddeskriviet l-arma bħala li kapaċi tintuża kontra infa"&amp;"nterija bbażata fuq l-art jew għal skopijiet ta 'anti-ajruplani.")</f>
        <v>Aktar tard fil-ħajja, Tesla għamlet talbiet dwar arma "Teleforce" wara li studjat il-ġeneratur ta 'Van de Graaff. L-istampa rreferiet b'mod varjabbli għaliha bħala "Ray Peace" jew Death Ray. Tesla ddeskriviet l-arma bħala li kapaċi tintuża kontra infanterija bbażata fuq l-art jew għal skopijiet ta 'anti-ajruplani.</v>
      </c>
    </row>
    <row r="1004" ht="15.75" customHeight="1">
      <c r="A1004" s="2" t="s">
        <v>1004</v>
      </c>
      <c r="B1004" s="2" t="str">
        <f>IFERROR(__xludf.DUMMYFUNCTION("GOOGLETRANSLATE(A1004, ""en"", ""mt"")"),"X’jara gradwalment Luther bħala bla tama fir-Riforma?")</f>
        <v>X’jara gradwalment Luther bħala bla tama fir-Riforma?</v>
      </c>
    </row>
    <row r="1005" ht="15.75" customHeight="1">
      <c r="A1005" s="2" t="s">
        <v>1005</v>
      </c>
      <c r="B1005" s="2" t="str">
        <f>IFERROR(__xludf.DUMMYFUNCTION("GOOGLETRANSLATE(A1005, ""en"", ""mt"")"),"Liema funzjoni tintuża minn algoritmi biex tiddefinixxi kejl bħall-ħin jew l-ispazju?")</f>
        <v>Liema funzjoni tintuża minn algoritmi biex tiddefinixxi kejl bħall-ħin jew l-ispazju?</v>
      </c>
    </row>
    <row r="1006" ht="15.75" customHeight="1">
      <c r="A1006" s="2" t="s">
        <v>1006</v>
      </c>
      <c r="B1006" s="2" t="str">
        <f>IFERROR(__xludf.DUMMYFUNCTION("GOOGLETRANSLATE(A1006, ""en"", ""mt"")"),"Liema organiżmi għandhom kloroplasti?")</f>
        <v>Liema organiżmi għandhom kloroplasti?</v>
      </c>
    </row>
    <row r="1007" ht="15.75" customHeight="1">
      <c r="A1007" s="2" t="s">
        <v>1007</v>
      </c>
      <c r="B1007" s="2" t="str">
        <f>IFERROR(__xludf.DUMMYFUNCTION("GOOGLETRANSLATE(A1007, ""en"", ""mt"")"),"Saddam Hussein")</f>
        <v>Saddam Hussein</v>
      </c>
    </row>
    <row r="1008" ht="15.75" customHeight="1">
      <c r="A1008" s="2" t="s">
        <v>1008</v>
      </c>
      <c r="B1008" s="2" t="str">
        <f>IFERROR(__xludf.DUMMYFUNCTION("GOOGLETRANSLATE(A1008, ""en"", ""mt"")"),"L-ewwel ftehim irreġistrat f’dak li issa huwa Newcastle kien Pons Aelius, fort Ruman u pont madwar ix-xmara Tyne. Ingħata l-isem tal-familja tal-Imperatur Ruman Hadrian, li waqqafha fis-seklu 2 WK. Dan l-unur rari jissuġġerixxi li Hadrian seta ’żar is-sit"&amp;" u stabbilixxa l-pont waqt il-mawra tiegħu fil-Gran Brittanja. Il-popolazzjoni ta 'Pons Aelius f'dan il-perjodu kienet stmata għal 2,000. Fragmenti tal-ħajt ta 'Hadrian għadhom viżibbli f'partijiet ta' Newcastle, partikolarment tul it-Triq tal-Punent. Il-"&amp;"kors tal- ""ħajt Ruman"" jista 'jiġi rintraċċat lejn il-lvant lejn il-Forti Rumana tas-Segedunum f'Wallsend - it- ""End Wall's End"" - u għall-forniment ta' Fort Arbeia fit-Tarki t'Isfel. Il-firxa tal-ħajt ta 'Hadrian kienet ta' 73 mil (117 km), li tifrex"&amp;" il-wisa 'tal-Gran Brittanja; Il-ħajt inkorpora l-Vallum, foss kbir ta 'wara b'timra paralleli, u ġie mibni primarjament għad-difiża, biex jipprevjeni l-immigrazzjoni mhux mixtieqa u l-inkursjoni ta' tribujiet Pictish mit-tramuntana, mhux bħala linja ta '"&amp;"ġlied għal invażjoni maġġuri.")</f>
        <v>L-ewwel ftehim irreġistrat f’dak li issa huwa Newcastle kien Pons Aelius, fort Ruman u pont madwar ix-xmara Tyne. Ingħata l-isem tal-familja tal-Imperatur Ruman Hadrian, li waqqafha fis-seklu 2 WK. Dan l-unur rari jissuġġerixxi li Hadrian seta ’żar is-sit u stabbilixxa l-pont waqt il-mawra tiegħu fil-Gran Brittanja. Il-popolazzjoni ta 'Pons Aelius f'dan il-perjodu kienet stmata għal 2,000. Fragmenti tal-ħajt ta 'Hadrian għadhom viżibbli f'partijiet ta' Newcastle, partikolarment tul it-Triq tal-Punent. Il-kors tal- "ħajt Ruman" jista 'jiġi rintraċċat lejn il-lvant lejn il-Forti Rumana tas-Segedunum f'Wallsend - it- "End Wall's End" - u għall-forniment ta' Fort Arbeia fit-Tarki t'Isfel. Il-firxa tal-ħajt ta 'Hadrian kienet ta' 73 mil (117 km), li tifrex il-wisa 'tal-Gran Brittanja; Il-ħajt inkorpora l-Vallum, foss kbir ta 'wara b'timra paralleli, u ġie mibni primarjament għad-difiża, biex jipprevjeni l-immigrazzjoni mhux mixtieqa u l-inkursjoni ta' tribujiet Pictish mit-tramuntana, mhux bħala linja ta 'ġlied għal invażjoni maġġuri.</v>
      </c>
    </row>
    <row r="1009" ht="15.75" customHeight="1">
      <c r="A1009" s="2" t="s">
        <v>1009</v>
      </c>
      <c r="B1009" s="2" t="str">
        <f>IFERROR(__xludf.DUMMYFUNCTION("GOOGLETRANSLATE(A1009, ""en"", ""mt"")"),"In-Norveġja")</f>
        <v>In-Norveġja</v>
      </c>
    </row>
    <row r="1010" ht="15.75" customHeight="1">
      <c r="A1010" s="2" t="s">
        <v>1010</v>
      </c>
      <c r="B1010" s="2" t="str">
        <f>IFERROR(__xludf.DUMMYFUNCTION("GOOGLETRANSLATE(A1010, ""en"", ""mt"")"),"L-Ajruport Internazzjonali ta ’Newcastle jinsab madwar 6 mili (9.7 km) miċ-ċentru tal-belt fil-periferija tat-tramuntana tal-belt qrib Ponteland u huwa l-akbar miż-żewġ ajruporti ewlenin li jservu l-Grigal. Huwa konness mal-belt permezz tas-sistema tal-fe"&amp;"rrovija ħafifa tal-metro u vjaġġ fiċ-ċentru tal-belt ta 'Newcastle jieħu madwar 20 minuta. L-ajruport jimmaniġġa aktar minn ħames miljun passiġġier fis-sena, u huwa l-għaxar l-akbar, u l-ajruport reġjonali li qed jikber bl-iktar mgħaġġel fir-Renju Unit, j"&amp;"istenna li jilħaq 10 miljun passiġġier sal-2016, u 15-il miljun sal-2030. Mill-2007 [aġġornament], aktar minn 90 Id-destinazzjonijiet huma disponibbli mad-dinja kollha.")</f>
        <v>L-Ajruport Internazzjonali ta ’Newcastle jinsab madwar 6 mili (9.7 km) miċ-ċentru tal-belt fil-periferija tat-tramuntana tal-belt qrib Ponteland u huwa l-akbar miż-żewġ ajruporti ewlenin li jservu l-Grigal. Huwa konness mal-belt permezz tas-sistema tal-ferrovija ħafifa tal-metro u vjaġġ fiċ-ċentru tal-belt ta 'Newcastle jieħu madwar 20 minuta. L-ajruport jimmaniġġa aktar minn ħames miljun passiġġier fis-sena, u huwa l-għaxar l-akbar, u l-ajruport reġjonali li qed jikber bl-iktar mgħaġġel fir-Renju Unit, jistenna li jilħaq 10 miljun passiġġier sal-2016, u 15-il miljun sal-2030. Mill-2007 [aġġornament], aktar minn 90 Id-destinazzjonijiet huma disponibbli mad-dinja kollha.</v>
      </c>
    </row>
    <row r="1011" ht="15.75" customHeight="1">
      <c r="A1011" s="2" t="s">
        <v>1011</v>
      </c>
      <c r="B1011" s="2" t="str">
        <f>IFERROR(__xludf.DUMMYFUNCTION("GOOGLETRANSLATE(A1011, ""en"", ""mt"")"),"Ir-riżultati tal-istudju Haensch minn dakinhar ġew ikkonfermati u emendati. Ibbażat fuq evidenza ġenetika derivata minn vittmi tal-mewt iswed fis-sit tad-dfin tal-Lvant ta 'Smithfield fl-Ingilterra, Schuenemann et al. ikkonkluda fl-2011 ""li l-mewt sewda "&amp;"fl-Ewropa medjevali kienet ikkawżata minn varjant ta 'Y. pestis li jista' ma jibqax jeżisti."" Studju ppubblikat fin-Natura f'Ottubru 2011 sekwenzja l-ġenoma ta 'Y. pestis mill-vittmi tal-pesta u indika li r-razza li kkawżat il-mewt sewda hija antenata għ"&amp;"all-aktar razez moderni tal-marda.")</f>
        <v>Ir-riżultati tal-istudju Haensch minn dakinhar ġew ikkonfermati u emendati. Ibbażat fuq evidenza ġenetika derivata minn vittmi tal-mewt iswed fis-sit tad-dfin tal-Lvant ta 'Smithfield fl-Ingilterra, Schuenemann et al. ikkonkluda fl-2011 "li l-mewt sewda fl-Ewropa medjevali kienet ikkawżata minn varjant ta 'Y. pestis li jista' ma jibqax jeżisti." Studju ppubblikat fin-Natura f'Ottubru 2011 sekwenzja l-ġenoma ta 'Y. pestis mill-vittmi tal-pesta u indika li r-razza li kkawżat il-mewt sewda hija antenata għall-aktar razez moderni tal-marda.</v>
      </c>
    </row>
    <row r="1012" ht="15.75" customHeight="1">
      <c r="A1012" s="2" t="s">
        <v>1012</v>
      </c>
      <c r="B1012" s="2" t="str">
        <f>IFERROR(__xludf.DUMMYFUNCTION("GOOGLETRANSLATE(A1012, ""en"", ""mt"")"),"President tal-NBC")</f>
        <v>President tal-NBC</v>
      </c>
    </row>
    <row r="1013" ht="15.75" customHeight="1">
      <c r="A1013" s="2" t="s">
        <v>1013</v>
      </c>
      <c r="B1013" s="2" t="str">
        <f>IFERROR(__xludf.DUMMYFUNCTION("GOOGLETRANSLATE(A1013, ""en"", ""mt"")"),"1903")</f>
        <v>1903</v>
      </c>
    </row>
    <row r="1014" ht="15.75" customHeight="1">
      <c r="A1014" s="2" t="s">
        <v>1014</v>
      </c>
      <c r="B1014" s="2" t="str">
        <f>IFERROR(__xludf.DUMMYFUNCTION("GOOGLETRANSLATE(A1014, ""en"", ""mt"")"),"Triq l-Inkurunazzjoni")</f>
        <v>Triq l-Inkurunazzjoni</v>
      </c>
    </row>
    <row r="1015" ht="15.75" customHeight="1">
      <c r="A1015" s="2" t="s">
        <v>1015</v>
      </c>
      <c r="B1015" s="2" t="str">
        <f>IFERROR(__xludf.DUMMYFUNCTION("GOOGLETRANSLATE(A1015, ""en"", ""mt"")"),"Bilateria")</f>
        <v>Bilateria</v>
      </c>
    </row>
    <row r="1016" ht="15.75" customHeight="1">
      <c r="A1016" s="2" t="s">
        <v>1016</v>
      </c>
      <c r="B1016" s="2" t="str">
        <f>IFERROR(__xludf.DUMMYFUNCTION("GOOGLETRANSLATE(A1016, ""en"", ""mt"")"),"Mill-paċi ta 'Westphalia, ir-Renu ta' Fuq ffurma fruntiera kontenzjuża bejn Franza u l-Ġermanja. L-istabbiliment ta '""fruntieri naturali"" fuq ir-Renu kien għan fit-tul tal-politika barranija Franċiża, peress li l-Medju Evu, għalkemm il-fruntiera tal-lin"&amp;"gwa kienet - u hija - ħafna iktar lejn il-Punent. Il-mexxejja Franċiżi, bħal Louis XIV u Napoleon Bonaparte, ippruvaw bi gradi differenti ta ’suċċess biex jannessu artijiet fil-punent tar-Renu. Il-Konfederazzjoni tar-Renu ġiet stabbilita minn Napuljun, bħ"&amp;"ala stat tal-klijent Franċiż, fl-1806 u damet sal-1814, li matulha serva bħala sors sinifikanti ta 'riżorsi u ħaddiema militari għall-ewwel imperu Franċiż. Fl-1840, il-kriżi tar-Renu, imqanqla mix-xewqa tal-Prim Ministru Franċiż Adolphe Thiers li terġa 't"&amp;"iddaħħal ir-Renu bħala fruntiera naturali, wasslet għal kriżi diplomatika u mewġa ta' nazzjonaliżmu fil-Ġermanja.")</f>
        <v>Mill-paċi ta 'Westphalia, ir-Renu ta' Fuq ffurma fruntiera kontenzjuża bejn Franza u l-Ġermanja. L-istabbiliment ta '"fruntieri naturali" fuq ir-Renu kien għan fit-tul tal-politika barranija Franċiża, peress li l-Medju Evu, għalkemm il-fruntiera tal-lingwa kienet - u hija - ħafna iktar lejn il-Punent. Il-mexxejja Franċiżi, bħal Louis XIV u Napoleon Bonaparte, ippruvaw bi gradi differenti ta ’suċċess biex jannessu artijiet fil-punent tar-Renu. Il-Konfederazzjoni tar-Renu ġiet stabbilita minn Napuljun, bħala stat tal-klijent Franċiż, fl-1806 u damet sal-1814, li matulha serva bħala sors sinifikanti ta 'riżorsi u ħaddiema militari għall-ewwel imperu Franċiż. Fl-1840, il-kriżi tar-Renu, imqanqla mix-xewqa tal-Prim Ministru Franċiż Adolphe Thiers li terġa 'tiddaħħal ir-Renu bħala fruntiera naturali, wasslet għal kriżi diplomatika u mewġa ta' nazzjonaliżmu fil-Ġermanja.</v>
      </c>
    </row>
    <row r="1017" ht="15.75" customHeight="1">
      <c r="A1017" s="2" t="s">
        <v>1017</v>
      </c>
      <c r="B1017" s="2" t="str">
        <f>IFERROR(__xludf.DUMMYFUNCTION("GOOGLETRANSLATE(A1017, ""en"", ""mt"")"),"Kenneth Swezey")</f>
        <v>Kenneth Swezey</v>
      </c>
    </row>
    <row r="1018" ht="15.75" customHeight="1">
      <c r="A1018" s="2" t="s">
        <v>1018</v>
      </c>
      <c r="B1018" s="2" t="str">
        <f>IFERROR(__xludf.DUMMYFUNCTION("GOOGLETRANSLATE(A1018, ""en"", ""mt"")"),"3.7%")</f>
        <v>3.7%</v>
      </c>
    </row>
    <row r="1019" ht="15.75" customHeight="1">
      <c r="A1019" s="2" t="s">
        <v>1019</v>
      </c>
      <c r="B1019" s="2" t="str">
        <f>IFERROR(__xludf.DUMMYFUNCTION("GOOGLETRANSLATE(A1019, ""en"", ""mt"")"),"Premju Mind")</f>
        <v>Premju Mind</v>
      </c>
    </row>
    <row r="1020" ht="15.75" customHeight="1">
      <c r="A1020" s="2" t="s">
        <v>1020</v>
      </c>
      <c r="B1020" s="2" t="str">
        <f>IFERROR(__xludf.DUMMYFUNCTION("GOOGLETRANSLATE(A1020, ""en"", ""mt"")"),"Liema sena nħoloq it-Trattat ta 'Amsterdam?")</f>
        <v>Liema sena nħoloq it-Trattat ta 'Amsterdam?</v>
      </c>
    </row>
    <row r="1021" ht="15.75" customHeight="1">
      <c r="A1021" s="2" t="s">
        <v>1021</v>
      </c>
      <c r="B1021" s="2" t="str">
        <f>IFERROR(__xludf.DUMMYFUNCTION("GOOGLETRANSLATE(A1021, ""en"", ""mt"")"),"Fl-2013-14, NBC spiċċa fl-ewwel post fid-demografija 18-49 għall-ewwel darba minn meta?")</f>
        <v>Fl-2013-14, NBC spiċċa fl-ewwel post fid-demografija 18-49 għall-ewwel darba minn meta?</v>
      </c>
    </row>
    <row r="1022" ht="15.75" customHeight="1">
      <c r="A1022" s="2" t="s">
        <v>1022</v>
      </c>
      <c r="B1022" s="2" t="str">
        <f>IFERROR(__xludf.DUMMYFUNCTION("GOOGLETRANSLATE(A1022, ""en"", ""mt"")"),"L-ewwel")</f>
        <v>L-ewwel</v>
      </c>
    </row>
    <row r="1023" ht="15.75" customHeight="1">
      <c r="A1023" s="2" t="s">
        <v>1023</v>
      </c>
      <c r="B1023" s="2" t="str">
        <f>IFERROR(__xludf.DUMMYFUNCTION("GOOGLETRANSLATE(A1023, ""en"", ""mt"")"),"Fl-2000, ABC nediet kampanja promozzjonali bbażata fuq il-web iffokata madwar il-logo taċ-ċirku tagħha, imsejħa wkoll ""The Dot"", li fiha l-karattru tal-komiks Little Dot wassal lill-viżitaturi biex ""jniżżlu d-dot"", programm li jikkawża li l-logo ABC i"&amp;"tir Madwar l-iskrin u joqgħod fil-kantuniera tal-qiegħ tal-lemin. In-netwerk ingaġġa l-grupp tad-disinn Troika biex jiddisinja u jipproduċi l-identità 2001–02 tiegħu, li kompla juża l-kulur iswed u isfar tal-logo u deher tikek u strixxi f'diversi postijie"&amp;"t promozzjonali u ta 'identifikazzjoni.")</f>
        <v>Fl-2000, ABC nediet kampanja promozzjonali bbażata fuq il-web iffokata madwar il-logo taċ-ċirku tagħha, imsejħa wkoll "The Dot", li fiha l-karattru tal-komiks Little Dot wassal lill-viżitaturi biex "jniżżlu d-dot", programm li jikkawża li l-logo ABC itir Madwar l-iskrin u joqgħod fil-kantuniera tal-qiegħ tal-lemin. In-netwerk ingaġġa l-grupp tad-disinn Troika biex jiddisinja u jipproduċi l-identità 2001–02 tiegħu, li kompla juża l-kulur iswed u isfar tal-logo u deher tikek u strixxi f'diversi postijiet promozzjonali u ta 'identifikazzjoni.</v>
      </c>
    </row>
    <row r="1024" ht="15.75" customHeight="1">
      <c r="A1024" s="2" t="s">
        <v>1024</v>
      </c>
      <c r="B1024" s="2" t="str">
        <f>IFERROR(__xludf.DUMMYFUNCTION("GOOGLETRANSLATE(A1024, ""en"", ""mt"")"),"L-Istat Mughal")</f>
        <v>L-Istat Mughal</v>
      </c>
    </row>
    <row r="1025" ht="15.75" customHeight="1">
      <c r="A1025" s="2" t="s">
        <v>1025</v>
      </c>
      <c r="B1025" s="2" t="str">
        <f>IFERROR(__xludf.DUMMYFUNCTION("GOOGLETRANSLATE(A1025, ""en"", ""mt"")"),"Immunoglobulini")</f>
        <v>Immunoglobulini</v>
      </c>
    </row>
    <row r="1026" ht="15.75" customHeight="1">
      <c r="A1026" s="2" t="s">
        <v>1026</v>
      </c>
      <c r="B1026" s="2" t="str">
        <f>IFERROR(__xludf.DUMMYFUNCTION("GOOGLETRANSLATE(A1026, ""en"", ""mt"")"),"X’jilimitaw it-trattati ġeneralment?")</f>
        <v>X’jilimitaw it-trattati ġeneralment?</v>
      </c>
    </row>
    <row r="1027" ht="15.75" customHeight="1">
      <c r="A1027" s="2" t="s">
        <v>1027</v>
      </c>
      <c r="B1027" s="2" t="str">
        <f>IFERROR(__xludf.DUMMYFUNCTION("GOOGLETRANSLATE(A1027, ""en"", ""mt"")"),"L-UMC huwa wkoll membru tal-Wesleyan Hduriness Consortium, li jfittex li jirrikonċepixxi u jippromwovi l-qdusija Biblika fil-knisja tal-lum. Huwa wkoll attiv fil-Kunsill Metodist Dinji, grupp interdenominazzjonali magħmul minn diversi knejjes fit-tradizzj"&amp;"oni ta 'John Wesley biex jippromwovi l-Evanġelju madwar id-dinja. Fit-18 ta 'Lulju, 2006, id-delegati għall-Kunsill Metodist Dinji vvutaw unanimament biex jadottaw id- ""dikjarazzjoni konġunta dwar id-duttrina tal-ġustifikazzjoni"", li ġiet approvata fl-1"&amp;"999 mill-Vatikan u l-Federazzjoni Dinjija Luterana.")</f>
        <v>L-UMC huwa wkoll membru tal-Wesleyan Hduriness Consortium, li jfittex li jirrikonċepixxi u jippromwovi l-qdusija Biblika fil-knisja tal-lum. Huwa wkoll attiv fil-Kunsill Metodist Dinji, grupp interdenominazzjonali magħmul minn diversi knejjes fit-tradizzjoni ta 'John Wesley biex jippromwovi l-Evanġelju madwar id-dinja. Fit-18 ta 'Lulju, 2006, id-delegati għall-Kunsill Metodist Dinji vvutaw unanimament biex jadottaw id- "dikjarazzjoni konġunta dwar id-duttrina tal-ġustifikazzjoni", li ġiet approvata fl-1999 mill-Vatikan u l-Federazzjoni Dinjija Luterana.</v>
      </c>
    </row>
    <row r="1028" ht="15.75" customHeight="1">
      <c r="A1028" s="2" t="s">
        <v>1028</v>
      </c>
      <c r="B1028" s="2" t="str">
        <f>IFERROR(__xludf.DUMMYFUNCTION("GOOGLETRANSLATE(A1028, ""en"", ""mt"")"),"Ivf")</f>
        <v>Ivf</v>
      </c>
    </row>
    <row r="1029" ht="15.75" customHeight="1">
      <c r="A1029" s="2" t="s">
        <v>1029</v>
      </c>
      <c r="B1029" s="2" t="str">
        <f>IFERROR(__xludf.DUMMYFUNCTION("GOOGLETRANSLATE(A1029, ""en"", ""mt"")"),"Fl-1874, Tesla evadiet li ġiet abbozzata fl-armata Awstro-Ungeriża fi Smiljan billi ħarbet lejn Tomingaj, qrib Gračac. Hemm, huwa esplora l-muntanji fil-garża tal-kaċċatur. Tesla qalet li dan il-kuntatt man-natura għamilha aktar b'saħħitha, kemm fiżikamen"&amp;"t kif ukoll mentalment. Huwa qara bosta kotba waqt li kien f'Tomingaj, u aktar tard qal li x-xogħlijiet ta 'Mark Twain kienu għenuh biex jirkupra b'mod mirakoluż mill-marda preċedenti tiegħu.")</f>
        <v>Fl-1874, Tesla evadiet li ġiet abbozzata fl-armata Awstro-Ungeriża fi Smiljan billi ħarbet lejn Tomingaj, qrib Gračac. Hemm, huwa esplora l-muntanji fil-garża tal-kaċċatur. Tesla qalet li dan il-kuntatt man-natura għamilha aktar b'saħħitha, kemm fiżikament kif ukoll mentalment. Huwa qara bosta kotba waqt li kien f'Tomingaj, u aktar tard qal li x-xogħlijiet ta 'Mark Twain kienu għenuh biex jirkupra b'mod mirakoluż mill-marda preċedenti tiegħu.</v>
      </c>
    </row>
    <row r="1030" ht="15.75" customHeight="1">
      <c r="A1030" s="2" t="s">
        <v>1030</v>
      </c>
      <c r="B1030" s="2" t="str">
        <f>IFERROR(__xludf.DUMMYFUNCTION("GOOGLETRANSLATE(A1030, ""en"", ""mt"")"),"kloroplast")</f>
        <v>kloroplast</v>
      </c>
    </row>
    <row r="1031" ht="15.75" customHeight="1">
      <c r="A1031" s="2" t="s">
        <v>1031</v>
      </c>
      <c r="B1031" s="2" t="str">
        <f>IFERROR(__xludf.DUMMYFUNCTION("GOOGLETRANSLATE(A1031, ""en"", ""mt"")"),"X'inhu t-terminu ġenerali użat biex jiddeskrivi l-output għal kwalunkwe input mogħti f'istanza ta 'problema?")</f>
        <v>X'inhu t-terminu ġenerali użat biex jiddeskrivi l-output għal kwalunkwe input mogħti f'istanza ta 'problema?</v>
      </c>
    </row>
    <row r="1032" ht="15.75" customHeight="1">
      <c r="A1032" s="2" t="s">
        <v>1032</v>
      </c>
      <c r="B1032" s="2" t="str">
        <f>IFERROR(__xludf.DUMMYFUNCTION("GOOGLETRANSLATE(A1032, ""en"", ""mt"")"),"Skond Oxfam, il-85 persuna l-aktar sinjura għandhom ġid daqs kemm hemm nies medji?")</f>
        <v>Skond Oxfam, il-85 persuna l-aktar sinjura għandhom ġid daqs kemm hemm nies medji?</v>
      </c>
    </row>
    <row r="1033" ht="15.75" customHeight="1">
      <c r="A1033" s="2" t="s">
        <v>1033</v>
      </c>
      <c r="B1033" s="2" t="str">
        <f>IFERROR(__xludf.DUMMYFUNCTION("GOOGLETRANSLATE(A1033, ""en"", ""mt"")"),"G. H. Hardy")</f>
        <v>G. H. Hardy</v>
      </c>
    </row>
    <row r="1034" ht="15.75" customHeight="1">
      <c r="A1034" s="2" t="s">
        <v>1034</v>
      </c>
      <c r="B1034" s="2" t="str">
        <f>IFERROR(__xludf.DUMMYFUNCTION("GOOGLETRANSLATE(A1034, ""en"", ""mt"")"),"Tesla twieldet fl-10 ta ’Lulju [O.S. 28 ta 'Ġunju] 1856 Ġol-familja Serba fil-villaġġ ta' Smiljan, Imperu Awstrijak (il-Kroazja ta 'ġurnata moderna). Missieru, Milutin Tesla, kien saċerdot Ortodoss Serb. Omm Tesla, đuka Tesla (née Mandić), li missierha ki"&amp;"en ukoll saċerdot ortodoss,: 10 kellha talent biex tagħmel għodod tad-dar, apparat mekkaniku, u l-abbiltà li timmemorizza poeżiji epiċi Serbi. Đuka qatt ma rċieva edukazzjoni formali. Nikola kkredita l-memorja eidetika u l-abbiltajiet kreattivi tiegħu lil"&amp;"l-ġenetika u l-influwenza ta 'ommu. Il-proġenituri ta 'Tesla kienu mis-Serbja tal-Punent, ħdejn il-Montenegro.")</f>
        <v>Tesla twieldet fl-10 ta ’Lulju [O.S. 28 ta 'Ġunju] 1856 Ġol-familja Serba fil-villaġġ ta' Smiljan, Imperu Awstrijak (il-Kroazja ta 'ġurnata moderna). Missieru, Milutin Tesla, kien saċerdot Ortodoss Serb. Omm Tesla, đuka Tesla (née Mandić), li missierha kien ukoll saċerdot ortodoss,: 10 kellha talent biex tagħmel għodod tad-dar, apparat mekkaniku, u l-abbiltà li timmemorizza poeżiji epiċi Serbi. Đuka qatt ma rċieva edukazzjoni formali. Nikola kkredita l-memorja eidetika u l-abbiltajiet kreattivi tiegħu lill-ġenetika u l-influwenza ta 'ommu. Il-proġenituri ta 'Tesla kienu mis-Serbja tal-Punent, ħdejn il-Montenegro.</v>
      </c>
    </row>
    <row r="1035" ht="15.75" customHeight="1">
      <c r="A1035" s="2" t="s">
        <v>1035</v>
      </c>
      <c r="B1035" s="2" t="str">
        <f>IFERROR(__xludf.DUMMYFUNCTION("GOOGLETRANSLATE(A1035, ""en"", ""mt"")"),"Fort Presque Isle")</f>
        <v>Fort Presque Isle</v>
      </c>
    </row>
    <row r="1036" ht="15.75" customHeight="1">
      <c r="A1036" s="2" t="s">
        <v>1036</v>
      </c>
      <c r="B1036" s="2" t="str">
        <f>IFERROR(__xludf.DUMMYFUNCTION("GOOGLETRANSLATE(A1036, ""en"", ""mt"")"),"Siġar tal-palm għoljin")</f>
        <v>Siġar tal-palm għoljin</v>
      </c>
    </row>
    <row r="1037" ht="15.75" customHeight="1">
      <c r="A1037" s="2" t="s">
        <v>1037</v>
      </c>
      <c r="B1037" s="2" t="str">
        <f>IFERROR(__xludf.DUMMYFUNCTION("GOOGLETRANSLATE(A1037, ""en"", ""mt"")"),"Fl-1983, għall-40 anniversarju mill-fundaturi tan-netwerk, is-sekwenzi tal-ID kellhom il-logo jidhru fid-disinn CGI tad-deheb fuq sfond blu, akkumpanjat mill-islogan ""dak is-sentiment speċjali"" f'tipa ta 'skript. Għaxar snin wara, fl-1993, il-logo ""ABC"&amp;" Circle"" reġa 'lura għall-iskema klassika tiegħu ta' kulur abjad fuq iswed, iżda b'effetti ta 'tleqqija kemm fuq iċ-ċirku kif ukoll fuq l-ittri, u fruntiera tal-bronż li tdawwar iċ-ċirku. Il-logo ABC l-ewwel deher bħala bug fuq l-iskrin fl-istaġun 1993–9"&amp;"4, li jidher inizjalment biss għal 60 sekonda fil-bidu ta 'att jew segment, qabel ma jidher matul il-programmi (ħlief waqt brejkijiet kummerċjali) li jibda fl-istaġun 1995-1996 ; L-iterazzjonijiet rispettivi tal-bug tal-logo trasluċenti ġew inkorporati wk"&amp;"oll fil-promozzjonijiet tal-programm sal-istaġun 2011-12.")</f>
        <v>Fl-1983, għall-40 anniversarju mill-fundaturi tan-netwerk, is-sekwenzi tal-ID kellhom il-logo jidhru fid-disinn CGI tad-deheb fuq sfond blu, akkumpanjat mill-islogan "dak is-sentiment speċjali" f'tipa ta 'skript. Għaxar snin wara, fl-1993, il-logo "ABC Circle" reġa 'lura għall-iskema klassika tiegħu ta' kulur abjad fuq iswed, iżda b'effetti ta 'tleqqija kemm fuq iċ-ċirku kif ukoll fuq l-ittri, u fruntiera tal-bronż li tdawwar iċ-ċirku. Il-logo ABC l-ewwel deher bħala bug fuq l-iskrin fl-istaġun 1993–94, li jidher inizjalment biss għal 60 sekonda fil-bidu ta 'att jew segment, qabel ma jidher matul il-programmi (ħlief waqt brejkijiet kummerċjali) li jibda fl-istaġun 1995-1996 ; L-iterazzjonijiet rispettivi tal-bug tal-logo trasluċenti ġew inkorporati wkoll fil-promozzjonijiet tal-programm sal-istaġun 2011-12.</v>
      </c>
    </row>
    <row r="1038" ht="15.75" customHeight="1">
      <c r="A1038" s="2" t="s">
        <v>1038</v>
      </c>
      <c r="B1038" s="2" t="str">
        <f>IFERROR(__xludf.DUMMYFUNCTION("GOOGLETRANSLATE(A1038, ""en"", ""mt"")"),"għalliem")</f>
        <v>għalliem</v>
      </c>
    </row>
    <row r="1039" ht="15.75" customHeight="1">
      <c r="A1039" s="2" t="s">
        <v>1039</v>
      </c>
      <c r="B1039" s="2" t="str">
        <f>IFERROR(__xludf.DUMMYFUNCTION("GOOGLETRANSLATE(A1039, ""en"", ""mt"")"),"Waħda kull darba li telqu madwar il- ""linja"" u ġew arrestati immedjatament")</f>
        <v>Waħda kull darba li telqu madwar il- "linja" u ġew arrestati immedjatament</v>
      </c>
    </row>
    <row r="1040" ht="15.75" customHeight="1">
      <c r="A1040" s="2" t="s">
        <v>1040</v>
      </c>
      <c r="B1040" s="2" t="str">
        <f>IFERROR(__xludf.DUMMYFUNCTION("GOOGLETRANSLATE(A1040, ""en"", ""mt"")"),"fl-1886")</f>
        <v>fl-1886</v>
      </c>
    </row>
    <row r="1041" ht="15.75" customHeight="1">
      <c r="A1041" s="2" t="s">
        <v>1041</v>
      </c>
      <c r="B1041" s="2" t="str">
        <f>IFERROR(__xludf.DUMMYFUNCTION("GOOGLETRANSLATE(A1041, ""en"", ""mt"")"),"Tqassim nervuż")</f>
        <v>Tqassim nervuż</v>
      </c>
    </row>
    <row r="1042" ht="15.75" customHeight="1">
      <c r="A1042" s="2" t="s">
        <v>1042</v>
      </c>
      <c r="B1042" s="2" t="str">
        <f>IFERROR(__xludf.DUMMYFUNCTION("GOOGLETRANSLATE(A1042, ""en"", ""mt"")"),"Meta bdiet tiġġarraf ir-Renju Shah?")</f>
        <v>Meta bdiet tiġġarraf ir-Renju Shah?</v>
      </c>
    </row>
    <row r="1043" ht="15.75" customHeight="1">
      <c r="A1043" s="2" t="s">
        <v>1043</v>
      </c>
      <c r="B1043" s="2" t="str">
        <f>IFERROR(__xludf.DUMMYFUNCTION("GOOGLETRANSLATE(A1043, ""en"", ""mt"")"),"Intbagħat sitt reġimenti lejn Franza Ġdida taħt il-kmand tal-Baruni Dieskau fl-1755.")</f>
        <v>Intbagħat sitt reġimenti lejn Franza Ġdida taħt il-kmand tal-Baruni Dieskau fl-1755.</v>
      </c>
    </row>
    <row r="1044" ht="15.75" customHeight="1">
      <c r="A1044" s="2" t="s">
        <v>1044</v>
      </c>
      <c r="B1044" s="2" t="str">
        <f>IFERROR(__xludf.DUMMYFUNCTION("GOOGLETRANSLATE(A1044, ""en"", ""mt"")"),"Ċelloli tal-qattiel naturali ċitotossiċi u CTLs (limfoċiti T ċitotossiċi)")</f>
        <v>Ċelloli tal-qattiel naturali ċitotossiċi u CTLs (limfoċiti T ċitotossiċi)</v>
      </c>
    </row>
    <row r="1045" ht="15.75" customHeight="1">
      <c r="A1045" s="2" t="s">
        <v>1045</v>
      </c>
      <c r="B1045" s="2" t="str">
        <f>IFERROR(__xludf.DUMMYFUNCTION("GOOGLETRANSLATE(A1045, ""en"", ""mt"")"),"1000 u 1900")</f>
        <v>1000 u 1900</v>
      </c>
    </row>
    <row r="1046" ht="15.75" customHeight="1">
      <c r="A1046" s="2" t="s">
        <v>1046</v>
      </c>
      <c r="B1046" s="2" t="str">
        <f>IFERROR(__xludf.DUMMYFUNCTION("GOOGLETRANSLATE(A1046, ""en"", ""mt"")"),"politiku")</f>
        <v>politiku</v>
      </c>
    </row>
    <row r="1047" ht="15.75" customHeight="1">
      <c r="A1047" s="2" t="s">
        <v>1047</v>
      </c>
      <c r="B1047" s="2" t="str">
        <f>IFERROR(__xludf.DUMMYFUNCTION("GOOGLETRANSLATE(A1047, ""en"", ""mt"")"),"X'inhu l-Gorge Rhine elenkat bħala?")</f>
        <v>X'inhu l-Gorge Rhine elenkat bħala?</v>
      </c>
    </row>
    <row r="1048" ht="15.75" customHeight="1">
      <c r="A1048" s="2" t="s">
        <v>1048</v>
      </c>
      <c r="B1048" s="2" t="str">
        <f>IFERROR(__xludf.DUMMYFUNCTION("GOOGLETRANSLATE(A1048, ""en"", ""mt"")"),"X'ħin il-framd ikopri l-gwerra tas-seba 'snin?")</f>
        <v>X'ħin il-framd ikopri l-gwerra tas-seba 'snin?</v>
      </c>
    </row>
    <row r="1049" ht="15.75" customHeight="1">
      <c r="A1049" s="2" t="s">
        <v>1049</v>
      </c>
      <c r="B1049" s="2" t="str">
        <f>IFERROR(__xludf.DUMMYFUNCTION("GOOGLETRANSLATE(A1049, ""en"", ""mt"")"),"Iċ-Ċiklu ta ’Calvin")</f>
        <v>Iċ-Ċiklu ta ’Calvin</v>
      </c>
    </row>
    <row r="1050" ht="15.75" customHeight="1">
      <c r="A1050" s="2" t="s">
        <v>1050</v>
      </c>
      <c r="B1050" s="2" t="str">
        <f>IFERROR(__xludf.DUMMYFUNCTION("GOOGLETRANSLATE(A1050, ""en"", ""mt"")"),"rwol prinċipali")</f>
        <v>rwol prinċipali</v>
      </c>
    </row>
    <row r="1051" ht="15.75" customHeight="1">
      <c r="A1051" s="2" t="s">
        <v>1051</v>
      </c>
      <c r="B1051" s="2" t="str">
        <f>IFERROR(__xludf.DUMMYFUNCTION("GOOGLETRANSLATE(A1051, ""en"", ""mt"")"),"Il-liġi primarja tal-UE tikkonsisti prinċipalment fit-trattati fundaturi, it-trattati ""ewlenin"" huma t-Trattat dwar l-Unjoni Ewropea (TEU) u t-Trattat dwar il-Funzjonament tal-Unjoni Ewropea (TFEU). It-trattati fihom dispożizzjonijiet formali u sostanti"&amp;"vi, li jiffurmaw politiki tal-istituzzjonijiet tal-Unjoni Ewropea u jiddeterminaw id-diviżjoni tal-kompetenzi bejn l-Unjoni Ewropea u l-istati membri tagħha. It-TEU jistabbilixxi li l-liġi tal-Unjoni Ewropea tapplika għat-territorji metropolitani tal-Ista"&amp;"ti Membri, kif ukoll għal ċerti gżejjer u territorji barranin, inklużi Madeira, il-Gżejjer Kanarji u d-dipartimenti barranin Franċiżi. Il-liġi tal-Unjoni Ewropea tapplika wkoll f'territorji fejn Stat Membru huwa responsabbli għar-relazzjonijiet esterni, p"&amp;"ereżempju Ġibiltà u l-Gżejjer Åland. It-TEU jippermetti lill-Kunsill Ewropew jagħmel dispożizzjonijiet speċifiċi għar-reġjuni, bħal pereżempju magħmul għal kwistjonijiet doganali f'Ġibiltà u Saint-Pierre-et-Miquelon. It-TEU teskludi speċifikament ċerti re"&amp;"ġjuni, pereżempju l-Gżejjer Faroe, mill-ġurisdizzjoni tal-liġi tal-Unjoni Ewropea. It-trattati japplikaw malli jidħlu fis-seħħ, sakemm ma jingħadx mod ieħor, u ġeneralment jiġu konklużi għal perjodu illimitat. It-TEU jipprovdi li l-impenji mdaħħla mill-is"&amp;"tati membri bejniethom qabel ma ġie ffirmat it-trattat ma jibqgħux japplikaw. [Vag] L-istati membri kollha tal-UE huma meqjusa bħala soġġetti għall-obbligu ġenerali tal-prinċipju ta 'kooperazzjoni, kif intqal fit-TEU, fejn L-istati membri huma obbligati l"&amp;"i ma jieħdu miżura li tista 'tipperikola l-kisba tal-għanijiet tat-TEU. Il-Qorti tal-Ġustizzja tal-Unjoni Ewropea tista 'tinterpreta t-trattati, iżda ma tistax tiddeċiedi fuq il-validità tagħhom, li hija soġġetta għal-liġi internazzjonali. L-individwi jis"&amp;"tgħu jiddependu fuq il-liġi primarja fil-Qorti tal-Ġustizzja tal-Unjoni Ewropea jekk id-dispożizzjonijiet tat-trattati jkollhom effett dirett u huma ċari biżżejjed, preċiżi u inkondizzjonati.")</f>
        <v>Il-liġi primarja tal-UE tikkonsisti prinċipalment fit-trattati fundaturi, it-trattati "ewlenin" huma t-Trattat dwar l-Unjoni Ewropea (TEU) u t-Trattat dwar il-Funzjonament tal-Unjoni Ewropea (TFEU). It-trattati fihom dispożizzjonijiet formali u sostantivi, li jiffurmaw politiki tal-istituzzjonijiet tal-Unjoni Ewropea u jiddeterminaw id-diviżjoni tal-kompetenzi bejn l-Unjoni Ewropea u l-istati membri tagħha. It-TEU jistabbilixxi li l-liġi tal-Unjoni Ewropea tapplika għat-territorji metropolitani tal-Istati Membri, kif ukoll għal ċerti gżejjer u territorji barranin, inklużi Madeira, il-Gżejjer Kanarji u d-dipartimenti barranin Franċiżi. Il-liġi tal-Unjoni Ewropea tapplika wkoll f'territorji fejn Stat Membru huwa responsabbli għar-relazzjonijiet esterni, pereżempju Ġibiltà u l-Gżejjer Åland. It-TEU jippermetti lill-Kunsill Ewropew jagħmel dispożizzjonijiet speċifiċi għar-reġjuni, bħal pereżempju magħmul għal kwistjonijiet doganali f'Ġibiltà u Saint-Pierre-et-Miquelon. It-TEU teskludi speċifikament ċerti reġjuni, pereżempju l-Gżejjer Faroe, mill-ġurisdizzjoni tal-liġi tal-Unjoni Ewropea. It-trattati japplikaw malli jidħlu fis-seħħ, sakemm ma jingħadx mod ieħor, u ġeneralment jiġu konklużi għal perjodu illimitat. It-TEU jipprovdi li l-impenji mdaħħla mill-istati membri bejniethom qabel ma ġie ffirmat it-trattat ma jibqgħux japplikaw. [Vag] L-istati membri kollha tal-UE huma meqjusa bħala soġġetti għall-obbligu ġenerali tal-prinċipju ta 'kooperazzjoni, kif intqal fit-TEU, fejn L-istati membri huma obbligati li ma jieħdu miżura li tista 'tipperikola l-kisba tal-għanijiet tat-TEU. Il-Qorti tal-Ġustizzja tal-Unjoni Ewropea tista 'tinterpreta t-trattati, iżda ma tistax tiddeċiedi fuq il-validità tagħhom, li hija soġġetta għal-liġi internazzjonali. L-individwi jistgħu jiddependu fuq il-liġi primarja fil-Qorti tal-Ġustizzja tal-Unjoni Ewropea jekk id-dispożizzjonijiet tat-trattati jkollhom effett dirett u huma ċari biżżejjed, preċiżi u inkondizzjonati.</v>
      </c>
    </row>
    <row r="1052" ht="15.75" customHeight="1">
      <c r="A1052" s="2" t="s">
        <v>1052</v>
      </c>
      <c r="B1052" s="2" t="str">
        <f>IFERROR(__xludf.DUMMYFUNCTION("GOOGLETRANSLATE(A1052, ""en"", ""mt"")"),"Min ta konnotazzjoni negattiva għad-diżubbidjenza ċivili fl-istorja riċenti?")</f>
        <v>Min ta konnotazzjoni negattiva għad-diżubbidjenza ċivili fl-istorja riċenti?</v>
      </c>
    </row>
    <row r="1053" ht="15.75" customHeight="1">
      <c r="A1053" s="2" t="s">
        <v>1053</v>
      </c>
      <c r="B1053" s="2" t="str">
        <f>IFERROR(__xludf.DUMMYFUNCTION("GOOGLETRANSLATE(A1053, ""en"", ""mt"")"),"X'inhu uniku dwar ermafroditi simultanji?")</f>
        <v>X'inhu uniku dwar ermafroditi simultanji?</v>
      </c>
    </row>
    <row r="1054" ht="15.75" customHeight="1">
      <c r="A1054" s="2" t="s">
        <v>1054</v>
      </c>
      <c r="B1054" s="2" t="str">
        <f>IFERROR(__xludf.DUMMYFUNCTION("GOOGLETRANSLATE(A1054, ""en"", ""mt"")"),"bidliet demokratiċi")</f>
        <v>bidliet demokratiċi</v>
      </c>
    </row>
    <row r="1055" ht="15.75" customHeight="1">
      <c r="A1055" s="2" t="s">
        <v>1055</v>
      </c>
      <c r="B1055" s="2" t="str">
        <f>IFERROR(__xludf.DUMMYFUNCTION("GOOGLETRANSLATE(A1055, ""en"", ""mt"")"),"Meta dan il-mexxej ippubblika Bibbja bil-lingwa Franċiża?")</f>
        <v>Meta dan il-mexxej ippubblika Bibbja bil-lingwa Franċiża?</v>
      </c>
    </row>
    <row r="1056" ht="15.75" customHeight="1">
      <c r="A1056" s="2" t="s">
        <v>1056</v>
      </c>
      <c r="B1056" s="2" t="str">
        <f>IFERROR(__xludf.DUMMYFUNCTION("GOOGLETRANSLATE(A1056, ""en"", ""mt"")"),"rivisti u ġurnali")</f>
        <v>rivisti u ġurnali</v>
      </c>
    </row>
    <row r="1057" ht="15.75" customHeight="1">
      <c r="A1057" s="2" t="s">
        <v>1057</v>
      </c>
      <c r="B1057" s="2" t="str">
        <f>IFERROR(__xludf.DUMMYFUNCTION("GOOGLETRANSLATE(A1057, ""en"", ""mt"")"),"Fejn kien jinsab il-Kastell ta 'William Iron Arm?")</f>
        <v>Fejn kien jinsab il-Kastell ta 'William Iron Arm?</v>
      </c>
    </row>
    <row r="1058" ht="15.75" customHeight="1">
      <c r="A1058" s="2" t="s">
        <v>1058</v>
      </c>
      <c r="B1058" s="2" t="str">
        <f>IFERROR(__xludf.DUMMYFUNCTION("GOOGLETRANSLATE(A1058, ""en"", ""mt"")"),"Il-Grupp Chalcogen")</f>
        <v>Il-Grupp Chalcogen</v>
      </c>
    </row>
    <row r="1059" ht="15.75" customHeight="1">
      <c r="A1059" s="2" t="s">
        <v>1059</v>
      </c>
      <c r="B1059" s="2" t="str">
        <f>IFERROR(__xludf.DUMMYFUNCTION("GOOGLETRANSLATE(A1059, ""en"", ""mt"")"),"Pikes Peak għal Pariġi")</f>
        <v>Pikes Peak għal Pariġi</v>
      </c>
    </row>
    <row r="1060" ht="15.75" customHeight="1">
      <c r="A1060" s="2" t="s">
        <v>1060</v>
      </c>
      <c r="B1060" s="2" t="str">
        <f>IFERROR(__xludf.DUMMYFUNCTION("GOOGLETRANSLATE(A1060, ""en"", ""mt"")"),"X'inhi l-funzjoni tat-TARDIS?")</f>
        <v>X'inhi l-funzjoni tat-TARDIS?</v>
      </c>
    </row>
    <row r="1061" ht="15.75" customHeight="1">
      <c r="A1061" s="2" t="s">
        <v>1061</v>
      </c>
      <c r="B1061" s="2" t="str">
        <f>IFERROR(__xludf.DUMMYFUNCTION("GOOGLETRANSLATE(A1061, ""en"", ""mt"")"),"Bħala membru tal-korp korporattiv Parlamentari Skoċċiż, l-uffiċjal li jippresiedi huwa responsabbli biex jiżgura li l-Parlament jiffunzjona b'mod effettiv u jkollu l-persunal, il-propjetà u r-riżorsi li jeħtieġ biex jopera. Li tlaqqa 'l-Uffiċċju Parlament"&amp;"ari, li jalloka l-ħin u jistabbilixxi l-aġenda tax-xogħol fil-kamra, huwa ieħor mir-rwoli tal-uffiċjal li jippresiedi. Taħt l-ordnijiet permanenti tal-Parlament il-Bureau jikkonsisti fl-uffiċjal li jippresiedi u rappreżentant wieħed minn kull partiti poli"&amp;"tiċi b'ħames siġġijiet jew aktar fil-Parlament. Fost id-dmirijiet tal-Bureau għandhom jaqblu l-iskeda tan-negozju fil-kamra, jistabbilixxu n-numru, il-mandat u s-sħubija fil-kumitati parlamentari u jirregolaw il-passaġġ tal-leġiżlazzjoni (kontijiet) perme"&amp;"zz tal-Parlament. L-uffiċjal li jippresiedi jirrappreżenta wkoll il-Parlament Skoċċiż f’darhom u barra mill-pajjiż f’kapaċità uffiċjali.")</f>
        <v>Bħala membru tal-korp korporattiv Parlamentari Skoċċiż, l-uffiċjal li jippresiedi huwa responsabbli biex jiżgura li l-Parlament jiffunzjona b'mod effettiv u jkollu l-persunal, il-propjetà u r-riżorsi li jeħtieġ biex jopera. Li tlaqqa 'l-Uffiċċju Parlamentari, li jalloka l-ħin u jistabbilixxi l-aġenda tax-xogħol fil-kamra, huwa ieħor mir-rwoli tal-uffiċjal li jippresiedi. Taħt l-ordnijiet permanenti tal-Parlament il-Bureau jikkonsisti fl-uffiċjal li jippresiedi u rappreżentant wieħed minn kull partiti politiċi b'ħames siġġijiet jew aktar fil-Parlament. Fost id-dmirijiet tal-Bureau għandhom jaqblu l-iskeda tan-negozju fil-kamra, jistabbilixxu n-numru, il-mandat u s-sħubija fil-kumitati parlamentari u jirregolaw il-passaġġ tal-leġiżlazzjoni (kontijiet) permezz tal-Parlament. L-uffiċjal li jippresiedi jirrappreżenta wkoll il-Parlament Skoċċiż f’darhom u barra mill-pajjiż f’kapaċità uffiċjali.</v>
      </c>
    </row>
    <row r="1062" ht="15.75" customHeight="1">
      <c r="A1062" s="2" t="s">
        <v>1062</v>
      </c>
      <c r="B1062" s="2" t="str">
        <f>IFERROR(__xludf.DUMMYFUNCTION("GOOGLETRANSLATE(A1062, ""en"", ""mt"")"),"Liema problema ta 'l-għeruq tista' tikkawża akkumulazzjoni tal-lamtu?")</f>
        <v>Liema problema ta 'l-għeruq tista' tikkawża akkumulazzjoni tal-lamtu?</v>
      </c>
    </row>
    <row r="1063" ht="15.75" customHeight="1">
      <c r="A1063" s="2" t="s">
        <v>1063</v>
      </c>
      <c r="B1063" s="2" t="str">
        <f>IFERROR(__xludf.DUMMYFUNCTION("GOOGLETRANSLATE(A1063, ""en"", ""mt"")"),"BQP u QMA huma eżempji ta 'klassijiet ta' kumplessità l-aktar komunement assoċjati ma 'liema tip ta' magna tat-turing?")</f>
        <v>BQP u QMA huma eżempji ta 'klassijiet ta' kumplessità l-aktar komunement assoċjati ma 'liema tip ta' magna tat-turing?</v>
      </c>
    </row>
    <row r="1064" ht="15.75" customHeight="1">
      <c r="A1064" s="2" t="s">
        <v>1064</v>
      </c>
      <c r="B1064" s="2" t="str">
        <f>IFERROR(__xludf.DUMMYFUNCTION("GOOGLETRANSLATE(A1064, ""en"", ""mt"")"),"L'église Française à la nouvelle-amsterdam")</f>
        <v>L'église Française à la nouvelle-amsterdam</v>
      </c>
    </row>
    <row r="1065" ht="15.75" customHeight="1">
      <c r="A1065" s="2" t="s">
        <v>1065</v>
      </c>
      <c r="B1065" s="2" t="str">
        <f>IFERROR(__xludf.DUMMYFUNCTION("GOOGLETRANSLATE(A1065, ""en"", ""mt"")"),"Kunsill tal-Missjoni")</f>
        <v>Kunsill tal-Missjoni</v>
      </c>
    </row>
    <row r="1066" ht="15.75" customHeight="1">
      <c r="A1066" s="2" t="s">
        <v>1066</v>
      </c>
      <c r="B1066" s="2" t="str">
        <f>IFERROR(__xludf.DUMMYFUNCTION("GOOGLETRANSLATE(A1066, ""en"", ""mt"")"),"Politiki li jippruvaw jikkontrollaw it-tkabbir ekonomiku tal-qgħad għax inaqqsu?")</f>
        <v>Politiki li jippruvaw jikkontrollaw it-tkabbir ekonomiku tal-qgħad għax inaqqsu?</v>
      </c>
    </row>
    <row r="1067" ht="15.75" customHeight="1">
      <c r="A1067" s="2" t="s">
        <v>1067</v>
      </c>
      <c r="B1067" s="2" t="str">
        <f>IFERROR(__xludf.DUMMYFUNCTION("GOOGLETRANSLATE(A1067, ""en"", ""mt"")"),"Liema isem ta 'stil Ċiniż uża Rinchinbal?")</f>
        <v>Liema isem ta 'stil Ċiniż uża Rinchinbal?</v>
      </c>
    </row>
    <row r="1068" ht="15.75" customHeight="1">
      <c r="A1068" s="2" t="s">
        <v>1068</v>
      </c>
      <c r="B1068" s="2" t="str">
        <f>IFERROR(__xludf.DUMMYFUNCTION("GOOGLETRANSLATE(A1068, ""en"", ""mt"")"),"Oranġerija ġdida")</f>
        <v>Oranġerija ġdida</v>
      </c>
    </row>
    <row r="1069" ht="15.75" customHeight="1">
      <c r="A1069" s="2" t="s">
        <v>1069</v>
      </c>
      <c r="B1069" s="2" t="str">
        <f>IFERROR(__xludf.DUMMYFUNCTION("GOOGLETRANSLATE(A1069, ""en"", ""mt"")"),"X'kien użat terminu ieħor għall-kriżi taż-żejt?")</f>
        <v>X'kien użat terminu ieħor għall-kriżi taż-żejt?</v>
      </c>
    </row>
    <row r="1070" ht="15.75" customHeight="1">
      <c r="A1070" s="2" t="s">
        <v>1070</v>
      </c>
      <c r="B1070" s="2" t="str">
        <f>IFERROR(__xludf.DUMMYFUNCTION("GOOGLETRANSLATE(A1070, ""en"", ""mt"")"),"Luther kien kittieb tal-innu prolifiku, li jawtorizza innijiet bħal ""Ein Feste Burg ist Unser Gott"" (""Fortizza Qawwija huwa Alla tagħna""), ibbażat fuq Salm 46, u ""Vom Himmel Hoch, da Komm ich tagħha"" (""minn Il-Ġenna 'l fuq lejn l-art niġi ""), ibba"&amp;"żat fuq Luqa 2: 11–12. Luther qabbad arti għolja u mużika folkloristika, ukoll il-klassijiet kollha, kleru u lajċi, irġiel, nisa u tfal. L-għodda tal-għażla tiegħu għal din il-konnessjoni kienet il-kant ta 'innijiet Ġermaniżi b'rabta mal-qima, l-iskola, i"&amp;"d-dar, u l-arena pubblika. Huwa spiss akkumpanja l-innijiet kantati bil-lute, aktar tard inħoloq bħala l-Waldzither li sar strument nazzjonali tal-Ġermanja fis-seklu 20.")</f>
        <v>Luther kien kittieb tal-innu prolifiku, li jawtorizza innijiet bħal "Ein Feste Burg ist Unser Gott" ("Fortizza Qawwija huwa Alla tagħna"), ibbażat fuq Salm 46, u "Vom Himmel Hoch, da Komm ich tagħha" ("minn Il-Ġenna 'l fuq lejn l-art niġi "), ibbażat fuq Luqa 2: 11–12. Luther qabbad arti għolja u mużika folkloristika, ukoll il-klassijiet kollha, kleru u lajċi, irġiel, nisa u tfal. L-għodda tal-għażla tiegħu għal din il-konnessjoni kienet il-kant ta 'innijiet Ġermaniżi b'rabta mal-qima, l-iskola, id-dar, u l-arena pubblika. Huwa spiss akkumpanja l-innijiet kantati bil-lute, aktar tard inħoloq bħala l-Waldzither li sar strument nazzjonali tal-Ġermanja fis-seklu 20.</v>
      </c>
    </row>
    <row r="1071" ht="15.75" customHeight="1">
      <c r="A1071" s="2" t="s">
        <v>1071</v>
      </c>
      <c r="B1071" s="2" t="str">
        <f>IFERROR(__xludf.DUMMYFUNCTION("GOOGLETRANSLATE(A1071, ""en"", ""mt"")"),"ħażna")</f>
        <v>ħażna</v>
      </c>
    </row>
    <row r="1072" ht="15.75" customHeight="1">
      <c r="A1072" s="2" t="s">
        <v>1072</v>
      </c>
      <c r="B1072" s="2" t="str">
        <f>IFERROR(__xludf.DUMMYFUNCTION("GOOGLETRANSLATE(A1072, ""en"", ""mt"")"),"it-tkabbir tal-produzzjoni tal-massa")</f>
        <v>it-tkabbir tal-produzzjoni tal-massa</v>
      </c>
    </row>
    <row r="1073" ht="15.75" customHeight="1">
      <c r="A1073" s="2" t="s">
        <v>1073</v>
      </c>
      <c r="B1073" s="2" t="str">
        <f>IFERROR(__xludf.DUMMYFUNCTION("GOOGLETRANSLATE(A1073, ""en"", ""mt"")"),"Liema sena kienet Setanta Sports li ngħataw id-drittijiet ta 'Primeier Leage li jxandru?")</f>
        <v>Liema sena kienet Setanta Sports li ngħataw id-drittijiet ta 'Primeier Leage li jxandru?</v>
      </c>
    </row>
    <row r="1074" ht="15.75" customHeight="1">
      <c r="A1074" s="2" t="s">
        <v>1074</v>
      </c>
      <c r="B1074" s="2" t="str">
        <f>IFERROR(__xludf.DUMMYFUNCTION("GOOGLETRANSLATE(A1074, ""en"", ""mt"")"),"imġieba u demografika")</f>
        <v>imġieba u demografika</v>
      </c>
    </row>
    <row r="1075" ht="15.75" customHeight="1">
      <c r="A1075" s="2" t="s">
        <v>1075</v>
      </c>
      <c r="B1075" s="2" t="str">
        <f>IFERROR(__xludf.DUMMYFUNCTION("GOOGLETRANSLATE(A1075, ""en"", ""mt"")"),"X’għamel Filippu li nixtieq nagħmel madwar l-1539?")</f>
        <v>X’għamel Filippu li nixtieq nagħmel madwar l-1539?</v>
      </c>
    </row>
    <row r="1076" ht="15.75" customHeight="1">
      <c r="A1076" s="2" t="s">
        <v>1076</v>
      </c>
      <c r="B1076" s="2" t="str">
        <f>IFERROR(__xludf.DUMMYFUNCTION("GOOGLETRANSLATE(A1076, ""en"", ""mt"")"),"Liema sett ta 'pajjiżi għandhom mobilità ekonomika ogħla mill-Istati Uniti?")</f>
        <v>Liema sett ta 'pajjiżi għandhom mobilità ekonomika ogħla mill-Istati Uniti?</v>
      </c>
    </row>
    <row r="1077" ht="15.75" customHeight="1">
      <c r="A1077" s="2" t="s">
        <v>1077</v>
      </c>
      <c r="B1077" s="2" t="str">
        <f>IFERROR(__xludf.DUMMYFUNCTION("GOOGLETRANSLATE(A1077, ""en"", ""mt"")"),"Liema mekkaniżmu jista 'jintuża biex jagħmel l-ossiġnu?")</f>
        <v>Liema mekkaniżmu jista 'jintuża biex jagħmel l-ossiġnu?</v>
      </c>
    </row>
    <row r="1078" ht="15.75" customHeight="1">
      <c r="A1078" s="2" t="s">
        <v>1078</v>
      </c>
      <c r="B1078" s="2" t="str">
        <f>IFERROR(__xludf.DUMMYFUNCTION("GOOGLETRANSLATE(A1078, ""en"", ""mt"")"),"Bell Northern Research")</f>
        <v>Bell Northern Research</v>
      </c>
    </row>
    <row r="1079" ht="15.75" customHeight="1">
      <c r="A1079" s="2" t="s">
        <v>1079</v>
      </c>
      <c r="B1079" s="2" t="str">
        <f>IFERROR(__xludf.DUMMYFUNCTION("GOOGLETRANSLATE(A1079, ""en"", ""mt"")"),"1555")</f>
        <v>1555</v>
      </c>
    </row>
    <row r="1080" ht="15.75" customHeight="1">
      <c r="A1080" s="2" t="s">
        <v>1080</v>
      </c>
      <c r="B1080" s="2" t="str">
        <f>IFERROR(__xludf.DUMMYFUNCTION("GOOGLETRANSLATE(A1080, ""en"", ""mt"")"),"X'inhu jidher fuq il-bandiera tal-belt ta 'Fresno?")</f>
        <v>X'inhu jidher fuq il-bandiera tal-belt ta 'Fresno?</v>
      </c>
    </row>
    <row r="1081" ht="15.75" customHeight="1">
      <c r="A1081" s="2" t="s">
        <v>1081</v>
      </c>
      <c r="B1081" s="2" t="str">
        <f>IFERROR(__xludf.DUMMYFUNCTION("GOOGLETRANSLATE(A1081, ""en"", ""mt"")"),"E. W. Scripps Company")</f>
        <v>E. W. Scripps Company</v>
      </c>
    </row>
    <row r="1082" ht="15.75" customHeight="1">
      <c r="A1082" s="2" t="s">
        <v>1082</v>
      </c>
      <c r="B1082" s="2" t="str">
        <f>IFERROR(__xludf.DUMMYFUNCTION("GOOGLETRANSLATE(A1082, ""en"", ""mt"")"),"2 metri (6 ft 7 in)")</f>
        <v>2 metri (6 ft 7 in)</v>
      </c>
    </row>
    <row r="1083" ht="15.75" customHeight="1">
      <c r="A1083" s="2" t="s">
        <v>1083</v>
      </c>
      <c r="B1083" s="2" t="str">
        <f>IFERROR(__xludf.DUMMYFUNCTION("GOOGLETRANSLATE(A1083, ""en"", ""mt"")"),"Faget Maxime")</f>
        <v>Faget Maxime</v>
      </c>
    </row>
    <row r="1084" ht="15.75" customHeight="1">
      <c r="A1084" s="2" t="s">
        <v>1084</v>
      </c>
      <c r="B1084" s="2" t="str">
        <f>IFERROR(__xludf.DUMMYFUNCTION("GOOGLETRANSLATE(A1084, ""en"", ""mt"")"),"Is-suċċess ta 'kwalunkwe patoġen jiddependi fuq il-kapaċità tiegħu li jeħles ir-risponsi immuni ospitanti. Għalhekk, il-patoġeni evolvew diversi metodi li jippermettulhom jinfettaw b'suċċess lil host, filwaqt li jevadu d-detezzjoni jew il-qerda mis-sistem"&amp;"a immunitarja. Il-batterji ħafna drabi jegħlbu l-ostakli fiżiċi billi jneħħu enzimi li jiddiġerixxu l-barriera, pereżempju, billi jużaw sistema ta 'sekrezzjoni tat-tip II. Alternattivament, bl-użu ta 'sistema ta' sekrezzjoni tat-tip III, huma jistgħu jdaħ"&amp;"ħlu tubu vojt fiċ-ċellula ospitanti, u jipprovdu rotta diretta għall-proteini biex jimxu mill-patoġen għall-ospitanti. Dawn il-proteini ħafna drabi jintużaw biex jagħlqu d-difiżi ospitanti.")</f>
        <v>Is-suċċess ta 'kwalunkwe patoġen jiddependi fuq il-kapaċità tiegħu li jeħles ir-risponsi immuni ospitanti. Għalhekk, il-patoġeni evolvew diversi metodi li jippermettulhom jinfettaw b'suċċess lil host, filwaqt li jevadu d-detezzjoni jew il-qerda mis-sistema immunitarja. Il-batterji ħafna drabi jegħlbu l-ostakli fiżiċi billi jneħħu enzimi li jiddiġerixxu l-barriera, pereżempju, billi jużaw sistema ta 'sekrezzjoni tat-tip II. Alternattivament, bl-użu ta 'sistema ta' sekrezzjoni tat-tip III, huma jistgħu jdaħħlu tubu vojt fiċ-ċellula ospitanti, u jipprovdu rotta diretta għall-proteini biex jimxu mill-patoġen għall-ospitanti. Dawn il-proteini ħafna drabi jintużaw biex jagħlqu d-difiżi ospitanti.</v>
      </c>
    </row>
    <row r="1085" ht="15.75" customHeight="1">
      <c r="A1085" s="2" t="s">
        <v>1085</v>
      </c>
      <c r="B1085" s="2" t="str">
        <f>IFERROR(__xludf.DUMMYFUNCTION("GOOGLETRANSLATE(A1085, ""en"", ""mt"")"),"X'inhu l-bidu tas-sena tas-salarju?")</f>
        <v>X'inhu l-bidu tas-sena tas-salarju?</v>
      </c>
    </row>
    <row r="1086" ht="15.75" customHeight="1">
      <c r="A1086" s="2" t="s">
        <v>1086</v>
      </c>
      <c r="B1086" s="2" t="str">
        <f>IFERROR(__xludf.DUMMYFUNCTION("GOOGLETRANSLATE(A1086, ""en"", ""mt"")"),"Fuq liema kantuniera jinsab iċ-ċentru tax-xiri?")</f>
        <v>Fuq liema kantuniera jinsab iċ-ċentru tax-xiri?</v>
      </c>
    </row>
    <row r="1087" ht="15.75" customHeight="1">
      <c r="A1087" s="2" t="s">
        <v>1087</v>
      </c>
      <c r="B1087" s="2" t="str">
        <f>IFERROR(__xludf.DUMMYFUNCTION("GOOGLETRANSLATE(A1087, ""en"", ""mt"")"),"mod wieħed")</f>
        <v>mod wieħed</v>
      </c>
    </row>
    <row r="1088" ht="15.75" customHeight="1">
      <c r="A1088" s="2" t="s">
        <v>1088</v>
      </c>
      <c r="B1088" s="2" t="str">
        <f>IFERROR(__xludf.DUMMYFUNCTION("GOOGLETRANSLATE(A1088, ""en"", ""mt"")"),"Liema president tal-università biddelha f'università ta 'riċerka moderna?")</f>
        <v>Liema president tal-università biddelha f'università ta 'riċerka moderna?</v>
      </c>
    </row>
    <row r="1089" ht="15.75" customHeight="1">
      <c r="A1089" s="2" t="s">
        <v>1089</v>
      </c>
      <c r="B1089" s="2" t="str">
        <f>IFERROR(__xludf.DUMMYFUNCTION("GOOGLETRANSLATE(A1089, ""en"", ""mt"")"),"ippermettew studenti żgħar ħafna biex jattendu l-kulleġġ")</f>
        <v>ippermettew studenti żgħar ħafna biex jattendu l-kulleġġ</v>
      </c>
    </row>
    <row r="1090" ht="15.75" customHeight="1">
      <c r="A1090" s="2" t="s">
        <v>1090</v>
      </c>
      <c r="B1090" s="2" t="str">
        <f>IFERROR(__xludf.DUMMYFUNCTION("GOOGLETRANSLATE(A1090, ""en"", ""mt"")"),"Madankollu, il-Knisja Metodista Magħquda ""timplimenta [i] familji u knejjes biex ma tiċħadx jew tikkundanna membri u ħbieb lesbjani u omosesswali"" u tikkommetti ruħha li tkun fil-ministeru mal-persuni kollha, li tafferma li l-grazzja, l-imħabba, u l-maħ"&amp;"fra ta 'Alla huma disponibbli għal kulħadd - Barra minn hekk, ħafna organizzazzjonijiet, konferenzi, u kongregazzjonijiet riċentement sejħu għal aċċettazzjoni usa 'tal-komunità LGBT fi ħdan l-UMC. Pereżempju, it-tabella ta 'konnessjoni, kumitat ta' tmexxi"&amp;"ja, ivvutat favur proposta li titlob għażla lokalizzata, li tippermetti lill-ministri biex jorganizzaw tiġijiet tal-istess sess, u dan jippermetti konferenzi biex jordnaw kleru omosesswali. Barra minn hekk, ħafna konferenzi ħadu pożizzjoni billi vvutaw fa"&amp;"vur żwiġijiet tal-istess sess b'riżoluzzjonijiet.")</f>
        <v>Madankollu, il-Knisja Metodista Magħquda "timplimenta [i] familji u knejjes biex ma tiċħadx jew tikkundanna membri u ħbieb lesbjani u omosesswali" u tikkommetti ruħha li tkun fil-ministeru mal-persuni kollha, li tafferma li l-grazzja, l-imħabba, u l-maħfra ta 'Alla huma disponibbli għal kulħadd - Barra minn hekk, ħafna organizzazzjonijiet, konferenzi, u kongregazzjonijiet riċentement sejħu għal aċċettazzjoni usa 'tal-komunità LGBT fi ħdan l-UMC. Pereżempju, it-tabella ta 'konnessjoni, kumitat ta' tmexxija, ivvutat favur proposta li titlob għażla lokalizzata, li tippermetti lill-ministri biex jorganizzaw tiġijiet tal-istess sess, u dan jippermetti konferenzi biex jordnaw kleru omosesswali. Barra minn hekk, ħafna konferenzi ħadu pożizzjoni billi vvutaw favur żwiġijiet tal-istess sess b'riżoluzzjonijiet.</v>
      </c>
    </row>
    <row r="1091" ht="15.75" customHeight="1">
      <c r="A1091" s="2" t="s">
        <v>1091</v>
      </c>
      <c r="B1091" s="2" t="str">
        <f>IFERROR(__xludf.DUMMYFUNCTION("GOOGLETRANSLATE(A1091, ""en"", ""mt"")"),"Iżda anke wara li n-NASA laħqet ftehim intern, kien 'il bogħod minn tbaħħir bla xkiel. Il-konsulent tax-xjenza ta 'Kennedy Jerome Wiesner, li kien esprima l-oppożizzjoni tiegħu għal SpaceFlight Enned lil Kennedy qabel ma l-President ħa l-kariga, u kien op"&amp;"pona d-deċiżjoni li jinħatt l-irġiel fuq il-qamar, mikri Golovin, li kien ħalla n-NASA, biex jippresjedi l-bord ta' vetturi spazjali tiegħu stess tiegħu stess "", apparentement biex tissorvelja, imma fil-fatt għad-deċiżjonijiet tat-tieni raden tan-NASA dw"&amp;"ar il-vettura tat-tnedija ta 'Saturn V u LOR billi ġiegħel lil Shea, Seamans, u anke Webb jiddefendu lilhom infushom, jittardjaw l-aħbar formali tiegħu lill-istampa fil-11 ta' Lulju, 1962, u jisforzaw Webb għadu jsaħħaħ id-deċiżjoni bħala ""tentattiv"".")</f>
        <v>Iżda anke wara li n-NASA laħqet ftehim intern, kien 'il bogħod minn tbaħħir bla xkiel. Il-konsulent tax-xjenza ta 'Kennedy Jerome Wiesner, li kien esprima l-oppożizzjoni tiegħu għal SpaceFlight Enned lil Kennedy qabel ma l-President ħa l-kariga, u kien oppona d-deċiżjoni li jinħatt l-irġiel fuq il-qamar, mikri Golovin, li kien ħalla n-NASA, biex jippresjedi l-bord ta' vetturi spazjali tiegħu stess tiegħu stess ", apparentement biex tissorvelja, imma fil-fatt għad-deċiżjonijiet tat-tieni raden tan-NASA dwar il-vettura tat-tnedija ta 'Saturn V u LOR billi ġiegħel lil Shea, Seamans, u anke Webb jiddefendu lilhom infushom, jittardjaw l-aħbar formali tiegħu lill-istampa fil-11 ta' Lulju, 1962, u jisforzaw Webb għadu jsaħħaħ id-deċiżjoni bħala "tentattiv".</v>
      </c>
    </row>
    <row r="1092" ht="15.75" customHeight="1">
      <c r="A1092" s="2" t="s">
        <v>1092</v>
      </c>
      <c r="B1092" s="2" t="str">
        <f>IFERROR(__xludf.DUMMYFUNCTION("GOOGLETRANSLATE(A1092, ""en"", ""mt"")"),"Kontej oranġjo")</f>
        <v>Kontej oranġjo</v>
      </c>
    </row>
    <row r="1093" ht="15.75" customHeight="1">
      <c r="A1093" s="2" t="s">
        <v>1093</v>
      </c>
      <c r="B1093" s="2" t="str">
        <f>IFERROR(__xludf.DUMMYFUNCTION("GOOGLETRANSLATE(A1093, ""en"", ""mt"")"),"Elettriku atmosferiku")</f>
        <v>Elettriku atmosferiku</v>
      </c>
    </row>
    <row r="1094" ht="15.75" customHeight="1">
      <c r="A1094" s="2" t="s">
        <v>1094</v>
      </c>
      <c r="B1094" s="2" t="str">
        <f>IFERROR(__xludf.DUMMYFUNCTION("GOOGLETRANSLATE(A1094, ""en"", ""mt"")"),"Kemm punti skorjaw il-Broncos fl-aħħar tliet minuti tal-logħba ta 'Pittsburgh?")</f>
        <v>Kemm punti skorjaw il-Broncos fl-aħħar tliet minuti tal-logħba ta 'Pittsburgh?</v>
      </c>
    </row>
    <row r="1095" ht="15.75" customHeight="1">
      <c r="A1095" s="2" t="s">
        <v>1095</v>
      </c>
      <c r="B1095" s="2" t="str">
        <f>IFERROR(__xludf.DUMMYFUNCTION("GOOGLETRANSLATE(A1095, ""en"", ""mt"")"),"Deportazzjoni tal-popolazzjoni Akkadjana li titkellem bil-Franċiż miż-żona")</f>
        <v>Deportazzjoni tal-popolazzjoni Akkadjana li titkellem bil-Franċiż miż-żona</v>
      </c>
    </row>
    <row r="1096" ht="15.75" customHeight="1">
      <c r="A1096" s="2" t="s">
        <v>1096</v>
      </c>
      <c r="B1096" s="2" t="str">
        <f>IFERROR(__xludf.DUMMYFUNCTION("GOOGLETRANSLATE(A1096, ""en"", ""mt"")"),"Liema grupp etniku li jinsab f'Jacksonville huwa kklassifikat l-għaxar l-akbar?")</f>
        <v>Liema grupp etniku li jinsab f'Jacksonville huwa kklassifikat l-għaxar l-akbar?</v>
      </c>
    </row>
    <row r="1097" ht="15.75" customHeight="1">
      <c r="A1097" s="2" t="s">
        <v>1097</v>
      </c>
      <c r="B1097" s="2" t="str">
        <f>IFERROR(__xludf.DUMMYFUNCTION("GOOGLETRANSLATE(A1097, ""en"", ""mt"")"),"Applikazzjoni tal-elettriku fil-moħħ")</f>
        <v>Applikazzjoni tal-elettriku fil-moħħ</v>
      </c>
    </row>
    <row r="1098" ht="15.75" customHeight="1">
      <c r="A1098" s="2" t="s">
        <v>1098</v>
      </c>
      <c r="B1098" s="2" t="str">
        <f>IFERROR(__xludf.DUMMYFUNCTION("GOOGLETRANSLATE(A1098, ""en"", ""mt"")"),"Il-President Grover Cleveland")</f>
        <v>Il-President Grover Cleveland</v>
      </c>
    </row>
    <row r="1099" ht="15.75" customHeight="1">
      <c r="A1099" s="2" t="s">
        <v>1099</v>
      </c>
      <c r="B1099" s="2" t="str">
        <f>IFERROR(__xludf.DUMMYFUNCTION("GOOGLETRANSLATE(A1099, ""en"", ""mt"")"),"X'inhi t-traduzzjoni ta 'Oude Maas?")</f>
        <v>X'inhi t-traduzzjoni ta 'Oude Maas?</v>
      </c>
    </row>
    <row r="1100" ht="15.75" customHeight="1">
      <c r="A1100" s="2" t="s">
        <v>1100</v>
      </c>
      <c r="B1100" s="2" t="str">
        <f>IFERROR(__xludf.DUMMYFUNCTION("GOOGLETRANSLATE(A1100, ""en"", ""mt"")"),"Front Islamique de Salut")</f>
        <v>Front Islamique de Salut</v>
      </c>
    </row>
    <row r="1101" ht="15.75" customHeight="1">
      <c r="A1101" s="2" t="s">
        <v>1101</v>
      </c>
      <c r="B1101" s="2" t="str">
        <f>IFERROR(__xludf.DUMMYFUNCTION("GOOGLETRANSLATE(A1101, ""en"", ""mt"")"),"Nitroaereus")</f>
        <v>Nitroaereus</v>
      </c>
    </row>
    <row r="1102" ht="15.75" customHeight="1">
      <c r="A1102" s="2" t="s">
        <v>1102</v>
      </c>
      <c r="B1102" s="2" t="str">
        <f>IFERROR(__xludf.DUMMYFUNCTION("GOOGLETRANSLATE(A1102, ""en"", ""mt"")"),"Il-popolazzjoni Franċiża kienet tgħodd madwar 75,000 u kienet ikkonċentrata ħafna tul il-Wied tax-Xmara St Lawrence, b'xi wħud ukoll f'Acadia (New Brunswick tal-lum u partijiet ta 'Nova Scotia, inkluża île Royale (preżenti l-ġurnata Cape Breton Island)). "&amp;"Anqas għexet fi New Orleans, Biloxi, Mississippi, Mobile, Alabama u insedjamenti żgħar fil-pajjiż ta 'l-Illinois, li tgħannqu n-naħa tal-lvant tax-Xmara Mississippi u t-tributarji tagħha. In-negozjanti tal-pil Franċiżi u n-nassaba vvjaġġaw madwar il-Water"&amp;"sheds ta ’San Lawrenz u l-Mississippi, għamlu negozju ma’ tribujiet lokali, u ħafna drabi żżewġu nisa Indjani. In-negozjanti żżewġu ibniet ta 'kapijiet, u ħolqu unjonijiet ta' grad għoli.")</f>
        <v>Il-popolazzjoni Franċiża kienet tgħodd madwar 75,000 u kienet ikkonċentrata ħafna tul il-Wied tax-Xmara St Lawrence, b'xi wħud ukoll f'Acadia (New Brunswick tal-lum u partijiet ta 'Nova Scotia, inkluża île Royale (preżenti l-ġurnata Cape Breton Island)). Anqas għexet fi New Orleans, Biloxi, Mississippi, Mobile, Alabama u insedjamenti żgħar fil-pajjiż ta 'l-Illinois, li tgħannqu n-naħa tal-lvant tax-Xmara Mississippi u t-tributarji tagħha. In-negozjanti tal-pil Franċiżi u n-nassaba vvjaġġaw madwar il-Watersheds ta ’San Lawrenz u l-Mississippi, għamlu negozju ma’ tribujiet lokali, u ħafna drabi żżewġu nisa Indjani. In-negozjanti żżewġu ibniet ta 'kapijiet, u ħolqu unjonijiet ta' grad għoli.</v>
      </c>
    </row>
    <row r="1103" ht="15.75" customHeight="1">
      <c r="A1103" s="2" t="s">
        <v>1103</v>
      </c>
      <c r="B1103" s="2" t="str">
        <f>IFERROR(__xludf.DUMMYFUNCTION("GOOGLETRANSLATE(A1103, ""en"", ""mt"")"),"Liema monarka Brittaniku jidher 'il fuq mill-qafas madwar l-arkati u d-dħul?")</f>
        <v>Liema monarka Brittaniku jidher 'il fuq mill-qafas madwar l-arkati u d-dħul?</v>
      </c>
    </row>
    <row r="1104" ht="15.75" customHeight="1">
      <c r="A1104" s="2" t="s">
        <v>1104</v>
      </c>
      <c r="B1104" s="2" t="str">
        <f>IFERROR(__xludf.DUMMYFUNCTION("GOOGLETRANSLATE(A1104, ""en"", ""mt"")"),"Fluke storiku")</f>
        <v>Fluke storiku</v>
      </c>
    </row>
    <row r="1105" ht="15.75" customHeight="1">
      <c r="A1105" s="2" t="s">
        <v>1105</v>
      </c>
      <c r="B1105" s="2" t="str">
        <f>IFERROR(__xludf.DUMMYFUNCTION("GOOGLETRANSLATE(A1105, ""en"", ""mt"")"),"29.7%")</f>
        <v>29.7%</v>
      </c>
    </row>
    <row r="1106" ht="15.75" customHeight="1">
      <c r="A1106" s="2" t="s">
        <v>1106</v>
      </c>
      <c r="B1106" s="2" t="str">
        <f>IFERROR(__xludf.DUMMYFUNCTION("GOOGLETRANSLATE(A1106, ""en"", ""mt"")"),"Minn fejn ix-xjenzati jaħsbu li l-pesti kollha oriġinaw?")</f>
        <v>Minn fejn ix-xjenzati jaħsbu li l-pesti kollha oriġinaw?</v>
      </c>
    </row>
    <row r="1107" ht="15.75" customHeight="1">
      <c r="A1107" s="2" t="s">
        <v>1107</v>
      </c>
      <c r="B1107" s="2" t="str">
        <f>IFERROR(__xludf.DUMMYFUNCTION("GOOGLETRANSLATE(A1107, ""en"", ""mt"")"),"Liema parti ta 'Franza kienu jinsabu n-Normanni?")</f>
        <v>Liema parti ta 'Franza kienu jinsabu n-Normanni?</v>
      </c>
    </row>
    <row r="1108" ht="15.75" customHeight="1">
      <c r="A1108" s="2" t="s">
        <v>1108</v>
      </c>
      <c r="B1108" s="2" t="str">
        <f>IFERROR(__xludf.DUMMYFUNCTION("GOOGLETRANSLATE(A1108, ""en"", ""mt"")"),"Parti wkoll mil-librerija hija l-imsemmija Librerija Selznick, il-Librerija Teatrali Cinerama Productions / Palomar u l-Katalgu ta 'Selmur Productions li n-netwerk akkwista xi snin lura, u l-produzzjonijiet interni li jkomplu jipproduċu (bħalma huma l-ikt"&amp;"ar vidjows tad-dar divertenti tal-Amerika, ġenerali, ġenerali Sptar, u ABC News Productions), għalkemm Disney-ABC Domestic Television (li qabel kienet magħrufa bħala Buena Vista Television) tieħu ħsieb id-distribuzzjoni tat-televiżjoni domestika, filwaqt "&amp;"li Disney-ABC International Television (li qabel kienet magħrufa bħala Buena Vista International Television) tieħu ħsieb id-distribuzzjoni tat-televiżjoni internazzjonali.")</f>
        <v>Parti wkoll mil-librerija hija l-imsemmija Librerija Selznick, il-Librerija Teatrali Cinerama Productions / Palomar u l-Katalgu ta 'Selmur Productions li n-netwerk akkwista xi snin lura, u l-produzzjonijiet interni li jkomplu jipproduċu (bħalma huma l-iktar vidjows tad-dar divertenti tal-Amerika, ġenerali, ġenerali Sptar, u ABC News Productions), għalkemm Disney-ABC Domestic Television (li qabel kienet magħrufa bħala Buena Vista Television) tieħu ħsieb id-distribuzzjoni tat-televiżjoni domestika, filwaqt li Disney-ABC International Television (li qabel kienet magħrufa bħala Buena Vista International Television) tieħu ħsieb id-distribuzzjoni tat-televiżjoni internazzjonali.</v>
      </c>
    </row>
    <row r="1109" ht="15.75" customHeight="1">
      <c r="A1109" s="2" t="s">
        <v>1109</v>
      </c>
      <c r="B1109" s="2" t="str">
        <f>IFERROR(__xludf.DUMMYFUNCTION("GOOGLETRANSLATE(A1109, ""en"", ""mt"")"),"Ix-xogħol tiegħu ġie ppubblikat l-ewwel")</f>
        <v>Ix-xogħol tiegħu ġie ppubblikat l-ewwel</v>
      </c>
    </row>
    <row r="1110" ht="15.75" customHeight="1">
      <c r="A1110" s="2" t="s">
        <v>1110</v>
      </c>
      <c r="B1110" s="2" t="str">
        <f>IFERROR(__xludf.DUMMYFUNCTION("GOOGLETRANSLATE(A1110, ""en"", ""mt"")"),"X'inhi r-rispons ipersensittiv ta 'sistema immunitarja tal-pjanti?")</f>
        <v>X'inhi r-rispons ipersensittiv ta 'sistema immunitarja tal-pjanti?</v>
      </c>
    </row>
    <row r="1111" ht="15.75" customHeight="1">
      <c r="A1111" s="2" t="s">
        <v>1111</v>
      </c>
      <c r="B1111" s="2" t="str">
        <f>IFERROR(__xludf.DUMMYFUNCTION("GOOGLETRANSLATE(A1111, ""en"", ""mt"")"),"In-Nofsinhar ta ’California hija d-dar għal ħafna distretti kummerċjali ewlenin. Distretti tan-Negozju Ċentrali (CBD) jinkludu downtown ta ’Los Angeles, Downtown San Diego, Downtown San Bernardino, Downtown Bakersfield, South Coast Metro u Downtown Rivers"&amp;"ide.")</f>
        <v>In-Nofsinhar ta ’California hija d-dar għal ħafna distretti kummerċjali ewlenin. Distretti tan-Negozju Ċentrali (CBD) jinkludu downtown ta ’Los Angeles, Downtown San Diego, Downtown San Bernardino, Downtown Bakersfield, South Coast Metro u Downtown Riverside.</v>
      </c>
    </row>
    <row r="1112" ht="15.75" customHeight="1">
      <c r="A1112" s="2" t="s">
        <v>1112</v>
      </c>
      <c r="B1112" s="2" t="str">
        <f>IFERROR(__xludf.DUMMYFUNCTION("GOOGLETRANSLATE(A1112, ""en"", ""mt"")"),"mill-Aħżen u l-Qlib tal-Quddiem")</f>
        <v>mill-Aħżen u l-Qlib tal-Quddiem</v>
      </c>
    </row>
    <row r="1113" ht="15.75" customHeight="1">
      <c r="A1113" s="2" t="s">
        <v>1113</v>
      </c>
      <c r="B1113" s="2" t="str">
        <f>IFERROR(__xludf.DUMMYFUNCTION("GOOGLETRANSLATE(A1113, ""en"", ""mt"")"),"Għal xiex huma speċjalizzati l-kloroplasti fiċ-ċelloli tal-mesofilla?")</f>
        <v>Għal xiex huma speċjalizzati l-kloroplasti fiċ-ċelloli tal-mesofilla?</v>
      </c>
    </row>
    <row r="1114" ht="15.75" customHeight="1">
      <c r="A1114" s="2" t="s">
        <v>1114</v>
      </c>
      <c r="B1114" s="2" t="str">
        <f>IFERROR(__xludf.DUMMYFUNCTION("GOOGLETRANSLATE(A1114, ""en"", ""mt"")"),"X'inhuma x-xandiriet standard tad-definizzjoni ta 'BSKYB?")</f>
        <v>X'inhuma x-xandiriet standard tad-definizzjoni ta 'BSKYB?</v>
      </c>
    </row>
    <row r="1115" ht="15.75" customHeight="1">
      <c r="A1115" s="2" t="s">
        <v>1115</v>
      </c>
      <c r="B1115" s="2" t="str">
        <f>IFERROR(__xludf.DUMMYFUNCTION("GOOGLETRANSLATE(A1115, ""en"", ""mt"")"),"Xi wħud mill-ippjanar u d-dfin Kristjan")</f>
        <v>Xi wħud mill-ippjanar u d-dfin Kristjan</v>
      </c>
    </row>
    <row r="1116" ht="15.75" customHeight="1">
      <c r="A1116" s="2" t="s">
        <v>1116</v>
      </c>
      <c r="B1116" s="2" t="str">
        <f>IFERROR(__xludf.DUMMYFUNCTION("GOOGLETRANSLATE(A1116, ""en"", ""mt"")"),"2006")</f>
        <v>2006</v>
      </c>
    </row>
    <row r="1117" ht="15.75" customHeight="1">
      <c r="A1117" s="2" t="s">
        <v>1117</v>
      </c>
      <c r="B1117" s="2" t="str">
        <f>IFERROR(__xludf.DUMMYFUNCTION("GOOGLETRANSLATE(A1117, ""en"", ""mt"")"),"Meta John Wesley ipprovda verżjoni riveduta tal-Ktieb tat-Talb Komuni?")</f>
        <v>Meta John Wesley ipprovda verżjoni riveduta tal-Ktieb tat-Talb Komuni?</v>
      </c>
    </row>
    <row r="1118" ht="15.75" customHeight="1">
      <c r="A1118" s="2" t="s">
        <v>1118</v>
      </c>
      <c r="B1118" s="2" t="str">
        <f>IFERROR(__xludf.DUMMYFUNCTION("GOOGLETRANSLATE(A1118, ""en"", ""mt"")"),"Is-sistema newroimmuni")</f>
        <v>Is-sistema newroimmuni</v>
      </c>
    </row>
    <row r="1119" ht="15.75" customHeight="1">
      <c r="A1119" s="2" t="s">
        <v>1119</v>
      </c>
      <c r="B1119" s="2" t="str">
        <f>IFERROR(__xludf.DUMMYFUNCTION("GOOGLETRANSLATE(A1119, ""en"", ""mt"")"),"ċelloli staminali")</f>
        <v>ċelloli staminali</v>
      </c>
    </row>
    <row r="1120" ht="15.75" customHeight="1">
      <c r="A1120" s="2" t="s">
        <v>1120</v>
      </c>
      <c r="B1120" s="2" t="str">
        <f>IFERROR(__xludf.DUMMYFUNCTION("GOOGLETRANSLATE(A1120, ""en"", ""mt"")"),"Il-fertilizzazzjoni hija interna jew eżeterna fil-biċċa l-kbira tal-ispeċi?")</f>
        <v>Il-fertilizzazzjoni hija interna jew eżeterna fil-biċċa l-kbira tal-ispeċi?</v>
      </c>
    </row>
    <row r="1121" ht="15.75" customHeight="1">
      <c r="A1121" s="2" t="s">
        <v>1121</v>
      </c>
      <c r="B1121" s="2" t="str">
        <f>IFERROR(__xludf.DUMMYFUNCTION("GOOGLETRANSLATE(A1121, ""en"", ""mt"")"),"X’jaħsbu l-kritiċi l-kawża tal-problemi bl-iskola moderna?")</f>
        <v>X’jaħsbu l-kritiċi l-kawża tal-problemi bl-iskola moderna?</v>
      </c>
    </row>
    <row r="1122" ht="15.75" customHeight="1">
      <c r="A1122" s="2" t="s">
        <v>1122</v>
      </c>
      <c r="B1122" s="2" t="str">
        <f>IFERROR(__xludf.DUMMYFUNCTION("GOOGLETRANSLATE(A1122, ""en"", ""mt"")"),"Korp tal-prova")</f>
        <v>Korp tal-prova</v>
      </c>
    </row>
    <row r="1123" ht="15.75" customHeight="1">
      <c r="A1123" s="2" t="s">
        <v>1123</v>
      </c>
      <c r="B1123" s="2" t="str">
        <f>IFERROR(__xludf.DUMMYFUNCTION("GOOGLETRANSLATE(A1123, ""en"", ""mt"")"),"Numru ta 'Huguenots servew bħala sindki f'Dublin, Cork, Youghal u Waterford fis-sekli 17 u 18. Numru ta 'sinjali ta' preżenza Huguenot xorta jistgħu jidhru bl-ismijiet li għadhom jintużaw, u b'żoni tal-bliet u bliet ewlenin imsemmija wara n-nies li stabbi"&amp;"lixxew hemm. Eżempji jinkludu d-Distrett ta 'Huguenot u Triq il-Knisja Franċiża fil-Belt ta' Cork; u Triq D'Olier f'Dublin, imsejħa wara xeriff għoli u wieħed mill-fundaturi tal-Bank of Ireland. Knisja Franċiża f'Portarlington tmur lura għall-1696, u nbni"&amp;"et biex isservi l-komunità Huguenot ġdida sinifikanti fil-belt. Dak iż-żmien, huma kienu jikkostitwixxu l-maġġoranza tan-nies tal-belt.")</f>
        <v>Numru ta 'Huguenots servew bħala sindki f'Dublin, Cork, Youghal u Waterford fis-sekli 17 u 18. Numru ta 'sinjali ta' preżenza Huguenot xorta jistgħu jidhru bl-ismijiet li għadhom jintużaw, u b'żoni tal-bliet u bliet ewlenin imsemmija wara n-nies li stabbilixxew hemm. Eżempji jinkludu d-Distrett ta 'Huguenot u Triq il-Knisja Franċiża fil-Belt ta' Cork; u Triq D'Olier f'Dublin, imsejħa wara xeriff għoli u wieħed mill-fundaturi tal-Bank of Ireland. Knisja Franċiża f'Portarlington tmur lura għall-1696, u nbniet biex isservi l-komunità Huguenot ġdida sinifikanti fil-belt. Dak iż-żmien, huma kienu jikkostitwixxu l-maġġoranza tan-nies tal-belt.</v>
      </c>
    </row>
    <row r="1124" ht="15.75" customHeight="1">
      <c r="A1124" s="2" t="s">
        <v>1124</v>
      </c>
      <c r="B1124" s="2" t="str">
        <f>IFERROR(__xludf.DUMMYFUNCTION("GOOGLETRANSLATE(A1124, ""en"", ""mt"")"),"J. F. D. Shrewsbury")</f>
        <v>J. F. D. Shrewsbury</v>
      </c>
    </row>
    <row r="1125" ht="15.75" customHeight="1">
      <c r="A1125" s="2" t="s">
        <v>1125</v>
      </c>
      <c r="B1125" s="2" t="str">
        <f>IFERROR(__xludf.DUMMYFUNCTION("GOOGLETRANSLATE(A1125, ""en"", ""mt"")"),"9.8 miljun")</f>
        <v>9.8 miljun</v>
      </c>
    </row>
    <row r="1126" ht="15.75" customHeight="1">
      <c r="A1126" s="2" t="s">
        <v>1126</v>
      </c>
      <c r="B1126" s="2" t="str">
        <f>IFERROR(__xludf.DUMMYFUNCTION("GOOGLETRANSLATE(A1126, ""en"", ""mt"")"),"Dgħajjes")</f>
        <v>Dgħajjes</v>
      </c>
    </row>
    <row r="1127" ht="15.75" customHeight="1">
      <c r="A1127" s="2" t="s">
        <v>1127</v>
      </c>
      <c r="B1127" s="2" t="str">
        <f>IFERROR(__xludf.DUMMYFUNCTION("GOOGLETRANSLATE(A1127, ""en"", ""mt"")"),"Kemm netwerks tat-TV differenti huma meqjusa bħala l-imsieħba prinċipali, meta niġu biex ixandru avvenimenti tal-NFL?")</f>
        <v>Kemm netwerks tat-TV differenti huma meqjusa bħala l-imsieħba prinċipali, meta niġu biex ixandru avvenimenti tal-NFL?</v>
      </c>
    </row>
    <row r="1128" ht="15.75" customHeight="1">
      <c r="A1128" s="2" t="s">
        <v>1128</v>
      </c>
      <c r="B1128" s="2" t="str">
        <f>IFERROR(__xludf.DUMMYFUNCTION("GOOGLETRANSLATE(A1128, ""en"", ""mt"")"),"Irranġat f'Grana")</f>
        <v>Irranġat f'Grana</v>
      </c>
    </row>
    <row r="1129" ht="15.75" customHeight="1">
      <c r="A1129" s="2" t="s">
        <v>1129</v>
      </c>
      <c r="B1129" s="2" t="str">
        <f>IFERROR(__xludf.DUMMYFUNCTION("GOOGLETRANSLATE(A1129, ""en"", ""mt"")"),"eżegwit kull suldat")</f>
        <v>eżegwit kull suldat</v>
      </c>
    </row>
    <row r="1130" ht="15.75" customHeight="1">
      <c r="A1130" s="2" t="s">
        <v>1130</v>
      </c>
      <c r="B1130" s="2" t="str">
        <f>IFERROR(__xludf.DUMMYFUNCTION("GOOGLETRANSLATE(A1130, ""en"", ""mt"")"),"mutur ta 'induzzjoni")</f>
        <v>mutur ta 'induzzjoni</v>
      </c>
    </row>
    <row r="1131" ht="15.75" customHeight="1">
      <c r="A1131" s="2" t="s">
        <v>1131</v>
      </c>
      <c r="B1131" s="2" t="str">
        <f>IFERROR(__xludf.DUMMYFUNCTION("GOOGLETRANSLATE(A1131, ""en"", ""mt"")"),"Liema netwerk ta 'żvilupp twaqqaf wara l-għeluq ta' ABC1?")</f>
        <v>Liema netwerk ta 'żvilupp twaqqaf wara l-għeluq ta' ABC1?</v>
      </c>
    </row>
    <row r="1132" ht="15.75" customHeight="1">
      <c r="A1132" s="2" t="s">
        <v>1132</v>
      </c>
      <c r="B1132" s="2" t="str">
        <f>IFERROR(__xludf.DUMMYFUNCTION("GOOGLETRANSLATE(A1132, ""en"", ""mt"")"),"X'jistgħu ġurati simpatetiċi f'każijiet ma 'diżubbidjenti ċivili?")</f>
        <v>X'jistgħu ġurati simpatetiċi f'każijiet ma 'diżubbidjenti ċivili?</v>
      </c>
    </row>
    <row r="1133" ht="15.75" customHeight="1">
      <c r="A1133" s="2" t="s">
        <v>1133</v>
      </c>
      <c r="B1133" s="2" t="str">
        <f>IFERROR(__xludf.DUMMYFUNCTION("GOOGLETRANSLATE(A1133, ""en"", ""mt"")"),"Liema kritika fl-artiklu ta 'NY Times li tħalli impatt fuq il-kwalità tal-edukazzjoni f'Harvard?")</f>
        <v>Liema kritika fl-artiklu ta 'NY Times li tħalli impatt fuq il-kwalità tal-edukazzjoni f'Harvard?</v>
      </c>
    </row>
    <row r="1134" ht="15.75" customHeight="1">
      <c r="A1134" s="2" t="s">
        <v>1134</v>
      </c>
      <c r="B1134" s="2" t="str">
        <f>IFERROR(__xludf.DUMMYFUNCTION("GOOGLETRANSLATE(A1134, ""en"", ""mt"")"),"naqas b’mod sinifikanti")</f>
        <v>naqas b’mod sinifikanti</v>
      </c>
    </row>
    <row r="1135" ht="15.75" customHeight="1">
      <c r="A1135" s="2" t="s">
        <v>1135</v>
      </c>
      <c r="B1135" s="2" t="str">
        <f>IFERROR(__xludf.DUMMYFUNCTION("GOOGLETRANSLATE(A1135, ""en"", ""mt"")"),"Toroq mod wieħed")</f>
        <v>Toroq mod wieħed</v>
      </c>
    </row>
    <row r="1136" ht="15.75" customHeight="1">
      <c r="A1136" s="2" t="s">
        <v>1136</v>
      </c>
      <c r="B1136" s="2" t="str">
        <f>IFERROR(__xludf.DUMMYFUNCTION("GOOGLETRANSLATE(A1136, ""en"", ""mt"")"),"Ruman")</f>
        <v>Ruman</v>
      </c>
    </row>
    <row r="1137" ht="15.75" customHeight="1">
      <c r="A1137" s="2" t="s">
        <v>1137</v>
      </c>
      <c r="B1137" s="2" t="str">
        <f>IFERROR(__xludf.DUMMYFUNCTION("GOOGLETRANSLATE(A1137, ""en"", ""mt"")"),"Liema figura storika kienet imsemmija Jacksonville wara?")</f>
        <v>Liema figura storika kienet imsemmija Jacksonville wara?</v>
      </c>
    </row>
    <row r="1138" ht="15.75" customHeight="1">
      <c r="A1138" s="2" t="s">
        <v>1138</v>
      </c>
      <c r="B1138" s="2" t="str">
        <f>IFERROR(__xludf.DUMMYFUNCTION("GOOGLETRANSLATE(A1138, ""en"", ""mt"")"),"Huma jiddisinjaw il-fażi 2")</f>
        <v>Huma jiddisinjaw il-fażi 2</v>
      </c>
    </row>
    <row r="1139" ht="15.75" customHeight="1">
      <c r="A1139" s="2" t="s">
        <v>1139</v>
      </c>
      <c r="B1139" s="2" t="str">
        <f>IFERROR(__xludf.DUMMYFUNCTION("GOOGLETRANSLATE(A1139, ""en"", ""mt"")"),"Ta 'liema forma jieħdu n-numri Fermat?")</f>
        <v>Ta 'liema forma jieħdu n-numri Fermat?</v>
      </c>
    </row>
    <row r="1140" ht="15.75" customHeight="1">
      <c r="A1140" s="2" t="s">
        <v>1140</v>
      </c>
      <c r="B1140" s="2" t="str">
        <f>IFERROR(__xludf.DUMMYFUNCTION("GOOGLETRANSLATE(A1140, ""en"", ""mt"")"),"Dtime (f (n))")</f>
        <v>Dtime (f (n))</v>
      </c>
    </row>
    <row r="1141" ht="15.75" customHeight="1">
      <c r="A1141" s="2" t="s">
        <v>1141</v>
      </c>
      <c r="B1141" s="2" t="str">
        <f>IFERROR(__xludf.DUMMYFUNCTION("GOOGLETRANSLATE(A1141, ""en"", ""mt"")"),"300 km twil")</f>
        <v>300 km twil</v>
      </c>
    </row>
    <row r="1142" ht="15.75" customHeight="1">
      <c r="A1142" s="2" t="s">
        <v>1142</v>
      </c>
      <c r="B1142" s="2" t="str">
        <f>IFERROR(__xludf.DUMMYFUNCTION("GOOGLETRANSLATE(A1142, ""en"", ""mt"")"),"Filamenti")</f>
        <v>Filamenti</v>
      </c>
    </row>
    <row r="1143" ht="15.75" customHeight="1">
      <c r="A1143" s="2" t="s">
        <v>1143</v>
      </c>
      <c r="B1143" s="2" t="str">
        <f>IFERROR(__xludf.DUMMYFUNCTION("GOOGLETRANSLATE(A1143, ""en"", ""mt"")"),"Sarah Jane Smith")</f>
        <v>Sarah Jane Smith</v>
      </c>
    </row>
    <row r="1144" ht="15.75" customHeight="1">
      <c r="A1144" s="2" t="s">
        <v>1144</v>
      </c>
      <c r="B1144" s="2" t="str">
        <f>IFERROR(__xludf.DUMMYFUNCTION("GOOGLETRANSLATE(A1144, ""en"", ""mt"")"),"tul ix-xmara tana ta ’fuq")</f>
        <v>tul ix-xmara tana ta ’fuq</v>
      </c>
    </row>
    <row r="1145" ht="15.75" customHeight="1">
      <c r="A1145" s="2" t="s">
        <v>1145</v>
      </c>
      <c r="B1145" s="2" t="str">
        <f>IFERROR(__xludf.DUMMYFUNCTION("GOOGLETRANSLATE(A1145, ""en"", ""mt"")"),"1,000")</f>
        <v>1,000</v>
      </c>
    </row>
    <row r="1146" ht="15.75" customHeight="1">
      <c r="A1146" s="2" t="s">
        <v>1146</v>
      </c>
      <c r="B1146" s="2" t="str">
        <f>IFERROR(__xludf.DUMMYFUNCTION("GOOGLETRANSLATE(A1146, ""en"", ""mt"")"),"X'kienu l-ewwel stazzjonijiet lokali li joffru flussi ta 'programmazzjoni tagħhom fuq Watch ABC?")</f>
        <v>X'kienu l-ewwel stazzjonijiet lokali li joffru flussi ta 'programmazzjoni tagħhom fuq Watch ABC?</v>
      </c>
    </row>
    <row r="1147" ht="15.75" customHeight="1">
      <c r="A1147" s="2" t="s">
        <v>1147</v>
      </c>
      <c r="B1147" s="2" t="str">
        <f>IFERROR(__xludf.DUMMYFUNCTION("GOOGLETRANSLATE(A1147, ""en"", ""mt"")"),"kumplessità tal-ħin")</f>
        <v>kumplessità tal-ħin</v>
      </c>
    </row>
    <row r="1148" ht="15.75" customHeight="1">
      <c r="A1148" s="2" t="s">
        <v>1148</v>
      </c>
      <c r="B1148" s="2" t="str">
        <f>IFERROR(__xludf.DUMMYFUNCTION("GOOGLETRANSLATE(A1148, ""en"", ""mt"")"),"Tajlandja")</f>
        <v>Tajlandja</v>
      </c>
    </row>
    <row r="1149" ht="15.75" customHeight="1">
      <c r="A1149" s="2" t="s">
        <v>1149</v>
      </c>
      <c r="B1149" s="2" t="str">
        <f>IFERROR(__xludf.DUMMYFUNCTION("GOOGLETRANSLATE(A1149, ""en"", ""mt"")"),"tisħin addizzjonali tal-wiċċ tad-dinja")</f>
        <v>tisħin addizzjonali tal-wiċċ tad-dinja</v>
      </c>
    </row>
    <row r="1150" ht="15.75" customHeight="1">
      <c r="A1150" s="2" t="s">
        <v>1150</v>
      </c>
      <c r="B1150" s="2" t="str">
        <f>IFERROR(__xludf.DUMMYFUNCTION("GOOGLETRANSLATE(A1150, ""en"", ""mt"")"),"Laqgħa f'Albany f'Diċembru 1755")</f>
        <v>Laqgħa f'Albany f'Diċembru 1755</v>
      </c>
    </row>
    <row r="1151" ht="15.75" customHeight="1">
      <c r="A1151" s="2" t="s">
        <v>1151</v>
      </c>
      <c r="B1151" s="2" t="str">
        <f>IFERROR(__xludf.DUMMYFUNCTION("GOOGLETRANSLATE(A1151, ""en"", ""mt"")"),"Dak li eventwalment ġara fil-programm Block I wara l-inċident?")</f>
        <v>Dak li eventwalment ġara fil-programm Block I wara l-inċident?</v>
      </c>
    </row>
    <row r="1152" ht="15.75" customHeight="1">
      <c r="A1152" s="2" t="s">
        <v>1152</v>
      </c>
      <c r="B1152" s="2" t="str">
        <f>IFERROR(__xludf.DUMMYFUNCTION("GOOGLETRANSLATE(A1152, ""en"", ""mt"")"),"Huguenots Franċiżi għamlu żewġ tentattivi biex jistabbilixxu kenn fl-Amerika ta 'Fuq. Fl-1562, l-Uffiċjal Navali Jean Ribault mexxa spedizzjoni li esplorat Florida u l-ġurnata tax-xlokk tal-Istati Uniti, u waqqfet l-imbiegħed ta 'Charlesfort fuq il-Gżira "&amp;"Parris, South Carolina. Il-gwerer tar-reliġjon ma ppreklurawx vjaġġ bir-ritorn, u l-imbiegħed ġie abbandunat. Fl-1564, l-ex-logutenent ta 'Ribault René Goulaine de Laudonnière nediet it-tieni vjaġġ biex tibni kolonja; Huwa stabbilixxa Fort Caroline f'dak "&amp;"li issa huwa Jacksonville, Florida. Gwerra fid-dar reġgħet prekludiet missjoni ta 'provvista mill-ġdid, u l-kolonja tħabat. Fl-1565 l-Ispanjol iddeċieda li jinforza t-talba tagħhom lil La Florida, u bagħat lil Pedro Menéndez de Avilés, li stabbilixxa s-so"&amp;"luzzjoni ta ’Santu Wistin qrib Fort Caroline. Il-forzi ta 'Menéndez rotta l-Franċiżi u eżegwew ħafna mill-magħluqin Protestanti.")</f>
        <v>Huguenots Franċiżi għamlu żewġ tentattivi biex jistabbilixxu kenn fl-Amerika ta 'Fuq. Fl-1562, l-Uffiċjal Navali Jean Ribault mexxa spedizzjoni li esplorat Florida u l-ġurnata tax-xlokk tal-Istati Uniti, u waqqfet l-imbiegħed ta 'Charlesfort fuq il-Gżira Parris, South Carolina. Il-gwerer tar-reliġjon ma ppreklurawx vjaġġ bir-ritorn, u l-imbiegħed ġie abbandunat. Fl-1564, l-ex-logutenent ta 'Ribault René Goulaine de Laudonnière nediet it-tieni vjaġġ biex tibni kolonja; Huwa stabbilixxa Fort Caroline f'dak li issa huwa Jacksonville, Florida. Gwerra fid-dar reġgħet prekludiet missjoni ta 'provvista mill-ġdid, u l-kolonja tħabat. Fl-1565 l-Ispanjol iddeċieda li jinforza t-talba tagħhom lil La Florida, u bagħat lil Pedro Menéndez de Avilés, li stabbilixxa s-soluzzjoni ta ’Santu Wistin qrib Fort Caroline. Il-forzi ta 'Menéndez rotta l-Franċiżi u eżegwew ħafna mill-magħluqin Protestanti.</v>
      </c>
    </row>
    <row r="1153" ht="15.75" customHeight="1">
      <c r="A1153" s="2" t="s">
        <v>1153</v>
      </c>
      <c r="B1153" s="2" t="str">
        <f>IFERROR(__xludf.DUMMYFUNCTION("GOOGLETRANSLATE(A1153, ""en"", ""mt"")"),"Dak li serva bħala ġustifikazzjoni għall-impożizzjoni ta 'politiki imperjalisti fuq ċerti popli jew reġjuni?")</f>
        <v>Dak li serva bħala ġustifikazzjoni għall-impożizzjoni ta 'politiki imperjalisti fuq ċerti popli jew reġjuni?</v>
      </c>
    </row>
    <row r="1154" ht="15.75" customHeight="1">
      <c r="A1154" s="2" t="s">
        <v>1154</v>
      </c>
      <c r="B1154" s="2" t="str">
        <f>IFERROR(__xludf.DUMMYFUNCTION("GOOGLETRANSLATE(A1154, ""en"", ""mt"")"),"Liema belt tan-Nofsinhar kienet toqgħod il-Huguenots?")</f>
        <v>Liema belt tan-Nofsinhar kienet toqgħod il-Huguenots?</v>
      </c>
    </row>
    <row r="1155" ht="15.75" customHeight="1">
      <c r="A1155" s="2" t="s">
        <v>1155</v>
      </c>
      <c r="B1155" s="2" t="str">
        <f>IFERROR(__xludf.DUMMYFUNCTION("GOOGLETRANSLATE(A1155, ""en"", ""mt"")"),"Minkejja l-problema ta 'Presburger, u fid-dawl tal-intrattabilità, x'sar biex jiġu stabbiliti soluzzjonijiet f'perijodi ta' żmien raġonevoli?")</f>
        <v>Minkejja l-problema ta 'Presburger, u fid-dawl tal-intrattabilità, x'sar biex jiġu stabbiliti soluzzjonijiet f'perijodi ta' żmien raġonevoli?</v>
      </c>
    </row>
    <row r="1156" ht="15.75" customHeight="1">
      <c r="A1156" s="2" t="s">
        <v>1156</v>
      </c>
      <c r="B1156" s="2" t="str">
        <f>IFERROR(__xludf.DUMMYFUNCTION("GOOGLETRANSLATE(A1156, ""en"", ""mt"")"),"Kemm kien okkupat Varsavja mill-Ġermanja?")</f>
        <v>Kemm kien okkupat Varsavja mill-Ġermanja?</v>
      </c>
    </row>
    <row r="1157" ht="15.75" customHeight="1">
      <c r="A1157" s="2" t="s">
        <v>1157</v>
      </c>
      <c r="B1157" s="2" t="str">
        <f>IFERROR(__xludf.DUMMYFUNCTION("GOOGLETRANSLATE(A1157, ""en"", ""mt"")"),"tabib")</f>
        <v>tabib</v>
      </c>
    </row>
    <row r="1158" ht="15.75" customHeight="1">
      <c r="A1158" s="2" t="s">
        <v>1158</v>
      </c>
      <c r="B1158" s="2" t="str">
        <f>IFERROR(__xludf.DUMMYFUNCTION("GOOGLETRANSLATE(A1158, ""en"", ""mt"")"),"Matul is-snin sebgħin u xi kultant wara, il-gvernijiet tal-Punent u favur il-Punent spiss appoġġjaw Iżlamisti u gruppi Iżlamisti li aktar tard ġew meqjusa bħala għedewwa perikolużi. L-Iżlamisti kienu meqjusa mill-gvernijiet tal-Punent li jbatu kontra - da"&amp;"k li kien maħsub li kien dak iż-żmien - aktar perikolużi xellugin / Komunisti / Nazzjonalisti Insurgenti / oppożizzjoni, li l-Iżlamisti kienu meqjusa b'mod korrett bħala opposti. L-Istati Uniti nefqu biljuni ta 'dollari biex jgħinu lill-għedewwa tal-Mujah"&amp;"ideen Musulmani Afganistan tal-Unjoni Sovjetika, u veterani mhux Afgani tal-gwerra rritornaw id-dar bil-prestiġju tagħhom, ""esperjenza, ideoloġija, u armi"", u kellhom impatt konsiderevoli.")</f>
        <v>Matul is-snin sebgħin u xi kultant wara, il-gvernijiet tal-Punent u favur il-Punent spiss appoġġjaw Iżlamisti u gruppi Iżlamisti li aktar tard ġew meqjusa bħala għedewwa perikolużi. L-Iżlamisti kienu meqjusa mill-gvernijiet tal-Punent li jbatu kontra - dak li kien maħsub li kien dak iż-żmien - aktar perikolużi xellugin / Komunisti / Nazzjonalisti Insurgenti / oppożizzjoni, li l-Iżlamisti kienu meqjusa b'mod korrett bħala opposti. L-Istati Uniti nefqu biljuni ta 'dollari biex jgħinu lill-għedewwa tal-Mujahideen Musulmani Afganistan tal-Unjoni Sovjetika, u veterani mhux Afgani tal-gwerra rritornaw id-dar bil-prestiġju tagħhom, "esperjenza, ideoloġija, u armi", u kellhom impatt konsiderevoli.</v>
      </c>
    </row>
    <row r="1159" ht="15.75" customHeight="1">
      <c r="A1159" s="2" t="s">
        <v>1159</v>
      </c>
      <c r="B1159" s="2" t="str">
        <f>IFERROR(__xludf.DUMMYFUNCTION("GOOGLETRANSLATE(A1159, ""en"", ""mt"")"),"Liema seklu n-Normanni l-ewwel kisbu l-identità separata tagħhom?")</f>
        <v>Liema seklu n-Normanni l-ewwel kisbu l-identità separata tagħhom?</v>
      </c>
    </row>
    <row r="1160" ht="15.75" customHeight="1">
      <c r="A1160" s="2" t="s">
        <v>1160</v>
      </c>
      <c r="B1160" s="2" t="str">
        <f>IFERROR(__xludf.DUMMYFUNCTION("GOOGLETRANSLATE(A1160, ""en"", ""mt"")"),"inqas minn sena")</f>
        <v>inqas minn sena</v>
      </c>
    </row>
    <row r="1161" ht="15.75" customHeight="1">
      <c r="A1161" s="2" t="s">
        <v>1161</v>
      </c>
      <c r="B1161" s="2" t="str">
        <f>IFERROR(__xludf.DUMMYFUNCTION("GOOGLETRANSLATE(A1161, ""en"", ""mt"")"),"X'tip ta 'protisti huma euglenofiti?")</f>
        <v>X'tip ta 'protisti huma euglenofiti?</v>
      </c>
    </row>
    <row r="1162" ht="15.75" customHeight="1">
      <c r="A1162" s="2" t="s">
        <v>1162</v>
      </c>
      <c r="B1162" s="2" t="str">
        <f>IFERROR(__xludf.DUMMYFUNCTION("GOOGLETRANSLATE(A1162, ""en"", ""mt"")"),"Liema deċiżjoni ta 'kodifikazzjoni teħtieġ li tittieħed sabiex tiddetermina definizzjoni eżatta tal-lingwa formali?")</f>
        <v>Liema deċiżjoni ta 'kodifikazzjoni teħtieġ li tittieħed sabiex tiddetermina definizzjoni eżatta tal-lingwa formali?</v>
      </c>
    </row>
    <row r="1163" ht="15.75" customHeight="1">
      <c r="A1163" s="2" t="s">
        <v>1163</v>
      </c>
      <c r="B1163" s="2" t="str">
        <f>IFERROR(__xludf.DUMMYFUNCTION("GOOGLETRANSLATE(A1163, ""en"", ""mt"")"),"F'liema nisel tinsab Karenia?")</f>
        <v>F'liema nisel tinsab Karenia?</v>
      </c>
    </row>
    <row r="1164" ht="15.75" customHeight="1">
      <c r="A1164" s="2" t="s">
        <v>1164</v>
      </c>
      <c r="B1164" s="2" t="str">
        <f>IFERROR(__xludf.DUMMYFUNCTION("GOOGLETRANSLATE(A1164, ""en"", ""mt"")"),"Qalba Komuni")</f>
        <v>Qalba Komuni</v>
      </c>
    </row>
    <row r="1165" ht="15.75" customHeight="1">
      <c r="A1165" s="2" t="s">
        <v>1165</v>
      </c>
      <c r="B1165" s="2" t="str">
        <f>IFERROR(__xludf.DUMMYFUNCTION("GOOGLETRANSLATE(A1165, ""en"", ""mt"")"),"Kumpanija tal-Assigurazzjoni Prudenzjali tal-Amerika")</f>
        <v>Kumpanija tal-Assigurazzjoni Prudenzjali tal-Amerika</v>
      </c>
    </row>
    <row r="1166" ht="15.75" customHeight="1">
      <c r="A1166" s="2" t="s">
        <v>1166</v>
      </c>
      <c r="B1166" s="2" t="str">
        <f>IFERROR(__xludf.DUMMYFUNCTION("GOOGLETRANSLATE(A1166, ""en"", ""mt"")"),"$ 40,000")</f>
        <v>$ 40,000</v>
      </c>
    </row>
    <row r="1167" ht="15.75" customHeight="1">
      <c r="A1167" s="2" t="s">
        <v>1167</v>
      </c>
      <c r="B1167" s="2" t="str">
        <f>IFERROR(__xludf.DUMMYFUNCTION("GOOGLETRANSLATE(A1167, ""en"", ""mt"")"),"John Elway")</f>
        <v>John Elway</v>
      </c>
    </row>
    <row r="1168" ht="15.75" customHeight="1">
      <c r="A1168" s="2" t="s">
        <v>1168</v>
      </c>
      <c r="B1168" s="2" t="str">
        <f>IFERROR(__xludf.DUMMYFUNCTION("GOOGLETRANSLATE(A1168, ""en"", ""mt"")"),"X'kien iddisinjat mill-ġdid waqt il-programm Apollo li ġie bbażat matul l-1970?")</f>
        <v>X'kien iddisinjat mill-ġdid waqt il-programm Apollo li ġie bbażat matul l-1970?</v>
      </c>
    </row>
    <row r="1169" ht="15.75" customHeight="1">
      <c r="A1169" s="2" t="s">
        <v>1169</v>
      </c>
      <c r="B1169" s="2" t="str">
        <f>IFERROR(__xludf.DUMMYFUNCTION("GOOGLETRANSLATE(A1169, ""en"", ""mt"")"),"$ 2.50 għal kull horsepower AC")</f>
        <v>$ 2.50 għal kull horsepower AC</v>
      </c>
    </row>
    <row r="1170" ht="15.75" customHeight="1">
      <c r="A1170" s="2" t="s">
        <v>1170</v>
      </c>
      <c r="B1170" s="2" t="str">
        <f>IFERROR(__xludf.DUMMYFUNCTION("GOOGLETRANSLATE(A1170, ""en"", ""mt"")"),"klerikali")</f>
        <v>klerikali</v>
      </c>
    </row>
    <row r="1171" ht="15.75" customHeight="1">
      <c r="A1171" s="2" t="s">
        <v>1171</v>
      </c>
      <c r="B1171" s="2" t="str">
        <f>IFERROR(__xludf.DUMMYFUNCTION("GOOGLETRANSLATE(A1171, ""en"", ""mt"")"),"Liema tip ta 'liġi tikkonċerna l-istruttura ta' governanza tal-UE?")</f>
        <v>Liema tip ta 'liġi tikkonċerna l-istruttura ta' governanza tal-UE?</v>
      </c>
    </row>
    <row r="1172" ht="15.75" customHeight="1">
      <c r="A1172" s="2" t="s">
        <v>1172</v>
      </c>
      <c r="B1172" s="2" t="str">
        <f>IFERROR(__xludf.DUMMYFUNCTION("GOOGLETRANSLATE(A1172, ""en"", ""mt"")"),"Kemm idum Tesla tonfoq iddisinjat mill-ġdid il-mutur u l-ġeneraturi?")</f>
        <v>Kemm idum Tesla tonfoq iddisinjat mill-ġdid il-mutur u l-ġeneraturi?</v>
      </c>
    </row>
    <row r="1173" ht="15.75" customHeight="1">
      <c r="A1173" s="2" t="s">
        <v>1173</v>
      </c>
      <c r="B1173" s="2" t="str">
        <f>IFERROR(__xludf.DUMMYFUNCTION("GOOGLETRANSLATE(A1173, ""en"", ""mt"")"),"Kampus off-off")</f>
        <v>Kampus off-off</v>
      </c>
    </row>
    <row r="1174" ht="15.75" customHeight="1">
      <c r="A1174" s="2" t="s">
        <v>1174</v>
      </c>
      <c r="B1174" s="2" t="str">
        <f>IFERROR(__xludf.DUMMYFUNCTION("GOOGLETRANSLATE(A1174, ""en"", ""mt"")"),"Żwiġijiet irranġati")</f>
        <v>Żwiġijiet irranġati</v>
      </c>
    </row>
    <row r="1175" ht="15.75" customHeight="1">
      <c r="A1175" s="2" t="s">
        <v>1175</v>
      </c>
      <c r="B1175" s="2" t="str">
        <f>IFERROR(__xludf.DUMMYFUNCTION("GOOGLETRANSLATE(A1175, ""en"", ""mt"")"),"termini ta 'pressjoni")</f>
        <v>termini ta 'pressjoni</v>
      </c>
    </row>
    <row r="1176" ht="15.75" customHeight="1">
      <c r="A1176" s="2" t="s">
        <v>1176</v>
      </c>
      <c r="B1176" s="2" t="str">
        <f>IFERROR(__xludf.DUMMYFUNCTION("GOOGLETRANSLATE(A1176, ""en"", ""mt"")"),"F'dan iż-żmien, l-ebda waħda mill-Konfederazzjonijiet Tribali tal-Mongolja ma kienet magħquda politikament, u ż-żwiġijiet irranġati spiss ma ntużaw biex jissolidifikaw alleanzi temporanji. Temüjin kiber billi osserva l-klima politika iebsa tal-Mongolja, l"&amp;"i kienet tinkludi gwerra tribali, thievery, rejds, korruzzjoni, u atti kontinwi ta ’vendetta mwettqa bejn id-diversi konfederazzjonijiet, kollha aggravati minn interferenza minn forzi barranin bħalma huma d-dinastiji Ċiniżi fin-Nofsinhar. Omm Temüjin Hoel"&amp;"un għallmitha ħafna lezzjonijiet dwar il-klima politika instabbli tal-Mongolja, speċjalment il-ħtieġa ta 'alleanzi.")</f>
        <v>F'dan iż-żmien, l-ebda waħda mill-Konfederazzjonijiet Tribali tal-Mongolja ma kienet magħquda politikament, u ż-żwiġijiet irranġati spiss ma ntużaw biex jissolidifikaw alleanzi temporanji. Temüjin kiber billi osserva l-klima politika iebsa tal-Mongolja, li kienet tinkludi gwerra tribali, thievery, rejds, korruzzjoni, u atti kontinwi ta ’vendetta mwettqa bejn id-diversi konfederazzjonijiet, kollha aggravati minn interferenza minn forzi barranin bħalma huma d-dinastiji Ċiniżi fin-Nofsinhar. Omm Temüjin Hoelun għallmitha ħafna lezzjonijiet dwar il-klima politika instabbli tal-Mongolja, speċjalment il-ħtieġa ta 'alleanzi.</v>
      </c>
    </row>
    <row r="1177" ht="15.75" customHeight="1">
      <c r="A1177" s="2" t="s">
        <v>1177</v>
      </c>
      <c r="B1177" s="2" t="str">
        <f>IFERROR(__xludf.DUMMYFUNCTION("GOOGLETRANSLATE(A1177, ""en"", ""mt"")"),"Projbit")</f>
        <v>Projbit</v>
      </c>
    </row>
    <row r="1178" ht="15.75" customHeight="1">
      <c r="A1178" s="2" t="s">
        <v>1178</v>
      </c>
      <c r="B1178" s="2" t="str">
        <f>IFERROR(__xludf.DUMMYFUNCTION("GOOGLETRANSLATE(A1178, ""en"", ""mt"")"),"Dr George E. Mueller")</f>
        <v>Dr George E. Mueller</v>
      </c>
    </row>
    <row r="1179" ht="15.75" customHeight="1">
      <c r="A1179" s="2" t="s">
        <v>1179</v>
      </c>
      <c r="B1179" s="2" t="str">
        <f>IFERROR(__xludf.DUMMYFUNCTION("GOOGLETRANSLATE(A1179, ""en"", ""mt"")"),"qerda tal-foresta")</f>
        <v>qerda tal-foresta</v>
      </c>
    </row>
    <row r="1180" ht="15.75" customHeight="1">
      <c r="A1180" s="2" t="s">
        <v>1180</v>
      </c>
      <c r="B1180" s="2" t="str">
        <f>IFERROR(__xludf.DUMMYFUNCTION("GOOGLETRANSLATE(A1180, ""en"", ""mt"")"),"X'ġara bir-rata tal-fluss fir-Renu bil-programm li jillixxa?")</f>
        <v>X'ġara bir-rata tal-fluss fir-Renu bil-programm li jillixxa?</v>
      </c>
    </row>
    <row r="1181" ht="15.75" customHeight="1">
      <c r="A1181" s="2" t="s">
        <v>1181</v>
      </c>
      <c r="B1181" s="2" t="str">
        <f>IFERROR(__xludf.DUMMYFUNCTION("GOOGLETRANSLATE(A1181, ""en"", ""mt"")"),"Fid-Distrett ta ’Brompton tar-Royal Borough ta’ Kensington u Chelsea")</f>
        <v>Fid-Distrett ta ’Brompton tar-Royal Borough ta’ Kensington u Chelsea</v>
      </c>
    </row>
    <row r="1182" ht="15.75" customHeight="1">
      <c r="A1182" s="2" t="s">
        <v>1182</v>
      </c>
      <c r="B1182" s="2" t="str">
        <f>IFERROR(__xludf.DUMMYFUNCTION("GOOGLETRANSLATE(A1182, ""en"", ""mt"")"),"75,000")</f>
        <v>75,000</v>
      </c>
    </row>
    <row r="1183" ht="15.75" customHeight="1">
      <c r="A1183" s="2" t="s">
        <v>1183</v>
      </c>
      <c r="B1183" s="2" t="str">
        <f>IFERROR(__xludf.DUMMYFUNCTION("GOOGLETRANSLATE(A1183, ""en"", ""mt"")"),"X’għamlet Tesla f’Diċembru 1878?")</f>
        <v>X’għamlet Tesla f’Diċembru 1878?</v>
      </c>
    </row>
    <row r="1184" ht="15.75" customHeight="1">
      <c r="A1184" s="2" t="s">
        <v>1184</v>
      </c>
      <c r="B1184" s="2" t="str">
        <f>IFERROR(__xludf.DUMMYFUNCTION("GOOGLETRANSLATE(A1184, ""en"", ""mt"")"),"Is-sistema tal-burokrazija maħluqa minn Kublai Khan kienet tirrifletti diversi kulturi fl-imperu, inkluż dik taċ-Ċiniżi Han, Khitans, Jurchens, Mongols, u Buddisti Tibetani. Filwaqt li t-terminoloġija uffiċjali tal-istituzzjonijiet tista 'tindika li l-ist"&amp;"ruttura tal-gvern kienet kważi purament dik tad-dinastiji Ċiniżi indiġeni, il-burokrazija tal-wan fil-fatt kienet tikkonsisti f'taħlita ta' elementi minn kulturi differenti. L-elementi ta 'l-istil Ċiniż tal-burokrazija ġew prinċipalment mill-kanzunetta in"&amp;"diġena, kif ukoll mid-dinastiji ta' Khitan Liao u Jurchen Jin. Konsulenti Ċiniżi bħal Liu Bingzhong u Yao Shu taw influwenza qawwija lill-qorti bikrija ta 'Kublai, u l-amministrazzjoni tal-gvern ċentrali ġiet stabbilita fl-ewwel għaxar snin tar-renju ta' "&amp;"Kublai. Dan il-gvern adotta d-diviżjoni tradizzjonali tat-tripartita Ċiniża tal-awtorità fost uffiċċji ċivili, militari u ċensuri, inkluż is-Segretarjat Ċentrali (Zhongshu Sheng) biex jimmaniġġja l-affarijiet ċivili, il-Kunsill Privat (Ċiniż: 樞密院) biex ji"&amp;"mmaniġġja l-affarijiet militari, u ċ-ċensura biex twettaq sorveljanza interna u spezzjoni. Il-funzjonijiet attwali tal-istituzzjonijiet tal-gvern ċentrali u lokali, madankollu, urew koinċidenza kbira bejn il-ġurisdizzjonijiet ċivili u militari, minħabba d"&amp;"-dipendenza tradizzjonali Mongoljana fuq istituzzjonijiet u uffiċċji militari bħala l-qalba tal-governanza. Madankollu, burokrazija ċivili bħal din, bis-Segretarjat Ċentrali bħala l-aqwa istituzzjoni li kienet (direttament jew indirettament) responsabbli "&amp;"għall-biċċa l-kbira tal-aġenziji governattivi l-oħra (bħalma kienet maħluqa s-sitt ministeri tradizzjonali tal-istil Ċiniż), inħolqot fiċ-Ċina. F’diversi żminijiet ta ’istituzzjoni oħra tal-gvern ċentrali msejħa d-Dipartiment tal-Affarijiet tal-Istat (Sha"&amp;"ngshu Sheng) li ttrattat prinċipalment il-finanzi ġie stabbilit (bħal matul ir-renju ta’ Külüg Khan jew l-Imperatur Wuzong), iżda ġeneralment kien abbandunat ftit wara.")</f>
        <v>Is-sistema tal-burokrazija maħluqa minn Kublai Khan kienet tirrifletti diversi kulturi fl-imperu, inkluż dik taċ-Ċiniżi Han, Khitans, Jurchens, Mongols, u Buddisti Tibetani. Filwaqt li t-terminoloġija uffiċjali tal-istituzzjonijiet tista 'tindika li l-istruttura tal-gvern kienet kważi purament dik tad-dinastiji Ċiniżi indiġeni, il-burokrazija tal-wan fil-fatt kienet tikkonsisti f'taħlita ta' elementi minn kulturi differenti. L-elementi ta 'l-istil Ċiniż tal-burokrazija ġew prinċipalment mill-kanzunetta indiġena, kif ukoll mid-dinastiji ta' Khitan Liao u Jurchen Jin. Konsulenti Ċiniżi bħal Liu Bingzhong u Yao Shu taw influwenza qawwija lill-qorti bikrija ta 'Kublai, u l-amministrazzjoni tal-gvern ċentrali ġiet stabbilita fl-ewwel għaxar snin tar-renju ta' Kublai. Dan il-gvern adotta d-diviżjoni tradizzjonali tat-tripartita Ċiniża tal-awtorità fost uffiċċji ċivili, militari u ċensuri, inkluż is-Segretarjat Ċentrali (Zhongshu Sheng) biex jimmaniġġja l-affarijiet ċivili, il-Kunsill Privat (Ċiniż: 樞密院) biex jimmaniġġja l-affarijiet militari, u ċ-ċensura biex twettaq sorveljanza interna u spezzjoni. Il-funzjonijiet attwali tal-istituzzjonijiet tal-gvern ċentrali u lokali, madankollu, urew koinċidenza kbira bejn il-ġurisdizzjonijiet ċivili u militari, minħabba d-dipendenza tradizzjonali Mongoljana fuq istituzzjonijiet u uffiċċji militari bħala l-qalba tal-governanza. Madankollu, burokrazija ċivili bħal din, bis-Segretarjat Ċentrali bħala l-aqwa istituzzjoni li kienet (direttament jew indirettament) responsabbli għall-biċċa l-kbira tal-aġenziji governattivi l-oħra (bħalma kienet maħluqa s-sitt ministeri tradizzjonali tal-istil Ċiniż), inħolqot fiċ-Ċina. F’diversi żminijiet ta ’istituzzjoni oħra tal-gvern ċentrali msejħa d-Dipartiment tal-Affarijiet tal-Istat (Shangshu Sheng) li ttrattat prinċipalment il-finanzi ġie stabbilit (bħal matul ir-renju ta’ Külüg Khan jew l-Imperatur Wuzong), iżda ġeneralment kien abbandunat ftit wara.</v>
      </c>
    </row>
    <row r="1185" ht="15.75" customHeight="1">
      <c r="A1185" s="2" t="s">
        <v>1185</v>
      </c>
      <c r="B1185" s="2" t="str">
        <f>IFERROR(__xludf.DUMMYFUNCTION("GOOGLETRANSLATE(A1185, ""en"", ""mt"")"),"It-telfa ta 'Napuljun")</f>
        <v>It-telfa ta 'Napuljun</v>
      </c>
    </row>
    <row r="1186" ht="15.75" customHeight="1">
      <c r="A1186" s="2" t="s">
        <v>1186</v>
      </c>
      <c r="B1186" s="2" t="str">
        <f>IFERROR(__xludf.DUMMYFUNCTION("GOOGLETRANSLATE(A1186, ""en"", ""mt"")"),"Meta bdiet tixxandar l-Amerika ta 'Good Morning?")</f>
        <v>Meta bdiet tixxandar l-Amerika ta 'Good Morning?</v>
      </c>
    </row>
    <row r="1187" ht="15.75" customHeight="1">
      <c r="A1187" s="2" t="s">
        <v>1187</v>
      </c>
      <c r="B1187" s="2" t="str">
        <f>IFERROR(__xludf.DUMMYFUNCTION("GOOGLETRANSLATE(A1187, ""en"", ""mt"")"),"importazzjoni maqbuda")</f>
        <v>importazzjoni maqbuda</v>
      </c>
    </row>
    <row r="1188" ht="15.75" customHeight="1">
      <c r="A1188" s="2" t="s">
        <v>1188</v>
      </c>
      <c r="B1188" s="2" t="str">
        <f>IFERROR(__xludf.DUMMYFUNCTION("GOOGLETRANSLATE(A1188, ""en"", ""mt"")"),"Premju tas-Sunday Times University of the Year")</f>
        <v>Premju tas-Sunday Times University of the Year</v>
      </c>
    </row>
    <row r="1189" ht="15.75" customHeight="1">
      <c r="A1189" s="2" t="s">
        <v>1189</v>
      </c>
      <c r="B1189" s="2" t="str">
        <f>IFERROR(__xludf.DUMMYFUNCTION("GOOGLETRANSLATE(A1189, ""en"", ""mt"")"),"Xi jfisser meta serje armonika tvarja?")</f>
        <v>Xi jfisser meta serje armonika tvarja?</v>
      </c>
    </row>
    <row r="1190" ht="15.75" customHeight="1">
      <c r="A1190" s="2" t="s">
        <v>1190</v>
      </c>
      <c r="B1190" s="2" t="str">
        <f>IFERROR(__xludf.DUMMYFUNCTION("GOOGLETRANSLATE(A1190, ""en"", ""mt"")"),"Il-kolonisti Ingliżi ma jkunux siguri")</f>
        <v>Il-kolonisti Ingliżi ma jkunux siguri</v>
      </c>
    </row>
    <row r="1191" ht="15.75" customHeight="1">
      <c r="A1191" s="2" t="s">
        <v>1191</v>
      </c>
      <c r="B1191" s="2" t="str">
        <f>IFERROR(__xludf.DUMMYFUNCTION("GOOGLETRANSLATE(A1191, ""en"", ""mt"")"),"bħala aħjar")</f>
        <v>bħala aħjar</v>
      </c>
    </row>
    <row r="1192" ht="15.75" customHeight="1">
      <c r="A1192" s="2" t="s">
        <v>1192</v>
      </c>
      <c r="B1192" s="2" t="str">
        <f>IFERROR(__xludf.DUMMYFUNCTION("GOOGLETRANSLATE(A1192, ""en"", ""mt"")"),"&gt; 3.")</f>
        <v>&gt; 3.</v>
      </c>
    </row>
    <row r="1193" ht="15.75" customHeight="1">
      <c r="A1193" s="2" t="s">
        <v>1193</v>
      </c>
      <c r="B1193" s="2" t="str">
        <f>IFERROR(__xludf.DUMMYFUNCTION("GOOGLETRANSLATE(A1193, ""en"", ""mt"")"),"li ddgħajjef l-ideoloġija komunista")</f>
        <v>li ddgħajjef l-ideoloġija komunista</v>
      </c>
    </row>
    <row r="1194" ht="15.75" customHeight="1">
      <c r="A1194" s="2" t="s">
        <v>1194</v>
      </c>
      <c r="B1194" s="2" t="str">
        <f>IFERROR(__xludf.DUMMYFUNCTION("GOOGLETRANSLATE(A1194, ""en"", ""mt"")"),"L-Isqof Martin Sasse")</f>
        <v>L-Isqof Martin Sasse</v>
      </c>
    </row>
    <row r="1195" ht="15.75" customHeight="1">
      <c r="A1195" s="2" t="s">
        <v>1195</v>
      </c>
      <c r="B1195" s="2" t="str">
        <f>IFERROR(__xludf.DUMMYFUNCTION("GOOGLETRANSLATE(A1195, ""en"", ""mt"")"),"Liema drama tad-delitt iddebutta fuq ABC f'Settembru 1994?")</f>
        <v>Liema drama tad-delitt iddebutta fuq ABC f'Settembru 1994?</v>
      </c>
    </row>
    <row r="1196" ht="15.75" customHeight="1">
      <c r="A1196" s="2" t="s">
        <v>1196</v>
      </c>
      <c r="B1196" s="2" t="str">
        <f>IFERROR(__xludf.DUMMYFUNCTION("GOOGLETRANSLATE(A1196, ""en"", ""mt"")"),"X'kienet it-tweġiba ta 'Edison dwar dak li Tesla ma fehmitx meta Tesla talbet il-ħlas?")</f>
        <v>X'kienet it-tweġiba ta 'Edison dwar dak li Tesla ma fehmitx meta Tesla talbet il-ħlas?</v>
      </c>
    </row>
    <row r="1197" ht="15.75" customHeight="1">
      <c r="A1197" s="2" t="s">
        <v>1197</v>
      </c>
      <c r="B1197" s="2" t="str">
        <f>IFERROR(__xludf.DUMMYFUNCTION("GOOGLETRANSLATE(A1197, ""en"", ""mt"")"),"Min ġie delegat il-kmand tal-forzi tal-Mongolja kontra d-dinastija Jin?")</f>
        <v>Min ġie delegat il-kmand tal-forzi tal-Mongolja kontra d-dinastija Jin?</v>
      </c>
    </row>
    <row r="1198" ht="15.75" customHeight="1">
      <c r="A1198" s="2" t="s">
        <v>1198</v>
      </c>
      <c r="B1198" s="2" t="str">
        <f>IFERROR(__xludf.DUMMYFUNCTION("GOOGLETRANSLATE(A1198, ""en"", ""mt"")"),"200,000.")</f>
        <v>200,000.</v>
      </c>
    </row>
    <row r="1199" ht="15.75" customHeight="1">
      <c r="A1199" s="2" t="s">
        <v>1199</v>
      </c>
      <c r="B1199" s="2" t="str">
        <f>IFERROR(__xludf.DUMMYFUNCTION("GOOGLETRANSLATE(A1199, ""en"", ""mt"")"),"Għal liema tabib Keff McCulloch ipprovda t-tema?")</f>
        <v>Għal liema tabib Keff McCulloch ipprovda t-tema?</v>
      </c>
    </row>
    <row r="1200" ht="15.75" customHeight="1">
      <c r="A1200" s="2" t="s">
        <v>1200</v>
      </c>
      <c r="B1200" s="2" t="str">
        <f>IFERROR(__xludf.DUMMYFUNCTION("GOOGLETRANSLATE(A1200, ""en"", ""mt"")"),"Fejn ġiet irkuprata l-ballun?")</f>
        <v>Fejn ġiet irkuprata l-ballun?</v>
      </c>
    </row>
    <row r="1201" ht="15.75" customHeight="1">
      <c r="A1201" s="2" t="s">
        <v>1201</v>
      </c>
      <c r="B1201" s="2" t="str">
        <f>IFERROR(__xludf.DUMMYFUNCTION("GOOGLETRANSLATE(A1201, ""en"", ""mt"")"),"Meta Bathyctena Chuni, Euplokamis Stations u Eurhamphaea vexilligera excrete tnixxija?")</f>
        <v>Meta Bathyctena Chuni, Euplokamis Stations u Eurhamphaea vexilligera excrete tnixxija?</v>
      </c>
    </row>
    <row r="1202" ht="15.75" customHeight="1">
      <c r="A1202" s="2" t="s">
        <v>1202</v>
      </c>
      <c r="B1202" s="2" t="str">
        <f>IFERROR(__xludf.DUMMYFUNCTION("GOOGLETRANSLATE(A1202, ""en"", ""mt"")"),"Bjuda")</f>
        <v>Bjuda</v>
      </c>
    </row>
    <row r="1203" ht="15.75" customHeight="1">
      <c r="A1203" s="2" t="s">
        <v>1203</v>
      </c>
      <c r="B1203" s="2" t="str">
        <f>IFERROR(__xludf.DUMMYFUNCTION("GOOGLETRANSLATE(A1203, ""en"", ""mt"")"),"Kemm hemm bażijiet navali f'Jacksonville?")</f>
        <v>Kemm hemm bażijiet navali f'Jacksonville?</v>
      </c>
    </row>
    <row r="1204" ht="15.75" customHeight="1">
      <c r="A1204" s="2" t="s">
        <v>1204</v>
      </c>
      <c r="B1204" s="2" t="str">
        <f>IFERROR(__xludf.DUMMYFUNCTION("GOOGLETRANSLATE(A1204, ""en"", ""mt"")"),"Min dawwar il-pass ta 'Peyton għal interċettazzjoni?")</f>
        <v>Min dawwar il-pass ta 'Peyton għal interċettazzjoni?</v>
      </c>
    </row>
    <row r="1205" ht="15.75" customHeight="1">
      <c r="A1205" s="2" t="s">
        <v>1205</v>
      </c>
      <c r="B1205" s="2" t="str">
        <f>IFERROR(__xludf.DUMMYFUNCTION("GOOGLETRANSLATE(A1205, ""en"", ""mt"")"),"Skond it-teorema ta 'Fermat, liema perjodu 1 / P dejjem jassumi li P huwa prim li mhux 2 jew 5?")</f>
        <v>Skond it-teorema ta 'Fermat, liema perjodu 1 / P dejjem jassumi li P huwa prim li mhux 2 jew 5?</v>
      </c>
    </row>
    <row r="1206" ht="15.75" customHeight="1">
      <c r="A1206" s="2" t="s">
        <v>1206</v>
      </c>
      <c r="B1206" s="2" t="str">
        <f>IFERROR(__xludf.DUMMYFUNCTION("GOOGLETRANSLATE(A1206, ""en"", ""mt"")"),"Liema ċelloli tal-pjanti għandhom kloroplasti fihom?")</f>
        <v>Liema ċelloli tal-pjanti għandhom kloroplasti fihom?</v>
      </c>
    </row>
    <row r="1207" ht="15.75" customHeight="1">
      <c r="A1207" s="2" t="s">
        <v>1207</v>
      </c>
      <c r="B1207" s="2" t="str">
        <f>IFERROR(__xludf.DUMMYFUNCTION("GOOGLETRANSLATE(A1207, ""en"", ""mt"")"),"Oriġini lingwistiċi mhux Franċiżi")</f>
        <v>Oriġini lingwistiċi mhux Franċiżi</v>
      </c>
    </row>
    <row r="1208" ht="15.75" customHeight="1">
      <c r="A1208" s="2" t="s">
        <v>1208</v>
      </c>
      <c r="B1208" s="2" t="str">
        <f>IFERROR(__xludf.DUMMYFUNCTION("GOOGLETRANSLATE(A1208, ""en"", ""mt"")"),"X'inhi s-sistema immuni?")</f>
        <v>X'inhi s-sistema immuni?</v>
      </c>
    </row>
    <row r="1209" ht="15.75" customHeight="1">
      <c r="A1209" s="2" t="s">
        <v>1209</v>
      </c>
      <c r="B1209" s="2" t="str">
        <f>IFERROR(__xludf.DUMMYFUNCTION("GOOGLETRANSLATE(A1209, ""en"", ""mt"")"),"Liema organizzazzjoni ħarġet tbassir ta 'terremot ta' Kalifornja?")</f>
        <v>Liema organizzazzjoni ħarġet tbassir ta 'terremot ta' Kalifornja?</v>
      </c>
    </row>
    <row r="1210" ht="15.75" customHeight="1">
      <c r="A1210" s="2" t="s">
        <v>1210</v>
      </c>
      <c r="B1210" s="2" t="str">
        <f>IFERROR(__xludf.DUMMYFUNCTION("GOOGLETRANSLATE(A1210, ""en"", ""mt"")"),"Makroekonomiku")</f>
        <v>Makroekonomiku</v>
      </c>
    </row>
    <row r="1211" ht="15.75" customHeight="1">
      <c r="A1211" s="2" t="s">
        <v>1211</v>
      </c>
      <c r="B1211" s="2" t="str">
        <f>IFERROR(__xludf.DUMMYFUNCTION("GOOGLETRANSLATE(A1211, ""en"", ""mt"")"),"In-Newcastle Eagles")</f>
        <v>In-Newcastle Eagles</v>
      </c>
    </row>
    <row r="1212" ht="15.75" customHeight="1">
      <c r="A1212" s="2" t="s">
        <v>1212</v>
      </c>
      <c r="B1212" s="2" t="str">
        <f>IFERROR(__xludf.DUMMYFUNCTION("GOOGLETRANSLATE(A1212, ""en"", ""mt"")"),"Kemm kienu timijiet fis-Super Bowl tmien darbiet?")</f>
        <v>Kemm kienu timijiet fis-Super Bowl tmien darbiet?</v>
      </c>
    </row>
    <row r="1213" ht="15.75" customHeight="1">
      <c r="A1213" s="2" t="s">
        <v>1213</v>
      </c>
      <c r="B1213" s="2" t="str">
        <f>IFERROR(__xludf.DUMMYFUNCTION("GOOGLETRANSLATE(A1213, ""en"", ""mt"")"),"depożiti tas-sedimenti")</f>
        <v>depożiti tas-sedimenti</v>
      </c>
    </row>
    <row r="1214" ht="15.75" customHeight="1">
      <c r="A1214" s="2" t="s">
        <v>1214</v>
      </c>
      <c r="B1214" s="2" t="str">
        <f>IFERROR(__xludf.DUMMYFUNCTION("GOOGLETRANSLATE(A1214, ""en"", ""mt"")"),"X'inhu l-isem ta 'algoritmu ieħor utli għall-ittestjar b'mod konvenjenti tal-primalità ta' numri kbar?")</f>
        <v>X'inhu l-isem ta 'algoritmu ieħor utli għall-ittestjar b'mod konvenjenti tal-primalità ta' numri kbar?</v>
      </c>
    </row>
    <row r="1215" ht="15.75" customHeight="1">
      <c r="A1215" s="2" t="s">
        <v>1215</v>
      </c>
      <c r="B1215" s="2" t="str">
        <f>IFERROR(__xludf.DUMMYFUNCTION("GOOGLETRANSLATE(A1215, ""en"", ""mt"")"),"Ivvota biex tfittex l-istatus ta 'osservatur")</f>
        <v>Ivvota biex tfittex l-istatus ta 'osservatur</v>
      </c>
    </row>
    <row r="1216" ht="15.75" customHeight="1">
      <c r="A1216" s="2" t="s">
        <v>1216</v>
      </c>
      <c r="B1216" s="2" t="str">
        <f>IFERROR(__xludf.DUMMYFUNCTION("GOOGLETRANSLATE(A1216, ""en"", ""mt"")"),"David G. Booth")</f>
        <v>David G. Booth</v>
      </c>
    </row>
    <row r="1217" ht="15.75" customHeight="1">
      <c r="A1217" s="2" t="s">
        <v>1217</v>
      </c>
      <c r="B1217" s="2" t="str">
        <f>IFERROR(__xludf.DUMMYFUNCTION("GOOGLETRANSLATE(A1217, ""en"", ""mt"")"),"X’ħejji Luther biex jgħallem il-Kristjaneżmu lill-kongregazzjoni?")</f>
        <v>X’ħejji Luther biex jgħallem il-Kristjaneżmu lill-kongregazzjoni?</v>
      </c>
    </row>
    <row r="1218" ht="15.75" customHeight="1">
      <c r="A1218" s="2" t="s">
        <v>1218</v>
      </c>
      <c r="B1218" s="2" t="str">
        <f>IFERROR(__xludf.DUMMYFUNCTION("GOOGLETRANSLATE(A1218, ""en"", ""mt"")"),"Kif qabblu l-blat fuq il-qamar ma 'dawk fid-dinja?")</f>
        <v>Kif qabblu l-blat fuq il-qamar ma 'dawk fid-dinja?</v>
      </c>
    </row>
    <row r="1219" ht="15.75" customHeight="1">
      <c r="A1219" s="2" t="s">
        <v>1219</v>
      </c>
      <c r="B1219" s="2" t="str">
        <f>IFERROR(__xludf.DUMMYFUNCTION("GOOGLETRANSLATE(A1219, ""en"", ""mt"")"),"Wtvg")</f>
        <v>Wtvg</v>
      </c>
    </row>
    <row r="1220" ht="15.75" customHeight="1">
      <c r="A1220" s="2" t="s">
        <v>1220</v>
      </c>
      <c r="B1220" s="2" t="str">
        <f>IFERROR(__xludf.DUMMYFUNCTION("GOOGLETRANSLATE(A1220, ""en"", ""mt"")"),"21 ta ’Jannar 1788")</f>
        <v>21 ta ’Jannar 1788</v>
      </c>
    </row>
    <row r="1221" ht="15.75" customHeight="1">
      <c r="A1221" s="2" t="s">
        <v>1221</v>
      </c>
      <c r="B1221" s="2" t="str">
        <f>IFERROR(__xludf.DUMMYFUNCTION("GOOGLETRANSLATE(A1221, ""en"", ""mt"")"),"James Gamble")</f>
        <v>James Gamble</v>
      </c>
    </row>
    <row r="1222" ht="15.75" customHeight="1">
      <c r="A1222" s="2" t="s">
        <v>1222</v>
      </c>
      <c r="B1222" s="2" t="str">
        <f>IFERROR(__xludf.DUMMYFUNCTION("GOOGLETRANSLATE(A1222, ""en"", ""mt"")"),"inkapaċitazzjoni")</f>
        <v>inkapaċitazzjoni</v>
      </c>
    </row>
    <row r="1223" ht="15.75" customHeight="1">
      <c r="A1223" s="2" t="s">
        <v>1223</v>
      </c>
      <c r="B1223" s="2" t="str">
        <f>IFERROR(__xludf.DUMMYFUNCTION("GOOGLETRANSLATE(A1223, ""en"", ""mt"")"),"permezz ta ’diversi assoċjazzjonijiet")</f>
        <v>permezz ta ’diversi assoċjazzjonijiet</v>
      </c>
    </row>
    <row r="1224" ht="15.75" customHeight="1">
      <c r="A1224" s="2" t="s">
        <v>1224</v>
      </c>
      <c r="B1224" s="2" t="str">
        <f>IFERROR(__xludf.DUMMYFUNCTION("GOOGLETRANSLATE(A1224, ""en"", ""mt"")"),"fit-tramuntana u fin-nofsinhar")</f>
        <v>fit-tramuntana u fin-nofsinhar</v>
      </c>
    </row>
    <row r="1225" ht="15.75" customHeight="1">
      <c r="A1225" s="2" t="s">
        <v>1225</v>
      </c>
      <c r="B1225" s="2" t="str">
        <f>IFERROR(__xludf.DUMMYFUNCTION("GOOGLETRANSLATE(A1225, ""en"", ""mt"")"),"Ħafna marru Kuba,")</f>
        <v>Ħafna marru Kuba,</v>
      </c>
    </row>
    <row r="1226" ht="15.75" customHeight="1">
      <c r="A1226" s="2" t="s">
        <v>1226</v>
      </c>
      <c r="B1226" s="2" t="str">
        <f>IFERROR(__xludf.DUMMYFUNCTION("GOOGLETRANSLATE(A1226, ""en"", ""mt"")"),"Liema belt hija marbuta ma 'Miami talli tospita s-Super Bowl?")</f>
        <v>Liema belt hija marbuta ma 'Miami talli tospita s-Super Bowl?</v>
      </c>
    </row>
    <row r="1227" ht="15.75" customHeight="1">
      <c r="A1227" s="2" t="s">
        <v>1227</v>
      </c>
      <c r="B1227" s="2" t="str">
        <f>IFERROR(__xludf.DUMMYFUNCTION("GOOGLETRANSLATE(A1227, ""en"", ""mt"")"),"Grissom, White, u Chaffee ddeċidew li jismu t-titjira tagħhom Apollo 1 bħala fokus motivazzjonali fuq l-ewwel titjira mgħammra. Huma mħarrġa u wettqu testijiet tal-vettura spazjali tagħhom fl-Amerika ta ’Fuq, u fil-kamra tal-altitudni fiċ-Ċentru Spazjali "&amp;"Kennedy. Test ta '""plugs-out"" kien ippjanat għal Jannar, li jissimula countdown ta' tnedija fuq LC-34 bit-trasferiment spazjali minn PAD fornut għal qawwa interna. Jekk jirnexxi, dan ikun segwit minn test ta 'simulazzjoni ta' countdown aktar rigoruż eqr"&amp;"eb lejn it-tnedija tal-21 ta 'Frar, kemm bil-vettura spazjali kif ukoll bil-valutazzjoni tal-vettura.")</f>
        <v>Grissom, White, u Chaffee ddeċidew li jismu t-titjira tagħhom Apollo 1 bħala fokus motivazzjonali fuq l-ewwel titjira mgħammra. Huma mħarrġa u wettqu testijiet tal-vettura spazjali tagħhom fl-Amerika ta ’Fuq, u fil-kamra tal-altitudni fiċ-Ċentru Spazjali Kennedy. Test ta '"plugs-out" kien ippjanat għal Jannar, li jissimula countdown ta' tnedija fuq LC-34 bit-trasferiment spazjali minn PAD fornut għal qawwa interna. Jekk jirnexxi, dan ikun segwit minn test ta 'simulazzjoni ta' countdown aktar rigoruż eqreb lejn it-tnedija tal-21 ta 'Frar, kemm bil-vettura spazjali kif ukoll bil-valutazzjoni tal-vettura.</v>
      </c>
    </row>
    <row r="1228" ht="15.75" customHeight="1">
      <c r="A1228" s="2" t="s">
        <v>1228</v>
      </c>
      <c r="B1228" s="2" t="str">
        <f>IFERROR(__xludf.DUMMYFUNCTION("GOOGLETRANSLATE(A1228, ""en"", ""mt"")"),"Michael P. Milladi")</f>
        <v>Michael P. Milladi</v>
      </c>
    </row>
    <row r="1229" ht="15.75" customHeight="1">
      <c r="A1229" s="2" t="s">
        <v>1229</v>
      </c>
      <c r="B1229" s="2" t="str">
        <f>IFERROR(__xludf.DUMMYFUNCTION("GOOGLETRANSLATE(A1229, ""en"", ""mt"")"),"Rispons ipersensittiv ta 'pjanti kontra attakk ta' patoġeni")</f>
        <v>Rispons ipersensittiv ta 'pjanti kontra attakk ta' patoġeni</v>
      </c>
    </row>
    <row r="1230" ht="15.75" customHeight="1">
      <c r="A1230" s="2" t="s">
        <v>1230</v>
      </c>
      <c r="B1230" s="2" t="str">
        <f>IFERROR(__xludf.DUMMYFUNCTION("GOOGLETRANSLATE(A1230, ""en"", ""mt"")"),"kloroplast derivat mill-alka ħamra")</f>
        <v>kloroplast derivat mill-alka ħamra</v>
      </c>
    </row>
    <row r="1231" ht="15.75" customHeight="1">
      <c r="A1231" s="2" t="s">
        <v>1231</v>
      </c>
      <c r="B1231" s="2" t="str">
        <f>IFERROR(__xludf.DUMMYFUNCTION("GOOGLETRANSLATE(A1231, ""en"", ""mt"")"),"X'inhuma l-punti ta 'oġġetti alġebro-ġeometriċi?")</f>
        <v>X'inhuma l-punti ta 'oġġetti alġebro-ġeometriċi?</v>
      </c>
    </row>
    <row r="1232" ht="15.75" customHeight="1">
      <c r="A1232" s="2" t="s">
        <v>1232</v>
      </c>
      <c r="B1232" s="2" t="str">
        <f>IFERROR(__xludf.DUMMYFUNCTION("GOOGLETRANSLATE(A1232, ""en"", ""mt"")"),"Semi-Deserts")</f>
        <v>Semi-Deserts</v>
      </c>
    </row>
    <row r="1233" ht="15.75" customHeight="1">
      <c r="A1233" s="2" t="s">
        <v>1233</v>
      </c>
      <c r="B1233" s="2" t="str">
        <f>IFERROR(__xludf.DUMMYFUNCTION("GOOGLETRANSLATE(A1233, ""en"", ""mt"")"),"X'tip ta 'nies jattendu l-laqgħat tal-IPCC?")</f>
        <v>X'tip ta 'nies jattendu l-laqgħat tal-IPCC?</v>
      </c>
    </row>
    <row r="1234" ht="15.75" customHeight="1">
      <c r="A1234" s="2" t="s">
        <v>1234</v>
      </c>
      <c r="B1234" s="2" t="str">
        <f>IFERROR(__xludf.DUMMYFUNCTION("GOOGLETRANSLATE(A1234, ""en"", ""mt"")"),"Ħsarat normali")</f>
        <v>Ħsarat normali</v>
      </c>
    </row>
    <row r="1235" ht="15.75" customHeight="1">
      <c r="A1235" s="2" t="s">
        <v>1235</v>
      </c>
      <c r="B1235" s="2" t="str">
        <f>IFERROR(__xludf.DUMMYFUNCTION("GOOGLETRANSLATE(A1235, ""en"", ""mt"")"),"Fotofosforilazzjoni ċiklika")</f>
        <v>Fotofosforilazzjoni ċiklika</v>
      </c>
    </row>
    <row r="1236" ht="15.75" customHeight="1">
      <c r="A1236" s="2" t="s">
        <v>1236</v>
      </c>
      <c r="B1236" s="2" t="str">
        <f>IFERROR(__xludf.DUMMYFUNCTION("GOOGLETRANSLATE(A1236, ""en"", ""mt"")"),"Kif ġie ppremjat Sadat mill-Iżlamisti għat-tentattivi tiegħu biex iġib l-Eġittu fi żminijiet moderni u ċiviltà?")</f>
        <v>Kif ġie ppremjat Sadat mill-Iżlamisti għat-tentattivi tiegħu biex iġib l-Eġittu fi żminijiet moderni u ċiviltà?</v>
      </c>
    </row>
    <row r="1237" ht="15.75" customHeight="1">
      <c r="A1237" s="2" t="s">
        <v>1237</v>
      </c>
      <c r="B1237" s="2" t="str">
        <f>IFERROR(__xludf.DUMMYFUNCTION("GOOGLETRANSLATE(A1237, ""en"", ""mt"")"),"Frontiers minn bejn Nova Scotia u Acadia fit-tramuntana, lejn il-pajjiż ta 'Ohio fin-nofsinhar, ġew mitluba miż-żewġ naħat.")</f>
        <v>Frontiers minn bejn Nova Scotia u Acadia fit-tramuntana, lejn il-pajjiż ta 'Ohio fin-nofsinhar, ġew mitluba miż-żewġ naħat.</v>
      </c>
    </row>
    <row r="1238" ht="15.75" customHeight="1">
      <c r="A1238" s="2" t="s">
        <v>1238</v>
      </c>
      <c r="B1238" s="2" t="str">
        <f>IFERROR(__xludf.DUMMYFUNCTION("GOOGLETRANSLATE(A1238, ""en"", ""mt"")"),"Dak li huwa ekwivalenti għal numru sħiħ kwadru skont it-tnaqqis tal-ħin polinomjali?")</f>
        <v>Dak li huwa ekwivalenti għal numru sħiħ kwadru skont it-tnaqqis tal-ħin polinomjali?</v>
      </c>
    </row>
    <row r="1239" ht="15.75" customHeight="1">
      <c r="A1239" s="2" t="s">
        <v>1239</v>
      </c>
      <c r="B1239" s="2" t="str">
        <f>IFERROR(__xludf.DUMMYFUNCTION("GOOGLETRANSLATE(A1239, ""en"", ""mt"")"),"Kemm kien iktar anzjan Manning minn Newton matul Super Bowl 50?")</f>
        <v>Kemm kien iktar anzjan Manning minn Newton matul Super Bowl 50?</v>
      </c>
    </row>
    <row r="1240" ht="15.75" customHeight="1">
      <c r="A1240" s="2" t="s">
        <v>1240</v>
      </c>
      <c r="B1240" s="2" t="str">
        <f>IFERROR(__xludf.DUMMYFUNCTION("GOOGLETRANSLATE(A1240, ""en"", ""mt"")"),"Università u Akkademja Militari")</f>
        <v>Università u Akkademja Militari</v>
      </c>
    </row>
    <row r="1241" ht="15.75" customHeight="1">
      <c r="A1241" s="2" t="s">
        <v>1241</v>
      </c>
      <c r="B1241" s="2" t="str">
        <f>IFERROR(__xludf.DUMMYFUNCTION("GOOGLETRANSLATE(A1241, ""en"", ""mt"")"),"Shirley u Johnson.")</f>
        <v>Shirley u Johnson.</v>
      </c>
    </row>
    <row r="1242" ht="15.75" customHeight="1">
      <c r="A1242" s="2" t="s">
        <v>1242</v>
      </c>
      <c r="B1242" s="2" t="str">
        <f>IFERROR(__xludf.DUMMYFUNCTION("GOOGLETRANSLATE(A1242, ""en"", ""mt"")"),"Ottubru 1512,")</f>
        <v>Ottubru 1512,</v>
      </c>
    </row>
    <row r="1243" ht="15.75" customHeight="1">
      <c r="A1243" s="2" t="s">
        <v>1243</v>
      </c>
      <c r="B1243" s="2" t="str">
        <f>IFERROR(__xludf.DUMMYFUNCTION("GOOGLETRANSLATE(A1243, ""en"", ""mt"")"),"Meta seħħew l-oriġini ta 'kampi manjetiċi u elettriċi?")</f>
        <v>Meta seħħew l-oriġini ta 'kampi manjetiċi u elettriċi?</v>
      </c>
    </row>
    <row r="1244" ht="15.75" customHeight="1">
      <c r="A1244" s="2" t="s">
        <v>1244</v>
      </c>
      <c r="B1244" s="2" t="str">
        <f>IFERROR(__xludf.DUMMYFUNCTION("GOOGLETRANSLATE(A1244, ""en"", ""mt"")"),"Għal xiex jixtieq il-Kunsill Lokali ta 'Newcastle jixtieq jgħaqqad in-netwerks lokali tar-rota tagħhom?")</f>
        <v>Għal xiex jixtieq il-Kunsill Lokali ta 'Newcastle jixtieq jgħaqqad in-netwerks lokali tar-rota tagħhom?</v>
      </c>
    </row>
    <row r="1245" ht="15.75" customHeight="1">
      <c r="A1245" s="2" t="s">
        <v>1245</v>
      </c>
      <c r="B1245" s="2" t="str">
        <f>IFERROR(__xludf.DUMMYFUNCTION("GOOGLETRANSLATE(A1245, ""en"", ""mt"")"),"Fort Duquesne")</f>
        <v>Fort Duquesne</v>
      </c>
    </row>
    <row r="1246" ht="15.75" customHeight="1">
      <c r="A1246" s="2" t="s">
        <v>1246</v>
      </c>
      <c r="B1246" s="2" t="str">
        <f>IFERROR(__xludf.DUMMYFUNCTION("GOOGLETRANSLATE(A1246, ""en"", ""mt"")"),"Muhammad Khan")</f>
        <v>Muhammad Khan</v>
      </c>
    </row>
    <row r="1247" ht="15.75" customHeight="1">
      <c r="A1247" s="2" t="s">
        <v>1247</v>
      </c>
      <c r="B1247" s="2" t="str">
        <f>IFERROR(__xludf.DUMMYFUNCTION("GOOGLETRANSLATE(A1247, ""en"", ""mt"")"),"X'inhu eżempju ta 'problema li tistrieħ fil-klassi tal-kumplessità NP?")</f>
        <v>X'inhu eżempju ta 'problema li tistrieħ fil-klassi tal-kumplessità NP?</v>
      </c>
    </row>
    <row r="1248" ht="15.75" customHeight="1">
      <c r="A1248" s="2" t="s">
        <v>1248</v>
      </c>
      <c r="B1248" s="2" t="str">
        <f>IFERROR(__xludf.DUMMYFUNCTION("GOOGLETRANSLATE(A1248, ""en"", ""mt"")"),"Tarka ta 'radjazzjoni protettiva")</f>
        <v>Tarka ta 'radjazzjoni protettiva</v>
      </c>
    </row>
    <row r="1249" ht="15.75" customHeight="1">
      <c r="A1249" s="2" t="s">
        <v>1249</v>
      </c>
      <c r="B1249" s="2" t="str">
        <f>IFERROR(__xludf.DUMMYFUNCTION("GOOGLETRANSLATE(A1249, ""en"", ""mt"")"),"11.4 miljun")</f>
        <v>11.4 miljun</v>
      </c>
    </row>
    <row r="1250" ht="15.75" customHeight="1">
      <c r="A1250" s="2" t="s">
        <v>1250</v>
      </c>
      <c r="B1250" s="2" t="str">
        <f>IFERROR(__xludf.DUMMYFUNCTION("GOOGLETRANSLATE(A1250, ""en"", ""mt"")"),"X'inhi t-twettiq ewlieni ta 'Genghis Khan li l-Mongoljani moderni jiċċelebraw?")</f>
        <v>X'inhi t-twettiq ewlieni ta 'Genghis Khan li l-Mongoljani moderni jiċċelebraw?</v>
      </c>
    </row>
    <row r="1251" ht="15.75" customHeight="1">
      <c r="A1251" s="2" t="s">
        <v>1251</v>
      </c>
      <c r="B1251" s="2" t="str">
        <f>IFERROR(__xludf.DUMMYFUNCTION("GOOGLETRANSLATE(A1251, ""en"", ""mt"")"),"Sony")</f>
        <v>Sony</v>
      </c>
    </row>
    <row r="1252" ht="15.75" customHeight="1">
      <c r="A1252" s="2" t="s">
        <v>1252</v>
      </c>
      <c r="B1252" s="2" t="str">
        <f>IFERROR(__xludf.DUMMYFUNCTION("GOOGLETRANSLATE(A1252, ""en"", ""mt"")"),"wara s-sieq tal-arblu ta 'vapur li jiċċaqlaq")</f>
        <v>wara s-sieq tal-arblu ta 'vapur li jiċċaqlaq</v>
      </c>
    </row>
    <row r="1253" ht="15.75" customHeight="1">
      <c r="A1253" s="2" t="s">
        <v>1253</v>
      </c>
      <c r="B1253" s="2" t="str">
        <f>IFERROR(__xludf.DUMMYFUNCTION("GOOGLETRANSLATE(A1253, ""en"", ""mt"")"),"riċevituri")</f>
        <v>riċevituri</v>
      </c>
    </row>
    <row r="1254" ht="15.75" customHeight="1">
      <c r="A1254" s="2" t="s">
        <v>1254</v>
      </c>
      <c r="B1254" s="2" t="str">
        <f>IFERROR(__xludf.DUMMYFUNCTION("GOOGLETRANSLATE(A1254, ""en"", ""mt"")"),"Newcomen's")</f>
        <v>Newcomen's</v>
      </c>
    </row>
    <row r="1255" ht="15.75" customHeight="1">
      <c r="A1255" s="2" t="s">
        <v>1255</v>
      </c>
      <c r="B1255" s="2" t="str">
        <f>IFERROR(__xludf.DUMMYFUNCTION("GOOGLETRANSLATE(A1255, ""en"", ""mt"")"),"Liema grupp qatel eluf ta 'Huguenots?")</f>
        <v>Liema grupp qatel eluf ta 'Huguenots?</v>
      </c>
    </row>
    <row r="1256" ht="15.75" customHeight="1">
      <c r="A1256" s="2" t="s">
        <v>1256</v>
      </c>
      <c r="B1256" s="2" t="str">
        <f>IFERROR(__xludf.DUMMYFUNCTION("GOOGLETRANSLATE(A1256, ""en"", ""mt"")"),"Han u Jurchen")</f>
        <v>Han u Jurchen</v>
      </c>
    </row>
    <row r="1257" ht="15.75" customHeight="1">
      <c r="A1257" s="2" t="s">
        <v>1257</v>
      </c>
      <c r="B1257" s="2" t="str">
        <f>IFERROR(__xludf.DUMMYFUNCTION("GOOGLETRANSLATE(A1257, ""en"", ""mt"")"),"Kemm horsepower kienet il-magna ta 'Watt?")</f>
        <v>Kemm horsepower kienet il-magna ta 'Watt?</v>
      </c>
    </row>
    <row r="1258" ht="15.75" customHeight="1">
      <c r="A1258" s="2" t="s">
        <v>1258</v>
      </c>
      <c r="B1258" s="2" t="str">
        <f>IFERROR(__xludf.DUMMYFUNCTION("GOOGLETRANSLATE(A1258, ""en"", ""mt"")"),"Luther u l-kollegi tiegħu introduċew l-Ordni l-Ġdida tal-Qima waqt il-viżita tagħhom tal-elettorat tas-Sassonja, li bdiet fl-1527. Huma vvalutaw ukoll l-istandard tal-kura pastorali u l-edukazzjoni Nisranija fit-territorju. ""Alla ħanin, liema miżerja raj"&amp;"t,"" kiteb Luther, ""in-nies komuni ma jafu xejn fid-duttrina Nisranija kollha ... u sfortunatament ħafna ragħajja huma mdejqa sew u inkapaċi li jgħallmu.""")</f>
        <v>Luther u l-kollegi tiegħu introduċew l-Ordni l-Ġdida tal-Qima waqt il-viżita tagħhom tal-elettorat tas-Sassonja, li bdiet fl-1527. Huma vvalutaw ukoll l-istandard tal-kura pastorali u l-edukazzjoni Nisranija fit-territorju. "Alla ħanin, liema miżerja rajt," kiteb Luther, "in-nies komuni ma jafu xejn fid-duttrina Nisranija kollha ... u sfortunatament ħafna ragħajja huma mdejqa sew u inkapaċi li jgħallmu."</v>
      </c>
    </row>
    <row r="1259" ht="15.75" customHeight="1">
      <c r="A1259" s="2" t="s">
        <v>1259</v>
      </c>
      <c r="B1259" s="2" t="str">
        <f>IFERROR(__xludf.DUMMYFUNCTION("GOOGLETRANSLATE(A1259, ""en"", ""mt"")"),"tipproponi dik l-azzjoni")</f>
        <v>tipproponi dik l-azzjoni</v>
      </c>
    </row>
    <row r="1260" ht="15.75" customHeight="1">
      <c r="A1260" s="2" t="s">
        <v>1260</v>
      </c>
      <c r="B1260" s="2" t="str">
        <f>IFERROR(__xludf.DUMMYFUNCTION("GOOGLETRANSLATE(A1260, ""en"", ""mt"")"),"Qxur tal-annimali fossili")</f>
        <v>Qxur tal-annimali fossili</v>
      </c>
    </row>
    <row r="1261" ht="15.75" customHeight="1">
      <c r="A1261" s="2" t="s">
        <v>1261</v>
      </c>
      <c r="B1261" s="2" t="str">
        <f>IFERROR(__xludf.DUMMYFUNCTION("GOOGLETRANSLATE(A1261, ""en"", ""mt"")"),"Kemm hemm nies iddisinjati biex iġorru l-CM fl-aħħar?")</f>
        <v>Kemm hemm nies iddisinjati biex iġorru l-CM fl-aħħar?</v>
      </c>
    </row>
    <row r="1262" ht="15.75" customHeight="1">
      <c r="A1262" s="2" t="s">
        <v>1262</v>
      </c>
      <c r="B1262" s="2" t="str">
        <f>IFERROR(__xludf.DUMMYFUNCTION("GOOGLETRANSLATE(A1262, ""en"", ""mt"")"),"Liema sit jinsab fiż-Żona tal-Bajja ta 'San Francisco?")</f>
        <v>Liema sit jinsab fiż-Żona tal-Bajja ta 'San Francisco?</v>
      </c>
    </row>
    <row r="1263" ht="15.75" customHeight="1">
      <c r="A1263" s="2" t="s">
        <v>1263</v>
      </c>
      <c r="B1263" s="2" t="str">
        <f>IFERROR(__xludf.DUMMYFUNCTION("GOOGLETRANSLATE(A1263, ""en"", ""mt"")"),"Fejn jista 'jinstab it-trattat?")</f>
        <v>Fejn jista 'jinstab it-trattat?</v>
      </c>
    </row>
    <row r="1264" ht="15.75" customHeight="1">
      <c r="A1264" s="2" t="s">
        <v>1264</v>
      </c>
      <c r="B1264" s="2" t="str">
        <f>IFERROR(__xludf.DUMMYFUNCTION("GOOGLETRANSLATE(A1264, ""en"", ""mt"")"),"X'inhu l-isem tal-baċin li nħoloq minn lag magħluq?")</f>
        <v>X'inhu l-isem tal-baċin li nħoloq minn lag magħluq?</v>
      </c>
    </row>
    <row r="1265" ht="15.75" customHeight="1">
      <c r="A1265" s="2" t="s">
        <v>1265</v>
      </c>
      <c r="B1265" s="2" t="str">
        <f>IFERROR(__xludf.DUMMYFUNCTION("GOOGLETRANSLATE(A1265, ""en"", ""mt"")"),"Rebbiegħa tal-1329")</f>
        <v>Rebbiegħa tal-1329</v>
      </c>
    </row>
    <row r="1266" ht="15.75" customHeight="1">
      <c r="A1266" s="2" t="s">
        <v>1266</v>
      </c>
      <c r="B1266" s="2" t="str">
        <f>IFERROR(__xludf.DUMMYFUNCTION("GOOGLETRANSLATE(A1266, ""en"", ""mt"")"),"San Nicolas")</f>
        <v>San Nicolas</v>
      </c>
    </row>
    <row r="1267" ht="15.75" customHeight="1">
      <c r="A1267" s="2" t="s">
        <v>1267</v>
      </c>
      <c r="B1267" s="2" t="str">
        <f>IFERROR(__xludf.DUMMYFUNCTION("GOOGLETRANSLATE(A1267, ""en"", ""mt"")"),"faċilità li biha n-nies, b'mod partikolari ż-żgħażagħ, jistgħu jiksbu sustanzi kkontrollati")</f>
        <v>faċilità li biha n-nies, b'mod partikolari ż-żgħażagħ, jistgħu jiksbu sustanzi kkontrollati</v>
      </c>
    </row>
    <row r="1268" ht="15.75" customHeight="1">
      <c r="A1268" s="2" t="s">
        <v>1268</v>
      </c>
      <c r="B1268" s="2" t="str">
        <f>IFERROR(__xludf.DUMMYFUNCTION("GOOGLETRANSLATE(A1268, ""en"", ""mt"")"),"Meta rkuprat il-popolazzjoni tad-dinja fl-aħħar mill-mewt l-Iswed?")</f>
        <v>Meta rkuprat il-popolazzjoni tad-dinja fl-aħħar mill-mewt l-Iswed?</v>
      </c>
    </row>
    <row r="1269" ht="15.75" customHeight="1">
      <c r="A1269" s="2" t="s">
        <v>1269</v>
      </c>
      <c r="B1269" s="2" t="str">
        <f>IFERROR(__xludf.DUMMYFUNCTION("GOOGLETRANSLATE(A1269, ""en"", ""mt"")"),"Aristotile")</f>
        <v>Aristotile</v>
      </c>
    </row>
    <row r="1270" ht="15.75" customHeight="1">
      <c r="A1270" s="2" t="s">
        <v>1270</v>
      </c>
      <c r="B1270" s="2" t="str">
        <f>IFERROR(__xludf.DUMMYFUNCTION("GOOGLETRANSLATE(A1270, ""en"", ""mt"")"),"varjetà wiesgħa ta 'industriji")</f>
        <v>varjetà wiesgħa ta 'industriji</v>
      </c>
    </row>
    <row r="1271" ht="15.75" customHeight="1">
      <c r="A1271" s="2" t="s">
        <v>1271</v>
      </c>
      <c r="B1271" s="2" t="str">
        <f>IFERROR(__xludf.DUMMYFUNCTION("GOOGLETRANSLATE(A1271, ""en"", ""mt"")"),"X’għamel Genghis Khan lill-familja Imperjali Tangut wara ċ-ċediment tagħhom?")</f>
        <v>X’għamel Genghis Khan lill-familja Imperjali Tangut wara ċ-ċediment tagħhom?</v>
      </c>
    </row>
    <row r="1272" ht="15.75" customHeight="1">
      <c r="A1272" s="2" t="s">
        <v>1272</v>
      </c>
      <c r="B1272" s="2" t="str">
        <f>IFERROR(__xludf.DUMMYFUNCTION("GOOGLETRANSLATE(A1272, ""en"", ""mt"")"),"Limiti aktar baxxi")</f>
        <v>Limiti aktar baxxi</v>
      </c>
    </row>
    <row r="1273" ht="15.75" customHeight="1">
      <c r="A1273" s="2" t="s">
        <v>1273</v>
      </c>
      <c r="B1273" s="2" t="str">
        <f>IFERROR(__xludf.DUMMYFUNCTION("GOOGLETRANSLATE(A1273, ""en"", ""mt"")"),"Televiżjoni bis-satellita")</f>
        <v>Televiżjoni bis-satellita</v>
      </c>
    </row>
    <row r="1274" ht="15.75" customHeight="1">
      <c r="A1274" s="2" t="s">
        <v>1274</v>
      </c>
      <c r="B1274" s="2" t="str">
        <f>IFERROR(__xludf.DUMMYFUNCTION("GOOGLETRANSLATE(A1274, ""en"", ""mt"")"),"Ħdejn il-ħalq sat-tarf oppost")</f>
        <v>Ħdejn il-ħalq sat-tarf oppost</v>
      </c>
    </row>
    <row r="1275" ht="15.75" customHeight="1">
      <c r="A1275" s="2" t="s">
        <v>1275</v>
      </c>
      <c r="B1275" s="2" t="str">
        <f>IFERROR(__xludf.DUMMYFUNCTION("GOOGLETRANSLATE(A1275, ""en"", ""mt"")"),"L-orjentazzjoni hija deċiżament Wesleyan")</f>
        <v>L-orjentazzjoni hija deċiżament Wesleyan</v>
      </c>
    </row>
    <row r="1276" ht="15.75" customHeight="1">
      <c r="A1276" s="2" t="s">
        <v>1276</v>
      </c>
      <c r="B1276" s="2" t="str">
        <f>IFERROR(__xludf.DUMMYFUNCTION("GOOGLETRANSLATE(A1276, ""en"", ""mt"")"),"Huwa eħfef jew aktar diffiċli li tbiddel il-liġi tal-UE milli tibqa 'l-istess?")</f>
        <v>Huwa eħfef jew aktar diffiċli li tbiddel il-liġi tal-UE milli tibqa 'l-istess?</v>
      </c>
    </row>
    <row r="1277" ht="15.75" customHeight="1">
      <c r="A1277" s="2" t="s">
        <v>1277</v>
      </c>
      <c r="B1277" s="2" t="str">
        <f>IFERROR(__xludf.DUMMYFUNCTION("GOOGLETRANSLATE(A1277, ""en"", ""mt"")"),"aktar minn 400")</f>
        <v>aktar minn 400</v>
      </c>
    </row>
    <row r="1278" ht="15.75" customHeight="1">
      <c r="A1278" s="2" t="s">
        <v>1278</v>
      </c>
      <c r="B1278" s="2" t="str">
        <f>IFERROR(__xludf.DUMMYFUNCTION("GOOGLETRANSLATE(A1278, ""en"", ""mt"")"),"Kemm-il ġimgħat kull sena jaħdem il-festival tal-ikel u x-xorb?")</f>
        <v>Kemm-il ġimgħat kull sena jaħdem il-festival tal-ikel u x-xorb?</v>
      </c>
    </row>
    <row r="1279" ht="15.75" customHeight="1">
      <c r="A1279" s="2" t="s">
        <v>1279</v>
      </c>
      <c r="B1279" s="2" t="str">
        <f>IFERROR(__xludf.DUMMYFUNCTION("GOOGLETRANSLATE(A1279, ""en"", ""mt"")"),"Liema festival isir f'Ottubru fi Newcastle?")</f>
        <v>Liema festival isir f'Ottubru fi Newcastle?</v>
      </c>
    </row>
    <row r="1280" ht="15.75" customHeight="1">
      <c r="A1280" s="2" t="s">
        <v>1280</v>
      </c>
      <c r="B1280" s="2" t="str">
        <f>IFERROR(__xludf.DUMMYFUNCTION("GOOGLETRANSLATE(A1280, ""en"", ""mt"")"),"L-interpretazzjoni tal-Iżlam promossa minn dan il-finanzjament kienet il-Wahhabism jew is-Salafiżmu strett, konservattiv ibbażat fis-Sawdi. Fl-iktar forma ħarxa tagħha ppriedka li l-Musulmani m'għandhomx biss ""jopponu"" infidili ""b'kull mod,"" iżda ""jo"&amp;"bogħduhom għar-reliġjon tagħhom ... għall-fini ta 'Allah,"" dik id-demokrazija ""hija responsabbli għall-gwerer horrible kollha tal-20 Seklu, ""li s-Shia u Musulmani oħra mhux Wahhabi kienu infidili, eċċ. Filwaqt li dan l-isforz bl-ebda mod ma kkonverta k"&amp;"ollha, jew saħansitra l-biċċa l-kbira tal-Musulmani għall-interpretazzjoni Wahhabist tal-Iżlam, għamel ħafna biex jegħleb interpretazzjonijiet lokali aktar moderati, u għandu Issettja l-Interpretazzjoni tal-Islam Sawdi bħala l- ""istandard tad-deheb"" tar"&amp;"-reliġjon f'moħħ ta 'xi wħud jew ħafna Musulmani.")</f>
        <v>L-interpretazzjoni tal-Iżlam promossa minn dan il-finanzjament kienet il-Wahhabism jew is-Salafiżmu strett, konservattiv ibbażat fis-Sawdi. Fl-iktar forma ħarxa tagħha ppriedka li l-Musulmani m'għandhomx biss "jopponu" infidili "b'kull mod," iżda "jobogħduhom għar-reliġjon tagħhom ... għall-fini ta 'Allah," dik id-demokrazija "hija responsabbli għall-gwerer horrible kollha tal-20 Seklu, "li s-Shia u Musulmani oħra mhux Wahhabi kienu infidili, eċċ. Filwaqt li dan l-isforz bl-ebda mod ma kkonverta kollha, jew saħansitra l-biċċa l-kbira tal-Musulmani għall-interpretazzjoni Wahhabist tal-Iżlam, għamel ħafna biex jegħleb interpretazzjonijiet lokali aktar moderati, u għandu Issettja l-Interpretazzjoni tal-Islam Sawdi bħala l- "istandard tad-deheb" tar-reliġjon f'moħħ ta 'xi wħud jew ħafna Musulmani.</v>
      </c>
    </row>
    <row r="1281" ht="15.75" customHeight="1">
      <c r="A1281" s="2" t="s">
        <v>1281</v>
      </c>
      <c r="B1281" s="2" t="str">
        <f>IFERROR(__xludf.DUMMYFUNCTION("GOOGLETRANSLATE(A1281, ""en"", ""mt"")"),"Pittsburgh, Pennsylvania")</f>
        <v>Pittsburgh, Pennsylvania</v>
      </c>
    </row>
    <row r="1282" ht="15.75" customHeight="1">
      <c r="A1282" s="2" t="s">
        <v>1282</v>
      </c>
      <c r="B1282" s="2" t="str">
        <f>IFERROR(__xludf.DUMMYFUNCTION("GOOGLETRANSLATE(A1282, ""en"", ""mt"")"),"Premjijiet tal-Akkademja")</f>
        <v>Premjijiet tal-Akkademja</v>
      </c>
    </row>
    <row r="1283" ht="15.75" customHeight="1">
      <c r="A1283" s="2" t="s">
        <v>1283</v>
      </c>
      <c r="B1283" s="2" t="str">
        <f>IFERROR(__xludf.DUMMYFUNCTION("GOOGLETRANSLATE(A1283, ""en"", ""mt"")"),"X'tipi ta 'responsabbiltajiet jista' jkollu tekniku tal-ispiżerija?")</f>
        <v>X'tipi ta 'responsabbiltajiet jista' jkollu tekniku tal-ispiżerija?</v>
      </c>
    </row>
    <row r="1284" ht="15.75" customHeight="1">
      <c r="A1284" s="2" t="s">
        <v>1284</v>
      </c>
      <c r="B1284" s="2" t="str">
        <f>IFERROR(__xludf.DUMMYFUNCTION("GOOGLETRANSLATE(A1284, ""en"", ""mt"")"),"1215")</f>
        <v>1215</v>
      </c>
    </row>
    <row r="1285" ht="15.75" customHeight="1">
      <c r="A1285" s="2" t="s">
        <v>1285</v>
      </c>
      <c r="B1285" s="2" t="str">
        <f>IFERROR(__xludf.DUMMYFUNCTION("GOOGLETRANSLATE(A1285, ""en"", ""mt"")"),"monomeri tal-glukożju")</f>
        <v>monomeri tal-glukożju</v>
      </c>
    </row>
    <row r="1286" ht="15.75" customHeight="1">
      <c r="A1286" s="2" t="s">
        <v>1286</v>
      </c>
      <c r="B1286" s="2" t="str">
        <f>IFERROR(__xludf.DUMMYFUNCTION("GOOGLETRANSLATE(A1286, ""en"", ""mt"")"),"nies mhux ivvilizzati")</f>
        <v>nies mhux ivvilizzati</v>
      </c>
    </row>
    <row r="1287" ht="15.75" customHeight="1">
      <c r="A1287" s="2" t="s">
        <v>1287</v>
      </c>
      <c r="B1287" s="2" t="str">
        <f>IFERROR(__xludf.DUMMYFUNCTION("GOOGLETRANSLATE(A1287, ""en"", ""mt"")"),"F'liema punt tibda tiġri t-tossiċità tal-ossiġnu?")</f>
        <v>F'liema punt tibda tiġri t-tossiċità tal-ossiġnu?</v>
      </c>
    </row>
    <row r="1288" ht="15.75" customHeight="1">
      <c r="A1288" s="2" t="s">
        <v>1288</v>
      </c>
      <c r="B1288" s="2" t="str">
        <f>IFERROR(__xludf.DUMMYFUNCTION("GOOGLETRANSLATE(A1288, ""en"", ""mt"")"),"1953")</f>
        <v>1953</v>
      </c>
    </row>
    <row r="1289" ht="15.75" customHeight="1">
      <c r="A1289" s="2" t="s">
        <v>1289</v>
      </c>
      <c r="B1289" s="2" t="str">
        <f>IFERROR(__xludf.DUMMYFUNCTION("GOOGLETRANSLATE(A1289, ""en"", ""mt"")"),"Minbarra surf, għal liema kultura oħra hija d-dar tan-Nofsinhar ta 'California?")</f>
        <v>Minbarra surf, għal liema kultura oħra hija d-dar tan-Nofsinhar ta 'California?</v>
      </c>
    </row>
    <row r="1290" ht="15.75" customHeight="1">
      <c r="A1290" s="2" t="s">
        <v>1290</v>
      </c>
      <c r="B1290" s="3" t="str">
        <f>IFERROR(__xludf.DUMMYFUNCTION("GOOGLETRANSLATE(A1290, ""en"", ""mt"")"),"CBSSports.com")</f>
        <v>CBSSports.com</v>
      </c>
    </row>
    <row r="1291" ht="15.75" customHeight="1">
      <c r="A1291" s="2" t="s">
        <v>1291</v>
      </c>
      <c r="B1291" s="2" t="str">
        <f>IFERROR(__xludf.DUMMYFUNCTION("GOOGLETRANSLATE(A1291, ""en"", ""mt"")"),"fergħa")</f>
        <v>fergħa</v>
      </c>
    </row>
    <row r="1292" ht="15.75" customHeight="1">
      <c r="A1292" s="2" t="s">
        <v>1292</v>
      </c>
      <c r="B1292" s="2" t="str">
        <f>IFERROR(__xludf.DUMMYFUNCTION("GOOGLETRANSLATE(A1292, ""en"", ""mt"")"),"Kif jissejħu Cestida?")</f>
        <v>Kif jissejħu Cestida?</v>
      </c>
    </row>
    <row r="1293" ht="15.75" customHeight="1">
      <c r="A1293" s="2" t="s">
        <v>1293</v>
      </c>
      <c r="B1293" s="2" t="str">
        <f>IFERROR(__xludf.DUMMYFUNCTION("GOOGLETRANSLATE(A1293, ""en"", ""mt"")"),"Ċittadin jew kumpanija jistgħu jinvokaw direttiva, mhux biss f’tilwima ma ’awtorità pubblika, iżda f’tilwima ma’ ċittadin jew kumpanija oħra")</f>
        <v>Ċittadin jew kumpanija jistgħu jinvokaw direttiva, mhux biss f’tilwima ma ’awtorità pubblika, iżda f’tilwima ma’ ċittadin jew kumpanija oħra</v>
      </c>
    </row>
    <row r="1294" ht="15.75" customHeight="1">
      <c r="A1294" s="2" t="s">
        <v>1294</v>
      </c>
      <c r="B1294" s="2" t="str">
        <f>IFERROR(__xludf.DUMMYFUNCTION("GOOGLETRANSLATE(A1294, ""en"", ""mt"")"),"John M. Grunsfeld")</f>
        <v>John M. Grunsfeld</v>
      </c>
    </row>
    <row r="1295" ht="15.75" customHeight="1">
      <c r="A1295" s="2" t="s">
        <v>1295</v>
      </c>
      <c r="B1295" s="2" t="str">
        <f>IFERROR(__xludf.DUMMYFUNCTION("GOOGLETRANSLATE(A1295, ""en"", ""mt"")"),"Xejn")</f>
        <v>Xejn</v>
      </c>
    </row>
    <row r="1296" ht="15.75" customHeight="1">
      <c r="A1296" s="2" t="s">
        <v>1296</v>
      </c>
      <c r="B1296" s="2" t="str">
        <f>IFERROR(__xludf.DUMMYFUNCTION("GOOGLETRANSLATE(A1296, ""en"", ""mt"")"),"Ir-fdalijiet ta 'min joqogħdu fil-Casket Becket?")</f>
        <v>Ir-fdalijiet ta 'min joqogħdu fil-Casket Becket?</v>
      </c>
    </row>
    <row r="1297" ht="15.75" customHeight="1">
      <c r="A1297" s="2" t="s">
        <v>1297</v>
      </c>
      <c r="B1297" s="2" t="str">
        <f>IFERROR(__xludf.DUMMYFUNCTION("GOOGLETRANSLATE(A1297, ""en"", ""mt"")"),"L-akbar karatteristika sensorja waħda hija l-organu aboral (fit-tarf oppost mill-ħalq). Il-komponent ewlieni tiegħu huwa statocyst, sensur tal-bilanċ li jikkonsisti minn statolit, partiċella solida sostnuta fuq erba 'qatet ta' ċili, imsejħa ""bilanċjaturi"&amp;""", li jħossu l-orjentazzjoni tiegħu. L-istatokist huwa protett minn koppla trasparenti magħmula minn ċili twil u immobbli. Ctenophore ma jipprovax awtomatikament iżomm l-istatolith jistrieħ bl-istess mod fuq il-bilanċjaturi kollha. Minflok ir-risposta ta"&amp;"għha hija determinata mill- ""burdata"" tal-annimal, fi kliem ieħor l-istat ġenerali tas-sistema nervuża. Pereżempju, jekk ctenophore bit-tentakli tat-tkaxkir jaqbad il-priża, ħafna drabi jpoġġi xi ringieli tal-moxt fil-maqlub, idawwar il-ħalq lejn il-pri"&amp;"ża.")</f>
        <v>L-akbar karatteristika sensorja waħda hija l-organu aboral (fit-tarf oppost mill-ħalq). Il-komponent ewlieni tiegħu huwa statocyst, sensur tal-bilanċ li jikkonsisti minn statolit, partiċella solida sostnuta fuq erba 'qatet ta' ċili, imsejħa "bilanċjaturi", li jħossu l-orjentazzjoni tiegħu. L-istatokist huwa protett minn koppla trasparenti magħmula minn ċili twil u immobbli. Ctenophore ma jipprovax awtomatikament iżomm l-istatolith jistrieħ bl-istess mod fuq il-bilanċjaturi kollha. Minflok ir-risposta tagħha hija determinata mill- "burdata" tal-annimal, fi kliem ieħor l-istat ġenerali tas-sistema nervuża. Pereżempju, jekk ctenophore bit-tentakli tat-tkaxkir jaqbad il-priża, ħafna drabi jpoġġi xi ringieli tal-moxt fil-maqlub, idawwar il-ħalq lejn il-priża.</v>
      </c>
    </row>
    <row r="1298" ht="15.75" customHeight="1">
      <c r="A1298" s="2" t="s">
        <v>1298</v>
      </c>
      <c r="B1298" s="2" t="str">
        <f>IFERROR(__xludf.DUMMYFUNCTION("GOOGLETRANSLATE(A1298, ""en"", ""mt"")"),"""Reduċibilità fost problemi kombinatorji""")</f>
        <v>"Reduċibilità fost problemi kombinatorji"</v>
      </c>
    </row>
    <row r="1299" ht="15.75" customHeight="1">
      <c r="A1299" s="2" t="s">
        <v>1299</v>
      </c>
      <c r="B1299" s="2" t="str">
        <f>IFERROR(__xludf.DUMMYFUNCTION("GOOGLETRANSLATE(A1299, ""en"", ""mt"")"),"Il-Qorti Ewropea tal-Ġustizzja")</f>
        <v>Il-Qorti Ewropea tal-Ġustizzja</v>
      </c>
    </row>
    <row r="1300" ht="15.75" customHeight="1">
      <c r="A1300" s="2" t="s">
        <v>1300</v>
      </c>
      <c r="B1300" s="2" t="str">
        <f>IFERROR(__xludf.DUMMYFUNCTION("GOOGLETRANSLATE(A1300, ""en"", ""mt"")"),"Zhongtong")</f>
        <v>Zhongtong</v>
      </c>
    </row>
    <row r="1301" ht="15.75" customHeight="1">
      <c r="A1301" s="2" t="s">
        <v>1301</v>
      </c>
      <c r="B1301" s="2" t="str">
        <f>IFERROR(__xludf.DUMMYFUNCTION("GOOGLETRANSLATE(A1301, ""en"", ""mt"")"),"Liema wirja ta 'Aaron Sorkin iddebutta ABC fl-1998?")</f>
        <v>Liema wirja ta 'Aaron Sorkin iddebutta ABC fl-1998?</v>
      </c>
    </row>
    <row r="1302" ht="15.75" customHeight="1">
      <c r="A1302" s="2" t="s">
        <v>1302</v>
      </c>
      <c r="B1302" s="2" t="str">
        <f>IFERROR(__xludf.DUMMYFUNCTION("GOOGLETRANSLATE(A1302, ""en"", ""mt"")"),"Aristokrazija")</f>
        <v>Aristokrazija</v>
      </c>
    </row>
    <row r="1303" ht="15.75" customHeight="1">
      <c r="A1303" s="2" t="s">
        <v>1303</v>
      </c>
      <c r="B1303" s="2" t="str">
        <f>IFERROR(__xludf.DUMMYFUNCTION("GOOGLETRANSLATE(A1303, ""en"", ""mt"")"),"12–4")</f>
        <v>12–4</v>
      </c>
    </row>
    <row r="1304" ht="15.75" customHeight="1">
      <c r="A1304" s="2" t="s">
        <v>1304</v>
      </c>
      <c r="B1304" s="2" t="str">
        <f>IFERROR(__xludf.DUMMYFUNCTION("GOOGLETRANSLATE(A1304, ""en"", ""mt"")"),"is-Saraċens")</f>
        <v>is-Saraċens</v>
      </c>
    </row>
    <row r="1305" ht="15.75" customHeight="1">
      <c r="A1305" s="2" t="s">
        <v>1305</v>
      </c>
      <c r="B1305" s="2" t="str">
        <f>IFERROR(__xludf.DUMMYFUNCTION("GOOGLETRANSLATE(A1305, ""en"", ""mt"")"),"programmi tal-kompjuter")</f>
        <v>programmi tal-kompjuter</v>
      </c>
    </row>
    <row r="1306" ht="15.75" customHeight="1">
      <c r="A1306" s="2" t="s">
        <v>1306</v>
      </c>
      <c r="B1306" s="2" t="str">
        <f>IFERROR(__xludf.DUMMYFUNCTION("GOOGLETRANSLATE(A1306, ""en"", ""mt"")"),"Qrar privat")</f>
        <v>Qrar privat</v>
      </c>
    </row>
    <row r="1307" ht="15.75" customHeight="1">
      <c r="A1307" s="2" t="s">
        <v>1307</v>
      </c>
      <c r="B1307" s="2" t="str">
        <f>IFERROR(__xludf.DUMMYFUNCTION("GOOGLETRANSLATE(A1307, ""en"", ""mt"")"),"Bejn Bingen u Bonn, ir-Renu Nofsani jgħaddi minn ġol-Gorge tar-Rhine, formazzjoni li nħolqot mill-erożjoni. Ir-rata ta 'erożjoni kienet daqs l-uplift fir-reġjun, tali li x-xmara tħalliet madwar il-livell oriġinali tagħha waqt li l-artijiet tal-madwar tqaj"&amp;"mu. Il-gorge huwa pjuttost fil-fond u huwa l-medda tax-xmara li hija magħrufa għall-ħafna kastelli u dwieli tagħha. Huwa Sit ta 'Wirt Dinji tal-UNESCO (2002) u magħruf bħala ""Ir-Renu Romantiku"", b'aktar minn 40 kastell u fortizzi mill-Medju Evu u ħafna "&amp;"villaġġi ta' pajjiż pittoresk u sbieħ.")</f>
        <v>Bejn Bingen u Bonn, ir-Renu Nofsani jgħaddi minn ġol-Gorge tar-Rhine, formazzjoni li nħolqot mill-erożjoni. Ir-rata ta 'erożjoni kienet daqs l-uplift fir-reġjun, tali li x-xmara tħalliet madwar il-livell oriġinali tagħha waqt li l-artijiet tal-madwar tqajmu. Il-gorge huwa pjuttost fil-fond u huwa l-medda tax-xmara li hija magħrufa għall-ħafna kastelli u dwieli tagħha. Huwa Sit ta 'Wirt Dinji tal-UNESCO (2002) u magħruf bħala "Ir-Renu Romantiku", b'aktar minn 40 kastell u fortizzi mill-Medju Evu u ħafna villaġġi ta' pajjiż pittoresk u sbieħ.</v>
      </c>
    </row>
    <row r="1308" ht="15.75" customHeight="1">
      <c r="A1308" s="2" t="s">
        <v>1308</v>
      </c>
      <c r="B1308" s="2" t="str">
        <f>IFERROR(__xludf.DUMMYFUNCTION("GOOGLETRANSLATE(A1308, ""en"", ""mt"")"),"X'inhu responsabbli biex tillimita l-P skont it-teorema tal-ġerarkija taż-żmien?")</f>
        <v>X'inhu responsabbli biex tillimita l-P skont it-teorema tal-ġerarkija taż-żmien?</v>
      </c>
    </row>
    <row r="1309" ht="15.75" customHeight="1">
      <c r="A1309" s="2" t="s">
        <v>1309</v>
      </c>
      <c r="B1309" s="2" t="str">
        <f>IFERROR(__xludf.DUMMYFUNCTION("GOOGLETRANSLATE(A1309, ""en"", ""mt"")"),"Kif argumenta Hobson biex jeħles lid-dinja tal-imperjalizmu?")</f>
        <v>Kif argumenta Hobson biex jeħles lid-dinja tal-imperjalizmu?</v>
      </c>
    </row>
    <row r="1310" ht="15.75" customHeight="1">
      <c r="A1310" s="2" t="s">
        <v>1310</v>
      </c>
      <c r="B1310" s="2" t="str">
        <f>IFERROR(__xludf.DUMMYFUNCTION("GOOGLETRANSLATE(A1310, ""en"", ""mt"")"),"22,338,618 ċifri deċimali")</f>
        <v>22,338,618 ċifri deċimali</v>
      </c>
    </row>
    <row r="1311" ht="15.75" customHeight="1">
      <c r="A1311" s="2" t="s">
        <v>1311</v>
      </c>
      <c r="B1311" s="2" t="str">
        <f>IFERROR(__xludf.DUMMYFUNCTION("GOOGLETRANSLATE(A1311, ""en"", ""mt"")"),"Nażisti Ġermaniżi")</f>
        <v>Nażisti Ġermaniżi</v>
      </c>
    </row>
    <row r="1312" ht="15.75" customHeight="1">
      <c r="A1312" s="2" t="s">
        <v>1312</v>
      </c>
      <c r="B1312" s="2" t="str">
        <f>IFERROR(__xludf.DUMMYFUNCTION("GOOGLETRANSLATE(A1312, ""en"", ""mt"")"),"Magni ta 'kombustjoni interna jew muturi elettriċi")</f>
        <v>Magni ta 'kombustjoni interna jew muturi elettriċi</v>
      </c>
    </row>
    <row r="1313" ht="15.75" customHeight="1">
      <c r="A1313" s="2" t="s">
        <v>1313</v>
      </c>
      <c r="B1313" s="2" t="str">
        <f>IFERROR(__xludf.DUMMYFUNCTION("GOOGLETRANSLATE(A1313, ""en"", ""mt"")"),"Temüjin kif inżamm il-ħabs mit-Tayichi'ud?")</f>
        <v>Temüjin kif inżamm il-ħabs mit-Tayichi'ud?</v>
      </c>
    </row>
    <row r="1314" ht="15.75" customHeight="1">
      <c r="A1314" s="2" t="s">
        <v>1314</v>
      </c>
      <c r="B1314" s="2" t="str">
        <f>IFERROR(__xludf.DUMMYFUNCTION("GOOGLETRANSLATE(A1314, ""en"", ""mt"")"),"X'jiteħtieġu X.25 u Frame Relay it-tnejn")</f>
        <v>X'jiteħtieġu X.25 u Frame Relay it-tnejn</v>
      </c>
    </row>
    <row r="1315" ht="15.75" customHeight="1">
      <c r="A1315" s="2" t="s">
        <v>1315</v>
      </c>
      <c r="B1315" s="2" t="str">
        <f>IFERROR(__xludf.DUMMYFUNCTION("GOOGLETRANSLATE(A1315, ""en"", ""mt"")"),"Ieħor mill-gruppi Eġizzjani li impjegaw vjolenza fit-taqbida tagħhom għal ordni Iżlamika kien al-gama'a al-Islamiyya (grupp Iżlamiku). Il-vittmi tal-kampanja tagħhom kontra l-istat Eġizzjan fid-disgħinijiet kienu jinkludu l-kap tal-pulizija kontra t-terro"&amp;"riżmu (il-Ġeneral Maġġur Raouf Khayrat), kelliem parlamentari (Rifaat al-Mahgoub), għexieren ta ’turisti Ewropej u persuni li jrażżnu l-Eġizzjani, u aktar minn 100 pulizija Eġizzjana - Fl-aħħar mill-aħħar il-kampanja biex jitwaqqa 'l-gvern ma rnexxietx, u"&amp;" l-grupp jihadi ewlieni, Jamaa Islamiya (jew al-gama'a al-Islamiya), irrinunzjat vjolenza fl-2003. Gruppi oħra magħrufa inqas jinkludu l-Partit ta' Liberazzjoni Iżlamika, Salvazzjoni mill-Infern u Takfir Wal-Hijra, u dawn il-gruppi kienu involuti b'mod va"&amp;"rju f'attivitajiet bħal attentat ta 'qtil ta' figuri politiċi, inżul ta 'ħwienet tal-vidjow u attentat ta' akkwist ta 'bini tal-gvern.")</f>
        <v>Ieħor mill-gruppi Eġizzjani li impjegaw vjolenza fit-taqbida tagħhom għal ordni Iżlamika kien al-gama'a al-Islamiyya (grupp Iżlamiku). Il-vittmi tal-kampanja tagħhom kontra l-istat Eġizzjan fid-disgħinijiet kienu jinkludu l-kap tal-pulizija kontra t-terroriżmu (il-Ġeneral Maġġur Raouf Khayrat), kelliem parlamentari (Rifaat al-Mahgoub), għexieren ta ’turisti Ewropej u persuni li jrażżnu l-Eġizzjani, u aktar minn 100 pulizija Eġizzjana - Fl-aħħar mill-aħħar il-kampanja biex jitwaqqa 'l-gvern ma rnexxietx, u l-grupp jihadi ewlieni, Jamaa Islamiya (jew al-gama'a al-Islamiya), irrinunzjat vjolenza fl-2003. Gruppi oħra magħrufa inqas jinkludu l-Partit ta' Liberazzjoni Iżlamika, Salvazzjoni mill-Infern u Takfir Wal-Hijra, u dawn il-gruppi kienu involuti b'mod varju f'attivitajiet bħal attentat ta 'qtil ta' figuri politiċi, inżul ta 'ħwienet tal-vidjow u attentat ta' akkwist ta 'bini tal-gvern.</v>
      </c>
    </row>
    <row r="1316" ht="15.75" customHeight="1">
      <c r="A1316" s="2" t="s">
        <v>1316</v>
      </c>
      <c r="B1316" s="2" t="str">
        <f>IFERROR(__xludf.DUMMYFUNCTION("GOOGLETRANSLATE(A1316, ""en"", ""mt"")"),"New South Wales")</f>
        <v>New South Wales</v>
      </c>
    </row>
    <row r="1317" ht="15.75" customHeight="1">
      <c r="A1317" s="2" t="s">
        <v>1317</v>
      </c>
      <c r="B1317" s="2" t="str">
        <f>IFERROR(__xludf.DUMMYFUNCTION("GOOGLETRANSLATE(A1317, ""en"", ""mt"")"),"512-bit")</f>
        <v>512-bit</v>
      </c>
    </row>
    <row r="1318" ht="15.75" customHeight="1">
      <c r="A1318" s="2" t="s">
        <v>1318</v>
      </c>
      <c r="B1318" s="2" t="str">
        <f>IFERROR(__xludf.DUMMYFUNCTION("GOOGLETRANSLATE(A1318, ""en"", ""mt"")"),"Nun Komm, Der Heiden Heiland")</f>
        <v>Nun Komm, Der Heiden Heiland</v>
      </c>
    </row>
    <row r="1319" ht="15.75" customHeight="1">
      <c r="A1319" s="2" t="s">
        <v>1319</v>
      </c>
      <c r="B1319" s="2" t="str">
        <f>IFERROR(__xludf.DUMMYFUNCTION("GOOGLETRANSLATE(A1319, ""en"", ""mt"")"),"Tesla ġiet offruta l-kompitu li tfassal mill-ġdid kompletament il-ġeneraturi kurrenti diretti tal-kumpanija Edison. Fl-1885, huwa qal li jista 'jiddisinja mill-ġdid il-mutur u l-ġeneraturi ineffiċjenti ta' Edison, u jagħmel titjib kemm fis-servizz kif uko"&amp;"ll fl-ekonomija. Skond Tesla, Edison irrimarka, ""Hemm ħamsin elf dollaru għalik - jekk tista 'tagħmel dan."": 54–57: 64 Dan ġie nnutat bħala dikjarazzjoni fard minn Edison li l-kumpanija tagħha kienet stingy bil-paga u min għamel M'għandekx dik it-tip ta"&amp;" 'flus kontanti. Wara xhur ta 'xogħol, Tesla ssodisfat il-kompitu u staqsiet dwar il-ħlas. Edison, u qal li kien qed jiċċajta biss, wieġeb, ""Tesla, ma tifhimx l-umoriżmu Amerikan tagħna."": 64 Minflok, Edison offra $ 10 fil-ġimgħa li ġabret fuq is-salarj"&amp;"u ta 'Tesla ta' $ 18 fil-ġimgħa; Tesla rrifjutat l-offerta u rriżenja minnufih.")</f>
        <v>Tesla ġiet offruta l-kompitu li tfassal mill-ġdid kompletament il-ġeneraturi kurrenti diretti tal-kumpanija Edison. Fl-1885, huwa qal li jista 'jiddisinja mill-ġdid il-mutur u l-ġeneraturi ineffiċjenti ta' Edison, u jagħmel titjib kemm fis-servizz kif ukoll fl-ekonomija. Skond Tesla, Edison irrimarka, "Hemm ħamsin elf dollaru għalik - jekk tista 'tagħmel dan.": 54–57: 64 Dan ġie nnutat bħala dikjarazzjoni fard minn Edison li l-kumpanija tagħha kienet stingy bil-paga u min għamel M'għandekx dik it-tip ta 'flus kontanti. Wara xhur ta 'xogħol, Tesla ssodisfat il-kompitu u staqsiet dwar il-ħlas. Edison, u qal li kien qed jiċċajta biss, wieġeb, "Tesla, ma tifhimx l-umoriżmu Amerikan tagħna.": 64 Minflok, Edison offra $ 10 fil-ġimgħa li ġabret fuq is-salarju ta 'Tesla ta' $ 18 fil-ġimgħa; Tesla rrifjutat l-offerta u rriżenja minnufih.</v>
      </c>
    </row>
    <row r="1320" ht="15.75" customHeight="1">
      <c r="A1320" s="2" t="s">
        <v>1320</v>
      </c>
      <c r="B1320" s="2" t="str">
        <f>IFERROR(__xludf.DUMMYFUNCTION("GOOGLETRANSLATE(A1320, ""en"", ""mt"")"),"Phlogiston")</f>
        <v>Phlogiston</v>
      </c>
    </row>
    <row r="1321" ht="15.75" customHeight="1">
      <c r="A1321" s="2" t="s">
        <v>1321</v>
      </c>
      <c r="B1321" s="2" t="str">
        <f>IFERROR(__xludf.DUMMYFUNCTION("GOOGLETRANSLATE(A1321, ""en"", ""mt"")"),"27.7 miljun tunnellata")</f>
        <v>27.7 miljun tunnellata</v>
      </c>
    </row>
    <row r="1322" ht="15.75" customHeight="1">
      <c r="A1322" s="2" t="s">
        <v>1322</v>
      </c>
      <c r="B1322" s="2" t="str">
        <f>IFERROR(__xludf.DUMMYFUNCTION("GOOGLETRANSLATE(A1322, ""en"", ""mt"")"),"sistema ta 'ħafna strutturi u proċessi bijoloġiċi fi ħdan organiżmu li jipproteġi kontra l-mard")</f>
        <v>sistema ta 'ħafna strutturi u proċessi bijoloġiċi fi ħdan organiżmu li jipproteġi kontra l-mard</v>
      </c>
    </row>
    <row r="1323" ht="15.75" customHeight="1">
      <c r="A1323" s="2" t="s">
        <v>1323</v>
      </c>
      <c r="B1323" s="2" t="str">
        <f>IFERROR(__xludf.DUMMYFUNCTION("GOOGLETRANSLATE(A1323, ""en"", ""mt"")"),"Indirizzi assenjati awtomatikament, aġġornaw l-ispazju ta 'l-ismijiet distribwiti, u kkonfiguraw kwalunkwe rotta ta' netwerk meħtieġ")</f>
        <v>Indirizzi assenjati awtomatikament, aġġornaw l-ispazju ta 'l-ismijiet distribwiti, u kkonfiguraw kwalunkwe rotta ta' netwerk meħtieġ</v>
      </c>
    </row>
    <row r="1324" ht="15.75" customHeight="1">
      <c r="A1324" s="2" t="s">
        <v>1324</v>
      </c>
      <c r="B1324" s="2" t="str">
        <f>IFERROR(__xludf.DUMMYFUNCTION("GOOGLETRANSLATE(A1324, ""en"", ""mt"")"),"tattendi l-iskola fl-ogħla ġinnasju reali")</f>
        <v>tattendi l-iskola fl-ogħla ġinnasju reali</v>
      </c>
    </row>
    <row r="1325" ht="15.75" customHeight="1">
      <c r="A1325" s="2" t="s">
        <v>1325</v>
      </c>
      <c r="B1325" s="2" t="str">
        <f>IFERROR(__xludf.DUMMYFUNCTION("GOOGLETRANSLATE(A1325, ""en"", ""mt"")"),"Fl-1972, in-Norveġja spiċċat tissieħeb fl-Unjoni Ewropea?")</f>
        <v>Fl-1972, in-Norveġja spiċċat tissieħeb fl-Unjoni Ewropea?</v>
      </c>
    </row>
    <row r="1326" ht="15.75" customHeight="1">
      <c r="A1326" s="2" t="s">
        <v>1326</v>
      </c>
      <c r="B1326" s="2" t="str">
        <f>IFERROR(__xludf.DUMMYFUNCTION("GOOGLETRANSLATE(A1326, ""en"", ""mt"")"),"Min kien il-koordinatur difensiv għall-Broncos fl-2015?")</f>
        <v>Min kien il-koordinatur difensiv għall-Broncos fl-2015?</v>
      </c>
    </row>
    <row r="1327" ht="15.75" customHeight="1">
      <c r="A1327" s="2" t="s">
        <v>1327</v>
      </c>
      <c r="B1327" s="2" t="str">
        <f>IFERROR(__xludf.DUMMYFUNCTION("GOOGLETRANSLATE(A1327, ""en"", ""mt"")"),"X'kienu s-snin sentejn regolamenti li kienu f'kunflitt ma 'liġi Taljana li joriġinaw fil-każ spa ta' simmenthal?")</f>
        <v>X'kienu s-snin sentejn regolamenti li kienu f'kunflitt ma 'liġi Taljana li joriġinaw fil-każ spa ta' simmenthal?</v>
      </c>
    </row>
    <row r="1328" ht="15.75" customHeight="1">
      <c r="A1328" s="2" t="s">
        <v>1328</v>
      </c>
      <c r="B1328" s="2" t="str">
        <f>IFERROR(__xludf.DUMMYFUNCTION("GOOGLETRANSLATE(A1328, ""en"", ""mt"")"),"X'ingħata lill-iskejjel għolja fejn l-ex studenti marru jilagħbu jew kowċ f'super bowl?")</f>
        <v>X'ingħata lill-iskejjel għolja fejn l-ex studenti marru jilagħbu jew kowċ f'super bowl?</v>
      </c>
    </row>
    <row r="1329" ht="15.75" customHeight="1">
      <c r="A1329" s="2" t="s">
        <v>1329</v>
      </c>
      <c r="B1329" s="2" t="str">
        <f>IFERROR(__xludf.DUMMYFUNCTION("GOOGLETRANSLATE(A1329, ""en"", ""mt"")"),"Kanzunetta ġdida li nqajmu")</f>
        <v>Kanzunetta ġdida li nqajmu</v>
      </c>
    </row>
    <row r="1330" ht="15.75" customHeight="1">
      <c r="A1330" s="2" t="s">
        <v>1330</v>
      </c>
      <c r="B1330" s="2" t="str">
        <f>IFERROR(__xludf.DUMMYFUNCTION("GOOGLETRANSLATE(A1330, ""en"", ""mt"")"),"Liema żagħżugħ ġenerali Genghis Khan bagħat lil Qara Khitai?")</f>
        <v>Liema żagħżugħ ġenerali Genghis Khan bagħat lil Qara Khitai?</v>
      </c>
    </row>
    <row r="1331" ht="15.75" customHeight="1">
      <c r="A1331" s="2" t="s">
        <v>1331</v>
      </c>
      <c r="B1331" s="2" t="str">
        <f>IFERROR(__xludf.DUMMYFUNCTION("GOOGLETRANSLATE(A1331, ""en"", ""mt"")"),"Min għandu r-rekord li huwa l-eqdem kwart lura f'xi logħba tas-Super Bowl?")</f>
        <v>Min għandu r-rekord li huwa l-eqdem kwart lura f'xi logħba tas-Super Bowl?</v>
      </c>
    </row>
    <row r="1332" ht="15.75" customHeight="1">
      <c r="A1332" s="2" t="s">
        <v>1332</v>
      </c>
      <c r="B1332" s="2" t="str">
        <f>IFERROR(__xludf.DUMMYFUNCTION("GOOGLETRANSLATE(A1332, ""en"", ""mt"")"),"Awtorità bbażata fuq il-popolazzjoni")</f>
        <v>Awtorità bbażata fuq il-popolazzjoni</v>
      </c>
    </row>
    <row r="1333" ht="15.75" customHeight="1">
      <c r="A1333" s="2" t="s">
        <v>1333</v>
      </c>
      <c r="B1333" s="2" t="str">
        <f>IFERROR(__xludf.DUMMYFUNCTION("GOOGLETRANSLATE(A1333, ""en"", ""mt"")"),"Griegi")</f>
        <v>Griegi</v>
      </c>
    </row>
    <row r="1334" ht="15.75" customHeight="1">
      <c r="A1334" s="2" t="s">
        <v>1334</v>
      </c>
      <c r="B1334" s="2" t="str">
        <f>IFERROR(__xludf.DUMMYFUNCTION("GOOGLETRANSLATE(A1334, ""en"", ""mt"")"),"Broncos")</f>
        <v>Broncos</v>
      </c>
    </row>
    <row r="1335" ht="15.75" customHeight="1">
      <c r="A1335" s="2" t="s">
        <v>1335</v>
      </c>
      <c r="B1335" s="2" t="str">
        <f>IFERROR(__xludf.DUMMYFUNCTION("GOOGLETRANSLATE(A1335, ""en"", ""mt"")"),"1526")</f>
        <v>1526</v>
      </c>
    </row>
    <row r="1336" ht="15.75" customHeight="1">
      <c r="A1336" s="2" t="s">
        <v>1336</v>
      </c>
      <c r="B1336" s="2" t="str">
        <f>IFERROR(__xludf.DUMMYFUNCTION("GOOGLETRANSLATE(A1336, ""en"", ""mt"")"),"negattiv")</f>
        <v>negattiv</v>
      </c>
    </row>
    <row r="1337" ht="15.75" customHeight="1">
      <c r="A1337" s="2" t="s">
        <v>1337</v>
      </c>
      <c r="B1337" s="2" t="str">
        <f>IFERROR(__xludf.DUMMYFUNCTION("GOOGLETRANSLATE(A1337, ""en"", ""mt"")"),"Kif ġie determinat kemm minn kull kamp kien se jinħatar?")</f>
        <v>Kif ġie determinat kemm minn kull kamp kien se jinħatar?</v>
      </c>
    </row>
    <row r="1338" ht="15.75" customHeight="1">
      <c r="A1338" s="2" t="s">
        <v>1338</v>
      </c>
      <c r="B1338" s="2" t="str">
        <f>IFERROR(__xludf.DUMMYFUNCTION("GOOGLETRANSLATE(A1338, ""en"", ""mt"")"),"Meta twaqqfet il-kongregazzjoni f'San Ġorġ?")</f>
        <v>Meta twaqqfet il-kongregazzjoni f'San Ġorġ?</v>
      </c>
    </row>
    <row r="1339" ht="15.75" customHeight="1">
      <c r="A1339" s="2" t="s">
        <v>1339</v>
      </c>
      <c r="B1339" s="2" t="str">
        <f>IFERROR(__xludf.DUMMYFUNCTION("GOOGLETRANSLATE(A1339, ""en"", ""mt"")"),"Delüün Burdog,")</f>
        <v>Delüün Burdog,</v>
      </c>
    </row>
    <row r="1340" ht="15.75" customHeight="1">
      <c r="A1340" s="2" t="s">
        <v>1340</v>
      </c>
      <c r="B1340" s="2" t="str">
        <f>IFERROR(__xludf.DUMMYFUNCTION("GOOGLETRANSLATE(A1340, ""en"", ""mt"")"),"Partit Nazzjonali tal-Awstralja")</f>
        <v>Partit Nazzjonali tal-Awstralja</v>
      </c>
    </row>
    <row r="1341" ht="15.75" customHeight="1">
      <c r="A1341" s="2" t="s">
        <v>1341</v>
      </c>
      <c r="B1341" s="2" t="str">
        <f>IFERROR(__xludf.DUMMYFUNCTION("GOOGLETRANSLATE(A1341, ""en"", ""mt"")"),"Qabel l-Ewwel Gwerra Dinjija")</f>
        <v>Qabel l-Ewwel Gwerra Dinjija</v>
      </c>
    </row>
    <row r="1342" ht="15.75" customHeight="1">
      <c r="A1342" s="2" t="s">
        <v>1342</v>
      </c>
      <c r="B1342" s="2" t="str">
        <f>IFERROR(__xludf.DUMMYFUNCTION("GOOGLETRANSLATE(A1342, ""en"", ""mt"")"),"Fresno")</f>
        <v>Fresno</v>
      </c>
    </row>
    <row r="1343" ht="15.75" customHeight="1">
      <c r="A1343" s="2" t="s">
        <v>1343</v>
      </c>
      <c r="B1343" s="2" t="str">
        <f>IFERROR(__xludf.DUMMYFUNCTION("GOOGLETRANSLATE(A1343, ""en"", ""mt"")"),"Fejn jistgħu jinstabu ċ-ctenophores f'ammonti kbar?")</f>
        <v>Fejn jistgħu jinstabu ċ-ctenophores f'ammonti kbar?</v>
      </c>
    </row>
    <row r="1344" ht="15.75" customHeight="1">
      <c r="A1344" s="2" t="s">
        <v>1344</v>
      </c>
      <c r="B1344" s="2" t="str">
        <f>IFERROR(__xludf.DUMMYFUNCTION("GOOGLETRANSLATE(A1344, ""en"", ""mt"")"),"Mekkaniżmi ta 'tqassim mill-ġdid")</f>
        <v>Mekkaniżmi ta 'tqassim mill-ġdid</v>
      </c>
    </row>
    <row r="1345" ht="15.75" customHeight="1">
      <c r="A1345" s="2" t="s">
        <v>1345</v>
      </c>
      <c r="B1345" s="2" t="str">
        <f>IFERROR(__xludf.DUMMYFUNCTION("GOOGLETRANSLATE(A1345, ""en"", ""mt"")"),"Fejn huma permessi xi tobba li jippreskrivu u jagħtu mediċini fil-prattiki tagħhom?")</f>
        <v>Fejn huma permessi xi tobba li jippreskrivu u jagħtu mediċini fil-prattiki tagħhom?</v>
      </c>
    </row>
    <row r="1346" ht="15.75" customHeight="1">
      <c r="A1346" s="2" t="s">
        <v>1346</v>
      </c>
      <c r="B1346" s="2" t="str">
        <f>IFERROR(__xludf.DUMMYFUNCTION("GOOGLETRANSLATE(A1346, ""en"", ""mt"")"),"fotografiku")</f>
        <v>fotografiku</v>
      </c>
    </row>
    <row r="1347" ht="15.75" customHeight="1">
      <c r="A1347" s="2" t="s">
        <v>1347</v>
      </c>
      <c r="B1347" s="2" t="str">
        <f>IFERROR(__xludf.DUMMYFUNCTION("GOOGLETRANSLATE(A1347, ""en"", ""mt"")"),"Editt ta 'Alès")</f>
        <v>Editt ta 'Alès</v>
      </c>
    </row>
    <row r="1348" ht="15.75" customHeight="1">
      <c r="A1348" s="2" t="s">
        <v>1348</v>
      </c>
      <c r="B1348" s="2" t="str">
        <f>IFERROR(__xludf.DUMMYFUNCTION("GOOGLETRANSLATE(A1348, ""en"", ""mt"")"),"L-aħħar massimu glaċjali (LGM) u d-deglakjazzjoni sussegwenti")</f>
        <v>L-aħħar massimu glaċjali (LGM) u d-deglakjazzjoni sussegwenti</v>
      </c>
    </row>
    <row r="1349" ht="15.75" customHeight="1">
      <c r="A1349" s="2" t="s">
        <v>1349</v>
      </c>
      <c r="B1349" s="2" t="str">
        <f>IFERROR(__xludf.DUMMYFUNCTION("GOOGLETRANSLATE(A1349, ""en"", ""mt"")"),"stivat fi gruppi ta 'tlieta")</f>
        <v>stivat fi gruppi ta 'tlieta</v>
      </c>
    </row>
    <row r="1350" ht="15.75" customHeight="1">
      <c r="A1350" s="2" t="s">
        <v>1350</v>
      </c>
      <c r="B1350" s="2" t="str">
        <f>IFERROR(__xludf.DUMMYFUNCTION("GOOGLETRANSLATE(A1350, ""en"", ""mt"")"),"47 ° 39′N 9 ° 19′E / 47.650 ° N 9.317 ° E / 47.650; 9.317")</f>
        <v>47 ° 39′N 9 ° 19′E / 47.650 ° N 9.317 ° E / 47.650; 9.317</v>
      </c>
    </row>
    <row r="1351" ht="15.75" customHeight="1">
      <c r="A1351" s="2" t="s">
        <v>1351</v>
      </c>
      <c r="B1351" s="2" t="str">
        <f>IFERROR(__xludf.DUMMYFUNCTION("GOOGLETRANSLATE(A1351, ""en"", ""mt"")"),"Min assenjat Genghis Khan bħala s-suċċessur tiegħu?")</f>
        <v>Min assenjat Genghis Khan bħala s-suċċessur tiegħu?</v>
      </c>
    </row>
    <row r="1352" ht="15.75" customHeight="1">
      <c r="A1352" s="2" t="s">
        <v>1352</v>
      </c>
      <c r="B1352" s="2" t="str">
        <f>IFERROR(__xludf.DUMMYFUNCTION("GOOGLETRANSLATE(A1352, ""en"", ""mt"")"),"L-Iskola tal-Amministrazzjoni tas-Servizz Soċjali tal-Università")</f>
        <v>L-Iskola tal-Amministrazzjoni tas-Servizz Soċjali tal-Università</v>
      </c>
    </row>
    <row r="1353" ht="15.75" customHeight="1">
      <c r="A1353" s="2" t="s">
        <v>1353</v>
      </c>
      <c r="B1353" s="2" t="str">
        <f>IFERROR(__xludf.DUMMYFUNCTION("GOOGLETRANSLATE(A1353, ""en"", ""mt"")"),"Cestida")</f>
        <v>Cestida</v>
      </c>
    </row>
    <row r="1354" ht="15.75" customHeight="1">
      <c r="A1354" s="2" t="s">
        <v>1354</v>
      </c>
      <c r="B1354" s="2" t="str">
        <f>IFERROR(__xludf.DUMMYFUNCTION("GOOGLETRANSLATE(A1354, ""en"", ""mt"")"),"Liema żona xxandar il-Westwood One?")</f>
        <v>Liema żona xxandar il-Westwood One?</v>
      </c>
    </row>
    <row r="1355" ht="15.75" customHeight="1">
      <c r="A1355" s="2" t="s">
        <v>1355</v>
      </c>
      <c r="B1355" s="2" t="str">
        <f>IFERROR(__xludf.DUMMYFUNCTION("GOOGLETRANSLATE(A1355, ""en"", ""mt"")"),"Finsteraarhorn, t")</f>
        <v>Finsteraarhorn, t</v>
      </c>
    </row>
    <row r="1356" ht="15.75" customHeight="1">
      <c r="A1356" s="2" t="s">
        <v>1356</v>
      </c>
      <c r="B1356" s="2" t="str">
        <f>IFERROR(__xludf.DUMMYFUNCTION("GOOGLETRANSLATE(A1356, ""en"", ""mt"")"),"granuli")</f>
        <v>granuli</v>
      </c>
    </row>
    <row r="1357" ht="15.75" customHeight="1">
      <c r="A1357" s="2" t="s">
        <v>1357</v>
      </c>
      <c r="B1357" s="2" t="str">
        <f>IFERROR(__xludf.DUMMYFUNCTION("GOOGLETRANSLATE(A1357, ""en"", ""mt"")"),"kostanti dimensjonali")</f>
        <v>kostanti dimensjonali</v>
      </c>
    </row>
    <row r="1358" ht="15.75" customHeight="1">
      <c r="A1358" s="2" t="s">
        <v>1358</v>
      </c>
      <c r="B1358" s="2" t="str">
        <f>IFERROR(__xludf.DUMMYFUNCTION("GOOGLETRANSLATE(A1358, ""en"", ""mt"")"),"Andrés Marzal de Sax")</f>
        <v>Andrés Marzal de Sax</v>
      </c>
    </row>
    <row r="1359" ht="15.75" customHeight="1">
      <c r="A1359" s="2" t="s">
        <v>1359</v>
      </c>
      <c r="B1359" s="2" t="str">
        <f>IFERROR(__xludf.DUMMYFUNCTION("GOOGLETRANSLATE(A1359, ""en"", ""mt"")"),"Tribù Onggirat")</f>
        <v>Tribù Onggirat</v>
      </c>
    </row>
    <row r="1360" ht="15.75" customHeight="1">
      <c r="A1360" s="2" t="s">
        <v>1360</v>
      </c>
      <c r="B1360" s="2" t="str">
        <f>IFERROR(__xludf.DUMMYFUNCTION("GOOGLETRANSLATE(A1360, ""en"", ""mt"")"),"Pesta Taljana")</f>
        <v>Pesta Taljana</v>
      </c>
    </row>
    <row r="1361" ht="15.75" customHeight="1">
      <c r="A1361" s="2" t="s">
        <v>1361</v>
      </c>
      <c r="B1361" s="2" t="str">
        <f>IFERROR(__xludf.DUMMYFUNCTION("GOOGLETRANSLATE(A1361, ""en"", ""mt"")"),"Taħt il-Mongoli")</f>
        <v>Taħt il-Mongoli</v>
      </c>
    </row>
    <row r="1362" ht="15.75" customHeight="1">
      <c r="A1362" s="2" t="s">
        <v>1362</v>
      </c>
      <c r="B1362" s="2" t="str">
        <f>IFERROR(__xludf.DUMMYFUNCTION("GOOGLETRANSLATE(A1362, ""en"", ""mt"")"),"X'jistgħu jitkejlu l-iskali u l-bilanċi tar-rebbiegħa bejn żewġ forzi billi jużaw ekwilibriju statiku?")</f>
        <v>X'jistgħu jitkejlu l-iskali u l-bilanċi tar-rebbiegħa bejn żewġ forzi billi jużaw ekwilibriju statiku?</v>
      </c>
    </row>
    <row r="1363" ht="15.75" customHeight="1">
      <c r="A1363" s="2" t="s">
        <v>1363</v>
      </c>
      <c r="B1363" s="2" t="str">
        <f>IFERROR(__xludf.DUMMYFUNCTION("GOOGLETRANSLATE(A1363, ""en"", ""mt"")"),"Karta")</f>
        <v>Karta</v>
      </c>
    </row>
    <row r="1364" ht="15.75" customHeight="1">
      <c r="A1364" s="2" t="s">
        <v>1364</v>
      </c>
      <c r="B1364" s="2" t="str">
        <f>IFERROR(__xludf.DUMMYFUNCTION("GOOGLETRANSLATE(A1364, ""en"", ""mt"")"),"Eżempju ta 'problema ta' deċiżjoni huwa dan li ġej. L-input huwa graff arbitrarju. Il-problema tikkonsisti fid-deċiżjoni jekk il-graff mogħti huwiex konness, jew le. Il-lingwa formali assoċjata ma 'din il-problema ta' deċiżjoni hija s-sett tal-graffs koll"&amp;"ha konnessi - naturalment, biex tinkiseb definizzjoni preċiża ta 'din il-lingwa, wieħed irid jiddeċiedi kif il-graffs huma kkodifikati bħala kordi binarji.")</f>
        <v>Eżempju ta 'problema ta' deċiżjoni huwa dan li ġej. L-input huwa graff arbitrarju. Il-problema tikkonsisti fid-deċiżjoni jekk il-graff mogħti huwiex konness, jew le. Il-lingwa formali assoċjata ma 'din il-problema ta' deċiżjoni hija s-sett tal-graffs kollha konnessi - naturalment, biex tinkiseb definizzjoni preċiża ta 'din il-lingwa, wieħed irid jiddeċiedi kif il-graffs huma kkodifikati bħala kordi binarji.</v>
      </c>
    </row>
    <row r="1365" ht="15.75" customHeight="1">
      <c r="A1365" s="2" t="s">
        <v>1365</v>
      </c>
      <c r="B1365" s="2" t="str">
        <f>IFERROR(__xludf.DUMMYFUNCTION("GOOGLETRANSLATE(A1365, ""en"", ""mt"")"),"X'tagħmel il-Beroe meta ssegwi l-priża?")</f>
        <v>X'tagħmel il-Beroe meta ssegwi l-priża?</v>
      </c>
    </row>
    <row r="1366" ht="15.75" customHeight="1">
      <c r="A1366" s="2" t="s">
        <v>1366</v>
      </c>
      <c r="B1366" s="2" t="str">
        <f>IFERROR(__xludf.DUMMYFUNCTION("GOOGLETRANSLATE(A1366, ""en"", ""mt"")"),"Fort Le Boeuf")</f>
        <v>Fort Le Boeuf</v>
      </c>
    </row>
    <row r="1367" ht="15.75" customHeight="1">
      <c r="A1367" s="2" t="s">
        <v>1367</v>
      </c>
      <c r="B1367" s="2" t="str">
        <f>IFERROR(__xludf.DUMMYFUNCTION("GOOGLETRANSLATE(A1367, ""en"", ""mt"")"),"X'inhi r-regolamentazzjoni tal-kanal l-iktar baxxa tar-Rhine?")</f>
        <v>X'inhi r-regolamentazzjoni tal-kanal l-iktar baxxa tar-Rhine?</v>
      </c>
    </row>
    <row r="1368" ht="15.75" customHeight="1">
      <c r="A1368" s="2" t="s">
        <v>1368</v>
      </c>
      <c r="B1368" s="2" t="str">
        <f>IFERROR(__xludf.DUMMYFUNCTION("GOOGLETRANSLATE(A1368, ""en"", ""mt"")"),"Kif kienet imsejħa d-dinastija Yuan fil-Mongoljan?")</f>
        <v>Kif kienet imsejħa d-dinastija Yuan fil-Mongoljan?</v>
      </c>
    </row>
    <row r="1369" ht="15.75" customHeight="1">
      <c r="A1369" s="2" t="s">
        <v>1369</v>
      </c>
      <c r="B1369" s="2" t="str">
        <f>IFERROR(__xludf.DUMMYFUNCTION("GOOGLETRANSLATE(A1369, ""en"", ""mt"")"),"X'kien it-total ta 'Harvard Dotament fl-2011?")</f>
        <v>X'kien it-total ta 'Harvard Dotament fl-2011?</v>
      </c>
    </row>
    <row r="1370" ht="15.75" customHeight="1">
      <c r="A1370" s="2" t="s">
        <v>1370</v>
      </c>
      <c r="B1370" s="2" t="str">
        <f>IFERROR(__xludf.DUMMYFUNCTION("GOOGLETRANSLATE(A1370, ""en"", ""mt"")"),"Min tradotta din il-verżjoni tal-Iskrittura?")</f>
        <v>Min tradotta din il-verżjoni tal-Iskrittura?</v>
      </c>
    </row>
    <row r="1371" ht="15.75" customHeight="1">
      <c r="A1371" s="2" t="s">
        <v>1371</v>
      </c>
      <c r="B1371" s="2" t="str">
        <f>IFERROR(__xludf.DUMMYFUNCTION("GOOGLETRANSLATE(A1371, ""en"", ""mt"")"),"It-trattati japplikaw malli jidħlu fis-seħħ, sakemm ma jingħadx mod ieħor")</f>
        <v>It-trattati japplikaw malli jidħlu fis-seħħ, sakemm ma jingħadx mod ieħor</v>
      </c>
    </row>
    <row r="1372" ht="15.75" customHeight="1">
      <c r="A1372" s="2" t="s">
        <v>1372</v>
      </c>
      <c r="B1372" s="2" t="str">
        <f>IFERROR(__xludf.DUMMYFUNCTION("GOOGLETRANSLATE(A1372, ""en"", ""mt"")"),"Diviżjoni u Amministrazzjoni tat-Territorju li għadu kif ġie maħkuma")</f>
        <v>Diviżjoni u Amministrazzjoni tat-Territorju li għadu kif ġie maħkuma</v>
      </c>
    </row>
    <row r="1373" ht="15.75" customHeight="1">
      <c r="A1373" s="2" t="s">
        <v>1373</v>
      </c>
      <c r="B1373" s="2" t="str">
        <f>IFERROR(__xludf.DUMMYFUNCTION("GOOGLETRANSLATE(A1373, ""en"", ""mt"")"),"Bijomassa")</f>
        <v>Bijomassa</v>
      </c>
    </row>
    <row r="1374" ht="15.75" customHeight="1">
      <c r="A1374" s="2" t="s">
        <v>1374</v>
      </c>
      <c r="B1374" s="2" t="str">
        <f>IFERROR(__xludf.DUMMYFUNCTION("GOOGLETRANSLATE(A1374, ""en"", ""mt"")"),"Fl-1975, l-istaġun 11 tas-serje rebaħ il-Premju tal-Kittieba tal-Guild tal-Gran Brittanja għall-Aħjar Kitba fis-Serje tat-Tfal. Fl-1996, il-BBC Television organizza l- ""Auntie Awards"" bħala l-qofol tas-serje ""TV60"" tagħhom, li jiċċelebraw 60 sena ta '"&amp;"xandir tat-televiżjoni tal-BBC, fejn Doctor Who ġie vvutat bħala l- ""aqwa drama popolari"" li l-korporazzjoni kienet qatt ipproduċiet, quddiem tali Klassifikazzjonijiet tal-piżijiet tqal bħala EastEnders u diżgrazzja. Fl-2000, Doctor Who ġie kklassifikat"&amp;" fit-tielet fil-lista tal-100 Programm Televiżiv Brittaniku tas-seklu 20, prodott mill-Istitut tal-Film Brittaniku u vvotat mill-professjonisti tal-industrija. Fl-2005, is-serje daħlet l-ewwel fi stħarriġ mill-Magazine SFX ta '""L-Ikbar Science Fiction u "&amp;"Fantasy Television Series Ever"". Ukoll, fil-100 programm tat-TV tal-Greatest Kids (Channel 4 Countdown fl-2001), il-ġirja tal-1963–1989 tqiegħdet fin-numru tmienja.")</f>
        <v>Fl-1975, l-istaġun 11 tas-serje rebaħ il-Premju tal-Kittieba tal-Guild tal-Gran Brittanja għall-Aħjar Kitba fis-Serje tat-Tfal. Fl-1996, il-BBC Television organizza l- "Auntie Awards" bħala l-qofol tas-serje "TV60" tagħhom, li jiċċelebraw 60 sena ta 'xandir tat-televiżjoni tal-BBC, fejn Doctor Who ġie vvutat bħala l- "aqwa drama popolari" li l-korporazzjoni kienet qatt ipproduċiet, quddiem tali Klassifikazzjonijiet tal-piżijiet tqal bħala EastEnders u diżgrazzja. Fl-2000, Doctor Who ġie kklassifikat fit-tielet fil-lista tal-100 Programm Televiżiv Brittaniku tas-seklu 20, prodott mill-Istitut tal-Film Brittaniku u vvotat mill-professjonisti tal-industrija. Fl-2005, is-serje daħlet l-ewwel fi stħarriġ mill-Magazine SFX ta '"L-Ikbar Science Fiction u Fantasy Television Series Ever". Ukoll, fil-100 programm tat-TV tal-Greatest Kids (Channel 4 Countdown fl-2001), il-ġirja tal-1963–1989 tqiegħdet fin-numru tmienja.</v>
      </c>
    </row>
    <row r="1375" ht="15.75" customHeight="1">
      <c r="A1375" s="2" t="s">
        <v>1375</v>
      </c>
      <c r="B1375" s="2" t="str">
        <f>IFERROR(__xludf.DUMMYFUNCTION("GOOGLETRANSLATE(A1375, ""en"", ""mt"")"),"is-sistema interna tat-tilakoid")</f>
        <v>is-sistema interna tat-tilakoid</v>
      </c>
    </row>
    <row r="1376" ht="15.75" customHeight="1">
      <c r="A1376" s="2" t="s">
        <v>1376</v>
      </c>
      <c r="B1376" s="2" t="str">
        <f>IFERROR(__xludf.DUMMYFUNCTION("GOOGLETRANSLATE(A1376, ""en"", ""mt"")"),"1271")</f>
        <v>1271</v>
      </c>
    </row>
    <row r="1377" ht="15.75" customHeight="1">
      <c r="A1377" s="2" t="s">
        <v>1377</v>
      </c>
      <c r="B1377" s="2" t="str">
        <f>IFERROR(__xludf.DUMMYFUNCTION("GOOGLETRANSLATE(A1377, ""en"", ""mt"")"),"Saħħtu marret għall-agħar")</f>
        <v>Saħħtu marret għall-agħar</v>
      </c>
    </row>
    <row r="1378" ht="15.75" customHeight="1">
      <c r="A1378" s="2" t="s">
        <v>1378</v>
      </c>
      <c r="B1378" s="2" t="str">
        <f>IFERROR(__xludf.DUMMYFUNCTION("GOOGLETRANSLATE(A1378, ""en"", ""mt"")"),"bi flus minn sistemi bankarji Iżlamisti barranin")</f>
        <v>bi flus minn sistemi bankarji Iżlamisti barranin</v>
      </c>
    </row>
    <row r="1379" ht="15.75" customHeight="1">
      <c r="A1379" s="2" t="s">
        <v>1379</v>
      </c>
      <c r="B1379" s="2" t="str">
        <f>IFERROR(__xludf.DUMMYFUNCTION("GOOGLETRANSLATE(A1379, ""en"", ""mt"")"),"Kif wieħed joħloq imperu permezz tal-imperjalizmu?")</f>
        <v>Kif wieħed joħloq imperu permezz tal-imperjalizmu?</v>
      </c>
    </row>
    <row r="1380" ht="15.75" customHeight="1">
      <c r="A1380" s="2" t="s">
        <v>1380</v>
      </c>
      <c r="B1380" s="2" t="str">
        <f>IFERROR(__xludf.DUMMYFUNCTION("GOOGLETRANSLATE(A1380, ""en"", ""mt"")"),"34%")</f>
        <v>34%</v>
      </c>
    </row>
    <row r="1381" ht="15.75" customHeight="1">
      <c r="A1381" s="2" t="s">
        <v>1381</v>
      </c>
      <c r="B1381" s="2" t="str">
        <f>IFERROR(__xludf.DUMMYFUNCTION("GOOGLETRANSLATE(A1381, ""en"", ""mt"")"),"In-Nofsinhar ta ’California kellha popolazzjoni ta’ 22,680,010 skont iċ-ċensiment minn liema sena?")</f>
        <v>In-Nofsinhar ta ’California kellha popolazzjoni ta’ 22,680,010 skont iċ-ċensiment minn liema sena?</v>
      </c>
    </row>
    <row r="1382" ht="15.75" customHeight="1">
      <c r="A1382" s="2" t="s">
        <v>1382</v>
      </c>
      <c r="B1382" s="2" t="str">
        <f>IFERROR(__xludf.DUMMYFUNCTION("GOOGLETRANSLATE(A1382, ""en"", ""mt"")"),"Richard (Dick) Geary")</f>
        <v>Richard (Dick) Geary</v>
      </c>
    </row>
    <row r="1383" ht="15.75" customHeight="1">
      <c r="A1383" s="2" t="s">
        <v>1383</v>
      </c>
      <c r="B1383" s="2" t="str">
        <f>IFERROR(__xludf.DUMMYFUNCTION("GOOGLETRANSLATE(A1383, ""en"", ""mt"")"),"Għaliex in-nies għażlu d-diżubbidjenza ċivili biex jipprotestaw?")</f>
        <v>Għaliex in-nies għażlu d-diżubbidjenza ċivili biex jipprotestaw?</v>
      </c>
    </row>
    <row r="1384" ht="15.75" customHeight="1">
      <c r="A1384" s="2" t="s">
        <v>1384</v>
      </c>
      <c r="B1384" s="2" t="str">
        <f>IFERROR(__xludf.DUMMYFUNCTION("GOOGLETRANSLATE(A1384, ""en"", ""mt"")"),"British Gas Plc")</f>
        <v>British Gas Plc</v>
      </c>
    </row>
    <row r="1385" ht="15.75" customHeight="1">
      <c r="A1385" s="2" t="s">
        <v>1385</v>
      </c>
      <c r="B1385" s="2" t="str">
        <f>IFERROR(__xludf.DUMMYFUNCTION("GOOGLETRANSLATE(A1385, ""en"", ""mt"")"),"Legalizza l-importazzjoni ta 'mediċini mill-Kanada u pajjiżi oħra")</f>
        <v>Legalizza l-importazzjoni ta 'mediċini mill-Kanada u pajjiżi oħra</v>
      </c>
    </row>
    <row r="1386" ht="15.75" customHeight="1">
      <c r="A1386" s="2" t="s">
        <v>1386</v>
      </c>
      <c r="B1386" s="2" t="str">
        <f>IFERROR(__xludf.DUMMYFUNCTION("GOOGLETRANSLATE(A1386, ""en"", ""mt"")"),"Robert Koch u Emil von Behring,")</f>
        <v>Robert Koch u Emil von Behring,</v>
      </c>
    </row>
    <row r="1387" ht="15.75" customHeight="1">
      <c r="A1387" s="2" t="s">
        <v>1387</v>
      </c>
      <c r="B1387" s="2" t="str">
        <f>IFERROR(__xludf.DUMMYFUNCTION("GOOGLETRANSLATE(A1387, ""en"", ""mt"")"),"Fejn l-ilma kiesaħ jitħallat mal-Lag Constance?")</f>
        <v>Fejn l-ilma kiesaħ jitħallat mal-Lag Constance?</v>
      </c>
    </row>
    <row r="1388" ht="15.75" customHeight="1">
      <c r="A1388" s="2" t="s">
        <v>1388</v>
      </c>
      <c r="B1388" s="2" t="str">
        <f>IFERROR(__xludf.DUMMYFUNCTION("GOOGLETRANSLATE(A1388, ""en"", ""mt"")"),"X'inhu terminu għall-iskejjel li jirċievu għajnuna mill-gvern?")</f>
        <v>X'inhu terminu għall-iskejjel li jirċievu għajnuna mill-gvern?</v>
      </c>
    </row>
    <row r="1389" ht="15.75" customHeight="1">
      <c r="A1389" s="2" t="s">
        <v>1389</v>
      </c>
      <c r="B1389" s="2" t="str">
        <f>IFERROR(__xludf.DUMMYFUNCTION("GOOGLETRANSLATE(A1389, ""en"", ""mt"")"),"Fejn kienet id-dar temporanja tal-Parlament waqt li kien qed jinbena l-bini permanenti?")</f>
        <v>Fejn kienet id-dar temporanja tal-Parlament waqt li kien qed jinbena l-bini permanenti?</v>
      </c>
    </row>
    <row r="1390" ht="15.75" customHeight="1">
      <c r="A1390" s="2" t="s">
        <v>1390</v>
      </c>
      <c r="B1390" s="2" t="str">
        <f>IFERROR(__xludf.DUMMYFUNCTION("GOOGLETRANSLATE(A1390, ""en"", ""mt"")"),"Edsen Khoroo")</f>
        <v>Edsen Khoroo</v>
      </c>
    </row>
    <row r="1391" ht="15.75" customHeight="1">
      <c r="A1391" s="2" t="s">
        <v>1391</v>
      </c>
      <c r="B1391" s="2" t="str">
        <f>IFERROR(__xludf.DUMMYFUNCTION("GOOGLETRANSLATE(A1391, ""en"", ""mt"")"),"plaċebo")</f>
        <v>plaċebo</v>
      </c>
    </row>
    <row r="1392" ht="15.75" customHeight="1">
      <c r="A1392" s="2" t="s">
        <v>1392</v>
      </c>
      <c r="B1392" s="2" t="str">
        <f>IFERROR(__xludf.DUMMYFUNCTION("GOOGLETRANSLATE(A1392, ""en"", ""mt"")"),"Sinclair")</f>
        <v>Sinclair</v>
      </c>
    </row>
    <row r="1393" ht="15.75" customHeight="1">
      <c r="A1393" s="2" t="s">
        <v>1393</v>
      </c>
      <c r="B1393" s="2" t="str">
        <f>IFERROR(__xludf.DUMMYFUNCTION("GOOGLETRANSLATE(A1393, ""en"", ""mt"")"),"Liema data Tesla bdiet l-esperimenti tiegħu ta 'Colorado Springs?")</f>
        <v>Liema data Tesla bdiet l-esperimenti tiegħu ta 'Colorado Springs?</v>
      </c>
    </row>
    <row r="1394" ht="15.75" customHeight="1">
      <c r="A1394" s="2" t="s">
        <v>1394</v>
      </c>
      <c r="B1394" s="2" t="str">
        <f>IFERROR(__xludf.DUMMYFUNCTION("GOOGLETRANSLATE(A1394, ""en"", ""mt"")"),"X'tip ta 'magna tal-fwar tipproduċi ħafna mill-elettriku fid-dinja llum?")</f>
        <v>X'tip ta 'magna tal-fwar tipproduċi ħafna mill-elettriku fid-dinja llum?</v>
      </c>
    </row>
    <row r="1395" ht="15.75" customHeight="1">
      <c r="A1395" s="2" t="s">
        <v>1395</v>
      </c>
      <c r="B1395" s="2" t="str">
        <f>IFERROR(__xludf.DUMMYFUNCTION("GOOGLETRANSLATE(A1395, ""en"", ""mt"")"),"UHF Tuning")</f>
        <v>UHF Tuning</v>
      </c>
    </row>
    <row r="1396" ht="15.75" customHeight="1">
      <c r="A1396" s="2" t="s">
        <v>1396</v>
      </c>
      <c r="B1396" s="2" t="str">
        <f>IFERROR(__xludf.DUMMYFUNCTION("GOOGLETRANSLATE(A1396, ""en"", ""mt"")"),"""Magna li ttemm il-gwerra""")</f>
        <v>"Magna li ttemm il-gwerra"</v>
      </c>
    </row>
    <row r="1397" ht="15.75" customHeight="1">
      <c r="A1397" s="2" t="s">
        <v>1397</v>
      </c>
      <c r="B1397" s="2" t="str">
        <f>IFERROR(__xludf.DUMMYFUNCTION("GOOGLETRANSLATE(A1397, ""en"", ""mt"")"),"Fejn iffirmaw in-Normanni u l-Biżantini t-Trattat ta 'Paċi?")</f>
        <v>Fejn iffirmaw in-Normanni u l-Biżantini t-Trattat ta 'Paċi?</v>
      </c>
    </row>
    <row r="1398" ht="15.75" customHeight="1">
      <c r="A1398" s="2" t="s">
        <v>1398</v>
      </c>
      <c r="B1398" s="2" t="str">
        <f>IFERROR(__xludf.DUMMYFUNCTION("GOOGLETRANSLATE(A1398, ""en"", ""mt"")"),"Lowry diġitali f")</f>
        <v>Lowry diġitali f</v>
      </c>
    </row>
    <row r="1399" ht="15.75" customHeight="1">
      <c r="A1399" s="2" t="s">
        <v>1399</v>
      </c>
      <c r="B1399" s="2" t="str">
        <f>IFERROR(__xludf.DUMMYFUNCTION("GOOGLETRANSLATE(A1399, ""en"", ""mt"")"),"Proprjeturi ta 'negozji żgħar")</f>
        <v>Proprjeturi ta 'negozji żgħar</v>
      </c>
    </row>
    <row r="1400" ht="15.75" customHeight="1">
      <c r="A1400" s="2" t="s">
        <v>1400</v>
      </c>
      <c r="B1400" s="2" t="str">
        <f>IFERROR(__xludf.DUMMYFUNCTION("GOOGLETRANSLATE(A1400, ""en"", ""mt"")"),"Lvant")</f>
        <v>Lvant</v>
      </c>
    </row>
    <row r="1401" ht="15.75" customHeight="1">
      <c r="A1401" s="2" t="s">
        <v>1401</v>
      </c>
      <c r="B1401" s="2" t="str">
        <f>IFERROR(__xludf.DUMMYFUNCTION("GOOGLETRANSLATE(A1401, ""en"", ""mt"")"),"Yersinia pestis")</f>
        <v>Yersinia pestis</v>
      </c>
    </row>
    <row r="1402" ht="15.75" customHeight="1">
      <c r="A1402" s="2" t="s">
        <v>1402</v>
      </c>
      <c r="B1402" s="2" t="str">
        <f>IFERROR(__xludf.DUMMYFUNCTION("GOOGLETRANSLATE(A1402, ""en"", ""mt"")"),"It-tnaqqis essenzjalment jieħu problema waħda u jikkonverti f'liema?")</f>
        <v>It-tnaqqis essenzjalment jieħu problema waħda u jikkonverti f'liema?</v>
      </c>
    </row>
    <row r="1403" ht="15.75" customHeight="1">
      <c r="A1403" s="2" t="s">
        <v>1403</v>
      </c>
      <c r="B1403" s="2" t="str">
        <f>IFERROR(__xludf.DUMMYFUNCTION("GOOGLETRANSLATE(A1403, ""en"", ""mt"")"),"Kemm għandu rappreżentanti kull elettorat?")</f>
        <v>Kemm għandu rappreżentanti kull elettorat?</v>
      </c>
    </row>
    <row r="1404" ht="15.75" customHeight="1">
      <c r="A1404" s="2" t="s">
        <v>1404</v>
      </c>
      <c r="B1404" s="2" t="str">
        <f>IFERROR(__xludf.DUMMYFUNCTION("GOOGLETRANSLATE(A1404, ""en"", ""mt"")"),"Il-mexxejja ta 'Bolshevik kienu stabbilixxew b'mod effettiv il-politika bejn wieħed u ieħor bl-istess punt bħal dak l-imperu sal-1921, madankollu b'ideoloġija internazzjonalista: Lenin b'mod partikolari afferma d-dritt għal awtodeterminazzjoni limitata għ"&amp;"al minoranzi nazzjonali fit-territorju l-ġdid. Mill-1923, il-politika ta '""indiġenizzazzjoni"" [Korenizatsiia] kienet maħsuba biex tappoġġja dawk li mhumiex Russi jiżviluppaw il-kulturi nazzjonali tagħhom fi ħdan qafas soċjalista. Qatt ma ġie revokat for"&amp;"malment, huwa waqaf jiġi implimentat wara l-1932. Wara t-Tieni Gwerra Dinjija, l-Unjoni Sovjetika installat reġimi soċjalisti mfassla fuq dawk li kienet installat fl-1919-20 fl-imperu tsarist il-qadim f'żoni l-forzi tagħha okkupati fl-Ewropa tal-Lvant. L-"&amp;"Unjoni Sovjetika u r-Repubblika tal-Poplu taċ-Ċina appoġġjaw il-movimenti komunisti ta 'wara t-Tieni Gwerra Dinjija f'pajjiżi barranin u kolonji biex javvanzaw l-interessi tagħhom stess, iżda mhux dejjem kellhom suċċess.")</f>
        <v>Il-mexxejja ta 'Bolshevik kienu stabbilixxew b'mod effettiv il-politika bejn wieħed u ieħor bl-istess punt bħal dak l-imperu sal-1921, madankollu b'ideoloġija internazzjonalista: Lenin b'mod partikolari afferma d-dritt għal awtodeterminazzjoni limitata għal minoranzi nazzjonali fit-territorju l-ġdid. Mill-1923, il-politika ta '"indiġenizzazzjoni" [Korenizatsiia] kienet maħsuba biex tappoġġja dawk li mhumiex Russi jiżviluppaw il-kulturi nazzjonali tagħhom fi ħdan qafas soċjalista. Qatt ma ġie revokat formalment, huwa waqaf jiġi implimentat wara l-1932. Wara t-Tieni Gwerra Dinjija, l-Unjoni Sovjetika installat reġimi soċjalisti mfassla fuq dawk li kienet installat fl-1919-20 fl-imperu tsarist il-qadim f'żoni l-forzi tagħha okkupati fl-Ewropa tal-Lvant. L-Unjoni Sovjetika u r-Repubblika tal-Poplu taċ-Ċina appoġġjaw il-movimenti komunisti ta 'wara t-Tieni Gwerra Dinjija f'pajjiżi barranin u kolonji biex javvanzaw l-interessi tagħhom stess, iżda mhux dejjem kellhom suċċess.</v>
      </c>
    </row>
    <row r="1405" ht="15.75" customHeight="1">
      <c r="A1405" s="2" t="s">
        <v>1405</v>
      </c>
      <c r="B1405" s="2" t="str">
        <f>IFERROR(__xludf.DUMMYFUNCTION("GOOGLETRANSLATE(A1405, ""en"", ""mt"")"),"X'inhu l-isem taż-żona li l-kampus ewlieni huwa ċċentrat f'Cambridge?")</f>
        <v>X'inhu l-isem taż-żona li l-kampus ewlieni huwa ċċentrat f'Cambridge?</v>
      </c>
    </row>
    <row r="1406" ht="15.75" customHeight="1">
      <c r="A1406" s="2" t="s">
        <v>1406</v>
      </c>
      <c r="B1406" s="2" t="str">
        <f>IFERROR(__xludf.DUMMYFUNCTION("GOOGLETRANSLATE(A1406, ""en"", ""mt"")"),"Chivas USA")</f>
        <v>Chivas USA</v>
      </c>
    </row>
    <row r="1407" ht="15.75" customHeight="1">
      <c r="A1407" s="2" t="s">
        <v>1407</v>
      </c>
      <c r="B1407" s="2" t="str">
        <f>IFERROR(__xludf.DUMMYFUNCTION("GOOGLETRANSLATE(A1407, ""en"", ""mt"")"),"Harvard hija università kbira u residenzjali ħafna. L-ispiża nominali ta 'attendenza hija għolja, iżda d-dotazzjoni kbira tal-università tippermettilha toffri pakketti ta' għajnuna finanzjarja ġenerużi. Jopera diversi mużewijiet tal-arti, kulturali u xjen"&amp;"tifiċi, flimkien mal-Librerija Harvard, li hija l-ikbar sistema akkademika u privata tad-dinja, li tinkludi 79 libreriji individwali b'aktar minn 18-il miljun volum. L-alumni ta 'Harvard jinkludu tmien presidenti ta' l-Istati Uniti, diversi kapijiet ta 's"&amp;"tat barranin, 62 biljunarji ħajjin, 335 Scholars Rhodes, u 242 Scholars Marshall. Sal-lum, madwar 150 Laureates Nobel, 18-il medalista tal-qasam u 13-il rebbieħa tal-Premju Turing ġew affiljati bħala studenti, fakultà, jew persunal.")</f>
        <v>Harvard hija università kbira u residenzjali ħafna. L-ispiża nominali ta 'attendenza hija għolja, iżda d-dotazzjoni kbira tal-università tippermettilha toffri pakketti ta' għajnuna finanzjarja ġenerużi. Jopera diversi mużewijiet tal-arti, kulturali u xjentifiċi, flimkien mal-Librerija Harvard, li hija l-ikbar sistema akkademika u privata tad-dinja, li tinkludi 79 libreriji individwali b'aktar minn 18-il miljun volum. L-alumni ta 'Harvard jinkludu tmien presidenti ta' l-Istati Uniti, diversi kapijiet ta 'stat barranin, 62 biljunarji ħajjin, 335 Scholars Rhodes, u 242 Scholars Marshall. Sal-lum, madwar 150 Laureates Nobel, 18-il medalista tal-qasam u 13-il rebbieħa tal-Premju Turing ġew affiljati bħala studenti, fakultà, jew persunal.</v>
      </c>
    </row>
    <row r="1408" ht="15.75" customHeight="1">
      <c r="A1408" s="2" t="s">
        <v>1408</v>
      </c>
      <c r="B1408" s="2" t="str">
        <f>IFERROR(__xludf.DUMMYFUNCTION("GOOGLETRANSLATE(A1408, ""en"", ""mt"")"),"Meta jista 'V &amp; A Dundee?")</f>
        <v>Meta jista 'V &amp; A Dundee?</v>
      </c>
    </row>
    <row r="1409" ht="15.75" customHeight="1">
      <c r="A1409" s="2" t="s">
        <v>1409</v>
      </c>
      <c r="B1409" s="2" t="str">
        <f>IFERROR(__xludf.DUMMYFUNCTION("GOOGLETRANSLATE(A1409, ""en"", ""mt"")"),"1872")</f>
        <v>1872</v>
      </c>
    </row>
    <row r="1410" ht="15.75" customHeight="1">
      <c r="A1410" s="2" t="s">
        <v>1410</v>
      </c>
      <c r="B1410" s="2" t="str">
        <f>IFERROR(__xludf.DUMMYFUNCTION("GOOGLETRANSLATE(A1410, ""en"", ""mt"")"),"Battlestar Galactica u Mara Bionic")</f>
        <v>Battlestar Galactica u Mara Bionic</v>
      </c>
    </row>
    <row r="1411" ht="15.75" customHeight="1">
      <c r="A1411" s="2" t="s">
        <v>1411</v>
      </c>
      <c r="B1411" s="2" t="str">
        <f>IFERROR(__xludf.DUMMYFUNCTION("GOOGLETRANSLATE(A1411, ""en"", ""mt"")"),"Matul is-seklu 18, l-ideat tal-kjarifika tal-poter tar-raġuni u r-rieda ħielsa saru mifruxa fost il-ministri kongregazzjonalisti, li jpoġġu lil dawk il-ministri u l-kongregazzjonijiet tagħhom f'tensjoni ma 'aktar tradizzjonalisti, partiti kalvinisti. 1803"&amp;" u l-president ta 'Harvard Joseph Willard mietu sena wara, fl-1804, faqqgħet ġlieda fuq is-sostituzzjonijiet tagħhom. Henry Ware ġie elett fuq is-siġġu fl-1805, u l-Liberali Samuel Webber inħatar għall-Presidenza ta ’Harvard sentejn wara, li ta sinjal li "&amp;"t-tibdil tal-marea mid-dominanza ta’ ideat tradizzjonali f’Harvard għad-dominanza ta ’ideat liberali u Arminjani ( definiti mit-tradizzjonalisti bħala ideat unitarji).: 4–5: 24")</f>
        <v>Matul is-seklu 18, l-ideat tal-kjarifika tal-poter tar-raġuni u r-rieda ħielsa saru mifruxa fost il-ministri kongregazzjonalisti, li jpoġġu lil dawk il-ministri u l-kongregazzjonijiet tagħhom f'tensjoni ma 'aktar tradizzjonalisti, partiti kalvinisti. 1803 u l-president ta 'Harvard Joseph Willard mietu sena wara, fl-1804, faqqgħet ġlieda fuq is-sostituzzjonijiet tagħhom. Henry Ware ġie elett fuq is-siġġu fl-1805, u l-Liberali Samuel Webber inħatar għall-Presidenza ta ’Harvard sentejn wara, li ta sinjal li t-tibdil tal-marea mid-dominanza ta’ ideat tradizzjonali f’Harvard għad-dominanza ta ’ideat liberali u Arminjani ( definiti mit-tradizzjonalisti bħala ideat unitarji).: 4–5: 24</v>
      </c>
    </row>
    <row r="1412" ht="15.75" customHeight="1">
      <c r="A1412" s="2" t="s">
        <v>1412</v>
      </c>
      <c r="B1412" s="2" t="str">
        <f>IFERROR(__xludf.DUMMYFUNCTION("GOOGLETRANSLATE(A1412, ""en"", ""mt"")"),"Il-Griegi tal-qedem")</f>
        <v>Il-Griegi tal-qedem</v>
      </c>
    </row>
    <row r="1413" ht="15.75" customHeight="1">
      <c r="A1413" s="2" t="s">
        <v>1413</v>
      </c>
      <c r="B1413" s="2" t="str">
        <f>IFERROR(__xludf.DUMMYFUNCTION("GOOGLETRANSLATE(A1413, ""en"", ""mt"")"),"Kemm kienet paġni tad-dikjarazzjoni tar-rapport Kalven?")</f>
        <v>Kemm kienet paġni tad-dikjarazzjoni tar-rapport Kalven?</v>
      </c>
    </row>
    <row r="1414" ht="15.75" customHeight="1">
      <c r="A1414" s="2" t="s">
        <v>1414</v>
      </c>
      <c r="B1414" s="2" t="str">
        <f>IFERROR(__xludf.DUMMYFUNCTION("GOOGLETRANSLATE(A1414, ""en"", ""mt"")"),"Ħafna antibijotiċi jimmiraw batterji u ma jaffettwawx liema klassi ta 'organiżmi?")</f>
        <v>Ħafna antibijotiċi jimmiraw batterji u ma jaffettwawx liema klassi ta 'organiżmi?</v>
      </c>
    </row>
    <row r="1415" ht="15.75" customHeight="1">
      <c r="A1415" s="2" t="s">
        <v>1415</v>
      </c>
      <c r="B1415" s="2" t="str">
        <f>IFERROR(__xludf.DUMMYFUNCTION("GOOGLETRANSLATE(A1415, ""en"", ""mt"")"),"Min skopra li manjetiku u elettriku jista 'jiġġenera waħdu?")</f>
        <v>Min skopra li manjetiku u elettriku jista 'jiġġenera waħdu?</v>
      </c>
    </row>
    <row r="1416" ht="15.75" customHeight="1">
      <c r="A1416" s="2" t="s">
        <v>1416</v>
      </c>
      <c r="B1416" s="2" t="str">
        <f>IFERROR(__xludf.DUMMYFUNCTION("GOOGLETRANSLATE(A1416, ""en"", ""mt"")"),"1840")</f>
        <v>1840</v>
      </c>
    </row>
    <row r="1417" ht="15.75" customHeight="1">
      <c r="A1417" s="2" t="s">
        <v>1417</v>
      </c>
      <c r="B1417" s="2" t="str">
        <f>IFERROR(__xludf.DUMMYFUNCTION("GOOGLETRANSLATE(A1417, ""en"", ""mt"")"),"Min xeħet id-deheb fir-Renu, skond il-leġġenda?")</f>
        <v>Min xeħet id-deheb fir-Renu, skond il-leġġenda?</v>
      </c>
    </row>
    <row r="1418" ht="15.75" customHeight="1">
      <c r="A1418" s="2" t="s">
        <v>1418</v>
      </c>
      <c r="B1418" s="2" t="str">
        <f>IFERROR(__xludf.DUMMYFUNCTION("GOOGLETRANSLATE(A1418, ""en"", ""mt"")"),"simultanju")</f>
        <v>simultanju</v>
      </c>
    </row>
    <row r="1419" ht="15.75" customHeight="1">
      <c r="A1419" s="2" t="s">
        <v>1419</v>
      </c>
      <c r="B1419" s="2" t="str">
        <f>IFERROR(__xludf.DUMMYFUNCTION("GOOGLETRANSLATE(A1419, ""en"", ""mt"")"),"B'mod partikolari, din in-norma ssir iżgħar meta numru jiġi mmultiplikat b'P, f'kuntrast qawwi mal-valur assolut tas-soltu (imsejjaħ ukoll bħala l-prim infinit). Waqt li tlesti Q (bejn wieħed u ieħor, il-mili tal-lakuni) fir-rigward tal-valur assolut jagħ"&amp;"ti l-qasam tan-numri reali, it-tlestija fir-rigward tan-norma P-ADIC | - | P twassal il-qasam tan-numri P-ADIC. Dawn huma essenzjalment il-modi kollha possibbli biex tlesti Q, mit-teorema ta 'Ostrowski. Ċerti mistoqsijiet aritmetiċi relatati ma 'Q jew akt"&amp;"ar oqsma globali ġenerali jistgħu jiġu trasferiti' l quddiem u lura lejn l-oqsma kompluti (jew lokali). Dan il-prinċipju lokali-globali jerġa 'jissottolinja l-importanza tal-primes għat-teorija tan-numri.")</f>
        <v>B'mod partikolari, din in-norma ssir iżgħar meta numru jiġi mmultiplikat b'P, f'kuntrast qawwi mal-valur assolut tas-soltu (imsejjaħ ukoll bħala l-prim infinit). Waqt li tlesti Q (bejn wieħed u ieħor, il-mili tal-lakuni) fir-rigward tal-valur assolut jagħti l-qasam tan-numri reali, it-tlestija fir-rigward tan-norma P-ADIC | - | P twassal il-qasam tan-numri P-ADIC. Dawn huma essenzjalment il-modi kollha possibbli biex tlesti Q, mit-teorema ta 'Ostrowski. Ċerti mistoqsijiet aritmetiċi relatati ma 'Q jew aktar oqsma globali ġenerali jistgħu jiġu trasferiti' l quddiem u lura lejn l-oqsma kompluti (jew lokali). Dan il-prinċipju lokali-globali jerġa 'jissottolinja l-importanza tal-primes għat-teorija tan-numri.</v>
      </c>
    </row>
    <row r="1420" ht="15.75" customHeight="1">
      <c r="A1420" s="2" t="s">
        <v>1420</v>
      </c>
      <c r="B1420" s="2" t="str">
        <f>IFERROR(__xludf.DUMMYFUNCTION("GOOGLETRANSLATE(A1420, ""en"", ""mt"")"),"talli ma jkollokx permess ta 'residenza.")</f>
        <v>talli ma jkollokx permess ta 'residenza.</v>
      </c>
    </row>
    <row r="1421" ht="15.75" customHeight="1">
      <c r="A1421" s="2" t="s">
        <v>1421</v>
      </c>
      <c r="B1421" s="2" t="str">
        <f>IFERROR(__xludf.DUMMYFUNCTION("GOOGLETRANSLATE(A1421, ""en"", ""mt"")"),"Aktar minn 14,000 ilbies")</f>
        <v>Aktar minn 14,000 ilbies</v>
      </c>
    </row>
    <row r="1422" ht="15.75" customHeight="1">
      <c r="A1422" s="2" t="s">
        <v>1422</v>
      </c>
      <c r="B1422" s="2" t="str">
        <f>IFERROR(__xludf.DUMMYFUNCTION("GOOGLETRANSLATE(A1422, ""en"", ""mt"")"),"Lil min lagħab Peyton Manning bħala Rookie?")</f>
        <v>Lil min lagħab Peyton Manning bħala Rookie?</v>
      </c>
    </row>
    <row r="1423" ht="15.75" customHeight="1">
      <c r="A1423" s="2" t="s">
        <v>1423</v>
      </c>
      <c r="B1423" s="2" t="str">
        <f>IFERROR(__xludf.DUMMYFUNCTION("GOOGLETRANSLATE(A1423, ""en"", ""mt"")"),"Magna tat-Turing")</f>
        <v>Magna tat-Turing</v>
      </c>
    </row>
    <row r="1424" ht="15.75" customHeight="1">
      <c r="A1424" s="2" t="s">
        <v>1424</v>
      </c>
      <c r="B1424" s="2" t="str">
        <f>IFERROR(__xludf.DUMMYFUNCTION("GOOGLETRANSLATE(A1424, ""en"", ""mt"")"),"siġill")</f>
        <v>siġill</v>
      </c>
    </row>
    <row r="1425" ht="15.75" customHeight="1">
      <c r="A1425" s="2" t="s">
        <v>1425</v>
      </c>
      <c r="B1425" s="2" t="str">
        <f>IFERROR(__xludf.DUMMYFUNCTION("GOOGLETRANSLATE(A1425, ""en"", ""mt"")"),"Liema funzjoni twettaq l-ożonu għall-pjaneta?")</f>
        <v>Liema funzjoni twettaq l-ożonu għall-pjaneta?</v>
      </c>
    </row>
    <row r="1426" ht="15.75" customHeight="1">
      <c r="A1426" s="2" t="s">
        <v>1426</v>
      </c>
      <c r="B1426" s="2" t="str">
        <f>IFERROR(__xludf.DUMMYFUNCTION("GOOGLETRANSLATE(A1426, ""en"", ""mt"")"),"ABC ħoloq liema kumpanija bħala kumpanija tal-produzzjoni bi tweġiba għar-regoli tas-syn Fin?")</f>
        <v>ABC ħoloq liema kumpanija bħala kumpanija tal-produzzjoni bi tweġiba għar-regoli tas-syn Fin?</v>
      </c>
    </row>
    <row r="1427" ht="15.75" customHeight="1">
      <c r="A1427" s="2" t="s">
        <v>1427</v>
      </c>
      <c r="B1427" s="2" t="str">
        <f>IFERROR(__xludf.DUMMYFUNCTION("GOOGLETRANSLATE(A1427, ""en"", ""mt"")"),"Iż-żona trasversali rilevanti għall-volum li għalih qed jiġi kkalkulat it-tensjoni tal-istress")</f>
        <v>Iż-żona trasversali rilevanti għall-volum li għalih qed jiġi kkalkulat it-tensjoni tal-istress</v>
      </c>
    </row>
    <row r="1428" ht="15.75" customHeight="1">
      <c r="A1428" s="2" t="s">
        <v>1428</v>
      </c>
      <c r="B1428" s="2" t="str">
        <f>IFERROR(__xludf.DUMMYFUNCTION("GOOGLETRANSLATE(A1428, ""en"", ""mt"")"),"Mill-aħħar tas-snin 1950, ix-xjentist Amerikan tal-kompjuter Paul Baran żviluppa l-kunċett distribwit blokka ta 'messaġġi adattivi li qalbu bl-għan li jipprovdi metodu ta' rotta tolleranti għall-ħsarat għal messaġġi tat-telekomunikazzjoni bħala parti minn"&amp;" programm ta 'riċerka fil-Korporazzjoni RAND, iffinanzjat mill-Istati Uniti Dipartiment tad-Difiża. Dan il-kunċett jikkuntrasta u jikkontradixxi l-prinċipji stabbiliti minn qabel ta 'allokazzjoni minn qabel ta' bandwidth tan-netwerk, imsaħħaħ fil-biċċa l-"&amp;"kbira mill-iżvilupp ta 'telekomunikazzjonijiet fis-sistema tal-qanpiena. Il-kunċett il-ġdid sab ftit reżonanza fost l-implimentaturi tan-netwerk sakemm ix-xogħol indipendenti ta 'Donald Davies fil-Laboratorju Fiżiku Nazzjonali (ir-Renju Unit) (NPL) fl-aħħ"&amp;"ar tas-snin 1960. Davies huwa kkreditat li jgħaqqad il-bdil tal-pakketti tal-isem modern u jispira bosta netwerks ta ’bidla fil-pakketti fl-Ewropa fid-deċennju li ġej, inkluż l-inkorporazzjoni tal-kunċett fil-bidu ta’ Arpanet fl-Istati Uniti.")</f>
        <v>Mill-aħħar tas-snin 1950, ix-xjentist Amerikan tal-kompjuter Paul Baran żviluppa l-kunċett distribwit blokka ta 'messaġġi adattivi li qalbu bl-għan li jipprovdi metodu ta' rotta tolleranti għall-ħsarat għal messaġġi tat-telekomunikazzjoni bħala parti minn programm ta 'riċerka fil-Korporazzjoni RAND, iffinanzjat mill-Istati Uniti Dipartiment tad-Difiża. Dan il-kunċett jikkuntrasta u jikkontradixxi l-prinċipji stabbiliti minn qabel ta 'allokazzjoni minn qabel ta' bandwidth tan-netwerk, imsaħħaħ fil-biċċa l-kbira mill-iżvilupp ta 'telekomunikazzjonijiet fis-sistema tal-qanpiena. Il-kunċett il-ġdid sab ftit reżonanza fost l-implimentaturi tan-netwerk sakemm ix-xogħol indipendenti ta 'Donald Davies fil-Laboratorju Fiżiku Nazzjonali (ir-Renju Unit) (NPL) fl-aħħar tas-snin 1960. Davies huwa kkreditat li jgħaqqad il-bdil tal-pakketti tal-isem modern u jispira bosta netwerks ta ’bidla fil-pakketti fl-Ewropa fid-deċennju li ġej, inkluż l-inkorporazzjoni tal-kunċett fil-bidu ta’ Arpanet fl-Istati Uniti.</v>
      </c>
    </row>
    <row r="1429" ht="15.75" customHeight="1">
      <c r="A1429" s="2" t="s">
        <v>1429</v>
      </c>
      <c r="B1429" s="2" t="str">
        <f>IFERROR(__xludf.DUMMYFUNCTION("GOOGLETRANSLATE(A1429, ""en"", ""mt"")"),"Kemm minn dawk li wieġbu l-istħarriġ ikkunsidraw tabib li mhux tajjeb ħafna għall-wiri tal-familja?")</f>
        <v>Kemm minn dawk li wieġbu l-istħarriġ ikkunsidraw tabib li mhux tajjeb ħafna għall-wiri tal-familja?</v>
      </c>
    </row>
    <row r="1430" ht="15.75" customHeight="1">
      <c r="A1430" s="2" t="s">
        <v>1430</v>
      </c>
      <c r="B1430" s="2" t="str">
        <f>IFERROR(__xludf.DUMMYFUNCTION("GOOGLETRANSLATE(A1430, ""en"", ""mt"")"),"Kemm truppi ġew megħluba għall-Ingliżi fil-Battalja ta ’Carillon?")</f>
        <v>Kemm truppi ġew megħluba għall-Ingliżi fil-Battalja ta ’Carillon?</v>
      </c>
    </row>
    <row r="1431" ht="15.75" customHeight="1">
      <c r="A1431" s="2" t="s">
        <v>1431</v>
      </c>
      <c r="B1431" s="2" t="str">
        <f>IFERROR(__xludf.DUMMYFUNCTION("GOOGLETRANSLATE(A1431, ""en"", ""mt"")"),"radar")</f>
        <v>radar</v>
      </c>
    </row>
    <row r="1432" ht="15.75" customHeight="1">
      <c r="A1432" s="2" t="s">
        <v>1432</v>
      </c>
      <c r="B1432" s="2" t="str">
        <f>IFERROR(__xludf.DUMMYFUNCTION("GOOGLETRANSLATE(A1432, ""en"", ""mt"")"),"sens globali")</f>
        <v>sens globali</v>
      </c>
    </row>
    <row r="1433" ht="15.75" customHeight="1">
      <c r="A1433" s="2" t="s">
        <v>1433</v>
      </c>
      <c r="B1433" s="2" t="str">
        <f>IFERROR(__xludf.DUMMYFUNCTION("GOOGLETRANSLATE(A1433, ""en"", ""mt"")"),"X'jagħmel livelli għoljin ta 'inugwaljanza għat-tkabbir f'pajjiżi foqra?")</f>
        <v>X'jagħmel livelli għoljin ta 'inugwaljanza għat-tkabbir f'pajjiżi foqra?</v>
      </c>
    </row>
    <row r="1434" ht="15.75" customHeight="1">
      <c r="A1434" s="2" t="s">
        <v>1434</v>
      </c>
      <c r="B1434" s="2" t="str">
        <f>IFERROR(__xludf.DUMMYFUNCTION("GOOGLETRANSLATE(A1434, ""en"", ""mt"")"),"Flimkien mal-Kanada u r-Renju Unit, liema pajjiż ġeneralment ma jirreferix għall-universitajiet bħala skejjel privati?")</f>
        <v>Flimkien mal-Kanada u r-Renju Unit, liema pajjiż ġeneralment ma jirreferix għall-universitajiet bħala skejjel privati?</v>
      </c>
    </row>
    <row r="1435" ht="15.75" customHeight="1">
      <c r="A1435" s="2" t="s">
        <v>1435</v>
      </c>
      <c r="B1435" s="2" t="str">
        <f>IFERROR(__xludf.DUMMYFUNCTION("GOOGLETRANSLATE(A1435, ""en"", ""mt"")"),"Liema flora probijotika tinstab fil-jogurt mhux pasturizzat?")</f>
        <v>Liema flora probijotika tinstab fil-jogurt mhux pasturizzat?</v>
      </c>
    </row>
    <row r="1436" ht="15.75" customHeight="1">
      <c r="A1436" s="2" t="s">
        <v>1436</v>
      </c>
      <c r="B1436" s="2" t="str">
        <f>IFERROR(__xludf.DUMMYFUNCTION("GOOGLETRANSLATE(A1436, ""en"", ""mt"")"),"Fil-bidu tas-seklu 11")</f>
        <v>Fil-bidu tas-seklu 11</v>
      </c>
    </row>
    <row r="1437" ht="15.75" customHeight="1">
      <c r="A1437" s="2" t="s">
        <v>1437</v>
      </c>
      <c r="B1437" s="2" t="str">
        <f>IFERROR(__xludf.DUMMYFUNCTION("GOOGLETRANSLATE(A1437, ""en"", ""mt"")"),"X'tipi ta 'magni huma magni tal-fwar?")</f>
        <v>X'tipi ta 'magni huma magni tal-fwar?</v>
      </c>
    </row>
    <row r="1438" ht="15.75" customHeight="1">
      <c r="A1438" s="2" t="s">
        <v>1438</v>
      </c>
      <c r="B1438" s="2" t="str">
        <f>IFERROR(__xludf.DUMMYFUNCTION("GOOGLETRANSLATE(A1438, ""en"", ""mt"")"),"Liema massakru tal-belt Genghis Khan ordna li retribuzzjoni għat-trattament tal-mibgħuta tiegħu?")</f>
        <v>Liema massakru tal-belt Genghis Khan ordna li retribuzzjoni għat-trattament tal-mibgħuta tiegħu?</v>
      </c>
    </row>
    <row r="1439" ht="15.75" customHeight="1">
      <c r="A1439" s="2" t="s">
        <v>1439</v>
      </c>
      <c r="B1439" s="2" t="str">
        <f>IFERROR(__xludf.DUMMYFUNCTION("GOOGLETRANSLATE(A1439, ""en"", ""mt"")"),"Sussidju tettoniku")</f>
        <v>Sussidju tettoniku</v>
      </c>
    </row>
    <row r="1440" ht="15.75" customHeight="1">
      <c r="A1440" s="2" t="s">
        <v>1440</v>
      </c>
      <c r="B1440" s="2" t="str">
        <f>IFERROR(__xludf.DUMMYFUNCTION("GOOGLETRANSLATE(A1440, ""en"", ""mt"")"),"Liema jum tal-ġimgħa jseħħ il-ħin għar-riflessjoni?")</f>
        <v>Liema jum tal-ġimgħa jseħħ il-ħin għar-riflessjoni?</v>
      </c>
    </row>
    <row r="1441" ht="15.75" customHeight="1">
      <c r="A1441" s="2" t="s">
        <v>1441</v>
      </c>
      <c r="B1441" s="2" t="str">
        <f>IFERROR(__xludf.DUMMYFUNCTION("GOOGLETRANSLATE(A1441, ""en"", ""mt"")"),"Meta kienet l-aħħar darba li San Francisco ospita Super Bowl?")</f>
        <v>Meta kienet l-aħħar darba li San Francisco ospita Super Bowl?</v>
      </c>
    </row>
    <row r="1442" ht="15.75" customHeight="1">
      <c r="A1442" s="2" t="s">
        <v>1442</v>
      </c>
      <c r="B1442" s="2" t="str">
        <f>IFERROR(__xludf.DUMMYFUNCTION("GOOGLETRANSLATE(A1442, ""en"", ""mt"")"),"Il-fossili sessili sessili bikri ta 'frond stromatoveris, miċ-Ċina Chengjiang Lagerstätte u datat għal madwar 515 miljun sena ilu, huwa simili ħafna għal vendobionta tal-perjodu preċedenti ta' Ediacaran. De-Gan Shu, Simon Conway Morris et al. misjuba fuq "&amp;"il-fergħat tagħha dak li huma kkunsidraw ringieli ta 'cili, użati għall-għalf tal-filtri. Huma ssuġġerew li Stromatoveris kienet ""zija"" evoluzzjonarja ta 'ctenophores, u li ċ-ctenophores oriġinaw minn annimali sessili li d-dixxendenti tagħhom saru għaww"&amp;"iema u biddlu ċ-ċili minn mekkaniżmu ta' għalf għal sistema ta 'propulsjoni.")</f>
        <v>Il-fossili sessili sessili bikri ta 'frond stromatoveris, miċ-Ċina Chengjiang Lagerstätte u datat għal madwar 515 miljun sena ilu, huwa simili ħafna għal vendobionta tal-perjodu preċedenti ta' Ediacaran. De-Gan Shu, Simon Conway Morris et al. misjuba fuq il-fergħat tagħha dak li huma kkunsidraw ringieli ta 'cili, użati għall-għalf tal-filtri. Huma ssuġġerew li Stromatoveris kienet "zija" evoluzzjonarja ta 'ctenophores, u li ċ-ctenophores oriġinaw minn annimali sessili li d-dixxendenti tagħhom saru għawwiema u biddlu ċ-ċili minn mekkaniżmu ta' għalf għal sistema ta 'propulsjoni.</v>
      </c>
    </row>
    <row r="1443" ht="15.75" customHeight="1">
      <c r="A1443" s="2" t="s">
        <v>1443</v>
      </c>
      <c r="B1443" s="2" t="str">
        <f>IFERROR(__xludf.DUMMYFUNCTION("GOOGLETRANSLATE(A1443, ""en"", ""mt"")"),"Meta l-formazzjonijiet tal-blat jinstabu fuq tort li ma nqatgħux, allura għandhom ikunu anzjani jew iżgħar mit-tort?")</f>
        <v>Meta l-formazzjonijiet tal-blat jinstabu fuq tort li ma nqatgħux, allura għandhom ikunu anzjani jew iżgħar mit-tort?</v>
      </c>
    </row>
    <row r="1444" ht="15.75" customHeight="1">
      <c r="A1444" s="2" t="s">
        <v>1444</v>
      </c>
      <c r="B1444" s="2" t="str">
        <f>IFERROR(__xludf.DUMMYFUNCTION("GOOGLETRANSLATE(A1444, ""en"", ""mt"")"),"Forom oħra ta 'pesta ġew implikati minn xjenzati moderni. Il-pesta bubonika moderna għandha rata ta 'mortalità ta' 30-75% u sintomi li jinkludu deni ta '38-41 ° C (100-106 ° F), uġigħ ta' ras, ġonot ta 'uġigħ ta' uġigħ, nawżea u rimettar, u sensazzjoni ġe"&amp;"nerali ta 'telqa. Tħalla mhux trattata, minn dawk li jikkuntrattaw il-pesta bubonika, 80 fil-mija jmutu fi żmien tmint ijiem. Il-pesta pnewmonika għandha rata ta 'mortalità ta '90 sa 95 fil-mija. Is-sintomi jinkludu deni, sogħla, u sputum miżbugħ fid-demm"&amp;". Hekk kif il-marda timxi 'l quddiem, l-isputum isir ħieles li jiċċirkola u aħmar jgħajjat. Il-pesta settiċemika hija l-inqas komuni mit-tliet forom, b'rata ta 'mortalità qrib 100%. Is-sintomi huma deni għoljin u rqajja vjola tal-ġilda (purpura minħabba k"&amp;"oagulazzjoni intravaskulari mxerrda). F'każijiet ta 'pesta pnewmonika u partikolarment settiċemika, il-progress tal-marda huwa daqshekk mgħaġġel li ħafna drabi ma jkun hemm l-ebda ħin għall-iżvilupp tal-għoqiedi linfatiċi mkabbra li ġew innotati bħala bub"&amp;"o.")</f>
        <v>Forom oħra ta 'pesta ġew implikati minn xjenzati moderni. Il-pesta bubonika moderna għandha rata ta 'mortalità ta' 30-75% u sintomi li jinkludu deni ta '38-41 ° C (100-106 ° F), uġigħ ta' ras, ġonot ta 'uġigħ ta' uġigħ, nawżea u rimettar, u sensazzjoni ġenerali ta 'telqa. Tħalla mhux trattata, minn dawk li jikkuntrattaw il-pesta bubonika, 80 fil-mija jmutu fi żmien tmint ijiem. Il-pesta pnewmonika għandha rata ta 'mortalità ta '90 sa 95 fil-mija. Is-sintomi jinkludu deni, sogħla, u sputum miżbugħ fid-demm. Hekk kif il-marda timxi 'l quddiem, l-isputum isir ħieles li jiċċirkola u aħmar jgħajjat. Il-pesta settiċemika hija l-inqas komuni mit-tliet forom, b'rata ta 'mortalità qrib 100%. Is-sintomi huma deni għoljin u rqajja vjola tal-ġilda (purpura minħabba koagulazzjoni intravaskulari mxerrda). F'każijiet ta 'pesta pnewmonika u partikolarment settiċemika, il-progress tal-marda huwa daqshekk mgħaġġel li ħafna drabi ma jkun hemm l-ebda ħin għall-iżvilupp tal-għoqiedi linfatiċi mkabbra li ġew innotati bħala bubo.</v>
      </c>
    </row>
    <row r="1445" ht="15.75" customHeight="1">
      <c r="A1445" s="2" t="s">
        <v>1445</v>
      </c>
      <c r="B1445" s="2" t="str">
        <f>IFERROR(__xludf.DUMMYFUNCTION("GOOGLETRANSLATE(A1445, ""en"", ""mt"")"),"fis-sinkronizzazzjoni")</f>
        <v>fis-sinkronizzazzjoni</v>
      </c>
    </row>
    <row r="1446" ht="15.75" customHeight="1">
      <c r="A1446" s="2" t="s">
        <v>1446</v>
      </c>
      <c r="B1446" s="2" t="str">
        <f>IFERROR(__xludf.DUMMYFUNCTION("GOOGLETRANSLATE(A1446, ""en"", ""mt"")"),"Nar Ectrical")</f>
        <v>Nar Ectrical</v>
      </c>
    </row>
    <row r="1447" ht="15.75" customHeight="1">
      <c r="A1447" s="2" t="s">
        <v>1447</v>
      </c>
      <c r="B1447" s="2" t="str">
        <f>IFERROR(__xludf.DUMMYFUNCTION("GOOGLETRANSLATE(A1447, ""en"", ""mt"")"),"Liema Triq Maġġuri ta ’Newcastle tinfirex minn Edinburgh għal Londra?")</f>
        <v>Liema Triq Maġġuri ta ’Newcastle tinfirex minn Edinburgh għal Londra?</v>
      </c>
    </row>
    <row r="1448" ht="15.75" customHeight="1">
      <c r="A1448" s="2" t="s">
        <v>1448</v>
      </c>
      <c r="B1448" s="2" t="str">
        <f>IFERROR(__xludf.DUMMYFUNCTION("GOOGLETRANSLATE(A1448, ""en"", ""mt"")"),"kanali li permezz tagħhom l-inugwaljanza tista 'taffettwa t-tkabbir ekonomiku")</f>
        <v>kanali li permezz tagħhom l-inugwaljanza tista 'taffettwa t-tkabbir ekonomiku</v>
      </c>
    </row>
    <row r="1449" ht="15.75" customHeight="1">
      <c r="A1449" s="2" t="s">
        <v>1449</v>
      </c>
      <c r="B1449" s="2" t="str">
        <f>IFERROR(__xludf.DUMMYFUNCTION("GOOGLETRANSLATE(A1449, ""en"", ""mt"")"),"trattament ħażin")</f>
        <v>trattament ħażin</v>
      </c>
    </row>
    <row r="1450" ht="15.75" customHeight="1">
      <c r="A1450" s="2" t="s">
        <v>1450</v>
      </c>
      <c r="B1450" s="2" t="str">
        <f>IFERROR(__xludf.DUMMYFUNCTION("GOOGLETRANSLATE(A1450, ""en"", ""mt"")"),"Is-Sindku W. Haydon Burns")</f>
        <v>Is-Sindku W. Haydon Burns</v>
      </c>
    </row>
    <row r="1451" ht="15.75" customHeight="1">
      <c r="A1451" s="2" t="s">
        <v>1451</v>
      </c>
      <c r="B1451" s="2" t="str">
        <f>IFERROR(__xludf.DUMMYFUNCTION("GOOGLETRANSLATE(A1451, ""en"", ""mt"")"),"Luther meta wessa 'l-attakki tiegħu biex jinkludi d-duttrini ewlenin tal-knisja?")</f>
        <v>Luther meta wessa 'l-attakki tiegħu biex jinkludi d-duttrini ewlenin tal-knisja?</v>
      </c>
    </row>
    <row r="1452" ht="15.75" customHeight="1">
      <c r="A1452" s="2" t="s">
        <v>1452</v>
      </c>
      <c r="B1452" s="2" t="str">
        <f>IFERROR(__xludf.DUMMYFUNCTION("GOOGLETRANSLATE(A1452, ""en"", ""mt"")"),"Aqta 'b'suċċess il-fortizzi tal-fruntiera Franċiża")</f>
        <v>Aqta 'b'suċċess il-fortizzi tal-fruntiera Franċiża</v>
      </c>
    </row>
    <row r="1453" ht="15.75" customHeight="1">
      <c r="A1453" s="2" t="s">
        <v>1453</v>
      </c>
      <c r="B1453" s="2" t="str">
        <f>IFERROR(__xludf.DUMMYFUNCTION("GOOGLETRANSLATE(A1453, ""en"", ""mt"")"),"il-gwerra kollha")</f>
        <v>il-gwerra kollha</v>
      </c>
    </row>
    <row r="1454" ht="15.75" customHeight="1">
      <c r="A1454" s="2" t="s">
        <v>1454</v>
      </c>
      <c r="B1454" s="2" t="str">
        <f>IFERROR(__xludf.DUMMYFUNCTION("GOOGLETRANSLATE(A1454, ""en"", ""mt"")"),"Perossidi, nitrati u dikromati huma eżempji ta 'liema tip ta' komposti?")</f>
        <v>Perossidi, nitrati u dikromati huma eżempji ta 'liema tip ta' komposti?</v>
      </c>
    </row>
    <row r="1455" ht="15.75" customHeight="1">
      <c r="A1455" s="2" t="s">
        <v>1455</v>
      </c>
      <c r="B1455" s="2" t="str">
        <f>IFERROR(__xludf.DUMMYFUNCTION("GOOGLETRANSLATE(A1455, ""en"", ""mt"")"),"Rebels Red Turban")</f>
        <v>Rebels Red Turban</v>
      </c>
    </row>
    <row r="1456" ht="15.75" customHeight="1">
      <c r="A1456" s="2" t="s">
        <v>1456</v>
      </c>
      <c r="B1456" s="2" t="str">
        <f>IFERROR(__xludf.DUMMYFUNCTION("GOOGLETRANSLATE(A1456, ""en"", ""mt"")"),"Università ta 'Riċerka Privata")</f>
        <v>Università ta 'Riċerka Privata</v>
      </c>
    </row>
    <row r="1457" ht="15.75" customHeight="1">
      <c r="A1457" s="2" t="s">
        <v>1457</v>
      </c>
      <c r="B1457" s="2" t="str">
        <f>IFERROR(__xludf.DUMMYFUNCTION("GOOGLETRANSLATE(A1457, ""en"", ""mt"")"),"3,000 mil")</f>
        <v>3,000 mil</v>
      </c>
    </row>
    <row r="1458" ht="15.75" customHeight="1">
      <c r="A1458" s="2" t="s">
        <v>1458</v>
      </c>
      <c r="B1458" s="2" t="str">
        <f>IFERROR(__xludf.DUMMYFUNCTION("GOOGLETRANSLATE(A1458, ""en"", ""mt"")"),"Liema espressjoni hija ġeneralment użata biex twassal limiti ta 'fuq jew t'isfel?")</f>
        <v>Liema espressjoni hija ġeneralment użata biex twassal limiti ta 'fuq jew t'isfel?</v>
      </c>
    </row>
    <row r="1459" ht="15.75" customHeight="1">
      <c r="A1459" s="2" t="s">
        <v>1459</v>
      </c>
      <c r="B1459" s="2" t="str">
        <f>IFERROR(__xludf.DUMMYFUNCTION("GOOGLETRANSLATE(A1459, ""en"", ""mt"")"),"X'se jkollu impatt dirett ta 'inugwaljanza f'sistema li tuża taxxa progressiva?")</f>
        <v>X'se jkollu impatt dirett ta 'inugwaljanza f'sistema li tuża taxxa progressiva?</v>
      </c>
    </row>
    <row r="1460" ht="15.75" customHeight="1">
      <c r="A1460" s="2" t="s">
        <v>1460</v>
      </c>
      <c r="B1460" s="2" t="str">
        <f>IFERROR(__xludf.DUMMYFUNCTION("GOOGLETRANSLATE(A1460, ""en"", ""mt"")"),"Min kien determinat li jesponi lil Luther f'dan il-ħin?")</f>
        <v>Min kien determinat li jesponi lil Luther f'dan il-ħin?</v>
      </c>
    </row>
    <row r="1461" ht="15.75" customHeight="1">
      <c r="A1461" s="2" t="s">
        <v>1461</v>
      </c>
      <c r="B1461" s="2" t="str">
        <f>IFERROR(__xludf.DUMMYFUNCTION("GOOGLETRANSLATE(A1461, ""en"", ""mt"")"),"X’irċieva Tesla l-ewwel wara li beda l-kumpanija tiegħu?")</f>
        <v>X’irċieva Tesla l-ewwel wara li beda l-kumpanija tiegħu?</v>
      </c>
    </row>
    <row r="1462" ht="15.75" customHeight="1">
      <c r="A1462" s="2" t="s">
        <v>1462</v>
      </c>
      <c r="B1462" s="2" t="str">
        <f>IFERROR(__xludf.DUMMYFUNCTION("GOOGLETRANSLATE(A1462, ""en"", ""mt"")"),"industrija")</f>
        <v>industrija</v>
      </c>
    </row>
    <row r="1463" ht="15.75" customHeight="1">
      <c r="A1463" s="2" t="s">
        <v>1463</v>
      </c>
      <c r="B1463" s="2" t="str">
        <f>IFERROR(__xludf.DUMMYFUNCTION("GOOGLETRANSLATE(A1463, ""en"", ""mt"")"),"X'ifisser Luther ma jfissirx li l-massa l-ġdida tissostitwixxi?")</f>
        <v>X'ifisser Luther ma jfissirx li l-massa l-ġdida tissostitwixxi?</v>
      </c>
    </row>
    <row r="1464" ht="15.75" customHeight="1">
      <c r="A1464" s="2" t="s">
        <v>1464</v>
      </c>
      <c r="B1464" s="2" t="str">
        <f>IFERROR(__xludf.DUMMYFUNCTION("GOOGLETRANSLATE(A1464, ""en"", ""mt"")"),"ABC bħalissa għandu d-drittijiet tax-xandir għall-Premjijiet tal-Akkademja, Emmy Awards (li huma mdawra fl-erba 'netwerks ewlenin kollha fuq bażi ta' sena għal sena), American Music Awards, Disney Parks Christmas Day Parade, Tournament of Roses Parade, Co"&amp;"untry Music Association Premjijiet u l-Festival tal-Mużika CMA. Mill-2000, ABC kellha wkoll id-drittijiet tat-televiżjoni għal ħafna mill-ispeċjalitajiet tat-televiżjoni tal-karawett, wara li akkwistat id-drittijiet tax-xandir mingħand CBS, li oriġinaw l-"&amp;"ispeċjalitajiet fl-1965 bid-debutt ta 'Charlie Brown Christmas (speċjali tal-karawett imxandra kull sena minn ABC, inkluż A Charlie Brown Christmas, Inkludi It's The Great Pumpkin, Charlie Brown u Charlie Brown Radd il-Ħajr).")</f>
        <v>ABC bħalissa għandu d-drittijiet tax-xandir għall-Premjijiet tal-Akkademja, Emmy Awards (li huma mdawra fl-erba 'netwerks ewlenin kollha fuq bażi ta' sena għal sena), American Music Awards, Disney Parks Christmas Day Parade, Tournament of Roses Parade, Country Music Association Premjijiet u l-Festival tal-Mużika CMA. Mill-2000, ABC kellha wkoll id-drittijiet tat-televiżjoni għal ħafna mill-ispeċjalitajiet tat-televiżjoni tal-karawett, wara li akkwistat id-drittijiet tax-xandir mingħand CBS, li oriġinaw l-ispeċjalitajiet fl-1965 bid-debutt ta 'Charlie Brown Christmas (speċjali tal-karawett imxandra kull sena minn ABC, inkluż A Charlie Brown Christmas, Inkludi It's The Great Pumpkin, Charlie Brown u Charlie Brown Radd il-Ħajr).</v>
      </c>
    </row>
    <row r="1465" ht="15.75" customHeight="1">
      <c r="A1465" s="2" t="s">
        <v>1465</v>
      </c>
      <c r="B1465" s="2" t="str">
        <f>IFERROR(__xludf.DUMMYFUNCTION("GOOGLETRANSLATE(A1465, ""en"", ""mt"")"),"Sistemi kriptografiċi moderni")</f>
        <v>Sistemi kriptografiċi moderni</v>
      </c>
    </row>
    <row r="1466" ht="15.75" customHeight="1">
      <c r="A1466" s="2" t="s">
        <v>1466</v>
      </c>
      <c r="B1466" s="2" t="str">
        <f>IFERROR(__xludf.DUMMYFUNCTION("GOOGLETRANSLATE(A1466, ""en"", ""mt"")"),"Alloka minn qabel il-wisa 'tal-banda tan-netwerk iddedikat speċifikament għal kull sessjoni ta' komunikazzjoni")</f>
        <v>Alloka minn qabel il-wisa 'tal-banda tan-netwerk iddedikat speċifikament għal kull sessjoni ta' komunikazzjoni</v>
      </c>
    </row>
    <row r="1467" ht="15.75" customHeight="1">
      <c r="A1467" s="2" t="s">
        <v>1467</v>
      </c>
      <c r="B1467" s="2" t="str">
        <f>IFERROR(__xludf.DUMMYFUNCTION("GOOGLETRANSLATE(A1467, ""en"", ""mt"")"),"Missjoni Impossibli")</f>
        <v>Missjoni Impossibli</v>
      </c>
    </row>
    <row r="1468" ht="15.75" customHeight="1">
      <c r="A1468" s="2" t="s">
        <v>1468</v>
      </c>
      <c r="B1468" s="2" t="str">
        <f>IFERROR(__xludf.DUMMYFUNCTION("GOOGLETRANSLATE(A1468, ""en"", ""mt"")"),"Fuq liema xmara joqgħod Varsavja?")</f>
        <v>Fuq liema xmara joqgħod Varsavja?</v>
      </c>
    </row>
    <row r="1469" ht="15.75" customHeight="1">
      <c r="A1469" s="2" t="s">
        <v>1469</v>
      </c>
      <c r="B1469" s="2" t="str">
        <f>IFERROR(__xludf.DUMMYFUNCTION("GOOGLETRANSLATE(A1469, ""en"", ""mt"")"),"F'liema sena ġiet iffurmata l-Kummissjoni dwar il-Kooperazzjoni Pan Metodista u l-Unjoni?")</f>
        <v>F'liema sena ġiet iffurmata l-Kummissjoni dwar il-Kooperazzjoni Pan Metodista u l-Unjoni?</v>
      </c>
    </row>
    <row r="1470" ht="15.75" customHeight="1">
      <c r="A1470" s="2" t="s">
        <v>1470</v>
      </c>
      <c r="B1470" s="2" t="str">
        <f>IFERROR(__xludf.DUMMYFUNCTION("GOOGLETRANSLATE(A1470, ""en"", ""mt"")"),"Min jista 'jintroduċi liġijiet jew emendi ġodda għal-liġijiet diġà fuq il-kotba bħala abbozz?")</f>
        <v>Min jista 'jintroduċi liġijiet jew emendi ġodda għal-liġijiet diġà fuq il-kotba bħala abbozz?</v>
      </c>
    </row>
    <row r="1471" ht="15.75" customHeight="1">
      <c r="A1471" s="2" t="s">
        <v>1471</v>
      </c>
      <c r="B1471" s="2" t="str">
        <f>IFERROR(__xludf.DUMMYFUNCTION("GOOGLETRANSLATE(A1471, ""en"", ""mt"")"),"kemm l-armata kif ukoll il-popolazzjoni")</f>
        <v>kemm l-armata kif ukoll il-popolazzjoni</v>
      </c>
    </row>
    <row r="1472" ht="15.75" customHeight="1">
      <c r="A1472" s="2" t="s">
        <v>1472</v>
      </c>
      <c r="B1472" s="2" t="str">
        <f>IFERROR(__xludf.DUMMYFUNCTION("GOOGLETRANSLATE(A1472, ""en"", ""mt"")"),"Stazzjonar fuq il-bieb")</f>
        <v>Stazzjonar fuq il-bieb</v>
      </c>
    </row>
    <row r="1473" ht="15.75" customHeight="1">
      <c r="A1473" s="2" t="s">
        <v>1473</v>
      </c>
      <c r="B1473" s="2" t="str">
        <f>IFERROR(__xludf.DUMMYFUNCTION("GOOGLETRANSLATE(A1473, ""en"", ""mt"")"),"Il-Mi'kmaq u l-Abenaki")</f>
        <v>Il-Mi'kmaq u l-Abenaki</v>
      </c>
    </row>
    <row r="1474" ht="15.75" customHeight="1">
      <c r="A1474" s="2" t="s">
        <v>1474</v>
      </c>
      <c r="B1474" s="2" t="str">
        <f>IFERROR(__xludf.DUMMYFUNCTION("GOOGLETRANSLATE(A1474, ""en"", ""mt"")"),"Min allegatament haunted il-bieb?")</f>
        <v>Min allegatament haunted il-bieb?</v>
      </c>
    </row>
    <row r="1475" ht="15.75" customHeight="1">
      <c r="A1475" s="2" t="s">
        <v>1475</v>
      </c>
      <c r="B1475" s="2" t="str">
        <f>IFERROR(__xludf.DUMMYFUNCTION("GOOGLETRANSLATE(A1475, ""en"", ""mt"")"),"Skoċċiż jew Irlandiż jiddeskrivu t-tip ta ’liema nies fi Newcastle għandhom?")</f>
        <v>Skoċċiż jew Irlandiż jiddeskrivu t-tip ta ’liema nies fi Newcastle għandhom?</v>
      </c>
    </row>
    <row r="1476" ht="15.75" customHeight="1">
      <c r="A1476" s="2" t="s">
        <v>1476</v>
      </c>
      <c r="B1476" s="2" t="str">
        <f>IFERROR(__xludf.DUMMYFUNCTION("GOOGLETRANSLATE(A1476, ""en"", ""mt"")"),"X'inhi l-paga bażika għal għalliem, f'euro?")</f>
        <v>X'inhi l-paga bażika għal għalliem, f'euro?</v>
      </c>
    </row>
    <row r="1477" ht="15.75" customHeight="1">
      <c r="A1477" s="2" t="s">
        <v>1477</v>
      </c>
      <c r="B1477" s="2" t="str">
        <f>IFERROR(__xludf.DUMMYFUNCTION("GOOGLETRANSLATE(A1477, ""en"", ""mt"")"),"Łazienki")</f>
        <v>Łazienki</v>
      </c>
    </row>
    <row r="1478" ht="15.75" customHeight="1">
      <c r="A1478" s="2" t="s">
        <v>1478</v>
      </c>
      <c r="B1478" s="2" t="str">
        <f>IFERROR(__xludf.DUMMYFUNCTION("GOOGLETRANSLATE(A1478, ""en"", ""mt"")"),"George Frampton")</f>
        <v>George Frampton</v>
      </c>
    </row>
    <row r="1479" ht="15.75" customHeight="1">
      <c r="A1479" s="2" t="s">
        <v>1479</v>
      </c>
      <c r="B1479" s="2" t="str">
        <f>IFERROR(__xludf.DUMMYFUNCTION("GOOGLETRANSLATE(A1479, ""en"", ""mt"")"),"Chinggis Khaan")</f>
        <v>Chinggis Khaan</v>
      </c>
    </row>
    <row r="1480" ht="15.75" customHeight="1">
      <c r="A1480" s="2" t="s">
        <v>1480</v>
      </c>
      <c r="B1480" s="2" t="str">
        <f>IFERROR(__xludf.DUMMYFUNCTION("GOOGLETRANSLATE(A1480, ""en"", ""mt"")"),"In-nisa jirtiraw fl-età ta '60 sena u rġiel f'65")</f>
        <v>In-nisa jirtiraw fl-età ta '60 sena u rġiel f'65</v>
      </c>
    </row>
    <row r="1481" ht="15.75" customHeight="1">
      <c r="A1481" s="2" t="s">
        <v>1481</v>
      </c>
      <c r="B1481" s="2" t="str">
        <f>IFERROR(__xludf.DUMMYFUNCTION("GOOGLETRANSLATE(A1481, ""en"", ""mt"")"),"Ħafna ċelloli tat-tumur għandhom inqas minn liema tip ta 'molekula fuq wiċċhom?")</f>
        <v>Ħafna ċelloli tat-tumur għandhom inqas minn liema tip ta 'molekula fuq wiċċhom?</v>
      </c>
    </row>
    <row r="1482" ht="15.75" customHeight="1">
      <c r="A1482" s="2" t="s">
        <v>1482</v>
      </c>
      <c r="B1482" s="2" t="str">
        <f>IFERROR(__xludf.DUMMYFUNCTION("GOOGLETRANSLATE(A1482, ""en"", ""mt"")"),"X'inhu tributarju ewlieni għar-Renu li jgħaddi mill-grigal ta 'Franza u parti mill-Belġju?")</f>
        <v>X'inhu tributarju ewlieni għar-Renu li jgħaddi mill-grigal ta 'Franza u parti mill-Belġju?</v>
      </c>
    </row>
    <row r="1483" ht="15.75" customHeight="1">
      <c r="A1483" s="2" t="s">
        <v>1483</v>
      </c>
      <c r="B1483" s="2" t="str">
        <f>IFERROR(__xludf.DUMMYFUNCTION("GOOGLETRANSLATE(A1483, ""en"", ""mt"")"),"Tricia Marwick")</f>
        <v>Tricia Marwick</v>
      </c>
    </row>
    <row r="1484" ht="15.75" customHeight="1">
      <c r="A1484" s="2" t="s">
        <v>1484</v>
      </c>
      <c r="B1484" s="2" t="str">
        <f>IFERROR(__xludf.DUMMYFUNCTION("GOOGLETRANSLATE(A1484, ""en"", ""mt"")"),"L-Iskejjel tax-Xjenza")</f>
        <v>L-Iskejjel tax-Xjenza</v>
      </c>
    </row>
    <row r="1485" ht="15.75" customHeight="1">
      <c r="A1485" s="2" t="s">
        <v>1485</v>
      </c>
      <c r="B1485" s="2" t="str">
        <f>IFERROR(__xludf.DUMMYFUNCTION("GOOGLETRANSLATE(A1485, ""en"", ""mt"")"),"Għarab Sunni")</f>
        <v>Għarab Sunni</v>
      </c>
    </row>
    <row r="1486" ht="15.75" customHeight="1">
      <c r="A1486" s="2" t="s">
        <v>1486</v>
      </c>
      <c r="B1486" s="2" t="str">
        <f>IFERROR(__xludf.DUMMYFUNCTION("GOOGLETRANSLATE(A1486, ""en"", ""mt"")"),"Ġimgħa waħda")</f>
        <v>Ġimgħa waħda</v>
      </c>
    </row>
    <row r="1487" ht="15.75" customHeight="1">
      <c r="A1487" s="2" t="s">
        <v>1487</v>
      </c>
      <c r="B1487" s="2" t="str">
        <f>IFERROR(__xludf.DUMMYFUNCTION("GOOGLETRANSLATE(A1487, ""en"", ""mt"")"),"Għal ċerti xenarji fiżiċi, huwa impossibbli li l-forzi jimmudellaw bħala dovuti għal gradjent tal-potenzjal. Dan ħafna drabi huwa dovut għal kunsiderazzjonijiet makrofiżiċi li jrendu l-forzi bħala li jirriżultaw minn medja statistika makroskopika ta 'mikr"&amp;"ostati. Pereżempju, il-frizzjoni hija kkawżata mill-gradjenti ta 'bosta potenzjal elettrostatiku bejn l-atomi, iżda timmanifesta bħala mudell ta' forza li huwa indipendenti minn kwalunkwe vettur tal-pożizzjoni makroskala. Forzi mhux konservattivi għajr il"&amp;"-frizzjoni jinkludu forzi oħra ta 'kuntatt, tensjoni, kompressjoni u tkaxkir. Madankollu, għal kwalunkwe deskrizzjoni dettaljata biżżejjed, dawn il-forzi kollha huma r-riżultati ta 'dawk konservattivi peress li kull waħda minn dawn il-forzi makroskopiċi h"&amp;"uma r-riżultati netti tal-gradjenti tal-potenzjal mikroskopiku.")</f>
        <v>Għal ċerti xenarji fiżiċi, huwa impossibbli li l-forzi jimmudellaw bħala dovuti għal gradjent tal-potenzjal. Dan ħafna drabi huwa dovut għal kunsiderazzjonijiet makrofiżiċi li jrendu l-forzi bħala li jirriżultaw minn medja statistika makroskopika ta 'mikrostati. Pereżempju, il-frizzjoni hija kkawżata mill-gradjenti ta 'bosta potenzjal elettrostatiku bejn l-atomi, iżda timmanifesta bħala mudell ta' forza li huwa indipendenti minn kwalunkwe vettur tal-pożizzjoni makroskala. Forzi mhux konservattivi għajr il-frizzjoni jinkludu forzi oħra ta 'kuntatt, tensjoni, kompressjoni u tkaxkir. Madankollu, għal kwalunkwe deskrizzjoni dettaljata biżżejjed, dawn il-forzi kollha huma r-riżultati ta 'dawk konservattivi peress li kull waħda minn dawn il-forzi makroskopiċi huma r-riżultati netti tal-gradjenti tal-potenzjal mikroskopiku.</v>
      </c>
    </row>
    <row r="1488" ht="15.75" customHeight="1">
      <c r="A1488" s="2" t="s">
        <v>1488</v>
      </c>
      <c r="B1488" s="2" t="str">
        <f>IFERROR(__xludf.DUMMYFUNCTION("GOOGLETRANSLATE(A1488, ""en"", ""mt"")"),"X'inhu l-ewwel mudell ta 'edukazzjoni, fis-sistema Awstraljana?")</f>
        <v>X'inhu l-ewwel mudell ta 'edukazzjoni, fis-sistema Awstraljana?</v>
      </c>
    </row>
    <row r="1489" ht="15.75" customHeight="1">
      <c r="A1489" s="2" t="s">
        <v>1489</v>
      </c>
      <c r="B1489" s="2" t="str">
        <f>IFERROR(__xludf.DUMMYFUNCTION("GOOGLETRANSLATE(A1489, ""en"", ""mt"")"),"Miftuħa")</f>
        <v>Miftuħa</v>
      </c>
    </row>
    <row r="1490" ht="15.75" customHeight="1">
      <c r="A1490" s="2" t="s">
        <v>1490</v>
      </c>
      <c r="B1490" s="2" t="str">
        <f>IFERROR(__xludf.DUMMYFUNCTION("GOOGLETRANSLATE(A1490, ""en"", ""mt"")"),"Xlvii")</f>
        <v>Xlvii</v>
      </c>
    </row>
    <row r="1491" ht="15.75" customHeight="1">
      <c r="A1491" s="2" t="s">
        <v>1491</v>
      </c>
      <c r="B1491" s="2" t="str">
        <f>IFERROR(__xludf.DUMMYFUNCTION("GOOGLETRANSLATE(A1491, ""en"", ""mt"")"),"Mejju 2013")</f>
        <v>Mejju 2013</v>
      </c>
    </row>
    <row r="1492" ht="15.75" customHeight="1">
      <c r="A1492" s="2" t="s">
        <v>1492</v>
      </c>
      <c r="B1492" s="2" t="str">
        <f>IFERROR(__xludf.DUMMYFUNCTION("GOOGLETRANSLATE(A1492, ""en"", ""mt"")"),"Pittsburgh")</f>
        <v>Pittsburgh</v>
      </c>
    </row>
    <row r="1493" ht="15.75" customHeight="1">
      <c r="A1493" s="2" t="s">
        <v>1493</v>
      </c>
      <c r="B1493" s="2" t="str">
        <f>IFERROR(__xludf.DUMMYFUNCTION("GOOGLETRANSLATE(A1493, ""en"", ""mt"")"),"Blackouts tal-qawwa")</f>
        <v>Blackouts tal-qawwa</v>
      </c>
    </row>
    <row r="1494" ht="15.75" customHeight="1">
      <c r="A1494" s="2" t="s">
        <v>1494</v>
      </c>
      <c r="B1494" s="2" t="str">
        <f>IFERROR(__xludf.DUMMYFUNCTION("GOOGLETRANSLATE(A1494, ""en"", ""mt"")"),"Għal xiex xi pjanti reġgħu reġgħu bdew il-ġeni tas-saff tal-peptidoglycan?")</f>
        <v>Għal xiex xi pjanti reġgħu reġgħu bdew il-ġeni tas-saff tal-peptidoglycan?</v>
      </c>
    </row>
    <row r="1495" ht="15.75" customHeight="1">
      <c r="A1495" s="2" t="s">
        <v>1495</v>
      </c>
      <c r="B1495" s="2" t="str">
        <f>IFERROR(__xludf.DUMMYFUNCTION("GOOGLETRANSLATE(A1495, ""en"", ""mt"")"),"dawl intens")</f>
        <v>dawl intens</v>
      </c>
    </row>
    <row r="1496" ht="15.75" customHeight="1">
      <c r="A1496" s="2" t="s">
        <v>1496</v>
      </c>
      <c r="B1496" s="2" t="str">
        <f>IFERROR(__xludf.DUMMYFUNCTION("GOOGLETRANSLATE(A1496, ""en"", ""mt"")"),"exkomunikazzjoni")</f>
        <v>exkomunikazzjoni</v>
      </c>
    </row>
    <row r="1497" ht="15.75" customHeight="1">
      <c r="A1497" s="2" t="s">
        <v>1497</v>
      </c>
      <c r="B1497" s="2" t="str">
        <f>IFERROR(__xludf.DUMMYFUNCTION("GOOGLETRANSLATE(A1497, ""en"", ""mt"")"),"Oirads")</f>
        <v>Oirads</v>
      </c>
    </row>
    <row r="1498" ht="15.75" customHeight="1">
      <c r="A1498" s="2" t="s">
        <v>1498</v>
      </c>
      <c r="B1498" s="2" t="str">
        <f>IFERROR(__xludf.DUMMYFUNCTION("GOOGLETRANSLATE(A1498, ""en"", ""mt"")"),"X'inhu l-famuż blat ħdejn Sanke Goarshausen?")</f>
        <v>X'inhu l-famuż blat ħdejn Sanke Goarshausen?</v>
      </c>
    </row>
    <row r="1499" ht="15.75" customHeight="1">
      <c r="A1499" s="2" t="s">
        <v>1499</v>
      </c>
      <c r="B1499" s="2" t="str">
        <f>IFERROR(__xludf.DUMMYFUNCTION("GOOGLETRANSLATE(A1499, ""en"", ""mt"")"),"Għal xiex stenna li Astor kienu jintużaw il-flus?")</f>
        <v>Għal xiex stenna li Astor kienu jintużaw il-flus?</v>
      </c>
    </row>
    <row r="1500" ht="15.75" customHeight="1">
      <c r="A1500" s="2" t="s">
        <v>1500</v>
      </c>
      <c r="B1500" s="2" t="str">
        <f>IFERROR(__xludf.DUMMYFUNCTION("GOOGLETRANSLATE(A1500, ""en"", ""mt"")"),"Fejn ittieħdet il-kejl għall-gravità standard fid-dinja?")</f>
        <v>Fejn ittieħdet il-kejl għall-gravità standard fid-dinja?</v>
      </c>
    </row>
    <row r="1501" ht="15.75" customHeight="1">
      <c r="A1501" s="2" t="s">
        <v>1501</v>
      </c>
      <c r="B1501" s="2" t="str">
        <f>IFERROR(__xludf.DUMMYFUNCTION("GOOGLETRANSLATE(A1501, ""en"", ""mt"")"),"minn kulħadd")</f>
        <v>minn kulħadd</v>
      </c>
    </row>
    <row r="1502" ht="15.75" customHeight="1">
      <c r="A1502" s="2" t="s">
        <v>1502</v>
      </c>
      <c r="B1502" s="2" t="str">
        <f>IFERROR(__xludf.DUMMYFUNCTION("GOOGLETRANSLATE(A1502, ""en"", ""mt"")"),"Liema tip ta 'klima jista' jkun ippermetta lill-foresta tropikali tinfirex madwar il-kontinent?")</f>
        <v>Liema tip ta 'klima jista' jkun ippermetta lill-foresta tropikali tinfirex madwar il-kontinent?</v>
      </c>
    </row>
    <row r="1503" ht="15.75" customHeight="1">
      <c r="A1503" s="2" t="s">
        <v>1503</v>
      </c>
      <c r="B1503" s="2" t="str">
        <f>IFERROR(__xludf.DUMMYFUNCTION("GOOGLETRANSLATE(A1503, ""en"", ""mt"")"),"Meta seħħew dawn ir-ribelljonijiet?")</f>
        <v>Meta seħħew dawn ir-ribelljonijiet?</v>
      </c>
    </row>
    <row r="1504" ht="15.75" customHeight="1">
      <c r="A1504" s="2" t="s">
        <v>1504</v>
      </c>
      <c r="B1504" s="2" t="str">
        <f>IFERROR(__xludf.DUMMYFUNCTION("GOOGLETRANSLATE(A1504, ""en"", ""mt"")"),"Limitazzjonijiet prattiċi ta 'ħidma fil-foresta tropikali jfissru li l-kampjunar tad-dejta huwa preġudikat' il bogħod miċ-ċentru tal-baċin tal-Amażonja")</f>
        <v>Limitazzjonijiet prattiċi ta 'ħidma fil-foresta tropikali jfissru li l-kampjunar tad-dejta huwa preġudikat' il bogħod miċ-ċentru tal-baċin tal-Amażonja</v>
      </c>
    </row>
    <row r="1505" ht="15.75" customHeight="1">
      <c r="A1505" s="2" t="s">
        <v>1505</v>
      </c>
      <c r="B1505" s="2" t="str">
        <f>IFERROR(__xludf.DUMMYFUNCTION("GOOGLETRANSLATE(A1505, ""en"", ""mt"")"),"Ġeneraturi tan-Numru Pseudorandom")</f>
        <v>Ġeneraturi tan-Numru Pseudorandom</v>
      </c>
    </row>
    <row r="1506" ht="15.75" customHeight="1">
      <c r="A1506" s="2" t="s">
        <v>1506</v>
      </c>
      <c r="B1506" s="2" t="str">
        <f>IFERROR(__xludf.DUMMYFUNCTION("GOOGLETRANSLATE(A1506, ""en"", ""mt"")"),"diversi mijiet")</f>
        <v>diversi mijiet</v>
      </c>
    </row>
    <row r="1507" ht="15.75" customHeight="1">
      <c r="A1507" s="2" t="s">
        <v>1507</v>
      </c>
      <c r="B1507" s="2" t="str">
        <f>IFERROR(__xludf.DUMMYFUNCTION("GOOGLETRANSLATE(A1507, ""en"", ""mt"")"),"Żewġ terzi")</f>
        <v>Żewġ terzi</v>
      </c>
    </row>
    <row r="1508" ht="15.75" customHeight="1">
      <c r="A1508" s="2" t="s">
        <v>1508</v>
      </c>
      <c r="B1508" s="2" t="str">
        <f>IFERROR(__xludf.DUMMYFUNCTION("GOOGLETRANSLATE(A1508, ""en"", ""mt"")"),"sas-seklu 19")</f>
        <v>sas-seklu 19</v>
      </c>
    </row>
    <row r="1509" ht="15.75" customHeight="1">
      <c r="A1509" s="2" t="s">
        <v>1509</v>
      </c>
      <c r="B1509" s="2" t="str">
        <f>IFERROR(__xludf.DUMMYFUNCTION("GOOGLETRANSLATE(A1509, ""en"", ""mt"")"),"Għal liema pożizzjoni jilgħab Tucker mar-Ravens?")</f>
        <v>Għal liema pożizzjoni jilgħab Tucker mar-Ravens?</v>
      </c>
    </row>
    <row r="1510" ht="15.75" customHeight="1">
      <c r="A1510" s="2" t="s">
        <v>1510</v>
      </c>
      <c r="B1510" s="2" t="str">
        <f>IFERROR(__xludf.DUMMYFUNCTION("GOOGLETRANSLATE(A1510, ""en"", ""mt"")"),"Li jkunu madwar l-istudenti tagħhom")</f>
        <v>Li jkunu madwar l-istudenti tagħhom</v>
      </c>
    </row>
    <row r="1511" ht="15.75" customHeight="1">
      <c r="A1511" s="2" t="s">
        <v>1511</v>
      </c>
      <c r="B1511" s="2" t="str">
        <f>IFERROR(__xludf.DUMMYFUNCTION("GOOGLETRANSLATE(A1511, ""en"", ""mt"")"),"Is-sistema illimitat il-prezz ta '""żejt qadim""")</f>
        <v>Is-sistema illimitat il-prezz ta '"żejt qadim"</v>
      </c>
    </row>
    <row r="1512" ht="15.75" customHeight="1">
      <c r="A1512" s="2" t="s">
        <v>1512</v>
      </c>
      <c r="B1512" s="2" t="str">
        <f>IFERROR(__xludf.DUMMYFUNCTION("GOOGLETRANSLATE(A1512, ""en"", ""mt"")"),"Min l-ewwel wera li t-teorija tal-gravità ta 'Newton ma kinitx korretta daqs teorija oħra?")</f>
        <v>Min l-ewwel wera li t-teorija tal-gravità ta 'Newton ma kinitx korretta daqs teorija oħra?</v>
      </c>
    </row>
    <row r="1513" ht="15.75" customHeight="1">
      <c r="A1513" s="2" t="s">
        <v>1513</v>
      </c>
      <c r="B1513" s="2" t="str">
        <f>IFERROR(__xludf.DUMMYFUNCTION("GOOGLETRANSLATE(A1513, ""en"", ""mt"")"),"X'Jdawwar Plastoglobuli?")</f>
        <v>X'Jdawwar Plastoglobuli?</v>
      </c>
    </row>
    <row r="1514" ht="15.75" customHeight="1">
      <c r="A1514" s="2" t="s">
        <v>1514</v>
      </c>
      <c r="B1514" s="2" t="str">
        <f>IFERROR(__xludf.DUMMYFUNCTION("GOOGLETRANSLATE(A1514, ""en"", ""mt"")"),"żieda fix-xorb tat-te")</f>
        <v>żieda fix-xorb tat-te</v>
      </c>
    </row>
    <row r="1515" ht="15.75" customHeight="1">
      <c r="A1515" s="2" t="s">
        <v>1515</v>
      </c>
      <c r="B1515" s="2" t="str">
        <f>IFERROR(__xludf.DUMMYFUNCTION("GOOGLETRANSLATE(A1515, ""en"", ""mt"")"),"triq parabolika")</f>
        <v>triq parabolika</v>
      </c>
    </row>
    <row r="1516" ht="15.75" customHeight="1">
      <c r="A1516" s="2" t="s">
        <v>1516</v>
      </c>
      <c r="B1516" s="2" t="str">
        <f>IFERROR(__xludf.DUMMYFUNCTION("GOOGLETRANSLATE(A1516, ""en"", ""mt"")"),"is-safaris tagħha, il-klima u l-ġeografija differenti, u r-riżervi espansivi tal-ħajja selvaġġa u l-parks nazzjonali")</f>
        <v>is-safaris tagħha, il-klima u l-ġeografija differenti, u r-riżervi espansivi tal-ħajja selvaġġa u l-parks nazzjonali</v>
      </c>
    </row>
    <row r="1517" ht="15.75" customHeight="1">
      <c r="A1517" s="2" t="s">
        <v>1517</v>
      </c>
      <c r="B1517" s="2" t="str">
        <f>IFERROR(__xludf.DUMMYFUNCTION("GOOGLETRANSLATE(A1517, ""en"", ""mt"")"),"Imperu Ruman Qaddis")</f>
        <v>Imperu Ruman Qaddis</v>
      </c>
    </row>
    <row r="1518" ht="15.75" customHeight="1">
      <c r="A1518" s="2" t="s">
        <v>1518</v>
      </c>
      <c r="B1518" s="2" t="str">
        <f>IFERROR(__xludf.DUMMYFUNCTION("GOOGLETRANSLATE(A1518, ""en"", ""mt"")"),"Fis-seklu 19, il-bini tal-vapuri u l-inġinerija tqila kienu ċentrali għall-prosperità tal-belt; u l-belt kienet powerhouse tar-rivoluzzjoni industrijali. Din ir-rivoluzzjoni rriżultat fl-urbanizzazzjoni tal-belt. Fl-1817 il-Kumpanija Maling, f'ħin minnhom"&amp;" l-akbar kumpanija tal-fuħħar fid-dinja, marret tgħix il-belt. Ir-Rivoluzzjoni Industrijali Vittorjana ġabet strutturi industrijali li inkludew it-tunnellar tar-Rabat ta '2 1⁄2-il mil (4.0 km), mibnija fl-1842, li pprovdiet modi ta' vagun taħt l-art lill-"&amp;"istati. Fit-3 ta 'Frar 1879, Triq Mosley fil-belt, kienet l-ewwel triq pubblika fid-dinja li kienet mixgħula mill-bozza tad-dawl inkandexxenti. Newcastle kienet waħda mill-ewwel bliet fid-dinja li kienet mixgħula bid-dawl elettriku. L-innovazzjonijiet fi "&amp;"Newcastle u ż-żoni tal-madwar kienu jinkludu l-iżvilupp ta 'lampi ta' sigurtà, ir-rokit ta 'Stephenson, l-artillerija ta' Lord Armstrong, id-dqiq tar-ro, il-bozoz tad-dawl elettriku ta 'Joseph Swan, u l-invenzjoni ta' Charles Parsons tat-turbina tal-fwar,"&amp;" li wasslu għar-rivoluzzjoni tal-propulsjoni tal-baħar u il-produzzjoni ta 'elettriku irħis. Fl-1882, Newcastle saret is-sede ta 'djoċesi Anglikana, bil-Knisja ta' San Nikola ssir il-katidral tagħha.")</f>
        <v>Fis-seklu 19, il-bini tal-vapuri u l-inġinerija tqila kienu ċentrali għall-prosperità tal-belt; u l-belt kienet powerhouse tar-rivoluzzjoni industrijali. Din ir-rivoluzzjoni rriżultat fl-urbanizzazzjoni tal-belt. Fl-1817 il-Kumpanija Maling, f'ħin minnhom l-akbar kumpanija tal-fuħħar fid-dinja, marret tgħix il-belt. Ir-Rivoluzzjoni Industrijali Vittorjana ġabet strutturi industrijali li inkludew it-tunnellar tar-Rabat ta '2 1⁄2-il mil (4.0 km), mibnija fl-1842, li pprovdiet modi ta' vagun taħt l-art lill-istati. Fit-3 ta 'Frar 1879, Triq Mosley fil-belt, kienet l-ewwel triq pubblika fid-dinja li kienet mixgħula mill-bozza tad-dawl inkandexxenti. Newcastle kienet waħda mill-ewwel bliet fid-dinja li kienet mixgħula bid-dawl elettriku. L-innovazzjonijiet fi Newcastle u ż-żoni tal-madwar kienu jinkludu l-iżvilupp ta 'lampi ta' sigurtà, ir-rokit ta 'Stephenson, l-artillerija ta' Lord Armstrong, id-dqiq tar-ro, il-bozoz tad-dawl elettriku ta 'Joseph Swan, u l-invenzjoni ta' Charles Parsons tat-turbina tal-fwar, li wasslu għar-rivoluzzjoni tal-propulsjoni tal-baħar u il-produzzjoni ta 'elettriku irħis. Fl-1882, Newcastle saret is-sede ta 'djoċesi Anglikana, bil-Knisja ta' San Nikola ssir il-katidral tagħha.</v>
      </c>
    </row>
    <row r="1519" ht="15.75" customHeight="1">
      <c r="A1519" s="2" t="s">
        <v>1519</v>
      </c>
      <c r="B1519" s="2" t="str">
        <f>IFERROR(__xludf.DUMMYFUNCTION("GOOGLETRANSLATE(A1519, ""en"", ""mt"")"),"X'jikkawża estensjoni tal-blat?")</f>
        <v>X'jikkawża estensjoni tal-blat?</v>
      </c>
    </row>
    <row r="1520" ht="15.75" customHeight="1">
      <c r="A1520" s="2" t="s">
        <v>1520</v>
      </c>
      <c r="B1520" s="2" t="str">
        <f>IFERROR(__xludf.DUMMYFUNCTION("GOOGLETRANSLATE(A1520, ""en"", ""mt"")"),"Kuntrattur identifika ordnijiet ta 'bidla jew bidliet fil-proġett li żiedu l-ispejjeż")</f>
        <v>Kuntrattur identifika ordnijiet ta 'bidla jew bidliet fil-proġett li żiedu l-ispejjeż</v>
      </c>
    </row>
    <row r="1521" ht="15.75" customHeight="1">
      <c r="A1521" s="2" t="s">
        <v>1521</v>
      </c>
      <c r="B1521" s="2" t="str">
        <f>IFERROR(__xludf.DUMMYFUNCTION("GOOGLETRANSLATE(A1521, ""en"", ""mt"")"),"Il-Ktieb tad-Dixxiplina tal-Knisja Metodista Magħquda")</f>
        <v>Il-Ktieb tad-Dixxiplina tal-Knisja Metodista Magħquda</v>
      </c>
    </row>
    <row r="1522" ht="15.75" customHeight="1">
      <c r="A1522" s="2" t="s">
        <v>1522</v>
      </c>
      <c r="B1522" s="2" t="str">
        <f>IFERROR(__xludf.DUMMYFUNCTION("GOOGLETRANSLATE(A1522, ""en"", ""mt"")"),"Letteratura, Kartografija, Ġeografija, u Edukazzjoni Xjentifika")</f>
        <v>Letteratura, Kartografija, Ġeografija, u Edukazzjoni Xjentifika</v>
      </c>
    </row>
    <row r="1523" ht="15.75" customHeight="1">
      <c r="A1523" s="2" t="s">
        <v>1523</v>
      </c>
      <c r="B1523" s="2" t="str">
        <f>IFERROR(__xludf.DUMMYFUNCTION("GOOGLETRANSLATE(A1523, ""en"", ""mt"")"),"20.8%")</f>
        <v>20.8%</v>
      </c>
    </row>
    <row r="1524" ht="15.75" customHeight="1">
      <c r="A1524" s="2" t="s">
        <v>1524</v>
      </c>
      <c r="B1524" s="2" t="str">
        <f>IFERROR(__xludf.DUMMYFUNCTION("GOOGLETRANSLATE(A1524, ""en"", ""mt"")"),"Jaqa '")</f>
        <v>Jaqa '</v>
      </c>
    </row>
    <row r="1525" ht="15.75" customHeight="1">
      <c r="A1525" s="2" t="s">
        <v>1525</v>
      </c>
      <c r="B1525" s="2" t="str">
        <f>IFERROR(__xludf.DUMMYFUNCTION("GOOGLETRANSLATE(A1525, ""en"", ""mt"")"),"Fl-aħħar wasslet it-teorija elettromanjetika?")</f>
        <v>Fl-aħħar wasslet it-teorija elettromanjetika?</v>
      </c>
    </row>
    <row r="1526" ht="15.75" customHeight="1">
      <c r="A1526" s="2" t="s">
        <v>1526</v>
      </c>
      <c r="B1526" s="2" t="str">
        <f>IFERROR(__xludf.DUMMYFUNCTION("GOOGLETRANSLATE(A1526, ""en"", ""mt"")"),"Il-Kompromess tal-1850")</f>
        <v>Il-Kompromess tal-1850</v>
      </c>
    </row>
    <row r="1527" ht="15.75" customHeight="1">
      <c r="A1527" s="2" t="s">
        <v>1527</v>
      </c>
      <c r="B1527" s="2" t="str">
        <f>IFERROR(__xludf.DUMMYFUNCTION("GOOGLETRANSLATE(A1527, ""en"", ""mt"")"),"F'liema sena ġie ddisinjat is-servizz tal-pranzu ta 'Möllendorff?")</f>
        <v>F'liema sena ġie ddisinjat is-servizz tal-pranzu ta 'Möllendorff?</v>
      </c>
    </row>
    <row r="1528" ht="15.75" customHeight="1">
      <c r="A1528" s="2" t="s">
        <v>1528</v>
      </c>
      <c r="B1528" s="2" t="str">
        <f>IFERROR(__xludf.DUMMYFUNCTION("GOOGLETRANSLATE(A1528, ""en"", ""mt"")"),"Movimenti Iżlamiċi Kontra d-Demokratiċi ispirati minn Maududi u Sayyid Qutb")</f>
        <v>Movimenti Iżlamiċi Kontra d-Demokratiċi ispirati minn Maududi u Sayyid Qutb</v>
      </c>
    </row>
    <row r="1529" ht="15.75" customHeight="1">
      <c r="A1529" s="2" t="s">
        <v>1529</v>
      </c>
      <c r="B1529" s="2" t="str">
        <f>IFERROR(__xludf.DUMMYFUNCTION("GOOGLETRANSLATE(A1529, ""en"", ""mt"")"),"Tnax-il attur intitolaw is-serje bħala t-tabib. It-tranżizzjoni minn attur għal ieħor hija miktuba fil-plott tal-ispettaklu, kif ukoll l-approċċ differenti għar-rwol li kull wieħed iġib, taħt il-kunċett ta 'riġenerazzjoni f'inkarnazzjoni ġdida. Il-premess"&amp;"a tal-ispettaklu hija li dan huwa proċess ta 'ħajja ta' Lords Time li permezz tiegħu l-karattru tat-tabib jieħu korp ġdid u, sa ċertu punt, personalità ġdida, li sseħħ wara li sostniet korriment li jkun fatali għal ħafna speċi oħra. Ir-ritratt ta 'kull at"&amp;"tur huwa differenti, iżda huma kollha maħsuba biex ikunu aspetti tal-istess karattru u jiffurmaw parti mill-istess trama. In-natura li tivvjaġġa fil-ħin tal-plott tfisser li, okkażjoni, tobba differenti ltaqgħu ma 'xulxin. Peter Capaldi ħa r-rwol wara l-ħ"&amp;"ruġ ta 'Matt Smith fl-ispeċjal tal-Milied tal-2013 ""The Time of the Doctor"".")</f>
        <v>Tnax-il attur intitolaw is-serje bħala t-tabib. It-tranżizzjoni minn attur għal ieħor hija miktuba fil-plott tal-ispettaklu, kif ukoll l-approċċ differenti għar-rwol li kull wieħed iġib, taħt il-kunċett ta 'riġenerazzjoni f'inkarnazzjoni ġdida. Il-premessa tal-ispettaklu hija li dan huwa proċess ta 'ħajja ta' Lords Time li permezz tiegħu l-karattru tat-tabib jieħu korp ġdid u, sa ċertu punt, personalità ġdida, li sseħħ wara li sostniet korriment li jkun fatali għal ħafna speċi oħra. Ir-ritratt ta 'kull attur huwa differenti, iżda huma kollha maħsuba biex ikunu aspetti tal-istess karattru u jiffurmaw parti mill-istess trama. In-natura li tivvjaġġa fil-ħin tal-plott tfisser li, okkażjoni, tobba differenti ltaqgħu ma 'xulxin. Peter Capaldi ħa r-rwol wara l-ħruġ ta 'Matt Smith fl-ispeċjal tal-Milied tal-2013 "The Time of the Doctor".</v>
      </c>
    </row>
    <row r="1530" ht="15.75" customHeight="1">
      <c r="A1530" s="2" t="s">
        <v>1530</v>
      </c>
      <c r="B1530" s="2" t="str">
        <f>IFERROR(__xludf.DUMMYFUNCTION("GOOGLETRANSLATE(A1530, ""en"", ""mt"")"),"Jamukha, u l-protettur tiegħu, Toghrul Khan tat-tribù Keraite")</f>
        <v>Jamukha, u l-protettur tiegħu, Toghrul Khan tat-tribù Keraite</v>
      </c>
    </row>
    <row r="1531" ht="15.75" customHeight="1">
      <c r="A1531" s="2" t="s">
        <v>1531</v>
      </c>
      <c r="B1531" s="2" t="str">
        <f>IFERROR(__xludf.DUMMYFUNCTION("GOOGLETRANSLATE(A1531, ""en"", ""mt"")"),"Qabel ir-riċerka attwali ddedikata espliċitament għall-kumplessità tal-problemi algoritmiċi li bdiet, ġew stabbiliti bosta pedamenti minn diversi riċerkaturi. L-iktar influwenti fost dawn kienet id-definizzjoni tal-magni tat-Turing minn Alan Turing fl-193"&amp;"6, li rriżulta li kienet simplifikazzjoni robusta u flessibbli ħafna ta 'kompjuter.")</f>
        <v>Qabel ir-riċerka attwali ddedikata espliċitament għall-kumplessità tal-problemi algoritmiċi li bdiet, ġew stabbiliti bosta pedamenti minn diversi riċerkaturi. L-iktar influwenti fost dawn kienet id-definizzjoni tal-magni tat-Turing minn Alan Turing fl-1936, li rriżulta li kienet simplifikazzjoni robusta u flessibbli ħafna ta 'kompjuter.</v>
      </c>
    </row>
    <row r="1532" ht="15.75" customHeight="1">
      <c r="A1532" s="2" t="s">
        <v>1532</v>
      </c>
      <c r="B1532" s="2" t="str">
        <f>IFERROR(__xludf.DUMMYFUNCTION("GOOGLETRANSLATE(A1532, ""en"", ""mt"")"),"Irena Bajerska")</f>
        <v>Irena Bajerska</v>
      </c>
    </row>
    <row r="1533" ht="15.75" customHeight="1">
      <c r="A1533" s="2" t="s">
        <v>1533</v>
      </c>
      <c r="B1533" s="2" t="str">
        <f>IFERROR(__xludf.DUMMYFUNCTION("GOOGLETRANSLATE(A1533, ""en"", ""mt"")"),"Wirjiet tal-Mużew")</f>
        <v>Wirjiet tal-Mużew</v>
      </c>
    </row>
    <row r="1534" ht="15.75" customHeight="1">
      <c r="A1534" s="2" t="s">
        <v>1534</v>
      </c>
      <c r="B1534" s="2" t="str">
        <f>IFERROR(__xludf.DUMMYFUNCTION("GOOGLETRANSLATE(A1534, ""en"", ""mt"")"),"Fl-1888, l-editur tar-rivista World Electrical, Thomas Commerford Martin (ħabib u pubblikatur), irranġat biex Tesla juri s-sistema kurrenti alternanti tiegħu, inkluż il-mutur ta 'induzzjoni tiegħu, fl-Istitut Amerikan ta' l-Inġiniera Elettriċi (issa IEEE)"&amp;". Inġiniera li jaħdmu għall-Westinghouse Electric &amp; Manufacturing Company irrappurtaw lil George Westinghouse li Tesla kellha mutur AC vijabbli u sistema ta ’enerġija relatata - xi ħaġa li għaliha Westinghouse kien qed jipprova jiżgura l-privattivi. Westi"&amp;"nghouse eżaminat li jkollok brevett fuq mutur ta 'induzzjoni bbażat fuq il-kamp manjetiku simili mingħajr kommutatur ippreżentat f'karta f'Marzu 1888 mill-fiżiċista Taljan Galileo Ferraris, iżda ddeċieda li l-privattiva ta' Tesla probabbilment tikkontroll"&amp;"a s-suq.")</f>
        <v>Fl-1888, l-editur tar-rivista World Electrical, Thomas Commerford Martin (ħabib u pubblikatur), irranġat biex Tesla juri s-sistema kurrenti alternanti tiegħu, inkluż il-mutur ta 'induzzjoni tiegħu, fl-Istitut Amerikan ta' l-Inġiniera Elettriċi (issa IEEE). Inġiniera li jaħdmu għall-Westinghouse Electric &amp; Manufacturing Company irrappurtaw lil George Westinghouse li Tesla kellha mutur AC vijabbli u sistema ta ’enerġija relatata - xi ħaġa li għaliha Westinghouse kien qed jipprova jiżgura l-privattivi. Westinghouse eżaminat li jkollok brevett fuq mutur ta 'induzzjoni bbażat fuq il-kamp manjetiku simili mingħajr kommutatur ippreżentat f'karta f'Marzu 1888 mill-fiżiċista Taljan Galileo Ferraris, iżda ddeċieda li l-privattiva ta' Tesla probabbilment tikkontrolla s-suq.</v>
      </c>
    </row>
    <row r="1535" ht="15.75" customHeight="1">
      <c r="A1535" s="2" t="s">
        <v>1535</v>
      </c>
      <c r="B1535" s="2" t="str">
        <f>IFERROR(__xludf.DUMMYFUNCTION("GOOGLETRANSLATE(A1535, ""en"", ""mt"")"),"Iż-żona tal-belt ta 'Grainger")</f>
        <v>Iż-żona tal-belt ta 'Grainger</v>
      </c>
    </row>
    <row r="1536" ht="15.75" customHeight="1">
      <c r="A1536" s="2" t="s">
        <v>1536</v>
      </c>
      <c r="B1536" s="2" t="str">
        <f>IFERROR(__xludf.DUMMYFUNCTION("GOOGLETRANSLATE(A1536, ""en"", ""mt"")"),"X'kienet akkużata Zia-ul-Haq li uża l-Iżlamizzazzjoni biex tilleġittimizza?")</f>
        <v>X'kienet akkużata Zia-ul-Haq li uża l-Iżlamizzazzjoni biex tilleġittimizza?</v>
      </c>
    </row>
    <row r="1537" ht="15.75" customHeight="1">
      <c r="A1537" s="2" t="s">
        <v>1537</v>
      </c>
      <c r="B1537" s="2" t="str">
        <f>IFERROR(__xludf.DUMMYFUNCTION("GOOGLETRANSLATE(A1537, ""en"", ""mt"")"),"X'kienet il-logħba finali ta 'Elway bħala l-quarterback ta' Denver?")</f>
        <v>X'kienet il-logħba finali ta 'Elway bħala l-quarterback ta' Denver?</v>
      </c>
    </row>
    <row r="1538" ht="15.75" customHeight="1">
      <c r="A1538" s="2" t="s">
        <v>1538</v>
      </c>
      <c r="B1538" s="2" t="str">
        <f>IFERROR(__xludf.DUMMYFUNCTION("GOOGLETRANSLATE(A1538, ""en"", ""mt"")"),"Kemm nies Franċiżi ntilfu għall-pesta bejn l-1628-31?")</f>
        <v>Kemm nies Franċiżi ntilfu għall-pesta bejn l-1628-31?</v>
      </c>
    </row>
    <row r="1539" ht="15.75" customHeight="1">
      <c r="A1539" s="2" t="s">
        <v>1539</v>
      </c>
      <c r="B1539" s="2" t="str">
        <f>IFERROR(__xludf.DUMMYFUNCTION("GOOGLETRANSLATE(A1539, ""en"", ""mt"")"),"Il-petroloġisti jidentifikaw kampjuni tal-blat fil-qasam u fejn inkella?")</f>
        <v>Il-petroloġisti jidentifikaw kampjuni tal-blat fil-qasam u fejn inkella?</v>
      </c>
    </row>
    <row r="1540" ht="15.75" customHeight="1">
      <c r="A1540" s="2" t="s">
        <v>1540</v>
      </c>
      <c r="B1540" s="2" t="str">
        <f>IFERROR(__xludf.DUMMYFUNCTION("GOOGLETRANSLATE(A1540, ""en"", ""mt"")"),"X’kontradikkejt dan il-kunċett")</f>
        <v>X’kontradikkejt dan il-kunċett</v>
      </c>
    </row>
    <row r="1541" ht="15.75" customHeight="1">
      <c r="A1541" s="2" t="s">
        <v>1541</v>
      </c>
      <c r="B1541" s="2" t="str">
        <f>IFERROR(__xludf.DUMMYFUNCTION("GOOGLETRANSLATE(A1541, ""en"", ""mt"")"),"David Graeber")</f>
        <v>David Graeber</v>
      </c>
    </row>
    <row r="1542" ht="15.75" customHeight="1">
      <c r="A1542" s="2" t="s">
        <v>1542</v>
      </c>
      <c r="B1542" s="2" t="str">
        <f>IFERROR(__xludf.DUMMYFUNCTION("GOOGLETRANSLATE(A1542, ""en"", ""mt"")"),"Minbarra Watt, Boulton u Smeaton, li l-magna tagħhom kienet disinn ta 'atmosfera?")</f>
        <v>Minbarra Watt, Boulton u Smeaton, li l-magna tagħhom kienet disinn ta 'atmosfera?</v>
      </c>
    </row>
    <row r="1543" ht="15.75" customHeight="1">
      <c r="A1543" s="2" t="s">
        <v>1543</v>
      </c>
      <c r="B1543" s="2" t="str">
        <f>IFERROR(__xludf.DUMMYFUNCTION("GOOGLETRANSLATE(A1543, ""en"", ""mt"")"),"maġġoranza sempliċi")</f>
        <v>maġġoranza sempliċi</v>
      </c>
    </row>
    <row r="1544" ht="15.75" customHeight="1">
      <c r="A1544" s="2" t="s">
        <v>1544</v>
      </c>
      <c r="B1544" s="2" t="str">
        <f>IFERROR(__xludf.DUMMYFUNCTION("GOOGLETRANSLATE(A1544, ""en"", ""mt"")"),"Fejn għandhom il-kakti kloroplasti?")</f>
        <v>Fejn għandhom il-kakti kloroplasti?</v>
      </c>
    </row>
    <row r="1545" ht="15.75" customHeight="1">
      <c r="A1545" s="2" t="s">
        <v>1545</v>
      </c>
      <c r="B1545" s="2" t="str">
        <f>IFERROR(__xludf.DUMMYFUNCTION("GOOGLETRANSLATE(A1545, ""en"", ""mt"")"),"NBC Blu")</f>
        <v>NBC Blu</v>
      </c>
    </row>
    <row r="1546" ht="15.75" customHeight="1">
      <c r="A1546" s="2" t="s">
        <v>1546</v>
      </c>
      <c r="B1546" s="2" t="str">
        <f>IFERROR(__xludf.DUMMYFUNCTION("GOOGLETRANSLATE(A1546, ""en"", ""mt"")"),"Min fetaħ il-bini l-ġdid tal-Parlament fid-9 ta 'Ottubru, 2004?")</f>
        <v>Min fetaħ il-bini l-ġdid tal-Parlament fid-9 ta 'Ottubru, 2004?</v>
      </c>
    </row>
    <row r="1547" ht="15.75" customHeight="1">
      <c r="A1547" s="2" t="s">
        <v>1547</v>
      </c>
      <c r="B1547" s="2" t="str">
        <f>IFERROR(__xludf.DUMMYFUNCTION("GOOGLETRANSLATE(A1547, ""en"", ""mt"")"),"Meded peninsulari")</f>
        <v>Meded peninsulari</v>
      </c>
    </row>
    <row r="1548" ht="15.75" customHeight="1">
      <c r="A1548" s="2" t="s">
        <v>1548</v>
      </c>
      <c r="B1548" s="2" t="str">
        <f>IFERROR(__xludf.DUMMYFUNCTION("GOOGLETRANSLATE(A1548, ""en"", ""mt"")"),"Liema żewġ korpi ta 'tmexxija għandhom poter leġiżlattiv tal-veto?")</f>
        <v>Liema żewġ korpi ta 'tmexxija għandhom poter leġiżlattiv tal-veto?</v>
      </c>
    </row>
    <row r="1549" ht="15.75" customHeight="1">
      <c r="A1549" s="2" t="s">
        <v>1549</v>
      </c>
      <c r="B1549" s="2" t="str">
        <f>IFERROR(__xludf.DUMMYFUNCTION("GOOGLETRANSLATE(A1549, ""en"", ""mt"")"),"X'kien l-istil tas-salut ta 'Luther fi tmiem id-diskors tiegħu?")</f>
        <v>X'kien l-istil tas-salut ta 'Luther fi tmiem id-diskors tiegħu?</v>
      </c>
    </row>
    <row r="1550" ht="15.75" customHeight="1">
      <c r="A1550" s="2" t="s">
        <v>1550</v>
      </c>
      <c r="B1550" s="2" t="str">
        <f>IFERROR(__xludf.DUMMYFUNCTION("GOOGLETRANSLATE(A1550, ""en"", ""mt"")"),"ħin polinomjali")</f>
        <v>ħin polinomjali</v>
      </c>
    </row>
    <row r="1551" ht="15.75" customHeight="1">
      <c r="A1551" s="2" t="s">
        <v>1551</v>
      </c>
      <c r="B1551" s="2" t="str">
        <f>IFERROR(__xludf.DUMMYFUNCTION("GOOGLETRANSLATE(A1551, ""en"", ""mt"")"),"Il-Parlament tipikament joqgħod it-Tlieta, l-Erbgħa u l-Ħamis mill-bidu ta 'Jannar sal-aħħar ta' Ġunju u mill-bidu ta 'Settembru sa nofs Diċembru, b'ħeġġa ta' ġimgħatejn f'April u Ottubru. Laqgħat plenarji fil-kamra tad-dibattitu ġeneralment isiru nhar l-"&amp;"Erbgħa wara nofsinhar mis-2 pm sas-6 pm u nhar il-Ħamis mid-9: 15 am sas-6 pm. Id-dibattiti tal-kamra u l-laqgħat tal-kumitat huma miftuħa għall-pubbliku. Id-dħul huwa bla ħlas, iżda l-prenotazzjoni bil-quddiem hija rrakkomandata minħabba spazju limitat. "&amp;"Il-laqgħat jixxandru fuq il-kanal tal-Parlament stess Holyrood.tv u fuq il-Kanal Parlamentari tal-BBC BBC Parlament. Il-proċeduri huma rreġistrati wkoll f'forma ta 'test, bl-istampar u online, fir-rapport uffiċjali, li huwa t-traskrizzjoni sostanzjalment "&amp;"verbatim tad-dibattiti parlamentari.")</f>
        <v>Il-Parlament tipikament joqgħod it-Tlieta, l-Erbgħa u l-Ħamis mill-bidu ta 'Jannar sal-aħħar ta' Ġunju u mill-bidu ta 'Settembru sa nofs Diċembru, b'ħeġġa ta' ġimgħatejn f'April u Ottubru. Laqgħat plenarji fil-kamra tad-dibattitu ġeneralment isiru nhar l-Erbgħa wara nofsinhar mis-2 pm sas-6 pm u nhar il-Ħamis mid-9: 15 am sas-6 pm. Id-dibattiti tal-kamra u l-laqgħat tal-kumitat huma miftuħa għall-pubbliku. Id-dħul huwa bla ħlas, iżda l-prenotazzjoni bil-quddiem hija rrakkomandata minħabba spazju limitat. Il-laqgħat jixxandru fuq il-kanal tal-Parlament stess Holyrood.tv u fuq il-Kanal Parlamentari tal-BBC BBC Parlament. Il-proċeduri huma rreġistrati wkoll f'forma ta 'test, bl-istampar u online, fir-rapport uffiċjali, li huwa t-traskrizzjoni sostanzjalment verbatim tad-dibattiti parlamentari.</v>
      </c>
    </row>
    <row r="1552" ht="15.75" customHeight="1">
      <c r="A1552" s="2" t="s">
        <v>1552</v>
      </c>
      <c r="B1552" s="2" t="str">
        <f>IFERROR(__xludf.DUMMYFUNCTION("GOOGLETRANSLATE(A1552, ""en"", ""mt"")"),"F'liema grawnd seħħ Super Bowl 50?")</f>
        <v>F'liema grawnd seħħ Super Bowl 50?</v>
      </c>
    </row>
    <row r="1553" ht="15.75" customHeight="1">
      <c r="A1553" s="2" t="s">
        <v>1553</v>
      </c>
      <c r="B1553" s="2" t="str">
        <f>IFERROR(__xludf.DUMMYFUNCTION("GOOGLETRANSLATE(A1553, ""en"", ""mt"")"),"Ko-tagħlim")</f>
        <v>Ko-tagħlim</v>
      </c>
    </row>
    <row r="1554" ht="15.75" customHeight="1">
      <c r="A1554" s="2" t="s">
        <v>1554</v>
      </c>
      <c r="B1554" s="2" t="str">
        <f>IFERROR(__xludf.DUMMYFUNCTION("GOOGLETRANSLATE(A1554, ""en"", ""mt"")"),"Percy Shelley")</f>
        <v>Percy Shelley</v>
      </c>
    </row>
    <row r="1555" ht="15.75" customHeight="1">
      <c r="A1555" s="2" t="s">
        <v>1555</v>
      </c>
      <c r="B1555" s="2" t="str">
        <f>IFERROR(__xludf.DUMMYFUNCTION("GOOGLETRANSLATE(A1555, ""en"", ""mt"")"),"Fit-teżijiet u t-tilwim tiegħu kontra l-Antinomjani, ir-reviżjonijiet ta 'Luther u l-affermazzjonijiet mill-ġdid, minn naħa, dak li ġie msejjaħ ""it-tieni użu tal-liġi,"" jiġifieri, il-liġi bħala l-għodda tal-Ispirtu s-Santu biex taħdem niket fuq id-dnub "&amp;"f'qalb il-bniedem , b'hekk tħejjih għat-twettiq ta 'Kristu tal-liġi offruta fl-Evanġelju. Luther jiddikjara li dak kollu li huwa użat biex jaħdem niket fuq id-dnub jissejjaħ il-liġi, anke jekk hija l-ħajja ta ’Kristu, il-mewt ta’ Kristu għad-dnub, jew it-"&amp;"tjubija ta ’Alla esperjenzata fil-ħolqien. Sempliċement tirrifjuta li tippridka l-għaxar kmandamenti fost l-insara - u b'hekk, kif kien, tneħħi t-tliet ittri L-A-W mill-knisja - ma teliminax il-liġi li takkuża. Li tiddikjara li l-liġi - taħt kwalunkwe for"&amp;"ma - m'għandhiex tkun ippriedka lill-insara aktar tkun daqskemm tiddikjara li l-Insara m'għadhomx midinbin fihom infushom u li l-knisja tikkonsisti biss minn nies essenzjalment qaddisa.")</f>
        <v>Fit-teżijiet u t-tilwim tiegħu kontra l-Antinomjani, ir-reviżjonijiet ta 'Luther u l-affermazzjonijiet mill-ġdid, minn naħa, dak li ġie msejjaħ "it-tieni użu tal-liġi," jiġifieri, il-liġi bħala l-għodda tal-Ispirtu s-Santu biex taħdem niket fuq id-dnub f'qalb il-bniedem , b'hekk tħejjih għat-twettiq ta 'Kristu tal-liġi offruta fl-Evanġelju. Luther jiddikjara li dak kollu li huwa użat biex jaħdem niket fuq id-dnub jissejjaħ il-liġi, anke jekk hija l-ħajja ta ’Kristu, il-mewt ta’ Kristu għad-dnub, jew it-tjubija ta ’Alla esperjenzata fil-ħolqien. Sempliċement tirrifjuta li tippridka l-għaxar kmandamenti fost l-insara - u b'hekk, kif kien, tneħħi t-tliet ittri L-A-W mill-knisja - ma teliminax il-liġi li takkuża. Li tiddikjara li l-liġi - taħt kwalunkwe forma - m'għandhiex tkun ippriedka lill-insara aktar tkun daqskemm tiddikjara li l-Insara m'għadhomx midinbin fihom infushom u li l-knisja tikkonsisti biss minn nies essenzjalment qaddisa.</v>
      </c>
    </row>
    <row r="1556" ht="15.75" customHeight="1">
      <c r="A1556" s="2" t="s">
        <v>1556</v>
      </c>
      <c r="B1556" s="2" t="str">
        <f>IFERROR(__xludf.DUMMYFUNCTION("GOOGLETRANSLATE(A1556, ""en"", ""mt"")"),"ugwaljanza")</f>
        <v>ugwaljanza</v>
      </c>
    </row>
    <row r="1557" ht="15.75" customHeight="1">
      <c r="A1557" s="2" t="s">
        <v>1557</v>
      </c>
      <c r="B1557" s="2" t="str">
        <f>IFERROR(__xludf.DUMMYFUNCTION("GOOGLETRANSLATE(A1557, ""en"", ""mt"")"),"Daewoo")</f>
        <v>Daewoo</v>
      </c>
    </row>
    <row r="1558" ht="15.75" customHeight="1">
      <c r="A1558" s="2" t="s">
        <v>1558</v>
      </c>
      <c r="B1558" s="2" t="str">
        <f>IFERROR(__xludf.DUMMYFUNCTION("GOOGLETRANSLATE(A1558, ""en"", ""mt"")"),"1629")</f>
        <v>1629</v>
      </c>
    </row>
    <row r="1559" ht="15.75" customHeight="1">
      <c r="A1559" s="2" t="s">
        <v>1559</v>
      </c>
      <c r="B1559" s="2" t="str">
        <f>IFERROR(__xludf.DUMMYFUNCTION("GOOGLETRANSLATE(A1559, ""en"", ""mt"")"),"L-Att dwar ir-Riċevitur tal-Kanal kollu ta l-appoġġ tal-appoġġ ta 'x'tip ta' rfinar?")</f>
        <v>L-Att dwar ir-Riċevitur tal-Kanal kollu ta l-appoġġ tal-appoġġ ta 'x'tip ta' rfinar?</v>
      </c>
    </row>
    <row r="1560" ht="15.75" customHeight="1">
      <c r="A1560" s="2" t="s">
        <v>1560</v>
      </c>
      <c r="B1560" s="2" t="str">
        <f>IFERROR(__xludf.DUMMYFUNCTION("GOOGLETRANSLATE(A1560, ""en"", ""mt"")"),"Għal xiex huwa QED qasir?")</f>
        <v>Għal xiex huwa QED qasir?</v>
      </c>
    </row>
    <row r="1561" ht="15.75" customHeight="1">
      <c r="A1561" s="2" t="s">
        <v>1561</v>
      </c>
      <c r="B1561" s="2" t="str">
        <f>IFERROR(__xludf.DUMMYFUNCTION("GOOGLETRANSLATE(A1561, ""en"", ""mt"")"),"X'inhi l-pressjoni parzjali tal-ossiġnu tal-ilbiesi spazjali?")</f>
        <v>X'inhi l-pressjoni parzjali tal-ossiġnu tal-ilbiesi spazjali?</v>
      </c>
    </row>
    <row r="1562" ht="15.75" customHeight="1">
      <c r="A1562" s="2" t="s">
        <v>1562</v>
      </c>
      <c r="B1562" s="2" t="str">
        <f>IFERROR(__xludf.DUMMYFUNCTION("GOOGLETRANSLATE(A1562, ""en"", ""mt"")"),"skorpjun")</f>
        <v>skorpjun</v>
      </c>
    </row>
    <row r="1563" ht="15.75" customHeight="1">
      <c r="A1563" s="2" t="s">
        <v>1563</v>
      </c>
      <c r="B1563" s="2" t="str">
        <f>IFERROR(__xludf.DUMMYFUNCTION("GOOGLETRANSLATE(A1563, ""en"", ""mt"")"),"7 Pjazza Lincoln")</f>
        <v>7 Pjazza Lincoln</v>
      </c>
    </row>
    <row r="1564" ht="15.75" customHeight="1">
      <c r="A1564" s="2" t="s">
        <v>1564</v>
      </c>
      <c r="B1564" s="2" t="str">
        <f>IFERROR(__xludf.DUMMYFUNCTION("GOOGLETRANSLATE(A1564, ""en"", ""mt"")"),"relazzjoni ta 'ċittadin mal-istat u l-liġijiet tiegħu,")</f>
        <v>relazzjoni ta 'ċittadin mal-istat u l-liġijiet tiegħu,</v>
      </c>
    </row>
    <row r="1565" ht="15.75" customHeight="1">
      <c r="A1565" s="2" t="s">
        <v>1565</v>
      </c>
      <c r="B1565" s="2" t="str">
        <f>IFERROR(__xludf.DUMMYFUNCTION("GOOGLETRANSLATE(A1565, ""en"", ""mt"")"),"Fejn isseħħ iċ-ċaħda tas-sħana fiċ-ċiklu ta 'Rankine?")</f>
        <v>Fejn isseħħ iċ-ċaħda tas-sħana fiċ-ċiklu ta 'Rankine?</v>
      </c>
    </row>
    <row r="1566" ht="15.75" customHeight="1">
      <c r="A1566" s="2" t="s">
        <v>1566</v>
      </c>
      <c r="B1566" s="2" t="str">
        <f>IFERROR(__xludf.DUMMYFUNCTION("GOOGLETRANSLATE(A1566, ""en"", ""mt"")"),"Kummissjoni OMINDE")</f>
        <v>Kummissjoni OMINDE</v>
      </c>
    </row>
    <row r="1567" ht="15.75" customHeight="1">
      <c r="A1567" s="2" t="s">
        <v>1567</v>
      </c>
      <c r="B1567" s="2" t="str">
        <f>IFERROR(__xludf.DUMMYFUNCTION("GOOGLETRANSLATE(A1567, ""en"", ""mt"")"),"akbar")</f>
        <v>akbar</v>
      </c>
    </row>
    <row r="1568" ht="15.75" customHeight="1">
      <c r="A1568" s="2" t="s">
        <v>1568</v>
      </c>
      <c r="B1568" s="2" t="str">
        <f>IFERROR(__xludf.DUMMYFUNCTION("GOOGLETRANSLATE(A1568, ""en"", ""mt"")"),"X'kien l-ewwel pjan tagħhom li tnediet?")</f>
        <v>X'kien l-ewwel pjan tagħhom li tnediet?</v>
      </c>
    </row>
    <row r="1569" ht="15.75" customHeight="1">
      <c r="A1569" s="2" t="s">
        <v>1569</v>
      </c>
      <c r="B1569" s="2" t="str">
        <f>IFERROR(__xludf.DUMMYFUNCTION("GOOGLETRANSLATE(A1569, ""en"", ""mt"")"),"subtropikali")</f>
        <v>subtropikali</v>
      </c>
    </row>
    <row r="1570" ht="15.75" customHeight="1">
      <c r="A1570" s="2" t="s">
        <v>1570</v>
      </c>
      <c r="B1570" s="2" t="str">
        <f>IFERROR(__xludf.DUMMYFUNCTION("GOOGLETRANSLATE(A1570, ""en"", ""mt"")"),"Ilma (H2O) u dijossidu tal-karbonju (CO2)")</f>
        <v>Ilma (H2O) u dijossidu tal-karbonju (CO2)</v>
      </c>
    </row>
    <row r="1571" ht="15.75" customHeight="1">
      <c r="A1571" s="2" t="s">
        <v>1571</v>
      </c>
      <c r="B1571" s="2" t="str">
        <f>IFERROR(__xludf.DUMMYFUNCTION("GOOGLETRANSLATE(A1571, ""en"", ""mt"")"),"Diversi proċeduri")</f>
        <v>Diversi proċeduri</v>
      </c>
    </row>
    <row r="1572" ht="15.75" customHeight="1">
      <c r="A1572" s="2" t="s">
        <v>1572</v>
      </c>
      <c r="B1572" s="2" t="str">
        <f>IFERROR(__xludf.DUMMYFUNCTION("GOOGLETRANSLATE(A1572, ""en"", ""mt"")"),"Dragons Rock")</f>
        <v>Dragons Rock</v>
      </c>
    </row>
    <row r="1573" ht="15.75" customHeight="1">
      <c r="A1573" s="2" t="s">
        <v>1573</v>
      </c>
      <c r="B1573" s="2" t="str">
        <f>IFERROR(__xludf.DUMMYFUNCTION("GOOGLETRANSLATE(A1573, ""en"", ""mt"")"),"Liema grupp ta 'nies wettaq diżubbidjenza ċivili rivoluzzjonarja lejn il-gvern Awstrijak?")</f>
        <v>Liema grupp ta 'nies wettaq diżubbidjenza ċivili rivoluzzjonarja lejn il-gvern Awstrijak?</v>
      </c>
    </row>
    <row r="1574" ht="15.75" customHeight="1">
      <c r="A1574" s="2" t="s">
        <v>1574</v>
      </c>
      <c r="B1574" s="2" t="str">
        <f>IFERROR(__xludf.DUMMYFUNCTION("GOOGLETRANSLATE(A1574, ""en"", ""mt"")"),"Fl-2009")</f>
        <v>Fl-2009</v>
      </c>
    </row>
    <row r="1575" ht="15.75" customHeight="1">
      <c r="A1575" s="2" t="s">
        <v>1575</v>
      </c>
      <c r="B1575" s="2" t="str">
        <f>IFERROR(__xludf.DUMMYFUNCTION("GOOGLETRANSLATE(A1575, ""en"", ""mt"")"),"7:00 sad-9.00 A.M.")</f>
        <v>7:00 sad-9.00 A.M.</v>
      </c>
    </row>
    <row r="1576" ht="15.75" customHeight="1">
      <c r="A1576" s="2" t="s">
        <v>1576</v>
      </c>
      <c r="B1576" s="2" t="str">
        <f>IFERROR(__xludf.DUMMYFUNCTION("GOOGLETRANSLATE(A1576, ""en"", ""mt"")"),"X'inhi l-unika storja tas-serje oriġinali fejn Doctor Who jivvjaġġa waħdu?")</f>
        <v>X'inhi l-unika storja tas-serje oriġinali fejn Doctor Who jivvjaġġa waħdu?</v>
      </c>
    </row>
    <row r="1577" ht="15.75" customHeight="1">
      <c r="A1577" s="2" t="s">
        <v>1577</v>
      </c>
      <c r="B1577" s="2" t="str">
        <f>IFERROR(__xludf.DUMMYFUNCTION("GOOGLETRANSLATE(A1577, ""en"", ""mt"")"),"Min iffinanzja l-gallerija l-ġdida tal-ġojjelli li fetħet fl-2008?")</f>
        <v>Min iffinanzja l-gallerija l-ġdida tal-ġojjelli li fetħet fl-2008?</v>
      </c>
    </row>
    <row r="1578" ht="15.75" customHeight="1">
      <c r="A1578" s="2" t="s">
        <v>1578</v>
      </c>
      <c r="B1578" s="2" t="str">
        <f>IFERROR(__xludf.DUMMYFUNCTION("GOOGLETRANSLATE(A1578, ""en"", ""mt"")"),"F'liema sena twaqqfet il-Victoria and Albert Museum?")</f>
        <v>F'liema sena twaqqfet il-Victoria and Albert Museum?</v>
      </c>
    </row>
    <row r="1579" ht="15.75" customHeight="1">
      <c r="A1579" s="2" t="s">
        <v>1579</v>
      </c>
      <c r="B1579" s="2" t="str">
        <f>IFERROR(__xludf.DUMMYFUNCTION("GOOGLETRANSLATE(A1579, ""en"", ""mt"")"),"Indjani ġġieldu fuq iż-żewġ naħat tal-kunflitt")</f>
        <v>Indjani ġġieldu fuq iż-żewġ naħat tal-kunflitt</v>
      </c>
    </row>
    <row r="1580" ht="15.75" customHeight="1">
      <c r="A1580" s="2" t="s">
        <v>1580</v>
      </c>
      <c r="B1580" s="2" t="str">
        <f>IFERROR(__xludf.DUMMYFUNCTION("GOOGLETRANSLATE(A1580, ""en"", ""mt"")"),"Għalliema reliġjużi u spiritwali, bħal gurus, mullahs, rabbis, ragħajja / ragħajja taż-żgħażagħ u lamas, jistgħu jgħallmu testi reliġjużi bħall-Quran, Torah jew il-Bibbja.")</f>
        <v>Għalliema reliġjużi u spiritwali, bħal gurus, mullahs, rabbis, ragħajja / ragħajja taż-żgħażagħ u lamas, jistgħu jgħallmu testi reliġjużi bħall-Quran, Torah jew il-Bibbja.</v>
      </c>
    </row>
    <row r="1581" ht="15.75" customHeight="1">
      <c r="A1581" s="2" t="s">
        <v>1581</v>
      </c>
      <c r="B1581" s="2" t="str">
        <f>IFERROR(__xludf.DUMMYFUNCTION("GOOGLETRANSLATE(A1581, ""en"", ""mt"")"),"Madwar 20 siegħa")</f>
        <v>Madwar 20 siegħa</v>
      </c>
    </row>
    <row r="1582" ht="15.75" customHeight="1">
      <c r="A1582" s="2" t="s">
        <v>1582</v>
      </c>
      <c r="B1582" s="2" t="str">
        <f>IFERROR(__xludf.DUMMYFUNCTION("GOOGLETRANSLATE(A1582, ""en"", ""mt"")"),"X'inhu mistenni bl-input kontinwu tas-sediment fid-Dornbirner ACh?")</f>
        <v>X'inhu mistenni bl-input kontinwu tas-sediment fid-Dornbirner ACh?</v>
      </c>
    </row>
    <row r="1583" ht="15.75" customHeight="1">
      <c r="A1583" s="2" t="s">
        <v>1583</v>
      </c>
      <c r="B1583" s="2" t="str">
        <f>IFERROR(__xludf.DUMMYFUNCTION("GOOGLETRANSLATE(A1583, ""en"", ""mt"")"),"Fuq liema single Beyoncé u Coldplay ikkollaboraw?")</f>
        <v>Fuq liema single Beyoncé u Coldplay ikkollaboraw?</v>
      </c>
    </row>
    <row r="1584" ht="15.75" customHeight="1">
      <c r="A1584" s="2" t="s">
        <v>1584</v>
      </c>
      <c r="B1584" s="2" t="str">
        <f>IFERROR(__xludf.DUMMYFUNCTION("GOOGLETRANSLATE(A1584, ""en"", ""mt"")"),"Ħafna art u akkomodazzjoni")</f>
        <v>Ħafna art u akkomodazzjoni</v>
      </c>
    </row>
    <row r="1585" ht="15.75" customHeight="1">
      <c r="A1585" s="2" t="s">
        <v>1585</v>
      </c>
      <c r="B1585" s="2" t="str">
        <f>IFERROR(__xludf.DUMMYFUNCTION("GOOGLETRANSLATE(A1585, ""en"", ""mt"")"),"X'inhuma l-għalliema meqjusa li huma fil-Ġermanja?")</f>
        <v>X'inhuma l-għalliema meqjusa li huma fil-Ġermanja?</v>
      </c>
    </row>
    <row r="1586" ht="15.75" customHeight="1">
      <c r="A1586" s="2" t="s">
        <v>1586</v>
      </c>
      <c r="B1586" s="2" t="str">
        <f>IFERROR(__xludf.DUMMYFUNCTION("GOOGLETRANSLATE(A1586, ""en"", ""mt"")"),"Dillon, Aqra &amp; Co.")</f>
        <v>Dillon, Aqra &amp; Co.</v>
      </c>
    </row>
    <row r="1587" ht="15.75" customHeight="1">
      <c r="A1587" s="2" t="s">
        <v>1587</v>
      </c>
      <c r="B1587" s="2" t="str">
        <f>IFERROR(__xludf.DUMMYFUNCTION("GOOGLETRANSLATE(A1587, ""en"", ""mt"")"),"acupuncture, moxibustion, dijanjosi tal-polz, u diversi mediċini tal-ħxejjex")</f>
        <v>acupuncture, moxibustion, dijanjosi tal-polz, u diversi mediċini tal-ħxejjex</v>
      </c>
    </row>
    <row r="1588" ht="15.75" customHeight="1">
      <c r="A1588" s="2" t="s">
        <v>1588</v>
      </c>
      <c r="B1588" s="2" t="str">
        <f>IFERROR(__xludf.DUMMYFUNCTION("GOOGLETRANSLATE(A1588, ""en"", ""mt"")"),"X'jista 'jiġi ppreżentat lill-Parlament b'diversi modi?")</f>
        <v>X'jista 'jiġi ppreżentat lill-Parlament b'diversi modi?</v>
      </c>
    </row>
    <row r="1589" ht="15.75" customHeight="1">
      <c r="A1589" s="2" t="s">
        <v>1589</v>
      </c>
      <c r="B1589" s="2" t="str">
        <f>IFERROR(__xludf.DUMMYFUNCTION("GOOGLETRANSLATE(A1589, ""en"", ""mt"")"),"Liema viċinat ta 'Londra ġibed refuġjati Huguenot?")</f>
        <v>Liema viċinat ta 'Londra ġibed refuġjati Huguenot?</v>
      </c>
    </row>
    <row r="1590" ht="15.75" customHeight="1">
      <c r="A1590" s="2" t="s">
        <v>1590</v>
      </c>
      <c r="B1590" s="2" t="str">
        <f>IFERROR(__xludf.DUMMYFUNCTION("GOOGLETRANSLATE(A1590, ""en"", ""mt"")"),"It-Tlieta")</f>
        <v>It-Tlieta</v>
      </c>
    </row>
    <row r="1591" ht="15.75" customHeight="1">
      <c r="A1591" s="2" t="s">
        <v>1591</v>
      </c>
      <c r="B1591" s="2" t="str">
        <f>IFERROR(__xludf.DUMMYFUNCTION("GOOGLETRANSLATE(A1591, ""en"", ""mt"")"),"Min jista 'jkun responsabbli għad-dixxiplina tal-istudenti?")</f>
        <v>Min jista 'jkun responsabbli għad-dixxiplina tal-istudenti?</v>
      </c>
    </row>
    <row r="1592" ht="15.75" customHeight="1">
      <c r="A1592" s="2" t="s">
        <v>1592</v>
      </c>
      <c r="B1592" s="2" t="str">
        <f>IFERROR(__xludf.DUMMYFUNCTION("GOOGLETRANSLATE(A1592, ""en"", ""mt"")"),"Path paraboliku mgħawweġ")</f>
        <v>Path paraboliku mgħawweġ</v>
      </c>
    </row>
    <row r="1593" ht="15.75" customHeight="1">
      <c r="A1593" s="2" t="s">
        <v>1593</v>
      </c>
      <c r="B1593" s="2" t="str">
        <f>IFERROR(__xludf.DUMMYFUNCTION("GOOGLETRANSLATE(A1593, ""en"", ""mt"")"),"Il-kwistjonijiet speċifiċi devoluti huma s-suġġetti kollha li mhumiex iddikjarati espliċitament fl-Iskeda 5 għall-Att tal-Iskozja bħala kwistjonijiet riservati. Il-kwistjonijiet kollha li mhumiex riservati speċifikament huma awtomatikament devoluti għall-"&amp;"Parlament Skoċċiż. L-iktar importanti, dan jinkludi l-agrikoltura, is-sajd u l-forestrija, l-iżvilupp ekonomiku, l-edukazzjoni, l-ambjent, l-istandards tal-ikel, is-saħħa, l-affarijiet interni, il-liġi Skoċċiża - qrati, servizzi tal-pulizija u tan-nar, gv"&amp;"ern lokali, sport, sport u l-arti, trasport, taħriġ, turiżmu, riċerka u statistika u xogħol soċjali. Il-Parlament Skoċċiż għandu l-abbiltà li jbiddel it-taxxa fuq id-dħul fl-Iskozja sa 3 sold fil-lira. L-Att tal-2012 ikkonferiet aktar devoluzzjoni fiskali"&amp;" inklużi setgħat ta ’self u xi kwistjonijiet oħra mhux konnessi bħalma huma l-issettjar tal-limiti tal-veloċità u l-kontroll tal-pistoli tal-ajru.")</f>
        <v>Il-kwistjonijiet speċifiċi devoluti huma s-suġġetti kollha li mhumiex iddikjarati espliċitament fl-Iskeda 5 għall-Att tal-Iskozja bħala kwistjonijiet riservati. Il-kwistjonijiet kollha li mhumiex riservati speċifikament huma awtomatikament devoluti għall-Parlament Skoċċiż. L-iktar importanti, dan jinkludi l-agrikoltura, is-sajd u l-forestrija, l-iżvilupp ekonomiku, l-edukazzjoni, l-ambjent, l-istandards tal-ikel, is-saħħa, l-affarijiet interni, il-liġi Skoċċiża - qrati, servizzi tal-pulizija u tan-nar, gvern lokali, sport, sport u l-arti, trasport, taħriġ, turiżmu, riċerka u statistika u xogħol soċjali. Il-Parlament Skoċċiż għandu l-abbiltà li jbiddel it-taxxa fuq id-dħul fl-Iskozja sa 3 sold fil-lira. L-Att tal-2012 ikkonferiet aktar devoluzzjoni fiskali inklużi setgħat ta ’self u xi kwistjonijiet oħra mhux konnessi bħalma huma l-issettjar tal-limiti tal-veloċità u l-kontroll tal-pistoli tal-ajru.</v>
      </c>
    </row>
    <row r="1594" ht="15.75" customHeight="1">
      <c r="A1594" s="2" t="s">
        <v>1594</v>
      </c>
      <c r="B1594" s="2" t="str">
        <f>IFERROR(__xludf.DUMMYFUNCTION("GOOGLETRANSLATE(A1594, ""en"", ""mt"")"),"Liema parti mill-Att dwar il-Kunsill tat-Tagħlim teħtieġ reġistrazzjoni?")</f>
        <v>Liema parti mill-Att dwar il-Kunsill tat-Tagħlim teħtieġ reġistrazzjoni?</v>
      </c>
    </row>
    <row r="1595" ht="15.75" customHeight="1">
      <c r="A1595" s="2" t="s">
        <v>1595</v>
      </c>
      <c r="B1595" s="2" t="str">
        <f>IFERROR(__xludf.DUMMYFUNCTION("GOOGLETRANSLATE(A1595, ""en"", ""mt"")"),"Il-bnedmin kollha huma midinbin min-natura, huwa spjega, u l-grazzja ta ’Alla (li ma tistax tinkiseb) waħedha tista’ tagħmilhom ġusti.")</f>
        <v>Il-bnedmin kollha huma midinbin min-natura, huwa spjega, u l-grazzja ta ’Alla (li ma tistax tinkiseb) waħedha tista’ tagħmilhom ġusti.</v>
      </c>
    </row>
    <row r="1596" ht="15.75" customHeight="1">
      <c r="A1596" s="2" t="s">
        <v>1596</v>
      </c>
      <c r="B1596" s="2" t="str">
        <f>IFERROR(__xludf.DUMMYFUNCTION("GOOGLETRANSLATE(A1596, ""en"", ""mt"")"),"71")</f>
        <v>71</v>
      </c>
    </row>
    <row r="1597" ht="15.75" customHeight="1">
      <c r="A1597" s="2" t="s">
        <v>1597</v>
      </c>
      <c r="B1597" s="2" t="str">
        <f>IFERROR(__xludf.DUMMYFUNCTION("GOOGLETRANSLATE(A1597, ""en"", ""mt"")"),"Uġigħ fiżiku")</f>
        <v>Uġigħ fiżiku</v>
      </c>
    </row>
    <row r="1598" ht="15.75" customHeight="1">
      <c r="A1598" s="2" t="s">
        <v>1598</v>
      </c>
      <c r="B1598" s="2" t="str">
        <f>IFERROR(__xludf.DUMMYFUNCTION("GOOGLETRANSLATE(A1598, ""en"", ""mt"")"),"Liema xahar huwa l-ewwel wieħed fis-sena l-parlament jieħu vaganza ta 'ġimgħatejn?")</f>
        <v>Liema xahar huwa l-ewwel wieħed fis-sena l-parlament jieħu vaganza ta 'ġimgħatejn?</v>
      </c>
    </row>
    <row r="1599" ht="15.75" customHeight="1">
      <c r="A1599" s="2" t="s">
        <v>1599</v>
      </c>
      <c r="B1599" s="2" t="str">
        <f>IFERROR(__xludf.DUMMYFUNCTION("GOOGLETRANSLATE(A1599, ""en"", ""mt"")"),"Ħajjiet tad-dixxipli tagħhom")</f>
        <v>Ħajjiet tad-dixxipli tagħhom</v>
      </c>
    </row>
    <row r="1600" ht="15.75" customHeight="1">
      <c r="A1600" s="2" t="s">
        <v>1600</v>
      </c>
      <c r="B1600" s="2" t="str">
        <f>IFERROR(__xludf.DUMMYFUNCTION("GOOGLETRANSLATE(A1600, ""en"", ""mt"")"),"Qilla ta ’Alla lill-Insara.")</f>
        <v>Qilla ta ’Alla lill-Insara.</v>
      </c>
    </row>
    <row r="1601" ht="15.75" customHeight="1">
      <c r="A1601" s="2" t="s">
        <v>1601</v>
      </c>
      <c r="B1601" s="2" t="str">
        <f>IFERROR(__xludf.DUMMYFUNCTION("GOOGLETRANSLATE(A1601, ""en"", ""mt"")"),"BBC Radio Newcastle")</f>
        <v>BBC Radio Newcastle</v>
      </c>
    </row>
    <row r="1602" ht="15.75" customHeight="1">
      <c r="A1602" s="2" t="s">
        <v>1602</v>
      </c>
      <c r="B1602" s="2" t="str">
        <f>IFERROR(__xludf.DUMMYFUNCTION("GOOGLETRANSLATE(A1602, ""en"", ""mt"")"),"11 ta 'Lulju 1934")</f>
        <v>11 ta 'Lulju 1934</v>
      </c>
    </row>
    <row r="1603" ht="15.75" customHeight="1">
      <c r="A1603" s="2" t="s">
        <v>1603</v>
      </c>
      <c r="B1603" s="2" t="str">
        <f>IFERROR(__xludf.DUMMYFUNCTION("GOOGLETRANSLATE(A1603, ""en"", ""mt"")"),"Liema firmatarju tal-Artikoli tal-Konfederazzjoni kien imnissel minn Huguenots?")</f>
        <v>Liema firmatarju tal-Artikoli tal-Konfederazzjoni kien imnissel minn Huguenots?</v>
      </c>
    </row>
    <row r="1604" ht="15.75" customHeight="1">
      <c r="A1604" s="2" t="s">
        <v>1604</v>
      </c>
      <c r="B1604" s="2" t="str">
        <f>IFERROR(__xludf.DUMMYFUNCTION("GOOGLETRANSLATE(A1604, ""en"", ""mt"")"),"75 anniversarju")</f>
        <v>75 anniversarju</v>
      </c>
    </row>
    <row r="1605" ht="15.75" customHeight="1">
      <c r="A1605" s="2" t="s">
        <v>1605</v>
      </c>
      <c r="B1605" s="2" t="str">
        <f>IFERROR(__xludf.DUMMYFUNCTION("GOOGLETRANSLATE(A1605, ""en"", ""mt"")"),"Meta s-sistema immuni hija inqas attiva min-normal")</f>
        <v>Meta s-sistema immuni hija inqas attiva min-normal</v>
      </c>
    </row>
    <row r="1606" ht="15.75" customHeight="1">
      <c r="A1606" s="2" t="s">
        <v>1606</v>
      </c>
      <c r="B1606" s="2" t="str">
        <f>IFERROR(__xludf.DUMMYFUNCTION("GOOGLETRANSLATE(A1606, ""en"", ""mt"")"),"Frar 2015")</f>
        <v>Frar 2015</v>
      </c>
    </row>
    <row r="1607" ht="15.75" customHeight="1">
      <c r="A1607" s="2" t="s">
        <v>1607</v>
      </c>
      <c r="B1607" s="2" t="str">
        <f>IFERROR(__xludf.DUMMYFUNCTION("GOOGLETRANSLATE(A1607, ""en"", ""mt"")"),"X'inhu l-isem tal-faċilità ta 'rikreazzjoni primarja ta' Harvard?")</f>
        <v>X'inhu l-isem tal-faċilità ta 'rikreazzjoni primarja ta' Harvard?</v>
      </c>
    </row>
    <row r="1608" ht="15.75" customHeight="1">
      <c r="A1608" s="2" t="s">
        <v>1608</v>
      </c>
      <c r="B1608" s="2" t="str">
        <f>IFERROR(__xludf.DUMMYFUNCTION("GOOGLETRANSLATE(A1608, ""en"", ""mt"")"),"8 ta 'Frar, 1974,")</f>
        <v>8 ta 'Frar, 1974,</v>
      </c>
    </row>
    <row r="1609" ht="15.75" customHeight="1">
      <c r="A1609" s="2" t="s">
        <v>1609</v>
      </c>
      <c r="B1609" s="2" t="str">
        <f>IFERROR(__xludf.DUMMYFUNCTION("GOOGLETRANSLATE(A1609, ""en"", ""mt"")"),"Radju Korporazzjoni tal-Amerika")</f>
        <v>Radju Korporazzjoni tal-Amerika</v>
      </c>
    </row>
    <row r="1610" ht="15.75" customHeight="1">
      <c r="A1610" s="2" t="s">
        <v>1610</v>
      </c>
      <c r="B1610" s="2" t="str">
        <f>IFERROR(__xludf.DUMMYFUNCTION("GOOGLETRANSLATE(A1610, ""en"", ""mt"")"),"Min kien stabbilixxa l-Imperu Russu għall-glorja preċedenti tiegħu qabel l-1921?")</f>
        <v>Min kien stabbilixxa l-Imperu Russu għall-glorja preċedenti tiegħu qabel l-1921?</v>
      </c>
    </row>
    <row r="1611" ht="15.75" customHeight="1">
      <c r="A1611" s="2" t="s">
        <v>1611</v>
      </c>
      <c r="B1611" s="2" t="str">
        <f>IFERROR(__xludf.DUMMYFUNCTION("GOOGLETRANSLATE(A1611, ""en"", ""mt"")"),"X’jmbisset il-kaxxa tas-sema +?")</f>
        <v>X’jmbisset il-kaxxa tas-sema +?</v>
      </c>
    </row>
    <row r="1612" ht="15.75" customHeight="1">
      <c r="A1612" s="2" t="s">
        <v>1612</v>
      </c>
      <c r="B1612" s="2" t="str">
        <f>IFERROR(__xludf.DUMMYFUNCTION("GOOGLETRANSLATE(A1612, ""en"", ""mt"")"),"X'tip ta 'teknoloġija li tibgħat qed tintuża biex tipproteġi l-artijiet tribali fl-Amażonja?")</f>
        <v>X'tip ta 'teknoloġija li tibgħat qed tintuża biex tipproteġi l-artijiet tribali fl-Amażonja?</v>
      </c>
    </row>
    <row r="1613" ht="15.75" customHeight="1">
      <c r="A1613" s="2" t="s">
        <v>1613</v>
      </c>
      <c r="B1613" s="2" t="str">
        <f>IFERROR(__xludf.DUMMYFUNCTION("GOOGLETRANSLATE(A1613, ""en"", ""mt"")"),"5,984")</f>
        <v>5,984</v>
      </c>
    </row>
    <row r="1614" ht="15.75" customHeight="1">
      <c r="A1614" s="2" t="s">
        <v>1614</v>
      </c>
      <c r="B1614" s="2" t="str">
        <f>IFERROR(__xludf.DUMMYFUNCTION("GOOGLETRANSLATE(A1614, ""en"", ""mt"")"),"Il-ġimgħa li għaddiet ta ’Frar 1974,")</f>
        <v>Il-ġimgħa li għaddiet ta ’Frar 1974,</v>
      </c>
    </row>
    <row r="1615" ht="15.75" customHeight="1">
      <c r="A1615" s="2" t="s">
        <v>1615</v>
      </c>
      <c r="B1615" s="2" t="str">
        <f>IFERROR(__xludf.DUMMYFUNCTION("GOOGLETRANSLATE(A1615, ""en"", ""mt"")"),"Żoni Episkopali,")</f>
        <v>Żoni Episkopali,</v>
      </c>
    </row>
    <row r="1616" ht="15.75" customHeight="1">
      <c r="A1616" s="2" t="s">
        <v>1616</v>
      </c>
      <c r="B1616" s="2" t="str">
        <f>IFERROR(__xludf.DUMMYFUNCTION("GOOGLETRANSLATE(A1616, ""en"", ""mt"")"),"Nies ta 'liema nazzjonalità vvintaw it-turbina tal-fwar?")</f>
        <v>Nies ta 'liema nazzjonalità vvintaw it-turbina tal-fwar?</v>
      </c>
    </row>
    <row r="1617" ht="15.75" customHeight="1">
      <c r="A1617" s="2" t="s">
        <v>1617</v>
      </c>
      <c r="B1617" s="2" t="str">
        <f>IFERROR(__xludf.DUMMYFUNCTION("GOOGLETRANSLATE(A1617, ""en"", ""mt"")"),"Padlocking il-bibien")</f>
        <v>Padlocking il-bibien</v>
      </c>
    </row>
    <row r="1618" ht="15.75" customHeight="1">
      <c r="A1618" s="2" t="s">
        <v>1618</v>
      </c>
      <c r="B1618" s="2" t="str">
        <f>IFERROR(__xludf.DUMMYFUNCTION("GOOGLETRANSLATE(A1618, ""en"", ""mt"")"),"militari")</f>
        <v>militari</v>
      </c>
    </row>
    <row r="1619" ht="15.75" customHeight="1">
      <c r="A1619" s="2" t="s">
        <v>1619</v>
      </c>
      <c r="B1619" s="2" t="str">
        <f>IFERROR(__xludf.DUMMYFUNCTION("GOOGLETRANSLATE(A1619, ""en"", ""mt"")"),"Liema tim kellu l-aħjar bidu li qatt kien fl-NFL?")</f>
        <v>Liema tim kellu l-aħjar bidu li qatt kien fl-NFL?</v>
      </c>
    </row>
    <row r="1620" ht="15.75" customHeight="1">
      <c r="A1620" s="2" t="s">
        <v>1620</v>
      </c>
      <c r="B1620" s="2" t="str">
        <f>IFERROR(__xludf.DUMMYFUNCTION("GOOGLETRANSLATE(A1620, ""en"", ""mt"")"),"fuq il-parti ta 'fuq")</f>
        <v>fuq il-parti ta 'fuq</v>
      </c>
    </row>
    <row r="1621" ht="15.75" customHeight="1">
      <c r="A1621" s="2" t="s">
        <v>1621</v>
      </c>
      <c r="B1621" s="2" t="str">
        <f>IFERROR(__xludf.DUMMYFUNCTION("GOOGLETRANSLATE(A1621, ""en"", ""mt"")"),"Kuchlug")</f>
        <v>Kuchlug</v>
      </c>
    </row>
    <row r="1622" ht="15.75" customHeight="1">
      <c r="A1622" s="2" t="s">
        <v>1622</v>
      </c>
      <c r="B1622" s="2" t="str">
        <f>IFERROR(__xludf.DUMMYFUNCTION("GOOGLETRANSLATE(A1622, ""en"", ""mt"")"),"wieħed minn kull ħamsa")</f>
        <v>wieħed minn kull ħamsa</v>
      </c>
    </row>
    <row r="1623" ht="15.75" customHeight="1">
      <c r="A1623" s="2" t="s">
        <v>1623</v>
      </c>
      <c r="B1623" s="2" t="str">
        <f>IFERROR(__xludf.DUMMYFUNCTION("GOOGLETRANSLATE(A1623, ""en"", ""mt"")"),"Ottubru 1529")</f>
        <v>Ottubru 1529</v>
      </c>
    </row>
    <row r="1624" ht="15.75" customHeight="1">
      <c r="A1624" s="2" t="s">
        <v>1624</v>
      </c>
      <c r="B1624" s="2" t="str">
        <f>IFERROR(__xludf.DUMMYFUNCTION("GOOGLETRANSLATE(A1624, ""en"", ""mt"")"),"X'inhu t-terminu komuni għat-telf tal-membri ewlenin tas-soċjetà Franċiża għall-emigrazzjoni Huguenot?")</f>
        <v>X'inhu t-terminu komuni għat-telf tal-membri ewlenin tas-soċjetà Franċiża għall-emigrazzjoni Huguenot?</v>
      </c>
    </row>
    <row r="1625" ht="15.75" customHeight="1">
      <c r="A1625" s="2" t="s">
        <v>1625</v>
      </c>
      <c r="B1625" s="2" t="str">
        <f>IFERROR(__xludf.DUMMYFUNCTION("GOOGLETRANSLATE(A1625, ""en"", ""mt"")"),"Kemm astronawti kienet l-LM maħsuba biex tieħu mill-orbita tal-qamar sal-wiċċ tal-qamar?")</f>
        <v>Kemm astronawti kienet l-LM maħsuba biex tieħu mill-orbita tal-qamar sal-wiċċ tal-qamar?</v>
      </c>
    </row>
    <row r="1626" ht="15.75" customHeight="1">
      <c r="A1626" s="2" t="s">
        <v>1626</v>
      </c>
      <c r="B1626" s="2" t="str">
        <f>IFERROR(__xludf.DUMMYFUNCTION("GOOGLETRANSLATE(A1626, ""en"", ""mt"")"),"Liema mużiċist famuż stilla fit-Tnejn Stormy?")</f>
        <v>Liema mużiċist famuż stilla fit-Tnejn Stormy?</v>
      </c>
    </row>
    <row r="1627" ht="15.75" customHeight="1">
      <c r="A1627" s="2" t="s">
        <v>1627</v>
      </c>
      <c r="B1627" s="2" t="str">
        <f>IFERROR(__xludf.DUMMYFUNCTION("GOOGLETRANSLATE(A1627, ""en"", ""mt"")"),"Surinam tan-Nofsinhar")</f>
        <v>Surinam tan-Nofsinhar</v>
      </c>
    </row>
    <row r="1628" ht="15.75" customHeight="1">
      <c r="A1628" s="2" t="s">
        <v>1628</v>
      </c>
      <c r="B1628" s="2" t="str">
        <f>IFERROR(__xludf.DUMMYFUNCTION("GOOGLETRANSLATE(A1628, ""en"", ""mt"")"),"apoptożi")</f>
        <v>apoptożi</v>
      </c>
    </row>
    <row r="1629" ht="15.75" customHeight="1">
      <c r="A1629" s="2" t="s">
        <v>1629</v>
      </c>
      <c r="B1629" s="2" t="str">
        <f>IFERROR(__xludf.DUMMYFUNCTION("GOOGLETRANSLATE(A1629, ""en"", ""mt"")"),"BSKYB ma jġorr l-ebda kontroll")</f>
        <v>BSKYB ma jġorr l-ebda kontroll</v>
      </c>
    </row>
    <row r="1630" ht="15.75" customHeight="1">
      <c r="A1630" s="2" t="s">
        <v>1630</v>
      </c>
      <c r="B1630" s="2" t="str">
        <f>IFERROR(__xludf.DUMMYFUNCTION("GOOGLETRANSLATE(A1630, ""en"", ""mt"")"),"Musulmani fil-klassi Semu")</f>
        <v>Musulmani fil-klassi Semu</v>
      </c>
    </row>
    <row r="1631" ht="15.75" customHeight="1">
      <c r="A1631" s="2" t="s">
        <v>1631</v>
      </c>
      <c r="B1631" s="2" t="str">
        <f>IFERROR(__xludf.DUMMYFUNCTION("GOOGLETRANSLATE(A1631, ""en"", ""mt"")"),"vleġeġ, xwabel, u tarki tal-ġilda")</f>
        <v>vleġeġ, xwabel, u tarki tal-ġilda</v>
      </c>
    </row>
    <row r="1632" ht="15.75" customHeight="1">
      <c r="A1632" s="2" t="s">
        <v>1632</v>
      </c>
      <c r="B1632" s="2" t="str">
        <f>IFERROR(__xludf.DUMMYFUNCTION("GOOGLETRANSLATE(A1632, ""en"", ""mt"")"),"iż-żona moderata")</f>
        <v>iż-żona moderata</v>
      </c>
    </row>
    <row r="1633" ht="15.75" customHeight="1">
      <c r="A1633" s="2" t="s">
        <v>1633</v>
      </c>
      <c r="B1633" s="2" t="str">
        <f>IFERROR(__xludf.DUMMYFUNCTION("GOOGLETRANSLATE(A1633, ""en"", ""mt"")"),"Meta kien l-Imperu Ottoman fl-eqqel tiegħu?")</f>
        <v>Meta kien l-Imperu Ottoman fl-eqqel tiegħu?</v>
      </c>
    </row>
    <row r="1634" ht="15.75" customHeight="1">
      <c r="A1634" s="2" t="s">
        <v>1634</v>
      </c>
      <c r="B1634" s="2" t="str">
        <f>IFERROR(__xludf.DUMMYFUNCTION("GOOGLETRANSLATE(A1634, ""en"", ""mt"")"),"Fejn ħareġ il-meuse qabel l-għargħar?")</f>
        <v>Fejn ħareġ il-meuse qabel l-għargħar?</v>
      </c>
    </row>
    <row r="1635" ht="15.75" customHeight="1">
      <c r="A1635" s="2" t="s">
        <v>1635</v>
      </c>
      <c r="B1635" s="2" t="str">
        <f>IFERROR(__xludf.DUMMYFUNCTION("GOOGLETRANSLATE(A1635, ""en"", ""mt"")"),"Liema Stat Membru ma aċċettax li jiffirma l-Karta Soċjali?")</f>
        <v>Liema Stat Membru ma aċċettax li jiffirma l-Karta Soċjali?</v>
      </c>
    </row>
    <row r="1636" ht="15.75" customHeight="1">
      <c r="A1636" s="2" t="s">
        <v>1636</v>
      </c>
      <c r="B1636" s="2" t="str">
        <f>IFERROR(__xludf.DUMMYFUNCTION("GOOGLETRANSLATE(A1636, ""en"", ""mt"")"),"2005")</f>
        <v>2005</v>
      </c>
    </row>
    <row r="1637" ht="15.75" customHeight="1">
      <c r="A1637" s="2" t="s">
        <v>1637</v>
      </c>
      <c r="B1637" s="2" t="str">
        <f>IFERROR(__xludf.DUMMYFUNCTION("GOOGLETRANSLATE(A1637, ""en"", ""mt"")"),"Futbol tas-Sibt bil-Lejl")</f>
        <v>Futbol tas-Sibt bil-Lejl</v>
      </c>
    </row>
    <row r="1638" ht="15.75" customHeight="1">
      <c r="A1638" s="2" t="s">
        <v>1638</v>
      </c>
      <c r="B1638" s="2" t="str">
        <f>IFERROR(__xludf.DUMMYFUNCTION("GOOGLETRANSLATE(A1638, ""en"", ""mt"")"),"Paramount stampi")</f>
        <v>Paramount stampi</v>
      </c>
    </row>
    <row r="1639" ht="15.75" customHeight="1">
      <c r="A1639" s="2" t="s">
        <v>1639</v>
      </c>
      <c r="B1639" s="2" t="str">
        <f>IFERROR(__xludf.DUMMYFUNCTION("GOOGLETRANSLATE(A1639, ""en"", ""mt"")"),"tliet snin qabel")</f>
        <v>tliet snin qabel</v>
      </c>
    </row>
    <row r="1640" ht="15.75" customHeight="1">
      <c r="A1640" s="2" t="s">
        <v>1640</v>
      </c>
      <c r="B1640" s="2" t="str">
        <f>IFERROR(__xludf.DUMMYFUNCTION("GOOGLETRANSLATE(A1640, ""en"", ""mt"")"),"John Myhill")</f>
        <v>John Myhill</v>
      </c>
    </row>
    <row r="1641" ht="15.75" customHeight="1">
      <c r="A1641" s="2" t="s">
        <v>1641</v>
      </c>
      <c r="B1641" s="2" t="str">
        <f>IFERROR(__xludf.DUMMYFUNCTION("GOOGLETRANSLATE(A1641, ""en"", ""mt"")"),"Fit-30 ta ’Lulju 1891")</f>
        <v>Fit-30 ta ’Lulju 1891</v>
      </c>
    </row>
    <row r="1642" ht="15.75" customHeight="1">
      <c r="A1642" s="2" t="s">
        <v>1642</v>
      </c>
      <c r="B1642" s="2" t="str">
        <f>IFERROR(__xludf.DUMMYFUNCTION("GOOGLETRANSLATE(A1642, ""en"", ""mt"")"),"fil-laboratorju tiegħu")</f>
        <v>fil-laboratorju tiegħu</v>
      </c>
    </row>
    <row r="1643" ht="15.75" customHeight="1">
      <c r="A1643" s="2" t="s">
        <v>1643</v>
      </c>
      <c r="B1643" s="2" t="str">
        <f>IFERROR(__xludf.DUMMYFUNCTION("GOOGLETRANSLATE(A1643, ""en"", ""mt"")"),"1879")</f>
        <v>1879</v>
      </c>
    </row>
    <row r="1644" ht="15.75" customHeight="1">
      <c r="A1644" s="2" t="s">
        <v>1644</v>
      </c>
      <c r="B1644" s="2" t="str">
        <f>IFERROR(__xludf.DUMMYFUNCTION("GOOGLETRANSLATE(A1644, ""en"", ""mt"")"),"X'inhi s-sottosistema li tipproteġi l-moħħ tal-bniedem?")</f>
        <v>X'inhi s-sottosistema li tipproteġi l-moħħ tal-bniedem?</v>
      </c>
    </row>
    <row r="1645" ht="15.75" customHeight="1">
      <c r="A1645" s="2" t="s">
        <v>1645</v>
      </c>
      <c r="B1645" s="2" t="str">
        <f>IFERROR(__xludf.DUMMYFUNCTION("GOOGLETRANSLATE(A1645, ""en"", ""mt"")"),"L-immuni innata")</f>
        <v>L-immuni innata</v>
      </c>
    </row>
    <row r="1646" ht="15.75" customHeight="1">
      <c r="A1646" s="2" t="s">
        <v>1646</v>
      </c>
      <c r="B1646" s="2" t="str">
        <f>IFERROR(__xludf.DUMMYFUNCTION("GOOGLETRANSLATE(A1646, ""en"", ""mt"")"),"Ġiet imsejħa l-prattika ta 'l-okkupazzjoni u l-sakkeġġi ta' Huguenot Homes?")</f>
        <v>Ġiet imsejħa l-prattika ta 'l-okkupazzjoni u l-sakkeġġi ta' Huguenot Homes?</v>
      </c>
    </row>
    <row r="1647" ht="15.75" customHeight="1">
      <c r="A1647" s="2" t="s">
        <v>1647</v>
      </c>
      <c r="B1647" s="2" t="str">
        <f>IFERROR(__xludf.DUMMYFUNCTION("GOOGLETRANSLATE(A1647, ""en"", ""mt"")"),"96,660 u 128,843")</f>
        <v>96,660 u 128,843</v>
      </c>
    </row>
    <row r="1648" ht="15.75" customHeight="1">
      <c r="A1648" s="2" t="s">
        <v>1648</v>
      </c>
      <c r="B1648" s="2" t="str">
        <f>IFERROR(__xludf.DUMMYFUNCTION("GOOGLETRANSLATE(A1648, ""en"", ""mt"")"),"In-Newcastle Beer Festival")</f>
        <v>In-Newcastle Beer Festival</v>
      </c>
    </row>
    <row r="1649" ht="15.75" customHeight="1">
      <c r="A1649" s="2" t="s">
        <v>1649</v>
      </c>
      <c r="B1649" s="2" t="str">
        <f>IFERROR(__xludf.DUMMYFUNCTION("GOOGLETRANSLATE(A1649, ""en"", ""mt"")"),"Pol Mokotowskie")</f>
        <v>Pol Mokotowskie</v>
      </c>
    </row>
    <row r="1650" ht="15.75" customHeight="1">
      <c r="A1650" s="2" t="s">
        <v>1650</v>
      </c>
      <c r="B1650" s="2" t="str">
        <f>IFERROR(__xludf.DUMMYFUNCTION("GOOGLETRANSLATE(A1650, ""en"", ""mt"")"),"Liema mexxej Ċiniż Han iddefetta lill-Mongoli?")</f>
        <v>Liema mexxej Ċiniż Han iddefetta lill-Mongoli?</v>
      </c>
    </row>
    <row r="1651" ht="15.75" customHeight="1">
      <c r="A1651" s="2" t="s">
        <v>1651</v>
      </c>
      <c r="B1651" s="2" t="str">
        <f>IFERROR(__xludf.DUMMYFUNCTION("GOOGLETRANSLATE(A1651, ""en"", ""mt"")"),"Kemm idum biex l-effetti jimmanifestaw bħala bidliet fit-tkabbir ekonomiku?")</f>
        <v>Kemm idum biex l-effetti jimmanifestaw bħala bidliet fit-tkabbir ekonomiku?</v>
      </c>
    </row>
    <row r="1652" ht="15.75" customHeight="1">
      <c r="A1652" s="2" t="s">
        <v>1652</v>
      </c>
      <c r="B1652" s="2" t="str">
        <f>IFERROR(__xludf.DUMMYFUNCTION("GOOGLETRANSLATE(A1652, ""en"", ""mt"")"),"X'għandu jirrappreżenta li ma jikkawża l-ebda forza netta li tkun il-kawża ta 'mozzjoni ta' veloċità kostanti?")</f>
        <v>X'għandu jirrappreżenta li ma jikkawża l-ebda forza netta li tkun il-kawża ta 'mozzjoni ta' veloċità kostanti?</v>
      </c>
    </row>
    <row r="1653" ht="15.75" customHeight="1">
      <c r="A1653" s="2" t="s">
        <v>1653</v>
      </c>
      <c r="B1653" s="2" t="str">
        <f>IFERROR(__xludf.DUMMYFUNCTION("GOOGLETRANSLATE(A1653, ""en"", ""mt"")"),"Meta Gerhard Lessing wasal il-konklużjonijiet tiegħu dwar Luther?")</f>
        <v>Meta Gerhard Lessing wasal il-konklużjonijiet tiegħu dwar Luther?</v>
      </c>
    </row>
    <row r="1654" ht="15.75" customHeight="1">
      <c r="A1654" s="2" t="s">
        <v>1654</v>
      </c>
      <c r="B1654" s="2" t="str">
        <f>IFERROR(__xludf.DUMMYFUNCTION("GOOGLETRANSLATE(A1654, ""en"", ""mt"")"),"Il-Lhud x’irrifjutaw li jaċċettaw li kkawża lil Luther isejħilhom blasfemers u giddieba?")</f>
        <v>Il-Lhud x’irrifjutaw li jaċċettaw li kkawża lil Luther isejħilhom blasfemers u giddieba?</v>
      </c>
    </row>
    <row r="1655" ht="15.75" customHeight="1">
      <c r="A1655" s="2" t="s">
        <v>1655</v>
      </c>
      <c r="B1655" s="2" t="str">
        <f>IFERROR(__xludf.DUMMYFUNCTION("GOOGLETRANSLATE(A1655, ""en"", ""mt"")"),"Liema riżorsa ġiet imminata fiż-żona ta 'Newcastle?")</f>
        <v>Liema riżorsa ġiet imminata fiż-żona ta 'Newcastle?</v>
      </c>
    </row>
    <row r="1656" ht="15.75" customHeight="1">
      <c r="A1656" s="2" t="s">
        <v>1656</v>
      </c>
      <c r="B1656" s="2" t="str">
        <f>IFERROR(__xludf.DUMMYFUNCTION("GOOGLETRANSLATE(A1656, ""en"", ""mt"")"),"Statwi ta 'artisti Ingliżi jżejnu liema parti mit-torri' l fuq mid-daħla ewlenija?")</f>
        <v>Statwi ta 'artisti Ingliżi jżejnu liema parti mit-torri' l fuq mid-daħla ewlenija?</v>
      </c>
    </row>
    <row r="1657" ht="15.75" customHeight="1">
      <c r="A1657" s="2" t="s">
        <v>1657</v>
      </c>
      <c r="B1657" s="2" t="str">
        <f>IFERROR(__xludf.DUMMYFUNCTION("GOOGLETRANSLATE(A1657, ""en"", ""mt"")"),"Kemm idum Phillips imexxi l-missjonijiet Apollo?")</f>
        <v>Kemm idum Phillips imexxi l-missjonijiet Apollo?</v>
      </c>
    </row>
    <row r="1658" ht="15.75" customHeight="1">
      <c r="A1658" s="2" t="s">
        <v>1658</v>
      </c>
      <c r="B1658" s="2" t="str">
        <f>IFERROR(__xludf.DUMMYFUNCTION("GOOGLETRANSLATE(A1658, ""en"", ""mt"")"),"Meta se jerġgħu jintużaw in-numri Rumani biex jindikaw in-numru tas-Super Bowl?")</f>
        <v>Meta se jerġgħu jintużaw in-numri Rumani biex jindikaw in-numru tas-Super Bowl?</v>
      </c>
    </row>
    <row r="1659" ht="15.75" customHeight="1">
      <c r="A1659" s="2" t="s">
        <v>1659</v>
      </c>
      <c r="B1659" s="2" t="str">
        <f>IFERROR(__xludf.DUMMYFUNCTION("GOOGLETRANSLATE(A1659, ""en"", ""mt"")"),"Meredith Vieira")</f>
        <v>Meredith Vieira</v>
      </c>
    </row>
    <row r="1660" ht="15.75" customHeight="1">
      <c r="A1660" s="2" t="s">
        <v>1660</v>
      </c>
      <c r="B1660" s="2" t="str">
        <f>IFERROR(__xludf.DUMMYFUNCTION("GOOGLETRANSLATE(A1660, ""en"", ""mt"")"),"Saturn fi tliet stadji v")</f>
        <v>Saturn fi tliet stadji v</v>
      </c>
    </row>
    <row r="1661" ht="15.75" customHeight="1">
      <c r="A1661" s="2" t="s">
        <v>1661</v>
      </c>
      <c r="B1661" s="2" t="str">
        <f>IFERROR(__xludf.DUMMYFUNCTION("GOOGLETRANSLATE(A1661, ""en"", ""mt"")"),"Dwar il-libertà ta 'Nisrani.")</f>
        <v>Dwar il-libertà ta 'Nisrani.</v>
      </c>
    </row>
    <row r="1662" ht="15.75" customHeight="1">
      <c r="A1662" s="2" t="s">
        <v>1662</v>
      </c>
      <c r="B1662" s="2" t="str">
        <f>IFERROR(__xludf.DUMMYFUNCTION("GOOGLETRANSLATE(A1662, ""en"", ""mt"")"),"X'inhu ffurmat meta fagożoma tgħaqqad ma 'lisosoma?")</f>
        <v>X'inhu ffurmat meta fagożoma tgħaqqad ma 'lisosoma?</v>
      </c>
    </row>
    <row r="1663" ht="15.75" customHeight="1">
      <c r="A1663" s="2" t="s">
        <v>1663</v>
      </c>
      <c r="B1663" s="2" t="str">
        <f>IFERROR(__xludf.DUMMYFUNCTION("GOOGLETRANSLATE(A1663, ""en"", ""mt"")"),"Meta nediet il-BSKYB huwa s-servizz HDTV?")</f>
        <v>Meta nediet il-BSKYB huwa s-servizz HDTV?</v>
      </c>
    </row>
    <row r="1664" ht="15.75" customHeight="1">
      <c r="A1664" s="2" t="s">
        <v>1664</v>
      </c>
      <c r="B1664" s="2" t="str">
        <f>IFERROR(__xludf.DUMMYFUNCTION("GOOGLETRANSLATE(A1664, ""en"", ""mt"")"),"X'tip ta 'festival huwa ċ-ċiklun tal-blat tat-tramuntana?")</f>
        <v>X'tip ta 'festival huwa ċ-ċiklun tal-blat tat-tramuntana?</v>
      </c>
    </row>
    <row r="1665" ht="15.75" customHeight="1">
      <c r="A1665" s="2" t="s">
        <v>1665</v>
      </c>
      <c r="B1665" s="2" t="str">
        <f>IFERROR(__xludf.DUMMYFUNCTION("GOOGLETRANSLATE(A1665, ""en"", ""mt"")"),"L-oriġini tal-kampi elettriċi u manjetiċi ma tkunx spjegata għal kollox sal-1864 meta James Clerk Maxwell unifika numru ta 'teoriji preċedenti f'sett ta '20 ekwazzjonijiet skalari, li aktar tard ġew riformulati f'4 ekwazzjonijiet ta' vettur minn Oliver He"&amp;"aviside u Josiah Willard Gibbs. Dawn l- ""ekwazzjonijiet ta 'Maxwell"" iddeskrivew bis-sħiħ is-sorsi ta' l-oqsma bħala ħlasijiet wieqfa u li jiċċaqalqu, u l-interazzjonijiet ta 'l-oqsma nfushom. Dan wassal lil Maxwell biex jiskopri li l-kampijiet elettriċ"&amp;"i u manjetiċi jistgħu jkunu ""jiġġeneraw lilhom infushom"" permezz ta 'mewġa li vvjaġġat b'veloċità li huwa kkalkulat bħala l-veloċità tad-dawl. Din il-ħarsa għaqdet l-oqsma li għadhom jitwieldu tat-teorija elettromanjetika bl-ottika u wasslu direttament "&amp;"għal deskrizzjoni sħiħa tal-ispettru elettromanjetiku.")</f>
        <v>L-oriġini tal-kampi elettriċi u manjetiċi ma tkunx spjegata għal kollox sal-1864 meta James Clerk Maxwell unifika numru ta 'teoriji preċedenti f'sett ta '20 ekwazzjonijiet skalari, li aktar tard ġew riformulati f'4 ekwazzjonijiet ta' vettur minn Oliver Heaviside u Josiah Willard Gibbs. Dawn l- "ekwazzjonijiet ta 'Maxwell" iddeskrivew bis-sħiħ is-sorsi ta' l-oqsma bħala ħlasijiet wieqfa u li jiċċaqalqu, u l-interazzjonijiet ta 'l-oqsma nfushom. Dan wassal lil Maxwell biex jiskopri li l-kampijiet elettriċi u manjetiċi jistgħu jkunu "jiġġeneraw lilhom infushom" permezz ta 'mewġa li vvjaġġat b'veloċità li huwa kkalkulat bħala l-veloċità tad-dawl. Din il-ħarsa għaqdet l-oqsma li għadhom jitwieldu tat-teorija elettromanjetika bl-ottika u wasslu direttament għal deskrizzjoni sħiħa tal-ispettru elettromanjetiku.</v>
      </c>
    </row>
    <row r="1666" ht="15.75" customHeight="1">
      <c r="A1666" s="2" t="s">
        <v>1666</v>
      </c>
      <c r="B1666" s="2" t="str">
        <f>IFERROR(__xludf.DUMMYFUNCTION("GOOGLETRANSLATE(A1666, ""en"", ""mt"")"),"Bendigo")</f>
        <v>Bendigo</v>
      </c>
    </row>
    <row r="1667" ht="15.75" customHeight="1">
      <c r="A1667" s="2" t="s">
        <v>1667</v>
      </c>
      <c r="B1667" s="2" t="str">
        <f>IFERROR(__xludf.DUMMYFUNCTION("GOOGLETRANSLATE(A1667, ""en"", ""mt"")"),"Kamra tad-Dibattitu")</f>
        <v>Kamra tad-Dibattitu</v>
      </c>
    </row>
    <row r="1668" ht="15.75" customHeight="1">
      <c r="A1668" s="2" t="s">
        <v>1668</v>
      </c>
      <c r="B1668" s="2" t="str">
        <f>IFERROR(__xludf.DUMMYFUNCTION("GOOGLETRANSLATE(A1668, ""en"", ""mt"")"),"Kemm mill-ispedizzjonijiet ippjanati ta 'Pitt kellhom suċċess?")</f>
        <v>Kemm mill-ispedizzjonijiet ippjanati ta 'Pitt kellhom suċċess?</v>
      </c>
    </row>
    <row r="1669" ht="15.75" customHeight="1">
      <c r="A1669" s="2" t="s">
        <v>1669</v>
      </c>
      <c r="B1669" s="2" t="str">
        <f>IFERROR(__xludf.DUMMYFUNCTION("GOOGLETRANSLATE(A1669, ""en"", ""mt"")"),"Kawża dejjem tikber ta 'tħassib")</f>
        <v>Kawża dejjem tikber ta 'tħassib</v>
      </c>
    </row>
    <row r="1670" ht="15.75" customHeight="1">
      <c r="A1670" s="2" t="s">
        <v>1670</v>
      </c>
      <c r="B1670" s="2" t="str">
        <f>IFERROR(__xludf.DUMMYFUNCTION("GOOGLETRANSLATE(A1670, ""en"", ""mt"")"),"seba 'u tmienja")</f>
        <v>seba 'u tmienja</v>
      </c>
    </row>
    <row r="1671" ht="15.75" customHeight="1">
      <c r="A1671" s="2" t="s">
        <v>1671</v>
      </c>
      <c r="B1671" s="2" t="str">
        <f>IFERROR(__xludf.DUMMYFUNCTION("GOOGLETRANSLATE(A1671, ""en"", ""mt"")"),"Liema netwerk beda jixxandar il-kwistjonijiet tal-familja tal-kummiedja TGIF għall-istaġun 1997-98?")</f>
        <v>Liema netwerk beda jixxandar il-kwistjonijiet tal-familja tal-kummiedja TGIF għall-istaġun 1997-98?</v>
      </c>
    </row>
    <row r="1672" ht="15.75" customHeight="1">
      <c r="A1672" s="2" t="s">
        <v>1672</v>
      </c>
      <c r="B1672" s="2" t="str">
        <f>IFERROR(__xludf.DUMMYFUNCTION("GOOGLETRANSLATE(A1672, ""en"", ""mt"")"),"Kemm riċetturi fuq ċellola T helper għandhom ikunu marbuta ma 'kumpless MHC: antiġen sabiex iċ-ċellula tiġi attivata?")</f>
        <v>Kemm riċetturi fuq ċellola T helper għandhom ikunu marbuta ma 'kumpless MHC: antiġen sabiex iċ-ċellula tiġi attivata?</v>
      </c>
    </row>
    <row r="1673" ht="15.75" customHeight="1">
      <c r="A1673" s="2" t="s">
        <v>1673</v>
      </c>
      <c r="B1673" s="2" t="str">
        <f>IFERROR(__xludf.DUMMYFUNCTION("GOOGLETRANSLATE(A1673, ""en"", ""mt"")"),"Fejn ABC bena t-trasmettitur tiegħu għall-istazzjon affiljat tiegħu f'San Francisco?")</f>
        <v>Fejn ABC bena t-trasmettitur tiegħu għall-istazzjon affiljat tiegħu f'San Francisco?</v>
      </c>
    </row>
    <row r="1674" ht="15.75" customHeight="1">
      <c r="A1674" s="2" t="s">
        <v>1674</v>
      </c>
      <c r="B1674" s="2" t="str">
        <f>IFERROR(__xludf.DUMMYFUNCTION("GOOGLETRANSLATE(A1674, ""en"", ""mt"")"),"X'inhi l-banda universali li r-riċevituri diġitali jirċievu l-istazzjonijiet bla ħlas fuq l-ajru?")</f>
        <v>X'inhi l-banda universali li r-riċevituri diġitali jirċievu l-istazzjonijiet bla ħlas fuq l-ajru?</v>
      </c>
    </row>
    <row r="1675" ht="15.75" customHeight="1">
      <c r="A1675" s="2" t="s">
        <v>1675</v>
      </c>
      <c r="B1675" s="2" t="str">
        <f>IFERROR(__xludf.DUMMYFUNCTION("GOOGLETRANSLATE(A1675, ""en"", ""mt"")"),"Fl-1934, Reċiproku ressqet ilment mal-Kummissjoni Federali tal-Komunikazzjonijiet (FCC) rigward id-diffikultajiet tagħha biex jistabbilixxu stazzjonijiet ġodda, f'suq tar-radju li kien diġà qed jiġi saturat mill-NBC u s-CBS. Fl-1938, l-FCC bdiet serje ta "&amp;"'investigazzjonijiet dwar il-prattiki tan-netwerks tar-radju u ppubblikat ir-rapport tagħha dwar ix-xandir ta' programmi tar-radju tan-netwerk fl-1940. Ir-rapport irrakkomanda li l-RCA tagħti l-kontroll ta 'jew NBC Red jew NBC Blue. Dak iż-żmien, in-netwe"&amp;"rk aħmar tal-NBC kien in-netwerk tar-radju prinċipali fl-Istati Uniti u, skond l-FCC, RCA kienet tuża NBC Blue biex telimina kwalunkwe ħjiel ta 'kompetizzjoni. Wara li m'għandhom l-ebda poter fuq in-netwerks infushom, l-FCC stabbilixxiet regolament li jip"&amp;"projbixxi liċenzji biex jinħarġu għall-istazzjonijiet tar-radju jekk kienu affiljati ma 'netwerk li diġà kellu netwerks multipli li pprovdew kontenut ta' interess pubbliku.")</f>
        <v>Fl-1934, Reċiproku ressqet ilment mal-Kummissjoni Federali tal-Komunikazzjonijiet (FCC) rigward id-diffikultajiet tagħha biex jistabbilixxu stazzjonijiet ġodda, f'suq tar-radju li kien diġà qed jiġi saturat mill-NBC u s-CBS. Fl-1938, l-FCC bdiet serje ta 'investigazzjonijiet dwar il-prattiki tan-netwerks tar-radju u ppubblikat ir-rapport tagħha dwar ix-xandir ta' programmi tar-radju tan-netwerk fl-1940. Ir-rapport irrakkomanda li l-RCA tagħti l-kontroll ta 'jew NBC Red jew NBC Blue. Dak iż-żmien, in-netwerk aħmar tal-NBC kien in-netwerk tar-radju prinċipali fl-Istati Uniti u, skond l-FCC, RCA kienet tuża NBC Blue biex telimina kwalunkwe ħjiel ta 'kompetizzjoni. Wara li m'għandhom l-ebda poter fuq in-netwerks infushom, l-FCC stabbilixxiet regolament li jipprojbixxi liċenzji biex jinħarġu għall-istazzjonijiet tar-radju jekk kienu affiljati ma 'netwerk li diġà kellu netwerks multipli li pprovdew kontenut ta' interess pubbliku.</v>
      </c>
    </row>
    <row r="1676" ht="15.75" customHeight="1">
      <c r="A1676" s="2" t="s">
        <v>1676</v>
      </c>
      <c r="B1676" s="2" t="str">
        <f>IFERROR(__xludf.DUMMYFUNCTION("GOOGLETRANSLATE(A1676, ""en"", ""mt"")"),"Min għelbu t-TP tal-Broncos saru l-AFC Champions?")</f>
        <v>Min għelbu t-TP tal-Broncos saru l-AFC Champions?</v>
      </c>
    </row>
    <row r="1677" ht="15.75" customHeight="1">
      <c r="A1677" s="2" t="s">
        <v>1677</v>
      </c>
      <c r="B1677" s="2" t="str">
        <f>IFERROR(__xludf.DUMMYFUNCTION("GOOGLETRANSLATE(A1677, ""en"", ""mt"")"),"Att dwar it-Tkabbir u l-Opportunità Afrikana")</f>
        <v>Att dwar it-Tkabbir u l-Opportunità Afrikana</v>
      </c>
    </row>
    <row r="1678" ht="15.75" customHeight="1">
      <c r="A1678" s="2" t="s">
        <v>1678</v>
      </c>
      <c r="B1678" s="2" t="str">
        <f>IFERROR(__xludf.DUMMYFUNCTION("GOOGLETRANSLATE(A1678, ""en"", ""mt"")"),"larva tal-ħut u organiżmi")</f>
        <v>larva tal-ħut u organiżmi</v>
      </c>
    </row>
    <row r="1679" ht="15.75" customHeight="1">
      <c r="A1679" s="2" t="s">
        <v>1679</v>
      </c>
      <c r="B1679" s="2" t="str">
        <f>IFERROR(__xludf.DUMMYFUNCTION("GOOGLETRANSLATE(A1679, ""en"", ""mt"")"),"veduta differenti")</f>
        <v>veduta differenti</v>
      </c>
    </row>
    <row r="1680" ht="15.75" customHeight="1">
      <c r="A1680" s="2" t="s">
        <v>1680</v>
      </c>
      <c r="B1680" s="2" t="str">
        <f>IFERROR(__xludf.DUMMYFUNCTION("GOOGLETRANSLATE(A1680, ""en"", ""mt"")"),"Il-mużika inċidentali kollha għas-serje Revived tal-2005 kienet komposta minn Murray Gold u Ben Foster u ġiet imwettqa mill-Orkestra Nazzjonali tal-BBC ta 'Wales mill-episodju tal-Milied tal-2005 ""The Christmas Invasion""' l hawn. Kunċert li fih l-orkest"&amp;"ra li tesegwixxi mużika mill-ewwel żewġ serje seħħ fid-19 ta 'Novembru 2006 biex jinġabru flus għal Children in Need. David Tennant ospita l-avveniment, billi introduċa t-taqsimiet differenti tal-kunċert. Murray Gold u Russell T Davies wieġbu mistoqsijiet"&amp;" waqt l-intervall u Daleks u Cybermen dehru waqt li kienet tindaqq mużika mill-istejjer tagħhom. Il-kunċert imxandar fuq BBCI f'Jum il-Milied 2006. Ġie ċċelebrat tabib li ġie ċċelebrat fis-27 ta 'Lulju 2008 fir-Royal Albert Hall bħala parti mill-Proms ann"&amp;"wali tal-BBC. Il-BBC Filarmonic u l-Kor Filarmonika ta ’Londra wettqu l-kompożizzjonijiet ta’ Murray Gold għas-serje, immexxija minn Ben Foster, kif ukoll għażla ta ’klassiċi bbażati fuq it-tema tal-ispazju u l-ħin. L-avveniment ġie ppreżentat minn Freema"&amp;" Agyeman u preżentat mill-mistieden minn diversi stilel oħra tal-ispettaklu b'ħafna monsters li qed jipparteċipaw fil-proċeduri. Dehru wkoll il-mini-episodju ffilmjat apposta ""Mużika ta 'l-Isferi"", miktuba minn Russell T Davies u starring David Tennant.")</f>
        <v>Il-mużika inċidentali kollha għas-serje Revived tal-2005 kienet komposta minn Murray Gold u Ben Foster u ġiet imwettqa mill-Orkestra Nazzjonali tal-BBC ta 'Wales mill-episodju tal-Milied tal-2005 "The Christmas Invasion"' l hawn. Kunċert li fih l-orkestra li tesegwixxi mużika mill-ewwel żewġ serje seħħ fid-19 ta 'Novembru 2006 biex jinġabru flus għal Children in Need. David Tennant ospita l-avveniment, billi introduċa t-taqsimiet differenti tal-kunċert. Murray Gold u Russell T Davies wieġbu mistoqsijiet waqt l-intervall u Daleks u Cybermen dehru waqt li kienet tindaqq mużika mill-istejjer tagħhom. Il-kunċert imxandar fuq BBCI f'Jum il-Milied 2006. Ġie ċċelebrat tabib li ġie ċċelebrat fis-27 ta 'Lulju 2008 fir-Royal Albert Hall bħala parti mill-Proms annwali tal-BBC. Il-BBC Filarmonic u l-Kor Filarmonika ta ’Londra wettqu l-kompożizzjonijiet ta’ Murray Gold għas-serje, immexxija minn Ben Foster, kif ukoll għażla ta ’klassiċi bbażati fuq it-tema tal-ispazju u l-ħin. L-avveniment ġie ppreżentat minn Freema Agyeman u preżentat mill-mistieden minn diversi stilel oħra tal-ispettaklu b'ħafna monsters li qed jipparteċipaw fil-proċeduri. Dehru wkoll il-mini-episodju ffilmjat apposta "Mużika ta 'l-Isferi", miktuba minn Russell T Davies u starring David Tennant.</v>
      </c>
    </row>
    <row r="1681" ht="15.75" customHeight="1">
      <c r="A1681" s="2" t="s">
        <v>1681</v>
      </c>
      <c r="B1681" s="2" t="str">
        <f>IFERROR(__xludf.DUMMYFUNCTION("GOOGLETRANSLATE(A1681, ""en"", ""mt"")"),"Imperu Ruman")</f>
        <v>Imperu Ruman</v>
      </c>
    </row>
    <row r="1682" ht="15.75" customHeight="1">
      <c r="A1682" s="2" t="s">
        <v>1682</v>
      </c>
      <c r="B1682" s="2" t="str">
        <f>IFERROR(__xludf.DUMMYFUNCTION("GOOGLETRANSLATE(A1682, ""en"", ""mt"")"),"Prattika tal-Ispiżerija Konsulent tiffoka aktar fuq ir-reviżjoni tal-iskema ta 'medikazzjoni (i.e. ""servizzi konjittivi"") milli fuq it-tqassim attwali tad-drogi. L-ispiżjara konsulenti l-aktar jaħdmu tipikament fid-djar tal-anzjani, iżda qegħdin dejjem "&amp;"aktar fergħat f'istituzzjonijiet oħra u f'ambjenti mhux istituzzjonali. Tradizzjonalment l-ispiżjara konsulenti ġeneralment kienu sidien ta 'negozji indipendenti, għalkemm fl-Istati Uniti ħafna issa jaħdmu għal bosta kumpaniji kbar ta' ġestjoni tal-ispiże"&amp;"rija (primarjament Omnicare, Kindred Healthcare u Pharmerica). Din ix-xejra tista 'tinqaleb gradwalment hekk kif l-ispiżjara konsulenti jibdew jaħdmu direttament mal-pazjenti, primarjament minħabba li ħafna nies anzjani issa qed jieħdu bosta mediċini iżda"&amp;" jkomplu jgħixu barra mill-ambjenti istituzzjonali. Xi spiżeriji tal-komunità jimpjegaw spiżjara konsulenti u / jew jipprovdu servizzi ta 'konsultazzjoni.")</f>
        <v>Prattika tal-Ispiżerija Konsulent tiffoka aktar fuq ir-reviżjoni tal-iskema ta 'medikazzjoni (i.e. "servizzi konjittivi") milli fuq it-tqassim attwali tad-drogi. L-ispiżjara konsulenti l-aktar jaħdmu tipikament fid-djar tal-anzjani, iżda qegħdin dejjem aktar fergħat f'istituzzjonijiet oħra u f'ambjenti mhux istituzzjonali. Tradizzjonalment l-ispiżjara konsulenti ġeneralment kienu sidien ta 'negozji indipendenti, għalkemm fl-Istati Uniti ħafna issa jaħdmu għal bosta kumpaniji kbar ta' ġestjoni tal-ispiżerija (primarjament Omnicare, Kindred Healthcare u Pharmerica). Din ix-xejra tista 'tinqaleb gradwalment hekk kif l-ispiżjara konsulenti jibdew jaħdmu direttament mal-pazjenti, primarjament minħabba li ħafna nies anzjani issa qed jieħdu bosta mediċini iżda jkomplu jgħixu barra mill-ambjenti istituzzjonali. Xi spiżeriji tal-komunità jimpjegaw spiżjara konsulenti u / jew jipprovdu servizzi ta 'konsultazzjoni.</v>
      </c>
    </row>
    <row r="1683" ht="15.75" customHeight="1">
      <c r="A1683" s="2" t="s">
        <v>1683</v>
      </c>
      <c r="B1683" s="2" t="str">
        <f>IFERROR(__xludf.DUMMYFUNCTION("GOOGLETRANSLATE(A1683, ""en"", ""mt"")"),"Minħabba li baqa 'ħaj minn bosta gwerer, kunflitti u invażjonijiet matul l-istorja twila tiegħu")</f>
        <v>Minħabba li baqa 'ħaj minn bosta gwerer, kunflitti u invażjonijiet matul l-istorja twila tiegħu</v>
      </c>
    </row>
    <row r="1684" ht="15.75" customHeight="1">
      <c r="A1684" s="2" t="s">
        <v>1684</v>
      </c>
      <c r="B1684" s="2" t="str">
        <f>IFERROR(__xludf.DUMMYFUNCTION("GOOGLETRANSLATE(A1684, ""en"", ""mt"")"),"Aston Webb")</f>
        <v>Aston Webb</v>
      </c>
    </row>
    <row r="1685" ht="15.75" customHeight="1">
      <c r="A1685" s="2" t="s">
        <v>1685</v>
      </c>
      <c r="B1685" s="2" t="str">
        <f>IFERROR(__xludf.DUMMYFUNCTION("GOOGLETRANSLATE(A1685, ""en"", ""mt"")"),"Awwissu 1914")</f>
        <v>Awwissu 1914</v>
      </c>
    </row>
    <row r="1686" ht="15.75" customHeight="1">
      <c r="A1686" s="2" t="s">
        <v>1686</v>
      </c>
      <c r="B1686" s="2" t="str">
        <f>IFERROR(__xludf.DUMMYFUNCTION("GOOGLETRANSLATE(A1686, ""en"", ""mt"")"),"X'inhu eżempju ta 'karozzi li jaħdmu bil-fwar?")</f>
        <v>X'inhu eżempju ta 'karozzi li jaħdmu bil-fwar?</v>
      </c>
    </row>
    <row r="1687" ht="15.75" customHeight="1">
      <c r="A1687" s="2" t="s">
        <v>1687</v>
      </c>
      <c r="B1687" s="2" t="str">
        <f>IFERROR(__xludf.DUMMYFUNCTION("GOOGLETRANSLATE(A1687, ""en"", ""mt"")"),"Fl-Ingilterra, il-perjodu ta 'arkitettura Norman jirnexxi immedjatament dak ta' l-Anglo-Sassonu u jippreċedi l-Gotiku bikri. Fin-Nofsinhar tal-Italja, in-Normanni inkorporaw elementi ta ’tekniki tal-bini Iżlamiku, Lombard u Biżantini tagħhom stess, u bdew"&amp;" stil uniku magħruf bħala arkitettura Norman-Għarbija fir-Renju ta’ Sqallija.")</f>
        <v>Fl-Ingilterra, il-perjodu ta 'arkitettura Norman jirnexxi immedjatament dak ta' l-Anglo-Sassonu u jippreċedi l-Gotiku bikri. Fin-Nofsinhar tal-Italja, in-Normanni inkorporaw elementi ta ’tekniki tal-bini Iżlamiku, Lombard u Biżantini tagħhom stess, u bdew stil uniku magħruf bħala arkitettura Norman-Għarbija fir-Renju ta’ Sqallija.</v>
      </c>
    </row>
    <row r="1688" ht="15.75" customHeight="1">
      <c r="A1688" s="2" t="s">
        <v>1688</v>
      </c>
      <c r="B1688" s="2" t="str">
        <f>IFERROR(__xludf.DUMMYFUNCTION("GOOGLETRANSLATE(A1688, ""en"", ""mt"")"),"Kemm dam lil Johnson biex iwieġeb għal Kennedy?")</f>
        <v>Kemm dam lil Johnson biex iwieġeb għal Kennedy?</v>
      </c>
    </row>
    <row r="1689" ht="15.75" customHeight="1">
      <c r="A1689" s="2" t="s">
        <v>1689</v>
      </c>
      <c r="B1689" s="2" t="str">
        <f>IFERROR(__xludf.DUMMYFUNCTION("GOOGLETRANSLATE(A1689, ""en"", ""mt"")"),"avjoniċi, telekomunikazzjonijiet, u kompjuters.")</f>
        <v>avjoniċi, telekomunikazzjonijiet, u kompjuters.</v>
      </c>
    </row>
    <row r="1690" ht="15.75" customHeight="1">
      <c r="A1690" s="2" t="s">
        <v>1690</v>
      </c>
      <c r="B1690" s="2" t="str">
        <f>IFERROR(__xludf.DUMMYFUNCTION("GOOGLETRANSLATE(A1690, ""en"", ""mt"")"),"Manors")</f>
        <v>Manors</v>
      </c>
    </row>
    <row r="1691" ht="15.75" customHeight="1">
      <c r="A1691" s="2" t="s">
        <v>1691</v>
      </c>
      <c r="B1691" s="2" t="str">
        <f>IFERROR(__xludf.DUMMYFUNCTION("GOOGLETRANSLATE(A1691, ""en"", ""mt"")"),"Kemm-il prinċipju ġenerali tiddikjara l-Karta Soċjali?")</f>
        <v>Kemm-il prinċipju ġenerali tiddikjara l-Karta Soċjali?</v>
      </c>
    </row>
    <row r="1692" ht="15.75" customHeight="1">
      <c r="A1692" s="2" t="s">
        <v>1692</v>
      </c>
      <c r="B1692" s="2" t="str">
        <f>IFERROR(__xludf.DUMMYFUNCTION("GOOGLETRANSLATE(A1692, ""en"", ""mt"")"),"Triq il-Kbira tat-Tramuntana")</f>
        <v>Triq il-Kbira tat-Tramuntana</v>
      </c>
    </row>
    <row r="1693" ht="15.75" customHeight="1">
      <c r="A1693" s="2" t="s">
        <v>1693</v>
      </c>
      <c r="B1693" s="2" t="str">
        <f>IFERROR(__xludf.DUMMYFUNCTION("GOOGLETRANSLATE(A1693, ""en"", ""mt"")"),"Liema episodji ta 'Family Guy fihom Doctor Who References?")</f>
        <v>Liema episodji ta 'Family Guy fihom Doctor Who References?</v>
      </c>
    </row>
    <row r="1694" ht="15.75" customHeight="1">
      <c r="A1694" s="2" t="s">
        <v>1694</v>
      </c>
      <c r="B1694" s="2" t="str">
        <f>IFERROR(__xludf.DUMMYFUNCTION("GOOGLETRANSLATE(A1694, ""en"", ""mt"")"),"Sentenzi minn Peter Lombard")</f>
        <v>Sentenzi minn Peter Lombard</v>
      </c>
    </row>
    <row r="1695" ht="15.75" customHeight="1">
      <c r="A1695" s="2" t="s">
        <v>1695</v>
      </c>
      <c r="B1695" s="2" t="str">
        <f>IFERROR(__xludf.DUMMYFUNCTION("GOOGLETRANSLATE(A1695, ""en"", ""mt"")"),"X'kienet l-ispiża għal reklam ta 'nofs minuta?")</f>
        <v>X'kienet l-ispiża għal reklam ta 'nofs minuta?</v>
      </c>
    </row>
    <row r="1696" ht="15.75" customHeight="1">
      <c r="A1696" s="2" t="s">
        <v>1696</v>
      </c>
      <c r="B1696" s="2" t="str">
        <f>IFERROR(__xludf.DUMMYFUNCTION("GOOGLETRANSLATE(A1696, ""en"", ""mt"")"),"isiru eħfef")</f>
        <v>isiru eħfef</v>
      </c>
    </row>
    <row r="1697" ht="15.75" customHeight="1">
      <c r="A1697" s="2" t="s">
        <v>1697</v>
      </c>
      <c r="B1697" s="2" t="str">
        <f>IFERROR(__xludf.DUMMYFUNCTION("GOOGLETRANSLATE(A1697, ""en"", ""mt"")"),"Liema grandmaster taċ-ċess huwa wkoll alumni tal-università?")</f>
        <v>Liema grandmaster taċ-ċess huwa wkoll alumni tal-università?</v>
      </c>
    </row>
    <row r="1698" ht="15.75" customHeight="1">
      <c r="A1698" s="2" t="s">
        <v>1698</v>
      </c>
      <c r="B1698" s="2" t="str">
        <f>IFERROR(__xludf.DUMMYFUNCTION("GOOGLETRANSLATE(A1698, ""en"", ""mt"")"),"Charlesfort")</f>
        <v>Charlesfort</v>
      </c>
    </row>
    <row r="1699" ht="15.75" customHeight="1">
      <c r="A1699" s="2" t="s">
        <v>1699</v>
      </c>
      <c r="B1699" s="2" t="str">
        <f>IFERROR(__xludf.DUMMYFUNCTION("GOOGLETRANSLATE(A1699, ""en"", ""mt"")"),"X'inhi l-konfini bejn ir-Renu għoli u ta 'fuq?")</f>
        <v>X'inhi l-konfini bejn ir-Renu għoli u ta 'fuq?</v>
      </c>
    </row>
    <row r="1700" ht="15.75" customHeight="1">
      <c r="A1700" s="2" t="s">
        <v>1700</v>
      </c>
      <c r="B1700" s="2" t="str">
        <f>IFERROR(__xludf.DUMMYFUNCTION("GOOGLETRANSLATE(A1700, ""en"", ""mt"")"),"Ctenophora")</f>
        <v>Ctenophora</v>
      </c>
    </row>
    <row r="1701" ht="15.75" customHeight="1">
      <c r="A1701" s="2" t="s">
        <v>1701</v>
      </c>
      <c r="B1701" s="2" t="str">
        <f>IFERROR(__xludf.DUMMYFUNCTION("GOOGLETRANSLATE(A1701, ""en"", ""mt"")"),"Ko-president tal-Grupp ta 'Ħidma II IPCC")</f>
        <v>Ko-president tal-Grupp ta 'Ħidma II IPCC</v>
      </c>
    </row>
    <row r="1702" ht="15.75" customHeight="1">
      <c r="A1702" s="2" t="s">
        <v>1702</v>
      </c>
      <c r="B1702" s="2" t="str">
        <f>IFERROR(__xludf.DUMMYFUNCTION("GOOGLETRANSLATE(A1702, ""en"", ""mt"")"),"Émile Girardeau")</f>
        <v>Émile Girardeau</v>
      </c>
    </row>
    <row r="1703" ht="15.75" customHeight="1">
      <c r="A1703" s="2" t="s">
        <v>1703</v>
      </c>
      <c r="B1703" s="2" t="str">
        <f>IFERROR(__xludf.DUMMYFUNCTION("GOOGLETRANSLATE(A1703, ""en"", ""mt"")"),"MCA INC")</f>
        <v>MCA INC</v>
      </c>
    </row>
    <row r="1704" ht="15.75" customHeight="1">
      <c r="A1704" s="2" t="s">
        <v>1704</v>
      </c>
      <c r="B1704" s="2" t="str">
        <f>IFERROR(__xludf.DUMMYFUNCTION("GOOGLETRANSLATE(A1704, ""en"", ""mt"")"),"22 mil")</f>
        <v>22 mil</v>
      </c>
    </row>
    <row r="1705" ht="15.75" customHeight="1">
      <c r="A1705" s="2" t="s">
        <v>1705</v>
      </c>
      <c r="B1705" s="2" t="str">
        <f>IFERROR(__xludf.DUMMYFUNCTION("GOOGLETRANSLATE(A1705, ""en"", ""mt"")"),"Liema ajruport huwa d-dar għar-runway single bieżel fid-dinja?")</f>
        <v>Liema ajruport huwa d-dar għar-runway single bieżel fid-dinja?</v>
      </c>
    </row>
    <row r="1706" ht="15.75" customHeight="1">
      <c r="A1706" s="2" t="s">
        <v>1706</v>
      </c>
      <c r="B1706" s="2" t="str">
        <f>IFERROR(__xludf.DUMMYFUNCTION("GOOGLETRANSLATE(A1706, ""en"", ""mt"")"),"Prinċipalment fil-Lbiċ ta 'Franza")</f>
        <v>Prinċipalment fil-Lbiċ ta 'Franza</v>
      </c>
    </row>
    <row r="1707" ht="15.75" customHeight="1">
      <c r="A1707" s="2" t="s">
        <v>1707</v>
      </c>
      <c r="B1707" s="2" t="str">
        <f>IFERROR(__xludf.DUMMYFUNCTION("GOOGLETRANSLATE(A1707, ""en"", ""mt"")"),"infrastruttura")</f>
        <v>infrastruttura</v>
      </c>
    </row>
    <row r="1708" ht="15.75" customHeight="1">
      <c r="A1708" s="2" t="s">
        <v>1708</v>
      </c>
      <c r="B1708" s="2" t="str">
        <f>IFERROR(__xludf.DUMMYFUNCTION("GOOGLETRANSLATE(A1708, ""en"", ""mt"")"),"Wara t-tieni sena tagħhom")</f>
        <v>Wara t-tieni sena tagħhom</v>
      </c>
    </row>
    <row r="1709" ht="15.75" customHeight="1">
      <c r="A1709" s="2" t="s">
        <v>1709</v>
      </c>
      <c r="B1709" s="2" t="str">
        <f>IFERROR(__xludf.DUMMYFUNCTION("GOOGLETRANSLATE(A1709, ""en"", ""mt"")"),"X’inbidel id-Delta tar-Rhine?")</f>
        <v>X’inbidel id-Delta tar-Rhine?</v>
      </c>
    </row>
    <row r="1710" ht="15.75" customHeight="1">
      <c r="A1710" s="2" t="s">
        <v>1710</v>
      </c>
      <c r="B1710" s="2" t="str">
        <f>IFERROR(__xludf.DUMMYFUNCTION("GOOGLETRANSLATE(A1710, ""en"", ""mt"")"),"il-problema ta 'sodisfazzjon Boolean NP-komplut NP")</f>
        <v>il-problema ta 'sodisfazzjon Boolean NP-komplut NP</v>
      </c>
    </row>
    <row r="1711" ht="15.75" customHeight="1">
      <c r="A1711" s="2" t="s">
        <v>1711</v>
      </c>
      <c r="B1711" s="2" t="str">
        <f>IFERROR(__xludf.DUMMYFUNCTION("GOOGLETRANSLATE(A1711, ""en"", ""mt"")"),"kondensaturi tal-wiċċ")</f>
        <v>kondensaturi tal-wiċċ</v>
      </c>
    </row>
    <row r="1712" ht="15.75" customHeight="1">
      <c r="A1712" s="2" t="s">
        <v>1712</v>
      </c>
      <c r="B1712" s="2" t="str">
        <f>IFERROR(__xludf.DUMMYFUNCTION("GOOGLETRANSLATE(A1712, ""en"", ""mt"")"),"Duttrina Nisranija")</f>
        <v>Duttrina Nisranija</v>
      </c>
    </row>
    <row r="1713" ht="15.75" customHeight="1">
      <c r="A1713" s="2" t="s">
        <v>1713</v>
      </c>
      <c r="B1713" s="2" t="str">
        <f>IFERROR(__xludf.DUMMYFUNCTION("GOOGLETRANSLATE(A1713, ""en"", ""mt"")"),"Għaliex is-CBS ma setax ixandar l-inkurunazzjoni tar-Reġina Eliżabetta II?")</f>
        <v>Għaliex is-CBS ma setax ixandar l-inkurunazzjoni tar-Reġina Eliżabetta II?</v>
      </c>
    </row>
    <row r="1714" ht="15.75" customHeight="1">
      <c r="A1714" s="2" t="s">
        <v>1714</v>
      </c>
      <c r="B1714" s="2" t="str">
        <f>IFERROR(__xludf.DUMMYFUNCTION("GOOGLETRANSLATE(A1714, ""en"", ""mt"")"),"HT ma jidħolx fil-jihad armat jew jaħdem għal sistema demokratika, iżda jaħdem biex jieħu l-poter permezz ta '""ġlieda ideoloġika"" biex tbiddel l-opinjoni pubblika Musulmana, u b'mod partikolari permezz ta' elite li ""jiffaċilitaw"" ""bidla fil-gvern,"" "&amp;"i.e. Tniedi kolp ta 'stat ""mingħajr demm"". Allegatament huwa pprova u falla tali kolpi fl-1968 u fl-1969 fil-Ġordan, u fl-1974 fl-Eġittu, u issa huwa pprojbit fiż-żewġ pajjiżi. Iżda ħafna membri tal-HT komplew jingħaqdu ma 'gruppi terroristiċi u ħafna t"&amp;"erroristi jihadi kkwotaw lil HT bħala l-influwenza ewlenija tagħhom.")</f>
        <v>HT ma jidħolx fil-jihad armat jew jaħdem għal sistema demokratika, iżda jaħdem biex jieħu l-poter permezz ta '"ġlieda ideoloġika" biex tbiddel l-opinjoni pubblika Musulmana, u b'mod partikolari permezz ta' elite li "jiffaċilitaw" "bidla fil-gvern," i.e. Tniedi kolp ta 'stat "mingħajr demm". Allegatament huwa pprova u falla tali kolpi fl-1968 u fl-1969 fil-Ġordan, u fl-1974 fl-Eġittu, u issa huwa pprojbit fiż-żewġ pajjiżi. Iżda ħafna membri tal-HT komplew jingħaqdu ma 'gruppi terroristiċi u ħafna terroristi jihadi kkwotaw lil HT bħala l-influwenza ewlenija tagħhom.</v>
      </c>
    </row>
    <row r="1715" ht="15.75" customHeight="1">
      <c r="A1715" s="2" t="s">
        <v>1715</v>
      </c>
      <c r="B1715" s="2" t="str">
        <f>IFERROR(__xludf.DUMMYFUNCTION("GOOGLETRANSLATE(A1715, ""en"", ""mt"")"),"Gradjent tal-potenzjal.")</f>
        <v>Gradjent tal-potenzjal.</v>
      </c>
    </row>
    <row r="1716" ht="15.75" customHeight="1">
      <c r="A1716" s="2" t="s">
        <v>1716</v>
      </c>
      <c r="B1716" s="2" t="str">
        <f>IFERROR(__xludf.DUMMYFUNCTION("GOOGLETRANSLATE(A1716, ""en"", ""mt"")"),"Meta ġiet skoperta r-Rhine għall-ewwel darba?")</f>
        <v>Meta ġiet skoperta r-Rhine għall-ewwel darba?</v>
      </c>
    </row>
    <row r="1717" ht="15.75" customHeight="1">
      <c r="A1717" s="2" t="s">
        <v>1717</v>
      </c>
      <c r="B1717" s="2" t="str">
        <f>IFERROR(__xludf.DUMMYFUNCTION("GOOGLETRANSLATE(A1717, ""en"", ""mt"")"),"għexieren")</f>
        <v>għexieren</v>
      </c>
    </row>
    <row r="1718" ht="15.75" customHeight="1">
      <c r="A1718" s="2" t="s">
        <v>1718</v>
      </c>
      <c r="B1718" s="2" t="str">
        <f>IFERROR(__xludf.DUMMYFUNCTION("GOOGLETRANSLATE(A1718, ""en"", ""mt"")"),"Liema rikkieb rivoluzzjonarju tal-gwerra ta ’nofsillejl kien dixxendent Huguenot?")</f>
        <v>Liema rikkieb rivoluzzjonarju tal-gwerra ta ’nofsillejl kien dixxendent Huguenot?</v>
      </c>
    </row>
    <row r="1719" ht="15.75" customHeight="1">
      <c r="A1719" s="2" t="s">
        <v>1719</v>
      </c>
      <c r="B1719" s="2" t="str">
        <f>IFERROR(__xludf.DUMMYFUNCTION("GOOGLETRANSLATE(A1719, ""en"", ""mt"")"),"132 miljun")</f>
        <v>132 miljun</v>
      </c>
    </row>
    <row r="1720" ht="15.75" customHeight="1">
      <c r="A1720" s="2" t="s">
        <v>1720</v>
      </c>
      <c r="B1720" s="2" t="str">
        <f>IFERROR(__xludf.DUMMYFUNCTION("GOOGLETRANSLATE(A1720, ""en"", ""mt"")"),"Il-prinċipji tagħhom kienu l-prinċipju tas-suċċessjoni faunal?")</f>
        <v>Il-prinċipji tagħhom kienu l-prinċipju tas-suċċessjoni faunal?</v>
      </c>
    </row>
    <row r="1721" ht="15.75" customHeight="1">
      <c r="A1721" s="2" t="s">
        <v>1721</v>
      </c>
      <c r="B1721" s="2" t="str">
        <f>IFERROR(__xludf.DUMMYFUNCTION("GOOGLETRANSLATE(A1721, ""en"", ""mt"")"),"Min wieġeb għall-kritika ta 'Lindzen?")</f>
        <v>Min wieġeb għall-kritika ta 'Lindzen?</v>
      </c>
    </row>
    <row r="1722" ht="15.75" customHeight="1">
      <c r="A1722" s="2" t="s">
        <v>1722</v>
      </c>
      <c r="B1722" s="2" t="str">
        <f>IFERROR(__xludf.DUMMYFUNCTION("GOOGLETRANSLATE(A1722, ""en"", ""mt"")"),"ma jistax jinkiteb bħala prodott ta 'żewġ elementi taċ-ċirku li mhumiex unitajiet")</f>
        <v>ma jistax jinkiteb bħala prodott ta 'żewġ elementi taċ-ċirku li mhumiex unitajiet</v>
      </c>
    </row>
    <row r="1723" ht="15.75" customHeight="1">
      <c r="A1723" s="2" t="s">
        <v>1723</v>
      </c>
      <c r="B1723" s="2" t="str">
        <f>IFERROR(__xludf.DUMMYFUNCTION("GOOGLETRANSLATE(A1723, ""en"", ""mt"")"),"Min għeleb il-Broncos fil-logħba diviżjonali?")</f>
        <v>Min għeleb il-Broncos fil-logħba diviżjonali?</v>
      </c>
    </row>
    <row r="1724" ht="15.75" customHeight="1">
      <c r="A1724" s="2" t="s">
        <v>1724</v>
      </c>
      <c r="B1724" s="2" t="str">
        <f>IFERROR(__xludf.DUMMYFUNCTION("GOOGLETRANSLATE(A1724, ""en"", ""mt"")"),"F'liema seklu kienu minsuġa l-erba 'tapizzeriji tal-kaċċa ta' Devonshire?")</f>
        <v>F'liema seklu kienu minsuġa l-erba 'tapizzeriji tal-kaċċa ta' Devonshire?</v>
      </c>
    </row>
    <row r="1725" ht="15.75" customHeight="1">
      <c r="A1725" s="2" t="s">
        <v>1725</v>
      </c>
      <c r="B1725" s="2" t="str">
        <f>IFERROR(__xludf.DUMMYFUNCTION("GOOGLETRANSLATE(A1725, ""en"", ""mt"")"),"Agħmel diskors sfidanti, jew diskors li jispjega l-azzjonijiet tagħhom,")</f>
        <v>Agħmel diskors sfidanti, jew diskors li jispjega l-azzjonijiet tagħhom,</v>
      </c>
    </row>
    <row r="1726" ht="15.75" customHeight="1">
      <c r="A1726" s="2" t="s">
        <v>1726</v>
      </c>
      <c r="B1726" s="2" t="str">
        <f>IFERROR(__xludf.DUMMYFUNCTION("GOOGLETRANSLATE(A1726, ""en"", ""mt"")"),"Meta ħarġet il-karta tal-patoġeni PLOS?")</f>
        <v>Meta ħarġet il-karta tal-patoġeni PLOS?</v>
      </c>
    </row>
    <row r="1727" ht="15.75" customHeight="1">
      <c r="A1727" s="2" t="s">
        <v>1727</v>
      </c>
      <c r="B1727" s="2" t="str">
        <f>IFERROR(__xludf.DUMMYFUNCTION("GOOGLETRANSLATE(A1727, ""en"", ""mt"")"),"Nikita Khrushchev")</f>
        <v>Nikita Khrushchev</v>
      </c>
    </row>
    <row r="1728" ht="15.75" customHeight="1">
      <c r="A1728" s="2" t="s">
        <v>1728</v>
      </c>
      <c r="B1728" s="2" t="str">
        <f>IFERROR(__xludf.DUMMYFUNCTION("GOOGLETRANSLATE(A1728, ""en"", ""mt"")"),"tibgħat malajr")</f>
        <v>tibgħat malajr</v>
      </c>
    </row>
    <row r="1729" ht="15.75" customHeight="1">
      <c r="A1729" s="2" t="s">
        <v>1729</v>
      </c>
      <c r="B1729" s="2" t="str">
        <f>IFERROR(__xludf.DUMMYFUNCTION("GOOGLETRANSLATE(A1729, ""en"", ""mt"")"),"AppleTalk kienet suite proprjetarja ta 'protokolli ta' netwerking żviluppati minn Apple Inc. fl-1985 għall-kompjuters ta 'Apple Macintosh. Kien il-protokoll primarju użat mill-apparati tat-tuffieħ matul is-snin 1980 u 90. AppleTalk kien jinkludi karatteri"&amp;"stiċi li ppermettew li n-netwerks taż-żona lokali jiġu stabbiliti ad hoc mingħajr il-ħtieġa għal router jew server ċentralizzat. Is-sistema AppleTalk assenjata awtomatikament indirizzi, aġġornat l-ispazju ta 'l-ismijiet distribwit, u kkonfigurat kwalunkwe"&amp;" rotta ta' bejn in-netwerk meħtieġa. Kienet sistema plug-n-play.")</f>
        <v>AppleTalk kienet suite proprjetarja ta 'protokolli ta' netwerking żviluppati minn Apple Inc. fl-1985 għall-kompjuters ta 'Apple Macintosh. Kien il-protokoll primarju użat mill-apparati tat-tuffieħ matul is-snin 1980 u 90. AppleTalk kien jinkludi karatteristiċi li ppermettew li n-netwerks taż-żona lokali jiġu stabbiliti ad hoc mingħajr il-ħtieġa għal router jew server ċentralizzat. Is-sistema AppleTalk assenjata awtomatikament indirizzi, aġġornat l-ispazju ta 'l-ismijiet distribwit, u kkonfigurat kwalunkwe rotta ta' bejn in-netwerk meħtieġa. Kienet sistema plug-n-play.</v>
      </c>
    </row>
    <row r="1730" ht="15.75" customHeight="1">
      <c r="A1730" s="2" t="s">
        <v>1730</v>
      </c>
      <c r="B1730" s="2" t="str">
        <f>IFERROR(__xludf.DUMMYFUNCTION("GOOGLETRANSLATE(A1730, ""en"", ""mt"")"),"L-innijiet ta 'Luther ispiraw kompożituri biex jiktbu mużika. Johann Sebastian Bach inkluda diversi versi bħala korali fil-kantati tiegħu u l-korale bbażati fuqhom kompletament fuqhom, jiġifieri Kristu jibqa 'fi Todes Banden, BWV 4, kmieni kemm possibilme"&amp;"nt 1707, fit-tieni ċiklu annwali tiegħu (1724 sa 1725) ACH GOTT, VOM HIMEL Sieh Darein, BWV 2, Christ Unser Herr Zum Jordan Kam, BWV 7, Nun Komm, Der Heiden Heiland, BWV 62, Gelobet Seist Du, Jesu Christ, BWV 91, u Aus tiefer mhux Schrei Ich Zu Dir, BWV 3"&amp;"8, aktar tard Ein Feste Burg ist unser Gott, BWV 80, u fl-1735 Wär Gott Nicht Mit Uns Diese Zeit, BWV 14.")</f>
        <v>L-innijiet ta 'Luther ispiraw kompożituri biex jiktbu mużika. Johann Sebastian Bach inkluda diversi versi bħala korali fil-kantati tiegħu u l-korale bbażati fuqhom kompletament fuqhom, jiġifieri Kristu jibqa 'fi Todes Banden, BWV 4, kmieni kemm possibilment 1707, fit-tieni ċiklu annwali tiegħu (1724 sa 1725) ACH GOTT, VOM HIMEL Sieh Darein, BWV 2, Christ Unser Herr Zum Jordan Kam, BWV 7, Nun Komm, Der Heiden Heiland, BWV 62, Gelobet Seist Du, Jesu Christ, BWV 91, u Aus tiefer mhux Schrei Ich Zu Dir, BWV 38, aktar tard Ein Feste Burg ist unser Gott, BWV 80, u fl-1735 Wär Gott Nicht Mit Uns Diese Zeit, BWV 14.</v>
      </c>
    </row>
    <row r="1731" ht="15.75" customHeight="1">
      <c r="A1731" s="2" t="s">
        <v>1731</v>
      </c>
      <c r="B1731" s="2" t="str">
        <f>IFERROR(__xludf.DUMMYFUNCTION("GOOGLETRANSLATE(A1731, ""en"", ""mt"")"),"Fil-mudell b'saffi tad-dinja hemm diskontinwitajiet sismiċi f'liema saff?")</f>
        <v>Fil-mudell b'saffi tad-dinja hemm diskontinwitajiet sismiċi f'liema saff?</v>
      </c>
    </row>
    <row r="1732" ht="15.75" customHeight="1">
      <c r="A1732" s="2" t="s">
        <v>1732</v>
      </c>
      <c r="B1732" s="2" t="str">
        <f>IFERROR(__xludf.DUMMYFUNCTION("GOOGLETRANSLATE(A1732, ""en"", ""mt"")"),"Il-faqar tiegħi għall-għana ta 'Croesus.")</f>
        <v>Il-faqar tiegħi għall-għana ta 'Croesus.</v>
      </c>
    </row>
    <row r="1733" ht="15.75" customHeight="1">
      <c r="A1733" s="2" t="s">
        <v>1733</v>
      </c>
      <c r="B1733" s="2" t="str">
        <f>IFERROR(__xludf.DUMMYFUNCTION("GOOGLETRANSLATE(A1733, ""en"", ""mt"")"),"X'inhu pajjiż ieħor li jippermetti lit-tobba jagħtu d-droga minn ġewwa l-prattika tagħhom?")</f>
        <v>X'inhu pajjiż ieħor li jippermetti lit-tobba jagħtu d-droga minn ġewwa l-prattika tagħhom?</v>
      </c>
    </row>
    <row r="1734" ht="15.75" customHeight="1">
      <c r="A1734" s="2" t="s">
        <v>1734</v>
      </c>
      <c r="B1734" s="2" t="str">
        <f>IFERROR(__xludf.DUMMYFUNCTION("GOOGLETRANSLATE(A1734, ""en"", ""mt"")"),"Bernard A. Schriever")</f>
        <v>Bernard A. Schriever</v>
      </c>
    </row>
    <row r="1735" ht="15.75" customHeight="1">
      <c r="A1735" s="2" t="s">
        <v>1735</v>
      </c>
      <c r="B1735" s="2" t="str">
        <f>IFERROR(__xludf.DUMMYFUNCTION("GOOGLETRANSLATE(A1735, ""en"", ""mt"")"),"Ikseb informazzjoni dwar il-klima tal-passat")</f>
        <v>Ikseb informazzjoni dwar il-klima tal-passat</v>
      </c>
    </row>
    <row r="1736" ht="15.75" customHeight="1">
      <c r="A1736" s="2" t="s">
        <v>1736</v>
      </c>
      <c r="B1736" s="2" t="str">
        <f>IFERROR(__xludf.DUMMYFUNCTION("GOOGLETRANSLATE(A1736, ""en"", ""mt"")"),"Fejn waslu Huguenots u wallons fl-Ingilterra?")</f>
        <v>Fejn waslu Huguenots u wallons fl-Ingilterra?</v>
      </c>
    </row>
    <row r="1737" ht="15.75" customHeight="1">
      <c r="A1737" s="2" t="s">
        <v>1737</v>
      </c>
      <c r="B1737" s="2" t="str">
        <f>IFERROR(__xludf.DUMMYFUNCTION("GOOGLETRANSLATE(A1737, ""en"", ""mt"")"),"X'ina fittxew it-trattati li jippermettu mill-fondazzjoni tagħha?")</f>
        <v>X'ina fittxew it-trattati li jippermettu mill-fondazzjoni tagħha?</v>
      </c>
    </row>
    <row r="1738" ht="15.75" customHeight="1">
      <c r="A1738" s="2" t="s">
        <v>1738</v>
      </c>
      <c r="B1738" s="2" t="str">
        <f>IFERROR(__xludf.DUMMYFUNCTION("GOOGLETRANSLATE(A1738, ""en"", ""mt"")"),"Sistema ta 'Broadcasting Turner")</f>
        <v>Sistema ta 'Broadcasting Turner</v>
      </c>
    </row>
    <row r="1739" ht="15.75" customHeight="1">
      <c r="A1739" s="2" t="s">
        <v>1739</v>
      </c>
      <c r="B1739" s="2" t="str">
        <f>IFERROR(__xludf.DUMMYFUNCTION("GOOGLETRANSLATE(A1739, ""en"", ""mt"")"),"Min kien ikkunsidrat bħala l-ewwel għażla fl-abbozz tal-NFL tal-1998?")</f>
        <v>Min kien ikkunsidrat bħala l-ewwel għażla fl-abbozz tal-NFL tal-1998?</v>
      </c>
    </row>
    <row r="1740" ht="15.75" customHeight="1">
      <c r="A1740" s="2" t="s">
        <v>1740</v>
      </c>
      <c r="B1740" s="2" t="str">
        <f>IFERROR(__xludf.DUMMYFUNCTION("GOOGLETRANSLATE(A1740, ""en"", ""mt"")"),"kien miżjud")</f>
        <v>kien miżjud</v>
      </c>
    </row>
    <row r="1741" ht="15.75" customHeight="1">
      <c r="A1741" s="2" t="s">
        <v>1741</v>
      </c>
      <c r="B1741" s="2" t="str">
        <f>IFERROR(__xludf.DUMMYFUNCTION("GOOGLETRANSLATE(A1741, ""en"", ""mt"")"),"Fejn il-kloroplasti jippompjaw l-idroġenu?")</f>
        <v>Fejn il-kloroplasti jippompjaw l-idroġenu?</v>
      </c>
    </row>
    <row r="1742" ht="15.75" customHeight="1">
      <c r="A1742" s="2" t="s">
        <v>1742</v>
      </c>
      <c r="B1742" s="2" t="str">
        <f>IFERROR(__xludf.DUMMYFUNCTION("GOOGLETRANSLATE(A1742, ""en"", ""mt"")"),"18% ogħla")</f>
        <v>18% ogħla</v>
      </c>
    </row>
    <row r="1743" ht="15.75" customHeight="1">
      <c r="A1743" s="2" t="s">
        <v>1743</v>
      </c>
      <c r="B1743" s="2" t="str">
        <f>IFERROR(__xludf.DUMMYFUNCTION("GOOGLETRANSLATE(A1743, ""en"", ""mt"")"),"F'Graz, l-Awstrija")</f>
        <v>F'Graz, l-Awstrija</v>
      </c>
    </row>
    <row r="1744" ht="15.75" customHeight="1">
      <c r="A1744" s="2" t="s">
        <v>1744</v>
      </c>
      <c r="B1744" s="2" t="str">
        <f>IFERROR(__xludf.DUMMYFUNCTION("GOOGLETRANSLATE(A1744, ""en"", ""mt"")"),"1624")</f>
        <v>1624</v>
      </c>
    </row>
    <row r="1745" ht="15.75" customHeight="1">
      <c r="A1745" s="2" t="s">
        <v>1745</v>
      </c>
      <c r="B1745" s="2" t="str">
        <f>IFERROR(__xludf.DUMMYFUNCTION("GOOGLETRANSLATE(A1745, ""en"", ""mt"")"),"Dak li jvarja dwar il-membrani tal-kloroplasti sekondarji?")</f>
        <v>Dak li jvarja dwar il-membrani tal-kloroplasti sekondarji?</v>
      </c>
    </row>
    <row r="1746" ht="15.75" customHeight="1">
      <c r="A1746" s="2" t="s">
        <v>1746</v>
      </c>
      <c r="B1746" s="2" t="str">
        <f>IFERROR(__xludf.DUMMYFUNCTION("GOOGLETRANSLATE(A1746, ""en"", ""mt"")"),"911")</f>
        <v>911</v>
      </c>
    </row>
    <row r="1747" ht="15.75" customHeight="1">
      <c r="A1747" s="2" t="s">
        <v>1747</v>
      </c>
      <c r="B1747" s="2" t="str">
        <f>IFERROR(__xludf.DUMMYFUNCTION("GOOGLETRANSLATE(A1747, ""en"", ""mt"")"),"Immunodefiċjenzi")</f>
        <v>Immunodefiċjenzi</v>
      </c>
    </row>
    <row r="1748" ht="15.75" customHeight="1">
      <c r="A1748" s="2" t="s">
        <v>1748</v>
      </c>
      <c r="B1748" s="2" t="str">
        <f>IFERROR(__xludf.DUMMYFUNCTION("GOOGLETRANSLATE(A1748, ""en"", ""mt"")"),"Is-servizz tan-netwerk tas-sinsla b'veloċità għolja ħafna")</f>
        <v>Is-servizz tan-netwerk tas-sinsla b'veloċità għolja ħafna</v>
      </c>
    </row>
    <row r="1749" ht="15.75" customHeight="1">
      <c r="A1749" s="2" t="s">
        <v>1749</v>
      </c>
      <c r="B1749" s="2" t="str">
        <f>IFERROR(__xludf.DUMMYFUNCTION("GOOGLETRANSLATE(A1749, ""en"", ""mt"")"),"tnaqqis fil-livelli tal-ormoni")</f>
        <v>tnaqqis fil-livelli tal-ormoni</v>
      </c>
    </row>
    <row r="1750" ht="15.75" customHeight="1">
      <c r="A1750" s="2" t="s">
        <v>1750</v>
      </c>
      <c r="B1750" s="2" t="str">
        <f>IFERROR(__xludf.DUMMYFUNCTION("GOOGLETRANSLATE(A1750, ""en"", ""mt"")"),"8.8")</f>
        <v>8.8</v>
      </c>
    </row>
    <row r="1751" ht="15.75" customHeight="1">
      <c r="A1751" s="2" t="s">
        <v>1751</v>
      </c>
      <c r="B1751" s="2" t="str">
        <f>IFERROR(__xludf.DUMMYFUNCTION("GOOGLETRANSLATE(A1751, ""en"", ""mt"")"),"1546")</f>
        <v>1546</v>
      </c>
    </row>
    <row r="1752" ht="15.75" customHeight="1">
      <c r="A1752" s="2" t="s">
        <v>1752</v>
      </c>
      <c r="B1752" s="2" t="str">
        <f>IFERROR(__xludf.DUMMYFUNCTION("GOOGLETRANSLATE(A1752, ""en"", ""mt"")"),"Il-konkwista tal-Mongoli, anke skont l-istandards tagħhom stess, kienet brutali. Wara li l-kapitali Samarkand waqgħet, il-kapitali ġiet imċaqalqa lejn Bukhara mill-irġiel li fadal, filwaqt li Genghis Khan ordna żewġ mill-ġenerali u l-forzi tagħhom biex je"&amp;"qirdu kompletament il-fdalijiet tal-imperu Khwarezmid, inklużi mhux biss bini rjali, iżda bliet sħaħ, popolazzjonijiet, popolazzjonijiet, u anke swaths vasti ta 'art agrikola. Skond il-leġġenda, Genghis Khan saħansitra wasal safejn jiddevja xmara permezz "&amp;"tal-post fejn twieled l-Imperatur Khwarezmid, iħassarha mill-mappa. [Ċitazzjoni meħtieġa]")</f>
        <v>Il-konkwista tal-Mongoli, anke skont l-istandards tagħhom stess, kienet brutali. Wara li l-kapitali Samarkand waqgħet, il-kapitali ġiet imċaqalqa lejn Bukhara mill-irġiel li fadal, filwaqt li Genghis Khan ordna żewġ mill-ġenerali u l-forzi tagħhom biex jeqirdu kompletament il-fdalijiet tal-imperu Khwarezmid, inklużi mhux biss bini rjali, iżda bliet sħaħ, popolazzjonijiet, popolazzjonijiet, u anke swaths vasti ta 'art agrikola. Skond il-leġġenda, Genghis Khan saħansitra wasal safejn jiddevja xmara permezz tal-post fejn twieled l-Imperatur Khwarezmid, iħassarha mill-mappa. [Ċitazzjoni meħtieġa]</v>
      </c>
    </row>
    <row r="1753" ht="15.75" customHeight="1">
      <c r="A1753" s="2" t="s">
        <v>1753</v>
      </c>
      <c r="B1753" s="2" t="str">
        <f>IFERROR(__xludf.DUMMYFUNCTION("GOOGLETRANSLATE(A1753, ""en"", ""mt"")"),"L-ispiżeriji tal-isptar spiss jistgħu jinstabu fil-bini tal-isptar. L-ispiżeriji tal-isptar ġeneralment jaħżnu firxa akbar ta 'mediċini, inklużi mediċini aktar speċjalizzati, milli jkunu fattibbli fl-ambjent tal-komunità. Il-biċċa l-kbira tal-mediċini fl-"&amp;"isptar huma doża unitarja, jew doża waħda ta 'mediċina. L-ispiżjara tal-isptar u t-tekniċi tal-ispiżerija mħarrġa jikkomponu prodotti sterili għal pazjenti inkluż nutrizzjoni parenterali totali (TPN), u mediċini oħra mogħtija ġol-vina. Dan huwa proċess ku"&amp;"mpless li jirrikjedi taħriġ adegwat ta 'persunal, assigurazzjoni tal-kwalità tal-prodotti, u faċilitajiet adegwati. Bosta spiżeriji fl-isptar iddeċidew li jesternalizzaw preparazzjonijiet ta 'riskju għoli u xi funzjonijiet oħra ta' taħlit għal kumpaniji l"&amp;"i jispeċjalizzaw fit-taħlit. L-ispiża għolja tal-mediċini u t-teknoloġija relatata mal-mediċina, flimkien mal-impatt potenzjali tal-mediċini u s-servizzi tal-ispiżerija fuq ir-riżultati tal-kura tal-pazjenti u s-sigurtà tal-pazjent, jagħmluha imperattiva "&amp;"li l-ispiżeriji tal-isptar iwettqu fl-ogħla livell possibbli.")</f>
        <v>L-ispiżeriji tal-isptar spiss jistgħu jinstabu fil-bini tal-isptar. L-ispiżeriji tal-isptar ġeneralment jaħżnu firxa akbar ta 'mediċini, inklużi mediċini aktar speċjalizzati, milli jkunu fattibbli fl-ambjent tal-komunità. Il-biċċa l-kbira tal-mediċini fl-isptar huma doża unitarja, jew doża waħda ta 'mediċina. L-ispiżjara tal-isptar u t-tekniċi tal-ispiżerija mħarrġa jikkomponu prodotti sterili għal pazjenti inkluż nutrizzjoni parenterali totali (TPN), u mediċini oħra mogħtija ġol-vina. Dan huwa proċess kumpless li jirrikjedi taħriġ adegwat ta 'persunal, assigurazzjoni tal-kwalità tal-prodotti, u faċilitajiet adegwati. Bosta spiżeriji fl-isptar iddeċidew li jesternalizzaw preparazzjonijiet ta 'riskju għoli u xi funzjonijiet oħra ta' taħlit għal kumpaniji li jispeċjalizzaw fit-taħlit. L-ispiża għolja tal-mediċini u t-teknoloġija relatata mal-mediċina, flimkien mal-impatt potenzjali tal-mediċini u s-servizzi tal-ispiżerija fuq ir-riżultati tal-kura tal-pazjenti u s-sigurtà tal-pazjent, jagħmluha imperattiva li l-ispiżeriji tal-isptar iwettqu fl-ogħla livell possibbli.</v>
      </c>
    </row>
    <row r="1754" ht="15.75" customHeight="1">
      <c r="A1754" s="2" t="s">
        <v>1754</v>
      </c>
      <c r="B1754" s="2" t="str">
        <f>IFERROR(__xludf.DUMMYFUNCTION("GOOGLETRANSLATE(A1754, ""en"", ""mt"")"),"Beerhouse u Whorehouse")</f>
        <v>Beerhouse u Whorehouse</v>
      </c>
    </row>
    <row r="1755" ht="15.75" customHeight="1">
      <c r="A1755" s="2" t="s">
        <v>1755</v>
      </c>
      <c r="B1755" s="2" t="str">
        <f>IFERROR(__xludf.DUMMYFUNCTION("GOOGLETRANSLATE(A1755, ""en"", ""mt"")"),"Il-Knisja Metodista Magħquda (UMC) hija denominazzjoni Metodista Protestanti Mainline. Fis-seklu 19 il-predeċessur ewlieni tiegħu kien mexxej fl-evanġeliċiżmu. Imwaqqfa fl-1968 mill-Unjoni tal-Knisja Metodista (l-Istati Uniti) u l-Knisja Evanġelika ta ’Ħu"&amp;"tna Magħquda, l-UMC traċċa l-għeruq tagħha lura għall-moviment tal-qawmien mill-ġdid ta’ John u Charles Wesley fl-Ingilterra kif ukoll mill-qawmien kbir fl-Istati Uniti. Bħala tali, l-orjentazzjoni teoloġika tal-knisja hija deċiżament Wesleyan. Huwa jħadd"&amp;"an elementi kemm liturġiċi kif ukoll evanġeliċi.")</f>
        <v>Il-Knisja Metodista Magħquda (UMC) hija denominazzjoni Metodista Protestanti Mainline. Fis-seklu 19 il-predeċessur ewlieni tiegħu kien mexxej fl-evanġeliċiżmu. Imwaqqfa fl-1968 mill-Unjoni tal-Knisja Metodista (l-Istati Uniti) u l-Knisja Evanġelika ta ’Ħutna Magħquda, l-UMC traċċa l-għeruq tagħha lura għall-moviment tal-qawmien mill-ġdid ta’ John u Charles Wesley fl-Ingilterra kif ukoll mill-qawmien kbir fl-Istati Uniti. Bħala tali, l-orjentazzjoni teoloġika tal-knisja hija deċiżament Wesleyan. Huwa jħaddan elementi kemm liturġiċi kif ukoll evanġeliċi.</v>
      </c>
    </row>
    <row r="1756" ht="15.75" customHeight="1">
      <c r="A1756" s="2" t="s">
        <v>1756</v>
      </c>
      <c r="B1756" s="2" t="str">
        <f>IFERROR(__xludf.DUMMYFUNCTION("GOOGLETRANSLATE(A1756, ""en"", ""mt"")"),"talli ma jkollokx permess ta 'residenza")</f>
        <v>talli ma jkollokx permess ta 'residenza</v>
      </c>
    </row>
    <row r="1757" ht="15.75" customHeight="1">
      <c r="A1757" s="2" t="s">
        <v>1757</v>
      </c>
      <c r="B1757" s="2" t="str">
        <f>IFERROR(__xludf.DUMMYFUNCTION("GOOGLETRANSLATE(A1757, ""en"", ""mt"")"),"It-Tnejn")</f>
        <v>It-Tnejn</v>
      </c>
    </row>
    <row r="1758" ht="15.75" customHeight="1">
      <c r="A1758" s="2" t="s">
        <v>1758</v>
      </c>
      <c r="B1758" s="2" t="str">
        <f>IFERROR(__xludf.DUMMYFUNCTION("GOOGLETRANSLATE(A1758, ""en"", ""mt"")"),"stadju introduttorju tal-kont")</f>
        <v>stadju introduttorju tal-kont</v>
      </c>
    </row>
    <row r="1759" ht="15.75" customHeight="1">
      <c r="A1759" s="2" t="s">
        <v>1759</v>
      </c>
      <c r="B1759" s="2" t="str">
        <f>IFERROR(__xludf.DUMMYFUNCTION("GOOGLETRANSLATE(A1759, ""en"", ""mt"")"),"il-problema diskreta tal-logaritmu")</f>
        <v>il-problema diskreta tal-logaritmu</v>
      </c>
    </row>
    <row r="1760" ht="15.75" customHeight="1">
      <c r="A1760" s="2" t="s">
        <v>1760</v>
      </c>
      <c r="B1760" s="2" t="str">
        <f>IFERROR(__xludf.DUMMYFUNCTION("GOOGLETRANSLATE(A1760, ""en"", ""mt"")"),"sodisfazzjon u kuntentizza")</f>
        <v>sodisfazzjon u kuntentizza</v>
      </c>
    </row>
    <row r="1761" ht="15.75" customHeight="1">
      <c r="A1761" s="2" t="s">
        <v>1761</v>
      </c>
      <c r="B1761" s="2" t="str">
        <f>IFERROR(__xludf.DUMMYFUNCTION("GOOGLETRANSLATE(A1761, ""en"", ""mt"")"),"X'tip ta 'eżerċizzju juri r-riċerka tirċievi spinta fil-prestazzjoni mill-ossiġnu?")</f>
        <v>X'tip ta 'eżerċizzju juri r-riċerka tirċievi spinta fil-prestazzjoni mill-ossiġnu?</v>
      </c>
    </row>
    <row r="1762" ht="15.75" customHeight="1">
      <c r="A1762" s="2" t="s">
        <v>1762</v>
      </c>
      <c r="B1762" s="2" t="str">
        <f>IFERROR(__xludf.DUMMYFUNCTION("GOOGLETRANSLATE(A1762, ""en"", ""mt"")"),"episodji ripetuti")</f>
        <v>episodji ripetuti</v>
      </c>
    </row>
    <row r="1763" ht="15.75" customHeight="1">
      <c r="A1763" s="2" t="s">
        <v>1763</v>
      </c>
      <c r="B1763" s="2" t="str">
        <f>IFERROR(__xludf.DUMMYFUNCTION("GOOGLETRANSLATE(A1763, ""en"", ""mt"")"),"Il-kollezzjoni Soulages ta 'oġġetti tar-Rinaxximent Taljan u Franċiż ġiet akkwistata bejn l-1859 u l-1865, u tinkludi diversi Cassone. Il-kollezzjoni John Jones ta 'arti u għamara Franċiża tas-seklu 18 tħalliet fil-mużew fl-1882, imbagħad stmata għal £ 25"&amp;"0,000. Waħda mill-aktar biċċiet importanti f'din il-kollezzjoni hija l-marketrija komdu mill-Ébéniste Jean Henri Riesener datat C1780. Biċċiet oħra ffirmati għamara fil-kollezzjoni jinkludu Bureau minn Jean-François Oeben, par ta 'pedestalli b'xogħol tar-"&amp;"ram isfar minn André Charles Boulle, komod minn Bernard Vanrisamburgh u ta' xogħol ta 'xogħol minn Martin Carlin. Ebénistes oħra tas-seklu 18 rappreżentati fil-kollezzjoni tal-mużew jinkludu Adam Weisweiler, David Roentgen, Gilles Joubert &amp; Pierre Langloi"&amp;"s. Fl-1901, Sir George Donaldson ta donazzjoni ta ’diversi biċċiet ta’ għamara Art Nouveau lill-mużew, li kien akkwista s-sena ta ’qabel fl-Universelle ta’ Pariġi Espożizzjoni. Dan ġie kkritikat dak iż-żmien, bil-konsegwenza li l-mużew ma baqax jiġbor oġġ"&amp;"etti kontemporanji u ma reġa 'għamel hekk sas-snin 1960. Fl-1986 il-kollezzjoni Lady Abingdon tal-Għamara tal-Imperu Franċiż kienet imħabbra mis-Sinjura T. R. P. Hole.")</f>
        <v>Il-kollezzjoni Soulages ta 'oġġetti tar-Rinaxximent Taljan u Franċiż ġiet akkwistata bejn l-1859 u l-1865, u tinkludi diversi Cassone. Il-kollezzjoni John Jones ta 'arti u għamara Franċiża tas-seklu 18 tħalliet fil-mużew fl-1882, imbagħad stmata għal £ 250,000. Waħda mill-aktar biċċiet importanti f'din il-kollezzjoni hija l-marketrija komdu mill-Ébéniste Jean Henri Riesener datat C1780. Biċċiet oħra ffirmati għamara fil-kollezzjoni jinkludu Bureau minn Jean-François Oeben, par ta 'pedestalli b'xogħol tar-ram isfar minn André Charles Boulle, komod minn Bernard Vanrisamburgh u ta' xogħol ta 'xogħol minn Martin Carlin. Ebénistes oħra tas-seklu 18 rappreżentati fil-kollezzjoni tal-mużew jinkludu Adam Weisweiler, David Roentgen, Gilles Joubert &amp; Pierre Langlois. Fl-1901, Sir George Donaldson ta donazzjoni ta ’diversi biċċiet ta’ għamara Art Nouveau lill-mużew, li kien akkwista s-sena ta ’qabel fl-Universelle ta’ Pariġi Espożizzjoni. Dan ġie kkritikat dak iż-żmien, bil-konsegwenza li l-mużew ma baqax jiġbor oġġetti kontemporanji u ma reġa 'għamel hekk sas-snin 1960. Fl-1986 il-kollezzjoni Lady Abingdon tal-Għamara tal-Imperu Franċiż kienet imħabbra mis-Sinjura T. R. P. Hole.</v>
      </c>
    </row>
    <row r="1764" ht="15.75" customHeight="1">
      <c r="A1764" s="2" t="s">
        <v>1764</v>
      </c>
      <c r="B1764" s="2" t="str">
        <f>IFERROR(__xludf.DUMMYFUNCTION("GOOGLETRANSLATE(A1764, ""en"", ""mt"")"),"L-adulti jew is-sekrezzjonijiet tal-minorenni jegħlbu l-isbaħ?")</f>
        <v>L-adulti jew is-sekrezzjonijiet tal-minorenni jegħlbu l-isbaħ?</v>
      </c>
    </row>
    <row r="1765" ht="15.75" customHeight="1">
      <c r="A1765" s="2" t="s">
        <v>1765</v>
      </c>
      <c r="B1765" s="2" t="str">
        <f>IFERROR(__xludf.DUMMYFUNCTION("GOOGLETRANSLATE(A1765, ""en"", ""mt"")"),"Infezzjonijiet li jirrepetu ruħhom u li jheddu l-ħajja.")</f>
        <v>Infezzjonijiet li jirrepetu ruħhom u li jheddu l-ħajja.</v>
      </c>
    </row>
    <row r="1766" ht="15.75" customHeight="1">
      <c r="A1766" s="2" t="s">
        <v>1766</v>
      </c>
      <c r="B1766" s="2" t="str">
        <f>IFERROR(__xludf.DUMMYFUNCTION("GOOGLETRANSLATE(A1766, ""en"", ""mt"")"),"X'inhu joħloq kunflitt bejn problema X u problema C fil-kuntest ta 'tnaqqis?")</f>
        <v>X'inhu joħloq kunflitt bejn problema X u problema C fil-kuntest ta 'tnaqqis?</v>
      </c>
    </row>
    <row r="1767" ht="15.75" customHeight="1">
      <c r="A1767" s="2" t="s">
        <v>1767</v>
      </c>
      <c r="B1767" s="2" t="str">
        <f>IFERROR(__xludf.DUMMYFUNCTION("GOOGLETRANSLATE(A1767, ""en"", ""mt"")"),"X’kien isemmi John Mayow il-parti tal-arja li kkawżat kombustjoni?")</f>
        <v>X’kien isemmi John Mayow il-parti tal-arja li kkawżat kombustjoni?</v>
      </c>
    </row>
    <row r="1768" ht="15.75" customHeight="1">
      <c r="A1768" s="2" t="s">
        <v>1768</v>
      </c>
      <c r="B1768" s="2" t="str">
        <f>IFERROR(__xludf.DUMMYFUNCTION("GOOGLETRANSLATE(A1768, ""en"", ""mt"")"),"Forza unidirezzjonali")</f>
        <v>Forza unidirezzjonali</v>
      </c>
    </row>
    <row r="1769" ht="15.75" customHeight="1">
      <c r="A1769" s="2" t="s">
        <v>1769</v>
      </c>
      <c r="B1769" s="2" t="str">
        <f>IFERROR(__xludf.DUMMYFUNCTION("GOOGLETRANSLATE(A1769, ""en"", ""mt"")"),"Azzjoni Soċjali u Politika")</f>
        <v>Azzjoni Soċjali u Politika</v>
      </c>
    </row>
    <row r="1770" ht="15.75" customHeight="1">
      <c r="A1770" s="2" t="s">
        <v>1770</v>
      </c>
      <c r="B1770" s="2" t="str">
        <f>IFERROR(__xludf.DUMMYFUNCTION("GOOGLETRANSLATE(A1770, ""en"", ""mt"")"),"X’insisti li Luther kien preżenti fil-ħobż u l-inbid?")</f>
        <v>X’insisti li Luther kien preżenti fil-ħobż u l-inbid?</v>
      </c>
    </row>
    <row r="1771" ht="15.75" customHeight="1">
      <c r="A1771" s="2" t="s">
        <v>1771</v>
      </c>
      <c r="B1771" s="2" t="str">
        <f>IFERROR(__xludf.DUMMYFUNCTION("GOOGLETRANSLATE(A1771, ""en"", ""mt"")"),"La Galaxy")</f>
        <v>La Galaxy</v>
      </c>
    </row>
    <row r="1772" ht="15.75" customHeight="1">
      <c r="A1772" s="2" t="s">
        <v>1772</v>
      </c>
      <c r="B1772" s="2" t="str">
        <f>IFERROR(__xludf.DUMMYFUNCTION("GOOGLETRANSLATE(A1772, ""en"", ""mt"")"),"Ir-reġjun ta 'fuq tar-Renu nbidel b'mod sinifikanti minn programm ta' rilaxx tar-Renu fis-seklu 19. Ir-rata tal-fluss żdiedet u l-livell tal-ilma ta ’taħt l-art naqas b’mod sinifikanti. Fergħat mejta nixfu u l-ammont ta 'foresti fuq il-pjanuri ta' l-għarg"&amp;"ħar naqas sew. Min-naħa Franċiża, il-Grand Canal D'Alsace kien imħaffer, li jġorr parti sinifikanti mill-ilma tax-xmara, u t-traffiku kollu. F’xi postijiet, hemm pixxini kbar ta ’kumpens, pereżempju l-Bassin de Compensation de Plobsheim enormi fl-Alsace.")</f>
        <v>Ir-reġjun ta 'fuq tar-Renu nbidel b'mod sinifikanti minn programm ta' rilaxx tar-Renu fis-seklu 19. Ir-rata tal-fluss żdiedet u l-livell tal-ilma ta ’taħt l-art naqas b’mod sinifikanti. Fergħat mejta nixfu u l-ammont ta 'foresti fuq il-pjanuri ta' l-għargħar naqas sew. Min-naħa Franċiża, il-Grand Canal D'Alsace kien imħaffer, li jġorr parti sinifikanti mill-ilma tax-xmara, u t-traffiku kollu. F’xi postijiet, hemm pixxini kbar ta ’kumpens, pereżempju l-Bassin de Compensation de Plobsheim enormi fl-Alsace.</v>
      </c>
    </row>
    <row r="1773" ht="15.75" customHeight="1">
      <c r="A1773" s="2" t="s">
        <v>1773</v>
      </c>
      <c r="B1773" s="2" t="str">
        <f>IFERROR(__xludf.DUMMYFUNCTION("GOOGLETRANSLATE(A1773, ""en"", ""mt"")"),"27 ta 'Jannar, 1967")</f>
        <v>27 ta 'Jannar, 1967</v>
      </c>
    </row>
    <row r="1774" ht="15.75" customHeight="1">
      <c r="A1774" s="2" t="s">
        <v>1774</v>
      </c>
      <c r="B1774" s="2" t="str">
        <f>IFERROR(__xludf.DUMMYFUNCTION("GOOGLETRANSLATE(A1774, ""en"", ""mt"")"),"Tqassar il-cutoff")</f>
        <v>Tqassar il-cutoff</v>
      </c>
    </row>
    <row r="1775" ht="15.75" customHeight="1">
      <c r="A1775" s="2" t="s">
        <v>1775</v>
      </c>
      <c r="B1775" s="2" t="str">
        <f>IFERROR(__xludf.DUMMYFUNCTION("GOOGLETRANSLATE(A1775, ""en"", ""mt"")"),"theddida tal-gwerra")</f>
        <v>theddida tal-gwerra</v>
      </c>
    </row>
    <row r="1776" ht="15.75" customHeight="1">
      <c r="A1776" s="2" t="s">
        <v>1776</v>
      </c>
      <c r="B1776" s="2" t="str">
        <f>IFERROR(__xludf.DUMMYFUNCTION("GOOGLETRANSLATE(A1776, ""en"", ""mt"")"),"Mars")</f>
        <v>Mars</v>
      </c>
    </row>
    <row r="1777" ht="15.75" customHeight="1">
      <c r="A1777" s="2" t="s">
        <v>1777</v>
      </c>
      <c r="B1777" s="2" t="str">
        <f>IFERROR(__xludf.DUMMYFUNCTION("GOOGLETRANSLATE(A1777, ""en"", ""mt"")"),"X'tip ta 'komposti bħall-aċetun, fihom ossiġnu?")</f>
        <v>X'tip ta 'komposti bħall-aċetun, fihom ossiġnu?</v>
      </c>
    </row>
    <row r="1778" ht="15.75" customHeight="1">
      <c r="A1778" s="2" t="s">
        <v>1778</v>
      </c>
      <c r="B1778" s="2" t="str">
        <f>IFERROR(__xludf.DUMMYFUNCTION("GOOGLETRANSLATE(A1778, ""en"", ""mt"")"),"X'tip ta 'trattament normalment jirċievu d-diżubbidjenti ċivili?")</f>
        <v>X'tip ta 'trattament normalment jirċievu d-diżubbidjenti ċivili?</v>
      </c>
    </row>
    <row r="1779" ht="15.75" customHeight="1">
      <c r="A1779" s="2" t="s">
        <v>1779</v>
      </c>
      <c r="B1779" s="2" t="str">
        <f>IFERROR(__xludf.DUMMYFUNCTION("GOOGLETRANSLATE(A1779, ""en"", ""mt"")"),"Ipprovdi operazzjonijiet orjentati lejn il-konnessjoni")</f>
        <v>Ipprovdi operazzjonijiet orjentati lejn il-konnessjoni</v>
      </c>
    </row>
    <row r="1780" ht="15.75" customHeight="1">
      <c r="A1780" s="2" t="s">
        <v>1780</v>
      </c>
      <c r="B1780" s="2" t="str">
        <f>IFERROR(__xludf.DUMMYFUNCTION("GOOGLETRANSLATE(A1780, ""en"", ""mt"")"),"Numru dejjem jikber ta 'forom ġodda ta' akkwist jinvolvi x'inhu?")</f>
        <v>Numru dejjem jikber ta 'forom ġodda ta' akkwist jinvolvi x'inhu?</v>
      </c>
    </row>
    <row r="1781" ht="15.75" customHeight="1">
      <c r="A1781" s="2" t="s">
        <v>1781</v>
      </c>
      <c r="B1781" s="2" t="str">
        <f>IFERROR(__xludf.DUMMYFUNCTION("GOOGLETRANSLATE(A1781, ""en"", ""mt"")"),"influwenza")</f>
        <v>influwenza</v>
      </c>
    </row>
    <row r="1782" ht="15.75" customHeight="1">
      <c r="A1782" s="2" t="s">
        <v>1782</v>
      </c>
      <c r="B1782" s="2" t="str">
        <f>IFERROR(__xludf.DUMMYFUNCTION("GOOGLETRANSLATE(A1782, ""en"", ""mt"")"),"defiċit")</f>
        <v>defiċit</v>
      </c>
    </row>
    <row r="1783" ht="15.75" customHeight="1">
      <c r="A1783" s="2" t="s">
        <v>1783</v>
      </c>
      <c r="B1783" s="2" t="str">
        <f>IFERROR(__xludf.DUMMYFUNCTION("GOOGLETRANSLATE(A1783, ""en"", ""mt"")"),"Bourgeois")</f>
        <v>Bourgeois</v>
      </c>
    </row>
    <row r="1784" ht="15.75" customHeight="1">
      <c r="A1784" s="2" t="s">
        <v>1784</v>
      </c>
      <c r="B1784" s="2" t="str">
        <f>IFERROR(__xludf.DUMMYFUNCTION("GOOGLETRANSLATE(A1784, ""en"", ""mt"")"),"Fakultà tal-passat inkludew ukoll l-Eġitologu James Henry Breasted, il-matematiku Alberto Calderón, l-ekonomista rebbieħa tal-Premju Nobel u d-difensur tal-liberaliżmu klassiku Friedrich Hayek, it-meteorologu Ted Fujita, l-ispiżjar Glenn T. Seaborg, l-iżv"&amp;"iluppatur tal-kunċett ta 'l-attinide u r-rebbieħ tal-Premju Nobel Yuan T. Lee, Ir-rumanzier rebbieħ tal-Premju Nobel Saul Bellow, filosofu politiku u l-awtur Allan Bloom, ir-riċerkaturi tal-kanċer Charles Brenton Huggins u Janet Rowley, l-astronomu Gerard"&amp;" Kuiper, wieħed mill-iktar figuri importanti fid-dixxiplina tad-dixxiplina tad-dixxiplina tal-lingwistika Edward Sapir, u l-fundatur ta ’McKinsey &amp; Co., James O. McKinsey.")</f>
        <v>Fakultà tal-passat inkludew ukoll l-Eġitologu James Henry Breasted, il-matematiku Alberto Calderón, l-ekonomista rebbieħa tal-Premju Nobel u d-difensur tal-liberaliżmu klassiku Friedrich Hayek, it-meteorologu Ted Fujita, l-ispiżjar Glenn T. Seaborg, l-iżviluppatur tal-kunċett ta 'l-attinide u r-rebbieħ tal-Premju Nobel Yuan T. Lee, Ir-rumanzier rebbieħ tal-Premju Nobel Saul Bellow, filosofu politiku u l-awtur Allan Bloom, ir-riċerkaturi tal-kanċer Charles Brenton Huggins u Janet Rowley, l-astronomu Gerard Kuiper, wieħed mill-iktar figuri importanti fid-dixxiplina tad-dixxiplina tad-dixxiplina tal-lingwistika Edward Sapir, u l-fundatur ta ’McKinsey &amp; Co., James O. McKinsey.</v>
      </c>
    </row>
    <row r="1785" ht="15.75" customHeight="1">
      <c r="A1785" s="2" t="s">
        <v>1785</v>
      </c>
      <c r="B1785" s="2" t="str">
        <f>IFERROR(__xludf.DUMMYFUNCTION("GOOGLETRANSLATE(A1785, ""en"", ""mt"")"),"L-IPCC mir-Rapport WWF")</f>
        <v>L-IPCC mir-Rapport WWF</v>
      </c>
    </row>
    <row r="1786" ht="15.75" customHeight="1">
      <c r="A1786" s="2" t="s">
        <v>1786</v>
      </c>
      <c r="B1786" s="2" t="str">
        <f>IFERROR(__xludf.DUMMYFUNCTION("GOOGLETRANSLATE(A1786, ""en"", ""mt"")"),"X'kienet il-kapitali tal-Imperu Ottoman?")</f>
        <v>X'kienet il-kapitali tal-Imperu Ottoman?</v>
      </c>
    </row>
    <row r="1787" ht="15.75" customHeight="1">
      <c r="A1787" s="2" t="s">
        <v>1787</v>
      </c>
      <c r="B1787" s="2" t="str">
        <f>IFERROR(__xludf.DUMMYFUNCTION("GOOGLETRANSLATE(A1787, ""en"", ""mt"")"),"X'għamel VBNS")</f>
        <v>X'għamel VBNS</v>
      </c>
    </row>
    <row r="1788" ht="15.75" customHeight="1">
      <c r="A1788" s="2" t="s">
        <v>1788</v>
      </c>
      <c r="B1788" s="2" t="str">
        <f>IFERROR(__xludf.DUMMYFUNCTION("GOOGLETRANSLATE(A1788, ""en"", ""mt"")"),"ROCOCO")</f>
        <v>ROCOCO</v>
      </c>
    </row>
    <row r="1789" ht="15.75" customHeight="1">
      <c r="A1789" s="2" t="s">
        <v>1789</v>
      </c>
      <c r="B1789" s="2" t="str">
        <f>IFERROR(__xludf.DUMMYFUNCTION("GOOGLETRANSLATE(A1789, ""en"", ""mt"")"),"tliet kuxxinetti")</f>
        <v>tliet kuxxinetti</v>
      </c>
    </row>
    <row r="1790" ht="15.75" customHeight="1">
      <c r="A1790" s="2" t="s">
        <v>1790</v>
      </c>
      <c r="B1790" s="2" t="str">
        <f>IFERROR(__xludf.DUMMYFUNCTION("GOOGLETRANSLATE(A1790, ""en"", ""mt"")"),"Huwa l-Pumpkin il-Kbir, Charlie Brown")</f>
        <v>Huwa l-Pumpkin il-Kbir, Charlie Brown</v>
      </c>
    </row>
    <row r="1791" ht="15.75" customHeight="1">
      <c r="A1791" s="2" t="s">
        <v>1791</v>
      </c>
      <c r="B1791" s="2" t="str">
        <f>IFERROR(__xludf.DUMMYFUNCTION("GOOGLETRANSLATE(A1791, ""en"", ""mt"")"),"Mao Zedong")</f>
        <v>Mao Zedong</v>
      </c>
    </row>
    <row r="1792" ht="15.75" customHeight="1">
      <c r="A1792" s="2" t="s">
        <v>1792</v>
      </c>
      <c r="B1792" s="2" t="str">
        <f>IFERROR(__xludf.DUMMYFUNCTION("GOOGLETRANSLATE(A1792, ""en"", ""mt"")"),"Aktar minn 90")</f>
        <v>Aktar minn 90</v>
      </c>
    </row>
    <row r="1793" ht="15.75" customHeight="1">
      <c r="A1793" s="2" t="s">
        <v>1793</v>
      </c>
      <c r="B1793" s="2" t="str">
        <f>IFERROR(__xludf.DUMMYFUNCTION("GOOGLETRANSLATE(A1793, ""en"", ""mt"")"),"inċert")</f>
        <v>inċert</v>
      </c>
    </row>
    <row r="1794" ht="15.75" customHeight="1">
      <c r="A1794" s="2" t="s">
        <v>1794</v>
      </c>
      <c r="B1794" s="2" t="str">
        <f>IFERROR(__xludf.DUMMYFUNCTION("GOOGLETRANSLATE(A1794, ""en"", ""mt"")"),"1,320 kilometru")</f>
        <v>1,320 kilometru</v>
      </c>
    </row>
    <row r="1795" ht="15.75" customHeight="1">
      <c r="A1795" s="2" t="s">
        <v>1795</v>
      </c>
      <c r="B1795" s="2" t="str">
        <f>IFERROR(__xludf.DUMMYFUNCTION("GOOGLETRANSLATE(A1795, ""en"", ""mt"")"),"Überseering bv v construction nordic gmbH")</f>
        <v>Überseering bv v construction nordic gmbH</v>
      </c>
    </row>
    <row r="1796" ht="15.75" customHeight="1">
      <c r="A1796" s="2" t="s">
        <v>1796</v>
      </c>
      <c r="B1796" s="2" t="str">
        <f>IFERROR(__xludf.DUMMYFUNCTION("GOOGLETRANSLATE(A1796, ""en"", ""mt"")"),"Il-patoġeni jistgħu jevolvu malajr u jadattaw, u b'hekk jevitaw is-sejbien u n-newtralizzazzjoni mis-sistema immunitarja; Madankollu, mekkaniżmi ta 'difiża multipli evolvew ukoll biex jirrikonoxxu u jinnewtralizzaw il-patoġeni. Anke organiżmi uniċellulari"&amp;" sempliċi bħal batterji għandhom sistema immuni rudimentarja, fil-forma ta 'enzimi li jipproteġu kontra infezzjonijiet tal-batterjofagi. Mekkaniżmi immuni bażiċi oħra evolvew fl-ewkarioti tal-qedem u jibqgħu fid-dixxendenti moderni tagħhom, bħal pjanti u "&amp;"invertebrati. Dawn il-mekkaniżmi jinkludu fagoċitosi, peptidi antimikrobiċi msejħa difensini, u s-sistema ta 'komplement. Il-vertebrati tax-xedaq, inklużi l-bnedmin, għandhom mekkaniżmi ta 'difiża saħansitra aktar sofistikati, inkluża l-abbiltà li tadatta"&amp;" maż-żmien biex tirrikonoxxi patoġeni speċifiċi b'mod aktar effiċjenti. L-immunità adattiva (jew akkwistata) toħloq memorja immunoloġika wara rispons inizjali għal patoġen speċifiku, li jwassal għal rispons imtejjeb għal inkontri sussegwenti bl-istess pat"&amp;"oġen. Dan il-proċess ta 'immunità akkwistata huwa l-bażi tat-tilqima.")</f>
        <v>Il-patoġeni jistgħu jevolvu malajr u jadattaw, u b'hekk jevitaw is-sejbien u n-newtralizzazzjoni mis-sistema immunitarja; Madankollu, mekkaniżmi ta 'difiża multipli evolvew ukoll biex jirrikonoxxu u jinnewtralizzaw il-patoġeni. Anke organiżmi uniċellulari sempliċi bħal batterji għandhom sistema immuni rudimentarja, fil-forma ta 'enzimi li jipproteġu kontra infezzjonijiet tal-batterjofagi. Mekkaniżmi immuni bażiċi oħra evolvew fl-ewkarioti tal-qedem u jibqgħu fid-dixxendenti moderni tagħhom, bħal pjanti u invertebrati. Dawn il-mekkaniżmi jinkludu fagoċitosi, peptidi antimikrobiċi msejħa difensini, u s-sistema ta 'komplement. Il-vertebrati tax-xedaq, inklużi l-bnedmin, għandhom mekkaniżmi ta 'difiża saħansitra aktar sofistikati, inkluża l-abbiltà li tadatta maż-żmien biex tirrikonoxxi patoġeni speċifiċi b'mod aktar effiċjenti. L-immunità adattiva (jew akkwistata) toħloq memorja immunoloġika wara rispons inizjali għal patoġen speċifiku, li jwassal għal rispons imtejjeb għal inkontri sussegwenti bl-istess patoġen. Dan il-proċess ta 'immunità akkwistata huwa l-bażi tat-tilqima.</v>
      </c>
    </row>
    <row r="1797" ht="15.75" customHeight="1">
      <c r="A1797" s="2" t="s">
        <v>1797</v>
      </c>
      <c r="B1797" s="2" t="str">
        <f>IFERROR(__xludf.DUMMYFUNCTION("GOOGLETRANSLATE(A1797, ""en"", ""mt"")"),"qalba ta 'barra u qalba ta' ġewwa")</f>
        <v>qalba ta 'barra u qalba ta' ġewwa</v>
      </c>
    </row>
    <row r="1798" ht="15.75" customHeight="1">
      <c r="A1798" s="2" t="s">
        <v>1798</v>
      </c>
      <c r="B1798" s="2" t="str">
        <f>IFERROR(__xludf.DUMMYFUNCTION("GOOGLETRANSLATE(A1798, ""en"", ""mt"")"),"Xi tfisser it-terrazzin mgħarrqa bħalissa?")</f>
        <v>Xi tfisser it-terrazzin mgħarrqa bħalissa?</v>
      </c>
    </row>
    <row r="1799" ht="15.75" customHeight="1">
      <c r="A1799" s="2" t="s">
        <v>1799</v>
      </c>
      <c r="B1799" s="2" t="str">
        <f>IFERROR(__xludf.DUMMYFUNCTION("GOOGLETRANSLATE(A1799, ""en"", ""mt"")"),"Ċittadin jista 'jistrieħ fuq id-direttiva f'tali azzjoni")</f>
        <v>Ċittadin jista 'jistrieħ fuq id-direttiva f'tali azzjoni</v>
      </c>
    </row>
    <row r="1800" ht="15.75" customHeight="1">
      <c r="A1800" s="2" t="s">
        <v>1800</v>
      </c>
      <c r="B1800" s="2" t="str">
        <f>IFERROR(__xludf.DUMMYFUNCTION("GOOGLETRANSLATE(A1800, ""en"", ""mt"")"),"it-test tal-primalità Fermat,")</f>
        <v>it-test tal-primalità Fermat,</v>
      </c>
    </row>
    <row r="1801" ht="15.75" customHeight="1">
      <c r="A1801" s="2" t="s">
        <v>1801</v>
      </c>
      <c r="B1801" s="2" t="str">
        <f>IFERROR(__xludf.DUMMYFUNCTION("GOOGLETRANSLATE(A1801, ""en"", ""mt"")"),"Kemm kien qrib il-mewt tiegħu x-xogħol ippubblikat?")</f>
        <v>Kemm kien qrib il-mewt tiegħu x-xogħol ippubblikat?</v>
      </c>
    </row>
    <row r="1802" ht="15.75" customHeight="1">
      <c r="A1802" s="2" t="s">
        <v>1802</v>
      </c>
      <c r="B1802" s="2" t="str">
        <f>IFERROR(__xludf.DUMMYFUNCTION("GOOGLETRANSLATE(A1802, ""en"", ""mt"")"),"il-monarka")</f>
        <v>il-monarka</v>
      </c>
    </row>
    <row r="1803" ht="15.75" customHeight="1">
      <c r="A1803" s="2" t="s">
        <v>1803</v>
      </c>
      <c r="B1803" s="2" t="str">
        <f>IFERROR(__xludf.DUMMYFUNCTION("GOOGLETRANSLATE(A1803, ""en"", ""mt"")"),"April")</f>
        <v>April</v>
      </c>
    </row>
    <row r="1804" ht="15.75" customHeight="1">
      <c r="A1804" s="2" t="s">
        <v>1804</v>
      </c>
      <c r="B1804" s="2" t="str">
        <f>IFERROR(__xludf.DUMMYFUNCTION("GOOGLETRANSLATE(A1804, ""en"", ""mt"")"),"Il-kurva Kuznets tgħid bl-iżvilupp ekonomiku, l-inugwaljanza se tonqos wara xiex?")</f>
        <v>Il-kurva Kuznets tgħid bl-iżvilupp ekonomiku, l-inugwaljanza se tonqos wara xiex?</v>
      </c>
    </row>
    <row r="1805" ht="15.75" customHeight="1">
      <c r="A1805" s="2" t="s">
        <v>1805</v>
      </c>
      <c r="B1805" s="2" t="str">
        <f>IFERROR(__xludf.DUMMYFUNCTION("GOOGLETRANSLATE(A1805, ""en"", ""mt"")"),"Fl-1891 l-ispiżjar Skoċċiż James Dewar kien kapaċi jipproduċi biżżejjed ossiġnu likwidu biex jistudja. L-ewwel proċess kummerċjalment vijabbli għall-produzzjoni ta 'ossiġnu likwidu ġie żviluppat b'mod indipendenti fl-1895 mill-inġinier Ġermaniż Carl von L"&amp;"inde u l-inġinier Brittaniku William Hampson. Iż-żewġ irġiel naqqsu t-temperatura ta 'l-arja sakemm tkun likwifikata u mbagħad iddistillaw il-gassijiet tal-komponenti billi jagħlquhom waħda kull darba u qabduhom. Aktar tard, fl-1901, l-iwweldjar ta 'oxyac"&amp;"etylene intwera għall-ewwel darba billi jinħaraq taħlita ta' aċetilena u kompressat O
2. Dan il-metodu ta 'wweldjar u qtugħ tal-metall aktar tard sar komuni.")</f>
        <v>Fl-1891 l-ispiżjar Skoċċiż James Dewar kien kapaċi jipproduċi biżżejjed ossiġnu likwidu biex jistudja. L-ewwel proċess kummerċjalment vijabbli għall-produzzjoni ta 'ossiġnu likwidu ġie żviluppat b'mod indipendenti fl-1895 mill-inġinier Ġermaniż Carl von Linde u l-inġinier Brittaniku William Hampson. Iż-żewġ irġiel naqqsu t-temperatura ta 'l-arja sakemm tkun likwifikata u mbagħad iddistillaw il-gassijiet tal-komponenti billi jagħlquhom waħda kull darba u qabduhom. Aktar tard, fl-1901, l-iwweldjar ta 'oxyacetylene intwera għall-ewwel darba billi jinħaraq taħlita ta' aċetilena u kompressat O
2. Dan il-metodu ta 'wweldjar u qtugħ tal-metall aktar tard sar komuni.</v>
      </c>
    </row>
    <row r="1806" ht="15.75" customHeight="1">
      <c r="A1806" s="2" t="s">
        <v>1806</v>
      </c>
      <c r="B1806" s="2" t="str">
        <f>IFERROR(__xludf.DUMMYFUNCTION("GOOGLETRANSLATE(A1806, ""en"", ""mt"")"),"Gvernatur Vaudreuil")</f>
        <v>Gvernatur Vaudreuil</v>
      </c>
    </row>
    <row r="1807" ht="15.75" customHeight="1">
      <c r="A1807" s="2" t="s">
        <v>1807</v>
      </c>
      <c r="B1807" s="2" t="str">
        <f>IFERROR(__xludf.DUMMYFUNCTION("GOOGLETRANSLATE(A1807, ""en"", ""mt"")"),"Huwa konjetta li tnaqqis progressiv fil-livelli ta 'ormoni bl-età huwa parzjalment responsabbli għal risponsi immuni mdgħajfa f'individwi li qed jixjieħu. Bil-maqlub, xi ormoni huma rregolati mis-sistema immunitarja, l-aktar attività ta 'ormoni tat-tirojd"&amp;"e. It-tnaqqis relatat mal-età fil-funzjoni immuni huwa relatat ukoll ma 'tnaqqis fil-livelli ta' vitamina D fl-anzjani. Hekk kif in-nies jixjieħu, iseħħu żewġ affarijiet li jaffettwaw b'mod negattiv il-livelli ta 'vitamina D tagħhom. L-ewwel, huma jibqgħu"&amp;" ġewwa aktar minħabba tnaqqis fil-livelli ta 'attività. Dan ifisser li jiksbu inqas xemx u għalhekk jipproduċu inqas cholecalciferol permezz ta 'radjazzjoni UVB. It-tieni, hekk kif persuna tixjieħ il-ġilda ssir inqas adept fil-produzzjoni tal-vitamina D.")</f>
        <v>Huwa konjetta li tnaqqis progressiv fil-livelli ta 'ormoni bl-età huwa parzjalment responsabbli għal risponsi immuni mdgħajfa f'individwi li qed jixjieħu. Bil-maqlub, xi ormoni huma rregolati mis-sistema immunitarja, l-aktar attività ta 'ormoni tat-tirojde. It-tnaqqis relatat mal-età fil-funzjoni immuni huwa relatat ukoll ma 'tnaqqis fil-livelli ta' vitamina D fl-anzjani. Hekk kif in-nies jixjieħu, iseħħu żewġ affarijiet li jaffettwaw b'mod negattiv il-livelli ta 'vitamina D tagħhom. L-ewwel, huma jibqgħu ġewwa aktar minħabba tnaqqis fil-livelli ta 'attività. Dan ifisser li jiksbu inqas xemx u għalhekk jipproduċu inqas cholecalciferol permezz ta 'radjazzjoni UVB. It-tieni, hekk kif persuna tixjieħ il-ġilda ssir inqas adept fil-produzzjoni tal-vitamina D.</v>
      </c>
    </row>
    <row r="1808" ht="15.75" customHeight="1">
      <c r="A1808" s="2" t="s">
        <v>1808</v>
      </c>
      <c r="B1808" s="2" t="str">
        <f>IFERROR(__xludf.DUMMYFUNCTION("GOOGLETRANSLATE(A1808, ""en"", ""mt"")"),"Huwa stmat 25 miljun")</f>
        <v>Huwa stmat 25 miljun</v>
      </c>
    </row>
    <row r="1809" ht="15.75" customHeight="1">
      <c r="A1809" s="2" t="s">
        <v>1809</v>
      </c>
      <c r="B1809" s="2" t="str">
        <f>IFERROR(__xludf.DUMMYFUNCTION("GOOGLETRANSLATE(A1809, ""en"", ""mt"")"),"Xi jemmnu xi wħud dwar din il-pronunzja?")</f>
        <v>Xi jemmnu xi wħud dwar din il-pronunzja?</v>
      </c>
    </row>
    <row r="1810" ht="15.75" customHeight="1">
      <c r="A1810" s="2" t="s">
        <v>1810</v>
      </c>
      <c r="B1810" s="2" t="str">
        <f>IFERROR(__xludf.DUMMYFUNCTION("GOOGLETRANSLATE(A1810, ""en"", ""mt"")"),"Liema ċiviltà kienet l-ewwel magħrufa li studja b'mod ċar in-numri ewlenin?")</f>
        <v>Liema ċiviltà kienet l-ewwel magħrufa li studja b'mod ċar in-numri ewlenin?</v>
      </c>
    </row>
    <row r="1811" ht="15.75" customHeight="1">
      <c r="A1811" s="2" t="s">
        <v>1811</v>
      </c>
      <c r="B1811" s="2" t="str">
        <f>IFERROR(__xludf.DUMMYFUNCTION("GOOGLETRANSLATE(A1811, ""en"", ""mt"")"),"fuq il-linja ta '50 tarzna")</f>
        <v>fuq il-linja ta '50 tarzna</v>
      </c>
    </row>
    <row r="1812" ht="15.75" customHeight="1">
      <c r="A1812" s="2" t="s">
        <v>1812</v>
      </c>
      <c r="B1812" s="2" t="str">
        <f>IFERROR(__xludf.DUMMYFUNCTION("GOOGLETRANSLATE(A1812, ""en"", ""mt"")"),"Min kiteb li huwa diffiċli li tipproduċi definizzjoni kollha inklużiva ta 'diżubbidjenza ċivili?")</f>
        <v>Min kiteb li huwa diffiċli li tipproduċi definizzjoni kollha inklużiva ta 'diżubbidjenza ċivili?</v>
      </c>
    </row>
    <row r="1813" ht="15.75" customHeight="1">
      <c r="A1813" s="2" t="s">
        <v>1813</v>
      </c>
      <c r="B1813" s="2" t="str">
        <f>IFERROR(__xludf.DUMMYFUNCTION("GOOGLETRANSLATE(A1813, ""en"", ""mt"")"),"Liema żewġ artisti ħarġu ma 'Coldplay waqt l-ispettaklu ta' nofs il-ħin?")</f>
        <v>Liema żewġ artisti ħarġu ma 'Coldplay waqt l-ispettaklu ta' nofs il-ħin?</v>
      </c>
    </row>
    <row r="1814" ht="15.75" customHeight="1">
      <c r="A1814" s="2" t="s">
        <v>1814</v>
      </c>
      <c r="B1814" s="2" t="str">
        <f>IFERROR(__xludf.DUMMYFUNCTION("GOOGLETRANSLATE(A1814, ""en"", ""mt"")"),"Films tat-tieni u t-tielet ġirja")</f>
        <v>Films tat-tieni u t-tielet ġirja</v>
      </c>
    </row>
    <row r="1815" ht="15.75" customHeight="1">
      <c r="A1815" s="2" t="s">
        <v>1815</v>
      </c>
      <c r="B1815" s="2" t="str">
        <f>IFERROR(__xludf.DUMMYFUNCTION("GOOGLETRANSLATE(A1815, ""en"", ""mt"")"),"£ 250,000")</f>
        <v>£ 250,000</v>
      </c>
    </row>
    <row r="1816" ht="15.75" customHeight="1">
      <c r="A1816" s="2" t="s">
        <v>1816</v>
      </c>
      <c r="B1816" s="2" t="str">
        <f>IFERROR(__xludf.DUMMYFUNCTION("GOOGLETRANSLATE(A1816, ""en"", ""mt"")"),"Għaliex ġie msejjaħ il-grupp ta 'studenti ""Il-Metodisti?""")</f>
        <v>Għaliex ġie msejjaħ il-grupp ta 'studenti "Il-Metodisti?"</v>
      </c>
    </row>
    <row r="1817" ht="15.75" customHeight="1">
      <c r="A1817" s="2" t="s">
        <v>1817</v>
      </c>
      <c r="B1817" s="2" t="str">
        <f>IFERROR(__xludf.DUMMYFUNCTION("GOOGLETRANSLATE(A1817, ""en"", ""mt"")"),"New York")</f>
        <v>New York</v>
      </c>
    </row>
    <row r="1818" ht="15.75" customHeight="1">
      <c r="A1818" s="2" t="s">
        <v>1818</v>
      </c>
      <c r="B1818" s="2" t="str">
        <f>IFERROR(__xludf.DUMMYFUNCTION("GOOGLETRANSLATE(A1818, ""en"", ""mt"")"),"Il-foresta tropikali rnexxielha tiffjorixxi matul il-perjodi glaċjali?")</f>
        <v>Il-foresta tropikali rnexxielha tiffjorixxi matul il-perjodi glaċjali?</v>
      </c>
    </row>
    <row r="1819" ht="15.75" customHeight="1">
      <c r="A1819" s="2" t="s">
        <v>1819</v>
      </c>
      <c r="B1819" s="2" t="str">
        <f>IFERROR(__xludf.DUMMYFUNCTION("GOOGLETRANSLATE(A1819, ""en"", ""mt"")"),"Talb komuni tal-mewt.")</f>
        <v>Talb komuni tal-mewt.</v>
      </c>
    </row>
    <row r="1820" ht="15.75" customHeight="1">
      <c r="A1820" s="2" t="s">
        <v>1820</v>
      </c>
      <c r="B1820" s="2" t="str">
        <f>IFERROR(__xludf.DUMMYFUNCTION("GOOGLETRANSLATE(A1820, ""en"", ""mt"")"),"Jonqos Il-Ktieb tad-Dixxiplina")</f>
        <v>Jonqos Il-Ktieb tad-Dixxiplina</v>
      </c>
    </row>
    <row r="1821" ht="15.75" customHeight="1">
      <c r="A1821" s="2" t="s">
        <v>1821</v>
      </c>
      <c r="B1821" s="2" t="str">
        <f>IFERROR(__xludf.DUMMYFUNCTION("GOOGLETRANSLATE(A1821, ""en"", ""mt"")"),"Bioluminesċenza")</f>
        <v>Bioluminesċenza</v>
      </c>
    </row>
    <row r="1822" ht="15.75" customHeight="1">
      <c r="A1822" s="2" t="s">
        <v>1822</v>
      </c>
      <c r="B1822" s="2" t="str">
        <f>IFERROR(__xludf.DUMMYFUNCTION("GOOGLETRANSLATE(A1822, ""en"", ""mt"")"),"Gwerra tal-Gwerillieri")</f>
        <v>Gwerra tal-Gwerillieri</v>
      </c>
    </row>
    <row r="1823" ht="15.75" customHeight="1">
      <c r="A1823" s="2" t="s">
        <v>1823</v>
      </c>
      <c r="B1823" s="2" t="str">
        <f>IFERROR(__xludf.DUMMYFUNCTION("GOOGLETRANSLATE(A1823, ""en"", ""mt"")"),"Fl-1949, il-UPT ġie mġiegħel isir entità indipendenti minn min?")</f>
        <v>Fl-1949, il-UPT ġie mġiegħel isir entità indipendenti minn min?</v>
      </c>
    </row>
    <row r="1824" ht="15.75" customHeight="1">
      <c r="A1824" s="2" t="s">
        <v>1824</v>
      </c>
      <c r="B1824" s="2" t="str">
        <f>IFERROR(__xludf.DUMMYFUNCTION("GOOGLETRANSLATE(A1824, ""en"", ""mt"")"),"Is-salvazzjoni jew il-fidwa hija rigal tal-grazzja ta ’Alla, li tista’ tinkiseb biss permezz tal-fidi f’Ġesù bħala l-Messija")</f>
        <v>Is-salvazzjoni jew il-fidwa hija rigal tal-grazzja ta ’Alla, li tista’ tinkiseb biss permezz tal-fidi f’Ġesù bħala l-Messija</v>
      </c>
    </row>
    <row r="1825" ht="15.75" customHeight="1">
      <c r="A1825" s="2" t="s">
        <v>1825</v>
      </c>
      <c r="B1825" s="2" t="str">
        <f>IFERROR(__xludf.DUMMYFUNCTION("GOOGLETRANSLATE(A1825, ""en"", ""mt"")"),"Il-konfessur tal-Papa huwa isqof?")</f>
        <v>Il-konfessur tal-Papa huwa isqof?</v>
      </c>
    </row>
    <row r="1826" ht="15.75" customHeight="1">
      <c r="A1826" s="2" t="s">
        <v>1826</v>
      </c>
      <c r="B1826" s="2" t="str">
        <f>IFERROR(__xludf.DUMMYFUNCTION("GOOGLETRANSLATE(A1826, ""en"", ""mt"")"),"kummiedji u serje orjentata lejn il-familja")</f>
        <v>kummiedji u serje orjentata lejn il-familja</v>
      </c>
    </row>
    <row r="1827" ht="15.75" customHeight="1">
      <c r="A1827" s="2" t="s">
        <v>1827</v>
      </c>
      <c r="B1827" s="2" t="str">
        <f>IFERROR(__xludf.DUMMYFUNCTION("GOOGLETRANSLATE(A1827, ""en"", ""mt"")"),"487")</f>
        <v>487</v>
      </c>
    </row>
    <row r="1828" ht="15.75" customHeight="1">
      <c r="A1828" s="2" t="s">
        <v>1828</v>
      </c>
      <c r="B1828" s="2" t="str">
        <f>IFERROR(__xludf.DUMMYFUNCTION("GOOGLETRANSLATE(A1828, ""en"", ""mt"")"),"Spettur tal-Bini Muniċipali")</f>
        <v>Spettur tal-Bini Muniċipali</v>
      </c>
    </row>
    <row r="1829" ht="15.75" customHeight="1">
      <c r="A1829" s="2" t="s">
        <v>1829</v>
      </c>
      <c r="B1829" s="2" t="str">
        <f>IFERROR(__xludf.DUMMYFUNCTION("GOOGLETRANSLATE(A1829, ""en"", ""mt"")"),"X'kien wieħed mill-kotba ta 'Tesla fejn jistgħu jinqraw artikli?")</f>
        <v>X'kien wieħed mill-kotba ta 'Tesla fejn jistgħu jinqraw artikli?</v>
      </c>
    </row>
    <row r="1830" ht="15.75" customHeight="1">
      <c r="A1830" s="2" t="s">
        <v>1830</v>
      </c>
      <c r="B1830" s="2" t="str">
        <f>IFERROR(__xludf.DUMMYFUNCTION("GOOGLETRANSLATE(A1830, ""en"", ""mt"")"),"Village of Warszowa")</f>
        <v>Village of Warszowa</v>
      </c>
    </row>
    <row r="1831" ht="15.75" customHeight="1">
      <c r="A1831" s="2" t="s">
        <v>1831</v>
      </c>
      <c r="B1831" s="2" t="str">
        <f>IFERROR(__xludf.DUMMYFUNCTION("GOOGLETRANSLATE(A1831, ""en"", ""mt"")"),"Biex tnaqqas l-ispejjeż u timmassimizza l-profitti")</f>
        <v>Biex tnaqqas l-ispejjeż u timmassimizza l-profitti</v>
      </c>
    </row>
    <row r="1832" ht="15.75" customHeight="1">
      <c r="A1832" s="2" t="s">
        <v>1832</v>
      </c>
      <c r="B1832" s="2" t="str">
        <f>IFERROR(__xludf.DUMMYFUNCTION("GOOGLETRANSLATE(A1832, ""en"", ""mt"")"),"Wales")</f>
        <v>Wales</v>
      </c>
    </row>
    <row r="1833" ht="15.75" customHeight="1">
      <c r="A1833" s="2" t="s">
        <v>1833</v>
      </c>
      <c r="B1833" s="2" t="str">
        <f>IFERROR(__xludf.DUMMYFUNCTION("GOOGLETRANSLATE(A1833, ""en"", ""mt"")"),"Luther x’qed iqis il-ħajja ta ’Kristu?")</f>
        <v>Luther x’qed iqis il-ħajja ta ’Kristu?</v>
      </c>
    </row>
    <row r="1834" ht="15.75" customHeight="1">
      <c r="A1834" s="2" t="s">
        <v>1834</v>
      </c>
      <c r="B1834" s="2" t="str">
        <f>IFERROR(__xludf.DUMMYFUNCTION("GOOGLETRANSLATE(A1834, ""en"", ""mt"")"),"batterjofagi")</f>
        <v>batterjofagi</v>
      </c>
    </row>
    <row r="1835" ht="15.75" customHeight="1">
      <c r="A1835" s="2" t="s">
        <v>1835</v>
      </c>
      <c r="B1835" s="2" t="str">
        <f>IFERROR(__xludf.DUMMYFUNCTION("GOOGLETRANSLATE(A1835, ""en"", ""mt"")"),"Liema kumpanija pprovdiet konnessjonijiet tat-triq bejn iċ-ċentru u l-isptar?")</f>
        <v>Liema kumpanija pprovdiet konnessjonijiet tat-triq bejn iċ-ċentru u l-isptar?</v>
      </c>
    </row>
    <row r="1836" ht="15.75" customHeight="1">
      <c r="A1836" s="2" t="s">
        <v>1836</v>
      </c>
      <c r="B1836" s="2" t="str">
        <f>IFERROR(__xludf.DUMMYFUNCTION("GOOGLETRANSLATE(A1836, ""en"", ""mt"")"),"Min jista 'jfittex bidliet jew eżenzjonijiet fil-liġi li jirregola l-art fejn se jinbena l-bini?")</f>
        <v>Min jista 'jfittex bidliet jew eżenzjonijiet fil-liġi li jirregola l-art fejn se jinbena l-bini?</v>
      </c>
    </row>
    <row r="1837" ht="15.75" customHeight="1">
      <c r="A1837" s="2" t="s">
        <v>1837</v>
      </c>
      <c r="B1837" s="2" t="str">
        <f>IFERROR(__xludf.DUMMYFUNCTION("GOOGLETRANSLATE(A1837, ""en"", ""mt"")"),"Rivoluzzjonarju")</f>
        <v>Rivoluzzjonarju</v>
      </c>
    </row>
    <row r="1838" ht="15.75" customHeight="1">
      <c r="A1838" s="2" t="s">
        <v>1838</v>
      </c>
      <c r="B1838" s="2" t="str">
        <f>IFERROR(__xludf.DUMMYFUNCTION("GOOGLETRANSLATE(A1838, ""en"", ""mt"")"),"20% sa 25%")</f>
        <v>20% sa 25%</v>
      </c>
    </row>
    <row r="1839" ht="15.75" customHeight="1">
      <c r="A1839" s="2" t="s">
        <v>1839</v>
      </c>
      <c r="B1839" s="2" t="str">
        <f>IFERROR(__xludf.DUMMYFUNCTION("GOOGLETRANSLATE(A1839, ""en"", ""mt"")"),"Qtil ta ’Kristu")</f>
        <v>Qtil ta ’Kristu</v>
      </c>
    </row>
    <row r="1840" ht="15.75" customHeight="1">
      <c r="A1840" s="2" t="s">
        <v>1840</v>
      </c>
      <c r="B1840" s="2" t="str">
        <f>IFERROR(__xludf.DUMMYFUNCTION("GOOGLETRANSLATE(A1840, ""en"", ""mt"")"),"Mill-1999, Big Finish Productions ħarġet diversi serje differenti ta 'Audios Doctor Who fuq CD. L-ewwel minn dawn dehru l-ħames, is-sitt u s-seba 'tobba, bit-tmien tabib ta' Paul McGann jingħaqad mal-linja fl-2001. Ir-raba 'tabib ta' Tom Baker beda jidher"&amp;" għal Big Finish fl-2012. Flimkien mal-firxa ewlenija, avventuri tal-ewwel, it-tieni u t-tielet It-tobba ġew prodotti kemm f'formati limitati ta 'mitfugħa kif ukoll full-cast, kif ukoll f'audiobooks. Is-serje 2013 Destiny of the Doctor, prodotta bħala par"&amp;"ti miċ-ċelebrazzjonijiet tas-serje tal-50 anniversarju, immarkat l-ewwel darba li Big Finish ħoloq stejjer (f'dan il-każ Audiobooks) li jidhru fit-tobba mill-ispettaklu Revived.")</f>
        <v>Mill-1999, Big Finish Productions ħarġet diversi serje differenti ta 'Audios Doctor Who fuq CD. L-ewwel minn dawn dehru l-ħames, is-sitt u s-seba 'tobba, bit-tmien tabib ta' Paul McGann jingħaqad mal-linja fl-2001. Ir-raba 'tabib ta' Tom Baker beda jidher għal Big Finish fl-2012. Flimkien mal-firxa ewlenija, avventuri tal-ewwel, it-tieni u t-tielet It-tobba ġew prodotti kemm f'formati limitati ta 'mitfugħa kif ukoll full-cast, kif ukoll f'audiobooks. Is-serje 2013 Destiny of the Doctor, prodotta bħala parti miċ-ċelebrazzjonijiet tas-serje tal-50 anniversarju, immarkat l-ewwel darba li Big Finish ħoloq stejjer (f'dan il-każ Audiobooks) li jidhru fit-tobba mill-ispettaklu Revived.</v>
      </c>
    </row>
    <row r="1841" ht="15.75" customHeight="1">
      <c r="A1841" s="2" t="s">
        <v>1841</v>
      </c>
      <c r="B1841" s="2" t="str">
        <f>IFERROR(__xludf.DUMMYFUNCTION("GOOGLETRANSLATE(A1841, ""en"", ""mt"")"),"Kif differenti l-iskejjel privati ​​fl-Irlanda huma differenti mill-biċċa l-kbira?")</f>
        <v>Kif differenti l-iskejjel privati ​​fl-Irlanda huma differenti mill-biċċa l-kbira?</v>
      </c>
    </row>
    <row r="1842" ht="15.75" customHeight="1">
      <c r="A1842" s="2" t="s">
        <v>1842</v>
      </c>
      <c r="B1842" s="2" t="str">
        <f>IFERROR(__xludf.DUMMYFUNCTION("GOOGLETRANSLATE(A1842, ""en"", ""mt"")"),"Monte Gargano")</f>
        <v>Monte Gargano</v>
      </c>
    </row>
    <row r="1843" ht="15.75" customHeight="1">
      <c r="A1843" s="2" t="s">
        <v>1843</v>
      </c>
      <c r="B1843" s="2" t="str">
        <f>IFERROR(__xludf.DUMMYFUNCTION("GOOGLETRANSLATE(A1843, ""en"", ""mt"")"),"Basel,")</f>
        <v>Basel,</v>
      </c>
    </row>
    <row r="1844" ht="15.75" customHeight="1">
      <c r="A1844" s="2" t="s">
        <v>1844</v>
      </c>
      <c r="B1844" s="2" t="str">
        <f>IFERROR(__xludf.DUMMYFUNCTION("GOOGLETRANSLATE(A1844, ""en"", ""mt"")"),"aktar kapital")</f>
        <v>aktar kapital</v>
      </c>
    </row>
    <row r="1845" ht="15.75" customHeight="1">
      <c r="A1845" s="2" t="s">
        <v>1845</v>
      </c>
      <c r="B1845" s="2" t="str">
        <f>IFERROR(__xludf.DUMMYFUNCTION("GOOGLETRANSLATE(A1845, ""en"", ""mt"")"),"tipparteċipa fid-diviżjoni taċ-ċelluli, rotta tal-proteini, u anke reżistenza għall-mard")</f>
        <v>tipparteċipa fid-diviżjoni taċ-ċelluli, rotta tal-proteini, u anke reżistenza għall-mard</v>
      </c>
    </row>
    <row r="1846" ht="15.75" customHeight="1">
      <c r="A1846" s="2" t="s">
        <v>1846</v>
      </c>
      <c r="B1846" s="2" t="str">
        <f>IFERROR(__xludf.DUMMYFUNCTION("GOOGLETRANSLATE(A1846, ""en"", ""mt"")"),"monostrata tal-lipidi")</f>
        <v>monostrata tal-lipidi</v>
      </c>
    </row>
    <row r="1847" ht="15.75" customHeight="1">
      <c r="A1847" s="2" t="s">
        <v>1847</v>
      </c>
      <c r="B1847" s="2" t="str">
        <f>IFERROR(__xludf.DUMMYFUNCTION("GOOGLETRANSLATE(A1847, ""en"", ""mt"")"),"Kemm unitajiet akkademiċi jiffurmaw l-iskola?")</f>
        <v>Kemm unitajiet akkademiċi jiffurmaw l-iskola?</v>
      </c>
    </row>
    <row r="1848" ht="15.75" customHeight="1">
      <c r="A1848" s="2" t="s">
        <v>1848</v>
      </c>
      <c r="B1848" s="2" t="str">
        <f>IFERROR(__xludf.DUMMYFUNCTION("GOOGLETRANSLATE(A1848, ""en"", ""mt"")"),"Suleiman il-magnífico,")</f>
        <v>Suleiman il-magnífico,</v>
      </c>
    </row>
    <row r="1849" ht="15.75" customHeight="1">
      <c r="A1849" s="2" t="s">
        <v>1849</v>
      </c>
      <c r="B1849" s="2" t="str">
        <f>IFERROR(__xludf.DUMMYFUNCTION("GOOGLETRANSLATE(A1849, ""en"", ""mt"")"),"Vulcan")</f>
        <v>Vulcan</v>
      </c>
    </row>
    <row r="1850" ht="15.75" customHeight="1">
      <c r="A1850" s="2" t="s">
        <v>1850</v>
      </c>
      <c r="B1850" s="2" t="str">
        <f>IFERROR(__xludf.DUMMYFUNCTION("GOOGLETRANSLATE(A1850, ""en"", ""mt"")"),"Mersenne")</f>
        <v>Mersenne</v>
      </c>
    </row>
    <row r="1851" ht="15.75" customHeight="1">
      <c r="A1851" s="2" t="s">
        <v>1851</v>
      </c>
      <c r="B1851" s="2" t="str">
        <f>IFERROR(__xludf.DUMMYFUNCTION("GOOGLETRANSLATE(A1851, ""en"", ""mt"")"),"Liema pajjiż wera t-tliet episodji kollha ta 'Silver Nemesis qabel ma għamlet il-BBC?")</f>
        <v>Liema pajjiż wera t-tliet episodji kollha ta 'Silver Nemesis qabel ma għamlet il-BBC?</v>
      </c>
    </row>
    <row r="1852" ht="15.75" customHeight="1">
      <c r="A1852" s="2" t="s">
        <v>1852</v>
      </c>
      <c r="B1852" s="2" t="str">
        <f>IFERROR(__xludf.DUMMYFUNCTION("GOOGLETRANSLATE(A1852, ""en"", ""mt"")"),"Liema rarament jintuża terminu ta 'unità ta' forza daqs 1000 libbra ta 'forza?")</f>
        <v>Liema rarament jintuża terminu ta 'unità ta' forza daqs 1000 libbra ta 'forza?</v>
      </c>
    </row>
    <row r="1853" ht="15.75" customHeight="1">
      <c r="A1853" s="2" t="s">
        <v>1853</v>
      </c>
      <c r="B1853" s="2" t="str">
        <f>IFERROR(__xludf.DUMMYFUNCTION("GOOGLETRANSLATE(A1853, ""en"", ""mt"")"),"X'inhu l-ispiżerija konsulent prinċipalment konċernat?")</f>
        <v>X'inhu l-ispiżerija konsulent prinċipalment konċernat?</v>
      </c>
    </row>
    <row r="1854" ht="15.75" customHeight="1">
      <c r="A1854" s="2" t="s">
        <v>1854</v>
      </c>
      <c r="B1854" s="2" t="str">
        <f>IFERROR(__xludf.DUMMYFUNCTION("GOOGLETRANSLATE(A1854, ""en"", ""mt"")"),"Min kien il-kreatur ta 'NYPD Blue?")</f>
        <v>Min kien il-kreatur ta 'NYPD Blue?</v>
      </c>
    </row>
    <row r="1855" ht="15.75" customHeight="1">
      <c r="A1855" s="2" t="s">
        <v>1855</v>
      </c>
      <c r="B1855" s="2" t="str">
        <f>IFERROR(__xludf.DUMMYFUNCTION("GOOGLETRANSLATE(A1855, ""en"", ""mt"")"),"X'giżviluppa Donald Davies")</f>
        <v>X'giżviluppa Donald Davies</v>
      </c>
    </row>
    <row r="1856" ht="15.75" customHeight="1">
      <c r="A1856" s="2" t="s">
        <v>1856</v>
      </c>
      <c r="B1856" s="2" t="str">
        <f>IFERROR(__xludf.DUMMYFUNCTION("GOOGLETRANSLATE(A1856, ""en"", ""mt"")"),"Min sofra driegħ miksur fil-logħba tal-kampjonat NFC?")</f>
        <v>Min sofra driegħ miksur fil-logħba tal-kampjonat NFC?</v>
      </c>
    </row>
    <row r="1857" ht="15.75" customHeight="1">
      <c r="A1857" s="2" t="s">
        <v>1857</v>
      </c>
      <c r="B1857" s="2" t="str">
        <f>IFERROR(__xludf.DUMMYFUNCTION("GOOGLETRANSLATE(A1857, ""en"", ""mt"")"),"ċelloli")</f>
        <v>ċelloli</v>
      </c>
    </row>
    <row r="1858" ht="15.75" customHeight="1">
      <c r="A1858" s="2" t="s">
        <v>1858</v>
      </c>
      <c r="B1858" s="2" t="str">
        <f>IFERROR(__xludf.DUMMYFUNCTION("GOOGLETRANSLATE(A1858, ""en"", ""mt"")"),"muturi jew mopeds li jiġbdu karrijiet")</f>
        <v>muturi jew mopeds li jiġbdu karrijiet</v>
      </c>
    </row>
    <row r="1859" ht="15.75" customHeight="1">
      <c r="A1859" s="2" t="s">
        <v>1859</v>
      </c>
      <c r="B1859" s="2" t="str">
        <f>IFERROR(__xludf.DUMMYFUNCTION("GOOGLETRANSLATE(A1859, ""en"", ""mt"")"),"trattament")</f>
        <v>trattament</v>
      </c>
    </row>
    <row r="1860" ht="15.75" customHeight="1">
      <c r="A1860" s="2" t="s">
        <v>1860</v>
      </c>
      <c r="B1860" s="2" t="str">
        <f>IFERROR(__xludf.DUMMYFUNCTION("GOOGLETRANSLATE(A1860, ""en"", ""mt"")"),"L-iktar kloroplast tad-dinofiti komuni huwa l-kloroplast tat-tip peridinin, ikkaratterizzat mill-peridinin tal-pigment tal-karotenojdi fil-kloroplasti tagħhom, flimkien mal-klorofilla A u l-klorofilla C2. Peridinin ma jinstab fl-ebda grupp ieħor ta 'kloro"&amp;"plasti. Il-kloroplast peridinin huwa mdawwar bi tliet membrani (kultant tnejn), wara li tilef il-membrana taċ-ċellula oriġinali tal-alka ħamra. Il-membrana l-iktar imbiegħda mhix konnessa mar-retikolu endoplasmiku. Fihom pirenojdi, u għandhom thylakoids b"&amp;"i triplet. Il-lamtu jinstab barra l-kloroplast karatteristika importanti ta 'dawn il-kloroplasti hija li d-DNA tal-kloroplast tagħhom huwa mnaqqas ħafna u frammentat f'ħafna ċrieki żgħar. Il-biċċa l-kbira tal-ġenoma emigra lejn in-nukleu, u l-ġeni kritiċi"&amp;" relatati mal-fotosintesi jibqgħu fil-kloroplast.")</f>
        <v>L-iktar kloroplast tad-dinofiti komuni huwa l-kloroplast tat-tip peridinin, ikkaratterizzat mill-peridinin tal-pigment tal-karotenojdi fil-kloroplasti tagħhom, flimkien mal-klorofilla A u l-klorofilla C2. Peridinin ma jinstab fl-ebda grupp ieħor ta 'kloroplasti. Il-kloroplast peridinin huwa mdawwar bi tliet membrani (kultant tnejn), wara li tilef il-membrana taċ-ċellula oriġinali tal-alka ħamra. Il-membrana l-iktar imbiegħda mhix konnessa mar-retikolu endoplasmiku. Fihom pirenojdi, u għandhom thylakoids bi triplet. Il-lamtu jinstab barra l-kloroplast karatteristika importanti ta 'dawn il-kloroplasti hija li d-DNA tal-kloroplast tagħhom huwa mnaqqas ħafna u frammentat f'ħafna ċrieki żgħar. Il-biċċa l-kbira tal-ġenoma emigra lejn in-nukleu, u l-ġeni kritiċi relatati mal-fotosintesi jibqgħu fil-kloroplast.</v>
      </c>
    </row>
    <row r="1861" ht="15.75" customHeight="1">
      <c r="A1861" s="2" t="s">
        <v>1861</v>
      </c>
      <c r="B1861" s="2" t="str">
        <f>IFERROR(__xludf.DUMMYFUNCTION("GOOGLETRANSLATE(A1861, ""en"", ""mt"")"),"etere")</f>
        <v>etere</v>
      </c>
    </row>
    <row r="1862" ht="15.75" customHeight="1">
      <c r="A1862" s="2" t="s">
        <v>1862</v>
      </c>
      <c r="B1862" s="2" t="str">
        <f>IFERROR(__xludf.DUMMYFUNCTION("GOOGLETRANSLATE(A1862, ""en"", ""mt"")"),"X’jostja Luther dwar l-akkwist tal-grazzja ta ’Alla?")</f>
        <v>X’jostja Luther dwar l-akkwist tal-grazzja ta ’Alla?</v>
      </c>
    </row>
    <row r="1863" ht="15.75" customHeight="1">
      <c r="A1863" s="2" t="s">
        <v>1863</v>
      </c>
      <c r="B1863" s="2" t="str">
        <f>IFERROR(__xludf.DUMMYFUNCTION("GOOGLETRANSLATE(A1863, ""en"", ""mt"")"),"meritokratiku")</f>
        <v>meritokratiku</v>
      </c>
    </row>
    <row r="1864" ht="15.75" customHeight="1">
      <c r="A1864" s="2" t="s">
        <v>1864</v>
      </c>
      <c r="B1864" s="2" t="str">
        <f>IFERROR(__xludf.DUMMYFUNCTION("GOOGLETRANSLATE(A1864, ""en"", ""mt"")"),"Nofs it-300,000 abitant ta 'Napli'")</f>
        <v>Nofs it-300,000 abitant ta 'Napli'</v>
      </c>
    </row>
    <row r="1865" ht="15.75" customHeight="1">
      <c r="A1865" s="2" t="s">
        <v>1865</v>
      </c>
      <c r="B1865" s="2" t="str">
        <f>IFERROR(__xludf.DUMMYFUNCTION("GOOGLETRANSLATE(A1865, ""en"", ""mt"")"),"Daniel Andrews")</f>
        <v>Daniel Andrews</v>
      </c>
    </row>
    <row r="1866" ht="15.75" customHeight="1">
      <c r="A1866" s="2" t="s">
        <v>1866</v>
      </c>
      <c r="B1866" s="2" t="str">
        <f>IFERROR(__xludf.DUMMYFUNCTION("GOOGLETRANSLATE(A1866, ""en"", ""mt"")"),"Gvernijiet Komunisti")</f>
        <v>Gvernijiet Komunisti</v>
      </c>
    </row>
    <row r="1867" ht="15.75" customHeight="1">
      <c r="A1867" s="2" t="s">
        <v>1867</v>
      </c>
      <c r="B1867" s="2" t="str">
        <f>IFERROR(__xludf.DUMMYFUNCTION("GOOGLETRANSLATE(A1867, ""en"", ""mt"")"),"Università Renmin")</f>
        <v>Università Renmin</v>
      </c>
    </row>
    <row r="1868" ht="15.75" customHeight="1">
      <c r="A1868" s="2" t="s">
        <v>1868</v>
      </c>
      <c r="B1868" s="2" t="str">
        <f>IFERROR(__xludf.DUMMYFUNCTION("GOOGLETRANSLATE(A1868, ""en"", ""mt"")"),"Valley Vistula")</f>
        <v>Valley Vistula</v>
      </c>
    </row>
    <row r="1869" ht="15.75" customHeight="1">
      <c r="A1869" s="2" t="s">
        <v>1869</v>
      </c>
      <c r="B1869" s="2" t="str">
        <f>IFERROR(__xludf.DUMMYFUNCTION("GOOGLETRANSLATE(A1869, ""en"", ""mt"")"),"Xxxviii")</f>
        <v>Xxxviii</v>
      </c>
    </row>
    <row r="1870" ht="15.75" customHeight="1">
      <c r="A1870" s="2" t="s">
        <v>1870</v>
      </c>
      <c r="B1870" s="2" t="str">
        <f>IFERROR(__xludf.DUMMYFUNCTION("GOOGLETRANSLATE(A1870, ""en"", ""mt"")"),"Liema Jersey ilbes il-Broncos għal Super Bowl 50?")</f>
        <v>Liema Jersey ilbes il-Broncos għal Super Bowl 50?</v>
      </c>
    </row>
    <row r="1871" ht="15.75" customHeight="1">
      <c r="A1871" s="2" t="s">
        <v>1871</v>
      </c>
      <c r="B1871" s="2" t="str">
        <f>IFERROR(__xludf.DUMMYFUNCTION("GOOGLETRANSLATE(A1871, ""en"", ""mt"")"),"żewġ innijiet")</f>
        <v>żewġ innijiet</v>
      </c>
    </row>
    <row r="1872" ht="15.75" customHeight="1">
      <c r="A1872" s="2" t="s">
        <v>1872</v>
      </c>
      <c r="B1872" s="2" t="str">
        <f>IFERROR(__xludf.DUMMYFUNCTION("GOOGLETRANSLATE(A1872, ""en"", ""mt"")"),"Meta ġie mniedi l-Skylab?")</f>
        <v>Meta ġie mniedi l-Skylab?</v>
      </c>
    </row>
    <row r="1873" ht="15.75" customHeight="1">
      <c r="A1873" s="2" t="s">
        <v>1873</v>
      </c>
      <c r="B1873" s="2" t="str">
        <f>IFERROR(__xludf.DUMMYFUNCTION("GOOGLETRANSLATE(A1873, ""en"", ""mt"")"),"L-attività politika kkawżat sfruttament")</f>
        <v>L-attività politika kkawżat sfruttament</v>
      </c>
    </row>
    <row r="1874" ht="15.75" customHeight="1">
      <c r="A1874" s="2" t="s">
        <v>1874</v>
      </c>
      <c r="B1874" s="2" t="str">
        <f>IFERROR(__xludf.DUMMYFUNCTION("GOOGLETRANSLATE(A1874, ""en"", ""mt"")"),"l-aktar Nisrani")</f>
        <v>l-aktar Nisrani</v>
      </c>
    </row>
    <row r="1875" ht="15.75" customHeight="1">
      <c r="A1875" s="2" t="s">
        <v>1875</v>
      </c>
      <c r="B1875" s="2" t="str">
        <f>IFERROR(__xludf.DUMMYFUNCTION("GOOGLETRANSLATE(A1875, ""en"", ""mt"")"),"Juivesiles kapaċi jirriproduċu?")</f>
        <v>Juivesiles kapaċi jirriproduċu?</v>
      </c>
    </row>
    <row r="1876" ht="15.75" customHeight="1">
      <c r="A1876" s="2" t="s">
        <v>1876</v>
      </c>
      <c r="B1876" s="2" t="str">
        <f>IFERROR(__xludf.DUMMYFUNCTION("GOOGLETRANSLATE(A1876, ""en"", ""mt"")"),"Meta seħħ l-assedju ta 'Antijokja?")</f>
        <v>Meta seħħ l-assedju ta 'Antijokja?</v>
      </c>
    </row>
    <row r="1877" ht="15.75" customHeight="1">
      <c r="A1877" s="2" t="s">
        <v>1877</v>
      </c>
      <c r="B1877" s="2" t="str">
        <f>IFERROR(__xludf.DUMMYFUNCTION("GOOGLETRANSLATE(A1877, ""en"", ""mt"")"),"effetti elettriċi")</f>
        <v>effetti elettriċi</v>
      </c>
    </row>
    <row r="1878" ht="15.75" customHeight="1">
      <c r="A1878" s="2" t="s">
        <v>1878</v>
      </c>
      <c r="B1878" s="2" t="str">
        <f>IFERROR(__xludf.DUMMYFUNCTION("GOOGLETRANSLATE(A1878, ""en"", ""mt"")"),"sjieda privata tal-mezzi ta 'produzzjoni")</f>
        <v>sjieda privata tal-mezzi ta 'produzzjoni</v>
      </c>
    </row>
    <row r="1879" ht="15.75" customHeight="1">
      <c r="A1879" s="2" t="s">
        <v>1879</v>
      </c>
      <c r="B1879" s="2" t="str">
        <f>IFERROR(__xludf.DUMMYFUNCTION("GOOGLETRANSLATE(A1879, ""en"", ""mt"")"),"Min kien ir-rivali ewlieni ta 'Westinghouse?")</f>
        <v>Min kien ir-rivali ewlieni ta 'Westinghouse?</v>
      </c>
    </row>
    <row r="1880" ht="15.75" customHeight="1">
      <c r="A1880" s="2" t="s">
        <v>1880</v>
      </c>
      <c r="B1880" s="2" t="str">
        <f>IFERROR(__xludf.DUMMYFUNCTION("GOOGLETRANSLATE(A1880, ""en"", ""mt"")"),"Min jiddefinixxi dak li jikkostitwixxi relazzjoni ta 'marki għall-pazjent?")</f>
        <v>Min jiddefinixxi dak li jikkostitwixxi relazzjoni ta 'marki għall-pazjent?</v>
      </c>
    </row>
    <row r="1881" ht="15.75" customHeight="1">
      <c r="A1881" s="2" t="s">
        <v>1881</v>
      </c>
      <c r="B1881" s="2" t="str">
        <f>IFERROR(__xludf.DUMMYFUNCTION("GOOGLETRANSLATE(A1881, ""en"", ""mt"")"),"Ġibiltà u l-Gżejjer Åland")</f>
        <v>Ġibiltà u l-Gżejjer Åland</v>
      </c>
    </row>
    <row r="1882" ht="15.75" customHeight="1">
      <c r="A1882" s="2" t="s">
        <v>1882</v>
      </c>
      <c r="B1882" s="2" t="str">
        <f>IFERROR(__xludf.DUMMYFUNCTION("GOOGLETRANSLATE(A1882, ""en"", ""mt"")"),"X'inhu l-mija minimu tal-kontenut ta 'alkoħol li liġi Ġermaniża teħtieġ li l-ispirti u l-likuri kollha jkollhom?")</f>
        <v>X'inhu l-mija minimu tal-kontenut ta 'alkoħol li liġi Ġermaniża teħtieġ li l-ispirti u l-likuri kollha jkollhom?</v>
      </c>
    </row>
    <row r="1883" ht="15.75" customHeight="1">
      <c r="A1883" s="2" t="s">
        <v>1883</v>
      </c>
      <c r="B1883" s="2" t="str">
        <f>IFERROR(__xludf.DUMMYFUNCTION("GOOGLETRANSLATE(A1883, ""en"", ""mt"")"),"Il-biċċa l-kbira tal-produzzjonijiet fil-formazzjoni tat-TGIF ġew prodotti minn liema kumpanija tal-produzzjoni?")</f>
        <v>Il-biċċa l-kbira tal-produzzjonijiet fil-formazzjoni tat-TGIF ġew prodotti minn liema kumpanija tal-produzzjoni?</v>
      </c>
    </row>
    <row r="1884" ht="15.75" customHeight="1">
      <c r="A1884" s="2" t="s">
        <v>1884</v>
      </c>
      <c r="B1884" s="2" t="str">
        <f>IFERROR(__xludf.DUMMYFUNCTION("GOOGLETRANSLATE(A1884, ""en"", ""mt"")"),"avjoniċi, telekomunikazzjonijiet, u kompjuters")</f>
        <v>avjoniċi, telekomunikazzjonijiet, u kompjuters</v>
      </c>
    </row>
    <row r="1885" ht="15.75" customHeight="1">
      <c r="A1885" s="2" t="s">
        <v>1885</v>
      </c>
      <c r="B1885" s="2" t="str">
        <f>IFERROR(__xludf.DUMMYFUNCTION("GOOGLETRANSLATE(A1885, ""en"", ""mt"")"),"10 ta 'te (chai ya saa nne) u 4 pm tè")</f>
        <v>10 ta 'te (chai ya saa nne) u 4 pm tè</v>
      </c>
    </row>
    <row r="1886" ht="15.75" customHeight="1">
      <c r="A1886" s="2" t="s">
        <v>1886</v>
      </c>
      <c r="B1886" s="2" t="str">
        <f>IFERROR(__xludf.DUMMYFUNCTION("GOOGLETRANSLATE(A1886, ""en"", ""mt"")"),"X'ġara mill-affarijiet ta 'Tesla?")</f>
        <v>X'ġara mill-affarijiet ta 'Tesla?</v>
      </c>
    </row>
    <row r="1887" ht="15.75" customHeight="1">
      <c r="A1887" s="2" t="s">
        <v>1887</v>
      </c>
      <c r="B1887" s="2" t="str">
        <f>IFERROR(__xludf.DUMMYFUNCTION("GOOGLETRANSLATE(A1887, ""en"", ""mt"")"),"99.4.")</f>
        <v>99.4.</v>
      </c>
    </row>
    <row r="1888" ht="15.75" customHeight="1">
      <c r="A1888" s="2" t="s">
        <v>1888</v>
      </c>
      <c r="B1888" s="2" t="str">
        <f>IFERROR(__xludf.DUMMYFUNCTION("GOOGLETRANSLATE(A1888, ""en"", ""mt"")"),"Żieda fil-livell tal-baħar kienet naqset")</f>
        <v>Żieda fil-livell tal-baħar kienet naqset</v>
      </c>
    </row>
    <row r="1889" ht="15.75" customHeight="1">
      <c r="A1889" s="2" t="s">
        <v>1889</v>
      </c>
      <c r="B1889" s="2" t="str">
        <f>IFERROR(__xludf.DUMMYFUNCTION("GOOGLETRANSLATE(A1889, ""en"", ""mt"")"),"teknika")</f>
        <v>teknika</v>
      </c>
    </row>
    <row r="1890" ht="15.75" customHeight="1">
      <c r="A1890" s="2" t="s">
        <v>1890</v>
      </c>
      <c r="B1890" s="2" t="str">
        <f>IFERROR(__xludf.DUMMYFUNCTION("GOOGLETRANSLATE(A1890, ""en"", ""mt"")"),"X’ma għamlux l-elite Mongolja?")</f>
        <v>X’ma għamlux l-elite Mongolja?</v>
      </c>
    </row>
    <row r="1891" ht="15.75" customHeight="1">
      <c r="A1891" s="2" t="s">
        <v>1891</v>
      </c>
      <c r="B1891" s="2" t="str">
        <f>IFERROR(__xludf.DUMMYFUNCTION("GOOGLETRANSLATE(A1891, ""en"", ""mt"")"),"Fuq liema karatteristika kimika tiddependi mis-solubilità ta 'Oxygen?")</f>
        <v>Fuq liema karatteristika kimika tiddependi mis-solubilità ta 'Oxygen?</v>
      </c>
    </row>
    <row r="1892" ht="15.75" customHeight="1">
      <c r="A1892" s="2" t="s">
        <v>1892</v>
      </c>
      <c r="B1892" s="2" t="str">
        <f>IFERROR(__xludf.DUMMYFUNCTION("GOOGLETRANSLATE(A1892, ""en"", ""mt"")"),"365.2425 Jiem tas-Sena")</f>
        <v>365.2425 Jiem tas-Sena</v>
      </c>
    </row>
    <row r="1893" ht="15.75" customHeight="1">
      <c r="A1893" s="2" t="s">
        <v>1893</v>
      </c>
      <c r="B1893" s="2" t="str">
        <f>IFERROR(__xludf.DUMMYFUNCTION("GOOGLETRANSLATE(A1893, ""en"", ""mt"")"),"Min hu s-superviżur tal-belt ta 'San Francisco?")</f>
        <v>Min hu s-superviżur tal-belt ta 'San Francisco?</v>
      </c>
    </row>
    <row r="1894" ht="15.75" customHeight="1">
      <c r="A1894" s="2" t="s">
        <v>1894</v>
      </c>
      <c r="B1894" s="2" t="str">
        <f>IFERROR(__xludf.DUMMYFUNCTION("GOOGLETRANSLATE(A1894, ""en"", ""mt"")"),"Kemm idum ir-Renu?")</f>
        <v>Kemm idum ir-Renu?</v>
      </c>
    </row>
    <row r="1895" ht="15.75" customHeight="1">
      <c r="A1895" s="2" t="s">
        <v>1895</v>
      </c>
      <c r="B1895" s="2" t="str">
        <f>IFERROR(__xludf.DUMMYFUNCTION("GOOGLETRANSLATE(A1895, ""en"", ""mt"")"),"Deke Slayton,")</f>
        <v>Deke Slayton,</v>
      </c>
    </row>
    <row r="1896" ht="15.75" customHeight="1">
      <c r="A1896" s="2" t="s">
        <v>1896</v>
      </c>
      <c r="B1896" s="2" t="str">
        <f>IFERROR(__xludf.DUMMYFUNCTION("GOOGLETRANSLATE(A1896, ""en"", ""mt"")"),"Ix-xandiriet standard ta 'definizzjoni standard ta' BSKYB huma f'MPEG-2 konformi mad-DVB, bil-films Sky u l-kanali tal-box office Sky inklużi soundtracks diġitali Dolby mhux obbligatorji għal films riċenti, għalkemm dawn huma aċċessibbli biss b'kaxxa Sky "&amp;"+. SKY + HD Material huwa mxandar bl-użu ta 'MPEG-4 u l-biċċa l-kbira tal-materjal HD juża l-istandard DVB-S2. Servizzi interattivi u EPG ta '7 ijiem jużaw is-sistema proprjetarja OPENTV, b'kaxex set-top inklużi modems għal mogħdija ta' ritorn. Sky News, "&amp;"fost kanali oħra, tipprovdi servizz interattiv psewdo-video fuq talba billi xxandar flussi ta 'vidjow looping.")</f>
        <v>Ix-xandiriet standard ta 'definizzjoni standard ta' BSKYB huma f'MPEG-2 konformi mad-DVB, bil-films Sky u l-kanali tal-box office Sky inklużi soundtracks diġitali Dolby mhux obbligatorji għal films riċenti, għalkemm dawn huma aċċessibbli biss b'kaxxa Sky +. SKY + HD Material huwa mxandar bl-użu ta 'MPEG-4 u l-biċċa l-kbira tal-materjal HD juża l-istandard DVB-S2. Servizzi interattivi u EPG ta '7 ijiem jużaw is-sistema proprjetarja OPENTV, b'kaxex set-top inklużi modems għal mogħdija ta' ritorn. Sky News, fost kanali oħra, tipprovdi servizz interattiv psewdo-video fuq talba billi xxandar flussi ta 'vidjow looping.</v>
      </c>
    </row>
    <row r="1897" ht="15.75" customHeight="1">
      <c r="A1897" s="2" t="s">
        <v>1897</v>
      </c>
      <c r="B1897" s="2" t="str">
        <f>IFERROR(__xludf.DUMMYFUNCTION("GOOGLETRANSLATE(A1897, ""en"", ""mt"")"),"Fejn iseħħu laqgħat plenarji?")</f>
        <v>Fejn iseħħu laqgħat plenarji?</v>
      </c>
    </row>
    <row r="1898" ht="15.75" customHeight="1">
      <c r="A1898" s="2" t="s">
        <v>1898</v>
      </c>
      <c r="B1898" s="2" t="str">
        <f>IFERROR(__xludf.DUMMYFUNCTION("GOOGLETRANSLATE(A1898, ""en"", ""mt"")"),"Śródmieście")</f>
        <v>Śródmieście</v>
      </c>
    </row>
    <row r="1899" ht="15.75" customHeight="1">
      <c r="A1899" s="2" t="s">
        <v>1899</v>
      </c>
      <c r="B1899" s="2" t="str">
        <f>IFERROR(__xludf.DUMMYFUNCTION("GOOGLETRANSLATE(A1899, ""en"", ""mt"")"),"Flimkien ma 'Dan Fouts, min serva bħala analista tal-kulur għax-xandira tar-radju?")</f>
        <v>Flimkien ma 'Dan Fouts, min serva bħala analista tal-kulur għax-xandira tar-radju?</v>
      </c>
    </row>
    <row r="1900" ht="15.75" customHeight="1">
      <c r="A1900" s="2" t="s">
        <v>1900</v>
      </c>
      <c r="B1900" s="2" t="str">
        <f>IFERROR(__xludf.DUMMYFUNCTION("GOOGLETRANSLATE(A1900, ""en"", ""mt"")"),"Kemm djar għandhom tfal taħt it-18-il sena jgħixu fihom?")</f>
        <v>Kemm djar għandhom tfal taħt it-18-il sena jgħixu fihom?</v>
      </c>
    </row>
    <row r="1901" ht="15.75" customHeight="1">
      <c r="A1901" s="2" t="s">
        <v>1901</v>
      </c>
      <c r="B1901" s="2" t="str">
        <f>IFERROR(__xludf.DUMMYFUNCTION("GOOGLETRANSLATE(A1901, ""en"", ""mt"")"),"X'ġara fl-ilma ta 'taħt l-art fir-Renu waqt il-programm ta' l-iddrittar tar-Renu?")</f>
        <v>X'ġara fl-ilma ta 'taħt l-art fir-Renu waqt il-programm ta' l-iddrittar tar-Renu?</v>
      </c>
    </row>
    <row r="1902" ht="15.75" customHeight="1">
      <c r="A1902" s="2" t="s">
        <v>1902</v>
      </c>
      <c r="B1902" s="2" t="str">
        <f>IFERROR(__xludf.DUMMYFUNCTION("GOOGLETRANSLATE(A1902, ""en"", ""mt"")"),"Flimkien ma 'l-iskart tas-sħana tal-iskart tal-magna nukleari, ġeotermali u interna, x'tip ta' enerġija tista 'tipprovdi s-sħana għal magna tal-fwar?")</f>
        <v>Flimkien ma 'l-iskart tas-sħana tal-iskart tal-magna nukleari, ġeotermali u interna, x'tip ta' enerġija tista 'tipprovdi s-sħana għal magna tal-fwar?</v>
      </c>
    </row>
    <row r="1903" ht="15.75" customHeight="1">
      <c r="A1903" s="2" t="s">
        <v>1903</v>
      </c>
      <c r="B1903" s="2" t="str">
        <f>IFERROR(__xludf.DUMMYFUNCTION("GOOGLETRANSLATE(A1903, ""en"", ""mt"")"),"Deforestazzjoni u Ecocide")</f>
        <v>Deforestazzjoni u Ecocide</v>
      </c>
    </row>
    <row r="1904" ht="15.75" customHeight="1">
      <c r="A1904" s="2" t="s">
        <v>1904</v>
      </c>
      <c r="B1904" s="2" t="str">
        <f>IFERROR(__xludf.DUMMYFUNCTION("GOOGLETRANSLATE(A1904, ""en"", ""mt"")"),"Liema żewġ ġenerali attakkaw il-Kawkasas u Kievan Rus 'għal Genghis Khan?")</f>
        <v>Liema żewġ ġenerali attakkaw il-Kawkasas u Kievan Rus 'għal Genghis Khan?</v>
      </c>
    </row>
    <row r="1905" ht="15.75" customHeight="1">
      <c r="A1905" s="2" t="s">
        <v>1905</v>
      </c>
      <c r="B1905" s="2" t="str">
        <f>IFERROR(__xludf.DUMMYFUNCTION("GOOGLETRANSLATE(A1905, ""en"", ""mt"")"),"Waħda mill-funzjonijiet ewlenin tal-kloroplast hija r-rwol tagħha fil-fotosintesi, il-proċess li bih id-dawl jiġi trasformat f'enerġija kimika, biex sussegwentement jipproduċi ikel fil-forma ta 'zokkor. L-ilma (H2O) u d-dijossidu tal-karbonju (CO2) jintuż"&amp;"aw fil-fotosintesi, u z-zokkor u l-ossiġenu (O2) huwa magħmul, bl-użu ta 'enerġija ħafifa. Il-fotosintesi hija maqsuma f'żewġ stadji - ir-reazzjonijiet ħfief, fejn l-ilma huwa maqsum biex jipproduċi ossiġnu, u r-reazzjonijiet skuri, jew iċ-ċiklu ta 'Calvi"&amp;"n, li jibni molekuli taz-zokkor mid-dijossidu tal-karbonju. Iż-żewġ fażijiet huma marbuta mit-trasportaturi tal-enerġija adenosine trifosfat (ATP) u n-nikotinamide adenine dinucleotide fosfat (NADP +).")</f>
        <v>Waħda mill-funzjonijiet ewlenin tal-kloroplast hija r-rwol tagħha fil-fotosintesi, il-proċess li bih id-dawl jiġi trasformat f'enerġija kimika, biex sussegwentement jipproduċi ikel fil-forma ta 'zokkor. L-ilma (H2O) u d-dijossidu tal-karbonju (CO2) jintużaw fil-fotosintesi, u z-zokkor u l-ossiġenu (O2) huwa magħmul, bl-użu ta 'enerġija ħafifa. Il-fotosintesi hija maqsuma f'żewġ stadji - ir-reazzjonijiet ħfief, fejn l-ilma huwa maqsum biex jipproduċi ossiġnu, u r-reazzjonijiet skuri, jew iċ-ċiklu ta 'Calvin, li jibni molekuli taz-zokkor mid-dijossidu tal-karbonju. Iż-żewġ fażijiet huma marbuta mit-trasportaturi tal-enerġija adenosine trifosfat (ATP) u n-nikotinamide adenine dinucleotide fosfat (NADP +).</v>
      </c>
    </row>
    <row r="1906" ht="15.75" customHeight="1">
      <c r="A1906" s="2" t="s">
        <v>1906</v>
      </c>
      <c r="B1906" s="2" t="str">
        <f>IFERROR(__xludf.DUMMYFUNCTION("GOOGLETRANSLATE(A1906, ""en"", ""mt"")"),"Meta l-UMC daħal f'komunjoni sħiħa ma 'diversi knejjes?")</f>
        <v>Meta l-UMC daħal f'komunjoni sħiħa ma 'diversi knejjes?</v>
      </c>
    </row>
    <row r="1907" ht="15.75" customHeight="1">
      <c r="A1907" s="2" t="s">
        <v>1907</v>
      </c>
      <c r="B1907" s="2" t="str">
        <f>IFERROR(__xludf.DUMMYFUNCTION("GOOGLETRANSLATE(A1907, ""en"", ""mt"")"),"Kif inhu konness l-ajruport ta 'Newport mal-belt?")</f>
        <v>Kif inhu konness l-ajruport ta 'Newport mal-belt?</v>
      </c>
    </row>
    <row r="1908" ht="15.75" customHeight="1">
      <c r="A1908" s="2" t="s">
        <v>1908</v>
      </c>
      <c r="B1908" s="2" t="str">
        <f>IFERROR(__xludf.DUMMYFUNCTION("GOOGLETRANSLATE(A1908, ""en"", ""mt"")"),"826 DOCTOR WHO L-pagamenti ilhom televiżivi mill-1963, li jvarjaw bejn episodji ta '25 minuta (l-iktar format komuni), episodji ta '45 minuta (għall-irxoxt tad-Daleks fis-serje tal-1984, staġun wieħed fl-1985, u l-qawmien mill-ġdid), tnejn Karatteristiċi "&amp;"ta 'produzzjonijiet (1983 The Five Doctors and The Television Film tal-1996), Tmien Specials tal-Milied (il-biċċa l-kbira tas-60 minuta li jdumu, wieħed minn 72 minuta), u erba' speċjali addizzjonali li jvarjaw minn 60 sa 75 minuta fl-2009, 2010 u 2013. E"&amp;"rba 'mini-episodji, li jmexxu madwar tmien minuti kull wieħed, ġew prodotti wkoll għat-tfal tal-1993, 2005 u 2007 fil-bżonn ta' appelli ta 'karità, filwaqt li mini-episodju ieħor ġie prodott fl-2008 għal edizzjoni ta' Proms. L-istorja ta '2 partijiet tal-"&amp;"1993, intitolata Dimensions in Time, saret b'kollaborazzjoni mal-kast tal-BBC Soap-Opera EastEnders u ġiet iffilmjata parzjalment fuq is-sett EastEnders. Ġie prodott ukoll mini-episodju ta 'żewġ partijiet għall-edizzjoni tal-2011 ta' Comic Relief. Tibda b"&amp;"l-ispeċjal tal-2009 ""Planet of the Dead"", is-serje ġiet iffilmjata fl-1080i għall-HDTV, u xxandret fl-istess ħin fuq BBC One u BBC HD.")</f>
        <v>826 DOCTOR WHO L-pagamenti ilhom televiżivi mill-1963, li jvarjaw bejn episodji ta '25 minuta (l-iktar format komuni), episodji ta '45 minuta (għall-irxoxt tad-Daleks fis-serje tal-1984, staġun wieħed fl-1985, u l-qawmien mill-ġdid), tnejn Karatteristiċi ta 'produzzjonijiet (1983 The Five Doctors and The Television Film tal-1996), Tmien Specials tal-Milied (il-biċċa l-kbira tas-60 minuta li jdumu, wieħed minn 72 minuta), u erba' speċjali addizzjonali li jvarjaw minn 60 sa 75 minuta fl-2009, 2010 u 2013. Erba 'mini-episodji, li jmexxu madwar tmien minuti kull wieħed, ġew prodotti wkoll għat-tfal tal-1993, 2005 u 2007 fil-bżonn ta' appelli ta 'karità, filwaqt li mini-episodju ieħor ġie prodott fl-2008 għal edizzjoni ta' Proms. L-istorja ta '2 partijiet tal-1993, intitolata Dimensions in Time, saret b'kollaborazzjoni mal-kast tal-BBC Soap-Opera EastEnders u ġiet iffilmjata parzjalment fuq is-sett EastEnders. Ġie prodott ukoll mini-episodju ta 'żewġ partijiet għall-edizzjoni tal-2011 ta' Comic Relief. Tibda bl-ispeċjal tal-2009 "Planet of the Dead", is-serje ġiet iffilmjata fl-1080i għall-HDTV, u xxandret fl-istess ħin fuq BBC One u BBC HD.</v>
      </c>
    </row>
    <row r="1909" ht="15.75" customHeight="1">
      <c r="A1909" s="2" t="s">
        <v>1909</v>
      </c>
      <c r="B1909" s="2" t="str">
        <f>IFERROR(__xludf.DUMMYFUNCTION("GOOGLETRANSLATE(A1909, ""en"", ""mt"")"),"X'jifhmu li jisseparaw il-moderati progressivi tal-Iżlam?")</f>
        <v>X'jifhmu li jisseparaw il-moderati progressivi tal-Iżlam?</v>
      </c>
    </row>
    <row r="1910" ht="15.75" customHeight="1">
      <c r="A1910" s="2" t="s">
        <v>1910</v>
      </c>
      <c r="B1910" s="2" t="str">
        <f>IFERROR(__xludf.DUMMYFUNCTION("GOOGLETRANSLATE(A1910, ""en"", ""mt"")"),"Meta n-Normanni attakkaw Dyrrachium?")</f>
        <v>Meta n-Normanni attakkaw Dyrrachium?</v>
      </c>
    </row>
    <row r="1911" ht="15.75" customHeight="1">
      <c r="A1911" s="2" t="s">
        <v>1911</v>
      </c>
      <c r="B1911" s="2" t="str">
        <f>IFERROR(__xludf.DUMMYFUNCTION("GOOGLETRANSLATE(A1911, ""en"", ""mt"")"),"Possibilment 25 ieħor")</f>
        <v>Possibilment 25 ieħor</v>
      </c>
    </row>
    <row r="1912" ht="15.75" customHeight="1">
      <c r="A1912" s="2" t="s">
        <v>1912</v>
      </c>
      <c r="B1912" s="2" t="str">
        <f>IFERROR(__xludf.DUMMYFUNCTION("GOOGLETRANSLATE(A1912, ""en"", ""mt"")"),"Bażi flared distintiva")</f>
        <v>Bażi flared distintiva</v>
      </c>
    </row>
    <row r="1913" ht="15.75" customHeight="1">
      <c r="A1913" s="2" t="s">
        <v>1913</v>
      </c>
      <c r="B1913" s="2" t="str">
        <f>IFERROR(__xludf.DUMMYFUNCTION("GOOGLETRANSLATE(A1913, ""en"", ""mt"")"),"X'inhi funzjoni waħda li n-numri ewlenin għandhom dak 1?")</f>
        <v>X'inhi funzjoni waħda li n-numri ewlenin għandhom dak 1?</v>
      </c>
    </row>
    <row r="1914" ht="15.75" customHeight="1">
      <c r="A1914" s="2" t="s">
        <v>1914</v>
      </c>
      <c r="B1914" s="2" t="str">
        <f>IFERROR(__xludf.DUMMYFUNCTION("GOOGLETRANSLATE(A1914, ""en"", ""mt"")"),"kwart")</f>
        <v>kwart</v>
      </c>
    </row>
    <row r="1915" ht="15.75" customHeight="1">
      <c r="A1915" s="2" t="s">
        <v>1915</v>
      </c>
      <c r="B1915" s="2" t="str">
        <f>IFERROR(__xludf.DUMMYFUNCTION("GOOGLETRANSLATE(A1915, ""en"", ""mt"")"),"ftit")</f>
        <v>ftit</v>
      </c>
    </row>
    <row r="1916" ht="15.75" customHeight="1">
      <c r="A1916" s="2" t="s">
        <v>1916</v>
      </c>
      <c r="B1916" s="2" t="str">
        <f>IFERROR(__xludf.DUMMYFUNCTION("GOOGLETRANSLATE(A1916, ""en"", ""mt"")"),"Kemm-il darba t-tabib li jivvjaġġa waħdu?")</f>
        <v>Kemm-il darba t-tabib li jivvjaġġa waħdu?</v>
      </c>
    </row>
    <row r="1917" ht="15.75" customHeight="1">
      <c r="A1917" s="2" t="s">
        <v>1917</v>
      </c>
      <c r="B1917" s="2" t="str">
        <f>IFERROR(__xludf.DUMMYFUNCTION("GOOGLETRANSLATE(A1917, ""en"", ""mt"")"),"Ċentru tal-Assemblea")</f>
        <v>Ċentru tal-Assemblea</v>
      </c>
    </row>
    <row r="1918" ht="15.75" customHeight="1">
      <c r="A1918" s="2" t="s">
        <v>1918</v>
      </c>
      <c r="B1918" s="2" t="str">
        <f>IFERROR(__xludf.DUMMYFUNCTION("GOOGLETRANSLATE(A1918, ""en"", ""mt"")"),"Minħabba t-tensjonijiet fuq l-iskjavitù u l-qawwa tal-isqfijiet fid-denominazzjoni.")</f>
        <v>Minħabba t-tensjonijiet fuq l-iskjavitù u l-qawwa tal-isqfijiet fid-denominazzjoni.</v>
      </c>
    </row>
    <row r="1919" ht="15.75" customHeight="1">
      <c r="A1919" s="2" t="s">
        <v>1919</v>
      </c>
      <c r="B1919" s="2" t="str">
        <f>IFERROR(__xludf.DUMMYFUNCTION("GOOGLETRANSLATE(A1919, ""en"", ""mt"")"),"Wara li saru n-negozjati x’għamlet Luther?")</f>
        <v>Wara li saru n-negozjati x’għamlet Luther?</v>
      </c>
    </row>
    <row r="1920" ht="15.75" customHeight="1">
      <c r="A1920" s="2" t="s">
        <v>1920</v>
      </c>
      <c r="B1920" s="2" t="str">
        <f>IFERROR(__xludf.DUMMYFUNCTION("GOOGLETRANSLATE(A1920, ""en"", ""mt"")"),"Min għamel Temüjin Khan tal-Mongoli?")</f>
        <v>Min għamel Temüjin Khan tal-Mongoli?</v>
      </c>
    </row>
    <row r="1921" ht="15.75" customHeight="1">
      <c r="A1921" s="2" t="s">
        <v>1921</v>
      </c>
      <c r="B1921" s="2" t="str">
        <f>IFERROR(__xludf.DUMMYFUNCTION("GOOGLETRANSLATE(A1921, ""en"", ""mt"")"),"Min liċenzja l-mutur ta 'induzzjoni ta' Tesla?")</f>
        <v>Min liċenzja l-mutur ta 'induzzjoni ta' Tesla?</v>
      </c>
    </row>
    <row r="1922" ht="15.75" customHeight="1">
      <c r="A1922" s="2" t="s">
        <v>1922</v>
      </c>
      <c r="B1922" s="2" t="str">
        <f>IFERROR(__xludf.DUMMYFUNCTION("GOOGLETRANSLATE(A1922, ""en"", ""mt"")"),"inugwaljanza")</f>
        <v>inugwaljanza</v>
      </c>
    </row>
    <row r="1923" ht="15.75" customHeight="1">
      <c r="A1923" s="2" t="s">
        <v>1923</v>
      </c>
      <c r="B1923" s="2" t="str">
        <f>IFERROR(__xludf.DUMMYFUNCTION("GOOGLETRANSLATE(A1923, ""en"", ""mt"")"),"Kif kienu l-mexxejja lura fl-Ewropa jħossu dwar aħbarijiet minn Celeron Expedition?")</f>
        <v>Kif kienu l-mexxejja lura fl-Ewropa jħossu dwar aħbarijiet minn Celeron Expedition?</v>
      </c>
    </row>
    <row r="1924" ht="15.75" customHeight="1">
      <c r="A1924" s="2" t="s">
        <v>1924</v>
      </c>
      <c r="B1924" s="2" t="str">
        <f>IFERROR(__xludf.DUMMYFUNCTION("GOOGLETRANSLATE(A1924, ""en"", ""mt"")"),"Fiċ-ċentru ta 'Basel, l-ewwel belt ewlenija matul il-fluss, tinsab l- ""irkoppa tar-Rhine""; Din hija liwja kbira, fejn id-direzzjoni ġenerali tar-Renu tinbidel mill-punent għal tramuntana. Hawnhekk ir-Rhine Għoli jintemm. Legalment, il-pont ċentrali huwa"&amp;" l-konfini bejn ir-Renu għoli u dak ta 'fuq. Ix-xmara issa tgħaddi lejn it-tramuntana bħala r-Renu ta ’Fuq mill-pjanura ta’ fuq tar-Renu, li hija twila madwar 300 km u sa 40 km wiesgħa. L-iktar tributarji importanti f'dan il-qasam huma l-morda taħt Strasb"&amp;"urgu, l-għonq f'Mannheim u l-main minn Mainz. F'Mainz, ir-Renu jħalli l-wied tar-Renu ta 'fuq u joħroġ mill-baċin ta' Mainz.")</f>
        <v>Fiċ-ċentru ta 'Basel, l-ewwel belt ewlenija matul il-fluss, tinsab l- "irkoppa tar-Rhine"; Din hija liwja kbira, fejn id-direzzjoni ġenerali tar-Renu tinbidel mill-punent għal tramuntana. Hawnhekk ir-Rhine Għoli jintemm. Legalment, il-pont ċentrali huwa l-konfini bejn ir-Renu għoli u dak ta 'fuq. Ix-xmara issa tgħaddi lejn it-tramuntana bħala r-Renu ta ’Fuq mill-pjanura ta’ fuq tar-Renu, li hija twila madwar 300 km u sa 40 km wiesgħa. L-iktar tributarji importanti f'dan il-qasam huma l-morda taħt Strasburgu, l-għonq f'Mannheim u l-main minn Mainz. F'Mainz, ir-Renu jħalli l-wied tar-Renu ta 'fuq u joħroġ mill-baċin ta' Mainz.</v>
      </c>
    </row>
    <row r="1925" ht="15.75" customHeight="1">
      <c r="A1925" s="2" t="s">
        <v>1925</v>
      </c>
      <c r="B1925" s="2" t="str">
        <f>IFERROR(__xludf.DUMMYFUNCTION("GOOGLETRANSLATE(A1925, ""en"", ""mt"")"),"""Imperjalizmu formali""")</f>
        <v>"Imperjalizmu formali"</v>
      </c>
    </row>
    <row r="1926" ht="15.75" customHeight="1">
      <c r="A1926" s="2" t="s">
        <v>1926</v>
      </c>
      <c r="B1926" s="2" t="str">
        <f>IFERROR(__xludf.DUMMYFUNCTION("GOOGLETRANSLATE(A1926, ""en"", ""mt"")"),"Premjijiet Emmy")</f>
        <v>Premjijiet Emmy</v>
      </c>
    </row>
    <row r="1927" ht="15.75" customHeight="1">
      <c r="A1927" s="2" t="s">
        <v>1927</v>
      </c>
      <c r="B1927" s="2" t="str">
        <f>IFERROR(__xludf.DUMMYFUNCTION("GOOGLETRANSLATE(A1927, ""en"", ""mt"")"),"X'kien il-forti li kien qed jinbena biex jissemma?")</f>
        <v>X'kien il-forti li kien qed jinbena biex jissemma?</v>
      </c>
    </row>
    <row r="1928" ht="15.75" customHeight="1">
      <c r="A1928" s="2" t="s">
        <v>1928</v>
      </c>
      <c r="B1928" s="2" t="str">
        <f>IFERROR(__xludf.DUMMYFUNCTION("GOOGLETRANSLATE(A1928, ""en"", ""mt"")"),"Kemm huma 'l bogħod minn xulxin uħud mill-karatteristiċi tal-viċinat?")</f>
        <v>Kemm huma 'l bogħod minn xulxin uħud mill-karatteristiċi tal-viċinat?</v>
      </c>
    </row>
    <row r="1929" ht="15.75" customHeight="1">
      <c r="A1929" s="2" t="s">
        <v>1929</v>
      </c>
      <c r="B1929" s="2" t="str">
        <f>IFERROR(__xludf.DUMMYFUNCTION("GOOGLETRANSLATE(A1929, ""en"", ""mt"")"),"Min normalment jagħti struzzjonijiet lill-membri kif jivvutaw?")</f>
        <v>Min normalment jagħti struzzjonijiet lill-membri kif jivvutaw?</v>
      </c>
    </row>
    <row r="1930" ht="15.75" customHeight="1">
      <c r="A1930" s="2" t="s">
        <v>1930</v>
      </c>
      <c r="B1930" s="2" t="str">
        <f>IFERROR(__xludf.DUMMYFUNCTION("GOOGLETRANSLATE(A1930, ""en"", ""mt"")"),"Flimkien mas-Cisce u Nenbse, x'inhu bord ta 'eżami notevoli fi stati Indjani multipli?")</f>
        <v>Flimkien mas-Cisce u Nenbse, x'inhu bord ta 'eżami notevoli fi stati Indjani multipli?</v>
      </c>
    </row>
    <row r="1931" ht="15.75" customHeight="1">
      <c r="A1931" s="2" t="s">
        <v>1931</v>
      </c>
      <c r="B1931" s="2" t="str">
        <f>IFERROR(__xludf.DUMMYFUNCTION("GOOGLETRANSLATE(A1931, ""en"", ""mt"")"),"larva tal-ħut u organiżmi li altrimenti kienu mitmugħa l-ħut")</f>
        <v>larva tal-ħut u organiżmi li altrimenti kienu mitmugħa l-ħut</v>
      </c>
    </row>
    <row r="1932" ht="15.75" customHeight="1">
      <c r="A1932" s="2" t="s">
        <v>1932</v>
      </c>
      <c r="B1932" s="2" t="str">
        <f>IFERROR(__xludf.DUMMYFUNCTION("GOOGLETRANSLATE(A1932, ""en"", ""mt"")"),"Ir-Royal Geographic Society ta ’Londra u soċjetajiet ġeografiċi oħra fl-Ewropa kellhom influwenza kbira u setgħu jiffinanzjaw vjaġġaturi li kienu se jerġgħu lura bir-rakkonti tal-iskoperti tagħhom. Dawn is-soċjetajiet servew ukoll bħala spazju għall-vjaġġ"&amp;"aturi biex jaqsmu dawn l-istejjer. Ġeografi politiċi bħal Friedrich Ratzel tal-Ġermanja u Halford Mackinder tal-Gran Brittanja appoġġjaw ukoll l-imperjalizmu. Ratzel jemmen li l-espansjoni kienet meħtieġa għas-sopravivenza ta 'stat filwaqt li Mackinder ap"&amp;"poġġa l-espansjoni imperjali tal-Gran Brittanja; Dawn iż-żewġ argumenti ddominaw id-dixxiplina għal għexieren ta ’snin.")</f>
        <v>Ir-Royal Geographic Society ta ’Londra u soċjetajiet ġeografiċi oħra fl-Ewropa kellhom influwenza kbira u setgħu jiffinanzjaw vjaġġaturi li kienu se jerġgħu lura bir-rakkonti tal-iskoperti tagħhom. Dawn is-soċjetajiet servew ukoll bħala spazju għall-vjaġġaturi biex jaqsmu dawn l-istejjer. Ġeografi politiċi bħal Friedrich Ratzel tal-Ġermanja u Halford Mackinder tal-Gran Brittanja appoġġjaw ukoll l-imperjalizmu. Ratzel jemmen li l-espansjoni kienet meħtieġa għas-sopravivenza ta 'stat filwaqt li Mackinder appoġġa l-espansjoni imperjali tal-Gran Brittanja; Dawn iż-żewġ argumenti ddominaw id-dixxiplina għal għexieren ta ’snin.</v>
      </c>
    </row>
    <row r="1933" ht="15.75" customHeight="1">
      <c r="A1933" s="2" t="s">
        <v>1933</v>
      </c>
      <c r="B1933" s="2" t="str">
        <f>IFERROR(__xludf.DUMMYFUNCTION("GOOGLETRANSLATE(A1933, ""en"", ""mt"")"),"L-ewwel insedjamenti msaħħa fuq is-sit tal-Varsavja tal-lum kienu jinsabu fi Bródno (seklu 9/10) u Jazdów (seklu 12/13). Wara li Jazdów ġie attakkat minn gruppi u duki fil-viċin, ġie stabbilit soluzzjoni simili ġdida fuq is-sit ta 'villaġġ tas-sajd żgħir "&amp;"imsejjaħ Warszowa. Il-Prinċep ta 'Płock, Bolesław II ta' Masovia, stabbilixxa dan is-soluzzjoni, il-ġurnata moderna ta 'Varsav Fl-1413. L-ekonomija ta 'Varsavja tas-seklu 14 mistrieħ fuq l-aktar snajja u kummerċ. Mal-estinzjoni tal-linja dukali lokali, id"&amp;"-dukat ġie inkorporat mill-ġdid fil-kuruna Pollakka fl-1526.")</f>
        <v>L-ewwel insedjamenti msaħħa fuq is-sit tal-Varsavja tal-lum kienu jinsabu fi Bródno (seklu 9/10) u Jazdów (seklu 12/13). Wara li Jazdów ġie attakkat minn gruppi u duki fil-viċin, ġie stabbilit soluzzjoni simili ġdida fuq is-sit ta 'villaġġ tas-sajd żgħir imsejjaħ Warszowa. Il-Prinċep ta 'Płock, Bolesław II ta' Masovia, stabbilixxa dan is-soluzzjoni, il-ġurnata moderna ta 'Varsav Fl-1413. L-ekonomija ta 'Varsavja tas-seklu 14 mistrieħ fuq l-aktar snajja u kummerċ. Mal-estinzjoni tal-linja dukali lokali, id-dukat ġie inkorporat mill-ġdid fil-kuruna Pollakka fl-1526.</v>
      </c>
    </row>
    <row r="1934" ht="15.75" customHeight="1">
      <c r="A1934" s="2" t="s">
        <v>1934</v>
      </c>
      <c r="B1934" s="2" t="str">
        <f>IFERROR(__xludf.DUMMYFUNCTION("GOOGLETRANSLATE(A1934, ""en"", ""mt"")"),"miżata għal kull unità ta 'informazzjoni trażmessa")</f>
        <v>miżata għal kull unità ta 'informazzjoni trażmessa</v>
      </c>
    </row>
    <row r="1935" ht="15.75" customHeight="1">
      <c r="A1935" s="2" t="s">
        <v>1935</v>
      </c>
      <c r="B1935" s="2" t="str">
        <f>IFERROR(__xludf.DUMMYFUNCTION("GOOGLETRANSLATE(A1935, ""en"", ""mt"")"),"Min kien l-inventur tal-magna atmosferika?")</f>
        <v>Min kien l-inventur tal-magna atmosferika?</v>
      </c>
    </row>
    <row r="1936" ht="15.75" customHeight="1">
      <c r="A1936" s="2" t="s">
        <v>1936</v>
      </c>
      <c r="B1936" s="2" t="str">
        <f>IFERROR(__xludf.DUMMYFUNCTION("GOOGLETRANSLATE(A1936, ""en"", ""mt"")"),"Minbarra 1,3 u 7, liema numru ieħor għandu l-primes kollha akbar minn 5 jispiċċaw?")</f>
        <v>Minbarra 1,3 u 7, liema numru ieħor għandu l-primes kollha akbar minn 5 jispiċċaw?</v>
      </c>
    </row>
    <row r="1937" ht="15.75" customHeight="1">
      <c r="A1937" s="2" t="s">
        <v>1937</v>
      </c>
      <c r="B1937" s="2" t="str">
        <f>IFERROR(__xludf.DUMMYFUNCTION("GOOGLETRANSLATE(A1937, ""en"", ""mt"")"),"Fl-Istati Uniti l-UMC jikklassifika bħala l-akbar x'inhu?")</f>
        <v>Fl-Istati Uniti l-UMC jikklassifika bħala l-akbar x'inhu?</v>
      </c>
    </row>
    <row r="1938" ht="15.75" customHeight="1">
      <c r="A1938" s="2" t="s">
        <v>1938</v>
      </c>
      <c r="B1938" s="2" t="str">
        <f>IFERROR(__xludf.DUMMYFUNCTION("GOOGLETRANSLATE(A1938, ""en"", ""mt"")"),"Liema forzi nukleari jaġixxu biss fuq distanzi qosra?")</f>
        <v>Liema forzi nukleari jaġixxu biss fuq distanzi qosra?</v>
      </c>
    </row>
    <row r="1939" ht="15.75" customHeight="1">
      <c r="A1939" s="2" t="s">
        <v>1939</v>
      </c>
      <c r="B1939" s="2" t="str">
        <f>IFERROR(__xludf.DUMMYFUNCTION("GOOGLETRANSLATE(A1939, ""en"", ""mt"")"),"Fl-2004 ir-rivoluzzjoni oranġjo seħħet f'liema pajjiż?")</f>
        <v>Fl-2004 ir-rivoluzzjoni oranġjo seħħet f'liema pajjiż?</v>
      </c>
    </row>
    <row r="1940" ht="15.75" customHeight="1">
      <c r="A1940" s="2" t="s">
        <v>1940</v>
      </c>
      <c r="B1940" s="2" t="str">
        <f>IFERROR(__xludf.DUMMYFUNCTION("GOOGLETRANSLATE(A1940, ""en"", ""mt"")"),"2½")</f>
        <v>2½</v>
      </c>
    </row>
    <row r="1941" ht="15.75" customHeight="1">
      <c r="A1941" s="2" t="s">
        <v>1941</v>
      </c>
      <c r="B1941" s="2" t="str">
        <f>IFERROR(__xludf.DUMMYFUNCTION("GOOGLETRANSLATE(A1941, ""en"", ""mt"")"),"finit")</f>
        <v>finit</v>
      </c>
    </row>
    <row r="1942" ht="15.75" customHeight="1">
      <c r="A1942" s="2" t="s">
        <v>1942</v>
      </c>
      <c r="B1942" s="2" t="str">
        <f>IFERROR(__xludf.DUMMYFUNCTION("GOOGLETRANSLATE(A1942, ""en"", ""mt"")"),"Kif kienet differenti l-edukazzjoni matul il-moviment tal-edukazzjoni tal-iskola għolja mill-edukazzjoni sussegwenti tal-iskola sekondarja?")</f>
        <v>Kif kienet differenti l-edukazzjoni matul il-moviment tal-edukazzjoni tal-iskola għolja mill-edukazzjoni sussegwenti tal-iskola sekondarja?</v>
      </c>
    </row>
    <row r="1943" ht="15.75" customHeight="1">
      <c r="A1943" s="2" t="s">
        <v>1943</v>
      </c>
      <c r="B1943" s="2" t="str">
        <f>IFERROR(__xludf.DUMMYFUNCTION("GOOGLETRANSLATE(A1943, ""en"", ""mt"")"),"Huma ġew aċċettati u tħallew jaduraw liberament")</f>
        <v>Huma ġew aċċettati u tħallew jaduraw liberament</v>
      </c>
    </row>
    <row r="1944" ht="15.75" customHeight="1">
      <c r="A1944" s="2" t="s">
        <v>1944</v>
      </c>
      <c r="B1944" s="2" t="str">
        <f>IFERROR(__xludf.DUMMYFUNCTION("GOOGLETRANSLATE(A1944, ""en"", ""mt"")"),"Dejta aktar ġdida bis-satellita")</f>
        <v>Dejta aktar ġdida bis-satellita</v>
      </c>
    </row>
    <row r="1945" ht="15.75" customHeight="1">
      <c r="A1945" s="2" t="s">
        <v>1945</v>
      </c>
      <c r="B1945" s="2" t="str">
        <f>IFERROR(__xludf.DUMMYFUNCTION("GOOGLETRANSLATE(A1945, ""en"", ""mt"")"),"Gold Rush")</f>
        <v>Gold Rush</v>
      </c>
    </row>
    <row r="1946" ht="15.75" customHeight="1">
      <c r="A1946" s="2" t="s">
        <v>1946</v>
      </c>
      <c r="B1946" s="2" t="str">
        <f>IFERROR(__xludf.DUMMYFUNCTION("GOOGLETRANSLATE(A1946, ""en"", ""mt"")"),"Amtrak San Joaquins")</f>
        <v>Amtrak San Joaquins</v>
      </c>
    </row>
    <row r="1947" ht="15.75" customHeight="1">
      <c r="A1947" s="2" t="s">
        <v>1947</v>
      </c>
      <c r="B1947" s="2" t="str">
        <f>IFERROR(__xludf.DUMMYFUNCTION("GOOGLETRANSLATE(A1947, ""en"", ""mt"")"),"Teorema ta 'Vinogradov")</f>
        <v>Teorema ta 'Vinogradov</v>
      </c>
    </row>
    <row r="1948" ht="15.75" customHeight="1">
      <c r="A1948" s="2" t="s">
        <v>1948</v>
      </c>
      <c r="B1948" s="2" t="str">
        <f>IFERROR(__xludf.DUMMYFUNCTION("GOOGLETRANSLATE(A1948, ""en"", ""mt"")"),"1,230 km (760 mi)")</f>
        <v>1,230 km (760 mi)</v>
      </c>
    </row>
    <row r="1949" ht="15.75" customHeight="1">
      <c r="A1949" s="2" t="s">
        <v>1949</v>
      </c>
      <c r="B1949" s="2" t="str">
        <f>IFERROR(__xludf.DUMMYFUNCTION("GOOGLETRANSLATE(A1949, ""en"", ""mt"")"),"Min irreġistra l-aktar xkejjer fit-tim dan l-istaġun?")</f>
        <v>Min irreġistra l-aktar xkejjer fit-tim dan l-istaġun?</v>
      </c>
    </row>
    <row r="1950" ht="15.75" customHeight="1">
      <c r="A1950" s="2" t="s">
        <v>1950</v>
      </c>
      <c r="B1950" s="2" t="str">
        <f>IFERROR(__xludf.DUMMYFUNCTION("GOOGLETRANSLATE(A1950, ""en"", ""mt"")"),"is-16")</f>
        <v>is-16</v>
      </c>
    </row>
    <row r="1951" ht="15.75" customHeight="1">
      <c r="A1951" s="2" t="s">
        <v>1951</v>
      </c>
      <c r="B1951" s="2" t="str">
        <f>IFERROR(__xludf.DUMMYFUNCTION("GOOGLETRANSLATE(A1951, ""en"", ""mt"")"),"X'jiġri jekk membru ma jivvotax il-linja tal-partit?")</f>
        <v>X'jiġri jekk membru ma jivvotax il-linja tal-partit?</v>
      </c>
    </row>
    <row r="1952" ht="15.75" customHeight="1">
      <c r="A1952" s="2" t="s">
        <v>1952</v>
      </c>
      <c r="B1952" s="2" t="str">
        <f>IFERROR(__xludf.DUMMYFUNCTION("GOOGLETRANSLATE(A1952, ""en"", ""mt"")"),"Assigurazzjonijiet foloz")</f>
        <v>Assigurazzjonijiet foloz</v>
      </c>
    </row>
    <row r="1953" ht="15.75" customHeight="1">
      <c r="A1953" s="2" t="s">
        <v>1953</v>
      </c>
      <c r="B1953" s="2" t="str">
        <f>IFERROR(__xludf.DUMMYFUNCTION("GOOGLETRANSLATE(A1953, ""en"", ""mt"")"),"proċessi metamorfiċi")</f>
        <v>proċessi metamorfiċi</v>
      </c>
    </row>
    <row r="1954" ht="15.75" customHeight="1">
      <c r="A1954" s="2" t="s">
        <v>1954</v>
      </c>
      <c r="B1954" s="2" t="str">
        <f>IFERROR(__xludf.DUMMYFUNCTION("GOOGLETRANSLATE(A1954, ""en"", ""mt"")"),"bla suċċess")</f>
        <v>bla suċċess</v>
      </c>
    </row>
    <row r="1955" ht="15.75" customHeight="1">
      <c r="A1955" s="2" t="s">
        <v>1955</v>
      </c>
      <c r="B1955" s="2" t="str">
        <f>IFERROR(__xludf.DUMMYFUNCTION("GOOGLETRANSLATE(A1955, ""en"", ""mt"")"),"Minħabba l-periklu inerenti fl-ossiġnu kkonċentrat, x'inhu tħassib dwar iż-żamma tiegħu?")</f>
        <v>Minħabba l-periklu inerenti fl-ossiġnu kkonċentrat, x'inhu tħassib dwar iż-żamma tiegħu?</v>
      </c>
    </row>
    <row r="1956" ht="15.75" customHeight="1">
      <c r="A1956" s="2" t="s">
        <v>1956</v>
      </c>
      <c r="B1956" s="2" t="str">
        <f>IFERROR(__xludf.DUMMYFUNCTION("GOOGLETRANSLATE(A1956, ""en"", ""mt"")"),"Liema Super Bowl kien ospitat f'San Diego fl-2003?")</f>
        <v>Liema Super Bowl kien ospitat f'San Diego fl-2003?</v>
      </c>
    </row>
    <row r="1957" ht="15.75" customHeight="1">
      <c r="A1957" s="2" t="s">
        <v>1957</v>
      </c>
      <c r="B1957" s="2" t="str">
        <f>IFERROR(__xludf.DUMMYFUNCTION("GOOGLETRANSLATE(A1957, ""en"", ""mt"")"),"Liema seklu kien hemm programm biex jiddritta r-Renu?")</f>
        <v>Liema seklu kien hemm programm biex jiddritta r-Renu?</v>
      </c>
    </row>
    <row r="1958" ht="15.75" customHeight="1">
      <c r="A1958" s="2" t="s">
        <v>1958</v>
      </c>
      <c r="B1958" s="2" t="str">
        <f>IFERROR(__xludf.DUMMYFUNCTION("GOOGLETRANSLATE(A1958, ""en"", ""mt"")"),"Għax ippubblika s-sejbiet tiegħu l-ewwel")</f>
        <v>Għax ippubblika s-sejbiet tiegħu l-ewwel</v>
      </c>
    </row>
    <row r="1959" ht="15.75" customHeight="1">
      <c r="A1959" s="2" t="s">
        <v>1959</v>
      </c>
      <c r="B1959" s="2" t="str">
        <f>IFERROR(__xludf.DUMMYFUNCTION("GOOGLETRANSLATE(A1959, ""en"", ""mt"")"),"Problemi ta 'komunikazzjoni")</f>
        <v>Problemi ta 'komunikazzjoni</v>
      </c>
    </row>
    <row r="1960" ht="15.75" customHeight="1">
      <c r="A1960" s="2" t="s">
        <v>1960</v>
      </c>
      <c r="B1960" s="2" t="str">
        <f>IFERROR(__xludf.DUMMYFUNCTION("GOOGLETRANSLATE(A1960, ""en"", ""mt"")"),"Kemm-il darba Polonia rebħet it-tazza?")</f>
        <v>Kemm-il darba Polonia rebħet it-tazza?</v>
      </c>
    </row>
    <row r="1961" ht="15.75" customHeight="1">
      <c r="A1961" s="2" t="s">
        <v>1961</v>
      </c>
      <c r="B1961" s="2" t="str">
        <f>IFERROR(__xludf.DUMMYFUNCTION("GOOGLETRANSLATE(A1961, ""en"", ""mt"")"),"surrogat")</f>
        <v>surrogat</v>
      </c>
    </row>
    <row r="1962" ht="15.75" customHeight="1">
      <c r="A1962" s="2" t="s">
        <v>1962</v>
      </c>
      <c r="B1962" s="2" t="str">
        <f>IFERROR(__xludf.DUMMYFUNCTION("GOOGLETRANSLATE(A1962, ""en"", ""mt"")"),"X’jagħmlu jirrifjutaw l-organizzazzjonijiet Iżlamiċi radikali?")</f>
        <v>X’jagħmlu jirrifjutaw l-organizzazzjonijiet Iżlamiċi radikali?</v>
      </c>
    </row>
    <row r="1963" ht="15.75" customHeight="1">
      <c r="A1963" s="2" t="s">
        <v>1963</v>
      </c>
      <c r="B1963" s="2" t="str">
        <f>IFERROR(__xludf.DUMMYFUNCTION("GOOGLETRANSLATE(A1963, ""en"", ""mt"")"),"X’ħeġġiġhom iż-żjarat ta ’John Paul II fl-1979 u fl-1983?")</f>
        <v>X’ħeġġiġhom iż-żjarat ta ’John Paul II fl-1979 u fl-1983?</v>
      </c>
    </row>
    <row r="1964" ht="15.75" customHeight="1">
      <c r="A1964" s="2" t="s">
        <v>1964</v>
      </c>
      <c r="B1964" s="2" t="str">
        <f>IFERROR(__xludf.DUMMYFUNCTION("GOOGLETRANSLATE(A1964, ""en"", ""mt"")"),"Assemblea Skoċċiża eletta direttament")</f>
        <v>Assemblea Skoċċiża eletta direttament</v>
      </c>
    </row>
    <row r="1965" ht="15.75" customHeight="1">
      <c r="A1965" s="2" t="s">
        <v>1965</v>
      </c>
      <c r="B1965" s="2" t="str">
        <f>IFERROR(__xludf.DUMMYFUNCTION("GOOGLETRANSLATE(A1965, ""en"", ""mt"")"),"X'jaqbad ir-ritratti tal-lokomozzjoni tal-annimali?")</f>
        <v>X'jaqbad ir-ritratti tal-lokomozzjoni tal-annimali?</v>
      </c>
    </row>
    <row r="1966" ht="15.75" customHeight="1">
      <c r="A1966" s="2" t="s">
        <v>1966</v>
      </c>
      <c r="B1966" s="2" t="str">
        <f>IFERROR(__xludf.DUMMYFUNCTION("GOOGLETRANSLATE(A1966, ""en"", ""mt"")"),"Għaliex Varsavja kisbet it-titlu tal- ""Phoenix City""?")</f>
        <v>Għaliex Varsavja kisbet it-titlu tal- "Phoenix City"?</v>
      </c>
    </row>
    <row r="1967" ht="15.75" customHeight="1">
      <c r="A1967" s="2" t="s">
        <v>1967</v>
      </c>
      <c r="B1967" s="2" t="str">
        <f>IFERROR(__xludf.DUMMYFUNCTION("GOOGLETRANSLATE(A1967, ""en"", ""mt"")"),"Tagħlim informali")</f>
        <v>Tagħlim informali</v>
      </c>
    </row>
    <row r="1968" ht="15.75" customHeight="1">
      <c r="A1968" s="2" t="s">
        <v>1968</v>
      </c>
      <c r="B1968" s="2" t="str">
        <f>IFERROR(__xludf.DUMMYFUNCTION("GOOGLETRANSLATE(A1968, ""en"", ""mt"")"),"Paċi ta 'Westphalia")</f>
        <v>Paċi ta 'Westphalia</v>
      </c>
    </row>
    <row r="1969" ht="15.75" customHeight="1">
      <c r="A1969" s="2" t="s">
        <v>1969</v>
      </c>
      <c r="B1969" s="2" t="str">
        <f>IFERROR(__xludf.DUMMYFUNCTION("GOOGLETRANSLATE(A1969, ""en"", ""mt"")"),"Il-Battalja ta 'Bạch ằng")</f>
        <v>Il-Battalja ta 'Bạch ằng</v>
      </c>
    </row>
    <row r="1970" ht="15.75" customHeight="1">
      <c r="A1970" s="2" t="s">
        <v>1970</v>
      </c>
      <c r="B1970" s="2" t="str">
        <f>IFERROR(__xludf.DUMMYFUNCTION("GOOGLETRANSLATE(A1970, ""en"", ""mt"")"),"Diversi professuri tal-Università ta ’Chicago")</f>
        <v>Diversi professuri tal-Università ta ’Chicago</v>
      </c>
    </row>
    <row r="1971" ht="15.75" customHeight="1">
      <c r="A1971" s="2" t="s">
        <v>1971</v>
      </c>
      <c r="B1971" s="2" t="str">
        <f>IFERROR(__xludf.DUMMYFUNCTION("GOOGLETRANSLATE(A1971, ""en"", ""mt"")"),"Biżgħat li jiġu ttikkettjati pedofili")</f>
        <v>Biżgħat li jiġu ttikkettjati pedofili</v>
      </c>
    </row>
    <row r="1972" ht="15.75" customHeight="1">
      <c r="A1972" s="2" t="s">
        <v>1972</v>
      </c>
      <c r="B1972" s="2" t="str">
        <f>IFERROR(__xludf.DUMMYFUNCTION("GOOGLETRANSLATE(A1972, ""en"", ""mt"")"),"Raġuni umana")</f>
        <v>Raġuni umana</v>
      </c>
    </row>
    <row r="1973" ht="15.75" customHeight="1">
      <c r="A1973" s="2" t="s">
        <v>1973</v>
      </c>
      <c r="B1973" s="2" t="str">
        <f>IFERROR(__xludf.DUMMYFUNCTION("GOOGLETRANSLATE(A1973, ""en"", ""mt"")"),"Kemm membrani għandhom il-kloroplast haptofite?")</f>
        <v>Kemm membrani għandhom il-kloroplast haptofite?</v>
      </c>
    </row>
    <row r="1974" ht="15.75" customHeight="1">
      <c r="A1974" s="2" t="s">
        <v>1974</v>
      </c>
      <c r="B1974" s="2" t="str">
        <f>IFERROR(__xludf.DUMMYFUNCTION("GOOGLETRANSLATE(A1974, ""en"", ""mt"")"),"Ġnien tal-Pjazza Madison")</f>
        <v>Ġnien tal-Pjazza Madison</v>
      </c>
    </row>
    <row r="1975" ht="15.75" customHeight="1">
      <c r="A1975" s="2" t="s">
        <v>1975</v>
      </c>
      <c r="B1975" s="2" t="str">
        <f>IFERROR(__xludf.DUMMYFUNCTION("GOOGLETRANSLATE(A1975, ""en"", ""mt"")"),"Il-Kummissjoni Ewropea hija l-korp eżekuttiv ewlieni tal-Unjoni Ewropea. L-Artikolu 17 (1) tat-Trattat dwar l-Unjoni Ewropea jiddikjara li l-Kummissjoni għandha ""tippromwovi l-interess ġenerali tal-Unjoni"" filwaqt li l-Artikolu 17 (3) iżid li l-kummissa"&amp;"rji għandhom ikunu ""kompletament indipendenti"" u mhux ""jieħdu struzzjonijiet minn kwalunkwe gvern"". Taħt l-Artikolu 17 (2), ""Atti Leġiżlattivi tal-Unjoni jistgħu jiġu adottati biss fuq il-bażi ta 'proposta ta' kummissjoni, ħlief fejn it-trattati jipp"&amp;"rovdu mod ieħor."" Dan ifisser li l-kummissjoni għandha monopolju fuq il-bidu tal-proċedura leġiżlattiva, għalkemm il-kunsill huwa l- ""katalist de facto ta 'ħafna inizjattivi leġiżlattivi"". Il-Parlament jista 'wkoll jitlob formalment lill-Kummissjoni bi"&amp;"ex tissottometti proposta leġiżlattiva iżda l-Kummissjoni tista' tirrifjuta tali suġġeriment, billi tagħti raġunijiet. Il-president tal-kummissjoni (bħalissa ex-Prim Ministru ta 'Luxembourg, Jean-Claude Juncker) jistabbilixxi l-aġenda għax-xogħol tal-UE. "&amp;"Id-deċiżjonijiet jittieħdu permezz ta 'vot maġġoranza sempliċi, ġeneralment permezz ta' ""proċedura bil-miktub"" li tiċċirkola l-proposti u l-adozzjoni jekk ma jkunx hemm oġġezzjonijiet. [Ċitazzjoni meħtieġa] peress li l-Irlanda rrifjutat li tagħti l-kuns"&amp;"ens għal bidliet fit-Trattat ta 'Lisbona 2007, jibqa' kummissarju wieħed Għal kull wieħed mit-28 stat membru, inkluż il-President u r-Rappreżentant Għoli għall-Politika Barranija u tas-Sigurtà (bħalissa Federica Mogherini). Il-kummissarji (u l-iktar impor"&amp;"tanti, il-portafolli li għandhom iżommu) huma nnegozjati b'mod intensiv mill-Istati Membri. Il-kummissarji, bħala blokka, huma mbagħad soġġetti għal vot ta 'maġġoranza kwalifikata tal-Kunsill biex japprova, u l-approvazzjoni tal-maġġoranza tal-Parlament. "&amp;"Il-proposta biex il-kummissarji jiġu meħuda mill-Parlament elett, ma ġietx adottata fit-Trattat ta 'Lisbona. Dan ifisser li l-kummissarji huma, permezz tal-proċess tal-ħatra, is-subordinati mhux eletti tal-gvernijiet tal-istat membri.")</f>
        <v>Il-Kummissjoni Ewropea hija l-korp eżekuttiv ewlieni tal-Unjoni Ewropea. L-Artikolu 17 (1) tat-Trattat dwar l-Unjoni Ewropea jiddikjara li l-Kummissjoni għandha "tippromwovi l-interess ġenerali tal-Unjoni" filwaqt li l-Artikolu 17 (3) iżid li l-kummissarji għandhom ikunu "kompletament indipendenti" u mhux "jieħdu struzzjonijiet minn kwalunkwe gvern". Taħt l-Artikolu 17 (2), "Atti Leġiżlattivi tal-Unjoni jistgħu jiġu adottati biss fuq il-bażi ta 'proposta ta' kummissjoni, ħlief fejn it-trattati jipprovdu mod ieħor." Dan ifisser li l-kummissjoni għandha monopolju fuq il-bidu tal-proċedura leġiżlattiva, għalkemm il-kunsill huwa l- "katalist de facto ta 'ħafna inizjattivi leġiżlattivi". Il-Parlament jista 'wkoll jitlob formalment lill-Kummissjoni biex tissottometti proposta leġiżlattiva iżda l-Kummissjoni tista' tirrifjuta tali suġġeriment, billi tagħti raġunijiet. Il-president tal-kummissjoni (bħalissa ex-Prim Ministru ta 'Luxembourg, Jean-Claude Juncker) jistabbilixxi l-aġenda għax-xogħol tal-UE. Id-deċiżjonijiet jittieħdu permezz ta 'vot maġġoranza sempliċi, ġeneralment permezz ta' "proċedura bil-miktub" li tiċċirkola l-proposti u l-adozzjoni jekk ma jkunx hemm oġġezzjonijiet. [Ċitazzjoni meħtieġa] peress li l-Irlanda rrifjutat li tagħti l-kunsens għal bidliet fit-Trattat ta 'Lisbona 2007, jibqa' kummissarju wieħed Għal kull wieħed mit-28 stat membru, inkluż il-President u r-Rappreżentant Għoli għall-Politika Barranija u tas-Sigurtà (bħalissa Federica Mogherini). Il-kummissarji (u l-iktar importanti, il-portafolli li għandhom iżommu) huma nnegozjati b'mod intensiv mill-Istati Membri. Il-kummissarji, bħala blokka, huma mbagħad soġġetti għal vot ta 'maġġoranza kwalifikata tal-Kunsill biex japprova, u l-approvazzjoni tal-maġġoranza tal-Parlament. Il-proposta biex il-kummissarji jiġu meħuda mill-Parlament elett, ma ġietx adottata fit-Trattat ta 'Lisbona. Dan ifisser li l-kummissarji huma, permezz tal-proċess tal-ħatra, is-subordinati mhux eletti tal-gvernijiet tal-istat membri.</v>
      </c>
    </row>
    <row r="1976" ht="15.75" customHeight="1">
      <c r="A1976" s="2" t="s">
        <v>1976</v>
      </c>
      <c r="B1976" s="2" t="str">
        <f>IFERROR(__xludf.DUMMYFUNCTION("GOOGLETRANSLATE(A1976, ""en"", ""mt"")"),"Avveniment ta 'estinzjoni Kretaċeju-Paleogene")</f>
        <v>Avveniment ta 'estinzjoni Kretaċeju-Paleogene</v>
      </c>
    </row>
    <row r="1977" ht="15.75" customHeight="1">
      <c r="A1977" s="2" t="s">
        <v>1977</v>
      </c>
      <c r="B1977" s="2" t="str">
        <f>IFERROR(__xludf.DUMMYFUNCTION("GOOGLETRANSLATE(A1977, ""en"", ""mt"")"),"X'inhi l-espressjoni użata biex tirrappreżenta klassi ta 'kumplessità ta' problemi ta 'għadd?")</f>
        <v>X'inhi l-espressjoni użata biex tirrappreżenta klassi ta 'kumplessità ta' problemi ta 'għadd?</v>
      </c>
    </row>
    <row r="1978" ht="15.75" customHeight="1">
      <c r="A1978" s="2" t="s">
        <v>1978</v>
      </c>
      <c r="B1978" s="2" t="str">
        <f>IFERROR(__xludf.DUMMYFUNCTION("GOOGLETRANSLATE(A1978, ""en"", ""mt"")"),"L-algoritmu ta 'l-issortjar deterministiku Quicksort")</f>
        <v>L-algoritmu ta 'l-issortjar deterministiku Quicksort</v>
      </c>
    </row>
    <row r="1979" ht="15.75" customHeight="1">
      <c r="A1979" s="2" t="s">
        <v>1979</v>
      </c>
      <c r="B1979" s="2" t="str">
        <f>IFERROR(__xludf.DUMMYFUNCTION("GOOGLETRANSLATE(A1979, ""en"", ""mt"")"),"Disinn-Build, Sħubija u Ġestjoni tal-Kostruzzjoni")</f>
        <v>Disinn-Build, Sħubija u Ġestjoni tal-Kostruzzjoni</v>
      </c>
    </row>
    <row r="1980" ht="15.75" customHeight="1">
      <c r="A1980" s="2" t="s">
        <v>1980</v>
      </c>
      <c r="B1980" s="2" t="str">
        <f>IFERROR(__xludf.DUMMYFUNCTION("GOOGLETRANSLATE(A1980, ""en"", ""mt"")"),"In-nisa baqgħu segregati f'Radcliffe, għalkemm aktar u aktar ħadu klassijiet ta 'Harvard. Madankollu, il-popolazzjoni li għadhom ma ggradwawx ta 'Harvard baqgħet prinċipalment maskili, b'madwar erba' rġiel jattendu l-Kulleġġ ta 'Harvard għal kull mara li "&amp;"tistudja f'Radcliffe. Wara l-għaqda tal-ammissjonijiet ta 'Harvard u Radcliffe fl-1977, il-proporzjon ta' dawk li għadhom ma ggradwawx nisa żdied b'mod kostanti, u jirrifletti xejra matul l-edukazzjoni għolja fl-Istati Uniti. L-iskejjel gradwati ta 'Harva"&amp;"rd, li kienu aċċettaw nisa u gruppi oħra f'numri akbar anki qabel il-kulleġġ, saru wkoll aktar diversi fil-perjodu ta' wara t-Tieni Gwerra Dinjija.")</f>
        <v>In-nisa baqgħu segregati f'Radcliffe, għalkemm aktar u aktar ħadu klassijiet ta 'Harvard. Madankollu, il-popolazzjoni li għadhom ma ggradwawx ta 'Harvard baqgħet prinċipalment maskili, b'madwar erba' rġiel jattendu l-Kulleġġ ta 'Harvard għal kull mara li tistudja f'Radcliffe. Wara l-għaqda tal-ammissjonijiet ta 'Harvard u Radcliffe fl-1977, il-proporzjon ta' dawk li għadhom ma ggradwawx nisa żdied b'mod kostanti, u jirrifletti xejra matul l-edukazzjoni għolja fl-Istati Uniti. L-iskejjel gradwati ta 'Harvard, li kienu aċċettaw nisa u gruppi oħra f'numri akbar anki qabel il-kulleġġ, saru wkoll aktar diversi fil-perjodu ta' wara t-Tieni Gwerra Dinjija.</v>
      </c>
    </row>
    <row r="1981" ht="15.75" customHeight="1">
      <c r="A1981" s="2" t="s">
        <v>1981</v>
      </c>
      <c r="B1981" s="2" t="str">
        <f>IFERROR(__xludf.DUMMYFUNCTION("GOOGLETRANSLATE(A1981, ""en"", ""mt"")"),"Luther kiteb dwar il-Lhud matul il-karriera tiegħu, għalkemm ftit biss mix-xogħlijiet tiegħu ttrattawhom direttament. Luther rarament iltaqa 'ma' Lhud matul ħajtu, iżda l-attitudnijiet tiegħu kienu jirriflettu tradizzjoni teoloġika u kulturali li raw il-L"&amp;"hud bħala nies miċħuda ħatja tal-qtil ta 'Kristu, u huwa għex fi ħdan komunità lokali li kienet keċċa lil-Lhud xi snin u disgħin sena qabel. Huwa kkunsidra li l-Lhud blasfemers u giddieba minħabba li ċaħdu d-divinità ta ’Ġesù, filwaqt li l-Insara jemmnu l"&amp;"i Ġesù kien il-Messija. Iżda Luther emmen li l-bnedmin kollha li waqqfu lilhom infushom kontra Alla kienu ugwalment ħatja. Sa mill-1516, huwa kiteb li ħafna nies ""huma kburin bl-istupidità meraviljuża meta jsejħu l-klieb tal-Lhud, l-evidoers, jew dak kol"&amp;"lu li jħobbu, waqt li huma wkoll, u bl-istess mod, ma jindunawx min jew dak li huma fil-vista ta 'Alla "". Fl-1523, Luther avżat it-tjubija lejn il-Lhud billi Ġesù Kristu twieled Lhudi u kellu wkoll l-għan li jikkonvertihom għall-Kristjaneżmu. Meta l-isfo"&amp;"rzi tiegħu għall-konverżjoni fallew, huwa kiber dejjem aktar morra lejhom. Fil-ktieb tiegħu tal-2010 Bonhoeffer: ragħaj, martri, profeta, spy, l-awtur Kristjan Eric Metaxas sostna li l-attitudni ta 'Luther lejn il-Lhud ""żvelat flimkien ma' saħħtu.""")</f>
        <v>Luther kiteb dwar il-Lhud matul il-karriera tiegħu, għalkemm ftit biss mix-xogħlijiet tiegħu ttrattawhom direttament. Luther rarament iltaqa 'ma' Lhud matul ħajtu, iżda l-attitudnijiet tiegħu kienu jirriflettu tradizzjoni teoloġika u kulturali li raw il-Lhud bħala nies miċħuda ħatja tal-qtil ta 'Kristu, u huwa għex fi ħdan komunità lokali li kienet keċċa lil-Lhud xi snin u disgħin sena qabel. Huwa kkunsidra li l-Lhud blasfemers u giddieba minħabba li ċaħdu d-divinità ta ’Ġesù, filwaqt li l-Insara jemmnu li Ġesù kien il-Messija. Iżda Luther emmen li l-bnedmin kollha li waqqfu lilhom infushom kontra Alla kienu ugwalment ħatja. Sa mill-1516, huwa kiteb li ħafna nies "huma kburin bl-istupidità meraviljuża meta jsejħu l-klieb tal-Lhud, l-evidoers, jew dak kollu li jħobbu, waqt li huma wkoll, u bl-istess mod, ma jindunawx min jew dak li huma fil-vista ta 'Alla ". Fl-1523, Luther avżat it-tjubija lejn il-Lhud billi Ġesù Kristu twieled Lhudi u kellu wkoll l-għan li jikkonvertihom għall-Kristjaneżmu. Meta l-isforzi tiegħu għall-konverżjoni fallew, huwa kiber dejjem aktar morra lejhom. Fil-ktieb tiegħu tal-2010 Bonhoeffer: ragħaj, martri, profeta, spy, l-awtur Kristjan Eric Metaxas sostna li l-attitudni ta 'Luther lejn il-Lhud "żvelat flimkien ma' saħħtu."</v>
      </c>
    </row>
    <row r="1982" ht="15.75" customHeight="1">
      <c r="A1982" s="2" t="s">
        <v>1982</v>
      </c>
      <c r="B1982" s="2" t="str">
        <f>IFERROR(__xludf.DUMMYFUNCTION("GOOGLETRANSLATE(A1982, ""en"", ""mt"")"),"Premju Nobel")</f>
        <v>Premju Nobel</v>
      </c>
    </row>
    <row r="1983" ht="15.75" customHeight="1">
      <c r="A1983" s="2" t="s">
        <v>1983</v>
      </c>
      <c r="B1983" s="2" t="str">
        <f>IFERROR(__xludf.DUMMYFUNCTION("GOOGLETRANSLATE(A1983, ""en"", ""mt"")"),"X'inhi l-kelma Pollakka għal kuruni?")</f>
        <v>X'inhi l-kelma Pollakka għal kuruni?</v>
      </c>
    </row>
    <row r="1984" ht="15.75" customHeight="1">
      <c r="A1984" s="2" t="s">
        <v>1984</v>
      </c>
      <c r="B1984" s="2" t="str">
        <f>IFERROR(__xludf.DUMMYFUNCTION("GOOGLETRANSLATE(A1984, ""en"", ""mt"")"),"Fl-2014, ix-xogħol tlesta fuq id-daħla storika tal-istazzjonijiet. Il-ħġieġ tqiegħed fuq l-arkati storiċi u l-arkitettura Vittorjana kienet imsaħħa; It-trasformazzjoni tal-portiku pubbliku tas-seklu 19. L-istazzjon huwa wieħed mill-istazzjonijiet ferrovja"&amp;"rji elenkati biss ta 'sitt grad wieħed fir-Renju Unit. Infetħet fl-1850 mir-Reġina Victoria, kienet l-ewwel stazzjon tal-ferrovija kopert fid-dinja u kien ikkupjat ħafna fir-Renju Unit. Għandha faċċata neoklassika, iddisinjata oriġinarjament mill-perit Jo"&amp;"hn Dobson, u nbniet b'kollaborazzjoni ma 'Robert Stephenson. L-istazzjon jidhru lejn il-kastell iżommu, waqt li juru l-kurvatura tas-saqaf arched tal-istazzjon. L-ewwel servizzi ġew operati mill-Kumpanija tal-Ferrovija tal-Lvant tal-Grigal. L-istazzjon ew"&amp;"lieni l-ieħor tal-belt, Manors, jinsab fil-lvant taċ-ċentru tal-belt.")</f>
        <v>Fl-2014, ix-xogħol tlesta fuq id-daħla storika tal-istazzjonijiet. Il-ħġieġ tqiegħed fuq l-arkati storiċi u l-arkitettura Vittorjana kienet imsaħħa; It-trasformazzjoni tal-portiku pubbliku tas-seklu 19. L-istazzjon huwa wieħed mill-istazzjonijiet ferrovjarji elenkati biss ta 'sitt grad wieħed fir-Renju Unit. Infetħet fl-1850 mir-Reġina Victoria, kienet l-ewwel stazzjon tal-ferrovija kopert fid-dinja u kien ikkupjat ħafna fir-Renju Unit. Għandha faċċata neoklassika, iddisinjata oriġinarjament mill-perit John Dobson, u nbniet b'kollaborazzjoni ma 'Robert Stephenson. L-istazzjon jidhru lejn il-kastell iżommu, waqt li juru l-kurvatura tas-saqaf arched tal-istazzjon. L-ewwel servizzi ġew operati mill-Kumpanija tal-Ferrovija tal-Lvant tal-Grigal. L-istazzjon ewlieni l-ieħor tal-belt, Manors, jinsab fil-lvant taċ-ċentru tal-belt.</v>
      </c>
    </row>
    <row r="1985" ht="15.75" customHeight="1">
      <c r="A1985" s="2" t="s">
        <v>1985</v>
      </c>
      <c r="B1985" s="2" t="str">
        <f>IFERROR(__xludf.DUMMYFUNCTION("GOOGLETRANSLATE(A1985, ""en"", ""mt"")"),"Il-Pont tal-Bieb tad-Deheb")</f>
        <v>Il-Pont tal-Bieb tad-Deheb</v>
      </c>
    </row>
    <row r="1986" ht="15.75" customHeight="1">
      <c r="A1986" s="2" t="s">
        <v>1986</v>
      </c>
      <c r="B1986" s="2" t="str">
        <f>IFERROR(__xludf.DUMMYFUNCTION("GOOGLETRANSLATE(A1986, ""en"", ""mt"")"),"X'tip ta 'ġeoloġi jagħtu informazzjoni dwar ir-razza fl-istruttura kristallina tal-blat?")</f>
        <v>X'tip ta 'ġeoloġi jagħtu informazzjoni dwar ir-razza fl-istruttura kristallina tal-blat?</v>
      </c>
    </row>
    <row r="1987" ht="15.75" customHeight="1">
      <c r="A1987" s="2" t="s">
        <v>1987</v>
      </c>
      <c r="B1987" s="2" t="str">
        <f>IFERROR(__xludf.DUMMYFUNCTION("GOOGLETRANSLATE(A1987, ""en"", ""mt"")"),"ikkundannat bħala idolatrija")</f>
        <v>ikkundannat bħala idolatrija</v>
      </c>
    </row>
    <row r="1988" ht="15.75" customHeight="1">
      <c r="A1988" s="2" t="s">
        <v>1988</v>
      </c>
      <c r="B1988" s="2" t="str">
        <f>IFERROR(__xludf.DUMMYFUNCTION("GOOGLETRANSLATE(A1988, ""en"", ""mt"")"),"Wara t-Trattat sabiħ")</f>
        <v>Wara t-Trattat sabiħ</v>
      </c>
    </row>
    <row r="1989" ht="15.75" customHeight="1">
      <c r="A1989" s="2" t="s">
        <v>1989</v>
      </c>
      <c r="B1989" s="2" t="str">
        <f>IFERROR(__xludf.DUMMYFUNCTION("GOOGLETRANSLATE(A1989, ""en"", ""mt"")"),"""Xiri ta 'Stop One-Stop""")</f>
        <v>"Xiri ta 'Stop One-Stop"</v>
      </c>
    </row>
    <row r="1990" ht="15.75" customHeight="1">
      <c r="A1990" s="2" t="s">
        <v>1990</v>
      </c>
      <c r="B1990" s="2" t="str">
        <f>IFERROR(__xludf.DUMMYFUNCTION("GOOGLETRANSLATE(A1990, ""en"", ""mt"")"),"Black_death")</f>
        <v>Black_death</v>
      </c>
    </row>
    <row r="1991" ht="15.75" customHeight="1">
      <c r="A1991" s="2" t="s">
        <v>1991</v>
      </c>
      <c r="B1991" s="2" t="str">
        <f>IFERROR(__xludf.DUMMYFUNCTION("GOOGLETRANSLATE(A1991, ""en"", ""mt"")"),"Gżejjer żgħar billi jippreċipitaw is-sedimenti")</f>
        <v>Gżejjer żgħar billi jippreċipitaw is-sedimenti</v>
      </c>
    </row>
    <row r="1992" ht="15.75" customHeight="1">
      <c r="A1992" s="2" t="s">
        <v>1992</v>
      </c>
      <c r="B1992" s="2" t="str">
        <f>IFERROR(__xludf.DUMMYFUNCTION("GOOGLETRANSLATE(A1992, ""en"", ""mt"")"),"It-trattati japplikaw malli jidħlu fis-seħħ")</f>
        <v>It-trattati japplikaw malli jidħlu fis-seħħ</v>
      </c>
    </row>
    <row r="1993" ht="15.75" customHeight="1">
      <c r="A1993" s="2" t="s">
        <v>1993</v>
      </c>
      <c r="B1993" s="2" t="str">
        <f>IFERROR(__xludf.DUMMYFUNCTION("GOOGLETRANSLATE(A1993, ""en"", ""mt"")"),"X'tip ta 'dawl huwa importanti għall-kloroplasti biex jinqasmu?")</f>
        <v>X'tip ta 'dawl huwa importanti għall-kloroplasti biex jinqasmu?</v>
      </c>
    </row>
    <row r="1994" ht="15.75" customHeight="1">
      <c r="A1994" s="2" t="s">
        <v>1994</v>
      </c>
      <c r="B1994" s="2" t="str">
        <f>IFERROR(__xludf.DUMMYFUNCTION("GOOGLETRANSLATE(A1994, ""en"", ""mt"")"),"VHF Channel 7")</f>
        <v>VHF Channel 7</v>
      </c>
    </row>
    <row r="1995" ht="15.75" customHeight="1">
      <c r="A1995" s="2" t="s">
        <v>1995</v>
      </c>
      <c r="B1995" s="2" t="str">
        <f>IFERROR(__xludf.DUMMYFUNCTION("GOOGLETRANSLATE(A1995, ""en"", ""mt"")"),"Monasteru Kummum jew Ta'er Shi ħdejn Xining")</f>
        <v>Monasteru Kummum jew Ta'er Shi ħdejn Xining</v>
      </c>
    </row>
    <row r="1996" ht="15.75" customHeight="1">
      <c r="A1996" s="2" t="s">
        <v>1996</v>
      </c>
      <c r="B1996" s="2" t="str">
        <f>IFERROR(__xludf.DUMMYFUNCTION("GOOGLETRANSLATE(A1996, ""en"", ""mt"")"),"wiċċ tal-logħob ġdid")</f>
        <v>wiċċ tal-logħob ġdid</v>
      </c>
    </row>
    <row r="1997" ht="15.75" customHeight="1">
      <c r="A1997" s="2" t="s">
        <v>1997</v>
      </c>
      <c r="B1997" s="2" t="str">
        <f>IFERROR(__xludf.DUMMYFUNCTION("GOOGLETRANSLATE(A1997, ""en"", ""mt"")"),"kromoplasti")</f>
        <v>kromoplasti</v>
      </c>
    </row>
    <row r="1998" ht="15.75" customHeight="1">
      <c r="A1998" s="2" t="s">
        <v>1998</v>
      </c>
      <c r="B1998" s="2" t="str">
        <f>IFERROR(__xludf.DUMMYFUNCTION("GOOGLETRANSLATE(A1998, ""en"", ""mt"")"),"X'għandu bżonn id-disinn ta 'Tesla?")</f>
        <v>X'għandu bżonn id-disinn ta 'Tesla?</v>
      </c>
    </row>
    <row r="1999" ht="15.75" customHeight="1">
      <c r="A1999" s="2" t="s">
        <v>1999</v>
      </c>
      <c r="B1999" s="2" t="str">
        <f>IFERROR(__xludf.DUMMYFUNCTION("GOOGLETRANSLATE(A1999, ""en"", ""mt"")"),"aktar minn $ 2,000,")</f>
        <v>aktar minn $ 2,000,</v>
      </c>
    </row>
    <row r="2000" ht="15.75" customHeight="1">
      <c r="A2000" s="2" t="s">
        <v>2000</v>
      </c>
      <c r="B2000" s="2" t="str">
        <f>IFERROR(__xludf.DUMMYFUNCTION("GOOGLETRANSLATE(A2000, ""en"", ""mt"")"),"Mill-ħamsinijiet")</f>
        <v>Mill-ħamsinijiet</v>
      </c>
    </row>
    <row r="2001" ht="15.75" customHeight="1">
      <c r="A2001" s="2" t="s">
        <v>2001</v>
      </c>
      <c r="B2001" s="2" t="str">
        <f>IFERROR(__xludf.DUMMYFUNCTION("GOOGLETRANSLATE(A2001, ""en"", ""mt"")"),"morali")</f>
        <v>morali</v>
      </c>
    </row>
    <row r="2002" ht="15.75" customHeight="1">
      <c r="A2002" s="2" t="s">
        <v>2002</v>
      </c>
      <c r="B2002" s="2" t="str">
        <f>IFERROR(__xludf.DUMMYFUNCTION("GOOGLETRANSLATE(A2002, ""en"", ""mt"")"),"Sensittività eċċessiva")</f>
        <v>Sensittività eċċessiva</v>
      </c>
    </row>
    <row r="2003" ht="15.75" customHeight="1">
      <c r="A2003" s="2" t="s">
        <v>2003</v>
      </c>
      <c r="B2003" s="2" t="str">
        <f>IFERROR(__xludf.DUMMYFUNCTION("GOOGLETRANSLATE(A2003, ""en"", ""mt"")"),"HARSHER")</f>
        <v>HARSHER</v>
      </c>
    </row>
    <row r="2004" ht="15.75" customHeight="1">
      <c r="A2004" s="2" t="s">
        <v>2004</v>
      </c>
      <c r="B2004" s="2" t="str">
        <f>IFERROR(__xludf.DUMMYFUNCTION("GOOGLETRANSLATE(A2004, ""en"", ""mt"")"),"Minn liema kelma tittieħed il-kelma farmaċija?")</f>
        <v>Minn liema kelma tittieħed il-kelma farmaċija?</v>
      </c>
    </row>
    <row r="2005" ht="15.75" customHeight="1">
      <c r="A2005" s="2" t="s">
        <v>2005</v>
      </c>
      <c r="B2005" s="2" t="str">
        <f>IFERROR(__xludf.DUMMYFUNCTION("GOOGLETRANSLATE(A2005, ""en"", ""mt"")"),"Philip Webb u William Morris")</f>
        <v>Philip Webb u William Morris</v>
      </c>
    </row>
    <row r="2006" ht="15.75" customHeight="1">
      <c r="A2006" s="2" t="s">
        <v>2006</v>
      </c>
      <c r="B2006" s="2" t="str">
        <f>IFERROR(__xludf.DUMMYFUNCTION("GOOGLETRANSLATE(A2006, ""en"", ""mt"")"),"Konservattiv")</f>
        <v>Konservattiv</v>
      </c>
    </row>
    <row r="2007" ht="15.75" customHeight="1">
      <c r="A2007" s="2" t="s">
        <v>2007</v>
      </c>
      <c r="B2007" s="2" t="str">
        <f>IFERROR(__xludf.DUMMYFUNCTION("GOOGLETRANSLATE(A2007, ""en"", ""mt"")"),"Kemm-il sekonda tħalliet fil-logħba meta l-Patriots fallew il-konverżjoni tagħhom ta '2 punti?")</f>
        <v>Kemm-il sekonda tħalliet fil-logħba meta l-Patriots fallew il-konverżjoni tagħhom ta '2 punti?</v>
      </c>
    </row>
    <row r="2008" ht="15.75" customHeight="1">
      <c r="A2008" s="2" t="s">
        <v>2008</v>
      </c>
      <c r="B2008" s="2" t="str">
        <f>IFERROR(__xludf.DUMMYFUNCTION("GOOGLETRANSLATE(A2008, ""en"", ""mt"")"),"9.1 miljun")</f>
        <v>9.1 miljun</v>
      </c>
    </row>
    <row r="2009" ht="15.75" customHeight="1">
      <c r="A2009" s="2" t="s">
        <v>2009</v>
      </c>
      <c r="B2009" s="2" t="str">
        <f>IFERROR(__xludf.DUMMYFUNCTION("GOOGLETRANSLATE(A2009, ""en"", ""mt"")"),"L-Istat Membru ma jistax jinforza liġijiet konfliġġenti")</f>
        <v>L-Istat Membru ma jistax jinforza liġijiet konfliġġenti</v>
      </c>
    </row>
    <row r="2010" ht="15.75" customHeight="1">
      <c r="A2010" s="2" t="s">
        <v>2010</v>
      </c>
      <c r="B2010" s="2" t="str">
        <f>IFERROR(__xludf.DUMMYFUNCTION("GOOGLETRANSLATE(A2010, ""en"", ""mt"")"),"Puente Hills")</f>
        <v>Puente Hills</v>
      </c>
    </row>
    <row r="2011" ht="15.75" customHeight="1">
      <c r="A2011" s="2" t="s">
        <v>2011</v>
      </c>
      <c r="B2011" s="2" t="str">
        <f>IFERROR(__xludf.DUMMYFUNCTION("GOOGLETRANSLATE(A2011, ""en"", ""mt"")"),"kampi manjetiċi bla forza")</f>
        <v>kampi manjetiċi bla forza</v>
      </c>
    </row>
    <row r="2012" ht="15.75" customHeight="1">
      <c r="A2012" s="2" t="s">
        <v>2012</v>
      </c>
      <c r="B2012" s="2" t="str">
        <f>IFERROR(__xludf.DUMMYFUNCTION("GOOGLETRANSLATE(A2012, ""en"", ""mt"")"),"Meta bdiet is-serje Sarah Jane?")</f>
        <v>Meta bdiet is-serje Sarah Jane?</v>
      </c>
    </row>
    <row r="2013" ht="15.75" customHeight="1">
      <c r="A2013" s="2" t="s">
        <v>2013</v>
      </c>
      <c r="B2013" s="2" t="str">
        <f>IFERROR(__xludf.DUMMYFUNCTION("GOOGLETRANSLATE(A2013, ""en"", ""mt"")"),"Radjazzjoni ultravjola li tħalli impatt fuq molekuli li fihom l-ossiġnu")</f>
        <v>Radjazzjoni ultravjola li tħalli impatt fuq molekuli li fihom l-ossiġnu</v>
      </c>
    </row>
    <row r="2014" ht="15.75" customHeight="1">
      <c r="A2014" s="2" t="s">
        <v>2014</v>
      </c>
      <c r="B2014" s="2" t="str">
        <f>IFERROR(__xludf.DUMMYFUNCTION("GOOGLETRANSLATE(A2014, ""en"", ""mt"")"),"Ġinnasju reali ogħla")</f>
        <v>Ġinnasju reali ogħla</v>
      </c>
    </row>
    <row r="2015" ht="15.75" customHeight="1">
      <c r="A2015" s="2" t="s">
        <v>2015</v>
      </c>
      <c r="B2015" s="2" t="str">
        <f>IFERROR(__xludf.DUMMYFUNCTION("GOOGLETRANSLATE(A2015, ""en"", ""mt"")"),"Min hu l-gvernatur tal-bank ċentrali tal-Indja?")</f>
        <v>Min hu l-gvernatur tal-bank ċentrali tal-Indja?</v>
      </c>
    </row>
    <row r="2016" ht="15.75" customHeight="1">
      <c r="A2016" s="2" t="s">
        <v>2016</v>
      </c>
      <c r="B2016" s="2" t="str">
        <f>IFERROR(__xludf.DUMMYFUNCTION("GOOGLETRANSLATE(A2016, ""en"", ""mt"")"),"Dak li jikkorrelata direttament mal-prestazzjoni ekonomika u d-distribuzzjoni tal-ġid tal-pajjiż?")</f>
        <v>Dak li jikkorrelata direttament mal-prestazzjoni ekonomika u d-distribuzzjoni tal-ġid tal-pajjiż?</v>
      </c>
    </row>
    <row r="2017" ht="15.75" customHeight="1">
      <c r="A2017" s="2" t="s">
        <v>2017</v>
      </c>
      <c r="B2017" s="2" t="str">
        <f>IFERROR(__xludf.DUMMYFUNCTION("GOOGLETRANSLATE(A2017, ""en"", ""mt"")"),"Liema tweġiba politika kienet tlaqqa 'f'Ġunju / Lulju 1754?")</f>
        <v>Liema tweġiba politika kienet tlaqqa 'f'Ġunju / Lulju 1754?</v>
      </c>
    </row>
    <row r="2018" ht="15.75" customHeight="1">
      <c r="A2018" s="2" t="s">
        <v>2018</v>
      </c>
      <c r="B2018" s="2" t="str">
        <f>IFERROR(__xludf.DUMMYFUNCTION("GOOGLETRANSLATE(A2018, ""en"", ""mt"")"),"Min ħareġ bit-teorija tar-relatività?")</f>
        <v>Min ħareġ bit-teorija tar-relatività?</v>
      </c>
    </row>
    <row r="2019" ht="15.75" customHeight="1">
      <c r="A2019" s="2" t="s">
        <v>2019</v>
      </c>
      <c r="B2019" s="2" t="str">
        <f>IFERROR(__xludf.DUMMYFUNCTION("GOOGLETRANSLATE(A2019, ""en"", ""mt"")"),"Ed Asner")</f>
        <v>Ed Asner</v>
      </c>
    </row>
    <row r="2020" ht="15.75" customHeight="1">
      <c r="A2020" s="2" t="s">
        <v>2020</v>
      </c>
      <c r="B2020" s="2" t="str">
        <f>IFERROR(__xludf.DUMMYFUNCTION("GOOGLETRANSLATE(A2020, ""en"", ""mt"")"),"X’jivolvu s-servizzi mogħtija mill-ispiżjara?")</f>
        <v>X’jivolvu s-servizzi mogħtija mill-ispiżjara?</v>
      </c>
    </row>
    <row r="2021" ht="15.75" customHeight="1">
      <c r="A2021" s="2" t="s">
        <v>2021</v>
      </c>
      <c r="B2021" s="2" t="str">
        <f>IFERROR(__xludf.DUMMYFUNCTION("GOOGLETRANSLATE(A2021, ""en"", ""mt"")"),"Kemm touchdowns kellhom Manning fl-aħħar tal-logħba?")</f>
        <v>Kemm touchdowns kellhom Manning fl-aħħar tal-logħba?</v>
      </c>
    </row>
    <row r="2022" ht="15.75" customHeight="1">
      <c r="A2022" s="2" t="s">
        <v>2022</v>
      </c>
      <c r="B2022" s="2" t="str">
        <f>IFERROR(__xludf.DUMMYFUNCTION("GOOGLETRANSLATE(A2022, ""en"", ""mt"")"),"funzjoni ta 'appoġġ")</f>
        <v>funzjoni ta 'appoġġ</v>
      </c>
    </row>
    <row r="2023" ht="15.75" customHeight="1">
      <c r="A2023" s="2" t="s">
        <v>2023</v>
      </c>
      <c r="B2023" s="2" t="str">
        <f>IFERROR(__xludf.DUMMYFUNCTION("GOOGLETRANSLATE(A2023, ""en"", ""mt"")"),"191.766 biljun PLN")</f>
        <v>191.766 biljun PLN</v>
      </c>
    </row>
    <row r="2024" ht="15.75" customHeight="1">
      <c r="A2024" s="2" t="s">
        <v>2024</v>
      </c>
      <c r="B2024" s="2" t="str">
        <f>IFERROR(__xludf.DUMMYFUNCTION("GOOGLETRANSLATE(A2024, ""en"", ""mt"")"),"L-għanijiet ta 'spiss għadhom jopponu l-IPCC?")</f>
        <v>L-għanijiet ta 'spiss għadhom jopponu l-IPCC?</v>
      </c>
    </row>
    <row r="2025" ht="15.75" customHeight="1">
      <c r="A2025" s="2" t="s">
        <v>2025</v>
      </c>
      <c r="B2025" s="2" t="str">
        <f>IFERROR(__xludf.DUMMYFUNCTION("GOOGLETRANSLATE(A2025, ""en"", ""mt"")"),"Meta ġiet stabbilita l-belt ta 'Malindi?")</f>
        <v>Meta ġiet stabbilita l-belt ta 'Malindi?</v>
      </c>
    </row>
    <row r="2026" ht="15.75" customHeight="1">
      <c r="A2026" s="2" t="s">
        <v>2026</v>
      </c>
      <c r="B2026" s="2" t="str">
        <f>IFERROR(__xludf.DUMMYFUNCTION("GOOGLETRANSLATE(A2026, ""en"", ""mt"")"),"F’liema pajjiż kien il-film Doctor Who ma rnexxa biżżejjed biex tbid serje?")</f>
        <v>F’liema pajjiż kien il-film Doctor Who ma rnexxa biżżejjed biex tbid serje?</v>
      </c>
    </row>
    <row r="2027" ht="15.75" customHeight="1">
      <c r="A2027" s="2" t="s">
        <v>2027</v>
      </c>
      <c r="B2027" s="2" t="str">
        <f>IFERROR(__xludf.DUMMYFUNCTION("GOOGLETRANSLATE(A2027, ""en"", ""mt"")"),"bizzilla")</f>
        <v>bizzilla</v>
      </c>
    </row>
    <row r="2028" ht="15.75" customHeight="1">
      <c r="A2028" s="2" t="s">
        <v>2028</v>
      </c>
      <c r="B2028" s="2" t="str">
        <f>IFERROR(__xludf.DUMMYFUNCTION("GOOGLETRANSLATE(A2028, ""en"", ""mt"")"),"X'kien maħsub li jiddeċiedi l-imġieba ta 'persuna?")</f>
        <v>X'kien maħsub li jiddeċiedi l-imġieba ta 'persuna?</v>
      </c>
    </row>
    <row r="2029" ht="15.75" customHeight="1">
      <c r="A2029" s="2" t="s">
        <v>2029</v>
      </c>
      <c r="B2029" s="2" t="str">
        <f>IFERROR(__xludf.DUMMYFUNCTION("GOOGLETRANSLATE(A2029, ""en"", ""mt"")"),"Ċentru tat-Titjira Spazjali Marshall")</f>
        <v>Ċentru tat-Titjira Spazjali Marshall</v>
      </c>
    </row>
    <row r="2030" ht="15.75" customHeight="1">
      <c r="A2030" s="2" t="s">
        <v>2030</v>
      </c>
      <c r="B2030" s="2" t="str">
        <f>IFERROR(__xludf.DUMMYFUNCTION("GOOGLETRANSLATE(A2030, ""en"", ""mt"")"),"biex tikkastiga lill-Kristjani")</f>
        <v>biex tikkastiga lill-Kristjani</v>
      </c>
    </row>
    <row r="2031" ht="15.75" customHeight="1">
      <c r="A2031" s="2" t="s">
        <v>2031</v>
      </c>
      <c r="B2031" s="2" t="str">
        <f>IFERROR(__xludf.DUMMYFUNCTION("GOOGLETRANSLATE(A2031, ""en"", ""mt"")"),"Mill-inqas is-seklu 14")</f>
        <v>Mill-inqas is-seklu 14</v>
      </c>
    </row>
    <row r="2032" ht="15.75" customHeight="1">
      <c r="A2032" s="2" t="s">
        <v>2032</v>
      </c>
      <c r="B2032" s="2" t="str">
        <f>IFERROR(__xludf.DUMMYFUNCTION("GOOGLETRANSLATE(A2032, ""en"", ""mt"")"),"Fejn kienu jinsabu l-poplu Kikuyu?")</f>
        <v>Fejn kienu jinsabu l-poplu Kikuyu?</v>
      </c>
    </row>
    <row r="2033" ht="15.75" customHeight="1">
      <c r="A2033" s="2" t="s">
        <v>2033</v>
      </c>
      <c r="B2033" s="2" t="str">
        <f>IFERROR(__xludf.DUMMYFUNCTION("GOOGLETRANSLATE(A2033, ""en"", ""mt"")"),"Min kien stilla kbira li ABC kien kapaċi jattira minħabba t-teknoloġija tal-manjetofon?")</f>
        <v>Min kien stilla kbira li ABC kien kapaċi jattira minħabba t-teknoloġija tal-manjetofon?</v>
      </c>
    </row>
    <row r="2034" ht="15.75" customHeight="1">
      <c r="A2034" s="2" t="s">
        <v>2034</v>
      </c>
      <c r="B2034" s="2" t="str">
        <f>IFERROR(__xludf.DUMMYFUNCTION("GOOGLETRANSLATE(A2034, ""en"", ""mt"")"),"Żvilupp ta 'programmazzjoni orjentata għaż-żgħażagħ")</f>
        <v>Żvilupp ta 'programmazzjoni orjentata għaż-żgħażagħ</v>
      </c>
    </row>
    <row r="2035" ht="15.75" customHeight="1">
      <c r="A2035" s="2" t="s">
        <v>2035</v>
      </c>
      <c r="B2035" s="2" t="str">
        <f>IFERROR(__xludf.DUMMYFUNCTION("GOOGLETRANSLATE(A2035, ""en"", ""mt"")"),"L-Afganistan Musulman Mujahideen")</f>
        <v>L-Afganistan Musulman Mujahideen</v>
      </c>
    </row>
    <row r="2036" ht="15.75" customHeight="1">
      <c r="A2036" s="2" t="s">
        <v>2036</v>
      </c>
      <c r="B2036" s="2" t="str">
        <f>IFERROR(__xludf.DUMMYFUNCTION("GOOGLETRANSLATE(A2036, ""en"", ""mt"")"),"Taħriġ speċjali")</f>
        <v>Taħriġ speċjali</v>
      </c>
    </row>
    <row r="2037" ht="15.75" customHeight="1">
      <c r="A2037" s="2" t="s">
        <v>2037</v>
      </c>
      <c r="B2037" s="2" t="str">
        <f>IFERROR(__xludf.DUMMYFUNCTION("GOOGLETRANSLATE(A2037, ""en"", ""mt"")"),"vapuri")</f>
        <v>vapuri</v>
      </c>
    </row>
    <row r="2038" ht="15.75" customHeight="1">
      <c r="A2038" s="2" t="s">
        <v>2038</v>
      </c>
      <c r="B2038" s="2" t="str">
        <f>IFERROR(__xludf.DUMMYFUNCTION("GOOGLETRANSLATE(A2038, ""en"", ""mt"")"),"fotolisi")</f>
        <v>fotolisi</v>
      </c>
    </row>
    <row r="2039" ht="15.75" customHeight="1">
      <c r="A2039" s="2" t="s">
        <v>2039</v>
      </c>
      <c r="B2039" s="2" t="str">
        <f>IFERROR(__xludf.DUMMYFUNCTION("GOOGLETRANSLATE(A2039, ""en"", ""mt"")"),"likwidu")</f>
        <v>likwidu</v>
      </c>
    </row>
    <row r="2040" ht="15.75" customHeight="1">
      <c r="A2040" s="2" t="s">
        <v>2040</v>
      </c>
      <c r="B2040" s="2" t="str">
        <f>IFERROR(__xludf.DUMMYFUNCTION("GOOGLETRANSLATE(A2040, ""en"", ""mt"")"),"Il-knisja tenfasizza l-ħtieġa li tkun fil-ministeru ta 'appoġġ ta' liema grupp?")</f>
        <v>Il-knisja tenfasizza l-ħtieġa li tkun fil-ministeru ta 'appoġġ ta' liema grupp?</v>
      </c>
    </row>
    <row r="2041" ht="15.75" customHeight="1">
      <c r="A2041" s="2" t="s">
        <v>2041</v>
      </c>
      <c r="B2041" s="2" t="str">
        <f>IFERROR(__xludf.DUMMYFUNCTION("GOOGLETRANSLATE(A2041, ""en"", ""mt"")"),"X'inhu l-akbar port intern tal-Ewropa?")</f>
        <v>X'inhu l-akbar port intern tal-Ewropa?</v>
      </c>
    </row>
    <row r="2042" ht="15.75" customHeight="1">
      <c r="A2042" s="2" t="s">
        <v>2042</v>
      </c>
      <c r="B2042" s="2" t="str">
        <f>IFERROR(__xludf.DUMMYFUNCTION("GOOGLETRANSLATE(A2042, ""en"", ""mt"")"),"nar fit toqba")</f>
        <v>nar fit toqba</v>
      </c>
    </row>
    <row r="2043" ht="15.75" customHeight="1">
      <c r="A2043" s="2" t="s">
        <v>2043</v>
      </c>
      <c r="B2043" s="2" t="str">
        <f>IFERROR(__xludf.DUMMYFUNCTION("GOOGLETRANSLATE(A2043, ""en"", ""mt"")"),"X'inhi l-ewwel belt ewlenija fin-nixxiegħa tar-Renu?")</f>
        <v>X'inhi l-ewwel belt ewlenija fin-nixxiegħa tar-Renu?</v>
      </c>
    </row>
    <row r="2044" ht="15.75" customHeight="1">
      <c r="A2044" s="2" t="s">
        <v>2044</v>
      </c>
      <c r="B2044" s="2" t="str">
        <f>IFERROR(__xludf.DUMMYFUNCTION("GOOGLETRANSLATE(A2044, ""en"", ""mt"")"),"8 tunnellati")</f>
        <v>8 tunnellati</v>
      </c>
    </row>
    <row r="2045" ht="15.75" customHeight="1">
      <c r="A2045" s="2" t="s">
        <v>2045</v>
      </c>
      <c r="B2045" s="2" t="str">
        <f>IFERROR(__xludf.DUMMYFUNCTION("GOOGLETRANSLATE(A2045, ""en"", ""mt"")"),"Mill-perjodu Paleolitiku aktar baxx")</f>
        <v>Mill-perjodu Paleolitiku aktar baxx</v>
      </c>
    </row>
    <row r="2046" ht="15.75" customHeight="1">
      <c r="A2046" s="2" t="s">
        <v>2046</v>
      </c>
      <c r="B2046" s="2" t="str">
        <f>IFERROR(__xludf.DUMMYFUNCTION("GOOGLETRANSLATE(A2046, ""en"", ""mt"")"),"Fi ħdan in-Nofsinhar ta ’California hemm żewġ bliet ewlenin, Los Angeles u San Diego, kif ukoll tlieta mill-akbar żoni metropolitani tal-pajjiż. B'popolazzjoni ta '3,792,621, Los Angeles hija l-iktar belt popolata f'Kalifornja u t-tieni l-iktar popolata f"&amp;"l-Istati Uniti. Fin-nofsinhar u b'popolazzjoni ta '1,307,402 hija San Diego, it-tieni l-iktar belt popolata fl-istat u t-tmien l-iktar popolata fin-nazzjon.")</f>
        <v>Fi ħdan in-Nofsinhar ta ’California hemm żewġ bliet ewlenin, Los Angeles u San Diego, kif ukoll tlieta mill-akbar żoni metropolitani tal-pajjiż. B'popolazzjoni ta '3,792,621, Los Angeles hija l-iktar belt popolata f'Kalifornja u t-tieni l-iktar popolata fl-Istati Uniti. Fin-nofsinhar u b'popolazzjoni ta '1,307,402 hija San Diego, it-tieni l-iktar belt popolata fl-istat u t-tmien l-iktar popolata fin-nazzjon.</v>
      </c>
    </row>
    <row r="2047" ht="15.75" customHeight="1">
      <c r="A2047" s="2" t="s">
        <v>2047</v>
      </c>
      <c r="B2047" s="2" t="str">
        <f>IFERROR(__xludf.DUMMYFUNCTION("GOOGLETRANSLATE(A2047, ""en"", ""mt"")"),"X’sar għar-replika tal-kolonna ta ’Trajan biex toqgħod taħt il-limitu?")</f>
        <v>X’sar għar-replika tal-kolonna ta ’Trajan biex toqgħod taħt il-limitu?</v>
      </c>
    </row>
    <row r="2048" ht="15.75" customHeight="1">
      <c r="A2048" s="2" t="s">
        <v>2048</v>
      </c>
      <c r="B2048" s="2" t="str">
        <f>IFERROR(__xludf.DUMMYFUNCTION("GOOGLETRANSLATE(A2048, ""en"", ""mt"")"),"li tippermetti li l-vettura spazjali Lander tintuża bħala ""dgħajsa tas-salvataġġ""")</f>
        <v>li tippermetti li l-vettura spazjali Lander tintuża bħala "dgħajsa tas-salvataġġ"</v>
      </c>
    </row>
    <row r="2049" ht="15.75" customHeight="1">
      <c r="A2049" s="2" t="s">
        <v>2049</v>
      </c>
      <c r="B2049" s="2" t="str">
        <f>IFERROR(__xludf.DUMMYFUNCTION("GOOGLETRANSLATE(A2049, ""en"", ""mt"")"),"Fl-2009 x'kienet it-total ta 'għotjiet mogħtija minn Harvard?")</f>
        <v>Fl-2009 x'kienet it-total ta 'għotjiet mogħtija minn Harvard?</v>
      </c>
    </row>
    <row r="2050" ht="15.75" customHeight="1">
      <c r="A2050" s="2" t="s">
        <v>2050</v>
      </c>
      <c r="B2050" s="2" t="str">
        <f>IFERROR(__xludf.DUMMYFUNCTION("GOOGLETRANSLATE(A2050, ""en"", ""mt"")"),"Olandiż")</f>
        <v>Olandiż</v>
      </c>
    </row>
    <row r="2051" ht="15.75" customHeight="1">
      <c r="A2051" s="2" t="s">
        <v>2051</v>
      </c>
      <c r="B2051" s="2" t="str">
        <f>IFERROR(__xludf.DUMMYFUNCTION("GOOGLETRANSLATE(A2051, ""en"", ""mt"")"),"Tmiem il-Parlament attwali")</f>
        <v>Tmiem il-Parlament attwali</v>
      </c>
    </row>
    <row r="2052" ht="15.75" customHeight="1">
      <c r="A2052" s="2" t="s">
        <v>2052</v>
      </c>
      <c r="B2052" s="2" t="str">
        <f>IFERROR(__xludf.DUMMYFUNCTION("GOOGLETRANSLATE(A2052, ""en"", ""mt"")"),"sinjali mill-kloroplast li jirregolaw l-espressjoni tal-ġeni")</f>
        <v>sinjali mill-kloroplast li jirregolaw l-espressjoni tal-ġeni</v>
      </c>
    </row>
    <row r="2053" ht="15.75" customHeight="1">
      <c r="A2053" s="2" t="s">
        <v>2053</v>
      </c>
      <c r="B2053" s="2" t="str">
        <f>IFERROR(__xludf.DUMMYFUNCTION("GOOGLETRANSLATE(A2053, ""en"", ""mt"")"),"Dak li pprovda għall-ħolqien ta 'ordnijiet ġodda magħrufa bħala ""Anzjan Provviżorju?""")</f>
        <v>Dak li pprovda għall-ħolqien ta 'ordnijiet ġodda magħrufa bħala "Anzjan Provviżorju?"</v>
      </c>
    </row>
    <row r="2054" ht="15.75" customHeight="1">
      <c r="A2054" s="2" t="s">
        <v>2054</v>
      </c>
      <c r="B2054" s="2" t="str">
        <f>IFERROR(__xludf.DUMMYFUNCTION("GOOGLETRANSLATE(A2054, ""en"", ""mt"")"),"1650")</f>
        <v>1650</v>
      </c>
    </row>
    <row r="2055" ht="15.75" customHeight="1">
      <c r="A2055" s="2" t="s">
        <v>2055</v>
      </c>
      <c r="B2055" s="2" t="str">
        <f>IFERROR(__xludf.DUMMYFUNCTION("GOOGLETRANSLATE(A2055, ""en"", ""mt"")"),"Tora")</f>
        <v>Tora</v>
      </c>
    </row>
    <row r="2056" ht="15.75" customHeight="1">
      <c r="A2056" s="2" t="s">
        <v>2056</v>
      </c>
      <c r="B2056" s="2" t="str">
        <f>IFERROR(__xludf.DUMMYFUNCTION("GOOGLETRANSLATE(A2056, ""en"", ""mt"")"),"Joseph Shea")</f>
        <v>Joseph Shea</v>
      </c>
    </row>
    <row r="2057" ht="15.75" customHeight="1">
      <c r="A2057" s="2" t="s">
        <v>2057</v>
      </c>
      <c r="B2057" s="2" t="str">
        <f>IFERROR(__xludf.DUMMYFUNCTION("GOOGLETRANSLATE(A2057, ""en"", ""mt"")"),"Kurva Kuznets")</f>
        <v>Kurva Kuznets</v>
      </c>
    </row>
    <row r="2058" ht="15.75" customHeight="1">
      <c r="A2058" s="2" t="s">
        <v>2058</v>
      </c>
      <c r="B2058" s="2" t="str">
        <f>IFERROR(__xludf.DUMMYFUNCTION("GOOGLETRANSLATE(A2058, ""en"", ""mt"")"),"Rich u sew")</f>
        <v>Rich u sew</v>
      </c>
    </row>
    <row r="2059" ht="15.75" customHeight="1">
      <c r="A2059" s="2" t="s">
        <v>2059</v>
      </c>
      <c r="B2059" s="2" t="str">
        <f>IFERROR(__xludf.DUMMYFUNCTION("GOOGLETRANSLATE(A2059, ""en"", ""mt"")"),"Canton Żvizzeru")</f>
        <v>Canton Żvizzeru</v>
      </c>
    </row>
    <row r="2060" ht="15.75" customHeight="1">
      <c r="A2060" s="2" t="s">
        <v>2060</v>
      </c>
      <c r="B2060" s="2" t="str">
        <f>IFERROR(__xludf.DUMMYFUNCTION("GOOGLETRANSLATE(A2060, ""en"", ""mt"")"),"Liema Panthers RB skorja 6 TDs fit-13-il logħba li wasslu sa Super Bowl 50?")</f>
        <v>Liema Panthers RB skorja 6 TDs fit-13-il logħba li wasslu sa Super Bowl 50?</v>
      </c>
    </row>
    <row r="2061" ht="15.75" customHeight="1">
      <c r="A2061" s="2" t="s">
        <v>2061</v>
      </c>
      <c r="B2061" s="2" t="str">
        <f>IFERROR(__xludf.DUMMYFUNCTION("GOOGLETRANSLATE(A2061, ""en"", ""mt"")"),"Jistgħu jieħdu kenn wara xulxin")</f>
        <v>Jistgħu jieħdu kenn wara xulxin</v>
      </c>
    </row>
    <row r="2062" ht="15.75" customHeight="1">
      <c r="A2062" s="2" t="s">
        <v>2062</v>
      </c>
      <c r="B2062" s="2" t="str">
        <f>IFERROR(__xludf.DUMMYFUNCTION("GOOGLETRANSLATE(A2062, ""en"", ""mt"")"),"27.7 miljun")</f>
        <v>27.7 miljun</v>
      </c>
    </row>
    <row r="2063" ht="15.75" customHeight="1">
      <c r="A2063" s="2" t="s">
        <v>2063</v>
      </c>
      <c r="B2063" s="2" t="str">
        <f>IFERROR(__xludf.DUMMYFUNCTION("GOOGLETRANSLATE(A2063, ""en"", ""mt"")"),"F'Mejju 2002, fejn tmur tindirizza l-Parlament?")</f>
        <v>F'Mejju 2002, fejn tmur tindirizza l-Parlament?</v>
      </c>
    </row>
    <row r="2064" ht="15.75" customHeight="1">
      <c r="A2064" s="2" t="s">
        <v>2064</v>
      </c>
      <c r="B2064" s="2" t="str">
        <f>IFERROR(__xludf.DUMMYFUNCTION("GOOGLETRANSLATE(A2064, ""en"", ""mt"")"),"MEDJEVAL")</f>
        <v>MEDJEVAL</v>
      </c>
    </row>
    <row r="2065" ht="15.75" customHeight="1">
      <c r="A2065" s="2" t="s">
        <v>2065</v>
      </c>
      <c r="B2065" s="2" t="str">
        <f>IFERROR(__xludf.DUMMYFUNCTION("GOOGLETRANSLATE(A2065, ""en"", ""mt"")"),"Forzi mhux konservattivi")</f>
        <v>Forzi mhux konservattivi</v>
      </c>
    </row>
    <row r="2066" ht="15.75" customHeight="1">
      <c r="A2066" s="2" t="s">
        <v>2066</v>
      </c>
      <c r="B2066" s="2" t="str">
        <f>IFERROR(__xludf.DUMMYFUNCTION("GOOGLETRANSLATE(A2066, ""en"", ""mt"")"),"Kemm korpi ta 'ilma jiffurmaw il-Lag Constance?")</f>
        <v>Kemm korpi ta 'ilma jiffurmaw il-Lag Constance?</v>
      </c>
    </row>
    <row r="2067" ht="15.75" customHeight="1">
      <c r="A2067" s="2" t="s">
        <v>2067</v>
      </c>
      <c r="B2067" s="2" t="str">
        <f>IFERROR(__xludf.DUMMYFUNCTION("GOOGLETRANSLATE(A2067, ""en"", ""mt"")"),"Martin")</f>
        <v>Martin</v>
      </c>
    </row>
    <row r="2068" ht="15.75" customHeight="1">
      <c r="A2068" s="2" t="s">
        <v>2068</v>
      </c>
      <c r="B2068" s="2" t="str">
        <f>IFERROR(__xludf.DUMMYFUNCTION("GOOGLETRANSLATE(A2068, ""en"", ""mt"")"),"Sal-1620 il-Huguenots kienu fuq id-difiża, u l-gvern dejjem applika pressjoni. Serje ta 'tliet gwerer ċivili żgħar magħrufa bħala r-ribelljonijiet Huguenot faqqgħu, l-aktar fil-Lbiċ ta' Franza, bejn l-1621 u l-1629. Revolted kontra l-Awtorità Rjali. Ir-re"&amp;"wwixta seħħet għaxar snin wara l-mewt ta 'Henry IV, Huguenot qabel ma kkonverta għall-Kattoliċiżmu, li kien ipproteġi lill-Protestanti permezz tal-editt ta' Nantes. Is-suċċessur tiegħu Louis XIII, taħt ir-regenza tal-omm Kattolika Taljana tiegħu Marie de "&amp;"'Medici, sar aktar intolleranti għall-Protestantiżmu. Il-Huguenots jirrispondu billi jistabbilixxu strutturi politiċi u militari indipendenti, jistabbilixxu kuntatti diplomatiċi ma 'poteri barranin, u jduru b'mod miftuħ kontra l-poter ċentrali. Ir-ribellj"&amp;"onijiet ġew imrażżna mill-kuruna Franċiża. [Ċitazzjoni meħtieġa]")</f>
        <v>Sal-1620 il-Huguenots kienu fuq id-difiża, u l-gvern dejjem applika pressjoni. Serje ta 'tliet gwerer ċivili żgħar magħrufa bħala r-ribelljonijiet Huguenot faqqgħu, l-aktar fil-Lbiċ ta' Franza, bejn l-1621 u l-1629. Revolted kontra l-Awtorità Rjali. Ir-rewwixta seħħet għaxar snin wara l-mewt ta 'Henry IV, Huguenot qabel ma kkonverta għall-Kattoliċiżmu, li kien ipproteġi lill-Protestanti permezz tal-editt ta' Nantes. Is-suċċessur tiegħu Louis XIII, taħt ir-regenza tal-omm Kattolika Taljana tiegħu Marie de 'Medici, sar aktar intolleranti għall-Protestantiżmu. Il-Huguenots jirrispondu billi jistabbilixxu strutturi politiċi u militari indipendenti, jistabbilixxu kuntatti diplomatiċi ma 'poteri barranin, u jduru b'mod miftuħ kontra l-poter ċentrali. Ir-ribelljonijiet ġew imrażżna mill-kuruna Franċiża. [Ċitazzjoni meħtieġa]</v>
      </c>
    </row>
    <row r="2069" ht="15.75" customHeight="1">
      <c r="A2069" s="2" t="s">
        <v>2069</v>
      </c>
      <c r="B2069" s="2" t="str">
        <f>IFERROR(__xludf.DUMMYFUNCTION("GOOGLETRANSLATE(A2069, ""en"", ""mt"")"),"kommutatur")</f>
        <v>kommutatur</v>
      </c>
    </row>
    <row r="2070" ht="15.75" customHeight="1">
      <c r="A2070" s="2" t="s">
        <v>2070</v>
      </c>
      <c r="B2070" s="2" t="str">
        <f>IFERROR(__xludf.DUMMYFUNCTION("GOOGLETRANSLATE(A2070, ""en"", ""mt"")"),"Ir-Reġina Victoria u l-Prinċep Albert")</f>
        <v>Ir-Reġina Victoria u l-Prinċep Albert</v>
      </c>
    </row>
    <row r="2071" ht="15.75" customHeight="1">
      <c r="A2071" s="2" t="s">
        <v>2071</v>
      </c>
      <c r="B2071" s="2" t="str">
        <f>IFERROR(__xludf.DUMMYFUNCTION("GOOGLETRANSLATE(A2071, ""en"", ""mt"")"),"kwozjent")</f>
        <v>kwozjent</v>
      </c>
    </row>
    <row r="2072" ht="15.75" customHeight="1">
      <c r="A2072" s="2" t="s">
        <v>2072</v>
      </c>
      <c r="B2072" s="2" t="str">
        <f>IFERROR(__xludf.DUMMYFUNCTION("GOOGLETRANSLATE(A2072, ""en"", ""mt"")"),"Melanchthon x’sejjaħ iż-żwieġ?")</f>
        <v>Melanchthon x’sejjaħ iż-żwieġ?</v>
      </c>
    </row>
    <row r="2073" ht="15.75" customHeight="1">
      <c r="A2073" s="2" t="s">
        <v>2073</v>
      </c>
      <c r="B2073" s="2" t="str">
        <f>IFERROR(__xludf.DUMMYFUNCTION("GOOGLETRANSLATE(A2073, ""en"", ""mt"")"),"Li taċċetta l-ħabs b'mod penitenti bħala adeżjoni għal 'Ir-Regoli' hija li taqleb f'daqqa għal spirtu ta 'sussistenza")</f>
        <v>Li taċċetta l-ħabs b'mod penitenti bħala adeżjoni għal 'Ir-Regoli' hija li taqleb f'daqqa għal spirtu ta 'sussistenza</v>
      </c>
    </row>
    <row r="2074" ht="15.75" customHeight="1">
      <c r="A2074" s="2" t="s">
        <v>2074</v>
      </c>
      <c r="B2074" s="2" t="str">
        <f>IFERROR(__xludf.DUMMYFUNCTION("GOOGLETRANSLATE(A2074, ""en"", ""mt"")"),"Duisburg")</f>
        <v>Duisburg</v>
      </c>
    </row>
    <row r="2075" ht="15.75" customHeight="1">
      <c r="A2075" s="2" t="s">
        <v>2075</v>
      </c>
      <c r="B2075" s="2" t="str">
        <f>IFERROR(__xludf.DUMMYFUNCTION("GOOGLETRANSLATE(A2075, ""en"", ""mt"")"),"Huma ""applikabbli direttament fl-istati membri kollha""")</f>
        <v>Huma "applikabbli direttament fl-istati membri kollha"</v>
      </c>
    </row>
    <row r="2076" ht="15.75" customHeight="1">
      <c r="A2076" s="2" t="s">
        <v>2076</v>
      </c>
      <c r="B2076" s="2" t="str">
        <f>IFERROR(__xludf.DUMMYFUNCTION("GOOGLETRANSLATE(A2076, ""en"", ""mt"")"),"X’għamel l-editt għal Huguenots fi Franza?")</f>
        <v>X’għamel l-editt għal Huguenots fi Franza?</v>
      </c>
    </row>
    <row r="2077" ht="15.75" customHeight="1">
      <c r="A2077" s="2" t="s">
        <v>2077</v>
      </c>
      <c r="B2077" s="2" t="str">
        <f>IFERROR(__xludf.DUMMYFUNCTION("GOOGLETRANSLATE(A2077, ""en"", ""mt"")"),"Min ippresieda l-assemblea?")</f>
        <v>Min ippresieda l-assemblea?</v>
      </c>
    </row>
    <row r="2078" ht="15.75" customHeight="1">
      <c r="A2078" s="2" t="s">
        <v>2078</v>
      </c>
      <c r="B2078" s="2" t="str">
        <f>IFERROR(__xludf.DUMMYFUNCTION("GOOGLETRANSLATE(A2078, ""en"", ""mt"")"),"distruttiv")</f>
        <v>distruttiv</v>
      </c>
    </row>
    <row r="2079" ht="15.75" customHeight="1">
      <c r="A2079" s="2" t="s">
        <v>2079</v>
      </c>
      <c r="B2079" s="2" t="str">
        <f>IFERROR(__xludf.DUMMYFUNCTION("GOOGLETRANSLATE(A2079, ""en"", ""mt"")"),"Taħt liema każijiet l-individwi jistgħu jiddependu fuq il-liġi primarja fil-Qorti tal-Ġustizzja tal-Unjoni Ewropea?")</f>
        <v>Taħt liema każijiet l-individwi jistgħu jiddependu fuq il-liġi primarja fil-Qorti tal-Ġustizzja tal-Unjoni Ewropea?</v>
      </c>
    </row>
    <row r="2080" ht="15.75" customHeight="1">
      <c r="A2080" s="2" t="s">
        <v>2080</v>
      </c>
      <c r="B2080" s="2" t="str">
        <f>IFERROR(__xludf.DUMMYFUNCTION("GOOGLETRANSLATE(A2080, ""en"", ""mt"")"),"X'inhu mekkaniżmu li jista 'jgħin lill-pjanti jimblokkaw ir-replikazzjoni tal-virus?")</f>
        <v>X'inhu mekkaniżmu li jista 'jgħin lill-pjanti jimblokkaw ir-replikazzjoni tal-virus?</v>
      </c>
    </row>
    <row r="2081" ht="15.75" customHeight="1">
      <c r="A2081" s="2" t="s">
        <v>2081</v>
      </c>
      <c r="B2081" s="2" t="str">
        <f>IFERROR(__xludf.DUMMYFUNCTION("GOOGLETRANSLATE(A2081, ""en"", ""mt"")"),"515 miljun sena")</f>
        <v>515 miljun sena</v>
      </c>
    </row>
    <row r="2082" ht="15.75" customHeight="1">
      <c r="A2082" s="2" t="s">
        <v>2082</v>
      </c>
      <c r="B2082" s="2" t="str">
        <f>IFERROR(__xludf.DUMMYFUNCTION("GOOGLETRANSLATE(A2082, ""en"", ""mt"")"),"Dwar liema Super Bowl tkellem Roger Goodell?")</f>
        <v>Dwar liema Super Bowl tkellem Roger Goodell?</v>
      </c>
    </row>
    <row r="2083" ht="15.75" customHeight="1">
      <c r="A2083" s="2" t="s">
        <v>2083</v>
      </c>
      <c r="B2083" s="2" t="str">
        <f>IFERROR(__xludf.DUMMYFUNCTION("GOOGLETRANSLATE(A2083, ""en"", ""mt"")"),"la qed jagħmlu sforz massimu u lanqas jiksbu r-riżultati meħtieġa")</f>
        <v>la qed jagħmlu sforz massimu u lanqas jiksbu r-riżultati meħtieġa</v>
      </c>
    </row>
    <row r="2084" ht="15.75" customHeight="1">
      <c r="A2084" s="2" t="s">
        <v>2084</v>
      </c>
      <c r="B2084" s="2" t="str">
        <f>IFERROR(__xludf.DUMMYFUNCTION("GOOGLETRANSLATE(A2084, ""en"", ""mt"")"),"X'inhu t-terminu modern għall-politiki Mongoljani li jappoġġjaw il-kummerċ u l-komunikazzjoni?")</f>
        <v>X'inhu t-terminu modern għall-politiki Mongoljani li jappoġġjaw il-kummerċ u l-komunikazzjoni?</v>
      </c>
    </row>
    <row r="2085" ht="15.75" customHeight="1">
      <c r="A2085" s="2" t="s">
        <v>2085</v>
      </c>
      <c r="B2085" s="2" t="str">
        <f>IFERROR(__xludf.DUMMYFUNCTION("GOOGLETRANSLATE(A2085, ""en"", ""mt"")"),"Kundizzjonijiet ta 'ħażna, testi obbligatorji, tagħmir, eċċ.")</f>
        <v>Kundizzjonijiet ta 'ħażna, testi obbligatorji, tagħmir, eċċ.</v>
      </c>
    </row>
    <row r="2086" ht="15.75" customHeight="1">
      <c r="A2086" s="2" t="s">
        <v>2086</v>
      </c>
      <c r="B2086" s="2" t="str">
        <f>IFERROR(__xludf.DUMMYFUNCTION("GOOGLETRANSLATE(A2086, ""en"", ""mt"")"),"Minn xiex ġej l-isem tar-Rhine?")</f>
        <v>Minn xiex ġej l-isem tar-Rhine?</v>
      </c>
    </row>
    <row r="2087" ht="15.75" customHeight="1">
      <c r="A2087" s="2" t="s">
        <v>2087</v>
      </c>
      <c r="B2087" s="2" t="str">
        <f>IFERROR(__xludf.DUMMYFUNCTION("GOOGLETRANSLATE(A2087, ""en"", ""mt"")"),"Ir-ribelljoni hija ħafna iktar distruttiva")</f>
        <v>Ir-ribelljoni hija ħafna iktar distruttiva</v>
      </c>
    </row>
    <row r="2088" ht="15.75" customHeight="1">
      <c r="A2088" s="2" t="s">
        <v>2088</v>
      </c>
      <c r="B2088" s="2" t="str">
        <f>IFERROR(__xludf.DUMMYFUNCTION("GOOGLETRANSLATE(A2088, ""en"", ""mt"")"),"Għal liema seklu huwa l-beaker tal-ħġieġ imsejjaħ xortih ta 'Edenhall datat?")</f>
        <v>Għal liema seklu huwa l-beaker tal-ħġieġ imsejjaħ xortih ta 'Edenhall datat?</v>
      </c>
    </row>
    <row r="2089" ht="15.75" customHeight="1">
      <c r="A2089" s="2" t="s">
        <v>2089</v>
      </c>
      <c r="B2089" s="2" t="str">
        <f>IFERROR(__xludf.DUMMYFUNCTION("GOOGLETRANSLATE(A2089, ""en"", ""mt"")"),"Robert Nozick argumenta li l-gvern jerġa 'jqassam il-ġid bil-forza (ġeneralment fil-forma ta' tassazzjoni), u li s-soċjetà morali ideali tkun waħda fejn l-individwi kollha huma ħielsa mill-forza. Madankollu, Nozick irrikonoxxa li xi inugwaljanzi ekonomiċi"&amp;" moderni kienu r-riżultat ta 'teħid qawwi ta' propjetà, u ċertu ammont ta 'tqassim mill-ġdid ikun iġġustifikat li jikkumpensa għal din il-forza iżda mhux minħabba l-inugwaljanzi nfushom. John Rawls argumenta fit-teorija tal-ġustizzja li l-inugwaljanzi fid"&amp;"-distribuzzjoni tal-ġid huma ġustifikati biss meta jtejbu s-soċjetà kollha, inklużi l-ifqar membri. Rawls ma jiddiskutix l-implikazzjonijiet sħaħ tat-teorija tal-ġustizzja tiegħu. Xi wħud jaraw l-argument ta 'Rawls bħala ġustifikazzjoni għall-kapitaliżmu "&amp;"peress li anke l-ifqar membri tas-soċjetà teoretikament jibbenefikaw minn innovazzjonijiet miżjuda taħt il-kapitaliżmu; Oħrajn jemmnu li stat ta 'benesseri qawwi biss jista' jissodisfa t-teorija tal-ġustizzja ta 'Rawls.")</f>
        <v>Robert Nozick argumenta li l-gvern jerġa 'jqassam il-ġid bil-forza (ġeneralment fil-forma ta' tassazzjoni), u li s-soċjetà morali ideali tkun waħda fejn l-individwi kollha huma ħielsa mill-forza. Madankollu, Nozick irrikonoxxa li xi inugwaljanzi ekonomiċi moderni kienu r-riżultat ta 'teħid qawwi ta' propjetà, u ċertu ammont ta 'tqassim mill-ġdid ikun iġġustifikat li jikkumpensa għal din il-forza iżda mhux minħabba l-inugwaljanzi nfushom. John Rawls argumenta fit-teorija tal-ġustizzja li l-inugwaljanzi fid-distribuzzjoni tal-ġid huma ġustifikati biss meta jtejbu s-soċjetà kollha, inklużi l-ifqar membri. Rawls ma jiddiskutix l-implikazzjonijiet sħaħ tat-teorija tal-ġustizzja tiegħu. Xi wħud jaraw l-argument ta 'Rawls bħala ġustifikazzjoni għall-kapitaliżmu peress li anke l-ifqar membri tas-soċjetà teoretikament jibbenefikaw minn innovazzjonijiet miżjuda taħt il-kapitaliżmu; Oħrajn jemmnu li stat ta 'benesseri qawwi biss jista' jissodisfa t-teorija tal-ġustizzja ta 'Rawls.</v>
      </c>
    </row>
    <row r="2090" ht="15.75" customHeight="1">
      <c r="A2090" s="2" t="s">
        <v>2090</v>
      </c>
      <c r="B2090" s="2" t="str">
        <f>IFERROR(__xludf.DUMMYFUNCTION("GOOGLETRANSLATE(A2090, ""en"", ""mt"")"),"Ir-rwol fit-tixrid tal-għarfien dwar, u l-aċċess għan-netwerking nazzjonali u kien pass importanti fit-triq għall-iżvilupp tal-internet globali")</f>
        <v>Ir-rwol fit-tixrid tal-għarfien dwar, u l-aċċess għan-netwerking nazzjonali u kien pass importanti fit-triq għall-iżvilupp tal-internet globali</v>
      </c>
    </row>
    <row r="2091" ht="15.75" customHeight="1">
      <c r="A2091" s="2" t="s">
        <v>2091</v>
      </c>
      <c r="B2091" s="2" t="str">
        <f>IFERROR(__xludf.DUMMYFUNCTION("GOOGLETRANSLATE(A2091, ""en"", ""mt"")"),"Meta kienet il-pesta l-kbira ta 'Londra?")</f>
        <v>Meta kienet il-pesta l-kbira ta 'Londra?</v>
      </c>
    </row>
    <row r="2092" ht="15.75" customHeight="1">
      <c r="A2092" s="2" t="s">
        <v>2092</v>
      </c>
      <c r="B2092" s="2" t="str">
        <f>IFERROR(__xludf.DUMMYFUNCTION("GOOGLETRANSLATE(A2092, ""en"", ""mt"")"),"Sas-6 seklu, ir-Renu kien fil-fruntieri ta ’Francia. Fid-9, hija ffurmat parti mill-fruntiera bejn in-nofs u l-punent ta 'Francia, iżda fis-seklu 10, kienet kompletament fl-Imperu Ruman qaddis, li tgħaddi minn Swabia, Franconja u Lorraine t'isfel. Il-ħalq"&amp;" tar-Renu, fil-kontea ta 'l-Olanda, waqgħu lejn l-Olanda tal-Burgundjani fis-seklu 15; L-Olanda baqgħet territorju kontenzjuż matul il-Gwerer tar-Reliġjon Ewropej u l-kollass eventwali tal-Imperu Ruman Imqaddes, meta t-tul tar-Renu waqa 'għall-ewwel Imper"&amp;"u Franċiż u l-istati tal-klijenti tiegħu. L-Alsace fuq il-banek tax-xellug tar-Renu ta ’Fuq inbiegħ lil Burgundy mill-Archduke Sigismund tal-Awstrija fl-1469 u eventwalment waqa’ għal Franza fil-gwerra tat-tletin sena. Il-bosta kastelli storiċi fir-Rhinel"&amp;"and-palatite jixhdu l-importanza tax-xmara bħala rotta kummerċjali.")</f>
        <v>Sas-6 seklu, ir-Renu kien fil-fruntieri ta ’Francia. Fid-9, hija ffurmat parti mill-fruntiera bejn in-nofs u l-punent ta 'Francia, iżda fis-seklu 10, kienet kompletament fl-Imperu Ruman qaddis, li tgħaddi minn Swabia, Franconja u Lorraine t'isfel. Il-ħalq tar-Renu, fil-kontea ta 'l-Olanda, waqgħu lejn l-Olanda tal-Burgundjani fis-seklu 15; L-Olanda baqgħet territorju kontenzjuż matul il-Gwerer tar-Reliġjon Ewropej u l-kollass eventwali tal-Imperu Ruman Imqaddes, meta t-tul tar-Renu waqa 'għall-ewwel Imperu Franċiż u l-istati tal-klijenti tiegħu. L-Alsace fuq il-banek tax-xellug tar-Renu ta ’Fuq inbiegħ lil Burgundy mill-Archduke Sigismund tal-Awstrija fl-1469 u eventwalment waqa’ għal Franza fil-gwerra tat-tletin sena. Il-bosta kastelli storiċi fir-Rhineland-palatite jixhdu l-importanza tax-xmara bħala rotta kummerċjali.</v>
      </c>
    </row>
    <row r="2093" ht="15.75" customHeight="1">
      <c r="A2093" s="2" t="s">
        <v>2093</v>
      </c>
      <c r="B2093" s="2" t="str">
        <f>IFERROR(__xludf.DUMMYFUNCTION("GOOGLETRANSLATE(A2093, ""en"", ""mt"")"),"X'inhu isem ieħor għan-naħa tal-punent ta 'Fresno?")</f>
        <v>X'inhu isem ieħor għan-naħa tal-punent ta 'Fresno?</v>
      </c>
    </row>
    <row r="2094" ht="15.75" customHeight="1">
      <c r="A2094" s="2" t="s">
        <v>2094</v>
      </c>
      <c r="B2094" s="2" t="str">
        <f>IFERROR(__xludf.DUMMYFUNCTION("GOOGLETRANSLATE(A2094, ""en"", ""mt"")"),"10 ta ’Awwissu, 1948")</f>
        <v>10 ta ’Awwissu, 1948</v>
      </c>
    </row>
    <row r="2095" ht="15.75" customHeight="1">
      <c r="A2095" s="2" t="s">
        <v>2095</v>
      </c>
      <c r="B2095" s="2" t="str">
        <f>IFERROR(__xludf.DUMMYFUNCTION("GOOGLETRANSLATE(A2095, ""en"", ""mt"")"),"mid-dejta disponibbli")</f>
        <v>mid-dejta disponibbli</v>
      </c>
    </row>
    <row r="2096" ht="15.75" customHeight="1">
      <c r="A2096" s="2" t="s">
        <v>2096</v>
      </c>
      <c r="B2096" s="2" t="str">
        <f>IFERROR(__xludf.DUMMYFUNCTION("GOOGLETRANSLATE(A2096, ""en"", ""mt"")"),"Crosscountry")</f>
        <v>Crosscountry</v>
      </c>
    </row>
    <row r="2097" ht="15.75" customHeight="1">
      <c r="A2097" s="2" t="s">
        <v>2097</v>
      </c>
      <c r="B2097" s="2" t="str">
        <f>IFERROR(__xludf.DUMMYFUNCTION("GOOGLETRANSLATE(A2097, ""en"", ""mt"")"),"Ix-xebh ta 'min hemm fuq id-denominazzjonijiet ikbar tal-munita Mongoljana?")</f>
        <v>Ix-xebh ta 'min hemm fuq id-denominazzjonijiet ikbar tal-munita Mongoljana?</v>
      </c>
    </row>
    <row r="2098" ht="15.75" customHeight="1">
      <c r="A2098" s="2" t="s">
        <v>2098</v>
      </c>
      <c r="B2098" s="2" t="str">
        <f>IFERROR(__xludf.DUMMYFUNCTION("GOOGLETRANSLATE(A2098, ""en"", ""mt"")"),"Il-kollezzjoni tal-iskultura fil-V &amp; A hija l-iktar azjenda komprensiva ta 'skultura Ewropea post-klassika fid-dinja. Hemm madwar 22,000 oġġett fil-kollezzjoni li jkopru l-perjodu minn madwar 400 AD sa l-1914. Dan ikopri fost perjodi oħra skulturi Biżanti"&amp;"ni u Anglo-Saxon Avorju, statwi u tinqix medjevali Ingliżi, Franċiżi u Spanjoli, ir-rinaxximent, barokk, neo-klassiku, Perjodi Vittorjani u Art Nouveau. L-użi kollha tal-iskultura huma rappreżentati, mill-qabar u t-tifkira, għal ritratt, allegoriċi, reliġ"&amp;"jużi, mitiċi, statwi għall-ġonna inklużi funtani, kif ukoll dekorazzjonijiet arkitettoniċi. Materjali użati jinkludu, irħam, alabastru, ġebla, terracotta, injam (storja ta 'tinqix tal-injam), avorju, gesso, ġibs, bronż, ċomb u ċeramika.")</f>
        <v>Il-kollezzjoni tal-iskultura fil-V &amp; A hija l-iktar azjenda komprensiva ta 'skultura Ewropea post-klassika fid-dinja. Hemm madwar 22,000 oġġett fil-kollezzjoni li jkopru l-perjodu minn madwar 400 AD sa l-1914. Dan ikopri fost perjodi oħra skulturi Biżantini u Anglo-Saxon Avorju, statwi u tinqix medjevali Ingliżi, Franċiżi u Spanjoli, ir-rinaxximent, barokk, neo-klassiku, Perjodi Vittorjani u Art Nouveau. L-użi kollha tal-iskultura huma rappreżentati, mill-qabar u t-tifkira, għal ritratt, allegoriċi, reliġjużi, mitiċi, statwi għall-ġonna inklużi funtani, kif ukoll dekorazzjonijiet arkitettoniċi. Materjali użati jinkludu, irħam, alabastru, ġebla, terracotta, injam (storja ta 'tinqix tal-injam), avorju, gesso, ġibs, bronż, ċomb u ċeramika.</v>
      </c>
    </row>
    <row r="2099" ht="15.75" customHeight="1">
      <c r="A2099" s="2" t="s">
        <v>2099</v>
      </c>
      <c r="B2099" s="2" t="str">
        <f>IFERROR(__xludf.DUMMYFUNCTION("GOOGLETRANSLATE(A2099, ""en"", ""mt"")"),"Kemm punti ċedew id-difiża tal-Panthers?")</f>
        <v>Kemm punti ċedew id-difiża tal-Panthers?</v>
      </c>
    </row>
    <row r="2100" ht="15.75" customHeight="1">
      <c r="A2100" s="2" t="s">
        <v>2100</v>
      </c>
      <c r="B2100" s="2" t="str">
        <f>IFERROR(__xludf.DUMMYFUNCTION("GOOGLETRANSLATE(A2100, ""en"", ""mt"")"),"Iċ-ċomb plugs fusibbli")</f>
        <v>Iċ-ċomb plugs fusibbli</v>
      </c>
    </row>
    <row r="2101" ht="15.75" customHeight="1">
      <c r="A2101" s="2" t="s">
        <v>2101</v>
      </c>
      <c r="B2101" s="2" t="str">
        <f>IFERROR(__xludf.DUMMYFUNCTION("GOOGLETRANSLATE(A2101, ""en"", ""mt"")"),"Fit-teorija taċ-ċirku, il-kunċett ta 'numru ġeneralment jinbidel ma' dak ta 'ideal. L-ideali ewlenin, li jiġġeneralizzaw l-elementi ewlenin fis-sens li l-ideali prinċipali ġġenerat minn element ewlieni huwa ideali ewlieni, huma għodda importanti u oġġett "&amp;"ta 'studju fl-alġebra kommutattiva, teorija ta' numri alġebriċi u ġeometrija alġebrika. L-ideali ewlenin taċ-ċirku ta 'numri interi huma l-ideali (0), (2), (3), (5), (7), (11), ... it-teorema fundamentali ta' l-aritmetika tiġġeneralizza għat-teorema Laske"&amp;"r-Noether, li Jesprimi kull ideali f'ċirku kommutattiv Noeterjan bħala intersezzjoni ta 'ideali primarji, li huma l-ġeneralizzazzjonijiet xierqa tal-poteri ewlenin.")</f>
        <v>Fit-teorija taċ-ċirku, il-kunċett ta 'numru ġeneralment jinbidel ma' dak ta 'ideal. L-ideali ewlenin, li jiġġeneralizzaw l-elementi ewlenin fis-sens li l-ideali prinċipali ġġenerat minn element ewlieni huwa ideali ewlieni, huma għodda importanti u oġġett ta 'studju fl-alġebra kommutattiva, teorija ta' numri alġebriċi u ġeometrija alġebrika. L-ideali ewlenin taċ-ċirku ta 'numri interi huma l-ideali (0), (2), (3), (5), (7), (11), ... it-teorema fundamentali ta' l-aritmetika tiġġeneralizza għat-teorema Lasker-Noether, li Jesprimi kull ideali f'ċirku kommutattiv Noeterjan bħala intersezzjoni ta 'ideali primarji, li huma l-ġeneralizzazzjonijiet xierqa tal-poteri ewlenin.</v>
      </c>
    </row>
    <row r="2102" ht="15.75" customHeight="1">
      <c r="A2102" s="2" t="s">
        <v>2102</v>
      </c>
      <c r="B2102" s="2" t="str">
        <f>IFERROR(__xludf.DUMMYFUNCTION("GOOGLETRANSLATE(A2102, ""en"", ""mt"")"),"Art Kontinentali 1600-1800")</f>
        <v>Art Kontinentali 1600-1800</v>
      </c>
    </row>
    <row r="2103" ht="15.75" customHeight="1">
      <c r="A2103" s="2" t="s">
        <v>2103</v>
      </c>
      <c r="B2103" s="2" t="str">
        <f>IFERROR(__xludf.DUMMYFUNCTION("GOOGLETRANSLATE(A2103, ""en"", ""mt"")"),"(~ 11,600 bp")</f>
        <v>(~ 11,600 bp</v>
      </c>
    </row>
    <row r="2104" ht="15.75" customHeight="1">
      <c r="A2104" s="2" t="s">
        <v>2104</v>
      </c>
      <c r="B2104" s="2" t="str">
        <f>IFERROR(__xludf.DUMMYFUNCTION("GOOGLETRANSLATE(A2104, ""en"", ""mt"")"),"Il-kosta tat-teknoloġija hija moniker li kiseb l-użu bħala deskrittur għat-teknoloġija diversifikata tar-reġjun u l-bażi industrijali kif ukoll għall-għadd kbir ta 'universitajiet ta' riċerka prestiġjużi u ta 'fama dinjija u istituzzjonijiet pubbliċi u pr"&amp;"ivati ​​oħra. Fost dawn jinkludu 5 kampus tal-Università ta ’Kalifornja (Irvine, Los Angeles, Riverside, Santa Barbara, u San Diego); 12 Kampus tal-Università ta 'l-Istat ta' Kalifornja (Bakersfield, Channel Islands, Dominguez Hills, Fullerton, Los Angele"&amp;"s, Long Beach, Northridge, Pomona, San Bernardino, San Diego, San Marcos, u San Luis Obispo); u istituzzjonijiet privati ​​bħall-Istitut tat-Teknoloġija ta 'California, Chapman University, The Claremont College (Claremont McKenna College, Harvey Mudd Coll"&amp;"ege, Pitzer College, Pomona College, u Scripps College), Loma Linda University, Loyola Marymount University, Occidental College, Pepperdine University , Università ta ’Redlands, Università ta’ San Diego, u l-Università tan-Nofsinhar ta ’California.")</f>
        <v>Il-kosta tat-teknoloġija hija moniker li kiseb l-użu bħala deskrittur għat-teknoloġija diversifikata tar-reġjun u l-bażi industrijali kif ukoll għall-għadd kbir ta 'universitajiet ta' riċerka prestiġjużi u ta 'fama dinjija u istituzzjonijiet pubbliċi u privati ​​oħra. Fost dawn jinkludu 5 kampus tal-Università ta ’Kalifornja (Irvine, Los Angeles, Riverside, Santa Barbara, u San Diego); 12 Kampus tal-Università ta 'l-Istat ta' Kalifornja (Bakersfield, Channel Islands, Dominguez Hills, Fullerton, Los Angeles, Long Beach, Northridge, Pomona, San Bernardino, San Diego, San Marcos, u San Luis Obispo); u istituzzjonijiet privati ​​bħall-Istitut tat-Teknoloġija ta 'California, Chapman University, The Claremont College (Claremont McKenna College, Harvey Mudd College, Pitzer College, Pomona College, u Scripps College), Loma Linda University, Loyola Marymount University, Occidental College, Pepperdine University , Università ta ’Redlands, Università ta’ San Diego, u l-Università tan-Nofsinhar ta ’California.</v>
      </c>
    </row>
    <row r="2105" ht="15.75" customHeight="1">
      <c r="A2105" s="2" t="s">
        <v>2105</v>
      </c>
      <c r="B2105" s="2" t="str">
        <f>IFERROR(__xludf.DUMMYFUNCTION("GOOGLETRANSLATE(A2105, ""en"", ""mt"")"),"Presbiterjan")</f>
        <v>Presbiterjan</v>
      </c>
    </row>
    <row r="2106" ht="15.75" customHeight="1">
      <c r="A2106" s="2" t="s">
        <v>2106</v>
      </c>
      <c r="B2106" s="2" t="str">
        <f>IFERROR(__xludf.DUMMYFUNCTION("GOOGLETRANSLATE(A2106, ""en"", ""mt"")"),"Liema talk show segwa immedjatament wara Super Bowl 50 fuq CBS?")</f>
        <v>Liema talk show segwa immedjatament wara Super Bowl 50 fuq CBS?</v>
      </c>
    </row>
    <row r="2107" ht="15.75" customHeight="1">
      <c r="A2107" s="2" t="s">
        <v>2107</v>
      </c>
      <c r="B2107" s="2" t="str">
        <f>IFERROR(__xludf.DUMMYFUNCTION("GOOGLETRANSLATE(A2107, ""en"", ""mt"")"),"Fotosintesi")</f>
        <v>Fotosintesi</v>
      </c>
    </row>
    <row r="2108" ht="15.75" customHeight="1">
      <c r="A2108" s="2" t="s">
        <v>2108</v>
      </c>
      <c r="B2108" s="2" t="str">
        <f>IFERROR(__xludf.DUMMYFUNCTION("GOOGLETRANSLATE(A2108, ""en"", ""mt"")"),"Tyneside")</f>
        <v>Tyneside</v>
      </c>
    </row>
    <row r="2109" ht="15.75" customHeight="1">
      <c r="A2109" s="2" t="s">
        <v>2109</v>
      </c>
      <c r="B2109" s="2" t="str">
        <f>IFERROR(__xludf.DUMMYFUNCTION("GOOGLETRANSLATE(A2109, ""en"", ""mt"")"),"biex tuża l-proċeduri bħala forum")</f>
        <v>biex tuża l-proċeduri bħala forum</v>
      </c>
    </row>
    <row r="2110" ht="15.75" customHeight="1">
      <c r="A2110" s="2" t="s">
        <v>2110</v>
      </c>
      <c r="B2110" s="2" t="str">
        <f>IFERROR(__xludf.DUMMYFUNCTION("GOOGLETRANSLATE(A2110, ""en"", ""mt"")"),"Liema kumpanija ġiet magħżula biex tibni sistema ta 'distribuzzjoni AC f'Niagara Falls?")</f>
        <v>Liema kumpanija ġiet magħżula biex tibni sistema ta 'distribuzzjoni AC f'Niagara Falls?</v>
      </c>
    </row>
    <row r="2111" ht="15.75" customHeight="1">
      <c r="A2111" s="2" t="s">
        <v>2111</v>
      </c>
      <c r="B2111" s="2" t="str">
        <f>IFERROR(__xludf.DUMMYFUNCTION("GOOGLETRANSLATE(A2111, ""en"", ""mt"")"),"Min hu t-trofew li jidher fuq il-logo imsemmi għalih?")</f>
        <v>Min hu t-trofew li jidher fuq il-logo imsemmi għalih?</v>
      </c>
    </row>
    <row r="2112" ht="15.75" customHeight="1">
      <c r="A2112" s="2" t="s">
        <v>2112</v>
      </c>
      <c r="B2112" s="2" t="str">
        <f>IFERROR(__xludf.DUMMYFUNCTION("GOOGLETRANSLATE(A2112, ""en"", ""mt"")"),"Il-problema tal-isomorfiżmu tal-graff hija l-problema tal-komputazzjoni li tiddetermina jekk żewġ graffs finiti humiex isomorfi. Problema importanti mhux solvuta fit-teorija tal-kumplessità hija jekk il-problema tal-isomorfiżmu tal-graff hijiex f'P, NP-Co"&amp;"mplete, jew NP-Intermedjat. It-tweġiba mhix magħrufa, iżda huwa maħsub li l-problema hija tal-inqas mhux NP-kompluta. Jekk l-isomorfiżmu tal-graff huwa NP-komplut, il-ġerarkija tal-ħin polinomjali tiġġarraf għat-tieni livell tagħha. Peress li huwa maħsub "&amp;"ħafna li l-ġerarkija polinomjali ma tiġġarrafx għal ebda livell finit, huwa maħsub li l-isomorfiżmu tal-graff mhuwiex NP-komplut. L-aħjar algoritmu għal din il-problema, minħabba Laszlo Babai u Eugene Luks għandu ħin 2o (√ (n log (n))) għal graffs bi vert"&amp;"iċi N.")</f>
        <v>Il-problema tal-isomorfiżmu tal-graff hija l-problema tal-komputazzjoni li tiddetermina jekk żewġ graffs finiti humiex isomorfi. Problema importanti mhux solvuta fit-teorija tal-kumplessità hija jekk il-problema tal-isomorfiżmu tal-graff hijiex f'P, NP-Complete, jew NP-Intermedjat. It-tweġiba mhix magħrufa, iżda huwa maħsub li l-problema hija tal-inqas mhux NP-kompluta. Jekk l-isomorfiżmu tal-graff huwa NP-komplut, il-ġerarkija tal-ħin polinomjali tiġġarraf għat-tieni livell tagħha. Peress li huwa maħsub ħafna li l-ġerarkija polinomjali ma tiġġarrafx għal ebda livell finit, huwa maħsub li l-isomorfiżmu tal-graff mhuwiex NP-komplut. L-aħjar algoritmu għal din il-problema, minħabba Laszlo Babai u Eugene Luks għandu ħin 2o (√ (n log (n))) għal graffs bi vertiċi N.</v>
      </c>
    </row>
    <row r="2113" ht="15.75" customHeight="1">
      <c r="A2113" s="2" t="s">
        <v>2113</v>
      </c>
      <c r="B2113" s="2" t="str">
        <f>IFERROR(__xludf.DUMMYFUNCTION("GOOGLETRANSLATE(A2113, ""en"", ""mt"")"),"1, 2, u n")</f>
        <v>1, 2, u n</v>
      </c>
    </row>
    <row r="2114" ht="15.75" customHeight="1">
      <c r="A2114" s="2" t="s">
        <v>2114</v>
      </c>
      <c r="B2114" s="2" t="str">
        <f>IFERROR(__xludf.DUMMYFUNCTION("GOOGLETRANSLATE(A2114, ""en"", ""mt"")"),"Xi jfisser il-fwar iġġenerat minn pjanta tal-enerġija nukleari?")</f>
        <v>Xi jfisser il-fwar iġġenerat minn pjanta tal-enerġija nukleari?</v>
      </c>
    </row>
    <row r="2115" ht="15.75" customHeight="1">
      <c r="A2115" s="2" t="s">
        <v>2115</v>
      </c>
      <c r="B2115" s="2" t="str">
        <f>IFERROR(__xludf.DUMMYFUNCTION("GOOGLETRANSLATE(A2115, ""en"", ""mt"")"),"Kemm huma għoljin ir-reġjuni alpini tar-Rabat?")</f>
        <v>Kemm huma għoljin ir-reġjuni alpini tar-Rabat?</v>
      </c>
    </row>
    <row r="2116" ht="15.75" customHeight="1">
      <c r="A2116" s="2" t="s">
        <v>2116</v>
      </c>
      <c r="B2116" s="2" t="str">
        <f>IFERROR(__xludf.DUMMYFUNCTION("GOOGLETRANSLATE(A2116, ""en"", ""mt"")"),"Meta ngħatat l-amnestija lil dawk responsabbli għall-massakru?")</f>
        <v>Meta ngħatat l-amnestija lil dawk responsabbli għall-massakru?</v>
      </c>
    </row>
    <row r="2117" ht="15.75" customHeight="1">
      <c r="A2117" s="2" t="s">
        <v>2117</v>
      </c>
      <c r="B2117" s="2" t="str">
        <f>IFERROR(__xludf.DUMMYFUNCTION("GOOGLETRANSLATE(A2117, ""en"", ""mt"")"),"Ming u Qing")</f>
        <v>Ming u Qing</v>
      </c>
    </row>
    <row r="2118" ht="15.75" customHeight="1">
      <c r="A2118" s="2" t="s">
        <v>2118</v>
      </c>
      <c r="B2118" s="2" t="str">
        <f>IFERROR(__xludf.DUMMYFUNCTION("GOOGLETRANSLATE(A2118, ""en"", ""mt"")"),"Maid Alice Monaghan")</f>
        <v>Maid Alice Monaghan</v>
      </c>
    </row>
    <row r="2119" ht="15.75" customHeight="1">
      <c r="A2119" s="2" t="s">
        <v>2119</v>
      </c>
      <c r="B2119" s="2" t="str">
        <f>IFERROR(__xludf.DUMMYFUNCTION("GOOGLETRANSLATE(A2119, ""en"", ""mt"")"),"Il-kriżi naqqset id-domanda għal karozzi kbar. Importazzjonijiet Ġappuniżi, primarjament it-Toyota Corona, it-Toyota Corolla, id-Datsun B210, id-Datsun 510, il-Honda Civic, il-Galant Mitsubishi (importazzjoni maqbuda minn Chrysler mibjugħa bħala d-Dodge C"&amp;"olt) Kellhom erba 'magni taċ-ċilindru li kienu aktar effiċjenti fil-fjuwil mill-magni tipiċi Amerikani V8 u sitt ċilindri. L-importazzjonijiet Ġappuniżi saru mexxejja tas-suq bil-kostruzzjoni unibody u drive tar-roti ta 'quddiem, li saru standards de fact"&amp;"o.")</f>
        <v>Il-kriżi naqqset id-domanda għal karozzi kbar. Importazzjonijiet Ġappuniżi, primarjament it-Toyota Corona, it-Toyota Corolla, id-Datsun B210, id-Datsun 510, il-Honda Civic, il-Galant Mitsubishi (importazzjoni maqbuda minn Chrysler mibjugħa bħala d-Dodge Colt) Kellhom erba 'magni taċ-ċilindru li kienu aktar effiċjenti fil-fjuwil mill-magni tipiċi Amerikani V8 u sitt ċilindri. L-importazzjonijiet Ġappuniżi saru mexxejja tas-suq bil-kostruzzjoni unibody u drive tar-roti ta 'quddiem, li saru standards de facto.</v>
      </c>
    </row>
    <row r="2120" ht="15.75" customHeight="1">
      <c r="A2120" s="2" t="s">
        <v>2120</v>
      </c>
      <c r="B2120" s="2" t="str">
        <f>IFERROR(__xludf.DUMMYFUNCTION("GOOGLETRANSLATE(A2120, ""en"", ""mt"")"),"Tfal li servew bħala messaġġiera u truppi ta 'quddiem fir-rewwixta ta' Varsavja")</f>
        <v>Tfal li servew bħala messaġġiera u truppi ta 'quddiem fir-rewwixta ta' Varsavja</v>
      </c>
    </row>
    <row r="2121" ht="15.75" customHeight="1">
      <c r="A2121" s="2" t="s">
        <v>2121</v>
      </c>
      <c r="B2121" s="2" t="str">
        <f>IFERROR(__xludf.DUMMYFUNCTION("GOOGLETRANSLATE(A2121, ""en"", ""mt"")"),"L-Ekonomija tad-Dinja")</f>
        <v>L-Ekonomija tad-Dinja</v>
      </c>
    </row>
    <row r="2122" ht="15.75" customHeight="1">
      <c r="A2122" s="2" t="s">
        <v>2122</v>
      </c>
      <c r="B2122" s="2" t="str">
        <f>IFERROR(__xludf.DUMMYFUNCTION("GOOGLETRANSLATE(A2122, ""en"", ""mt"")"),"Ritratt tal-ħsieb")</f>
        <v>Ritratt tal-ħsieb</v>
      </c>
    </row>
    <row r="2123" ht="15.75" customHeight="1">
      <c r="A2123" s="2" t="s">
        <v>2123</v>
      </c>
      <c r="B2123" s="2" t="str">
        <f>IFERROR(__xludf.DUMMYFUNCTION("GOOGLETRANSLATE(A2123, ""en"", ""mt"")"),"Kemm korsijiet iridu jżommu l-universitarji għall-istatus full-time?")</f>
        <v>Kemm korsijiet iridu jżommu l-universitarji għall-istatus full-time?</v>
      </c>
    </row>
    <row r="2124" ht="15.75" customHeight="1">
      <c r="A2124" s="2" t="s">
        <v>2124</v>
      </c>
      <c r="B2124" s="2" t="str">
        <f>IFERROR(__xludf.DUMMYFUNCTION("GOOGLETRANSLATE(A2124, ""en"", ""mt"")"),"Xi Ċiniżi qiesu l-wan bħala dinastija leġittima, imma x’kienu jaħsbuha Ċiniżi oħra?")</f>
        <v>Xi Ċiniżi qiesu l-wan bħala dinastija leġittima, imma x’kienu jaħsbuha Ċiniżi oħra?</v>
      </c>
    </row>
    <row r="2125" ht="15.75" customHeight="1">
      <c r="A2125" s="2" t="s">
        <v>2125</v>
      </c>
      <c r="B2125" s="2" t="str">
        <f>IFERROR(__xludf.DUMMYFUNCTION("GOOGLETRANSLATE(A2125, ""en"", ""mt"")"),"Kif tista 'tiġi indirizzata l-inugwaljanza umana mingħajr ma tirriżulta f'żieda ta' ħsara ambjentali?")</f>
        <v>Kif tista 'tiġi indirizzata l-inugwaljanza umana mingħajr ma tirriżulta f'żieda ta' ħsara ambjentali?</v>
      </c>
    </row>
    <row r="2126" ht="15.75" customHeight="1">
      <c r="A2126" s="2" t="s">
        <v>2126</v>
      </c>
      <c r="B2126" s="2" t="str">
        <f>IFERROR(__xludf.DUMMYFUNCTION("GOOGLETRANSLATE(A2126, ""en"", ""mt"")"),"Liema sena lagħbu Super Bowl fiż-Żona tal-Bajja madwar San Francisco, qabel Super Bowl 50?")</f>
        <v>Liema sena lagħbu Super Bowl fiż-Żona tal-Bajja madwar San Francisco, qabel Super Bowl 50?</v>
      </c>
    </row>
    <row r="2127" ht="15.75" customHeight="1">
      <c r="A2127" s="2" t="s">
        <v>2127</v>
      </c>
      <c r="B2127" s="2" t="str">
        <f>IFERROR(__xludf.DUMMYFUNCTION("GOOGLETRANSLATE(A2127, ""en"", ""mt"")"),"Adattat malajr u spiss miżżewweġ barra l-komunitajiet Franċiżi immedjati tagħhom")</f>
        <v>Adattat malajr u spiss miżżewweġ barra l-komunitajiet Franċiżi immedjati tagħhom</v>
      </c>
    </row>
    <row r="2128" ht="15.75" customHeight="1">
      <c r="A2128" s="2" t="s">
        <v>2128</v>
      </c>
      <c r="B2128" s="2" t="str">
        <f>IFERROR(__xludf.DUMMYFUNCTION("GOOGLETRANSLATE(A2128, ""en"", ""mt"")"),"simboliku")</f>
        <v>simboliku</v>
      </c>
    </row>
    <row r="2129" ht="15.75" customHeight="1">
      <c r="A2129" s="2" t="s">
        <v>2129</v>
      </c>
      <c r="B2129" s="2" t="str">
        <f>IFERROR(__xludf.DUMMYFUNCTION("GOOGLETRANSLATE(A2129, ""en"", ""mt"")"),"Madwar 0.9%")</f>
        <v>Madwar 0.9%</v>
      </c>
    </row>
    <row r="2130" ht="15.75" customHeight="1">
      <c r="A2130" s="2" t="s">
        <v>2130</v>
      </c>
      <c r="B2130" s="2" t="str">
        <f>IFERROR(__xludf.DUMMYFUNCTION("GOOGLETRANSLATE(A2130, ""en"", ""mt"")"),"Min qal li l-kitba ta 'deskrizzjoni tajba tad-diżubbidjenza ċivili hija diffiċli?")</f>
        <v>Min qal li l-kitba ta 'deskrizzjoni tajba tad-diżubbidjenza ċivili hija diffiċli?</v>
      </c>
    </row>
    <row r="2131" ht="15.75" customHeight="1">
      <c r="A2131" s="2" t="s">
        <v>2131</v>
      </c>
      <c r="B2131" s="2" t="str">
        <f>IFERROR(__xludf.DUMMYFUNCTION("GOOGLETRANSLATE(A2131, ""en"", ""mt"")"),"X'inhu li tikser liġi li mhix l-għan tal-protesta msejħa?")</f>
        <v>X'inhu li tikser liġi li mhix l-għan tal-protesta msejħa?</v>
      </c>
    </row>
    <row r="2132" ht="15.75" customHeight="1">
      <c r="A2132" s="2" t="s">
        <v>2132</v>
      </c>
      <c r="B2132" s="2" t="str">
        <f>IFERROR(__xludf.DUMMYFUNCTION("GOOGLETRANSLATE(A2132, ""en"", ""mt"")"),"ikkawża ħsara dejjiema")</f>
        <v>ikkawża ħsara dejjiema</v>
      </c>
    </row>
    <row r="2133" ht="15.75" customHeight="1">
      <c r="A2133" s="2" t="s">
        <v>2133</v>
      </c>
      <c r="B2133" s="2" t="str">
        <f>IFERROR(__xludf.DUMMYFUNCTION("GOOGLETRANSLATE(A2133, ""en"", ""mt"")"),"Fejn jittrasferixxu l-ġeni nukleomorfi?")</f>
        <v>Fejn jittrasferixxu l-ġeni nukleomorfi?</v>
      </c>
    </row>
    <row r="2134" ht="15.75" customHeight="1">
      <c r="A2134" s="2" t="s">
        <v>2134</v>
      </c>
      <c r="B2134" s="2" t="str">
        <f>IFERROR(__xludf.DUMMYFUNCTION("GOOGLETRANSLATE(A2134, ""en"", ""mt"")"),"weraq tar-rmied")</f>
        <v>weraq tar-rmied</v>
      </c>
    </row>
    <row r="2135" ht="15.75" customHeight="1">
      <c r="A2135" s="2" t="s">
        <v>2135</v>
      </c>
      <c r="B2135" s="2" t="str">
        <f>IFERROR(__xludf.DUMMYFUNCTION("GOOGLETRANSLATE(A2135, ""en"", ""mt"")"),"Regolament Globali Ibbażat fuq il-Protokoll ta 'Montreal")</f>
        <v>Regolament Globali Ibbażat fuq il-Protokoll ta 'Montreal</v>
      </c>
    </row>
    <row r="2136" ht="15.75" customHeight="1">
      <c r="A2136" s="2" t="s">
        <v>2136</v>
      </c>
      <c r="B2136" s="2" t="str">
        <f>IFERROR(__xludf.DUMMYFUNCTION("GOOGLETRANSLATE(A2136, ""en"", ""mt"")"),"Liema Florida Stadium kien ikkunsidrat għas-Super Bowl 50?")</f>
        <v>Liema Florida Stadium kien ikkunsidrat għas-Super Bowl 50?</v>
      </c>
    </row>
    <row r="2137" ht="15.75" customHeight="1">
      <c r="A2137" s="2" t="s">
        <v>2137</v>
      </c>
      <c r="B2137" s="2" t="str">
        <f>IFERROR(__xludf.DUMMYFUNCTION("GOOGLETRANSLATE(A2137, ""en"", ""mt"")"),"Liema sena l-imperu Khwarezmian waqa 'għal Genghis Khan?")</f>
        <v>Liema sena l-imperu Khwarezmian waqa 'għal Genghis Khan?</v>
      </c>
    </row>
    <row r="2138" ht="15.75" customHeight="1">
      <c r="A2138" s="2" t="s">
        <v>2138</v>
      </c>
      <c r="B2138" s="2" t="str">
        <f>IFERROR(__xludf.DUMMYFUNCTION("GOOGLETRANSLATE(A2138, ""en"", ""mt"")"),"diżarm ġenerali u komplut")</f>
        <v>diżarm ġenerali u komplut</v>
      </c>
    </row>
    <row r="2139" ht="15.75" customHeight="1">
      <c r="A2139" s="2" t="s">
        <v>2139</v>
      </c>
      <c r="B2139" s="2" t="str">
        <f>IFERROR(__xludf.DUMMYFUNCTION("GOOGLETRANSLATE(A2139, ""en"", ""mt"")"),"Np")</f>
        <v>Np</v>
      </c>
    </row>
    <row r="2140" ht="15.75" customHeight="1">
      <c r="A2140" s="2" t="s">
        <v>2140</v>
      </c>
      <c r="B2140" s="2" t="str">
        <f>IFERROR(__xludf.DUMMYFUNCTION("GOOGLETRANSLATE(A2140, ""en"", ""mt"")"),"Min waqqaf McKinsey &amp; Company?")</f>
        <v>Min waqqaf McKinsey &amp; Company?</v>
      </c>
    </row>
    <row r="2141" ht="15.75" customHeight="1">
      <c r="A2141" s="2" t="s">
        <v>2141</v>
      </c>
      <c r="B2141" s="2" t="str">
        <f>IFERROR(__xludf.DUMMYFUNCTION("GOOGLETRANSLATE(A2141, ""en"", ""mt"")"),"Meta nħolqot il-Knisja Metodista Magħquda?")</f>
        <v>Meta nħolqot il-Knisja Metodista Magħquda?</v>
      </c>
    </row>
    <row r="2142" ht="15.75" customHeight="1">
      <c r="A2142" s="2" t="s">
        <v>2142</v>
      </c>
      <c r="B2142" s="2" t="str">
        <f>IFERROR(__xludf.DUMMYFUNCTION("GOOGLETRANSLATE(A2142, ""en"", ""mt"")"),"X'inhi l-effiċjenza teoretika ta 'Carnot ta' turbina?")</f>
        <v>X'inhi l-effiċjenza teoretika ta 'Carnot ta' turbina?</v>
      </c>
    </row>
    <row r="2143" ht="15.75" customHeight="1">
      <c r="A2143" s="2" t="s">
        <v>2143</v>
      </c>
      <c r="B2143" s="2" t="str">
        <f>IFERROR(__xludf.DUMMYFUNCTION("GOOGLETRANSLATE(A2143, ""en"", ""mt"")"),"Fejn tinsab 97% tal-popolazzjoni?")</f>
        <v>Fejn tinsab 97% tal-popolazzjoni?</v>
      </c>
    </row>
    <row r="2144" ht="15.75" customHeight="1">
      <c r="A2144" s="2" t="s">
        <v>2144</v>
      </c>
      <c r="B2144" s="2" t="str">
        <f>IFERROR(__xludf.DUMMYFUNCTION("GOOGLETRANSLATE(A2144, ""en"", ""mt"")"),"X’għamel Stephen Kemble li jiggwida t-Teatru Royal?")</f>
        <v>X’għamel Stephen Kemble li jiggwida t-Teatru Royal?</v>
      </c>
    </row>
    <row r="2145" ht="15.75" customHeight="1">
      <c r="A2145" s="2" t="s">
        <v>2145</v>
      </c>
      <c r="B2145" s="2" t="str">
        <f>IFERROR(__xludf.DUMMYFUNCTION("GOOGLETRANSLATE(A2145, ""en"", ""mt"")"),"Min lagħbu l-Panthers biex javvanzaw għas-Super Bowl?")</f>
        <v>Min lagħbu l-Panthers biex javvanzaw għas-Super Bowl?</v>
      </c>
    </row>
    <row r="2146" ht="15.75" customHeight="1">
      <c r="A2146" s="2" t="s">
        <v>2146</v>
      </c>
      <c r="B2146" s="2" t="str">
        <f>IFERROR(__xludf.DUMMYFUNCTION("GOOGLETRANSLATE(A2146, ""en"", ""mt"")"),"Hemm ħafna primes infinitament, kif muri mill-Ewklide madwar 300 QK. M'hemm l-ebda formula sempliċi magħrufa li tifred in-numri ewlenin minn numri komposti. Madankollu, id-distribuzzjoni tal-primes, jiġifieri, l-imġieba statistika tal-primes fil-kbir, tis"&amp;"ta 'tkun immudellata. L-ewwel riżultat f'dik id-direzzjoni huwa t-teorema tan-numru ewlieni, ippruvat fl-aħħar tas-seklu 19, li jgħid li l-probabbiltà li n-numru magħżul mogħti bl-addoċċ huwa prim huwa inversament proporzjonali għan-numru ta 'ċifri tiegħu"&amp;", jew għall-logaritmu ta' n.")</f>
        <v>Hemm ħafna primes infinitament, kif muri mill-Ewklide madwar 300 QK. M'hemm l-ebda formula sempliċi magħrufa li tifred in-numri ewlenin minn numri komposti. Madankollu, id-distribuzzjoni tal-primes, jiġifieri, l-imġieba statistika tal-primes fil-kbir, tista 'tkun immudellata. L-ewwel riżultat f'dik id-direzzjoni huwa t-teorema tan-numru ewlieni, ippruvat fl-aħħar tas-seklu 19, li jgħid li l-probabbiltà li n-numru magħżul mogħti bl-addoċċ huwa prim huwa inversament proporzjonali għan-numru ta 'ċifri tiegħu, jew għall-logaritmu ta' n.</v>
      </c>
    </row>
    <row r="2147" ht="15.75" customHeight="1">
      <c r="A2147" s="2" t="s">
        <v>2147</v>
      </c>
      <c r="B2147" s="2" t="str">
        <f>IFERROR(__xludf.DUMMYFUNCTION("GOOGLETRANSLATE(A2147, ""en"", ""mt"")"),"Min ta donazzjoni lill-Università ta 'Chicago?")</f>
        <v>Min ta donazzjoni lill-Università ta 'Chicago?</v>
      </c>
    </row>
    <row r="2148" ht="15.75" customHeight="1">
      <c r="A2148" s="2" t="s">
        <v>2148</v>
      </c>
      <c r="B2148" s="2" t="str">
        <f>IFERROR(__xludf.DUMMYFUNCTION("GOOGLETRANSLATE(A2148, ""en"", ""mt"")"),"X'inhi kwistjoni waħda li żżid mal-kumplessità ta 'xogħol ta' spiżjar?")</f>
        <v>X'inhi kwistjoni waħda li żżid mal-kumplessità ta 'xogħol ta' spiżjar?</v>
      </c>
    </row>
    <row r="2149" ht="15.75" customHeight="1">
      <c r="A2149" s="2" t="s">
        <v>2149</v>
      </c>
      <c r="B2149" s="2" t="str">
        <f>IFERROR(__xludf.DUMMYFUNCTION("GOOGLETRANSLATE(A2149, ""en"", ""mt"")"),"Ftit qtar")</f>
        <v>Ftit qtar</v>
      </c>
    </row>
    <row r="2150" ht="15.75" customHeight="1">
      <c r="A2150" s="2" t="s">
        <v>2150</v>
      </c>
      <c r="B2150" s="2" t="str">
        <f>IFERROR(__xludf.DUMMYFUNCTION("GOOGLETRANSLATE(A2150, ""en"", ""mt"")"),"Xi jfisser l-uffiċjal li jippresiedi jipprova jikseb bilanċ bejn il-kelliema?")</f>
        <v>Xi jfisser l-uffiċjal li jippresiedi jipprova jikseb bilanċ bejn il-kelliema?</v>
      </c>
    </row>
    <row r="2151" ht="15.75" customHeight="1">
      <c r="A2151" s="2" t="s">
        <v>2151</v>
      </c>
      <c r="B2151" s="2" t="str">
        <f>IFERROR(__xludf.DUMMYFUNCTION("GOOGLETRANSLATE(A2151, ""en"", ""mt"")"),"Qrati Nazzjonali")</f>
        <v>Qrati Nazzjonali</v>
      </c>
    </row>
    <row r="2152" ht="15.75" customHeight="1">
      <c r="A2152" s="2" t="s">
        <v>2152</v>
      </c>
      <c r="B2152" s="2" t="str">
        <f>IFERROR(__xludf.DUMMYFUNCTION("GOOGLETRANSLATE(A2152, ""en"", ""mt"")"),"X’tagħmel ħsara lill-kamera tat-TV bil-kulur li Apollo 12 kien ħa l-ispazju?")</f>
        <v>X’tagħmel ħsara lill-kamera tat-TV bil-kulur li Apollo 12 kien ħa l-ispazju?</v>
      </c>
    </row>
    <row r="2153" ht="15.75" customHeight="1">
      <c r="A2153" s="2" t="s">
        <v>2153</v>
      </c>
      <c r="B2153" s="2" t="str">
        <f>IFERROR(__xludf.DUMMYFUNCTION("GOOGLETRANSLATE(A2153, ""en"", ""mt"")"),"Vince Lombardi")</f>
        <v>Vince Lombardi</v>
      </c>
    </row>
    <row r="2154" ht="15.75" customHeight="1">
      <c r="A2154" s="2" t="s">
        <v>2154</v>
      </c>
      <c r="B2154" s="2" t="str">
        <f>IFERROR(__xludf.DUMMYFUNCTION("GOOGLETRANSLATE(A2154, ""en"", ""mt"")"),"Tliet kuntratti ta 'studju")</f>
        <v>Tliet kuntratti ta 'studju</v>
      </c>
    </row>
    <row r="2155" ht="15.75" customHeight="1">
      <c r="A2155" s="2" t="s">
        <v>2155</v>
      </c>
      <c r="B2155" s="2" t="str">
        <f>IFERROR(__xludf.DUMMYFUNCTION("GOOGLETRANSLATE(A2155, ""en"", ""mt"")"),"1773")</f>
        <v>1773</v>
      </c>
    </row>
    <row r="2156" ht="15.75" customHeight="1">
      <c r="A2156" s="2" t="s">
        <v>2156</v>
      </c>
      <c r="B2156" s="2" t="str">
        <f>IFERROR(__xludf.DUMMYFUNCTION("GOOGLETRANSLATE(A2156, ""en"", ""mt"")"),"Aġitazzjoni żbaljata")</f>
        <v>Aġitazzjoni żbaljata</v>
      </c>
    </row>
    <row r="2157" ht="15.75" customHeight="1">
      <c r="A2157" s="2" t="s">
        <v>2157</v>
      </c>
      <c r="B2157" s="2" t="str">
        <f>IFERROR(__xludf.DUMMYFUNCTION("GOOGLETRANSLATE(A2157, ""en"", ""mt"")"),"Il-gazzetta Times")</f>
        <v>Il-gazzetta Times</v>
      </c>
    </row>
    <row r="2158" ht="15.75" customHeight="1">
      <c r="A2158" s="2" t="s">
        <v>2158</v>
      </c>
      <c r="B2158" s="2" t="str">
        <f>IFERROR(__xludf.DUMMYFUNCTION("GOOGLETRANSLATE(A2158, ""en"", ""mt"")"),"760 mm (2 ft 6 in) Linji ta 'gauge dojoq")</f>
        <v>760 mm (2 ft 6 in) Linji ta 'gauge dojoq</v>
      </c>
    </row>
    <row r="2159" ht="15.75" customHeight="1">
      <c r="A2159" s="2" t="s">
        <v>2159</v>
      </c>
      <c r="B2159" s="2" t="str">
        <f>IFERROR(__xludf.DUMMYFUNCTION("GOOGLETRANSLATE(A2159, ""en"", ""mt"")"),"Il-gallerija tal-istrumenti mużikali għalqet il-25 ta ’Frar 2010, deċiżjoni li kienet kontroversjali ħafna. Petizzjoni online ta 'aktar minn 5,100 ismijiet fuq il-websajt Parlamentari wasslet biex Chris Smith jistaqsi lill-Parlament dwar il-futur tal-koll"&amp;"ezzjoni. It-tweġiba, minn Bryan Davies kienet li l-mużew kellu l-intenzjoni li jippreserva u jieħu ħsieb il-kollezzjoni u jżommha disponibbli għall-pubbliku, b'oġġetti jiġu mqassma mill-ġdid għall-galleriji Ingliżi, il-galleriji medjevali u tar-rinaxximen"&amp;"t, u l-galleriji ġodda ppjanati għall-għamara u l-Ewropa 1600-1800, u li l-Mużew Horniman u istituzzjonijiet oħra kienu kandidati possibbli għal self ta 'materjal biex jiżguraw li l-istrumenti jibqgħu pubblikament jidhru pubblikament. Il-Horniman kompla j"&amp;"ospita wirja konġunta mal-V &amp; A ta 'strumenti mużikali, u għandu s-self ta' 35 strument mill-mużew.")</f>
        <v>Il-gallerija tal-istrumenti mużikali għalqet il-25 ta ’Frar 2010, deċiżjoni li kienet kontroversjali ħafna. Petizzjoni online ta 'aktar minn 5,100 ismijiet fuq il-websajt Parlamentari wasslet biex Chris Smith jistaqsi lill-Parlament dwar il-futur tal-kollezzjoni. It-tweġiba, minn Bryan Davies kienet li l-mużew kellu l-intenzjoni li jippreserva u jieħu ħsieb il-kollezzjoni u jżommha disponibbli għall-pubbliku, b'oġġetti jiġu mqassma mill-ġdid għall-galleriji Ingliżi, il-galleriji medjevali u tar-rinaxximent, u l-galleriji ġodda ppjanati għall-għamara u l-Ewropa 1600-1800, u li l-Mużew Horniman u istituzzjonijiet oħra kienu kandidati possibbli għal self ta 'materjal biex jiżguraw li l-istrumenti jibqgħu pubblikament jidhru pubblikament. Il-Horniman kompla jospita wirja konġunta mal-V &amp; A ta 'strumenti mużikali, u għandu s-self ta' 35 strument mill-mużew.</v>
      </c>
    </row>
    <row r="2160" ht="15.75" customHeight="1">
      <c r="A2160" s="2" t="s">
        <v>2160</v>
      </c>
      <c r="B2160" s="2" t="str">
        <f>IFERROR(__xludf.DUMMYFUNCTION("GOOGLETRANSLATE(A2160, ""en"", ""mt"")"),"374")</f>
        <v>374</v>
      </c>
    </row>
    <row r="2161" ht="15.75" customHeight="1">
      <c r="A2161" s="2" t="s">
        <v>2161</v>
      </c>
      <c r="B2161" s="2" t="str">
        <f>IFERROR(__xludf.DUMMYFUNCTION("GOOGLETRANSLATE(A2161, ""en"", ""mt"")"),"sħana jew xrar")</f>
        <v>sħana jew xrar</v>
      </c>
    </row>
    <row r="2162" ht="15.75" customHeight="1">
      <c r="A2162" s="2" t="s">
        <v>2162</v>
      </c>
      <c r="B2162" s="2" t="str">
        <f>IFERROR(__xludf.DUMMYFUNCTION("GOOGLETRANSLATE(A2162, ""en"", ""mt"")"),"Meta bskyb waqqaf il-kaxxa tas-sema +?")</f>
        <v>Meta bskyb waqqaf il-kaxxa tas-sema +?</v>
      </c>
    </row>
    <row r="2163" ht="15.75" customHeight="1">
      <c r="A2163" s="2" t="s">
        <v>2163</v>
      </c>
      <c r="B2163" s="2" t="str">
        <f>IFERROR(__xludf.DUMMYFUNCTION("GOOGLETRANSLATE(A2163, ""en"", ""mt"")"),"Kif tissejjaħ iż-żona ħdejn il-Gorge tar-Rhine bil-kastelli mill-Medju Evu?")</f>
        <v>Kif tissejjaħ iż-żona ħdejn il-Gorge tar-Rhine bil-kastelli mill-Medju Evu?</v>
      </c>
    </row>
    <row r="2164" ht="15.75" customHeight="1">
      <c r="A2164" s="2" t="s">
        <v>2164</v>
      </c>
      <c r="B2164" s="2" t="str">
        <f>IFERROR(__xludf.DUMMYFUNCTION("GOOGLETRANSLATE(A2164, ""en"", ""mt"")"),", tagħmilha iktar diffiċli għal sistema biex tiffunzjona")</f>
        <v>, tagħmilha iktar diffiċli għal sistema biex tiffunzjona</v>
      </c>
    </row>
    <row r="2165" ht="15.75" customHeight="1">
      <c r="A2165" s="2" t="s">
        <v>2165</v>
      </c>
      <c r="B2165" s="2" t="str">
        <f>IFERROR(__xludf.DUMMYFUNCTION("GOOGLETRANSLATE(A2165, ""en"", ""mt"")"),"Min ifforma l-gvern fil-Kenja?")</f>
        <v>Min ifforma l-gvern fil-Kenja?</v>
      </c>
    </row>
    <row r="2166" ht="15.75" customHeight="1">
      <c r="A2166" s="2" t="s">
        <v>2166</v>
      </c>
      <c r="B2166" s="2" t="str">
        <f>IFERROR(__xludf.DUMMYFUNCTION("GOOGLETRANSLATE(A2166, ""en"", ""mt"")"),"Taqsima 30")</f>
        <v>Taqsima 30</v>
      </c>
    </row>
    <row r="2167" ht="15.75" customHeight="1">
      <c r="A2167" s="2" t="s">
        <v>2167</v>
      </c>
      <c r="B2167" s="2" t="str">
        <f>IFERROR(__xludf.DUMMYFUNCTION("GOOGLETRANSLATE(A2167, ""en"", ""mt"")"),"The Writers Guild of America")</f>
        <v>The Writers Guild of America</v>
      </c>
    </row>
    <row r="2168" ht="15.75" customHeight="1">
      <c r="A2168" s="2" t="s">
        <v>2168</v>
      </c>
      <c r="B2168" s="2" t="str">
        <f>IFERROR(__xludf.DUMMYFUNCTION("GOOGLETRANSLATE(A2168, ""en"", ""mt"")"),"ulied u neputijiet")</f>
        <v>ulied u neputijiet</v>
      </c>
    </row>
    <row r="2169" ht="15.75" customHeight="1">
      <c r="A2169" s="2" t="s">
        <v>2169</v>
      </c>
      <c r="B2169" s="2" t="str">
        <f>IFERROR(__xludf.DUMMYFUNCTION("GOOGLETRANSLATE(A2169, ""en"", ""mt"")"),"Dak li nfetaħ fit-30 ta 'Jannar fil-Plaza Justin Herman?")</f>
        <v>Dak li nfetaħ fit-30 ta 'Jannar fil-Plaza Justin Herman?</v>
      </c>
    </row>
    <row r="2170" ht="15.75" customHeight="1">
      <c r="A2170" s="2" t="s">
        <v>2170</v>
      </c>
      <c r="B2170" s="2" t="str">
        <f>IFERROR(__xludf.DUMMYFUNCTION("GOOGLETRANSLATE(A2170, ""en"", ""mt"")"),"is-suq tal-biċċier")</f>
        <v>is-suq tal-biċċier</v>
      </c>
    </row>
    <row r="2171" ht="15.75" customHeight="1">
      <c r="A2171" s="2" t="s">
        <v>2171</v>
      </c>
      <c r="B2171" s="2" t="str">
        <f>IFERROR(__xludf.DUMMYFUNCTION("GOOGLETRANSLATE(A2171, ""en"", ""mt"")"),"Il-battalja ntemmet inkonklussivament")</f>
        <v>Il-battalja ntemmet inkonklussivament</v>
      </c>
    </row>
    <row r="2172" ht="15.75" customHeight="1">
      <c r="A2172" s="2" t="s">
        <v>2172</v>
      </c>
      <c r="B2172" s="2" t="str">
        <f>IFERROR(__xludf.DUMMYFUNCTION("GOOGLETRANSLATE(A2172, ""en"", ""mt"")"),"Kif huwa spjegat Genghis Khan fit-Turkic?")</f>
        <v>Kif huwa spjegat Genghis Khan fit-Turkic?</v>
      </c>
    </row>
    <row r="2173" ht="15.75" customHeight="1">
      <c r="A2173" s="2" t="s">
        <v>2173</v>
      </c>
      <c r="B2173" s="2" t="str">
        <f>IFERROR(__xludf.DUMMYFUNCTION("GOOGLETRANSLATE(A2173, ""en"", ""mt"")"),"xulxin")</f>
        <v>xulxin</v>
      </c>
    </row>
    <row r="2174" ht="15.75" customHeight="1">
      <c r="A2174" s="2" t="s">
        <v>2174</v>
      </c>
      <c r="B2174" s="2" t="str">
        <f>IFERROR(__xludf.DUMMYFUNCTION("GOOGLETRANSLATE(A2174, ""en"", ""mt"")"),"Invażjoni tal-Gran Brittanja, biex tiġbed riżorsi Ingliżi 'l bogħod mill-Amerika ta' Fuq u l-kontinent Ewropew")</f>
        <v>Invażjoni tal-Gran Brittanja, biex tiġbed riżorsi Ingliżi 'l bogħod mill-Amerika ta' Fuq u l-kontinent Ewropew</v>
      </c>
    </row>
    <row r="2175" ht="15.75" customHeight="1">
      <c r="A2175" s="2" t="s">
        <v>2175</v>
      </c>
      <c r="B2175" s="2" t="str">
        <f>IFERROR(__xludf.DUMMYFUNCTION("GOOGLETRANSLATE(A2175, ""en"", ""mt"")"),"jifformalizza front unifikat fil-kummerċ u n-negozjati ma 'diversi Indjani")</f>
        <v>jifformalizza front unifikat fil-kummerċ u n-negozjati ma 'diversi Indjani</v>
      </c>
    </row>
    <row r="2176" ht="15.75" customHeight="1">
      <c r="A2176" s="2" t="s">
        <v>2176</v>
      </c>
      <c r="B2176" s="2" t="str">
        <f>IFERROR(__xludf.DUMMYFUNCTION("GOOGLETRANSLATE(A2176, ""en"", ""mt"")"),"L-aħħar 7000 sena")</f>
        <v>L-aħħar 7000 sena</v>
      </c>
    </row>
    <row r="2177" ht="15.75" customHeight="1">
      <c r="A2177" s="2" t="s">
        <v>2177</v>
      </c>
      <c r="B2177" s="2" t="str">
        <f>IFERROR(__xludf.DUMMYFUNCTION("GOOGLETRANSLATE(A2177, ""en"", ""mt"")"),"suċċess")</f>
        <v>suċċess</v>
      </c>
    </row>
    <row r="2178" ht="15.75" customHeight="1">
      <c r="A2178" s="2" t="s">
        <v>2178</v>
      </c>
      <c r="B2178" s="2" t="str">
        <f>IFERROR(__xludf.DUMMYFUNCTION("GOOGLETRANSLATE(A2178, ""en"", ""mt"")"),"1,142.9")</f>
        <v>1,142.9</v>
      </c>
    </row>
    <row r="2179" ht="15.75" customHeight="1">
      <c r="A2179" s="2" t="s">
        <v>2179</v>
      </c>
      <c r="B2179" s="2" t="str">
        <f>IFERROR(__xludf.DUMMYFUNCTION("GOOGLETRANSLATE(A2179, ""en"", ""mt"")"),"Għaxar Kmandamenti")</f>
        <v>Għaxar Kmandamenti</v>
      </c>
    </row>
    <row r="2180" ht="15.75" customHeight="1">
      <c r="A2180" s="2" t="s">
        <v>2180</v>
      </c>
      <c r="B2180" s="2" t="str">
        <f>IFERROR(__xludf.DUMMYFUNCTION("GOOGLETRANSLATE(A2180, ""en"", ""mt"")"),"Ġerarkija xierqa fuq il-klassijiet definiti")</f>
        <v>Ġerarkija xierqa fuq il-klassijiet definiti</v>
      </c>
    </row>
    <row r="2181" ht="15.75" customHeight="1">
      <c r="A2181" s="2" t="s">
        <v>2181</v>
      </c>
      <c r="B2181" s="2" t="str">
        <f>IFERROR(__xludf.DUMMYFUNCTION("GOOGLETRANSLATE(A2181, ""en"", ""mt"")"),"X'inhi l-forza bejn in-nukleoni?")</f>
        <v>X'inhi l-forza bejn in-nukleoni?</v>
      </c>
    </row>
    <row r="2182" ht="15.75" customHeight="1">
      <c r="A2182" s="2" t="s">
        <v>2182</v>
      </c>
      <c r="B2182" s="2" t="str">
        <f>IFERROR(__xludf.DUMMYFUNCTION("GOOGLETRANSLATE(A2182, ""en"", ""mt"")"),"1.7 miljun")</f>
        <v>1.7 miljun</v>
      </c>
    </row>
    <row r="2183" ht="15.75" customHeight="1">
      <c r="A2183" s="2" t="s">
        <v>2183</v>
      </c>
      <c r="B2183" s="2" t="str">
        <f>IFERROR(__xludf.DUMMYFUNCTION("GOOGLETRANSLATE(A2183, ""en"", ""mt"")"),"Immunità passiva")</f>
        <v>Immunità passiva</v>
      </c>
    </row>
    <row r="2184" ht="15.75" customHeight="1">
      <c r="A2184" s="2" t="s">
        <v>2184</v>
      </c>
      <c r="B2184" s="2" t="str">
        <f>IFERROR(__xludf.DUMMYFUNCTION("GOOGLETRANSLATE(A2184, ""en"", ""mt"")"),"Kemm hemm problemi teoretiċi kombinatorji u graff, li qabel kienu maħsuba li huma affetwati mill-intrattabilità, il-karta ta 'Karp indirizzat?")</f>
        <v>Kemm hemm problemi teoretiċi kombinatorji u graff, li qabel kienu maħsuba li huma affetwati mill-intrattabilità, il-karta ta 'Karp indirizzat?</v>
      </c>
    </row>
    <row r="2185" ht="15.75" customHeight="1">
      <c r="A2185" s="2" t="s">
        <v>2185</v>
      </c>
      <c r="B2185" s="2" t="str">
        <f>IFERROR(__xludf.DUMMYFUNCTION("GOOGLETRANSLATE(A2185, ""en"", ""mt"")"),"Kemm hemm nies li Apollo jistgħu jiġu pproġettati li jżommu?")</f>
        <v>Kemm hemm nies li Apollo jistgħu jiġu pproġettati li jżommu?</v>
      </c>
    </row>
    <row r="2186" ht="15.75" customHeight="1">
      <c r="A2186" s="2" t="s">
        <v>2186</v>
      </c>
      <c r="B2186" s="2" t="str">
        <f>IFERROR(__xludf.DUMMYFUNCTION("GOOGLETRANSLATE(A2186, ""en"", ""mt"")"),"Liema korp jikkostitwixxi l-Leġislatura Suprema tal-Iskozja?")</f>
        <v>Liema korp jikkostitwixxi l-Leġislatura Suprema tal-Iskozja?</v>
      </c>
    </row>
    <row r="2187" ht="15.75" customHeight="1">
      <c r="A2187" s="2" t="s">
        <v>2187</v>
      </c>
      <c r="B2187" s="2" t="str">
        <f>IFERROR(__xludf.DUMMYFUNCTION("GOOGLETRANSLATE(A2187, ""en"", ""mt"")"),"Liema Campaigh mexxa l-Partit Nazzjonali Skoċċiż (SNP)?")</f>
        <v>Liema Campaigh mexxa l-Partit Nazzjonali Skoċċiż (SNP)?</v>
      </c>
    </row>
    <row r="2188" ht="15.75" customHeight="1">
      <c r="A2188" s="2" t="s">
        <v>2188</v>
      </c>
      <c r="B2188" s="2" t="str">
        <f>IFERROR(__xludf.DUMMYFUNCTION("GOOGLETRANSLATE(A2188, ""en"", ""mt"")"),"Lamprey u Hagfish")</f>
        <v>Lamprey u Hagfish</v>
      </c>
    </row>
    <row r="2189" ht="15.75" customHeight="1">
      <c r="A2189" s="2" t="s">
        <v>2189</v>
      </c>
      <c r="B2189" s="2" t="str">
        <f>IFERROR(__xludf.DUMMYFUNCTION("GOOGLETRANSLATE(A2189, ""en"", ""mt"")"),"Liema klassi ta 'ċelloli T tirrikonoxxi antiġeni intatti li mhumiex assoċjati mar-riċetturi MHC?")</f>
        <v>Liema klassi ta 'ċelloli T tirrikonoxxi antiġeni intatti li mhumiex assoċjati mar-riċetturi MHC?</v>
      </c>
    </row>
    <row r="2190" ht="15.75" customHeight="1">
      <c r="A2190" s="2" t="s">
        <v>2190</v>
      </c>
      <c r="B2190" s="2" t="str">
        <f>IFERROR(__xludf.DUMMYFUNCTION("GOOGLETRANSLATE(A2190, ""en"", ""mt"")"),"Stat tas-saħħa tal-pjanti")</f>
        <v>Stat tas-saħħa tal-pjanti</v>
      </c>
    </row>
    <row r="2191" ht="15.75" customHeight="1">
      <c r="A2191" s="2" t="s">
        <v>2191</v>
      </c>
      <c r="B2191" s="2" t="str">
        <f>IFERROR(__xludf.DUMMYFUNCTION("GOOGLETRANSLATE(A2191, ""en"", ""mt"")"),"Il-konġettura ta 'Polignac")</f>
        <v>Il-konġettura ta 'Polignac</v>
      </c>
    </row>
    <row r="2192" ht="15.75" customHeight="1">
      <c r="A2192" s="2" t="s">
        <v>2192</v>
      </c>
      <c r="B2192" s="2" t="str">
        <f>IFERROR(__xludf.DUMMYFUNCTION("GOOGLETRANSLATE(A2192, ""en"", ""mt"")"),"aktar minn 19,000")</f>
        <v>aktar minn 19,000</v>
      </c>
    </row>
    <row r="2193" ht="15.75" customHeight="1">
      <c r="A2193" s="2" t="s">
        <v>2193</v>
      </c>
      <c r="B2193" s="2" t="str">
        <f>IFERROR(__xludf.DUMMYFUNCTION("GOOGLETRANSLATE(A2193, ""en"", ""mt"")"),"Aħżen u Qalb Quddiem")</f>
        <v>Aħżen u Qalb Quddiem</v>
      </c>
    </row>
    <row r="2194" ht="15.75" customHeight="1">
      <c r="A2194" s="2" t="s">
        <v>2194</v>
      </c>
      <c r="B2194" s="2" t="str">
        <f>IFERROR(__xludf.DUMMYFUNCTION("GOOGLETRANSLATE(A2194, ""en"", ""mt"")"),"Juri mingħajr ambigwità li Y. pestis kien l-aġent kawżattiv tal-pesta epidemika")</f>
        <v>Juri mingħajr ambigwità li Y. pestis kien l-aġent kawżattiv tal-pesta epidemika</v>
      </c>
    </row>
    <row r="2195" ht="15.75" customHeight="1">
      <c r="A2195" s="2" t="s">
        <v>2195</v>
      </c>
      <c r="B2195" s="2" t="str">
        <f>IFERROR(__xludf.DUMMYFUNCTION("GOOGLETRANSLATE(A2195, ""en"", ""mt"")"),"Mużika mill-ispeċjalitajiet 2008-2010")</f>
        <v>Mużika mill-ispeċjalitajiet 2008-2010</v>
      </c>
    </row>
    <row r="2196" ht="15.75" customHeight="1">
      <c r="A2196" s="2" t="s">
        <v>2196</v>
      </c>
      <c r="B2196" s="2" t="str">
        <f>IFERROR(__xludf.DUMMYFUNCTION("GOOGLETRANSLATE(A2196, ""en"", ""mt"")"),"emissjonijiet għal kull persuna")</f>
        <v>emissjonijiet għal kull persuna</v>
      </c>
    </row>
    <row r="2197" ht="15.75" customHeight="1">
      <c r="A2197" s="2" t="s">
        <v>2197</v>
      </c>
      <c r="B2197" s="2" t="str">
        <f>IFERROR(__xludf.DUMMYFUNCTION("GOOGLETRANSLATE(A2197, ""en"", ""mt"")"),"Min jispiċċa jkollna aktar mir-riżorsi tal-għalliem f'dan ix-xenarju?")</f>
        <v>Min jispiċċa jkollna aktar mir-riżorsi tal-għalliem f'dan ix-xenarju?</v>
      </c>
    </row>
    <row r="2198" ht="15.75" customHeight="1">
      <c r="A2198" s="2" t="s">
        <v>2198</v>
      </c>
      <c r="B2198" s="2" t="str">
        <f>IFERROR(__xludf.DUMMYFUNCTION("GOOGLETRANSLATE(A2198, ""en"", ""mt"")"),"għamel grad ta 'A għall-erba' snin kollha, u fuq kwalunkwe gradwat ieħor li ħa tnax-il ġimgħa studju addizzjonali fl-Università ta 'Chicago")</f>
        <v>għamel grad ta 'A għall-erba' snin kollha, u fuq kwalunkwe gradwat ieħor li ħa tnax-il ġimgħa studju addizzjonali fl-Università ta 'Chicago</v>
      </c>
    </row>
    <row r="2199" ht="15.75" customHeight="1">
      <c r="A2199" s="2" t="s">
        <v>2199</v>
      </c>
      <c r="B2199" s="2" t="str">
        <f>IFERROR(__xludf.DUMMYFUNCTION("GOOGLETRANSLATE(A2199, ""en"", ""mt"")"),"vapuri merkantili")</f>
        <v>vapuri merkantili</v>
      </c>
    </row>
    <row r="2200" ht="15.75" customHeight="1">
      <c r="A2200" s="2" t="s">
        <v>2200</v>
      </c>
      <c r="B2200" s="2" t="str">
        <f>IFERROR(__xludf.DUMMYFUNCTION("GOOGLETRANSLATE(A2200, ""en"", ""mt"")"),"Matul liema tip ta 'klima huwa l-ossiġenu 18 fl-ilma baħar f'livelli ogħla?")</f>
        <v>Matul liema tip ta 'klima huwa l-ossiġenu 18 fl-ilma baħar f'livelli ogħla?</v>
      </c>
    </row>
    <row r="2201" ht="15.75" customHeight="1">
      <c r="A2201" s="2" t="s">
        <v>2201</v>
      </c>
      <c r="B2201" s="2" t="str">
        <f>IFERROR(__xludf.DUMMYFUNCTION("GOOGLETRANSLATE(A2201, ""en"", ""mt"")"),"Meta Regola Temur?")</f>
        <v>Meta Regola Temur?</v>
      </c>
    </row>
    <row r="2202" ht="15.75" customHeight="1">
      <c r="A2202" s="2" t="s">
        <v>2202</v>
      </c>
      <c r="B2202" s="2" t="str">
        <f>IFERROR(__xludf.DUMMYFUNCTION("GOOGLETRANSLATE(A2202, ""en"", ""mt"")"),"Mewġ wieqaf")</f>
        <v>Mewġ wieqaf</v>
      </c>
    </row>
    <row r="2203" ht="15.75" customHeight="1">
      <c r="A2203" s="2" t="s">
        <v>2203</v>
      </c>
      <c r="B2203" s="2" t="str">
        <f>IFERROR(__xludf.DUMMYFUNCTION("GOOGLETRANSLATE(A2203, ""en"", ""mt"")"),"X'bidliet l-enerġiji tas-sistema magħluqa makroskopiċi?")</f>
        <v>X'bidliet l-enerġiji tas-sistema magħluqa makroskopiċi?</v>
      </c>
    </row>
    <row r="2204" ht="15.75" customHeight="1">
      <c r="A2204" s="2" t="s">
        <v>2204</v>
      </c>
      <c r="B2204" s="2" t="str">
        <f>IFERROR(__xludf.DUMMYFUNCTION("GOOGLETRANSLATE(A2204, ""en"", ""mt"")"),"Għal xiex kienu x.25 u relay tal-qafas użat")</f>
        <v>Għal xiex kienu x.25 u relay tal-qafas użat</v>
      </c>
    </row>
    <row r="2205" ht="15.75" customHeight="1">
      <c r="A2205" s="2" t="s">
        <v>2205</v>
      </c>
      <c r="B2205" s="2" t="str">
        <f>IFERROR(__xludf.DUMMYFUNCTION("GOOGLETRANSLATE(A2205, ""en"", ""mt"")"),"Ir-Renju Unit")</f>
        <v>Ir-Renju Unit</v>
      </c>
    </row>
    <row r="2206" ht="15.75" customHeight="1">
      <c r="A2206" s="2" t="s">
        <v>2206</v>
      </c>
      <c r="B2206" s="2" t="str">
        <f>IFERROR(__xludf.DUMMYFUNCTION("GOOGLETRANSLATE(A2206, ""en"", ""mt"")"),"Meta ġie meqrud il-laboratorju tiegħu?")</f>
        <v>Meta ġie meqrud il-laboratorju tiegħu?</v>
      </c>
    </row>
    <row r="2207" ht="15.75" customHeight="1">
      <c r="A2207" s="2" t="s">
        <v>2207</v>
      </c>
      <c r="B2207" s="2" t="str">
        <f>IFERROR(__xludf.DUMMYFUNCTION("GOOGLETRANSLATE(A2207, ""en"", ""mt"")"),"il-gvern u l-Assemblea Nazzjonali u s-Senat")</f>
        <v>il-gvern u l-Assemblea Nazzjonali u s-Senat</v>
      </c>
    </row>
    <row r="2208" ht="15.75" customHeight="1">
      <c r="A2208" s="2" t="s">
        <v>2208</v>
      </c>
      <c r="B2208" s="2" t="str">
        <f>IFERROR(__xludf.DUMMYFUNCTION("GOOGLETRANSLATE(A2208, ""en"", ""mt"")"),"Fejn kien hemm każijiet magħrufa ħafna ta 'kondotta ħażina tal-għalliema?")</f>
        <v>Fejn kien hemm każijiet magħrufa ħafna ta 'kondotta ħażina tal-għalliema?</v>
      </c>
    </row>
    <row r="2209" ht="15.75" customHeight="1">
      <c r="A2209" s="2" t="s">
        <v>2209</v>
      </c>
      <c r="B2209" s="2" t="str">
        <f>IFERROR(__xludf.DUMMYFUNCTION("GOOGLETRANSLATE(A2209, ""en"", ""mt"")"),"Fit-3 ta 'Settembru, 1958, is-serje Anthology Disneyland ġiet imdaħħla mill-ġdid Walt Disney tippreżenta hekk kif ġiet diżassoċjata mal-park tematiku tal-istess isem. Il-moviment fil-Westerns, li ABC huwa kkreditat talli beda, irrappreżenta ħamsa tas-serj"&amp;"e kollha ta 'żmien fuq it-televiżjoni Amerikana f'Jannar 1959, f'liema punt il-wirjiet tad-ditektif kienu qed jibdew jiżdiedu wkoll fil-popolarità. ABC talbet produzzjonijiet addizzjonali minn Disney. Fl-aħħar tal-1958, DeSilu Productions qabdet is-serje "&amp;"tad-ditektif tagħha The Untouchables to CBS; Wara dak in-netwerk ċaħad l-ispettaklu minħabba l-użu tiegħu tal-vjolenza, DeSilu mbagħad ippreżentah lil ABC, li aċċetta li jtellgħu l-ispettaklu, u ddebuttaw l-intouchables f'April 1959. Is-serje kompliet iss"&amp;"ir malajr ""immens popolari"".")</f>
        <v>Fit-3 ta 'Settembru, 1958, is-serje Anthology Disneyland ġiet imdaħħla mill-ġdid Walt Disney tippreżenta hekk kif ġiet diżassoċjata mal-park tematiku tal-istess isem. Il-moviment fil-Westerns, li ABC huwa kkreditat talli beda, irrappreżenta ħamsa tas-serje kollha ta 'żmien fuq it-televiżjoni Amerikana f'Jannar 1959, f'liema punt il-wirjiet tad-ditektif kienu qed jibdew jiżdiedu wkoll fil-popolarità. ABC talbet produzzjonijiet addizzjonali minn Disney. Fl-aħħar tal-1958, DeSilu Productions qabdet is-serje tad-ditektif tagħha The Untouchables to CBS; Wara dak in-netwerk ċaħad l-ispettaklu minħabba l-użu tiegħu tal-vjolenza, DeSilu mbagħad ippreżentah lil ABC, li aċċetta li jtellgħu l-ispettaklu, u ddebuttaw l-intouchables f'April 1959. Is-serje kompliet issir malajr "immens popolari".</v>
      </c>
    </row>
    <row r="2210" ht="15.75" customHeight="1">
      <c r="A2210" s="2" t="s">
        <v>2210</v>
      </c>
      <c r="B2210" s="2" t="str">
        <f>IFERROR(__xludf.DUMMYFUNCTION("GOOGLETRANSLATE(A2210, ""en"", ""mt"")"),"X’bnew bdew jagħmlu l-ħamrija tal-ħamrija ffriżata u l-glaċieri alpini estiżi?")</f>
        <v>X’bnew bdew jagħmlu l-ħamrija tal-ħamrija ffriżata u l-glaċieri alpini estiżi?</v>
      </c>
    </row>
    <row r="2211" ht="15.75" customHeight="1">
      <c r="A2211" s="2" t="s">
        <v>2211</v>
      </c>
      <c r="B2211" s="2" t="str">
        <f>IFERROR(__xludf.DUMMYFUNCTION("GOOGLETRANSLATE(A2211, ""en"", ""mt"")"),"X'inhu kwart ta 'Varsavja?")</f>
        <v>X'inhu kwart ta 'Varsavja?</v>
      </c>
    </row>
    <row r="2212" ht="15.75" customHeight="1">
      <c r="A2212" s="2" t="s">
        <v>2212</v>
      </c>
      <c r="B2212" s="2" t="str">
        <f>IFERROR(__xludf.DUMMYFUNCTION("GOOGLETRANSLATE(A2212, ""en"", ""mt"")"),"stat Musulman")</f>
        <v>stat Musulman</v>
      </c>
    </row>
    <row r="2213" ht="15.75" customHeight="1">
      <c r="A2213" s="2" t="s">
        <v>2213</v>
      </c>
      <c r="B2213" s="2" t="str">
        <f>IFERROR(__xludf.DUMMYFUNCTION("GOOGLETRANSLATE(A2213, ""en"", ""mt"")"),"L-apikoplasti tilfu l-funzjoni fotosintetika kollha, u ma fihom l-ebda pigmenti fotosintetiċi jew thylakoids veri. Huma mdawra b'erba 'membrani, iżda l-membrani mhumiex konnessi mar-retikolu endoplasmiku. Il-fatt li l-apicomplexans għadhom iżommu l-klorop"&amp;"last mhux fotosintetiku tagħhom juri kif il-kloroplast iwettaq funzjonijiet importanti għajr il-fotosintesi. Il-kloroplasti tal-pjanti jipprovdu ċelloli tal-pjanti b'ħafna affarijiet importanti minbarra z-zokkor, u l-apikoplasti mhumiex differenti - sinte"&amp;"tizzati aċidi grassi, isopentenyl pyrophosphate, raggruppamenti tal-kubrit tal-ħadid, u jwettqu parti mill-passaġġ tal-heme. Dan jagħmel l-apicoplast mira attraenti għall-mediċini biex tfejjaq mard relatat ma 'Apicomplexan. L-iktar funzjoni ta 'apikoplast"&amp;" importanti hija s-sinteżi ta' isopentenyl pyrophosphate - fil-fatt, apicomplexans imutu meta xi ħaġa tinterferixxi ma 'din il-funzjoni ta' apicoplast, u meta apicomplexans huma mkabbra f'medju b'ħafna isopentenyl pyrophosphate, huma jarmu l-organell.")</f>
        <v>L-apikoplasti tilfu l-funzjoni fotosintetika kollha, u ma fihom l-ebda pigmenti fotosintetiċi jew thylakoids veri. Huma mdawra b'erba 'membrani, iżda l-membrani mhumiex konnessi mar-retikolu endoplasmiku. Il-fatt li l-apicomplexans għadhom iżommu l-kloroplast mhux fotosintetiku tagħhom juri kif il-kloroplast iwettaq funzjonijiet importanti għajr il-fotosintesi. Il-kloroplasti tal-pjanti jipprovdu ċelloli tal-pjanti b'ħafna affarijiet importanti minbarra z-zokkor, u l-apikoplasti mhumiex differenti - sintetizzati aċidi grassi, isopentenyl pyrophosphate, raggruppamenti tal-kubrit tal-ħadid, u jwettqu parti mill-passaġġ tal-heme. Dan jagħmel l-apicoplast mira attraenti għall-mediċini biex tfejjaq mard relatat ma 'Apicomplexan. L-iktar funzjoni ta 'apikoplast importanti hija s-sinteżi ta' isopentenyl pyrophosphate - fil-fatt, apicomplexans imutu meta xi ħaġa tinterferixxi ma 'din il-funzjoni ta' apicoplast, u meta apicomplexans huma mkabbra f'medju b'ħafna isopentenyl pyrophosphate, huma jarmu l-organell.</v>
      </c>
    </row>
    <row r="2214" ht="15.75" customHeight="1">
      <c r="A2214" s="2" t="s">
        <v>2214</v>
      </c>
      <c r="B2214" s="2" t="str">
        <f>IFERROR(__xludf.DUMMYFUNCTION("GOOGLETRANSLATE(A2214, ""en"", ""mt"")"),"Kif tgħin l-immunità adattiva / akkwistata fil-futur?")</f>
        <v>Kif tgħin l-immunità adattiva / akkwistata fil-futur?</v>
      </c>
    </row>
    <row r="2215" ht="15.75" customHeight="1">
      <c r="A2215" s="2" t="s">
        <v>2215</v>
      </c>
      <c r="B2215" s="2" t="str">
        <f>IFERROR(__xludf.DUMMYFUNCTION("GOOGLETRANSLATE(A2215, ""en"", ""mt"")"),"Liema kittieb famuż kien il-ħabib tajjeb ta 'Tesla?")</f>
        <v>Liema kittieb famuż kien il-ħabib tajjeb ta 'Tesla?</v>
      </c>
    </row>
    <row r="2216" ht="15.75" customHeight="1">
      <c r="A2216" s="2" t="s">
        <v>2216</v>
      </c>
      <c r="B2216" s="2" t="str">
        <f>IFERROR(__xludf.DUMMYFUNCTION("GOOGLETRANSLATE(A2216, ""en"", ""mt"")"),"il-mehrież u l-lida u l-karattru ℞ (reċipjent)")</f>
        <v>il-mehrież u l-lida u l-karattru ℞ (reċipjent)</v>
      </c>
    </row>
    <row r="2217" ht="15.75" customHeight="1">
      <c r="A2217" s="2" t="s">
        <v>2217</v>
      </c>
      <c r="B2217" s="2" t="str">
        <f>IFERROR(__xludf.DUMMYFUNCTION("GOOGLETRANSLATE(A2217, ""en"", ""mt"")"),"Dan jimmotiva l-kunċett ta 'problema li tkun diffiċli għal klassi ta' kumplessità. Problema X hija iebsa għal klassi ta 'problemi ċ Jekk kull problema f'C tista' titnaqqas għal X. Għalhekk l-ebda problema f'C ma hija iktar diffiċli minn X, peress li algor"&amp;"itmu għal X jippermettilna nsolvu kwalunkwe problema f'C. Naturalment, Il-kunċett ta 'problemi iebsa jiddependi mit-tip ta' tnaqqis li qed jintuża. Għal klassijiet ta 'kumplessità ikbar minn P, tnaqqis fil-ħin polinomjali huma komunement użati. B'mod part"&amp;"ikolari, is-sett ta 'problemi li huma diffiċli għal NP huwa s-sett ta' problemi iebsin ta 'NP.")</f>
        <v>Dan jimmotiva l-kunċett ta 'problema li tkun diffiċli għal klassi ta' kumplessità. Problema X hija iebsa għal klassi ta 'problemi ċ Jekk kull problema f'C tista' titnaqqas għal X. Għalhekk l-ebda problema f'C ma hija iktar diffiċli minn X, peress li algoritmu għal X jippermettilna nsolvu kwalunkwe problema f'C. Naturalment, Il-kunċett ta 'problemi iebsa jiddependi mit-tip ta' tnaqqis li qed jintuża. Għal klassijiet ta 'kumplessità ikbar minn P, tnaqqis fil-ħin polinomjali huma komunement użati. B'mod partikolari, is-sett ta 'problemi li huma diffiċli għal NP huwa s-sett ta' problemi iebsin ta 'NP.</v>
      </c>
    </row>
    <row r="2218" ht="15.75" customHeight="1">
      <c r="A2218" s="2" t="s">
        <v>2218</v>
      </c>
      <c r="B2218" s="2" t="str">
        <f>IFERROR(__xludf.DUMMYFUNCTION("GOOGLETRANSLATE(A2218, ""en"", ""mt"")"),"L-Assoċjazzjoni tal-Karozzi tal-Istat ta ’Kalifornja")</f>
        <v>L-Assoċjazzjoni tal-Karozzi tal-Istat ta ’Kalifornja</v>
      </c>
    </row>
    <row r="2219" ht="15.75" customHeight="1">
      <c r="A2219" s="2" t="s">
        <v>2219</v>
      </c>
      <c r="B2219" s="2" t="str">
        <f>IFERROR(__xludf.DUMMYFUNCTION("GOOGLETRANSLATE(A2219, ""en"", ""mt"")"),"nofs milf")</f>
        <v>nofs milf</v>
      </c>
    </row>
    <row r="2220" ht="15.75" customHeight="1">
      <c r="A2220" s="2" t="s">
        <v>2220</v>
      </c>
      <c r="B2220" s="2" t="str">
        <f>IFERROR(__xludf.DUMMYFUNCTION("GOOGLETRANSLATE(A2220, ""en"", ""mt"")"),"Il-Mewt l-Iswed ħarbtu ħafna mid-dinja Iżlamika. Il-pesta kienet preżenti f'mill-inqas post fid-dinja Iżlamika kważi kull sena bejn l-1500 u l-1850. Il-pesta laqtet ripetutament il-bliet ta 'l-Afrika ta' Fuq. Algiers tilfu 30 sa 50 elf abitant fl-1620–21,"&amp;" u għal darb'oħra fl-1654–57, 1665, 1691 u 1740-42. Il-Pesta baqgħet avveniment ewlieni fis-soċjetà Ottomana sat-tieni kwart tas-seklu 19. Bejn l-1701 u l-1750, sebgħa u tletin epidemiji akbar u iżgħar ġew irreġistrati f'Konstantinopli, u wieħed u tletin "&amp;"addizzjonali bejn l-1751 u l-1800. Bagdad sofra severament minn żjarat tal-pesta, u xi kultant żewġ terzi tal-popolazzjoni tagħha -")</f>
        <v>Il-Mewt l-Iswed ħarbtu ħafna mid-dinja Iżlamika. Il-pesta kienet preżenti f'mill-inqas post fid-dinja Iżlamika kważi kull sena bejn l-1500 u l-1850. Il-pesta laqtet ripetutament il-bliet ta 'l-Afrika ta' Fuq. Algiers tilfu 30 sa 50 elf abitant fl-1620–21, u għal darb'oħra fl-1654–57, 1665, 1691 u 1740-42. Il-Pesta baqgħet avveniment ewlieni fis-soċjetà Ottomana sat-tieni kwart tas-seklu 19. Bejn l-1701 u l-1750, sebgħa u tletin epidemiji akbar u iżgħar ġew irreġistrati f'Konstantinopli, u wieħed u tletin addizzjonali bejn l-1751 u l-1800. Bagdad sofra severament minn żjarat tal-pesta, u xi kultant żewġ terzi tal-popolazzjoni tagħha -</v>
      </c>
    </row>
    <row r="2221" ht="15.75" customHeight="1">
      <c r="A2221" s="2" t="s">
        <v>2221</v>
      </c>
      <c r="B2221" s="2" t="str">
        <f>IFERROR(__xludf.DUMMYFUNCTION("GOOGLETRANSLATE(A2221, ""en"", ""mt"")"),"Il-finanzjament għal skejjel privati ​​huwa ġeneralment ipprovdut permezz ta 'tagħlim ta' studenti, dotazzjonijiet, fondi ta 'boroż ta' studju / vawċer, u donazzjonijiet u għotjiet minn organizzazzjonijiet reliġjużi jew individwi privati. Il-finanzjament "&amp;"tal-gvern għall-iskejjel reliġjużi huwa jew soġġett għal restrizzjonijiet jew possibilment projbit, skont l-interpretazzjoni tal-qrati tal-Klawsola ta 'Stabbiliment tal-Ewwel Emenda jew Emendi tal-Istat individwali ta' Blaine. Skejjel privati ​​mhux reliġ"&amp;"jużi teoretikament jistgħu jikkwalifikaw għal dan il-finanzjament mingħajr tbatija, u jippreferu l-vantaġġi tal-kontroll indipendenti tal-ammissjonijiet tal-istudenti tagħhom u tal-kontenut tal-kors minflok il-finanzjament pubbliku li jistgħu jiksbu bi st"&amp;"atus charter.")</f>
        <v>Il-finanzjament għal skejjel privati ​​huwa ġeneralment ipprovdut permezz ta 'tagħlim ta' studenti, dotazzjonijiet, fondi ta 'boroż ta' studju / vawċer, u donazzjonijiet u għotjiet minn organizzazzjonijiet reliġjużi jew individwi privati. Il-finanzjament tal-gvern għall-iskejjel reliġjużi huwa jew soġġett għal restrizzjonijiet jew possibilment projbit, skont l-interpretazzjoni tal-qrati tal-Klawsola ta 'Stabbiliment tal-Ewwel Emenda jew Emendi tal-Istat individwali ta' Blaine. Skejjel privati ​​mhux reliġjużi teoretikament jistgħu jikkwalifikaw għal dan il-finanzjament mingħajr tbatija, u jippreferu l-vantaġġi tal-kontroll indipendenti tal-ammissjonijiet tal-istudenti tagħhom u tal-kontenut tal-kors minflok il-finanzjament pubbliku li jistgħu jiksbu bi status charter.</v>
      </c>
    </row>
    <row r="2222" ht="15.75" customHeight="1">
      <c r="A2222" s="2" t="s">
        <v>2222</v>
      </c>
      <c r="B2222" s="2" t="str">
        <f>IFERROR(__xludf.DUMMYFUNCTION("GOOGLETRANSLATE(A2222, ""en"", ""mt"")"),"30 ta ’Lulju 1891")</f>
        <v>30 ta ’Lulju 1891</v>
      </c>
    </row>
    <row r="2223" ht="15.75" customHeight="1">
      <c r="A2223" s="2" t="s">
        <v>2223</v>
      </c>
      <c r="B2223" s="2" t="str">
        <f>IFERROR(__xludf.DUMMYFUNCTION("GOOGLETRANSLATE(A2223, ""en"", ""mt"")"),"Tögrög")</f>
        <v>Tögrög</v>
      </c>
    </row>
    <row r="2224" ht="15.75" customHeight="1">
      <c r="A2224" s="2" t="s">
        <v>2224</v>
      </c>
      <c r="B2224" s="2" t="str">
        <f>IFERROR(__xludf.DUMMYFUNCTION("GOOGLETRANSLATE(A2224, ""en"", ""mt"")"),"1288")</f>
        <v>1288</v>
      </c>
    </row>
    <row r="2225" ht="15.75" customHeight="1">
      <c r="A2225" s="2" t="s">
        <v>2225</v>
      </c>
      <c r="B2225" s="2" t="str">
        <f>IFERROR(__xludf.DUMMYFUNCTION("GOOGLETRANSLATE(A2225, ""en"", ""mt"")"),"F’liema sena kienet Rose Mary Denman imxerrda talli tgħix b’mod miftuħ ma ’sieħeb tal-istess sess?")</f>
        <v>F’liema sena kienet Rose Mary Denman imxerrda talli tgħix b’mod miftuħ ma ’sieħeb tal-istess sess?</v>
      </c>
    </row>
    <row r="2226" ht="15.75" customHeight="1">
      <c r="A2226" s="2" t="s">
        <v>2226</v>
      </c>
      <c r="B2226" s="2" t="str">
        <f>IFERROR(__xludf.DUMMYFUNCTION("GOOGLETRANSLATE(A2226, ""en"", ""mt"")"),"jidhru li jsiru eħfef")</f>
        <v>jidhru li jsiru eħfef</v>
      </c>
    </row>
    <row r="2227" ht="15.75" customHeight="1">
      <c r="A2227" s="2" t="s">
        <v>2227</v>
      </c>
      <c r="B2227" s="2" t="str">
        <f>IFERROR(__xludf.DUMMYFUNCTION("GOOGLETRANSLATE(A2227, ""en"", ""mt"")"),"Ipotesi tal-kurva tal-kuznets")</f>
        <v>Ipotesi tal-kurva tal-kuznets</v>
      </c>
    </row>
    <row r="2228" ht="15.75" customHeight="1">
      <c r="A2228" s="2" t="s">
        <v>2228</v>
      </c>
      <c r="B2228" s="2" t="str">
        <f>IFERROR(__xludf.DUMMYFUNCTION("GOOGLETRANSLATE(A2228, ""en"", ""mt"")"),"Pneumatica kien miktub minn liema kittieb Grieg?")</f>
        <v>Pneumatica kien miktub minn liema kittieb Grieg?</v>
      </c>
    </row>
    <row r="2229" ht="15.75" customHeight="1">
      <c r="A2229" s="2" t="s">
        <v>2229</v>
      </c>
      <c r="B2229" s="2" t="str">
        <f>IFERROR(__xludf.DUMMYFUNCTION("GOOGLETRANSLATE(A2229, ""en"", ""mt"")"),"Min sekwenza l-ewwel plastome?")</f>
        <v>Min sekwenza l-ewwel plastome?</v>
      </c>
    </row>
    <row r="2230" ht="15.75" customHeight="1">
      <c r="A2230" s="2" t="s">
        <v>2230</v>
      </c>
      <c r="B2230" s="2" t="str">
        <f>IFERROR(__xludf.DUMMYFUNCTION("GOOGLETRANSLATE(A2230, ""en"", ""mt"")"),"il-klorofilla fihom")</f>
        <v>il-klorofilla fihom</v>
      </c>
    </row>
    <row r="2231" ht="15.75" customHeight="1">
      <c r="A2231" s="2" t="s">
        <v>2231</v>
      </c>
      <c r="B2231" s="2" t="str">
        <f>IFERROR(__xludf.DUMMYFUNCTION("GOOGLETRANSLATE(A2231, ""en"", ""mt"")"),"wirt")</f>
        <v>wirt</v>
      </c>
    </row>
    <row r="2232" ht="15.75" customHeight="1">
      <c r="A2232" s="2" t="s">
        <v>2232</v>
      </c>
      <c r="B2232" s="2" t="str">
        <f>IFERROR(__xludf.DUMMYFUNCTION("GOOGLETRANSLATE(A2232, ""en"", ""mt"")"),"Sam Chisholm")</f>
        <v>Sam Chisholm</v>
      </c>
    </row>
    <row r="2233" ht="15.75" customHeight="1">
      <c r="A2233" s="2" t="s">
        <v>2233</v>
      </c>
      <c r="B2233" s="2" t="str">
        <f>IFERROR(__xludf.DUMMYFUNCTION("GOOGLETRANSLATE(A2233, ""en"", ""mt"")"),"Xi Normanni ngħaqdu mal-forzi Torok biex jgħinu fil-qerda tal-istati vassali tal-Armeni ta ’Sassoun u Taron fl-Anatolja tal-Lvant Imbiegħed. Aktar tard, ħafna ħadu servizz mal-Istat Armenjan aktar fin-nofsinhar f'Cilicia u l-Muntanji Taurus. Norman jismu "&amp;"Oursel mexxa forza ta '""Franks"" fil-Wied ta' Upper Euphrates fit-Tramuntana tas-Sirja. Mill-1073 sa 1074, 8,000 mill-20,000 truppa tal-Ġeneral Armenjan Philaretus Brachamius kienu Normanni - formolament ta 'Oursel - Miċħuda minn Raimbaud. Huma saħansitr"&amp;"a sellfu l-etniċità tagħhom għall-isem tal-kastell tagħhom: Afranji, li jfisser ""Franks."" Il-kummerċ magħruf bejn Amalfi u Antijokja u bejn Bari u Tarsu jista 'jkun relatat mal-preżenza ta' Italo-Normans f'dawk l-ibliet waqt li Amalfi u Bari kienu taħt "&amp;"il-ħakma Norman fl-Italja.")</f>
        <v>Xi Normanni ngħaqdu mal-forzi Torok biex jgħinu fil-qerda tal-istati vassali tal-Armeni ta ’Sassoun u Taron fl-Anatolja tal-Lvant Imbiegħed. Aktar tard, ħafna ħadu servizz mal-Istat Armenjan aktar fin-nofsinhar f'Cilicia u l-Muntanji Taurus. Norman jismu Oursel mexxa forza ta '"Franks" fil-Wied ta' Upper Euphrates fit-Tramuntana tas-Sirja. Mill-1073 sa 1074, 8,000 mill-20,000 truppa tal-Ġeneral Armenjan Philaretus Brachamius kienu Normanni - formolament ta 'Oursel - Miċħuda minn Raimbaud. Huma saħansitra sellfu l-etniċità tagħhom għall-isem tal-kastell tagħhom: Afranji, li jfisser "Franks." Il-kummerċ magħruf bejn Amalfi u Antijokja u bejn Bari u Tarsu jista 'jkun relatat mal-preżenza ta' Italo-Normans f'dawk l-ibliet waqt li Amalfi u Bari kienu taħt il-ħakma Norman fl-Italja.</v>
      </c>
    </row>
    <row r="2234" ht="15.75" customHeight="1">
      <c r="A2234" s="2" t="s">
        <v>2234</v>
      </c>
      <c r="B2234" s="2" t="str">
        <f>IFERROR(__xludf.DUMMYFUNCTION("GOOGLETRANSLATE(A2234, ""en"", ""mt"")"),"Katidral Koptiku")</f>
        <v>Katidral Koptiku</v>
      </c>
    </row>
    <row r="2235" ht="15.75" customHeight="1">
      <c r="A2235" s="2" t="s">
        <v>2235</v>
      </c>
      <c r="B2235" s="2" t="str">
        <f>IFERROR(__xludf.DUMMYFUNCTION("GOOGLETRANSLATE(A2235, ""en"", ""mt"")"),"Sharia")</f>
        <v>Sharia</v>
      </c>
    </row>
    <row r="2236" ht="15.75" customHeight="1">
      <c r="A2236" s="2" t="s">
        <v>2236</v>
      </c>
      <c r="B2236" s="2" t="str">
        <f>IFERROR(__xludf.DUMMYFUNCTION("GOOGLETRANSLATE(A2236, ""en"", ""mt"")"),"Fl-1066, id-Duka William II tan-Normandija ħakmu l-Ingilterra li qatlet ir-Re Harold II fil-Battalja ta ’Hastings. In-Normanni li jinvadu u d-dixxendenti tagħhom issostitwixxew l-Anglo-Sassoni bħala l-klassi dominanti tal-Ingilterra. In-nobbli ta 'l-Ingil"&amp;"terra kienet parti minn kultura ta' Normans waħda u ħafna kellhom artijiet fuq iż-żewġ naħat tal-kanal. Kings Norman bikrija tal-Ingilterra, bħala Dukes of Normandy, kellhom ġieħ lir-Re ta ’Franza għall-art tagħhom fuq il-kontinent. Huma kkunsidraw l-Ingi"&amp;"lterra bħala l-iktar azjenda importanti tagħhom (ġab miegħu t-titlu ta 'king - simbolu ta' status importanti).")</f>
        <v>Fl-1066, id-Duka William II tan-Normandija ħakmu l-Ingilterra li qatlet ir-Re Harold II fil-Battalja ta ’Hastings. In-Normanni li jinvadu u d-dixxendenti tagħhom issostitwixxew l-Anglo-Sassoni bħala l-klassi dominanti tal-Ingilterra. In-nobbli ta 'l-Ingilterra kienet parti minn kultura ta' Normans waħda u ħafna kellhom artijiet fuq iż-żewġ naħat tal-kanal. Kings Norman bikrija tal-Ingilterra, bħala Dukes of Normandy, kellhom ġieħ lir-Re ta ’Franza għall-art tagħhom fuq il-kontinent. Huma kkunsidraw l-Ingilterra bħala l-iktar azjenda importanti tagħhom (ġab miegħu t-titlu ta 'king - simbolu ta' status importanti).</v>
      </c>
    </row>
    <row r="2237" ht="15.75" customHeight="1">
      <c r="A2237" s="2" t="s">
        <v>2237</v>
      </c>
      <c r="B2237" s="2" t="str">
        <f>IFERROR(__xludf.DUMMYFUNCTION("GOOGLETRANSLATE(A2237, ""en"", ""mt"")"),"Min hu msejjaħ minn Alla, affermat mill-knisja u ordnat minn isqof?")</f>
        <v>Min hu msejjaħ minn Alla, affermat mill-knisja u ordnat minn isqof?</v>
      </c>
    </row>
    <row r="2238" ht="15.75" customHeight="1">
      <c r="A2238" s="2" t="s">
        <v>2238</v>
      </c>
      <c r="B2238" s="2" t="str">
        <f>IFERROR(__xludf.DUMMYFUNCTION("GOOGLETRANSLATE(A2238, ""en"", ""mt"")"),"It-tniġġis ta 'l-ilma min-nitrati u l-fosfati se jinkoraġġixxi t-tkabbir ta' xiex?")</f>
        <v>It-tniġġis ta 'l-ilma min-nitrati u l-fosfati se jinkoraġġixxi t-tkabbir ta' xiex?</v>
      </c>
    </row>
    <row r="2239" ht="15.75" customHeight="1">
      <c r="A2239" s="2" t="s">
        <v>2239</v>
      </c>
      <c r="B2239" s="2" t="str">
        <f>IFERROR(__xludf.DUMMYFUNCTION("GOOGLETRANSLATE(A2239, ""en"", ""mt"")"),"inkompatibbli")</f>
        <v>inkompatibbli</v>
      </c>
    </row>
    <row r="2240" ht="15.75" customHeight="1">
      <c r="A2240" s="2" t="s">
        <v>2240</v>
      </c>
      <c r="B2240" s="2" t="str">
        <f>IFERROR(__xludf.DUMMYFUNCTION("GOOGLETRANSLATE(A2240, ""en"", ""mt"")"),"Serje tar-roti")</f>
        <v>Serje tar-roti</v>
      </c>
    </row>
    <row r="2241" ht="15.75" customHeight="1">
      <c r="A2241" s="2" t="s">
        <v>2241</v>
      </c>
      <c r="B2241" s="2" t="str">
        <f>IFERROR(__xludf.DUMMYFUNCTION("GOOGLETRANSLATE(A2241, ""en"", ""mt"")"),"erba 'klassijiet")</f>
        <v>erba 'klassijiet</v>
      </c>
    </row>
    <row r="2242" ht="15.75" customHeight="1">
      <c r="A2242" s="2" t="s">
        <v>2242</v>
      </c>
      <c r="B2242" s="2" t="str">
        <f>IFERROR(__xludf.DUMMYFUNCTION("GOOGLETRANSLATE(A2242, ""en"", ""mt"")"),"X'inhu spiss imqassar ta 'California tan-Nofsinhar?")</f>
        <v>X'inhu spiss imqassar ta 'California tan-Nofsinhar?</v>
      </c>
    </row>
    <row r="2243" ht="15.75" customHeight="1">
      <c r="A2243" s="2" t="s">
        <v>2243</v>
      </c>
      <c r="B2243" s="2" t="str">
        <f>IFERROR(__xludf.DUMMYFUNCTION("GOOGLETRANSLATE(A2243, ""en"", ""mt"")"),"Kemm aktar art l-iskola għandha f'Allston minn Cambridge?")</f>
        <v>Kemm aktar art l-iskola għandha f'Allston minn Cambridge?</v>
      </c>
    </row>
    <row r="2244" ht="15.75" customHeight="1">
      <c r="A2244" s="2" t="s">
        <v>2244</v>
      </c>
      <c r="B2244" s="2" t="str">
        <f>IFERROR(__xludf.DUMMYFUNCTION("GOOGLETRANSLATE(A2244, ""en"", ""mt"")"),"130 miljun sieq kubika")</f>
        <v>130 miljun sieq kubika</v>
      </c>
    </row>
    <row r="2245" ht="15.75" customHeight="1">
      <c r="A2245" s="2" t="s">
        <v>2245</v>
      </c>
      <c r="B2245" s="2" t="str">
        <f>IFERROR(__xludf.DUMMYFUNCTION("GOOGLETRANSLATE(A2245, ""en"", ""mt"")"),"L-iktar manifestazzjonijiet ħorox fid-dinja")</f>
        <v>L-iktar manifestazzjonijiet ħorox fid-dinja</v>
      </c>
    </row>
    <row r="2246" ht="15.75" customHeight="1">
      <c r="A2246" s="2" t="s">
        <v>2246</v>
      </c>
      <c r="B2246" s="2" t="str">
        <f>IFERROR(__xludf.DUMMYFUNCTION("GOOGLETRANSLATE(A2246, ""en"", ""mt"")"),"Problemi tad-dixxiplina")</f>
        <v>Problemi tad-dixxiplina</v>
      </c>
    </row>
    <row r="2247" ht="15.75" customHeight="1">
      <c r="A2247" s="2" t="s">
        <v>2247</v>
      </c>
      <c r="B2247" s="2" t="str">
        <f>IFERROR(__xludf.DUMMYFUNCTION("GOOGLETRANSLATE(A2247, ""en"", ""mt"")"),"ITV")</f>
        <v>ITV</v>
      </c>
    </row>
    <row r="2248" ht="15.75" customHeight="1">
      <c r="A2248" s="2" t="s">
        <v>2248</v>
      </c>
      <c r="B2248" s="2" t="str">
        <f>IFERROR(__xludf.DUMMYFUNCTION("GOOGLETRANSLATE(A2248, ""en"", ""mt"")"),"Il-konnessjoni bejn il-forzi makroskopiċi mhux konservattivi u l-forzi konservattivi mikroskopiċi hija deskritta permezz ta 'trattament dettaljat bil-mekkanika statistika. F'sistemi magħluqa makroskopiċi, il-forzi mhux konservattivi jaġixxu biex ibiddlu l"&amp;"-enerġiji interni tas-sistema, u ħafna drabi huma assoċjati mat-trasferiment tas-sħana. Skond it-tieni liġi tat-termodinamiċità, il-forzi mhux konservattivi neċessarjament jirriżultaw fi trasformazzjonijiet ta 'enerġija f'sistemi magħluqa minn ordnati għa"&amp;"l kundizzjonijiet aktar każwali hekk kif tiżdied l-entropija.")</f>
        <v>Il-konnessjoni bejn il-forzi makroskopiċi mhux konservattivi u l-forzi konservattivi mikroskopiċi hija deskritta permezz ta 'trattament dettaljat bil-mekkanika statistika. F'sistemi magħluqa makroskopiċi, il-forzi mhux konservattivi jaġixxu biex ibiddlu l-enerġiji interni tas-sistema, u ħafna drabi huma assoċjati mat-trasferiment tas-sħana. Skond it-tieni liġi tat-termodinamiċità, il-forzi mhux konservattivi neċessarjament jirriżultaw fi trasformazzjonijiet ta 'enerġija f'sistemi magħluqa minn ordnati għal kundizzjonijiet aktar każwali hekk kif tiżdied l-entropija.</v>
      </c>
    </row>
    <row r="2249" ht="15.75" customHeight="1">
      <c r="A2249" s="2" t="s">
        <v>2249</v>
      </c>
      <c r="B2249" s="2" t="str">
        <f>IFERROR(__xludf.DUMMYFUNCTION("GOOGLETRANSLATE(A2249, ""en"", ""mt"")"),"Ewropa Ċentrali")</f>
        <v>Ewropa Ċentrali</v>
      </c>
    </row>
    <row r="2250" ht="15.75" customHeight="1">
      <c r="A2250" s="2" t="s">
        <v>2250</v>
      </c>
      <c r="B2250" s="2" t="str">
        <f>IFERROR(__xludf.DUMMYFUNCTION("GOOGLETRANSLATE(A2250, ""en"", ""mt"")"),"Lega tan-Nazzjonijiet")</f>
        <v>Lega tan-Nazzjonijiet</v>
      </c>
    </row>
    <row r="2251" ht="15.75" customHeight="1">
      <c r="A2251" s="2" t="s">
        <v>2251</v>
      </c>
      <c r="B2251" s="2" t="str">
        <f>IFERROR(__xludf.DUMMYFUNCTION("GOOGLETRANSLATE(A2251, ""en"", ""mt"")"),"Ħajja")</f>
        <v>Ħajja</v>
      </c>
    </row>
    <row r="2252" ht="15.75" customHeight="1">
      <c r="A2252" s="2" t="s">
        <v>2252</v>
      </c>
      <c r="B2252" s="2" t="str">
        <f>IFERROR(__xludf.DUMMYFUNCTION("GOOGLETRANSLATE(A2252, ""en"", ""mt"")"),"F’liema sena kien għamel King Roger II?")</f>
        <v>F’liema sena kien għamel King Roger II?</v>
      </c>
    </row>
    <row r="2253" ht="15.75" customHeight="1">
      <c r="A2253" s="2" t="s">
        <v>2253</v>
      </c>
      <c r="B2253" s="2" t="str">
        <f>IFERROR(__xludf.DUMMYFUNCTION("GOOGLETRANSLATE(A2253, ""en"", ""mt"")"),"KMBC-TV u KQTV")</f>
        <v>KMBC-TV u KQTV</v>
      </c>
    </row>
    <row r="2254" ht="15.75" customHeight="1">
      <c r="A2254" s="2" t="s">
        <v>2254</v>
      </c>
      <c r="B2254" s="2" t="str">
        <f>IFERROR(__xludf.DUMMYFUNCTION("GOOGLETRANSLATE(A2254, ""en"", ""mt"")"),"Taħt kundizzjonijiet bħal konċentrazzjonijiet għoljin ta 'CO2 atmosferiċi")</f>
        <v>Taħt kundizzjonijiet bħal konċentrazzjonijiet għoljin ta 'CO2 atmosferiċi</v>
      </c>
    </row>
    <row r="2255" ht="15.75" customHeight="1">
      <c r="A2255" s="2" t="s">
        <v>2255</v>
      </c>
      <c r="B2255" s="2" t="str">
        <f>IFERROR(__xludf.DUMMYFUNCTION("GOOGLETRANSLATE(A2255, ""en"", ""mt"")"),"Minn liema pjaneta l-ġurnalisti ddeċidew li kienu s-sinjali?")</f>
        <v>Minn liema pjaneta l-ġurnalisti ddeċidew li kienu s-sinjali?</v>
      </c>
    </row>
    <row r="2256" ht="15.75" customHeight="1">
      <c r="A2256" s="2" t="s">
        <v>2256</v>
      </c>
      <c r="B2256" s="2" t="str">
        <f>IFERROR(__xludf.DUMMYFUNCTION("GOOGLETRANSLATE(A2256, ""en"", ""mt"")"),"Meta wera episodju estiż ta 'Doctor Who wera?")</f>
        <v>Meta wera episodju estiż ta 'Doctor Who wera?</v>
      </c>
    </row>
    <row r="2257" ht="15.75" customHeight="1">
      <c r="A2257" s="2" t="s">
        <v>2257</v>
      </c>
      <c r="B2257" s="2" t="str">
        <f>IFERROR(__xludf.DUMMYFUNCTION("GOOGLETRANSLATE(A2257, ""en"", ""mt"")"),"X'tip ta 'rivoluzzjoni favur Maududi?")</f>
        <v>X'tip ta 'rivoluzzjoni favur Maududi?</v>
      </c>
    </row>
    <row r="2258" ht="15.75" customHeight="1">
      <c r="A2258" s="2" t="s">
        <v>2258</v>
      </c>
      <c r="B2258" s="2" t="str">
        <f>IFERROR(__xludf.DUMMYFUNCTION("GOOGLETRANSLATE(A2258, ""en"", ""mt"")"),"Dawl elettriku")</f>
        <v>Dawl elettriku</v>
      </c>
    </row>
    <row r="2259" ht="15.75" customHeight="1">
      <c r="A2259" s="2" t="s">
        <v>2259</v>
      </c>
      <c r="B2259" s="2" t="str">
        <f>IFERROR(__xludf.DUMMYFUNCTION("GOOGLETRANSLATE(A2259, ""en"", ""mt"")"),"X'għandhom komuni Bathyctena Chuni, Euplokamis u Eurhamphaea vexilligera?")</f>
        <v>X'għandhom komuni Bathyctena Chuni, Euplokamis u Eurhamphaea vexilligera?</v>
      </c>
    </row>
    <row r="2260" ht="15.75" customHeight="1">
      <c r="A2260" s="2" t="s">
        <v>2260</v>
      </c>
      <c r="B2260" s="2" t="str">
        <f>IFERROR(__xludf.DUMMYFUNCTION("GOOGLETRANSLATE(A2260, ""en"", ""mt"")"),"Fejn ġew meqjusa ħut erbivori li jitimgħu fuq zooplankton ġelatinuż?")</f>
        <v>Fejn ġew meqjusa ħut erbivori li jitimgħu fuq zooplankton ġelatinuż?</v>
      </c>
    </row>
    <row r="2261" ht="15.75" customHeight="1">
      <c r="A2261" s="2" t="s">
        <v>2261</v>
      </c>
      <c r="B2261" s="2" t="str">
        <f>IFERROR(__xludf.DUMMYFUNCTION("GOOGLETRANSLATE(A2261, ""en"", ""mt"")"),"Liema kumpanija rebħet konkors biex ir-reklam tagħhom jintwera b'xejn matul Super Bowl 50?")</f>
        <v>Liema kumpanija rebħet konkors biex ir-reklam tagħhom jintwera b'xejn matul Super Bowl 50?</v>
      </c>
    </row>
    <row r="2262" ht="15.75" customHeight="1">
      <c r="A2262" s="2" t="s">
        <v>2262</v>
      </c>
      <c r="B2262" s="2" t="str">
        <f>IFERROR(__xludf.DUMMYFUNCTION("GOOGLETRANSLATE(A2262, ""en"", ""mt"")"),"Luther kif jara t-Torok tal-Ottomani?")</f>
        <v>Luther kif jara t-Torok tal-Ottomani?</v>
      </c>
    </row>
    <row r="2263" ht="15.75" customHeight="1">
      <c r="A2263" s="2" t="s">
        <v>2263</v>
      </c>
      <c r="B2263" s="2" t="str">
        <f>IFERROR(__xludf.DUMMYFUNCTION("GOOGLETRANSLATE(A2263, ""en"", ""mt"")"),"Marion Dorn")</f>
        <v>Marion Dorn</v>
      </c>
    </row>
    <row r="2264" ht="15.75" customHeight="1">
      <c r="A2264" s="2" t="s">
        <v>2264</v>
      </c>
      <c r="B2264" s="2" t="str">
        <f>IFERROR(__xludf.DUMMYFUNCTION("GOOGLETRANSLATE(A2264, ""en"", ""mt"")"),"Liema problemi kellha d-dinastija Yuan qrib it-tmiem tagħha?")</f>
        <v>Liema problemi kellha d-dinastija Yuan qrib it-tmiem tagħha?</v>
      </c>
    </row>
    <row r="2265" ht="15.75" customHeight="1">
      <c r="A2265" s="2" t="s">
        <v>2265</v>
      </c>
      <c r="B2265" s="2" t="str">
        <f>IFERROR(__xludf.DUMMYFUNCTION("GOOGLETRANSLATE(A2265, ""en"", ""mt"")"),"Tnejn sa mija")</f>
        <v>Tnejn sa mija</v>
      </c>
    </row>
    <row r="2266" ht="15.75" customHeight="1">
      <c r="A2266" s="2" t="s">
        <v>2266</v>
      </c>
      <c r="B2266" s="2" t="str">
        <f>IFERROR(__xludf.DUMMYFUNCTION("GOOGLETRANSLATE(A2266, ""en"", ""mt"")"),"Mercedes-Benz Superdome ta 'New Orleans, Miami's Sun Life Stadium, u l-istadium Levi's Levi tal-Bajja ta' San Francisco.")</f>
        <v>Mercedes-Benz Superdome ta 'New Orleans, Miami's Sun Life Stadium, u l-istadium Levi's Levi tal-Bajja ta' San Francisco.</v>
      </c>
    </row>
    <row r="2267" ht="15.75" customHeight="1">
      <c r="A2267" s="2" t="s">
        <v>2267</v>
      </c>
      <c r="B2267" s="2" t="str">
        <f>IFERROR(__xludf.DUMMYFUNCTION("GOOGLETRANSLATE(A2267, ""en"", ""mt"")"),"Tesla kif tilfet il-flus tat-tagħlim tiegħu?")</f>
        <v>Tesla kif tilfet il-flus tat-tagħlim tiegħu?</v>
      </c>
    </row>
    <row r="2268" ht="15.75" customHeight="1">
      <c r="A2268" s="2" t="s">
        <v>2268</v>
      </c>
      <c r="B2268" s="2" t="str">
        <f>IFERROR(__xludf.DUMMYFUNCTION("GOOGLETRANSLATE(A2268, ""en"", ""mt"")"),"X'inhuma żewġ riżorsi primarji bażiċi użati għall-kumplessità tal-guage?")</f>
        <v>X'inhuma żewġ riżorsi primarji bażiċi użati għall-kumplessità tal-guage?</v>
      </c>
    </row>
    <row r="2269" ht="15.75" customHeight="1">
      <c r="A2269" s="2" t="s">
        <v>2269</v>
      </c>
      <c r="B2269" s="2" t="str">
        <f>IFERROR(__xludf.DUMMYFUNCTION("GOOGLETRANSLATE(A2269, ""en"", ""mt"")"),"Id-definizzjonijiet ta '8 u 10-kontea ma jintużawx għall-akbar Megaregion tan-Nofsinhar ta' California, waħda mill-11-il megaregion ta 'l-Istati Uniti. Iż-żona tal-Megaregion hija aktar espansiva, li testendi l-lvant f'Las Vegas, Nevada, u fin-nofsinhar m"&amp;"adwar il-fruntiera Messikana f'Tijuana.")</f>
        <v>Id-definizzjonijiet ta '8 u 10-kontea ma jintużawx għall-akbar Megaregion tan-Nofsinhar ta' California, waħda mill-11-il megaregion ta 'l-Istati Uniti. Iż-żona tal-Megaregion hija aktar espansiva, li testendi l-lvant f'Las Vegas, Nevada, u fin-nofsinhar madwar il-fruntiera Messikana f'Tijuana.</v>
      </c>
    </row>
    <row r="2270" ht="15.75" customHeight="1">
      <c r="A2270" s="2" t="s">
        <v>2270</v>
      </c>
      <c r="B2270" s="2" t="str">
        <f>IFERROR(__xludf.DUMMYFUNCTION("GOOGLETRANSLATE(A2270, ""en"", ""mt"")"),"Iċ-ċelloli tal-qattiel naturali jirrikonoxxu ċelloli li għandhom ikunu mmirati minn kundizzjoni magħrufa bħala?")</f>
        <v>Iċ-ċelloli tal-qattiel naturali jirrikonoxxu ċelloli li għandhom ikunu mmirati minn kundizzjoni magħrufa bħala?</v>
      </c>
    </row>
    <row r="2271" ht="15.75" customHeight="1">
      <c r="A2271" s="2" t="s">
        <v>2271</v>
      </c>
      <c r="B2271" s="2" t="str">
        <f>IFERROR(__xludf.DUMMYFUNCTION("GOOGLETRANSLATE(A2271, ""en"", ""mt"")"),"19 ta 'Ottubru, 2005")</f>
        <v>19 ta 'Ottubru, 2005</v>
      </c>
    </row>
    <row r="2272" ht="15.75" customHeight="1">
      <c r="A2272" s="2" t="s">
        <v>2272</v>
      </c>
      <c r="B2272" s="2" t="str">
        <f>IFERROR(__xludf.DUMMYFUNCTION("GOOGLETRANSLATE(A2272, ""en"", ""mt"")"),"B'liema dokument il-Huguenots stqarr il-fidi tagħhom lill-Portugiż fil-Brażil?")</f>
        <v>B'liema dokument il-Huguenots stqarr il-fidi tagħhom lill-Portugiż fil-Brażil?</v>
      </c>
    </row>
    <row r="2273" ht="15.75" customHeight="1">
      <c r="A2273" s="2" t="s">
        <v>2273</v>
      </c>
      <c r="B2273" s="2" t="str">
        <f>IFERROR(__xludf.DUMMYFUNCTION("GOOGLETRANSLATE(A2273, ""en"", ""mt"")"),"L-imperjalizmu huwa responsabbli għat-tixrid rapidu ta 'xiex?")</f>
        <v>L-imperjalizmu huwa responsabbli għat-tixrid rapidu ta 'xiex?</v>
      </c>
    </row>
    <row r="2274" ht="15.75" customHeight="1">
      <c r="A2274" s="2" t="s">
        <v>2274</v>
      </c>
      <c r="B2274" s="2" t="str">
        <f>IFERROR(__xludf.DUMMYFUNCTION("GOOGLETRANSLATE(A2274, ""en"", ""mt"")"),"Xi teoriji jargumentaw li d-diżubbidjenza ċivili hija ġġustifikata fir-rigward?")</f>
        <v>Xi teoriji jargumentaw li d-diżubbidjenza ċivili hija ġġustifikata fir-rigward?</v>
      </c>
    </row>
    <row r="2275" ht="15.75" customHeight="1">
      <c r="A2275" s="2" t="s">
        <v>2275</v>
      </c>
      <c r="B2275" s="2" t="str">
        <f>IFERROR(__xludf.DUMMYFUNCTION("GOOGLETRANSLATE(A2275, ""en"", ""mt"")"),"il-weraq")</f>
        <v>il-weraq</v>
      </c>
    </row>
    <row r="2276" ht="15.75" customHeight="1">
      <c r="A2276" s="2" t="s">
        <v>2276</v>
      </c>
      <c r="B2276" s="2" t="str">
        <f>IFERROR(__xludf.DUMMYFUNCTION("GOOGLETRANSLATE(A2276, ""en"", ""mt"")"),"Il-Gallerija Toshiba tal-Art Ġappuniża nfetħet f'Diċembru 1986. Il-biċċa l-kbira tal-esebiti jmorru mill-1550 sal-1900, iżda waħda mill-eqdem biċċiet murija hija l-iskultura tas-seklu 13 ta 'Amida Nyorai. Eżempji ta 'armatura Ġappuniża klassika minn nofs "&amp;"is-seklu 19, xfafar ta' xabla ta 'l-azzar (katana), inrō, lacquerware inkluż is-sider mazarin datat C1640 hija waħda mill-ifjen biċċiet li għadhom ħajjin minn Kyoto, porċellana inkluża Imari, Netsuke, stampi ta' Woodblock inklużi x-xogħol ta ' Ando Hirosh"&amp;"ige, xogħlijiet grafiċi jinkludu kotba stampati, kif ukoll ftit pitturi, scrolls u skrins, tessuti u libsa inklużi Kimonos huma wħud mill-oġġetti li jinsabu fil-wiri. Wieħed mill-ifjen oġġetti murija huwa l-berner tal-inċens tal-bronż ta 'Suzuki Chokichi "&amp;"(Koro) datat 1875, wieqaf aktar minn 2.25 metri għolja u 1.25 metri fid-dijametru Huwa wkoll wieħed mill-ikbar eżempji magħmula. Il-mużew iżomm ukoll xi biċċiet Cloisonné mill-kumpanija Ġappuniża tal-produzzjoni tal-arti, Ando Cloisonné.")</f>
        <v>Il-Gallerija Toshiba tal-Art Ġappuniża nfetħet f'Diċembru 1986. Il-biċċa l-kbira tal-esebiti jmorru mill-1550 sal-1900, iżda waħda mill-eqdem biċċiet murija hija l-iskultura tas-seklu 13 ta 'Amida Nyorai. Eżempji ta 'armatura Ġappuniża klassika minn nofs is-seklu 19, xfafar ta' xabla ta 'l-azzar (katana), inrō, lacquerware inkluż is-sider mazarin datat C1640 hija waħda mill-ifjen biċċiet li għadhom ħajjin minn Kyoto, porċellana inkluża Imari, Netsuke, stampi ta' Woodblock inklużi x-xogħol ta ' Ando Hiroshige, xogħlijiet grafiċi jinkludu kotba stampati, kif ukoll ftit pitturi, scrolls u skrins, tessuti u libsa inklużi Kimonos huma wħud mill-oġġetti li jinsabu fil-wiri. Wieħed mill-ifjen oġġetti murija huwa l-berner tal-inċens tal-bronż ta 'Suzuki Chokichi (Koro) datat 1875, wieqaf aktar minn 2.25 metri għolja u 1.25 metri fid-dijametru Huwa wkoll wieħed mill-ikbar eżempji magħmula. Il-mużew iżomm ukoll xi biċċiet Cloisonné mill-kumpanija Ġappuniża tal-produzzjoni tal-arti, Ando Cloisonné.</v>
      </c>
    </row>
    <row r="2277" ht="15.75" customHeight="1">
      <c r="A2277" s="2" t="s">
        <v>2277</v>
      </c>
      <c r="B2277" s="2" t="str">
        <f>IFERROR(__xludf.DUMMYFUNCTION("GOOGLETRANSLATE(A2277, ""en"", ""mt"")"),"Martin Luther twieled lil Hans Luder (jew Ludher, aktar tard Luther) u martu Margarethe (née Lindemann) fl-10 ta ’Novembru 1483 f’Eisleben, Sassonja, imbagħad parti mill-Imperu Ruman Imqaddes. Huwa ġie mgħammed bħala Kattoliku l-għada filgħodu fil-jum tal"&amp;"-festa ta 'San Martin ta' Tours. Il-familja tiegħu marret tgħix Mansfeld fl-1484, fejn missieru kien detentur tal-minjieri tar-ram u l-irfid u serva bħala wieħed mill-erba 'rappreżentanti taċ-ċittadini fil-kunsill lokali. L-istudjuż reliġjuż Martin Marty "&amp;"jiddeskrivi lil omm Luther bħala mara li taħdem ħafna ta '""stokk ta' klassi tal-kummerċ u mezzi ta 'nofs il-pajjiż"" u jinnota li l-għedewwa ta' Luther aktar tard iddeskrivewha ħażin bħala whore u lavrant tal-banju. Kellu diversi aħwa, u huwa magħruf li "&amp;"kien qrib wieħed minnhom, Jacob. Hans Luther kien ambizzjuż għalih innifsu u għall-familja tiegħu, u kien determinat li jara lil Martin, l-iben il-kbir tiegħu, isir avukat. Huwa bagħat lil Martin fl-iskejjel Latini f'Mansfeld, imbagħad Magdeburg fl-1497, "&amp;"fejn attenda skola mħaddma minn grupp lajk imsejjaħ Ħutna tal-Ħajja Komuni, u Eisenach fl-1498. It-tliet skejjel iffokaw fuq l-hekk imsejħa ""trivium"": grammatika, retorika, u loġika. Luther aktar tard qabbel l-edukazzjoni tiegħu hemmhekk mal-purgatorju "&amp;"u l-infern.")</f>
        <v>Martin Luther twieled lil Hans Luder (jew Ludher, aktar tard Luther) u martu Margarethe (née Lindemann) fl-10 ta ’Novembru 1483 f’Eisleben, Sassonja, imbagħad parti mill-Imperu Ruman Imqaddes. Huwa ġie mgħammed bħala Kattoliku l-għada filgħodu fil-jum tal-festa ta 'San Martin ta' Tours. Il-familja tiegħu marret tgħix Mansfeld fl-1484, fejn missieru kien detentur tal-minjieri tar-ram u l-irfid u serva bħala wieħed mill-erba 'rappreżentanti taċ-ċittadini fil-kunsill lokali. L-istudjuż reliġjuż Martin Marty jiddeskrivi lil omm Luther bħala mara li taħdem ħafna ta '"stokk ta' klassi tal-kummerċ u mezzi ta 'nofs il-pajjiż" u jinnota li l-għedewwa ta' Luther aktar tard iddeskrivewha ħażin bħala whore u lavrant tal-banju. Kellu diversi aħwa, u huwa magħruf li kien qrib wieħed minnhom, Jacob. Hans Luther kien ambizzjuż għalih innifsu u għall-familja tiegħu, u kien determinat li jara lil Martin, l-iben il-kbir tiegħu, isir avukat. Huwa bagħat lil Martin fl-iskejjel Latini f'Mansfeld, imbagħad Magdeburg fl-1497, fejn attenda skola mħaddma minn grupp lajk imsejjaħ Ħutna tal-Ħajja Komuni, u Eisenach fl-1498. It-tliet skejjel iffokaw fuq l-hekk imsejħa "trivium": grammatika, retorika, u loġika. Luther aktar tard qabbel l-edukazzjoni tiegħu hemmhekk mal-purgatorju u l-infern.</v>
      </c>
    </row>
    <row r="2278" ht="15.75" customHeight="1">
      <c r="A2278" s="2" t="s">
        <v>2278</v>
      </c>
      <c r="B2278" s="2" t="str">
        <f>IFERROR(__xludf.DUMMYFUNCTION("GOOGLETRANSLATE(A2278, ""en"", ""mt"")"),"Meta l-pesta waslet f'Lixandra?")</f>
        <v>Meta l-pesta waslet f'Lixandra?</v>
      </c>
    </row>
    <row r="2279" ht="15.75" customHeight="1">
      <c r="A2279" s="2" t="s">
        <v>2279</v>
      </c>
      <c r="B2279" s="2" t="str">
        <f>IFERROR(__xludf.DUMMYFUNCTION("GOOGLETRANSLATE(A2279, ""en"", ""mt"")"),"Min ħa l-illandjar jagħmel l-iskor 10-7?")</f>
        <v>Min ħa l-illandjar jagħmel l-iskor 10-7?</v>
      </c>
    </row>
    <row r="2280" ht="15.75" customHeight="1">
      <c r="A2280" s="2" t="s">
        <v>2280</v>
      </c>
      <c r="B2280" s="2" t="str">
        <f>IFERROR(__xludf.DUMMYFUNCTION("GOOGLETRANSLATE(A2280, ""en"", ""mt"")"),"Min imexxi t-Teatru Oriġinali Royal fi Newcastle?")</f>
        <v>Min imexxi t-Teatru Oriġinali Royal fi Newcastle?</v>
      </c>
    </row>
    <row r="2281" ht="15.75" customHeight="1">
      <c r="A2281" s="2" t="s">
        <v>2281</v>
      </c>
      <c r="B2281" s="2" t="str">
        <f>IFERROR(__xludf.DUMMYFUNCTION("GOOGLETRANSLATE(A2281, ""en"", ""mt"")"),"Ir-Rebellion Turban Red")</f>
        <v>Ir-Rebellion Turban Red</v>
      </c>
    </row>
    <row r="2282" ht="15.75" customHeight="1">
      <c r="A2282" s="2" t="s">
        <v>2282</v>
      </c>
      <c r="B2282" s="2" t="str">
        <f>IFERROR(__xludf.DUMMYFUNCTION("GOOGLETRANSLATE(A2282, ""en"", ""mt"")"),"X'jagħmlu ħafna mill-ispiżeriji onlajn?")</f>
        <v>X'jagħmlu ħafna mill-ispiżeriji onlajn?</v>
      </c>
    </row>
    <row r="2283" ht="15.75" customHeight="1">
      <c r="A2283" s="2" t="s">
        <v>2283</v>
      </c>
      <c r="B2283" s="2" t="str">
        <f>IFERROR(__xludf.DUMMYFUNCTION("GOOGLETRANSLATE(A2283, ""en"", ""mt"")"),"Il-prinċipji tal-liġi tal-Unjoni Ewropea huma r-regoli tal-liġi li ġew żviluppati mill-Qorti Ewropea tal-Ġustizzja li jikkostitwixxu regoli mhux miktuba li mhumiex previsti espressament fit-trattati iżda li jaffettwaw kif il-liġi tal-Unjoni Ewropea hija i"&amp;"nterpretata u tapplika. Fil-formulazzjoni ta 'dawn il-prinċipji, il-qrati fasslu fuq varjetà ta' sorsi, inklużi: liġi internazzjonali pubblika u duttrini legali u prinċipji preżenti fis-sistemi legali tal-Istati Membri tal-Unjoni Ewropea u fil-ġurispruden"&amp;"za tal-Qorti Ewropea tad-Drittijiet tal-Bniedem. Prinċipji ġenerali aċċettati tal-liġi tal-Unjoni Ewropea jinkludu drittijiet fundamentali (ara d-drittijiet tal-bniedem), proporzjonalità, ċertezza legali, ugwaljanza quddiem il-liġi u s-sussidjarjetà.")</f>
        <v>Il-prinċipji tal-liġi tal-Unjoni Ewropea huma r-regoli tal-liġi li ġew żviluppati mill-Qorti Ewropea tal-Ġustizzja li jikkostitwixxu regoli mhux miktuba li mhumiex previsti espressament fit-trattati iżda li jaffettwaw kif il-liġi tal-Unjoni Ewropea hija interpretata u tapplika. Fil-formulazzjoni ta 'dawn il-prinċipji, il-qrati fasslu fuq varjetà ta' sorsi, inklużi: liġi internazzjonali pubblika u duttrini legali u prinċipji preżenti fis-sistemi legali tal-Istati Membri tal-Unjoni Ewropea u fil-ġurisprudenza tal-Qorti Ewropea tad-Drittijiet tal-Bniedem. Prinċipji ġenerali aċċettati tal-liġi tal-Unjoni Ewropea jinkludu drittijiet fundamentali (ara d-drittijiet tal-bniedem), proporzjonalità, ċertezza legali, ugwaljanza quddiem il-liġi u s-sussidjarjetà.</v>
      </c>
    </row>
    <row r="2284" ht="15.75" customHeight="1">
      <c r="A2284" s="2" t="s">
        <v>2284</v>
      </c>
      <c r="B2284" s="2" t="str">
        <f>IFERROR(__xludf.DUMMYFUNCTION("GOOGLETRANSLATE(A2284, ""en"", ""mt"")"),"Librerija Harvard")</f>
        <v>Librerija Harvard</v>
      </c>
    </row>
    <row r="2285" ht="15.75" customHeight="1">
      <c r="A2285" s="2" t="s">
        <v>2285</v>
      </c>
      <c r="B2285" s="2" t="str">
        <f>IFERROR(__xludf.DUMMYFUNCTION("GOOGLETRANSLATE(A2285, ""en"", ""mt"")"),"Tingħaqad tribujiet tal-gwerra")</f>
        <v>Tingħaqad tribujiet tal-gwerra</v>
      </c>
    </row>
    <row r="2286" ht="15.75" customHeight="1">
      <c r="A2286" s="2" t="s">
        <v>2286</v>
      </c>
      <c r="B2286" s="2" t="str">
        <f>IFERROR(__xludf.DUMMYFUNCTION("GOOGLETRANSLATE(A2286, ""en"", ""mt"")"),"Ġeografija Mediterranja")</f>
        <v>Ġeografija Mediterranja</v>
      </c>
    </row>
    <row r="2287" ht="15.75" customHeight="1">
      <c r="A2287" s="2" t="s">
        <v>2287</v>
      </c>
      <c r="B2287" s="2" t="str">
        <f>IFERROR(__xludf.DUMMYFUNCTION("GOOGLETRANSLATE(A2287, ""en"", ""mt"")"),"F'liema qasam kienu komuni magni ta 'espansjoni doppja u tripla?")</f>
        <v>F'liema qasam kienu komuni magni ta 'espansjoni doppja u tripla?</v>
      </c>
    </row>
    <row r="2288" ht="15.75" customHeight="1">
      <c r="A2288" s="2" t="s">
        <v>2288</v>
      </c>
      <c r="B2288" s="2" t="str">
        <f>IFERROR(__xludf.DUMMYFUNCTION("GOOGLETRANSLATE(A2288, ""en"", ""mt"")"),"Affiljat ma 'denominazzjonijiet Protestanti oħra ma' aktar membri numerużi")</f>
        <v>Affiljat ma 'denominazzjonijiet Protestanti oħra ma' aktar membri numerużi</v>
      </c>
    </row>
    <row r="2289" ht="15.75" customHeight="1">
      <c r="A2289" s="2" t="s">
        <v>2289</v>
      </c>
      <c r="B2289" s="2" t="str">
        <f>IFERROR(__xludf.DUMMYFUNCTION("GOOGLETRANSLATE(A2289, ""en"", ""mt"")"),"Xi sottokuntrattur għandu relazzjoni kuntrattwali diretta ma 'min?")</f>
        <v>Xi sottokuntrattur għandu relazzjoni kuntrattwali diretta ma 'min?</v>
      </c>
    </row>
    <row r="2290" ht="15.75" customHeight="1">
      <c r="A2290" s="2" t="s">
        <v>2290</v>
      </c>
      <c r="B2290" s="2" t="str">
        <f>IFERROR(__xludf.DUMMYFUNCTION("GOOGLETRANSLATE(A2290, ""en"", ""mt"")"),"Luther tkellem kontra l-Lhud fis-Sassonja, Brandenburg, u Silesia. Josel ta 'Rosheim, il-kelliem tal-Lhud li pprova jgħin lill-Lhud ta' Sassonja fl-1537, aktar tard waħħalhom l-għawġ tagħhom fuq ""dak il-qassis li ismu kien Martin Luther - jista 'ġismu u "&amp;"r-ruħ tiegħu jkunu marbuta fl-infern! - Min kiteb u ħareġ ħafna eretika Kotba li fihom qal li kull min kien jgħin lill-Lhud kien iddestinat għall-perdizzjoni. "" Josel talab lill-Belt ta 'Strasburgu biex tipprojbixxi l-bejgħ tax-xogħlijiet anti-Lhud ta' L"&amp;"uther: huma rrifjutaw inizjalment, iżda għamlu hekk meta ragħaj Luteran f'Hochfelden uża priedka biex iħeġġeġ lill-parruċċani tiegħu biex joqtlu l-Lhud. L-influwenza ta 'Luther baqgħet għaddejja wara mewtu. Matul l-1580s, l-irvellijiet wasslu għat-tkeċċij"&amp;"a tal-Lhud minn diversi stati Ġermaniżi Luterani.")</f>
        <v>Luther tkellem kontra l-Lhud fis-Sassonja, Brandenburg, u Silesia. Josel ta 'Rosheim, il-kelliem tal-Lhud li pprova jgħin lill-Lhud ta' Sassonja fl-1537, aktar tard waħħalhom l-għawġ tagħhom fuq "dak il-qassis li ismu kien Martin Luther - jista 'ġismu u r-ruħ tiegħu jkunu marbuta fl-infern! - Min kiteb u ħareġ ħafna eretika Kotba li fihom qal li kull min kien jgħin lill-Lhud kien iddestinat għall-perdizzjoni. " Josel talab lill-Belt ta 'Strasburgu biex tipprojbixxi l-bejgħ tax-xogħlijiet anti-Lhud ta' Luther: huma rrifjutaw inizjalment, iżda għamlu hekk meta ragħaj Luteran f'Hochfelden uża priedka biex iħeġġeġ lill-parruċċani tiegħu biex joqtlu l-Lhud. L-influwenza ta 'Luther baqgħet għaddejja wara mewtu. Matul l-1580s, l-irvellijiet wasslu għat-tkeċċija tal-Lhud minn diversi stati Ġermaniżi Luterani.</v>
      </c>
    </row>
    <row r="2291" ht="15.75" customHeight="1">
      <c r="A2291" s="2" t="s">
        <v>2291</v>
      </c>
      <c r="B2291" s="2" t="str">
        <f>IFERROR(__xludf.DUMMYFUNCTION("GOOGLETRANSLATE(A2291, ""en"", ""mt"")"),"Parti ewlenija tas-sinsla tal-internet")</f>
        <v>Parti ewlenija tas-sinsla tal-internet</v>
      </c>
    </row>
    <row r="2292" ht="15.75" customHeight="1">
      <c r="A2292" s="2" t="s">
        <v>2292</v>
      </c>
      <c r="B2292" s="2" t="str">
        <f>IFERROR(__xludf.DUMMYFUNCTION("GOOGLETRANSLATE(A2292, ""en"", ""mt"")"),"""Jiggle TV""")</f>
        <v>"Jiggle TV"</v>
      </c>
    </row>
    <row r="2293" ht="15.75" customHeight="1">
      <c r="A2293" s="2" t="s">
        <v>2293</v>
      </c>
      <c r="B2293" s="2" t="str">
        <f>IFERROR(__xludf.DUMMYFUNCTION("GOOGLETRANSLATE(A2293, ""en"", ""mt"")"),"lamtu")</f>
        <v>lamtu</v>
      </c>
    </row>
    <row r="2294" ht="15.75" customHeight="1">
      <c r="A2294" s="2" t="s">
        <v>2294</v>
      </c>
      <c r="B2294" s="2" t="str">
        <f>IFERROR(__xludf.DUMMYFUNCTION("GOOGLETRANSLATE(A2294, ""en"", ""mt"")"),"Fuq xiex taġixxi l-forza stong?")</f>
        <v>Fuq xiex taġixxi l-forza stong?</v>
      </c>
    </row>
    <row r="2295" ht="15.75" customHeight="1">
      <c r="A2295" s="2" t="s">
        <v>2295</v>
      </c>
      <c r="B2295" s="2" t="str">
        <f>IFERROR(__xludf.DUMMYFUNCTION("GOOGLETRANSLATE(A2295, ""en"", ""mt"")"),"Lvant")</f>
        <v>Lvant</v>
      </c>
    </row>
    <row r="2296" ht="15.75" customHeight="1">
      <c r="A2296" s="2" t="s">
        <v>2296</v>
      </c>
      <c r="B2296" s="2" t="str">
        <f>IFERROR(__xludf.DUMMYFUNCTION("GOOGLETRANSLATE(A2296, ""en"", ""mt"")"),"Ħafna fuħħar famuż, bħal Josiah Wedgwood, William de Morgan u Bernard Leach kif ukoll Mintons &amp; Royal Doulton huma rappreżentati fil-kollezzjoni. Hemm kollezzjoni estensiva ta 'Delftware prodott kemm fil-Gran Brittanja kif ukoll fl-Olanda, li tinkludi pir"&amp;"amida tal-fjuri madwar 1695 fuq metru fl-għoli. Bernard Palissy għandu diversi eżempji tax-xogħol tiegħu fil-kollezzjoni inklużi platti, buqar u gandlieri. L-akbar oġġetti fil-kollezzjoni huma serje ta 'stufi taċ-ċeramika mżejna b'mod elaborat mis-sekli 1"&amp;"6 u 17, magħmula fil-Ġermanja u fl-Isvizzera. Hemm kollezzjoni bla paragun ta 'Maiolica Taljana u Lustreware minn Spanja. Il-kollezzjoni ta ’fuħħar iznik mit-Turkija hija l-akbar fid-dinja.")</f>
        <v>Ħafna fuħħar famuż, bħal Josiah Wedgwood, William de Morgan u Bernard Leach kif ukoll Mintons &amp; Royal Doulton huma rappreżentati fil-kollezzjoni. Hemm kollezzjoni estensiva ta 'Delftware prodott kemm fil-Gran Brittanja kif ukoll fl-Olanda, li tinkludi piramida tal-fjuri madwar 1695 fuq metru fl-għoli. Bernard Palissy għandu diversi eżempji tax-xogħol tiegħu fil-kollezzjoni inklużi platti, buqar u gandlieri. L-akbar oġġetti fil-kollezzjoni huma serje ta 'stufi taċ-ċeramika mżejna b'mod elaborat mis-sekli 16 u 17, magħmula fil-Ġermanja u fl-Isvizzera. Hemm kollezzjoni bla paragun ta 'Maiolica Taljana u Lustreware minn Spanja. Il-kollezzjoni ta ’fuħħar iznik mit-Turkija hija l-akbar fid-dinja.</v>
      </c>
    </row>
    <row r="2297" ht="15.75" customHeight="1">
      <c r="A2297" s="2" t="s">
        <v>2297</v>
      </c>
      <c r="B2297" s="2" t="str">
        <f>IFERROR(__xludf.DUMMYFUNCTION("GOOGLETRANSLATE(A2297, ""en"", ""mt"")"),"Wara li waqa 'fil-qiegħ tal-baħar")</f>
        <v>Wara li waqa 'fil-qiegħ tal-baħar</v>
      </c>
    </row>
    <row r="2298" ht="15.75" customHeight="1">
      <c r="A2298" s="2" t="s">
        <v>2298</v>
      </c>
      <c r="B2298" s="2" t="str">
        <f>IFERROR(__xludf.DUMMYFUNCTION("GOOGLETRANSLATE(A2298, ""en"", ""mt"")"),"Aħmar-Alka")</f>
        <v>Aħmar-Alka</v>
      </c>
    </row>
    <row r="2299" ht="15.75" customHeight="1">
      <c r="A2299" s="2" t="s">
        <v>2299</v>
      </c>
      <c r="B2299" s="2" t="str">
        <f>IFERROR(__xludf.DUMMYFUNCTION("GOOGLETRANSLATE(A2299, ""en"", ""mt"")"),"X'kien l-isem tal-Ispecial tal-Milied tal-2010?")</f>
        <v>X'kien l-isem tal-Ispecial tal-Milied tal-2010?</v>
      </c>
    </row>
    <row r="2300" ht="15.75" customHeight="1">
      <c r="A2300" s="2" t="s">
        <v>2300</v>
      </c>
      <c r="B2300" s="2" t="str">
        <f>IFERROR(__xludf.DUMMYFUNCTION("GOOGLETRANSLATE(A2300, ""en"", ""mt"")"),"Għal liema relazzjoni ma 'Iżrael huwa Sadat?")</f>
        <v>Għal liema relazzjoni ma 'Iżrael huwa Sadat?</v>
      </c>
    </row>
    <row r="2301" ht="15.75" customHeight="1">
      <c r="A2301" s="2" t="s">
        <v>2301</v>
      </c>
      <c r="B2301" s="2" t="str">
        <f>IFERROR(__xludf.DUMMYFUNCTION("GOOGLETRANSLATE(A2301, ""en"", ""mt"")"),"Fejn beda jgħallem?")</f>
        <v>Fejn beda jgħallem?</v>
      </c>
    </row>
    <row r="2302" ht="15.75" customHeight="1">
      <c r="A2302" s="2" t="s">
        <v>2302</v>
      </c>
      <c r="B2302" s="2" t="str">
        <f>IFERROR(__xludf.DUMMYFUNCTION("GOOGLETRANSLATE(A2302, ""en"", ""mt"")"),"Liema Segretarju tan-NU mar Harvard?")</f>
        <v>Liema Segretarju tan-NU mar Harvard?</v>
      </c>
    </row>
    <row r="2303" ht="15.75" customHeight="1">
      <c r="A2303" s="2" t="s">
        <v>2303</v>
      </c>
      <c r="B2303" s="2" t="str">
        <f>IFERROR(__xludf.DUMMYFUNCTION("GOOGLETRANSLATE(A2303, ""en"", ""mt"")"),"25m nies")</f>
        <v>25m nies</v>
      </c>
    </row>
    <row r="2304" ht="15.75" customHeight="1">
      <c r="A2304" s="2" t="s">
        <v>2304</v>
      </c>
      <c r="B2304" s="2" t="str">
        <f>IFERROR(__xludf.DUMMYFUNCTION("GOOGLETRANSLATE(A2304, ""en"", ""mt"")"),"X'kien in-netwerk tar-radju ewlieni fl-1940s fl-Amerika?")</f>
        <v>X'kien in-netwerk tar-radju ewlieni fl-1940s fl-Amerika?</v>
      </c>
    </row>
    <row r="2305" ht="15.75" customHeight="1">
      <c r="A2305" s="2" t="s">
        <v>2305</v>
      </c>
      <c r="B2305" s="2" t="str">
        <f>IFERROR(__xludf.DUMMYFUNCTION("GOOGLETRANSLATE(A2305, ""en"", ""mt"")"),"Liema dipartiment ħoloq Kublai biex iħarreġ lit-tobba?")</f>
        <v>Liema dipartiment ħoloq Kublai biex iħarreġ lit-tobba?</v>
      </c>
    </row>
    <row r="2306" ht="15.75" customHeight="1">
      <c r="A2306" s="2" t="s">
        <v>2306</v>
      </c>
      <c r="B2306" s="2" t="str">
        <f>IFERROR(__xludf.DUMMYFUNCTION("GOOGLETRANSLATE(A2306, ""en"", ""mt"")"),"Tramuntana")</f>
        <v>Tramuntana</v>
      </c>
    </row>
    <row r="2307" ht="15.75" customHeight="1">
      <c r="A2307" s="2" t="s">
        <v>2307</v>
      </c>
      <c r="B2307" s="2" t="str">
        <f>IFERROR(__xludf.DUMMYFUNCTION("GOOGLETRANSLATE(A2307, ""en"", ""mt"")"),"Liema mija tal-vittmi mhux trattati tal-pesta jmutu fi żmien 8 ijiem?")</f>
        <v>Liema mija tal-vittmi mhux trattati tal-pesta jmutu fi żmien 8 ijiem?</v>
      </c>
    </row>
    <row r="2308" ht="15.75" customHeight="1">
      <c r="A2308" s="2" t="s">
        <v>2308</v>
      </c>
      <c r="B2308" s="2" t="str">
        <f>IFERROR(__xludf.DUMMYFUNCTION("GOOGLETRANSLATE(A2308, ""en"", ""mt"")"),"X'inhu spiss mifhum bħala l-kawża tar-riġidità tal-materja?")</f>
        <v>X'inhu spiss mifhum bħala l-kawża tar-riġidità tal-materja?</v>
      </c>
    </row>
    <row r="2309" ht="15.75" customHeight="1">
      <c r="A2309" s="2" t="s">
        <v>2309</v>
      </c>
      <c r="B2309" s="2" t="str">
        <f>IFERROR(__xludf.DUMMYFUNCTION("GOOGLETRANSLATE(A2309, ""en"", ""mt"")"),"Trespassing f'installazzjoni ta 'missili nukleari")</f>
        <v>Trespassing f'installazzjoni ta 'missili nukleari</v>
      </c>
    </row>
    <row r="2310" ht="15.75" customHeight="1">
      <c r="A2310" s="2" t="s">
        <v>2310</v>
      </c>
      <c r="B2310" s="2" t="str">
        <f>IFERROR(__xludf.DUMMYFUNCTION("GOOGLETRANSLATE(A2310, ""en"", ""mt"")"),"Il-kollezzjonijiet tal-Lvant Imbiegħed jinkludu aktar minn 70,000 xogħol ta 'arti mill-pajjiżi tal-Asja tal-Lvant: iċ-Ċina, il-Ġappun u l-Korea. Il-Gallerija T. T. Tsui tal-Art Ċiniża nfetħet fl-1991, li turi ġabra rappreżentattiva tal-V &amp; bħala madwar 16"&amp;",000 oġġett miċ-Ċina, li tmur mir-4 millennju QK sal-lum. Għalkemm il-biċċa l-kbira tal-arti taħdem fuq il-wiri data mid-dinastiji Ming u Qing, hemm eżempji exquisite ta 'oġġetti li jmorru mid-dinastija Tang u perjodi preċedenti. Notevolment, kap tal-bron"&amp;"ż ta 'metre-għoli tal-Buddha datat għal C.750 AD u wieħed mill-eqdem oġġetti ta' ras ta '2,000 sena minn ras ta' ġada minn difna, skulturi oħra jinkludu gwardjani tal-qabar daqs il-ħajja. Eżempji klassiċi ta 'manifattura Ċiniża huma murija li jinkludu lak"&amp;"er, ħarir, porċellana, ġada u enamel cloisonné. Żewġ ritratti tal-antenati kbar ta 'raġel u mara miżbugħa fl-akwarell fuq il-ħarir joħorġu mis-seklu 18. Hemm tabella unika tal-laker Ċiniż, magħmula fil-workshops imperjali matul ir-renju tal-Imperatur Xuan"&amp;"de fid-dinastija Ming. Eżempji ta 'ħwejjeġ huma murija wkoll. Wieħed mill-ikbar oġġetti huwa sodda minn nofs is-seklu 17. Ix-xogħol ta 'disinjaturi Ċiniżi kontemporanji huwa muri wkoll.")</f>
        <v>Il-kollezzjonijiet tal-Lvant Imbiegħed jinkludu aktar minn 70,000 xogħol ta 'arti mill-pajjiżi tal-Asja tal-Lvant: iċ-Ċina, il-Ġappun u l-Korea. Il-Gallerija T. T. Tsui tal-Art Ċiniża nfetħet fl-1991, li turi ġabra rappreżentattiva tal-V &amp; bħala madwar 16,000 oġġett miċ-Ċina, li tmur mir-4 millennju QK sal-lum. Għalkemm il-biċċa l-kbira tal-arti taħdem fuq il-wiri data mid-dinastiji Ming u Qing, hemm eżempji exquisite ta 'oġġetti li jmorru mid-dinastija Tang u perjodi preċedenti. Notevolment, kap tal-bronż ta 'metre-għoli tal-Buddha datat għal C.750 AD u wieħed mill-eqdem oġġetti ta' ras ta '2,000 sena minn ras ta' ġada minn difna, skulturi oħra jinkludu gwardjani tal-qabar daqs il-ħajja. Eżempji klassiċi ta 'manifattura Ċiniża huma murija li jinkludu laker, ħarir, porċellana, ġada u enamel cloisonné. Żewġ ritratti tal-antenati kbar ta 'raġel u mara miżbugħa fl-akwarell fuq il-ħarir joħorġu mis-seklu 18. Hemm tabella unika tal-laker Ċiniż, magħmula fil-workshops imperjali matul ir-renju tal-Imperatur Xuande fid-dinastija Ming. Eżempji ta 'ħwejjeġ huma murija wkoll. Wieħed mill-ikbar oġġetti huwa sodda minn nofs is-seklu 17. Ix-xogħol ta 'disinjaturi Ċiniżi kontemporanji huwa muri wkoll.</v>
      </c>
    </row>
    <row r="2311" ht="15.75" customHeight="1">
      <c r="A2311" s="2" t="s">
        <v>2311</v>
      </c>
      <c r="B2311" s="2" t="str">
        <f>IFERROR(__xludf.DUMMYFUNCTION("GOOGLETRANSLATE(A2311, ""en"", ""mt"")"),"problema")</f>
        <v>problema</v>
      </c>
    </row>
    <row r="2312" ht="15.75" customHeight="1">
      <c r="A2312" s="2" t="s">
        <v>2312</v>
      </c>
      <c r="B2312" s="2" t="str">
        <f>IFERROR(__xludf.DUMMYFUNCTION("GOOGLETRANSLATE(A2312, ""en"", ""mt"")"),"X'tip ta 'gradjenti għandu cpDNA?")</f>
        <v>X'tip ta 'gradjenti għandu cpDNA?</v>
      </c>
    </row>
    <row r="2313" ht="15.75" customHeight="1">
      <c r="A2313" s="2" t="s">
        <v>2313</v>
      </c>
      <c r="B2313" s="2" t="str">
        <f>IFERROR(__xludf.DUMMYFUNCTION("GOOGLETRANSLATE(A2313, ""en"", ""mt"")"),"1529")</f>
        <v>1529</v>
      </c>
    </row>
    <row r="2314" ht="15.75" customHeight="1">
      <c r="A2314" s="2" t="s">
        <v>2314</v>
      </c>
      <c r="B2314" s="2" t="str">
        <f>IFERROR(__xludf.DUMMYFUNCTION("GOOGLETRANSLATE(A2314, ""en"", ""mt"")"),"Peress li Luther emmen li t-Torok kienu mibgħuta minn Alla, x’kien l-iskop tagħhom?")</f>
        <v>Peress li Luther emmen li t-Torok kienu mibgħuta minn Alla, x’kien l-iskop tagħhom?</v>
      </c>
    </row>
    <row r="2315" ht="15.75" customHeight="1">
      <c r="A2315" s="2" t="s">
        <v>2315</v>
      </c>
      <c r="B2315" s="2" t="str">
        <f>IFERROR(__xludf.DUMMYFUNCTION("GOOGLETRANSLATE(A2315, ""en"", ""mt"")"),"Meta marret il-konferenza ġenerali b'appoġġ għall-ħidma tal-koalizzjoni reliġjuża għall-għażla riproduttiva?")</f>
        <v>Meta marret il-konferenza ġenerali b'appoġġ għall-ħidma tal-koalizzjoni reliġjuża għall-għażla riproduttiva?</v>
      </c>
    </row>
    <row r="2316" ht="15.75" customHeight="1">
      <c r="A2316" s="2" t="s">
        <v>2316</v>
      </c>
      <c r="B2316" s="2" t="str">
        <f>IFERROR(__xludf.DUMMYFUNCTION("GOOGLETRANSLATE(A2316, ""en"", ""mt"")"),"Żjara tal-elettorat")</f>
        <v>Żjara tal-elettorat</v>
      </c>
    </row>
    <row r="2317" ht="15.75" customHeight="1">
      <c r="A2317" s="2" t="s">
        <v>2317</v>
      </c>
      <c r="B2317" s="2" t="str">
        <f>IFERROR(__xludf.DUMMYFUNCTION("GOOGLETRANSLATE(A2317, ""en"", ""mt"")"),"X'inhu mod ieħor kif tirreferi għall-istaturi?")</f>
        <v>X'inhu mod ieħor kif tirreferi għall-istaturi?</v>
      </c>
    </row>
    <row r="2318" ht="15.75" customHeight="1">
      <c r="A2318" s="2" t="s">
        <v>2318</v>
      </c>
      <c r="B2318" s="2" t="str">
        <f>IFERROR(__xludf.DUMMYFUNCTION("GOOGLETRANSLATE(A2318, ""en"", ""mt"")"),"il-50")</f>
        <v>il-50</v>
      </c>
    </row>
    <row r="2319" ht="15.75" customHeight="1">
      <c r="A2319" s="2" t="s">
        <v>2319</v>
      </c>
      <c r="B2319" s="2" t="str">
        <f>IFERROR(__xludf.DUMMYFUNCTION("GOOGLETRANSLATE(A2319, ""en"", ""mt"")"),"X'inhu s-servizz VOD tradizzjonali ta 'ABC bħalissa msemmi?")</f>
        <v>X'inhu s-servizz VOD tradizzjonali ta 'ABC bħalissa msemmi?</v>
      </c>
    </row>
    <row r="2320" ht="15.75" customHeight="1">
      <c r="A2320" s="2" t="s">
        <v>2320</v>
      </c>
      <c r="B2320" s="2" t="str">
        <f>IFERROR(__xludf.DUMMYFUNCTION("GOOGLETRANSLATE(A2320, ""en"", ""mt"")"),"Permezz ta 'Watchespn")</f>
        <v>Permezz ta 'Watchespn</v>
      </c>
    </row>
    <row r="2321" ht="15.75" customHeight="1">
      <c r="A2321" s="2" t="s">
        <v>2321</v>
      </c>
      <c r="B2321" s="2" t="str">
        <f>IFERROR(__xludf.DUMMYFUNCTION("GOOGLETRANSLATE(A2321, ""en"", ""mt"")"),"Meta ġiet skedata t-tielet żjara fil-MNafeld?")</f>
        <v>Meta ġiet skedata t-tielet żjara fil-MNafeld?</v>
      </c>
    </row>
    <row r="2322" ht="15.75" customHeight="1">
      <c r="A2322" s="2" t="s">
        <v>2322</v>
      </c>
      <c r="B2322" s="2" t="str">
        <f>IFERROR(__xludf.DUMMYFUNCTION("GOOGLETRANSLATE(A2322, ""en"", ""mt"")"),"Tehachapis")</f>
        <v>Tehachapis</v>
      </c>
    </row>
    <row r="2323" ht="15.75" customHeight="1">
      <c r="A2323" s="2" t="s">
        <v>2323</v>
      </c>
      <c r="B2323" s="2" t="str">
        <f>IFERROR(__xludf.DUMMYFUNCTION("GOOGLETRANSLATE(A2323, ""en"", ""mt"")"),"Santa Clara, California")</f>
        <v>Santa Clara, California</v>
      </c>
    </row>
    <row r="2324" ht="15.75" customHeight="1">
      <c r="A2324" s="2" t="s">
        <v>2324</v>
      </c>
      <c r="B2324" s="2" t="str">
        <f>IFERROR(__xludf.DUMMYFUNCTION("GOOGLETRANSLATE(A2324, ""en"", ""mt"")"),"X’għamel Luther bħala mezz biex jiskoraġġixxi t-trattament ħażin tal-Lhud?")</f>
        <v>X’għamel Luther bħala mezz biex jiskoraġġixxi t-trattament ħażin tal-Lhud?</v>
      </c>
    </row>
    <row r="2325" ht="15.75" customHeight="1">
      <c r="A2325" s="2" t="s">
        <v>2325</v>
      </c>
      <c r="B2325" s="2" t="str">
        <f>IFERROR(__xludf.DUMMYFUNCTION("GOOGLETRANSLATE(A2325, ""en"", ""mt"")"),"Jean-Claude Juncker")</f>
        <v>Jean-Claude Juncker</v>
      </c>
    </row>
    <row r="2326" ht="15.75" customHeight="1">
      <c r="A2326" s="2" t="s">
        <v>2326</v>
      </c>
      <c r="B2326" s="2" t="str">
        <f>IFERROR(__xludf.DUMMYFUNCTION("GOOGLETRANSLATE(A2326, ""en"", ""mt"")"),"Minn liema ktieb tal-Bibbja qara l-ekwipaġġ ta 'Apollo 8 matul dan il-fluss ta' immaġini?")</f>
        <v>Minn liema ktieb tal-Bibbja qara l-ekwipaġġ ta 'Apollo 8 matul dan il-fluss ta' immaġini?</v>
      </c>
    </row>
    <row r="2327" ht="15.75" customHeight="1">
      <c r="A2327" s="2" t="s">
        <v>2327</v>
      </c>
      <c r="B2327" s="2" t="str">
        <f>IFERROR(__xludf.DUMMYFUNCTION("GOOGLETRANSLATE(A2327, ""en"", ""mt"")"),"L-Iskema ta 'Kontraenti tas-Servizz ta' l-Edukazzjoni tal-Gvern tipprovdi għajnuna finanzjarja għat-tagħlim u miżati oħra ta 'studenti tbiegħdu mill-iskejjel għolja pubbliċi minħabba tfur ta' l-iskrizzjoni. Is-suppliment tat-tariffa tat-tagħlim huwa mmira"&amp;"t għal studenti rreġistrati f'korsijiet ta 'prijorità fi programmi post-sekondarji u mhux tal-grad, inklużi korsijiet vokazzjonali u tekniċi. L-assistenza finanzjarja tal-istudenti tal-edukazzjoni privata hija disponibbli għal gradwati mhux privileġġjati,"&amp;" iżda li jistħoqqilhom l-iskola sekondarja, li jixtiequ jsegwu l-edukazzjoni tal-kulleġġ / teknika f'kulleġġi privati ​​u universitajiet.")</f>
        <v>L-Iskema ta 'Kontraenti tas-Servizz ta' l-Edukazzjoni tal-Gvern tipprovdi għajnuna finanzjarja għat-tagħlim u miżati oħra ta 'studenti tbiegħdu mill-iskejjel għolja pubbliċi minħabba tfur ta' l-iskrizzjoni. Is-suppliment tat-tariffa tat-tagħlim huwa mmirat għal studenti rreġistrati f'korsijiet ta 'prijorità fi programmi post-sekondarji u mhux tal-grad, inklużi korsijiet vokazzjonali u tekniċi. L-assistenza finanzjarja tal-istudenti tal-edukazzjoni privata hija disponibbli għal gradwati mhux privileġġjati, iżda li jistħoqqilhom l-iskola sekondarja, li jixtiequ jsegwu l-edukazzjoni tal-kulleġġ / teknika f'kulleġġi privati ​​u universitajiet.</v>
      </c>
    </row>
    <row r="2328" ht="15.75" customHeight="1">
      <c r="A2328" s="2" t="s">
        <v>2328</v>
      </c>
      <c r="B2328" s="2" t="str">
        <f>IFERROR(__xludf.DUMMYFUNCTION("GOOGLETRANSLATE(A2328, ""en"", ""mt"")"),"teqred")</f>
        <v>teqred</v>
      </c>
    </row>
    <row r="2329" ht="15.75" customHeight="1">
      <c r="A2329" s="2" t="s">
        <v>2329</v>
      </c>
      <c r="B2329" s="2" t="str">
        <f>IFERROR(__xludf.DUMMYFUNCTION("GOOGLETRANSLATE(A2329, ""en"", ""mt"")"),"Mejju 2012")</f>
        <v>Mejju 2012</v>
      </c>
    </row>
    <row r="2330" ht="15.75" customHeight="1">
      <c r="A2330" s="2" t="s">
        <v>2330</v>
      </c>
      <c r="B2330" s="2" t="str">
        <f>IFERROR(__xludf.DUMMYFUNCTION("GOOGLETRANSLATE(A2330, ""en"", ""mt"")"),"Il-Ktieb tat-Talb Komuni")</f>
        <v>Il-Ktieb tat-Talb Komuni</v>
      </c>
    </row>
    <row r="2331" ht="15.75" customHeight="1">
      <c r="A2331" s="2" t="s">
        <v>2331</v>
      </c>
      <c r="B2331" s="2" t="str">
        <f>IFERROR(__xludf.DUMMYFUNCTION("GOOGLETRANSLATE(A2331, ""en"", ""mt"")"),"X'ġara mill-affarijiet ġewwa l-laboratorju wara li ġie mqatta '?")</f>
        <v>X'ġara mill-affarijiet ġewwa l-laboratorju wara li ġie mqatta '?</v>
      </c>
    </row>
    <row r="2332" ht="15.75" customHeight="1">
      <c r="A2332" s="2" t="s">
        <v>2332</v>
      </c>
      <c r="B2332" s="2" t="str">
        <f>IFERROR(__xludf.DUMMYFUNCTION("GOOGLETRANSLATE(A2332, ""en"", ""mt"")"),"X'kienet il-btieħi medji ta 'Ronnie Hillman għal kull ġarr fl-2015?")</f>
        <v>X'kienet il-btieħi medji ta 'Ronnie Hillman għal kull ġarr fl-2015?</v>
      </c>
    </row>
    <row r="2333" ht="15.75" customHeight="1">
      <c r="A2333" s="2" t="s">
        <v>2333</v>
      </c>
      <c r="B2333" s="2" t="str">
        <f>IFERROR(__xludf.DUMMYFUNCTION("GOOGLETRANSLATE(A2333, ""en"", ""mt"")"),"Liema partit kellu rebħa fl-elezzjoni tar-Renju Unit tal-2015?")</f>
        <v>Liema partit kellu rebħa fl-elezzjoni tar-Renju Unit tal-2015?</v>
      </c>
    </row>
    <row r="2334" ht="15.75" customHeight="1">
      <c r="A2334" s="2" t="s">
        <v>2334</v>
      </c>
      <c r="B2334" s="2" t="str">
        <f>IFERROR(__xludf.DUMMYFUNCTION("GOOGLETRANSLATE(A2334, ""en"", ""mt"")"),"Impatt ħafna")</f>
        <v>Impatt ħafna</v>
      </c>
    </row>
    <row r="2335" ht="15.75" customHeight="1">
      <c r="A2335" s="2" t="s">
        <v>2335</v>
      </c>
      <c r="B2335" s="2" t="str">
        <f>IFERROR(__xludf.DUMMYFUNCTION("GOOGLETRANSLATE(A2335, ""en"", ""mt"")"),"regoli")</f>
        <v>regoli</v>
      </c>
    </row>
    <row r="2336" ht="15.75" customHeight="1">
      <c r="A2336" s="2" t="s">
        <v>2336</v>
      </c>
      <c r="B2336" s="2" t="str">
        <f>IFERROR(__xludf.DUMMYFUNCTION("GOOGLETRANSLATE(A2336, ""en"", ""mt"")"),"""Anniversarju tad-Deheb")</f>
        <v>"Anniversarju tad-Deheb</v>
      </c>
    </row>
    <row r="2337" ht="15.75" customHeight="1">
      <c r="A2337" s="2" t="s">
        <v>2337</v>
      </c>
      <c r="B2337" s="2" t="str">
        <f>IFERROR(__xludf.DUMMYFUNCTION("GOOGLETRANSLATE(A2337, ""en"", ""mt"")"),"Seklu 14")</f>
        <v>Seklu 14</v>
      </c>
    </row>
    <row r="2338" ht="15.75" customHeight="1">
      <c r="A2338" s="2" t="s">
        <v>2338</v>
      </c>
      <c r="B2338" s="2" t="str">
        <f>IFERROR(__xludf.DUMMYFUNCTION("GOOGLETRANSLATE(A2338, ""en"", ""mt"")"),"It-tbassir tat-terremot mudelli liema karatteristiċi ta 'terremoti f'Kalifornja?")</f>
        <v>It-tbassir tat-terremot mudelli liema karatteristiċi ta 'terremoti f'Kalifornja?</v>
      </c>
    </row>
    <row r="2339" ht="15.75" customHeight="1">
      <c r="A2339" s="2" t="s">
        <v>2339</v>
      </c>
      <c r="B2339" s="2" t="str">
        <f>IFERROR(__xludf.DUMMYFUNCTION("GOOGLETRANSLATE(A2339, ""en"", ""mt"")"),"tadotta kultura Ċiniża mainstream")</f>
        <v>tadotta kultura Ċiniża mainstream</v>
      </c>
    </row>
    <row r="2340" ht="15.75" customHeight="1">
      <c r="A2340" s="2" t="s">
        <v>2340</v>
      </c>
      <c r="B2340" s="2" t="str">
        <f>IFERROR(__xludf.DUMMYFUNCTION("GOOGLETRANSLATE(A2340, ""en"", ""mt"")"),"X'inhi l-iktar interazzjoni ewlenija dgħajfa?")</f>
        <v>X'inhi l-iktar interazzjoni ewlenija dgħajfa?</v>
      </c>
    </row>
    <row r="2341" ht="15.75" customHeight="1">
      <c r="A2341" s="2" t="s">
        <v>2341</v>
      </c>
      <c r="B2341" s="2" t="str">
        <f>IFERROR(__xludf.DUMMYFUNCTION("GOOGLETRANSLATE(A2341, ""en"", ""mt"")"),"Imperi kolonizzanti")</f>
        <v>Imperi kolonizzanti</v>
      </c>
    </row>
    <row r="2342" ht="15.75" customHeight="1">
      <c r="A2342" s="2" t="s">
        <v>2342</v>
      </c>
      <c r="B2342" s="2" t="str">
        <f>IFERROR(__xludf.DUMMYFUNCTION("GOOGLETRANSLATE(A2342, ""en"", ""mt"")"),"US $ 10 fil-ġimgħa")</f>
        <v>US $ 10 fil-ġimgħa</v>
      </c>
    </row>
    <row r="2343" ht="15.75" customHeight="1">
      <c r="A2343" s="2" t="s">
        <v>2343</v>
      </c>
      <c r="B2343" s="2" t="str">
        <f>IFERROR(__xludf.DUMMYFUNCTION("GOOGLETRANSLATE(A2343, ""en"", ""mt"")"),"Liema bliet Irlandiżi kellhom sindki Huguenot fl-1600 u l-1700s?")</f>
        <v>Liema bliet Irlandiżi kellhom sindki Huguenot fl-1600 u l-1700s?</v>
      </c>
    </row>
    <row r="2344" ht="15.75" customHeight="1">
      <c r="A2344" s="2" t="s">
        <v>2344</v>
      </c>
      <c r="B2344" s="2" t="str">
        <f>IFERROR(__xludf.DUMMYFUNCTION("GOOGLETRANSLATE(A2344, ""en"", ""mt"")"),"Pawiak")</f>
        <v>Pawiak</v>
      </c>
    </row>
    <row r="2345" ht="15.75" customHeight="1">
      <c r="A2345" s="2" t="s">
        <v>2345</v>
      </c>
      <c r="B2345" s="2" t="str">
        <f>IFERROR(__xludf.DUMMYFUNCTION("GOOGLETRANSLATE(A2345, ""en"", ""mt"")"),"Liema kumpanija tal-produzzjoni immexxiet l-intouchables għal CBS fl-1958?")</f>
        <v>Liema kumpanija tal-produzzjoni immexxiet l-intouchables għal CBS fl-1958?</v>
      </c>
    </row>
    <row r="2346" ht="15.75" customHeight="1">
      <c r="A2346" s="2" t="s">
        <v>2346</v>
      </c>
      <c r="B2346" s="2" t="str">
        <f>IFERROR(__xludf.DUMMYFUNCTION("GOOGLETRANSLATE(A2346, ""en"", ""mt"")"),"1888 sa madwar l-1926")</f>
        <v>1888 sa madwar l-1926</v>
      </c>
    </row>
    <row r="2347" ht="15.75" customHeight="1">
      <c r="A2347" s="2" t="s">
        <v>2347</v>
      </c>
      <c r="B2347" s="2" t="str">
        <f>IFERROR(__xludf.DUMMYFUNCTION("GOOGLETRANSLATE(A2347, ""en"", ""mt"")"),"X'jagħmlu l-Bathocyroe u l-Ocyropsis biex jaħarbu l-periklu?")</f>
        <v>X'jagħmlu l-Bathocyroe u l-Ocyropsis biex jaħarbu l-periklu?</v>
      </c>
    </row>
    <row r="2348" ht="15.75" customHeight="1">
      <c r="A2348" s="2" t="s">
        <v>2348</v>
      </c>
      <c r="B2348" s="2" t="str">
        <f>IFERROR(__xludf.DUMMYFUNCTION("GOOGLETRANSLATE(A2348, ""en"", ""mt"")"),"Min kien il-mexxej li stabbilixxa l-kolonja fi Florida?")</f>
        <v>Min kien il-mexxej li stabbilixxa l-kolonja fi Florida?</v>
      </c>
    </row>
    <row r="2349" ht="15.75" customHeight="1">
      <c r="A2349" s="2" t="s">
        <v>2349</v>
      </c>
      <c r="B2349" s="2" t="str">
        <f>IFERROR(__xludf.DUMMYFUNCTION("GOOGLETRANSLATE(A2349, ""en"", ""mt"")"),"Kienu nomadi")</f>
        <v>Kienu nomadi</v>
      </c>
    </row>
    <row r="2350" ht="15.75" customHeight="1">
      <c r="A2350" s="2" t="s">
        <v>2350</v>
      </c>
      <c r="B2350" s="2" t="str">
        <f>IFERROR(__xludf.DUMMYFUNCTION("GOOGLETRANSLATE(A2350, ""en"", ""mt"")"),"enżima msejħa Rubisco")</f>
        <v>enżima msejħa Rubisco</v>
      </c>
    </row>
    <row r="2351" ht="15.75" customHeight="1">
      <c r="A2351" s="2" t="s">
        <v>2351</v>
      </c>
      <c r="B2351" s="2" t="str">
        <f>IFERROR(__xludf.DUMMYFUNCTION("GOOGLETRANSLATE(A2351, ""en"", ""mt"")"),"X'bidliet il-kontenut minerali ta 'blat?")</f>
        <v>X'bidliet il-kontenut minerali ta 'blat?</v>
      </c>
    </row>
    <row r="2352" ht="15.75" customHeight="1">
      <c r="A2352" s="2" t="s">
        <v>2352</v>
      </c>
      <c r="B2352" s="2" t="str">
        <f>IFERROR(__xludf.DUMMYFUNCTION("GOOGLETRANSLATE(A2352, ""en"", ""mt"")"),"Ir-Revoka tal-Editt ta 'Nantes")</f>
        <v>Ir-Revoka tal-Editt ta 'Nantes</v>
      </c>
    </row>
    <row r="2353" ht="15.75" customHeight="1">
      <c r="A2353" s="2" t="s">
        <v>2353</v>
      </c>
      <c r="B2353" s="2" t="str">
        <f>IFERROR(__xludf.DUMMYFUNCTION("GOOGLETRANSLATE(A2353, ""en"", ""mt"")"),"testendi l-benefiċċji tan-netwerking")</f>
        <v>testendi l-benefiċċji tan-netwerking</v>
      </c>
    </row>
    <row r="2354" ht="15.75" customHeight="1">
      <c r="A2354" s="2" t="s">
        <v>2354</v>
      </c>
      <c r="B2354" s="2" t="str">
        <f>IFERROR(__xludf.DUMMYFUNCTION("GOOGLETRANSLATE(A2354, ""en"", ""mt"")"),"orfni mit-tribù maħkuma")</f>
        <v>orfni mit-tribù maħkuma</v>
      </c>
    </row>
    <row r="2355" ht="15.75" customHeight="1">
      <c r="A2355" s="2" t="s">
        <v>2355</v>
      </c>
      <c r="B2355" s="2" t="str">
        <f>IFERROR(__xludf.DUMMYFUNCTION("GOOGLETRANSLATE(A2355, ""en"", ""mt"")"),"Biex tenfasizza l-akkademiċi fuq l-atletika,")</f>
        <v>Biex tenfasizza l-akkademiċi fuq l-atletika,</v>
      </c>
    </row>
    <row r="2356" ht="15.75" customHeight="1">
      <c r="A2356" s="2" t="s">
        <v>2356</v>
      </c>
      <c r="B2356" s="2" t="str">
        <f>IFERROR(__xludf.DUMMYFUNCTION("GOOGLETRANSLATE(A2356, ""en"", ""mt"")"),"William H. Maxwell")</f>
        <v>William H. Maxwell</v>
      </c>
    </row>
    <row r="2357" ht="15.75" customHeight="1">
      <c r="A2357" s="2" t="s">
        <v>2357</v>
      </c>
      <c r="B2357" s="2" t="str">
        <f>IFERROR(__xludf.DUMMYFUNCTION("GOOGLETRANSLATE(A2357, ""en"", ""mt"")"),"232")</f>
        <v>232</v>
      </c>
    </row>
    <row r="2358" ht="15.75" customHeight="1">
      <c r="A2358" s="2" t="s">
        <v>2358</v>
      </c>
      <c r="B2358" s="2" t="str">
        <f>IFERROR(__xludf.DUMMYFUNCTION("GOOGLETRANSLATE(A2358, ""en"", ""mt"")"),"X'kienet raġuni mhux reliġjuża għall-massakru?")</f>
        <v>X'kienet raġuni mhux reliġjuża għall-massakru?</v>
      </c>
    </row>
    <row r="2359" ht="15.75" customHeight="1">
      <c r="A2359" s="2" t="s">
        <v>2359</v>
      </c>
      <c r="B2359" s="2" t="str">
        <f>IFERROR(__xludf.DUMMYFUNCTION("GOOGLETRANSLATE(A2359, ""en"", ""mt"")"),"Inqas minn $ 1.25 kuljum")</f>
        <v>Inqas minn $ 1.25 kuljum</v>
      </c>
    </row>
    <row r="2360" ht="15.75" customHeight="1">
      <c r="A2360" s="2" t="s">
        <v>2360</v>
      </c>
      <c r="B2360" s="2" t="str">
        <f>IFERROR(__xludf.DUMMYFUNCTION("GOOGLETRANSLATE(A2360, ""en"", ""mt"")"),"Fil-biċċa l-kbira tal-ġurisdizzjonijiet (bħall-Istati Uniti), l-ispiżjara huma rregolati separatament minn tobba. Dawn il-ġurisdizzjonijiet ġeneralment jispeċifikaw li l-ispiżjara biss jistgħu jfornu farmaċewtiċi skedati lill-pubbliku, u li l-ispiżjara ma"&amp;" jistgħux jiffurmaw sħubijiet kummerċjali ma 'tobba jew jagħtuhom ħlasijiet ta' ""kickback"". Madankollu, il-Kodiċi ta 'Etika tal-Assoċjazzjoni Medika Amerikana (AMA) jipprovdi li t-tobba jistgħu jwarrbu d-drogi fil-prattiki tal-uffiċċju tagħhom sakemm ma"&amp;" jkun hemm l-ebda sfruttament tal-pazjenti u l-pazjenti jkollhom id-dritt għal preskrizzjoni bil-miktub li tista' timtela x'imkien ieħor. 7 sa 10 fil-mija tal-prattiki tat-tobba Amerikani rrappurtaw li jwarrbu d-droga waħedhom.")</f>
        <v>Fil-biċċa l-kbira tal-ġurisdizzjonijiet (bħall-Istati Uniti), l-ispiżjara huma rregolati separatament minn tobba. Dawn il-ġurisdizzjonijiet ġeneralment jispeċifikaw li l-ispiżjara biss jistgħu jfornu farmaċewtiċi skedati lill-pubbliku, u li l-ispiżjara ma jistgħux jiffurmaw sħubijiet kummerċjali ma 'tobba jew jagħtuhom ħlasijiet ta' "kickback". Madankollu, il-Kodiċi ta 'Etika tal-Assoċjazzjoni Medika Amerikana (AMA) jipprovdi li t-tobba jistgħu jwarrbu d-drogi fil-prattiki tal-uffiċċju tagħhom sakemm ma jkun hemm l-ebda sfruttament tal-pazjenti u l-pazjenti jkollhom id-dritt għal preskrizzjoni bil-miktub li tista' timtela x'imkien ieħor. 7 sa 10 fil-mija tal-prattiki tat-tobba Amerikani rrappurtaw li jwarrbu d-droga waħedhom.</v>
      </c>
    </row>
    <row r="2361" ht="15.75" customHeight="1">
      <c r="A2361" s="2" t="s">
        <v>2361</v>
      </c>
      <c r="B2361" s="2" t="str">
        <f>IFERROR(__xludf.DUMMYFUNCTION("GOOGLETRANSLATE(A2361, ""en"", ""mt"")"),"F'liema episodju l-ħdax-il tabib jirrikonoxxi n-numru tiegħu?")</f>
        <v>F'liema episodju l-ħdax-il tabib jirrikonoxxi n-numru tiegħu?</v>
      </c>
    </row>
    <row r="2362" ht="15.75" customHeight="1">
      <c r="A2362" s="2" t="s">
        <v>2362</v>
      </c>
      <c r="B2362" s="2" t="str">
        <f>IFERROR(__xludf.DUMMYFUNCTION("GOOGLETRANSLATE(A2362, ""en"", ""mt"")"),"Min għen biex jiżviluppa l-ewwel reazzjoni nukleari magħmula minnha nnifisha?")</f>
        <v>Min għen biex jiżviluppa l-ewwel reazzjoni nukleari magħmula minnha nnifisha?</v>
      </c>
    </row>
    <row r="2363" ht="15.75" customHeight="1">
      <c r="A2363" s="2" t="s">
        <v>2363</v>
      </c>
      <c r="B2363" s="2" t="str">
        <f>IFERROR(__xludf.DUMMYFUNCTION("GOOGLETRANSLATE(A2363, ""en"", ""mt"")"),"X'kienet l-ideoloġija uffiċjali ta 'Zia-ul-Haq?")</f>
        <v>X'kienet l-ideoloġija uffiċjali ta 'Zia-ul-Haq?</v>
      </c>
    </row>
    <row r="2364" ht="15.75" customHeight="1">
      <c r="A2364" s="2" t="s">
        <v>2364</v>
      </c>
      <c r="B2364" s="2" t="str">
        <f>IFERROR(__xludf.DUMMYFUNCTION("GOOGLETRANSLATE(A2364, ""en"", ""mt"")"),"Min kien famuż għad-diżubbidjenza kontra kollettur tat-taxxa?")</f>
        <v>Min kien famuż għad-diżubbidjenza kontra kollettur tat-taxxa?</v>
      </c>
    </row>
    <row r="2365" ht="15.75" customHeight="1">
      <c r="A2365" s="2" t="s">
        <v>2365</v>
      </c>
      <c r="B2365" s="2" t="str">
        <f>IFERROR(__xludf.DUMMYFUNCTION("GOOGLETRANSLATE(A2365, ""en"", ""mt"")"),"Minn April 2014, hemm 88 skejjel privati ​​fi New Zealand, li jħejju għal madwar 28,000 student jew 3.7% tal-popolazzjoni tal-istudenti kollha. In-numri ta 'skejjel privati ​​ilhom jonqsu minn nofs is-snin sebgħin bħala riżultat ta' ħafna skejjel privati "&amp;"​​li jagħżlu li jsiru skejjel integrati fl-istat, l-aktar dovuti minn diffikultajiet finanzjarji li joħorġu minn bidliet fin-numri tal-istudenti u / jew fl-ekonomija. L-iskejjel integrati fl-istat iżommu l-karattru speċjali tal-iskola privata tagħhom u ji"&amp;"rċievu fondi tal-istat biex ikollhom joperaw bħal skola tal-istat, p.e. Għandhom jgħallmu l-kurrikulu tal-istat, iridu jimpjegaw għalliema rreġistrati, u ma jistgħux jiċċarġjaw miżati ta 'tagħlim (jistgħu jiċċarġjaw ""drittijiet ta' attendenza"" għaż-żamm"&amp;"a fuq l-art u l-bini tal-iskola li għadha privata). L-akbar tnaqqis fin-numri tal-iskejjel privati ​​seħħ bejn l-1979 u l-1984, meta s-sistema skolastika Kattolika ta 'dak iż-żmien kienet integrata. Bħala riżultat, skejjel privati ​​fi New Zealand issa hu"&amp;"ma fil-biċċa l-kbira ristretti għall-ikbar bliet (Auckland, Hamilton, Wellington u Christchurch) u swieq niċċa.")</f>
        <v>Minn April 2014, hemm 88 skejjel privati ​​fi New Zealand, li jħejju għal madwar 28,000 student jew 3.7% tal-popolazzjoni tal-istudenti kollha. In-numri ta 'skejjel privati ​​ilhom jonqsu minn nofs is-snin sebgħin bħala riżultat ta' ħafna skejjel privati ​​li jagħżlu li jsiru skejjel integrati fl-istat, l-aktar dovuti minn diffikultajiet finanzjarji li joħorġu minn bidliet fin-numri tal-istudenti u / jew fl-ekonomija. L-iskejjel integrati fl-istat iżommu l-karattru speċjali tal-iskola privata tagħhom u jirċievu fondi tal-istat biex ikollhom joperaw bħal skola tal-istat, p.e. Għandhom jgħallmu l-kurrikulu tal-istat, iridu jimpjegaw għalliema rreġistrati, u ma jistgħux jiċċarġjaw miżati ta 'tagħlim (jistgħu jiċċarġjaw "drittijiet ta' attendenza" għaż-żamma fuq l-art u l-bini tal-iskola li għadha privata). L-akbar tnaqqis fin-numri tal-iskejjel privati ​​seħħ bejn l-1979 u l-1984, meta s-sistema skolastika Kattolika ta 'dak iż-żmien kienet integrata. Bħala riżultat, skejjel privati ​​fi New Zealand issa huma fil-biċċa l-kbira ristretti għall-ikbar bliet (Auckland, Hamilton, Wellington u Christchurch) u swieq niċċa.</v>
      </c>
    </row>
    <row r="2366" ht="15.75" customHeight="1">
      <c r="A2366" s="2" t="s">
        <v>2366</v>
      </c>
      <c r="B2366" s="2" t="str">
        <f>IFERROR(__xludf.DUMMYFUNCTION("GOOGLETRANSLATE(A2366, ""en"", ""mt"")"),"Ir-Raba 'Gwerra Interkolonjali u l-Gwerra l-Kbira għall-Imperu")</f>
        <v>Ir-Raba 'Gwerra Interkolonjali u l-Gwerra l-Kbira għall-Imperu</v>
      </c>
    </row>
    <row r="2367" ht="15.75" customHeight="1">
      <c r="A2367" s="2" t="s">
        <v>2367</v>
      </c>
      <c r="B2367" s="2" t="str">
        <f>IFERROR(__xludf.DUMMYFUNCTION("GOOGLETRANSLATE(A2367, ""en"", ""mt"")"),"fażi ta 'setup f'kull nodu involut")</f>
        <v>fażi ta 'setup f'kull nodu involut</v>
      </c>
    </row>
    <row r="2368" ht="15.75" customHeight="1">
      <c r="A2368" s="2" t="s">
        <v>2368</v>
      </c>
      <c r="B2368" s="2" t="str">
        <f>IFERROR(__xludf.DUMMYFUNCTION("GOOGLETRANSLATE(A2368, ""en"", ""mt"")"),"Liema suġġett għandhom tipikament il-kontijiet privati?")</f>
        <v>Liema suġġett għandhom tipikament il-kontijiet privati?</v>
      </c>
    </row>
    <row r="2369" ht="15.75" customHeight="1">
      <c r="A2369" s="2" t="s">
        <v>2369</v>
      </c>
      <c r="B2369" s="2" t="str">
        <f>IFERROR(__xludf.DUMMYFUNCTION("GOOGLETRANSLATE(A2369, ""en"", ""mt"")"),"Jannar 1985")</f>
        <v>Jannar 1985</v>
      </c>
    </row>
    <row r="2370" ht="15.75" customHeight="1">
      <c r="A2370" s="2" t="s">
        <v>2370</v>
      </c>
      <c r="B2370" s="2" t="str">
        <f>IFERROR(__xludf.DUMMYFUNCTION("GOOGLETRANSLATE(A2370, ""en"", ""mt"")"),"Iġġustifikat biss kontra entitajiet governattivi")</f>
        <v>Iġġustifikat biss kontra entitajiet governattivi</v>
      </c>
    </row>
    <row r="2371" ht="15.75" customHeight="1">
      <c r="A2371" s="2" t="s">
        <v>2371</v>
      </c>
      <c r="B2371" s="2" t="str">
        <f>IFERROR(__xludf.DUMMYFUNCTION("GOOGLETRANSLATE(A2371, ""en"", ""mt"")"),"Flimkien ma 'skejjel mhux governattivi u mhux statali, x'inhu isem ieħor għal skejjel privati?")</f>
        <v>Flimkien ma 'skejjel mhux governattivi u mhux statali, x'inhu isem ieħor għal skejjel privati?</v>
      </c>
    </row>
    <row r="2372" ht="15.75" customHeight="1">
      <c r="A2372" s="2" t="s">
        <v>2372</v>
      </c>
      <c r="B2372" s="2" t="str">
        <f>IFERROR(__xludf.DUMMYFUNCTION("GOOGLETRANSLATE(A2372, ""en"", ""mt"")"),"Fis-7 ta 'Jannar 1900")</f>
        <v>Fis-7 ta 'Jannar 1900</v>
      </c>
    </row>
    <row r="2373" ht="15.75" customHeight="1">
      <c r="A2373" s="2" t="s">
        <v>2373</v>
      </c>
      <c r="B2373" s="2" t="str">
        <f>IFERROR(__xludf.DUMMYFUNCTION("GOOGLETRANSLATE(A2373, ""en"", ""mt"")"),"Meta kienet il-Gran Brittanja tista 'ssir wirja?")</f>
        <v>Meta kienet il-Gran Brittanja tista 'ssir wirja?</v>
      </c>
    </row>
    <row r="2374" ht="15.75" customHeight="1">
      <c r="A2374" s="2" t="s">
        <v>2374</v>
      </c>
      <c r="B2374" s="2" t="str">
        <f>IFERROR(__xludf.DUMMYFUNCTION("GOOGLETRANSLATE(A2374, ""en"", ""mt"")"),"X’qal Biraben dwar il-pesta fl-Ewropa?")</f>
        <v>X’qal Biraben dwar il-pesta fl-Ewropa?</v>
      </c>
    </row>
    <row r="2375" ht="15.75" customHeight="1">
      <c r="A2375" s="2" t="s">
        <v>2375</v>
      </c>
      <c r="B2375" s="2" t="str">
        <f>IFERROR(__xludf.DUMMYFUNCTION("GOOGLETRANSLATE(A2375, ""en"", ""mt"")"),"Minbarra ż-żona metropolitana ta 'San Diego, ma' liema żona oħra huma l-komunitajiet tul l-istati 15 u 215 konnessi?")</f>
        <v>Minbarra ż-żona metropolitana ta 'San Diego, ma' liema żona oħra huma l-komunitajiet tul l-istati 15 u 215 konnessi?</v>
      </c>
    </row>
    <row r="2376" ht="15.75" customHeight="1">
      <c r="A2376" s="2" t="s">
        <v>2376</v>
      </c>
      <c r="B2376" s="2" t="str">
        <f>IFERROR(__xludf.DUMMYFUNCTION("GOOGLETRANSLATE(A2376, ""en"", ""mt"")"),"Qaddisin Kattoliċi Frail")</f>
        <v>Qaddisin Kattoliċi Frail</v>
      </c>
    </row>
    <row r="2377" ht="15.75" customHeight="1">
      <c r="A2377" s="2" t="s">
        <v>2377</v>
      </c>
      <c r="B2377" s="2" t="str">
        <f>IFERROR(__xludf.DUMMYFUNCTION("GOOGLETRANSLATE(A2377, ""en"", ""mt"")"),"Liema forma ta 'mewt Jamukha jittama li Temüjin kien jippermettilu?")</f>
        <v>Liema forma ta 'mewt Jamukha jittama li Temüjin kien jippermettilu?</v>
      </c>
    </row>
    <row r="2378" ht="15.75" customHeight="1">
      <c r="A2378" s="2" t="s">
        <v>2378</v>
      </c>
      <c r="B2378" s="2" t="str">
        <f>IFERROR(__xludf.DUMMYFUNCTION("GOOGLETRANSLATE(A2378, ""en"", ""mt"")"),"Il-Pont John W. Weeks")</f>
        <v>Il-Pont John W. Weeks</v>
      </c>
    </row>
    <row r="2379" ht="15.75" customHeight="1">
      <c r="A2379" s="2" t="s">
        <v>2379</v>
      </c>
      <c r="B2379" s="2" t="str">
        <f>IFERROR(__xludf.DUMMYFUNCTION("GOOGLETRANSLATE(A2379, ""en"", ""mt"")"),"ix-xokk taż-żejt")</f>
        <v>ix-xokk taż-żejt</v>
      </c>
    </row>
    <row r="2380" ht="15.75" customHeight="1">
      <c r="A2380" s="2" t="s">
        <v>2380</v>
      </c>
      <c r="B2380" s="2" t="str">
        <f>IFERROR(__xludf.DUMMYFUNCTION("GOOGLETRANSLATE(A2380, ""en"", ""mt"")"),"ugwali fil-kobor")</f>
        <v>ugwali fil-kobor</v>
      </c>
    </row>
    <row r="2381" ht="15.75" customHeight="1">
      <c r="A2381" s="2" t="s">
        <v>2381</v>
      </c>
      <c r="B2381" s="2" t="str">
        <f>IFERROR(__xludf.DUMMYFUNCTION("GOOGLETRANSLATE(A2381, ""en"", ""mt"")"),"Fl-1466, forsi 40,000 persuna mietu bil-pesta f'Pariġi. Matul is-sekli 16 u 17, il-pesta kienet preżenti f'Pariġi madwar 30 fil-mija tal-ħin. Il-Black Death ħarbtu l-Ewropa għal tliet snin qabel ma kompliet fir-Russja, fejn il-marda kienet preżenti x'imki"&amp;"en fil-pajjiż 25 darba bejn l-1350 sal-1490. L-epidemiji tal-pesta ħarbtu Londra fl-1563, 1593, 1603, 1625, 1636, u 1665, tnaqqas il-popolazzjoni tagħha b'10 sa 30% matul dawk is-snin. Aktar minn 10% tal-popolazzjoni ta 'Amsterdam mietet fl-1623-25, u għa"&amp;"l darb'oħra fl-1635–36, 1655 u 1664. Il-pesta seħħet f'Venezja 22 darba bejn l-1361 u l-1528. Il-pesta ta' 1576-77 qatlet 50,000 f'Venezja, kważi terz ta ' il-popolazzjoni. Tfaqqigħ tard fl-Ewropa Ċentrali kien jinkludi l-pesta Taljana tal-1629-1631, li h"&amp;"ija assoċjata ma 'movimenti tat-truppi matul il-gwerra tat-tletin sena, u l-pesta kbira ta' Vjenna fl-1679. Aktar minn 60% tal-popolazzjoni tan-Norveġja mietet fl-1348-50. L-aħħar tifqigħa tal-pesta ħarbgħet lil Oslo fl-1654.")</f>
        <v>Fl-1466, forsi 40,000 persuna mietu bil-pesta f'Pariġi. Matul is-sekli 16 u 17, il-pesta kienet preżenti f'Pariġi madwar 30 fil-mija tal-ħin. Il-Black Death ħarbtu l-Ewropa għal tliet snin qabel ma kompliet fir-Russja, fejn il-marda kienet preżenti x'imkien fil-pajjiż 25 darba bejn l-1350 sal-1490. L-epidemiji tal-pesta ħarbtu Londra fl-1563, 1593, 1603, 1625, 1636, u 1665, tnaqqas il-popolazzjoni tagħha b'10 sa 30% matul dawk is-snin. Aktar minn 10% tal-popolazzjoni ta 'Amsterdam mietet fl-1623-25, u għal darb'oħra fl-1635–36, 1655 u 1664. Il-pesta seħħet f'Venezja 22 darba bejn l-1361 u l-1528. Il-pesta ta' 1576-77 qatlet 50,000 f'Venezja, kważi terz ta ' il-popolazzjoni. Tfaqqigħ tard fl-Ewropa Ċentrali kien jinkludi l-pesta Taljana tal-1629-1631, li hija assoċjata ma 'movimenti tat-truppi matul il-gwerra tat-tletin sena, u l-pesta kbira ta' Vjenna fl-1679. Aktar minn 60% tal-popolazzjoni tan-Norveġja mietet fl-1348-50. L-aħħar tifqigħa tal-pesta ħarbgħet lil Oslo fl-1654.</v>
      </c>
    </row>
    <row r="2382" ht="15.75" customHeight="1">
      <c r="A2382" s="2" t="s">
        <v>2382</v>
      </c>
      <c r="B2382" s="2" t="str">
        <f>IFERROR(__xludf.DUMMYFUNCTION("GOOGLETRANSLATE(A2382, ""en"", ""mt"")"),"X'kienet it-twemmin li ż-żamma tal-moviment kienet teħtieġ il-forza?")</f>
        <v>X'kienet it-twemmin li ż-żamma tal-moviment kienet teħtieġ il-forza?</v>
      </c>
    </row>
    <row r="2383" ht="15.75" customHeight="1">
      <c r="A2383" s="2" t="s">
        <v>2383</v>
      </c>
      <c r="B2383" s="2" t="str">
        <f>IFERROR(__xludf.DUMMYFUNCTION("GOOGLETRANSLATE(A2383, ""en"", ""mt"")"),"maħsub li żvantaġġja l-applikanti tal-minoranza bi dħul baxx u mhux rappreżentati")</f>
        <v>maħsub li żvantaġġja l-applikanti tal-minoranza bi dħul baxx u mhux rappreżentati</v>
      </c>
    </row>
    <row r="2384" ht="15.75" customHeight="1">
      <c r="A2384" s="2" t="s">
        <v>2384</v>
      </c>
      <c r="B2384" s="2" t="str">
        <f>IFERROR(__xludf.DUMMYFUNCTION("GOOGLETRANSLATE(A2384, ""en"", ""mt"")"),"Fil-granuli tal-lamtu tal-amilopectin li jinsabu fiċ-ċitoplasma tagħhom")</f>
        <v>Fil-granuli tal-lamtu tal-amilopectin li jinsabu fiċ-ċitoplasma tagħhom</v>
      </c>
    </row>
    <row r="2385" ht="15.75" customHeight="1">
      <c r="A2385" s="2" t="s">
        <v>2385</v>
      </c>
      <c r="B2385" s="2" t="str">
        <f>IFERROR(__xludf.DUMMYFUNCTION("GOOGLETRANSLATE(A2385, ""en"", ""mt"")"),"Wirit minn kull tifla taċ-ċellula waqt id-diviżjoni taċ-ċellula")</f>
        <v>Wirit minn kull tifla taċ-ċellula waqt id-diviżjoni taċ-ċellula</v>
      </c>
    </row>
    <row r="2386" ht="15.75" customHeight="1">
      <c r="A2386" s="2" t="s">
        <v>2386</v>
      </c>
      <c r="B2386" s="2" t="str">
        <f>IFERROR(__xludf.DUMMYFUNCTION("GOOGLETRANSLATE(A2386, ""en"", ""mt"")"),"Liema element kimiku kienet il-kawża tar-riżultat diżastruż ta 'Apollo 1?")</f>
        <v>Liema element kimiku kienet il-kawża tar-riżultat diżastruż ta 'Apollo 1?</v>
      </c>
    </row>
    <row r="2387" ht="15.75" customHeight="1">
      <c r="A2387" s="2" t="s">
        <v>2387</v>
      </c>
      <c r="B2387" s="2" t="str">
        <f>IFERROR(__xludf.DUMMYFUNCTION("GOOGLETRANSLATE(A2387, ""en"", ""mt"")"),"privatament fl-uffiċċju tal-prinċipal")</f>
        <v>privatament fl-uffiċċju tal-prinċipal</v>
      </c>
    </row>
    <row r="2388" ht="15.75" customHeight="1">
      <c r="A2388" s="2" t="s">
        <v>2388</v>
      </c>
      <c r="B2388" s="2" t="str">
        <f>IFERROR(__xludf.DUMMYFUNCTION("GOOGLETRANSLATE(A2388, ""en"", ""mt"")"),"X'iktar jikkontribwixxi għall-maltempati tas-sajf ta 'Jacksonville minbarra l-art li tisħon ħdejn l-ilma?")</f>
        <v>X'iktar jikkontribwixxi għall-maltempati tas-sajf ta 'Jacksonville minbarra l-art li tisħon ħdejn l-ilma?</v>
      </c>
    </row>
    <row r="2389" ht="15.75" customHeight="1">
      <c r="A2389" s="2" t="s">
        <v>2389</v>
      </c>
      <c r="B2389" s="2" t="str">
        <f>IFERROR(__xludf.DUMMYFUNCTION("GOOGLETRANSLATE(A2389, ""en"", ""mt"")"),"X'inhi xibka kumplessa ta 'kuntratti u obbligi legali oħra?")</f>
        <v>X'inhi xibka kumplessa ta 'kuntratti u obbligi legali oħra?</v>
      </c>
    </row>
    <row r="2390" ht="15.75" customHeight="1">
      <c r="A2390" s="2" t="s">
        <v>2390</v>
      </c>
      <c r="B2390" s="2" t="str">
        <f>IFERROR(__xludf.DUMMYFUNCTION("GOOGLETRANSLATE(A2390, ""en"", ""mt"")"),"Kemm hemm Musulmani fil-Greater London?")</f>
        <v>Kemm hemm Musulmani fil-Greater London?</v>
      </c>
    </row>
    <row r="2391" ht="15.75" customHeight="1">
      <c r="A2391" s="2" t="s">
        <v>2391</v>
      </c>
      <c r="B2391" s="2" t="str">
        <f>IFERROR(__xludf.DUMMYFUNCTION("GOOGLETRANSLATE(A2391, ""en"", ""mt"")"),"It-traduzzjoni tiegħu tal-Bibbja fil-vernakolari (minflok il-Latin) għamilha aktar aċċessibbli, li kellha impatt tremend fuq il-knisja u l-kultura Ġermaniża. Huwa trawwem l-iżvilupp ta 'verżjoni standard tal-lingwa Ġermaniża, żied diversi prinċipji mal-ar"&amp;"ti tat-traduzzjoni, u influwenza l-kitba ta' traduzzjoni bl-Ingliż, il-Bibbja Tyndale. L-innijiet tiegħu influwenzaw l-iżvilupp tal-kant fil-knejjes. Iż-żwieġ tiegħu ma 'Katharina von Bora waqqaf mudell għall-prattika taż-żwieġ klerikali, li jippermetti l"&amp;"ill-kleru Protestant jiżżewweġ.")</f>
        <v>It-traduzzjoni tiegħu tal-Bibbja fil-vernakolari (minflok il-Latin) għamilha aktar aċċessibbli, li kellha impatt tremend fuq il-knisja u l-kultura Ġermaniża. Huwa trawwem l-iżvilupp ta 'verżjoni standard tal-lingwa Ġermaniża, żied diversi prinċipji mal-arti tat-traduzzjoni, u influwenza l-kitba ta' traduzzjoni bl-Ingliż, il-Bibbja Tyndale. L-innijiet tiegħu influwenzaw l-iżvilupp tal-kant fil-knejjes. Iż-żwieġ tiegħu ma 'Katharina von Bora waqqaf mudell għall-prattika taż-żwieġ klerikali, li jippermetti lill-kleru Protestant jiżżewweġ.</v>
      </c>
    </row>
    <row r="2392" ht="15.75" customHeight="1">
      <c r="A2392" s="2" t="s">
        <v>2392</v>
      </c>
      <c r="B2392" s="2" t="str">
        <f>IFERROR(__xludf.DUMMYFUNCTION("GOOGLETRANSLATE(A2392, ""en"", ""mt"")"),"L-aħħar battalji ta 'Luther: Politics and Polemics 1531–46")</f>
        <v>L-aħħar battalji ta 'Luther: Politics and Polemics 1531–46</v>
      </c>
    </row>
    <row r="2393" ht="15.75" customHeight="1">
      <c r="A2393" s="2" t="s">
        <v>2393</v>
      </c>
      <c r="B2393" s="2" t="str">
        <f>IFERROR(__xludf.DUMMYFUNCTION("GOOGLETRANSLATE(A2393, ""en"", ""mt"")"),"Liema premju ngħata lil Tesla?")</f>
        <v>Liema premju ngħata lil Tesla?</v>
      </c>
    </row>
    <row r="2394" ht="15.75" customHeight="1">
      <c r="A2394" s="2" t="s">
        <v>2394</v>
      </c>
      <c r="B2394" s="2" t="str">
        <f>IFERROR(__xludf.DUMMYFUNCTION("GOOGLETRANSLATE(A2394, ""en"", ""mt"")"),"Scoil Phríobháideach")</f>
        <v>Scoil Phríobháideach</v>
      </c>
    </row>
    <row r="2395" ht="15.75" customHeight="1">
      <c r="A2395" s="2" t="s">
        <v>2395</v>
      </c>
      <c r="B2395" s="2" t="str">
        <f>IFERROR(__xludf.DUMMYFUNCTION("GOOGLETRANSLATE(A2395, ""en"", ""mt"")"),"Alla")</f>
        <v>Alla</v>
      </c>
    </row>
    <row r="2396" ht="15.75" customHeight="1">
      <c r="A2396" s="2" t="s">
        <v>2396</v>
      </c>
      <c r="B2396" s="2" t="str">
        <f>IFERROR(__xludf.DUMMYFUNCTION("GOOGLETRANSLATE(A2396, ""en"", ""mt"")"),"Rugby")</f>
        <v>Rugby</v>
      </c>
    </row>
    <row r="2397" ht="15.75" customHeight="1">
      <c r="A2397" s="2" t="s">
        <v>2397</v>
      </c>
      <c r="B2397" s="2" t="str">
        <f>IFERROR(__xludf.DUMMYFUNCTION("GOOGLETRANSLATE(A2397, ""en"", ""mt"")"),"Ipprovdi interkonnessjoni ta 'veloċità għolja bejn ċentri ta' superkompjuters sponsorjati mill-NSF u tagħżel punti ta 'aċċess fl-Istati Uniti")</f>
        <v>Ipprovdi interkonnessjoni ta 'veloċità għolja bejn ċentri ta' superkompjuters sponsorjati mill-NSF u tagħżel punti ta 'aċċess fl-Istati Uniti</v>
      </c>
    </row>
    <row r="2398" ht="15.75" customHeight="1">
      <c r="A2398" s="2" t="s">
        <v>2398</v>
      </c>
      <c r="B2398" s="2" t="str">
        <f>IFERROR(__xludf.DUMMYFUNCTION("GOOGLETRANSLATE(A2398, ""en"", ""mt"")"),"kloroplasti u plastidi oħra")</f>
        <v>kloroplasti u plastidi oħra</v>
      </c>
    </row>
    <row r="2399" ht="15.75" customHeight="1">
      <c r="A2399" s="2" t="s">
        <v>2399</v>
      </c>
      <c r="B2399" s="2" t="str">
        <f>IFERROR(__xludf.DUMMYFUNCTION("GOOGLETRANSLATE(A2399, ""en"", ""mt"")"),"Marburg Colloquy")</f>
        <v>Marburg Colloquy</v>
      </c>
    </row>
    <row r="2400" ht="15.75" customHeight="1">
      <c r="A2400" s="2" t="s">
        <v>2400</v>
      </c>
      <c r="B2400" s="2" t="str">
        <f>IFERROR(__xludf.DUMMYFUNCTION("GOOGLETRANSLATE(A2400, ""en"", ""mt"")"),"Universitajiet ta 'Newcastle u Northumbria")</f>
        <v>Universitajiet ta 'Newcastle u Northumbria</v>
      </c>
    </row>
    <row r="2401" ht="15.75" customHeight="1">
      <c r="A2401" s="2" t="s">
        <v>2401</v>
      </c>
      <c r="B2401" s="2" t="str">
        <f>IFERROR(__xludf.DUMMYFUNCTION("GOOGLETRANSLATE(A2401, ""en"", ""mt"")"),"Liema prinċipju huwa bbażat fuq id-dehra tal-fossili fil-blat sedimentarji?")</f>
        <v>Liema prinċipju huwa bbażat fuq id-dehra tal-fossili fil-blat sedimentarji?</v>
      </c>
    </row>
    <row r="2402" ht="15.75" customHeight="1">
      <c r="A2402" s="2" t="s">
        <v>2402</v>
      </c>
      <c r="B2402" s="2" t="str">
        <f>IFERROR(__xludf.DUMMYFUNCTION("GOOGLETRANSLATE(A2402, ""en"", ""mt"")"),"Lil min kien dirett il-Katekiżmu l-Kbir?")</f>
        <v>Lil min kien dirett il-Katekiżmu l-Kbir?</v>
      </c>
    </row>
    <row r="2403" ht="15.75" customHeight="1">
      <c r="A2403" s="2" t="s">
        <v>2403</v>
      </c>
      <c r="B2403" s="2" t="str">
        <f>IFERROR(__xludf.DUMMYFUNCTION("GOOGLETRANSLATE(A2403, ""en"", ""mt"")"),"Problemi semantiċi u niceties grammatikali")</f>
        <v>Problemi semantiċi u niceties grammatikali</v>
      </c>
    </row>
    <row r="2404" ht="15.75" customHeight="1">
      <c r="A2404" s="2" t="s">
        <v>2404</v>
      </c>
      <c r="B2404" s="2" t="str">
        <f>IFERROR(__xludf.DUMMYFUNCTION("GOOGLETRANSLATE(A2404, ""en"", ""mt"")"),"Fejn għandhom it-tendenza li jaħdmu maġġoranza ta 'spiżjara konsulenti?")</f>
        <v>Fejn għandhom it-tendenza li jaħdmu maġġoranza ta 'spiżjara konsulenti?</v>
      </c>
    </row>
    <row r="2405" ht="15.75" customHeight="1">
      <c r="A2405" s="2" t="s">
        <v>2405</v>
      </c>
      <c r="B2405" s="2" t="str">
        <f>IFERROR(__xludf.DUMMYFUNCTION("GOOGLETRANSLATE(A2405, ""en"", ""mt"")"),"Wara s-suċċess tas-serje tal-2005 prodotta minn Russell T Davies, il-BBC ikkummissjona lil Davies biex jipproduċi serje spin-off ta '13 -il parti bit-titlu Torchwood (anagramma ta '""Doctor Who""), imwaqqfa fil-moderna ta' Cardiff u li tinvestiga attivita"&amp;"jiet aljeni u reat. Is-serje ddebutta fuq BBC Three fit-22 ta 'Ottubru 2006. John Barrowman rarizza r-rwol tiegħu ta' Jack Harkness mis-serje tal-2005 ta 'Doctor Who. Żewġ attriċi oħra li dehru fit-Tabib Min ukoll stilla fis-serje; Eve Myles bħala Gwen Co"&amp;"oper, li wkoll kellha l-qaddej bl-istess mod Gwyneth fl-episodju ta 'Doctor Who ta' l-2005 ""The Unquiet Dead"", u Naoko Mori li rrifjutaw ir-rwol tagħha bħala Toshiko Sato l-ewwel rajna f '""Aljeni ta' Londra"". It-tieni serje ta 'Torchwood imxandra fl-2"&amp;"008; Għal tliet episodji, il-kast ingħaqad minn Freema Agyeman li rriżerva r-rwol tat-tabib tagħha ta 'Martha Jones. It-tielet serje ġiet imxandra mis-6 sal-10 ta 'Lulju 2009, u kienet tikkonsisti fi storja waħda ta' ħames partijiet imsejħa Children of Ea"&amp;"rth li kienet stabbilita fil-biċċa l-kbira f'Londra. Ir-raba 'serje, Torchwood: Miracle Day prodott b'mod konġunt minn BBC Wales, BBC Worldwide u l-kumpanija Amerikana tad-divertiment Starz iddebutta fl-2011. Is-serje kienet imwaqqfa prinċipalment fl-Ista"&amp;"ti Uniti, għalkemm Wales baqgħet parti mill-istabbiliment tal-ispettaklu.")</f>
        <v>Wara s-suċċess tas-serje tal-2005 prodotta minn Russell T Davies, il-BBC ikkummissjona lil Davies biex jipproduċi serje spin-off ta '13 -il parti bit-titlu Torchwood (anagramma ta '"Doctor Who"), imwaqqfa fil-moderna ta' Cardiff u li tinvestiga attivitajiet aljeni u reat. Is-serje ddebutta fuq BBC Three fit-22 ta 'Ottubru 2006. John Barrowman rarizza r-rwol tiegħu ta' Jack Harkness mis-serje tal-2005 ta 'Doctor Who. Żewġ attriċi oħra li dehru fit-Tabib Min ukoll stilla fis-serje; Eve Myles bħala Gwen Cooper, li wkoll kellha l-qaddej bl-istess mod Gwyneth fl-episodju ta 'Doctor Who ta' l-2005 "The Unquiet Dead", u Naoko Mori li rrifjutaw ir-rwol tagħha bħala Toshiko Sato l-ewwel rajna f '"Aljeni ta' Londra". It-tieni serje ta 'Torchwood imxandra fl-2008; Għal tliet episodji, il-kast ingħaqad minn Freema Agyeman li rriżerva r-rwol tat-tabib tagħha ta 'Martha Jones. It-tielet serje ġiet imxandra mis-6 sal-10 ta 'Lulju 2009, u kienet tikkonsisti fi storja waħda ta' ħames partijiet imsejħa Children of Earth li kienet stabbilita fil-biċċa l-kbira f'Londra. Ir-raba 'serje, Torchwood: Miracle Day prodott b'mod konġunt minn BBC Wales, BBC Worldwide u l-kumpanija Amerikana tad-divertiment Starz iddebutta fl-2011. Is-serje kienet imwaqqfa prinċipalment fl-Istati Uniti, għalkemm Wales baqgħet parti mill-istabbiliment tal-ispettaklu.</v>
      </c>
    </row>
    <row r="2406" ht="15.75" customHeight="1">
      <c r="A2406" s="2" t="s">
        <v>2406</v>
      </c>
      <c r="B2406" s="2" t="str">
        <f>IFERROR(__xludf.DUMMYFUNCTION("GOOGLETRANSLATE(A2406, ""en"", ""mt"")"),"Ix-xejra komuni ġejja minn John Wesley, li kiteb li ""m'hemm l-ebda liturġija fid-dinja, la f'lingwa antika jew moderna, li tieħu n-nifs aktar minn piety solidu, skritturali, razzjonali, milli t-talb komuni tal-Knisja ta 'l-Ingilterra."" Meta l-Metodisti "&amp;"fl-Amerika ġew separati mill-Knisja tal-Ingilterra, John Wesley innifsu pprovda verżjoni riveduta tal-Ktieb tat-talb komuni msejjaħ is-servizz tal-Ħadd tal-Metodisti fl-Amerika ta ’Fuq. Is-servizz tal-Ħadd ta 'Wesley ifforma l-liturġiji uffiċjali tal-Meto"&amp;"disti minn dakinhar.")</f>
        <v>Ix-xejra komuni ġejja minn John Wesley, li kiteb li "m'hemm l-ebda liturġija fid-dinja, la f'lingwa antika jew moderna, li tieħu n-nifs aktar minn piety solidu, skritturali, razzjonali, milli t-talb komuni tal-Knisja ta 'l-Ingilterra." Meta l-Metodisti fl-Amerika ġew separati mill-Knisja tal-Ingilterra, John Wesley innifsu pprovda verżjoni riveduta tal-Ktieb tat-talb komuni msejjaħ is-servizz tal-Ħadd tal-Metodisti fl-Amerika ta ’Fuq. Is-servizz tal-Ħadd ta 'Wesley ifforma l-liturġiji uffiċjali tal-Metodisti minn dakinhar.</v>
      </c>
    </row>
    <row r="2407" ht="15.75" customHeight="1">
      <c r="A2407" s="2" t="s">
        <v>2407</v>
      </c>
      <c r="B2407" s="2" t="str">
        <f>IFERROR(__xludf.DUMMYFUNCTION("GOOGLETRANSLATE(A2407, ""en"", ""mt"")"),"Kemm laħqet l-ewwel blokk fil-mili, AS-201, laħqu?")</f>
        <v>Kemm laħqet l-ewwel blokk fil-mili, AS-201, laħqu?</v>
      </c>
    </row>
    <row r="2408" ht="15.75" customHeight="1">
      <c r="A2408" s="2" t="s">
        <v>2408</v>
      </c>
      <c r="B2408" s="2" t="str">
        <f>IFERROR(__xludf.DUMMYFUNCTION("GOOGLETRANSLATE(A2408, ""en"", ""mt"")"),"Dipartiment għall-Kultura, il-Midja u l-Isport")</f>
        <v>Dipartiment għall-Kultura, il-Midja u l-Isport</v>
      </c>
    </row>
    <row r="2409" ht="15.75" customHeight="1">
      <c r="A2409" s="2" t="s">
        <v>2409</v>
      </c>
      <c r="B2409" s="2" t="str">
        <f>IFERROR(__xludf.DUMMYFUNCTION("GOOGLETRANSLATE(A2409, ""en"", ""mt"")"),"Polignac's")</f>
        <v>Polignac's</v>
      </c>
    </row>
    <row r="2410" ht="15.75" customHeight="1">
      <c r="A2410" s="2" t="s">
        <v>2410</v>
      </c>
      <c r="B2410" s="2" t="str">
        <f>IFERROR(__xludf.DUMMYFUNCTION("GOOGLETRANSLATE(A2410, ""en"", ""mt"")"),"Mill-1892 sal-1894")</f>
        <v>Mill-1892 sal-1894</v>
      </c>
    </row>
    <row r="2411" ht="15.75" customHeight="1">
      <c r="A2411" s="2" t="s">
        <v>2411</v>
      </c>
      <c r="B2411" s="2" t="str">
        <f>IFERROR(__xludf.DUMMYFUNCTION("GOOGLETRANSLATE(A2411, ""en"", ""mt"")"),"Id-difiża tal-Broncos ikklassifikat l-ewwel fil-btieħi tal-NFL permessa (4,530) għall-ewwel darba fl-istorja tal-franchise, u r-raba 'fil-punti permessi (296). Tmiem difensivi Derek Wolfe u Malik Jackson kull wieħed kellhom 5½ xkejjer. Il-linebacker tal-P"&amp;"ro Bowl Von Miller mexxa lit-tim bi 11-il xkejjer, ġiegħel erba ’fumbles, u rkupra tlieta. Il-linebacker DeMarcus Ware intgħażel biex jilgħab fil-Pro Bowl għad-disa 'darba fil-karriera tiegħu, ikklassifika t-tieni fit-tim b'7½ xkejjer. Il-linebacker Brand"&amp;"on Marshall mexxa lit-tim b’kollox b’109, filwaqt li Danny Trevathan ikklassifika t-tieni b’102. Cornerbacks AQIB Talib (tliet interċezzjonijiet) u Chris Harris, Jr. (żewġ interċezzjonijiet) kienu ż-żewġ selezzjonijiet l-oħra tal-Pro Bowl mid-difiża.")</f>
        <v>Id-difiża tal-Broncos ikklassifikat l-ewwel fil-btieħi tal-NFL permessa (4,530) għall-ewwel darba fl-istorja tal-franchise, u r-raba 'fil-punti permessi (296). Tmiem difensivi Derek Wolfe u Malik Jackson kull wieħed kellhom 5½ xkejjer. Il-linebacker tal-Pro Bowl Von Miller mexxa lit-tim bi 11-il xkejjer, ġiegħel erba ’fumbles, u rkupra tlieta. Il-linebacker DeMarcus Ware intgħażel biex jilgħab fil-Pro Bowl għad-disa 'darba fil-karriera tiegħu, ikklassifika t-tieni fit-tim b'7½ xkejjer. Il-linebacker Brandon Marshall mexxa lit-tim b’kollox b’109, filwaqt li Danny Trevathan ikklassifika t-tieni b’102. Cornerbacks AQIB Talib (tliet interċezzjonijiet) u Chris Harris, Jr. (żewġ interċezzjonijiet) kienu ż-żewġ selezzjonijiet l-oħra tal-Pro Bowl mid-difiża.</v>
      </c>
    </row>
    <row r="2412" ht="15.75" customHeight="1">
      <c r="A2412" s="2" t="s">
        <v>2412</v>
      </c>
      <c r="B2412" s="2" t="str">
        <f>IFERROR(__xludf.DUMMYFUNCTION("GOOGLETRANSLATE(A2412, ""en"", ""mt"")"),"Buyantu Khan")</f>
        <v>Buyantu Khan</v>
      </c>
    </row>
    <row r="2413" ht="15.75" customHeight="1">
      <c r="A2413" s="2" t="s">
        <v>2413</v>
      </c>
      <c r="B2413" s="2" t="str">
        <f>IFERROR(__xludf.DUMMYFUNCTION("GOOGLETRANSLATE(A2413, ""en"", ""mt"")"),"Żwieġ klerikali.")</f>
        <v>Żwieġ klerikali.</v>
      </c>
    </row>
    <row r="2414" ht="15.75" customHeight="1">
      <c r="A2414" s="2" t="s">
        <v>2414</v>
      </c>
      <c r="B2414" s="2" t="str">
        <f>IFERROR(__xludf.DUMMYFUNCTION("GOOGLETRANSLATE(A2414, ""en"", ""mt"")"),"Bart Starr")</f>
        <v>Bart Starr</v>
      </c>
    </row>
    <row r="2415" ht="15.75" customHeight="1">
      <c r="A2415" s="2" t="s">
        <v>2415</v>
      </c>
      <c r="B2415" s="2" t="str">
        <f>IFERROR(__xludf.DUMMYFUNCTION("GOOGLETRANSLATE(A2415, ""en"", ""mt"")"),"Fin-Nofsinhar tal-Ewropa, l-istadju kien stabbilit fil-perjodu Triassiku tal-era Mesozoic, bil-ftuħ tal-Oċean Tethys, bejn il-pjanċi tettoniċi Ewro-Asjatiċi u Afrikani, bejn madwar 240 Mbp u 220 MBP (miljun sena qabel il-preżent). Il-baħar preżenti tal-Me"&amp;"diterran jinżel minn dan il-baħar Tethys kemmxejn ikbar. F'madwar 180 Mbp, fil-perjodu Jurassic, iż-żewġ pjanċi nqalbu d-direzzjoni u bdew jikkompressaw l-art tat-Tethys, u kkawżawha tiġi sottodutata taħt l-Eurasja u timbotta t-tarf ta 'l-aħħar pjanċa fl-"&amp;"orogenija alpina ta' l-oligocene u l-perjodi ta 'Miocene. Bosta microplates inqabdu fil-kompressjoni u mdawra jew ġew imbuttati lateralment, li jiġġeneraw il-karatteristiċi individwali tal-ġeografija Mediterranja: l-Iberia mbuttat il-Pirinej; L-Italja, l-"&amp;"Alpi, u l-Anatolja, li jimxu lejn il-punent, il-muntanji tal-Greċja u l-gżejjer. Il-kompressjoni u l-orogenija jkomplu llum, kif muri mit-trobbija kontinwa tal-muntanji ammont żgħir kull sena u l-vulkani attivi.")</f>
        <v>Fin-Nofsinhar tal-Ewropa, l-istadju kien stabbilit fil-perjodu Triassiku tal-era Mesozoic, bil-ftuħ tal-Oċean Tethys, bejn il-pjanċi tettoniċi Ewro-Asjatiċi u Afrikani, bejn madwar 240 Mbp u 220 MBP (miljun sena qabel il-preżent). Il-baħar preżenti tal-Mediterran jinżel minn dan il-baħar Tethys kemmxejn ikbar. F'madwar 180 Mbp, fil-perjodu Jurassic, iż-żewġ pjanċi nqalbu d-direzzjoni u bdew jikkompressaw l-art tat-Tethys, u kkawżawha tiġi sottodutata taħt l-Eurasja u timbotta t-tarf ta 'l-aħħar pjanċa fl-orogenija alpina ta' l-oligocene u l-perjodi ta 'Miocene. Bosta microplates inqabdu fil-kompressjoni u mdawra jew ġew imbuttati lateralment, li jiġġeneraw il-karatteristiċi individwali tal-ġeografija Mediterranja: l-Iberia mbuttat il-Pirinej; L-Italja, l-Alpi, u l-Anatolja, li jimxu lejn il-punent, il-muntanji tal-Greċja u l-gżejjer. Il-kompressjoni u l-orogenija jkomplu llum, kif muri mit-trobbija kontinwa tal-muntanji ammont żgħir kull sena u l-vulkani attivi.</v>
      </c>
    </row>
    <row r="2416" ht="15.75" customHeight="1">
      <c r="A2416" s="2" t="s">
        <v>2416</v>
      </c>
      <c r="B2416" s="2" t="str">
        <f>IFERROR(__xludf.DUMMYFUNCTION("GOOGLETRANSLATE(A2416, ""en"", ""mt"")"),"5–8 μm fid-dijametru")</f>
        <v>5–8 μm fid-dijametru</v>
      </c>
    </row>
    <row r="2417" ht="15.75" customHeight="1">
      <c r="A2417" s="2" t="s">
        <v>2417</v>
      </c>
      <c r="B2417" s="2" t="str">
        <f>IFERROR(__xludf.DUMMYFUNCTION("GOOGLETRANSLATE(A2417, ""en"", ""mt"")"),"X'kienet l-importanza tal-Kungress?")</f>
        <v>X'kienet l-importanza tal-Kungress?</v>
      </c>
    </row>
    <row r="2418" ht="15.75" customHeight="1">
      <c r="A2418" s="2" t="s">
        <v>2418</v>
      </c>
      <c r="B2418" s="2" t="str">
        <f>IFERROR(__xludf.DUMMYFUNCTION("GOOGLETRANSLATE(A2418, ""en"", ""mt"")"),"Baltimore")</f>
        <v>Baltimore</v>
      </c>
    </row>
    <row r="2419" ht="15.75" customHeight="1">
      <c r="A2419" s="2" t="s">
        <v>2419</v>
      </c>
      <c r="B2419" s="2" t="str">
        <f>IFERROR(__xludf.DUMMYFUNCTION("GOOGLETRANSLATE(A2419, ""en"", ""mt"")"),"Kemm ġew irreġistrati nies biex jirċievu s-servizz HD qabel it-tnedija?")</f>
        <v>Kemm ġew irreġistrati nies biex jirċievu s-servizz HD qabel it-tnedija?</v>
      </c>
    </row>
    <row r="2420" ht="15.75" customHeight="1">
      <c r="A2420" s="2" t="s">
        <v>2420</v>
      </c>
      <c r="B2420" s="2" t="str">
        <f>IFERROR(__xludf.DUMMYFUNCTION("GOOGLETRANSLATE(A2420, ""en"", ""mt"")"),"Kif jissejjaħ kors ta 'studju?")</f>
        <v>Kif jissejjaħ kors ta 'studju?</v>
      </c>
    </row>
    <row r="2421" ht="15.75" customHeight="1">
      <c r="A2421" s="2" t="s">
        <v>2421</v>
      </c>
      <c r="B2421" s="2" t="str">
        <f>IFERROR(__xludf.DUMMYFUNCTION("GOOGLETRANSLATE(A2421, ""en"", ""mt"")"),"Sky Q Silver")</f>
        <v>Sky Q Silver</v>
      </c>
    </row>
    <row r="2422" ht="15.75" customHeight="1">
      <c r="A2422" s="2" t="s">
        <v>2422</v>
      </c>
      <c r="B2422" s="2" t="str">
        <f>IFERROR(__xludf.DUMMYFUNCTION("GOOGLETRANSLATE(A2422, ""en"", ""mt"")"),"fl-agrikoltura")</f>
        <v>fl-agrikoltura</v>
      </c>
    </row>
    <row r="2423" ht="15.75" customHeight="1">
      <c r="A2423" s="2" t="s">
        <v>2423</v>
      </c>
      <c r="B2423" s="2" t="str">
        <f>IFERROR(__xludf.DUMMYFUNCTION("GOOGLETRANSLATE(A2423, ""en"", ""mt"")"),"Fejn ivvjaġġaw in-nassaba tal-pil Franċiżi?")</f>
        <v>Fejn ivvjaġġaw in-nassaba tal-pil Franċiżi?</v>
      </c>
    </row>
    <row r="2424" ht="15.75" customHeight="1">
      <c r="A2424" s="2" t="s">
        <v>2424</v>
      </c>
      <c r="B2424" s="2" t="str">
        <f>IFERROR(__xludf.DUMMYFUNCTION("GOOGLETRANSLATE(A2424, ""en"", ""mt"")"),"settur privat")</f>
        <v>settur privat</v>
      </c>
    </row>
    <row r="2425" ht="15.75" customHeight="1">
      <c r="A2425" s="2" t="s">
        <v>2425</v>
      </c>
      <c r="B2425" s="2" t="str">
        <f>IFERROR(__xludf.DUMMYFUNCTION("GOOGLETRANSLATE(A2425, ""en"", ""mt"")"),"X'jiġri meta tivvjaġġa f'wiċċ b'veloċità kostanti fir-rigward tal-frizzjoni?")</f>
        <v>X'jiġri meta tivvjaġġa f'wiċċ b'veloċità kostanti fir-rigward tal-frizzjoni?</v>
      </c>
    </row>
    <row r="2426" ht="15.75" customHeight="1">
      <c r="A2426" s="2" t="s">
        <v>2426</v>
      </c>
      <c r="B2426" s="2" t="str">
        <f>IFERROR(__xludf.DUMMYFUNCTION("GOOGLETRANSLATE(A2426, ""en"", ""mt"")"),"Meta nqabżet il-produzzjoni taż-żejt tal-OPEC?")</f>
        <v>Meta nqabżet il-produzzjoni taż-żejt tal-OPEC?</v>
      </c>
    </row>
    <row r="2427" ht="15.75" customHeight="1">
      <c r="A2427" s="2" t="s">
        <v>2427</v>
      </c>
      <c r="B2427" s="2" t="str">
        <f>IFERROR(__xludf.DUMMYFUNCTION("GOOGLETRANSLATE(A2427, ""en"", ""mt"")"),"Għalkemm il-famużi Imperaturi Mughal kienu dixxendenti kburin ta 'Genghis Khan u partikolarment Timur, huma tbiegħdu b'mod ċar mill-atroċitajiet Mongoljani mwettqa kontra l-Khwarizim Shahs, Torok, Persjani, iċ-ċittadini ta' Bagdad u Damasku, Damasku, Nish"&amp;"apur, Bukhara u figuri storiċi bħalma huma l-atttar ta ' Nishapur u ħafna Musulmani oħra notevoli. Madankollu, l-imperaturi Mughal direttament patronizzaw il-wirt ta 'Genghis Khan u Timur; Flimkien isimhom kien sinonimu ma 'l-ismijiet ta' personalitajiet "&amp;"distinti oħra partikolarment fost il-popolazzjonijiet Musulmani ta 'l-Asja t'Isfel.")</f>
        <v>Għalkemm il-famużi Imperaturi Mughal kienu dixxendenti kburin ta 'Genghis Khan u partikolarment Timur, huma tbiegħdu b'mod ċar mill-atroċitajiet Mongoljani mwettqa kontra l-Khwarizim Shahs, Torok, Persjani, iċ-ċittadini ta' Bagdad u Damasku, Damasku, Nishapur, Bukhara u figuri storiċi bħalma huma l-atttar ta ' Nishapur u ħafna Musulmani oħra notevoli. Madankollu, l-imperaturi Mughal direttament patronizzaw il-wirt ta 'Genghis Khan u Timur; Flimkien isimhom kien sinonimu ma 'l-ismijiet ta' personalitajiet distinti oħra partikolarment fost il-popolazzjonijiet Musulmani ta 'l-Asja t'Isfel.</v>
      </c>
    </row>
    <row r="2428" ht="15.75" customHeight="1">
      <c r="A2428" s="2" t="s">
        <v>2428</v>
      </c>
      <c r="B2428" s="2" t="str">
        <f>IFERROR(__xludf.DUMMYFUNCTION("GOOGLETRANSLATE(A2428, ""en"", ""mt"")"),"Meta Tesla waslet l-Istati Uniti?")</f>
        <v>Meta Tesla waslet l-Istati Uniti?</v>
      </c>
    </row>
    <row r="2429" ht="15.75" customHeight="1">
      <c r="A2429" s="2" t="s">
        <v>2429</v>
      </c>
      <c r="B2429" s="2" t="str">
        <f>IFERROR(__xludf.DUMMYFUNCTION("GOOGLETRANSLATE(A2429, ""en"", ""mt"")"),"61")</f>
        <v>61</v>
      </c>
    </row>
    <row r="2430" ht="15.75" customHeight="1">
      <c r="A2430" s="2" t="s">
        <v>2430</v>
      </c>
      <c r="B2430" s="2" t="str">
        <f>IFERROR(__xludf.DUMMYFUNCTION("GOOGLETRANSLATE(A2430, ""en"", ""mt"")"),"X'inhu l-HDI tal-Kenja?")</f>
        <v>X'inhu l-HDI tal-Kenja?</v>
      </c>
    </row>
    <row r="2431" ht="15.75" customHeight="1">
      <c r="A2431" s="2" t="s">
        <v>2431</v>
      </c>
      <c r="B2431" s="2" t="str">
        <f>IFERROR(__xludf.DUMMYFUNCTION("GOOGLETRANSLATE(A2431, ""en"", ""mt"")"),"X'inhi l-atmosfera fi skola li tuża awtorità bbażata popolarment?")</f>
        <v>X'inhi l-atmosfera fi skola li tuża awtorità bbażata popolarment?</v>
      </c>
    </row>
    <row r="2432" ht="15.75" customHeight="1">
      <c r="A2432" s="2" t="s">
        <v>2432</v>
      </c>
      <c r="B2432" s="2" t="str">
        <f>IFERROR(__xludf.DUMMYFUNCTION("GOOGLETRANSLATE(A2432, ""en"", ""mt"")"),"Xmara Charles")</f>
        <v>Xmara Charles</v>
      </c>
    </row>
    <row r="2433" ht="15.75" customHeight="1">
      <c r="A2433" s="2" t="s">
        <v>2433</v>
      </c>
      <c r="B2433" s="2" t="str">
        <f>IFERROR(__xludf.DUMMYFUNCTION("GOOGLETRANSLATE(A2433, ""en"", ""mt"")"),"X'inhu labirint ta 'tubi membranous?")</f>
        <v>X'inhu labirint ta 'tubi membranous?</v>
      </c>
    </row>
    <row r="2434" ht="15.75" customHeight="1">
      <c r="A2434" s="2" t="s">
        <v>2434</v>
      </c>
      <c r="B2434" s="2" t="str">
        <f>IFERROR(__xludf.DUMMYFUNCTION("GOOGLETRANSLATE(A2434, ""en"", ""mt"")"),"Klassi tal-Kumplessità p")</f>
        <v>Klassi tal-Kumplessità p</v>
      </c>
    </row>
    <row r="2435" ht="15.75" customHeight="1">
      <c r="A2435" s="2" t="s">
        <v>2435</v>
      </c>
      <c r="B2435" s="2" t="str">
        <f>IFERROR(__xludf.DUMMYFUNCTION("GOOGLETRANSLATE(A2435, ""en"", ""mt"")"),"Public Pad Service Telepad")</f>
        <v>Public Pad Service Telepad</v>
      </c>
    </row>
    <row r="2436" ht="15.75" customHeight="1">
      <c r="A2436" s="2" t="s">
        <v>2436</v>
      </c>
      <c r="B2436" s="2" t="str">
        <f>IFERROR(__xludf.DUMMYFUNCTION("GOOGLETRANSLATE(A2436, ""en"", ""mt"")"),"l-iskultur")</f>
        <v>l-iskultur</v>
      </c>
    </row>
    <row r="2437" ht="15.75" customHeight="1">
      <c r="A2437" s="2" t="s">
        <v>2437</v>
      </c>
      <c r="B2437" s="2" t="str">
        <f>IFERROR(__xludf.DUMMYFUNCTION("GOOGLETRANSLATE(A2437, ""en"", ""mt"")"),"Min l-ewwel bagħat mewġ tar-radju madwar l-Atlantiku?")</f>
        <v>Min l-ewwel bagħat mewġ tar-radju madwar l-Atlantiku?</v>
      </c>
    </row>
    <row r="2438" ht="15.75" customHeight="1">
      <c r="A2438" s="2" t="s">
        <v>2438</v>
      </c>
      <c r="B2438" s="2" t="str">
        <f>IFERROR(__xludf.DUMMYFUNCTION("GOOGLETRANSLATE(A2438, ""en"", ""mt"")"),"Min hu fil-kontroll tal-poter leġiżlattiv?")</f>
        <v>Min hu fil-kontroll tal-poter leġiżlattiv?</v>
      </c>
    </row>
    <row r="2439" ht="15.75" customHeight="1">
      <c r="A2439" s="2" t="s">
        <v>2439</v>
      </c>
      <c r="B2439" s="2" t="str">
        <f>IFERROR(__xludf.DUMMYFUNCTION("GOOGLETRANSLATE(A2439, ""en"", ""mt"")"),"Koordinatur tal-Proġett")</f>
        <v>Koordinatur tal-Proġett</v>
      </c>
    </row>
    <row r="2440" ht="15.75" customHeight="1">
      <c r="A2440" s="2" t="s">
        <v>2440</v>
      </c>
      <c r="B2440" s="2" t="str">
        <f>IFERROR(__xludf.DUMMYFUNCTION("GOOGLETRANSLATE(A2440, ""en"", ""mt"")"),"sponsors")</f>
        <v>sponsors</v>
      </c>
    </row>
    <row r="2441" ht="15.75" customHeight="1">
      <c r="A2441" s="2" t="s">
        <v>2441</v>
      </c>
      <c r="B2441" s="2" t="str">
        <f>IFERROR(__xludf.DUMMYFUNCTION("GOOGLETRANSLATE(A2441, ""en"", ""mt"")"),"Min qassam id-dmirijiet ta 'rappurtar ta' sideline ma 'Mark Malone?")</f>
        <v>Min qassam id-dmirijiet ta 'rappurtar ta' sideline ma 'Mark Malone?</v>
      </c>
    </row>
    <row r="2442" ht="15.75" customHeight="1">
      <c r="A2442" s="2" t="s">
        <v>2442</v>
      </c>
      <c r="B2442" s="2" t="str">
        <f>IFERROR(__xludf.DUMMYFUNCTION("GOOGLETRANSLATE(A2442, ""en"", ""mt"")"),"Kull ġurnata tas-seduta, normalment fil-5 pm, l-MSPs jiddeċiedu dwar il-mozzjonijiet u l-emendi kollha li ġew imċaqalqa dak il-jum. Dan il- ""ħin ta 'deċiżjoni"" huwa mħabbar mill-ħoss tad-diviżjoni tal-qanpiena, li tinstema' fil-kampus parlamentari u twi"&amp;"ssijiet tal-MSPs li mhumiex fil-kamra biex jirritornaw u jivvutaw. Fil-ħin tad-deċiżjoni, l-uffiċjal li jippresiedi jpoġġi mistoqsijiet dwar il-mozzjonijiet u l-emendi billi jaqra l-isem tal-mozzjoni jew l-emenda kif ukoll il-proponent u jistaqsi ""aħna l"&amp;"koll miftiehma?"", Li l-ewwel kamra tivvota mill-ħalq. Jekk ikun hemm dissens li jinstema ', l-uffiċjal li jippresiedi jħabbar ""se jkun hemm diviżjoni"" u l-membri jivvutaw permezz ta' consoles elettroniċi fuq l-iskrivaniji tagħhom. Kull MSP għandu karta"&amp;" ta 'aċċess unika b'mikroċipp li, meta jiddaħħal fil-console, jidentifikahom u jippermettilhom jivvutaw. Bħala riżultat, ir-riżultat ta 'kull diviżjoni huwa magħruf f'sekondi.")</f>
        <v>Kull ġurnata tas-seduta, normalment fil-5 pm, l-MSPs jiddeċiedu dwar il-mozzjonijiet u l-emendi kollha li ġew imċaqalqa dak il-jum. Dan il- "ħin ta 'deċiżjoni" huwa mħabbar mill-ħoss tad-diviżjoni tal-qanpiena, li tinstema' fil-kampus parlamentari u twissijiet tal-MSPs li mhumiex fil-kamra biex jirritornaw u jivvutaw. Fil-ħin tad-deċiżjoni, l-uffiċjal li jippresiedi jpoġġi mistoqsijiet dwar il-mozzjonijiet u l-emendi billi jaqra l-isem tal-mozzjoni jew l-emenda kif ukoll il-proponent u jistaqsi "aħna lkoll miftiehma?", Li l-ewwel kamra tivvota mill-ħalq. Jekk ikun hemm dissens li jinstema ', l-uffiċjal li jippresiedi jħabbar "se jkun hemm diviżjoni" u l-membri jivvutaw permezz ta' consoles elettroniċi fuq l-iskrivaniji tagħhom. Kull MSP għandu karta ta 'aċċess unika b'mikroċipp li, meta jiddaħħal fil-console, jidentifikahom u jippermettilhom jivvutaw. Bħala riżultat, ir-riżultat ta 'kull diviżjoni huwa magħruf f'sekondi.</v>
      </c>
    </row>
    <row r="2443" ht="15.75" customHeight="1">
      <c r="A2443" s="2" t="s">
        <v>2443</v>
      </c>
      <c r="B2443" s="2" t="str">
        <f>IFERROR(__xludf.DUMMYFUNCTION("GOOGLETRANSLATE(A2443, ""en"", ""mt"")"),"Biex tevita interferenza ma 'stazzjonijiet tat-televiżjoni VHF eżistenti")</f>
        <v>Biex tevita interferenza ma 'stazzjonijiet tat-televiżjoni VHF eżistenti</v>
      </c>
    </row>
    <row r="2444" ht="15.75" customHeight="1">
      <c r="A2444" s="2" t="s">
        <v>2444</v>
      </c>
      <c r="B2444" s="2" t="str">
        <f>IFERROR(__xludf.DUMMYFUNCTION("GOOGLETRANSLATE(A2444, ""en"", ""mt"")"),"Għal xiex tispikka l-akronimu FIS?")</f>
        <v>Għal xiex tispikka l-akronimu FIS?</v>
      </c>
    </row>
    <row r="2445" ht="15.75" customHeight="1">
      <c r="A2445" s="2" t="s">
        <v>2445</v>
      </c>
      <c r="B2445" s="2" t="str">
        <f>IFERROR(__xludf.DUMMYFUNCTION("GOOGLETRANSLATE(A2445, ""en"", ""mt"")"),"inkapaċi għat-tagħlim")</f>
        <v>inkapaċi għat-tagħlim</v>
      </c>
    </row>
    <row r="2446" ht="15.75" customHeight="1">
      <c r="A2446" s="2" t="s">
        <v>2446</v>
      </c>
      <c r="B2446" s="2" t="str">
        <f>IFERROR(__xludf.DUMMYFUNCTION("GOOGLETRANSLATE(A2446, ""en"", ""mt"")"),"L-edukazzjoni fl-Awstralja hija primarjament ir-responsabbiltà tal-istati u t-territorji individwali. Ġeneralment, l-edukazzjoni fl-Awstralja ssegwi l-mudell bi tliet livelli li jinkludi l-edukazzjoni primarja (skejjel primarji), segwita minn edukazzjoni "&amp;"sekondarja (skejjel sekondarji / skejjel għolja) u edukazzjoni terzjarja (universitajiet u / jew kulleġġi TAFE).")</f>
        <v>L-edukazzjoni fl-Awstralja hija primarjament ir-responsabbiltà tal-istati u t-territorji individwali. Ġeneralment, l-edukazzjoni fl-Awstralja ssegwi l-mudell bi tliet livelli li jinkludi l-edukazzjoni primarja (skejjel primarji), segwita minn edukazzjoni sekondarja (skejjel sekondarji / skejjel għolja) u edukazzjoni terzjarja (universitajiet u / jew kulleġġi TAFE).</v>
      </c>
    </row>
    <row r="2447" ht="15.75" customHeight="1">
      <c r="A2447" s="2" t="s">
        <v>2447</v>
      </c>
      <c r="B2447" s="2" t="str">
        <f>IFERROR(__xludf.DUMMYFUNCTION("GOOGLETRANSLATE(A2447, ""en"", ""mt"")"),"Id-domanda għal akkomodazzjoni ta 'kwalità ogħla żdiedet")</f>
        <v>Id-domanda għal akkomodazzjoni ta 'kwalità ogħla żdiedet</v>
      </c>
    </row>
    <row r="2448" ht="15.75" customHeight="1">
      <c r="A2448" s="2" t="s">
        <v>2448</v>
      </c>
      <c r="B2448" s="2" t="str">
        <f>IFERROR(__xludf.DUMMYFUNCTION("GOOGLETRANSLATE(A2448, ""en"", ""mt"")"),"Liema figura tal-awtorità hija nominata għall-iskeda u tistabbilixxi x-xogħol tal-UE?")</f>
        <v>Liema figura tal-awtorità hija nominata għall-iskeda u tistabbilixxi x-xogħol tal-UE?</v>
      </c>
    </row>
    <row r="2449" ht="15.75" customHeight="1">
      <c r="A2449" s="2" t="s">
        <v>2449</v>
      </c>
      <c r="B2449" s="2" t="str">
        <f>IFERROR(__xludf.DUMMYFUNCTION("GOOGLETRANSLATE(A2449, ""en"", ""mt"")"),"Ekwazzjonijiet Newtonjani.")</f>
        <v>Ekwazzjonijiet Newtonjani.</v>
      </c>
    </row>
    <row r="2450" ht="15.75" customHeight="1">
      <c r="A2450" s="2" t="s">
        <v>2450</v>
      </c>
      <c r="B2450" s="2" t="str">
        <f>IFERROR(__xludf.DUMMYFUNCTION("GOOGLETRANSLATE(A2450, ""en"", ""mt"")"),"Mhux sorpriż, ir-rebħa tal-Mujahideen kontra s-Sovjetiċi fis-snin 80 naqset milli tipproduċi xiex?")</f>
        <v>Mhux sorpriż, ir-rebħa tal-Mujahideen kontra s-Sovjetiċi fis-snin 80 naqset milli tipproduċi xiex?</v>
      </c>
    </row>
    <row r="2451" ht="15.75" customHeight="1">
      <c r="A2451" s="2" t="s">
        <v>2451</v>
      </c>
      <c r="B2451" s="2" t="str">
        <f>IFERROR(__xludf.DUMMYFUNCTION("GOOGLETRANSLATE(A2451, ""en"", ""mt"")"),"Ċittadinanza tal-UE")</f>
        <v>Ċittadinanza tal-UE</v>
      </c>
    </row>
    <row r="2452" ht="15.75" customHeight="1">
      <c r="A2452" s="2" t="s">
        <v>2452</v>
      </c>
      <c r="B2452" s="2" t="str">
        <f>IFERROR(__xludf.DUMMYFUNCTION("GOOGLETRANSLATE(A2452, ""en"", ""mt"")"),"Il-Parlament Brittaniku")</f>
        <v>Il-Parlament Brittaniku</v>
      </c>
    </row>
    <row r="2453" ht="15.75" customHeight="1">
      <c r="A2453" s="2" t="s">
        <v>2453</v>
      </c>
      <c r="B2453" s="2" t="str">
        <f>IFERROR(__xludf.DUMMYFUNCTION("GOOGLETRANSLATE(A2453, ""en"", ""mt"")"),"Brookhaven")</f>
        <v>Brookhaven</v>
      </c>
    </row>
    <row r="2454" ht="15.75" customHeight="1">
      <c r="A2454" s="2" t="s">
        <v>2454</v>
      </c>
      <c r="B2454" s="2" t="str">
        <f>IFERROR(__xludf.DUMMYFUNCTION("GOOGLETRANSLATE(A2454, ""en"", ""mt"")"),"Kemm btieħi rrinunzjaw id-difiża tal-Broncos?")</f>
        <v>Kemm btieħi rrinunzjaw id-difiża tal-Broncos?</v>
      </c>
    </row>
    <row r="2455" ht="15.75" customHeight="1">
      <c r="A2455" s="2" t="s">
        <v>2455</v>
      </c>
      <c r="B2455" s="2" t="str">
        <f>IFERROR(__xludf.DUMMYFUNCTION("GOOGLETRANSLATE(A2455, ""en"", ""mt"")"),"dejjem aktar jissostitwixxi tagħmir kapitali għall-inputs tax-xogħol")</f>
        <v>dejjem aktar jissostitwixxi tagħmir kapitali għall-inputs tax-xogħol</v>
      </c>
    </row>
    <row r="2456" ht="15.75" customHeight="1">
      <c r="A2456" s="2" t="s">
        <v>2456</v>
      </c>
      <c r="B2456" s="2" t="str">
        <f>IFERROR(__xludf.DUMMYFUNCTION("GOOGLETRANSLATE(A2456, ""en"", ""mt"")"),"Jonqos")</f>
        <v>Jonqos</v>
      </c>
    </row>
    <row r="2457" ht="15.75" customHeight="1">
      <c r="A2457" s="2" t="s">
        <v>2457</v>
      </c>
      <c r="B2457" s="2" t="str">
        <f>IFERROR(__xludf.DUMMYFUNCTION("GOOGLETRANSLATE(A2457, ""en"", ""mt"")"),"1303")</f>
        <v>1303</v>
      </c>
    </row>
    <row r="2458" ht="15.75" customHeight="1">
      <c r="A2458" s="2" t="s">
        <v>2458</v>
      </c>
      <c r="B2458" s="2" t="str">
        <f>IFERROR(__xludf.DUMMYFUNCTION("GOOGLETRANSLATE(A2458, ""en"", ""mt"")"),"F'liema sena l-mużew beda jiċċarġja miżati ta 'ammissjoni b'xejn?")</f>
        <v>F'liema sena l-mużew beda jiċċarġja miżati ta 'ammissjoni b'xejn?</v>
      </c>
    </row>
    <row r="2459" ht="15.75" customHeight="1">
      <c r="A2459" s="2" t="s">
        <v>2459</v>
      </c>
      <c r="B2459" s="2" t="str">
        <f>IFERROR(__xludf.DUMMYFUNCTION("GOOGLETRANSLATE(A2459, ""en"", ""mt"")"),"sfurzar limitat")</f>
        <v>sfurzar limitat</v>
      </c>
    </row>
    <row r="2460" ht="15.75" customHeight="1">
      <c r="A2460" s="2" t="s">
        <v>2460</v>
      </c>
      <c r="B2460" s="2" t="str">
        <f>IFERROR(__xludf.DUMMYFUNCTION("GOOGLETRANSLATE(A2460, ""en"", ""mt"")"),"X'kien iddevjat u issa flussi paralleli mar-Rhine?")</f>
        <v>X'kien iddevjat u issa flussi paralleli mar-Rhine?</v>
      </c>
    </row>
    <row r="2461" ht="15.75" customHeight="1">
      <c r="A2461" s="2" t="s">
        <v>2461</v>
      </c>
      <c r="B2461" s="2" t="str">
        <f>IFERROR(__xludf.DUMMYFUNCTION("GOOGLETRANSLATE(A2461, ""en"", ""mt"")"),"Turbini tal-fwar bl-irkaptu tat-tnaqqis")</f>
        <v>Turbini tal-fwar bl-irkaptu tat-tnaqqis</v>
      </c>
    </row>
    <row r="2462" ht="15.75" customHeight="1">
      <c r="A2462" s="2" t="s">
        <v>2462</v>
      </c>
      <c r="B2462" s="2" t="str">
        <f>IFERROR(__xludf.DUMMYFUNCTION("GOOGLETRANSLATE(A2462, ""en"", ""mt"")"),"repulsjoni ta 'piżijiet simili taħt l-influwenza tal-forza elettromanjetika")</f>
        <v>repulsjoni ta 'piżijiet simili taħt l-influwenza tal-forza elettromanjetika</v>
      </c>
    </row>
    <row r="2463" ht="15.75" customHeight="1">
      <c r="A2463" s="2" t="s">
        <v>2463</v>
      </c>
      <c r="B2463" s="2" t="str">
        <f>IFERROR(__xludf.DUMMYFUNCTION("GOOGLETRANSLATE(A2463, ""en"", ""mt"")"),"Università ta ’California")</f>
        <v>Università ta ’California</v>
      </c>
    </row>
    <row r="2464" ht="15.75" customHeight="1">
      <c r="A2464" s="2" t="s">
        <v>2464</v>
      </c>
      <c r="B2464" s="2" t="str">
        <f>IFERROR(__xludf.DUMMYFUNCTION("GOOGLETRANSLATE(A2464, ""en"", ""mt"")"),"Il-gvernijiet tal-Punent ikkunsidraw l-Iżlamisti bħala l-inqas minn żewġ ħażen meta mqabbla ma 'min?")</f>
        <v>Il-gvernijiet tal-Punent ikkunsidraw l-Iżlamisti bħala l-inqas minn żewġ ħażen meta mqabbla ma 'min?</v>
      </c>
    </row>
    <row r="2465" ht="15.75" customHeight="1">
      <c r="A2465" s="2" t="s">
        <v>2465</v>
      </c>
      <c r="B2465" s="2" t="str">
        <f>IFERROR(__xludf.DUMMYFUNCTION("GOOGLETRANSLATE(A2465, ""en"", ""mt"")"),"X'inhuma l-membri li ġew mgħammdin bħala tarbija jew tifel imma li sussegwentement ma jistqarrux il-fidi tagħhom stess?")</f>
        <v>X'inhuma l-membri li ġew mgħammdin bħala tarbija jew tifel imma li sussegwentement ma jistqarrux il-fidi tagħhom stess?</v>
      </c>
    </row>
    <row r="2466" ht="15.75" customHeight="1">
      <c r="A2466" s="2" t="s">
        <v>2466</v>
      </c>
      <c r="B2466" s="2" t="str">
        <f>IFERROR(__xludf.DUMMYFUNCTION("GOOGLETRANSLATE(A2466, ""en"", ""mt"")"),"OneDrive għan-Negozju")</f>
        <v>OneDrive għan-Negozju</v>
      </c>
    </row>
    <row r="2467" ht="15.75" customHeight="1">
      <c r="A2467" s="2" t="s">
        <v>2467</v>
      </c>
      <c r="B2467" s="2" t="str">
        <f>IFERROR(__xludf.DUMMYFUNCTION("GOOGLETRANSLATE(A2467, ""en"", ""mt"")"),"Kemm id-dikjarazzjoni bassret li t-temperatura globali tal-wiċċ tiżdied sal-2100?")</f>
        <v>Kemm id-dikjarazzjoni bassret li t-temperatura globali tal-wiċċ tiżdied sal-2100?</v>
      </c>
    </row>
    <row r="2468" ht="15.75" customHeight="1">
      <c r="A2468" s="2" t="s">
        <v>2468</v>
      </c>
      <c r="B2468" s="2" t="str">
        <f>IFERROR(__xludf.DUMMYFUNCTION("GOOGLETRANSLATE(A2468, ""en"", ""mt"")"),"Kif tissejjaħ terra preta?")</f>
        <v>Kif tissejjaħ terra preta?</v>
      </c>
    </row>
    <row r="2469" ht="15.75" customHeight="1">
      <c r="A2469" s="2" t="s">
        <v>2469</v>
      </c>
      <c r="B2469" s="2" t="str">
        <f>IFERROR(__xludf.DUMMYFUNCTION("GOOGLETRANSLATE(A2469, ""en"", ""mt"")"),"Il-Ktieb tad-Dixxiplina")</f>
        <v>Il-Ktieb tad-Dixxiplina</v>
      </c>
    </row>
    <row r="2470" ht="15.75" customHeight="1">
      <c r="A2470" s="2" t="s">
        <v>2470</v>
      </c>
      <c r="B2470" s="2" t="str">
        <f>IFERROR(__xludf.DUMMYFUNCTION("GOOGLETRANSLATE(A2470, ""en"", ""mt"")"),"Ġunju")</f>
        <v>Ġunju</v>
      </c>
    </row>
    <row r="2471" ht="15.75" customHeight="1">
      <c r="A2471" s="2" t="s">
        <v>2471</v>
      </c>
      <c r="B2471" s="2" t="str">
        <f>IFERROR(__xludf.DUMMYFUNCTION("GOOGLETRANSLATE(A2471, ""en"", ""mt"")"),"Ħafna nies tal-post u turisti jiffrekwentaw il-kosta tan-Nofsinhar ta 'California għall-bajjiet popolari tagħha, u l-belt tad-deżert ta' Palm Springs hija popolari għall-sensazzjoni ta 'resort tagħha u l-ispazji miftuħa fil-viċin.")</f>
        <v>Ħafna nies tal-post u turisti jiffrekwentaw il-kosta tan-Nofsinhar ta 'California għall-bajjiet popolari tagħha, u l-belt tad-deżert ta' Palm Springs hija popolari għall-sensazzjoni ta 'resort tagħha u l-ispazji miftuħa fil-viċin.</v>
      </c>
    </row>
    <row r="2472" ht="15.75" customHeight="1">
      <c r="A2472" s="2" t="s">
        <v>2472</v>
      </c>
      <c r="B2472" s="2" t="str">
        <f>IFERROR(__xludf.DUMMYFUNCTION("GOOGLETRANSLATE(A2472, ""en"", ""mt"")"),"kombinazzjoni ta 'ermafroditiżmu u riproduzzjoni bikrija")</f>
        <v>kombinazzjoni ta 'ermafroditiżmu u riproduzzjoni bikrija</v>
      </c>
    </row>
    <row r="2473" ht="15.75" customHeight="1">
      <c r="A2473" s="2" t="s">
        <v>2473</v>
      </c>
      <c r="B2473" s="2" t="str">
        <f>IFERROR(__xludf.DUMMYFUNCTION("GOOGLETRANSLATE(A2473, ""en"", ""mt"")"),"Rollo")</f>
        <v>Rollo</v>
      </c>
    </row>
    <row r="2474" ht="15.75" customHeight="1">
      <c r="A2474" s="2" t="s">
        <v>2474</v>
      </c>
      <c r="B2474" s="2" t="str">
        <f>IFERROR(__xludf.DUMMYFUNCTION("GOOGLETRANSLATE(A2474, ""en"", ""mt"")"),"Fejn tgħallem dan il-mexxej favur ir-riforma?")</f>
        <v>Fejn tgħallem dan il-mexxej favur ir-riforma?</v>
      </c>
    </row>
    <row r="2475" ht="15.75" customHeight="1">
      <c r="A2475" s="2" t="s">
        <v>2475</v>
      </c>
      <c r="B2475" s="2" t="str">
        <f>IFERROR(__xludf.DUMMYFUNCTION("GOOGLETRANSLATE(A2475, ""en"", ""mt"")"),"Min kien l-iktar plejer siewi tas-Super Bowl II?")</f>
        <v>Min kien l-iktar plejer siewi tas-Super Bowl II?</v>
      </c>
    </row>
    <row r="2476" ht="15.75" customHeight="1">
      <c r="A2476" s="2" t="s">
        <v>2476</v>
      </c>
      <c r="B2476" s="2" t="str">
        <f>IFERROR(__xludf.DUMMYFUNCTION("GOOGLETRANSLATE(A2476, ""en"", ""mt"")"),"L-Imperu Ottoman ikkontrolla t-territorju fuq tliet kontinenti, l-Afrika, l-Asja u liema oħra?")</f>
        <v>L-Imperu Ottoman ikkontrolla t-territorju fuq tliet kontinenti, l-Afrika, l-Asja u liema oħra?</v>
      </c>
    </row>
    <row r="2477" ht="15.75" customHeight="1">
      <c r="A2477" s="2" t="s">
        <v>2477</v>
      </c>
      <c r="B2477" s="2" t="str">
        <f>IFERROR(__xludf.DUMMYFUNCTION("GOOGLETRANSLATE(A2477, ""en"", ""mt"")"),"X'kienet iddisinjata mill-ġdid biex tippermetti manuvrabbiltà aħjar fl-LRV?")</f>
        <v>X'kienet iddisinjata mill-ġdid biex tippermetti manuvrabbiltà aħjar fl-LRV?</v>
      </c>
    </row>
    <row r="2478" ht="15.75" customHeight="1">
      <c r="A2478" s="2" t="s">
        <v>2478</v>
      </c>
      <c r="B2478" s="2" t="str">
        <f>IFERROR(__xludf.DUMMYFUNCTION("GOOGLETRANSLATE(A2478, ""en"", ""mt"")"),"Madwar 300")</f>
        <v>Madwar 300</v>
      </c>
    </row>
    <row r="2479" ht="15.75" customHeight="1">
      <c r="A2479" s="2" t="s">
        <v>2479</v>
      </c>
      <c r="B2479" s="2" t="str">
        <f>IFERROR(__xludf.DUMMYFUNCTION("GOOGLETRANSLATE(A2479, ""en"", ""mt"")"),"Liema forma huma plastoglobuli?")</f>
        <v>Liema forma huma plastoglobuli?</v>
      </c>
    </row>
    <row r="2480" ht="15.75" customHeight="1">
      <c r="A2480" s="2" t="s">
        <v>2480</v>
      </c>
      <c r="B2480" s="2" t="str">
        <f>IFERROR(__xludf.DUMMYFUNCTION("GOOGLETRANSLATE(A2480, ""en"", ""mt"")"),"Liema partijiet tad-dinja huma inklużi fil-litosfera?")</f>
        <v>Liema partijiet tad-dinja huma inklużi fil-litosfera?</v>
      </c>
    </row>
    <row r="2481" ht="15.75" customHeight="1">
      <c r="A2481" s="2" t="s">
        <v>2481</v>
      </c>
      <c r="B2481" s="2" t="str">
        <f>IFERROR(__xludf.DUMMYFUNCTION("GOOGLETRANSLATE(A2481, ""en"", ""mt"")"),"Fruntieri diverġenti")</f>
        <v>Fruntieri diverġenti</v>
      </c>
    </row>
    <row r="2482" ht="15.75" customHeight="1">
      <c r="A2482" s="2" t="s">
        <v>2482</v>
      </c>
      <c r="B2482" s="2" t="str">
        <f>IFERROR(__xludf.DUMMYFUNCTION("GOOGLETRANSLATE(A2482, ""en"", ""mt"")"),"Khuruldai")</f>
        <v>Khuruldai</v>
      </c>
    </row>
    <row r="2483" ht="15.75" customHeight="1">
      <c r="A2483" s="2" t="s">
        <v>2483</v>
      </c>
      <c r="B2483" s="2" t="str">
        <f>IFERROR(__xludf.DUMMYFUNCTION("GOOGLETRANSLATE(A2483, ""en"", ""mt"")"),"Kemm studenti ġew irreġistrati fi skejjel pubbliċi fir-Rabat?")</f>
        <v>Kemm studenti ġew irreġistrati fi skejjel pubbliċi fir-Rabat?</v>
      </c>
    </row>
    <row r="2484" ht="15.75" customHeight="1">
      <c r="A2484" s="2" t="s">
        <v>2484</v>
      </c>
      <c r="B2484" s="2" t="str">
        <f>IFERROR(__xludf.DUMMYFUNCTION("GOOGLETRANSLATE(A2484, ""en"", ""mt"")"),"Chivas")</f>
        <v>Chivas</v>
      </c>
    </row>
    <row r="2485" ht="15.75" customHeight="1">
      <c r="A2485" s="2" t="s">
        <v>2485</v>
      </c>
      <c r="B2485" s="2" t="str">
        <f>IFERROR(__xludf.DUMMYFUNCTION("GOOGLETRANSLATE(A2485, ""en"", ""mt"")"),"biex tmur id-dar u tbiddel il-libsa tagħha")</f>
        <v>biex tmur id-dar u tbiddel il-libsa tagħha</v>
      </c>
    </row>
    <row r="2486" ht="15.75" customHeight="1">
      <c r="A2486" s="2" t="s">
        <v>2486</v>
      </c>
      <c r="B2486" s="2" t="str">
        <f>IFERROR(__xludf.DUMMYFUNCTION("GOOGLETRANSLATE(A2486, ""en"", ""mt"")"),"Biex ""tiżgura li fl-interpretazzjoni u l-applikazzjoni tat-trattati tkun osservata l-liġi""")</f>
        <v>Biex "tiżgura li fl-interpretazzjoni u l-applikazzjoni tat-trattati tkun osservata l-liġi"</v>
      </c>
    </row>
    <row r="2487" ht="15.75" customHeight="1">
      <c r="A2487" s="2" t="s">
        <v>2487</v>
      </c>
      <c r="B2487" s="2" t="str">
        <f>IFERROR(__xludf.DUMMYFUNCTION("GOOGLETRANSLATE(A2487, ""en"", ""mt"")"),"Min kienu d-difiża tas-Super Bowl Champions?")</f>
        <v>Min kienu d-difiża tas-Super Bowl Champions?</v>
      </c>
    </row>
    <row r="2488" ht="15.75" customHeight="1">
      <c r="A2488" s="2" t="s">
        <v>2488</v>
      </c>
      <c r="B2488" s="2" t="str">
        <f>IFERROR(__xludf.DUMMYFUNCTION("GOOGLETRANSLATE(A2488, ""en"", ""mt"")"),"1992")</f>
        <v>1992</v>
      </c>
    </row>
    <row r="2489" ht="15.75" customHeight="1">
      <c r="A2489" s="2" t="s">
        <v>2489</v>
      </c>
      <c r="B2489" s="2" t="str">
        <f>IFERROR(__xludf.DUMMYFUNCTION("GOOGLETRANSLATE(A2489, ""en"", ""mt"")"),"Motivazzjonijiet orjentati lejn il-kisba (""Iġbed"")")</f>
        <v>Motivazzjonijiet orjentati lejn il-kisba ("Iġbed")</v>
      </c>
    </row>
    <row r="2490" ht="15.75" customHeight="1">
      <c r="A2490" s="2" t="s">
        <v>2490</v>
      </c>
      <c r="B2490" s="2" t="str">
        <f>IFERROR(__xludf.DUMMYFUNCTION("GOOGLETRANSLATE(A2490, ""en"", ""mt"")"),"Imblokka l-portijiet Franċiżi, bagħtu l-flotta tagħhom fi Frar 1755")</f>
        <v>Imblokka l-portijiet Franċiżi, bagħtu l-flotta tagħhom fi Frar 1755</v>
      </c>
    </row>
    <row r="2491" ht="15.75" customHeight="1">
      <c r="A2491" s="2" t="s">
        <v>2491</v>
      </c>
      <c r="B2491" s="2" t="str">
        <f>IFERROR(__xludf.DUMMYFUNCTION("GOOGLETRANSLATE(A2491, ""en"", ""mt"")"),"Wirja ta 'Londra")</f>
        <v>Wirja ta 'Londra</v>
      </c>
    </row>
    <row r="2492" ht="15.75" customHeight="1">
      <c r="A2492" s="2" t="s">
        <v>2492</v>
      </c>
      <c r="B2492" s="2" t="str">
        <f>IFERROR(__xludf.DUMMYFUNCTION("GOOGLETRANSLATE(A2492, ""en"", ""mt"")"),"X'tip ta 'film kienu siltiet mill-film tal-ispettaklu?")</f>
        <v>X'tip ta 'film kienu siltiet mill-film tal-ispettaklu?</v>
      </c>
    </row>
    <row r="2493" ht="15.75" customHeight="1">
      <c r="A2493" s="2" t="s">
        <v>2493</v>
      </c>
      <c r="B2493" s="2" t="str">
        <f>IFERROR(__xludf.DUMMYFUNCTION("GOOGLETRANSLATE(A2493, ""en"", ""mt"")"),"Biex tixgħel il-streetcars tal-belt.")</f>
        <v>Biex tixgħel il-streetcars tal-belt.</v>
      </c>
    </row>
    <row r="2494" ht="15.75" customHeight="1">
      <c r="A2494" s="2" t="s">
        <v>2494</v>
      </c>
      <c r="B2494" s="2" t="str">
        <f>IFERROR(__xludf.DUMMYFUNCTION("GOOGLETRANSLATE(A2494, ""en"", ""mt"")"),"Baċellerat")</f>
        <v>Baċellerat</v>
      </c>
    </row>
    <row r="2495" ht="15.75" customHeight="1">
      <c r="A2495" s="2" t="s">
        <v>2495</v>
      </c>
      <c r="B2495" s="2" t="str">
        <f>IFERROR(__xludf.DUMMYFUNCTION("GOOGLETRANSLATE(A2495, ""en"", ""mt"")"),"Fuq xiex ħadmet Tesla fl-1888?")</f>
        <v>Fuq xiex ħadmet Tesla fl-1888?</v>
      </c>
    </row>
    <row r="2496" ht="15.75" customHeight="1">
      <c r="A2496" s="2" t="s">
        <v>2496</v>
      </c>
      <c r="B2496" s="2" t="str">
        <f>IFERROR(__xludf.DUMMYFUNCTION("GOOGLETRANSLATE(A2496, ""en"", ""mt"")"),"12 sa 16")</f>
        <v>12 sa 16</v>
      </c>
    </row>
    <row r="2497" ht="15.75" customHeight="1">
      <c r="A2497" s="2" t="s">
        <v>2497</v>
      </c>
      <c r="B2497" s="2" t="str">
        <f>IFERROR(__xludf.DUMMYFUNCTION("GOOGLETRANSLATE(A2497, ""en"", ""mt"")"),"żdied b'madwar 70%.")</f>
        <v>żdied b'madwar 70%.</v>
      </c>
    </row>
    <row r="2498" ht="15.75" customHeight="1">
      <c r="A2498" s="2" t="s">
        <v>2498</v>
      </c>
      <c r="B2498" s="2" t="str">
        <f>IFERROR(__xludf.DUMMYFUNCTION("GOOGLETRANSLATE(A2498, ""en"", ""mt"")"),"Skulturi hindu u Buddisti")</f>
        <v>Skulturi hindu u Buddisti</v>
      </c>
    </row>
    <row r="2499" ht="15.75" customHeight="1">
      <c r="A2499" s="2" t="s">
        <v>2499</v>
      </c>
      <c r="B2499" s="2" t="str">
        <f>IFERROR(__xludf.DUMMYFUNCTION("GOOGLETRANSLATE(A2499, ""en"", ""mt"")"),"Superjorità teknoloġika")</f>
        <v>Superjorità teknoloġika</v>
      </c>
    </row>
    <row r="2500" ht="15.75" customHeight="1">
      <c r="A2500" s="2" t="s">
        <v>2500</v>
      </c>
      <c r="B2500" s="2" t="str">
        <f>IFERROR(__xludf.DUMMYFUNCTION("GOOGLETRANSLATE(A2500, ""en"", ""mt"")"),"Imperatur")</f>
        <v>Imperatur</v>
      </c>
    </row>
    <row r="2501" ht="15.75" customHeight="1">
      <c r="A2501" s="2" t="s">
        <v>2501</v>
      </c>
      <c r="B2501" s="2" t="str">
        <f>IFERROR(__xludf.DUMMYFUNCTION("GOOGLETRANSLATE(A2501, ""en"", ""mt"")"),"X'intlef il-kloroplasti tad-dinofisi?")</f>
        <v>X'intlef il-kloroplasti tad-dinofisi?</v>
      </c>
    </row>
    <row r="2502" ht="15.75" customHeight="1">
      <c r="A2502" s="2" t="s">
        <v>2502</v>
      </c>
      <c r="B2502" s="2" t="str">
        <f>IFERROR(__xludf.DUMMYFUNCTION("GOOGLETRANSLATE(A2502, ""en"", ""mt"")"),"Meta Henry ħareġ l-editt ta 'Nantes?")</f>
        <v>Meta Henry ħareġ l-editt ta 'Nantes?</v>
      </c>
    </row>
    <row r="2503" ht="15.75" customHeight="1">
      <c r="A2503" s="2" t="s">
        <v>2503</v>
      </c>
      <c r="B2503" s="2" t="str">
        <f>IFERROR(__xludf.DUMMYFUNCTION("GOOGLETRANSLATE(A2503, ""en"", ""mt"")"),"ittawwal uċuħ tal-ħakk tal-valv")</f>
        <v>ittawwal uċuħ tal-ħakk tal-valv</v>
      </c>
    </row>
    <row r="2504" ht="15.75" customHeight="1">
      <c r="A2504" s="2" t="s">
        <v>2504</v>
      </c>
      <c r="B2504" s="2" t="str">
        <f>IFERROR(__xludf.DUMMYFUNCTION("GOOGLETRANSLATE(A2504, ""en"", ""mt"")"),"Josh Norman")</f>
        <v>Josh Norman</v>
      </c>
    </row>
    <row r="2505" ht="15.75" customHeight="1">
      <c r="A2505" s="2" t="s">
        <v>2505</v>
      </c>
      <c r="B2505" s="2" t="str">
        <f>IFERROR(__xludf.DUMMYFUNCTION("GOOGLETRANSLATE(A2505, ""en"", ""mt"")"),"tfal")</f>
        <v>tfal</v>
      </c>
    </row>
    <row r="2506" ht="15.75" customHeight="1">
      <c r="A2506" s="2" t="s">
        <v>2506</v>
      </c>
      <c r="B2506" s="2" t="str">
        <f>IFERROR(__xludf.DUMMYFUNCTION("GOOGLETRANSLATE(A2506, ""en"", ""mt"")"),"Ewklide")</f>
        <v>Ewklide</v>
      </c>
    </row>
    <row r="2507" ht="15.75" customHeight="1">
      <c r="A2507" s="2" t="s">
        <v>2507</v>
      </c>
      <c r="B2507" s="2" t="str">
        <f>IFERROR(__xludf.DUMMYFUNCTION("GOOGLETRANSLATE(A2507, ""en"", ""mt"")"),"Fi Schmidberger vs l-Awstrija, il-Qorti tal-Ġustizzja waslet għall-konklużjoni li l-Awstrija ma kisritx l-Artikolu 34 billi naqset milli tipprojbixxi xiex?")</f>
        <v>Fi Schmidberger vs l-Awstrija, il-Qorti tal-Ġustizzja waslet għall-konklużjoni li l-Awstrija ma kisritx l-Artikolu 34 billi naqset milli tipprojbixxi xiex?</v>
      </c>
    </row>
    <row r="2508" ht="15.75" customHeight="1">
      <c r="A2508" s="2" t="s">
        <v>2508</v>
      </c>
      <c r="B2508" s="2" t="str">
        <f>IFERROR(__xludf.DUMMYFUNCTION("GOOGLETRANSLATE(A2508, ""en"", ""mt"")"),"X'inhu mwarrab għal perjodi ta 'mistoqsijiet fil-kamra tad-dibattitu?")</f>
        <v>X'inhu mwarrab għal perjodi ta 'mistoqsijiet fil-kamra tad-dibattitu?</v>
      </c>
    </row>
    <row r="2509" ht="15.75" customHeight="1">
      <c r="A2509" s="2" t="s">
        <v>2509</v>
      </c>
      <c r="B2509" s="2" t="str">
        <f>IFERROR(__xludf.DUMMYFUNCTION("GOOGLETRANSLATE(A2509, ""en"", ""mt"")"),"""Ħmar"")")</f>
        <v>"Ħmar")</v>
      </c>
    </row>
    <row r="2510" ht="15.75" customHeight="1">
      <c r="A2510" s="2" t="s">
        <v>2510</v>
      </c>
      <c r="B2510" s="2" t="str">
        <f>IFERROR(__xludf.DUMMYFUNCTION("GOOGLETRANSLATE(A2510, ""en"", ""mt"")"),"Elettorat tas-Sassonja")</f>
        <v>Elettorat tas-Sassonja</v>
      </c>
    </row>
    <row r="2511" ht="15.75" customHeight="1">
      <c r="A2511" s="2" t="s">
        <v>2511</v>
      </c>
      <c r="B2511" s="2" t="str">
        <f>IFERROR(__xludf.DUMMYFUNCTION("GOOGLETRANSLATE(A2511, ""en"", ""mt"")"),"Kummissarji")</f>
        <v>Kummissarji</v>
      </c>
    </row>
    <row r="2512" ht="15.75" customHeight="1">
      <c r="A2512" s="2" t="s">
        <v>2512</v>
      </c>
      <c r="B2512" s="2" t="str">
        <f>IFERROR(__xludf.DUMMYFUNCTION("GOOGLETRANSLATE(A2512, ""en"", ""mt"")"),"Letteratura tal-ivvjaġġar, kartografija, ġeografija, u edukazzjoni xjentifika")</f>
        <v>Letteratura tal-ivvjaġġar, kartografija, ġeografija, u edukazzjoni xjentifika</v>
      </c>
    </row>
    <row r="2513" ht="15.75" customHeight="1">
      <c r="A2513" s="2" t="s">
        <v>2513</v>
      </c>
      <c r="B2513" s="2" t="str">
        <f>IFERROR(__xludf.DUMMYFUNCTION("GOOGLETRANSLATE(A2513, ""en"", ""mt"")"),"Min għen biex jiskopri t-tifel Turkana?")</f>
        <v>Min għen biex jiskopri t-tifel Turkana?</v>
      </c>
    </row>
    <row r="2514" ht="15.75" customHeight="1">
      <c r="A2514" s="2" t="s">
        <v>2514</v>
      </c>
      <c r="B2514" s="2" t="str">
        <f>IFERROR(__xludf.DUMMYFUNCTION("GOOGLETRANSLATE(A2514, ""en"", ""mt"")"),"l-istazzjonar fuq il-bieb")</f>
        <v>l-istazzjonar fuq il-bieb</v>
      </c>
    </row>
    <row r="2515" ht="15.75" customHeight="1">
      <c r="A2515" s="2" t="s">
        <v>2515</v>
      </c>
      <c r="B2515" s="2" t="str">
        <f>IFERROR(__xludf.DUMMYFUNCTION("GOOGLETRANSLATE(A2515, ""en"", ""mt"")"),"Guanabara Qrar tal-Fidi")</f>
        <v>Guanabara Qrar tal-Fidi</v>
      </c>
    </row>
    <row r="2516" ht="15.75" customHeight="1">
      <c r="A2516" s="2" t="s">
        <v>2516</v>
      </c>
      <c r="B2516" s="2" t="str">
        <f>IFERROR(__xludf.DUMMYFUNCTION("GOOGLETRANSLATE(A2516, ""en"", ""mt"")"),"Tqassim ta 'prodotti ta' taħt")</f>
        <v>Tqassim ta 'prodotti ta' taħt</v>
      </c>
    </row>
    <row r="2517" ht="15.75" customHeight="1">
      <c r="A2517" s="2" t="s">
        <v>2517</v>
      </c>
      <c r="B2517" s="2" t="str">
        <f>IFERROR(__xludf.DUMMYFUNCTION("GOOGLETRANSLATE(A2517, ""en"", ""mt"")"),"1604")</f>
        <v>1604</v>
      </c>
    </row>
    <row r="2518" ht="15.75" customHeight="1">
      <c r="A2518" s="2" t="s">
        <v>2518</v>
      </c>
      <c r="B2518" s="2" t="str">
        <f>IFERROR(__xludf.DUMMYFUNCTION("GOOGLETRANSLATE(A2518, ""en"", ""mt"")"),"Min oriġinarjament ospita min irid ikun miljunarju għal ABC?")</f>
        <v>Min oriġinarjament ospita min irid ikun miljunarju għal ABC?</v>
      </c>
    </row>
    <row r="2519" ht="15.75" customHeight="1">
      <c r="A2519" s="2" t="s">
        <v>2519</v>
      </c>
      <c r="B2519" s="2" t="str">
        <f>IFERROR(__xludf.DUMMYFUNCTION("GOOGLETRANSLATE(A2519, ""en"", ""mt"")"),"Is-Sindku l-Qadim,")</f>
        <v>Is-Sindku l-Qadim,</v>
      </c>
    </row>
    <row r="2520" ht="15.75" customHeight="1">
      <c r="A2520" s="2" t="s">
        <v>2520</v>
      </c>
      <c r="B2520" s="2" t="str">
        <f>IFERROR(__xludf.DUMMYFUNCTION("GOOGLETRANSLATE(A2520, ""en"", ""mt"")"),"Liema monasteru stabbilixxew il-patrijiet Saint-Evroul fl-Italja?")</f>
        <v>Liema monasteru stabbilixxew il-patrijiet Saint-Evroul fl-Italja?</v>
      </c>
    </row>
    <row r="2521" ht="15.75" customHeight="1">
      <c r="A2521" s="2" t="s">
        <v>2521</v>
      </c>
      <c r="B2521" s="2" t="str">
        <f>IFERROR(__xludf.DUMMYFUNCTION("GOOGLETRANSLATE(A2521, ""en"", ""mt"")"),"Jekk forza qed tipponta orizzontalment lejn il-Grigal, kemm forzi tista 'taqsam il-forza?")</f>
        <v>Jekk forza qed tipponta orizzontalment lejn il-Grigal, kemm forzi tista 'taqsam il-forza?</v>
      </c>
    </row>
    <row r="2522" ht="15.75" customHeight="1">
      <c r="A2522" s="2" t="s">
        <v>2522</v>
      </c>
      <c r="B2522" s="2" t="str">
        <f>IFERROR(__xludf.DUMMYFUNCTION("GOOGLETRANSLATE(A2522, ""en"", ""mt"")"),"Ac")</f>
        <v>Ac</v>
      </c>
    </row>
    <row r="2523" ht="15.75" customHeight="1">
      <c r="A2523" s="2" t="s">
        <v>2523</v>
      </c>
      <c r="B2523" s="2" t="str">
        <f>IFERROR(__xludf.DUMMYFUNCTION("GOOGLETRANSLATE(A2523, ""en"", ""mt"")"),"Kostruzzjoni fuq skala kbira teħtieġ kollaborazzjoni f'dixxiplini multipli. Perit normalment jimmaniġġja l-impjieg, u maniġer tal-kostruzzjoni, inġinier tad-disinn, inġinier tal-kostruzzjoni jew maniġer tal-proġett jissorveljah. Għall-eżekuzzjoni b'suċċes"&amp;"s ta 'proġett, l-ippjanar effettiv huwa essenzjali. Dawk involuti fid-disinn u l-eżekuzzjoni tal-infrastruttura in kwistjoni għandhom jikkunsidraw ir-rekwiżiti taż-żoni, l-impatt ambjentali tax-xogħol, l-iskedar b'suċċess, l-ibbaġitjar, is-sigurtà tas-sit"&amp;" tal-kostruzzjoni, id-disponibbiltà u t-trasport ta 'materjali tal-bini, loġistika, inkonvenjenza għall-pubbliku kkawżat minn Dewmien fil-kostruzzjoni u offerti, eċċ. L-akbar proġetti ta 'kostruzzjoni huma msejħa megaprojects.")</f>
        <v>Kostruzzjoni fuq skala kbira teħtieġ kollaborazzjoni f'dixxiplini multipli. Perit normalment jimmaniġġja l-impjieg, u maniġer tal-kostruzzjoni, inġinier tad-disinn, inġinier tal-kostruzzjoni jew maniġer tal-proġett jissorveljah. Għall-eżekuzzjoni b'suċċess ta 'proġett, l-ippjanar effettiv huwa essenzjali. Dawk involuti fid-disinn u l-eżekuzzjoni tal-infrastruttura in kwistjoni għandhom jikkunsidraw ir-rekwiżiti taż-żoni, l-impatt ambjentali tax-xogħol, l-iskedar b'suċċess, l-ibbaġitjar, is-sigurtà tas-sit tal-kostruzzjoni, id-disponibbiltà u t-trasport ta 'materjali tal-bini, loġistika, inkonvenjenza għall-pubbliku kkawżat minn Dewmien fil-kostruzzjoni u offerti, eċċ. L-akbar proġetti ta 'kostruzzjoni huma msejħa megaprojects.</v>
      </c>
    </row>
    <row r="2524" ht="15.75" customHeight="1">
      <c r="A2524" s="2" t="s">
        <v>2524</v>
      </c>
      <c r="B2524" s="2" t="str">
        <f>IFERROR(__xludf.DUMMYFUNCTION("GOOGLETRANSLATE(A2524, ""en"", ""mt"")"),"Id-distrett tat-torri huwa ċċentrat madwar liema teatru storiku?")</f>
        <v>Id-distrett tat-torri huwa ċċentrat madwar liema teatru storiku?</v>
      </c>
    </row>
    <row r="2525" ht="15.75" customHeight="1">
      <c r="A2525" s="2" t="s">
        <v>2525</v>
      </c>
      <c r="B2525" s="2" t="str">
        <f>IFERROR(__xludf.DUMMYFUNCTION("GOOGLETRANSLATE(A2525, ""en"", ""mt"")"),"Wang Zhen")</f>
        <v>Wang Zhen</v>
      </c>
    </row>
    <row r="2526" ht="15.75" customHeight="1">
      <c r="A2526" s="2" t="s">
        <v>2526</v>
      </c>
      <c r="B2526" s="2" t="str">
        <f>IFERROR(__xludf.DUMMYFUNCTION("GOOGLETRANSLATE(A2526, ""en"", ""mt"")"),"Levi's Stadium fiż-Żona tal-Bajja ta 'San Francisco f'Santa Clara, California.")</f>
        <v>Levi's Stadium fiż-Żona tal-Bajja ta 'San Francisco f'Santa Clara, California.</v>
      </c>
    </row>
    <row r="2527" ht="15.75" customHeight="1">
      <c r="A2527" s="2" t="s">
        <v>2527</v>
      </c>
      <c r="B2527" s="2" t="str">
        <f>IFERROR(__xludf.DUMMYFUNCTION("GOOGLETRANSLATE(A2527, ""en"", ""mt"")"),"Xogħol fejn hemm ħafna ħaddiema lesti li jaħdmu ammont kbir ta 'ħin (provvista għolja) li jikkompetu għal xogħol li ftit jeħtieġu (domanda baxxa) jirriżultaw f'paga baxxa għal dak ix-xogħol. Dan għaliex il-kompetizzjoni bejn il-ħaddiema tmexxi l-paga. Eże"&amp;"mpju ta 'dan ikun impjiegi bħall-ħasil tal-platti jew is-servizz tal-konsumatur. Il-kompetizzjoni fost il-ħaddiema għandha t-tendenza li tnaqqas il-pagi minħabba n-natura li tista 'tiġi nefqa tal-ħaddiem b'rabta max-xogħol partikolari tiegħu jew tagħha. X"&amp;"ogħol fejn hemm ftit ħaddiema kapaċi jew lesti (provvista baxxa), iżda ħtieġa kbira għall-pożizzjonijiet (domanda għolja), tirriżulta f'pagi għoljin għal dak ix-xogħol. Dan għaliex il-kompetizzjoni bejn min iħaddem għall-impjegati se tmexxi l-paga. Eżempj"&amp;"i ta 'dan jinkludu impjiegi li jeħtieġu ħiliet żviluppati ħafna, abbiltajiet rari, jew livell għoli ta' riskju. Il-kompetizzjoni fost dawk li jħaddmu għandha t-tendenza li tmexxi l-pagi minħabba n-natura tax-xogħol, peress li hemm nuqqas relattiv ta 'ħadd"&amp;"iema għall-pożizzjoni partikolari. Organizzazzjonijiet professjonali u tax-xogħol jistgħu jillimitaw il-provvista ta 'ħaddiema li tirriżulta f'domanda ogħla u dħul akbar għall-membri. Il-membri jistgħu wkoll jirċievu pagi ogħla permezz ta 'negozjar kollet"&amp;"tiv, influwenza politika, jew korruzzjoni.")</f>
        <v>Xogħol fejn hemm ħafna ħaddiema lesti li jaħdmu ammont kbir ta 'ħin (provvista għolja) li jikkompetu għal xogħol li ftit jeħtieġu (domanda baxxa) jirriżultaw f'paga baxxa għal dak ix-xogħol. Dan għaliex il-kompetizzjoni bejn il-ħaddiema tmexxi l-paga. Eżempju ta 'dan ikun impjiegi bħall-ħasil tal-platti jew is-servizz tal-konsumatur. Il-kompetizzjoni fost il-ħaddiema għandha t-tendenza li tnaqqas il-pagi minħabba n-natura li tista 'tiġi nefqa tal-ħaddiem b'rabta max-xogħol partikolari tiegħu jew tagħha. Xogħol fejn hemm ftit ħaddiema kapaċi jew lesti (provvista baxxa), iżda ħtieġa kbira għall-pożizzjonijiet (domanda għolja), tirriżulta f'pagi għoljin għal dak ix-xogħol. Dan għaliex il-kompetizzjoni bejn min iħaddem għall-impjegati se tmexxi l-paga. Eżempji ta 'dan jinkludu impjiegi li jeħtieġu ħiliet żviluppati ħafna, abbiltajiet rari, jew livell għoli ta' riskju. Il-kompetizzjoni fost dawk li jħaddmu għandha t-tendenza li tmexxi l-pagi minħabba n-natura tax-xogħol, peress li hemm nuqqas relattiv ta 'ħaddiema għall-pożizzjoni partikolari. Organizzazzjonijiet professjonali u tax-xogħol jistgħu jillimitaw il-provvista ta 'ħaddiema li tirriżulta f'domanda ogħla u dħul akbar għall-membri. Il-membri jistgħu wkoll jirċievu pagi ogħla permezz ta 'negozjar kollettiv, influwenza politika, jew korruzzjoni.</v>
      </c>
    </row>
    <row r="2528" ht="15.75" customHeight="1">
      <c r="A2528" s="2" t="s">
        <v>2528</v>
      </c>
      <c r="B2528" s="2" t="str">
        <f>IFERROR(__xludf.DUMMYFUNCTION("GOOGLETRANSLATE(A2528, ""en"", ""mt"")"),"X'kien eżempju ta 'tip ta' bastiment tal-gwerra li kien jeħtieġ veloċità għolja?")</f>
        <v>X'kien eżempju ta 'tip ta' bastiment tal-gwerra li kien jeħtieġ veloċità għolja?</v>
      </c>
    </row>
    <row r="2529" ht="15.75" customHeight="1">
      <c r="A2529" s="2" t="s">
        <v>2529</v>
      </c>
      <c r="B2529" s="2" t="str">
        <f>IFERROR(__xludf.DUMMYFUNCTION("GOOGLETRANSLATE(A2529, ""en"", ""mt"")"),"Kublai reġa 'rrifjuta l-moviment tal-kapitali Mongolja minn Karakorum fil-Mongolja għal Khanbaliq fl-1264, billi bena belt ġdida qrib il-kapital ta' Jurchen Zhongdu, issa moderna ta 'Beijing, fl-1266. Fl-1271, Kublai formalment iddikjara l-mandat tas-sema"&amp;" u ddikjara li 1272 kien L-ewwel sena tal-Yuan il-Kbir (Ċiniż: 大 大) fl-istil ta 'dinastija Ċiniża tradizzjonali. L-isem tad-dinastija oriġina mill-I Ching u jiddeskrivi l- ""oriġini tal-univers"" jew ""forza primarja"". Kublai ipproklama Khanbaliq il- ""k"&amp;"apitali kbira"" jew daidu (Dadu, Ċiniż: 大都 biċ-Ċiniż) tad-dinastija. L-isem tal-era nbidel għal Zhiyuan għal Herald era ġdida tal-istorja Ċiniża. L-adozzjoni ta 'isem dinastiku leġittimizzat regola Mongoljana billi tintegra l-gvern fin-narrattiva tas-suċċ"&amp;"essjoni politika tradizzjonali Ċiniża. Khublai evoka l-immaġni pubblika tiegħu bħala imperatur tas-salvja billi segwa r-ritwali tal-propjetà Confucian u l-venerazzjoni tal-antenati, filwaqt li fl-istess ħin żamm l-għeruq tiegħu bħala mexxej mill-Steppes.")</f>
        <v>Kublai reġa 'rrifjuta l-moviment tal-kapitali Mongolja minn Karakorum fil-Mongolja għal Khanbaliq fl-1264, billi bena belt ġdida qrib il-kapital ta' Jurchen Zhongdu, issa moderna ta 'Beijing, fl-1266. Fl-1271, Kublai formalment iddikjara l-mandat tas-sema u ddikjara li 1272 kien L-ewwel sena tal-Yuan il-Kbir (Ċiniż: 大 大) fl-istil ta 'dinastija Ċiniża tradizzjonali. L-isem tad-dinastija oriġina mill-I Ching u jiddeskrivi l- "oriġini tal-univers" jew "forza primarja". Kublai ipproklama Khanbaliq il- "kapitali kbira" jew daidu (Dadu, Ċiniż: 大都 biċ-Ċiniż) tad-dinastija. L-isem tal-era nbidel għal Zhiyuan għal Herald era ġdida tal-istorja Ċiniża. L-adozzjoni ta 'isem dinastiku leġittimizzat regola Mongoljana billi tintegra l-gvern fin-narrattiva tas-suċċessjoni politika tradizzjonali Ċiniża. Khublai evoka l-immaġni pubblika tiegħu bħala imperatur tas-salvja billi segwa r-ritwali tal-propjetà Confucian u l-venerazzjoni tal-antenati, filwaqt li fl-istess ħin żamm l-għeruq tiegħu bħala mexxej mill-Steppes.</v>
      </c>
    </row>
    <row r="2530" ht="15.75" customHeight="1">
      <c r="A2530" s="2" t="s">
        <v>2530</v>
      </c>
      <c r="B2530" s="2" t="str">
        <f>IFERROR(__xludf.DUMMYFUNCTION("GOOGLETRANSLATE(A2530, ""en"", ""mt"")"),"Il-kisba tal-kontroll tal-kriminalità")</f>
        <v>Il-kisba tal-kontroll tal-kriminalità</v>
      </c>
    </row>
    <row r="2531" ht="15.75" customHeight="1">
      <c r="A2531" s="2" t="s">
        <v>2531</v>
      </c>
      <c r="B2531" s="2" t="str">
        <f>IFERROR(__xludf.DUMMYFUNCTION("GOOGLETRANSLATE(A2531, ""en"", ""mt"")"),"Bħala riżultat ta 'kompromess, dwar kemm skejjel Ċiniżi saru skejjel tat-tip nazzjonali?")</f>
        <v>Bħala riżultat ta 'kompromess, dwar kemm skejjel Ċiniżi saru skejjel tat-tip nazzjonali?</v>
      </c>
    </row>
    <row r="2532" ht="15.75" customHeight="1">
      <c r="A2532" s="2" t="s">
        <v>2532</v>
      </c>
      <c r="B2532" s="2" t="str">
        <f>IFERROR(__xludf.DUMMYFUNCTION("GOOGLETRANSLATE(A2532, ""en"", ""mt"")"),"Chargers San Diego")</f>
        <v>Chargers San Diego</v>
      </c>
    </row>
    <row r="2533" ht="15.75" customHeight="1">
      <c r="A2533" s="2" t="s">
        <v>2533</v>
      </c>
      <c r="B2533" s="2" t="str">
        <f>IFERROR(__xludf.DUMMYFUNCTION("GOOGLETRANSLATE(A2533, ""en"", ""mt"")"),"Jumejn wara, l-FBI ordna lill-kustodju tal-propjetà aljena biex jaħtaf l-affarijiet ta 'Tesla, minkejja li Tesla kienet ċittadin Amerikan. Il-propjetà kollha ta 'Tesla mil-lukanda New Yorker u lukandi oħra ta' New York City ġiet ittrasportata lejn il-Manh"&amp;"attan Storage u l-Warehouse Company taħt l-Uffiċċju tal-Propjetà Alien (OAP). John G. Trump, professur fil-M.I.T. U inġinier elettriku magħruf li jservi bħala għajnuna teknika għall-Kumitat Nazzjonali tar-Riċerka dwar id-Difiża, ġie msejjaħ biex janalizza"&amp;" l-punti ta 'Tesla fil-kustodja tal-OAP. Wara investigazzjoni ta 'tlett ijiem, ir-rapport ta' Trump ikkonkluda li ma kien hemm xejn li jikkostitwixxi periklu f'idejn mhux ħbieb, u jiddikjara:")</f>
        <v>Jumejn wara, l-FBI ordna lill-kustodju tal-propjetà aljena biex jaħtaf l-affarijiet ta 'Tesla, minkejja li Tesla kienet ċittadin Amerikan. Il-propjetà kollha ta 'Tesla mil-lukanda New Yorker u lukandi oħra ta' New York City ġiet ittrasportata lejn il-Manhattan Storage u l-Warehouse Company taħt l-Uffiċċju tal-Propjetà Alien (OAP). John G. Trump, professur fil-M.I.T. U inġinier elettriku magħruf li jservi bħala għajnuna teknika għall-Kumitat Nazzjonali tar-Riċerka dwar id-Difiża, ġie msejjaħ biex janalizza l-punti ta 'Tesla fil-kustodja tal-OAP. Wara investigazzjoni ta 'tlett ijiem, ir-rapport ta' Trump ikkonkluda li ma kien hemm xejn li jikkostitwixxi periklu f'idejn mhux ħbieb, u jiddikjara:</v>
      </c>
    </row>
    <row r="2534" ht="15.75" customHeight="1">
      <c r="A2534" s="2" t="s">
        <v>2534</v>
      </c>
      <c r="B2534" s="2" t="str">
        <f>IFERROR(__xludf.DUMMYFUNCTION("GOOGLETRANSLATE(A2534, ""en"", ""mt"")"),"€ 53,423")</f>
        <v>€ 53,423</v>
      </c>
    </row>
    <row r="2535" ht="15.75" customHeight="1">
      <c r="A2535" s="2" t="s">
        <v>2535</v>
      </c>
      <c r="B2535" s="2" t="str">
        <f>IFERROR(__xludf.DUMMYFUNCTION("GOOGLETRANSLATE(A2535, ""en"", ""mt"")"),"Ersatzschulen")</f>
        <v>Ersatzschulen</v>
      </c>
    </row>
    <row r="2536" ht="15.75" customHeight="1">
      <c r="A2536" s="2" t="s">
        <v>2536</v>
      </c>
      <c r="B2536" s="2" t="str">
        <f>IFERROR(__xludf.DUMMYFUNCTION("GOOGLETRANSLATE(A2536, ""en"", ""mt"")"),"X'jistgħu jiddependu t-tekniċi tal-ispiżerija fuq aktar u aktar?")</f>
        <v>X'jistgħu jiddependu t-tekniċi tal-ispiżerija fuq aktar u aktar?</v>
      </c>
    </row>
    <row r="2537" ht="15.75" customHeight="1">
      <c r="A2537" s="2" t="s">
        <v>2537</v>
      </c>
      <c r="B2537" s="2" t="str">
        <f>IFERROR(__xludf.DUMMYFUNCTION("GOOGLETRANSLATE(A2537, ""en"", ""mt"")"),"Melatonin waqt l-irqad jista 'jikkumbatti b'mod attiv il-produzzjoni ta' xiex?")</f>
        <v>Melatonin waqt l-irqad jista 'jikkumbatti b'mod attiv il-produzzjoni ta' xiex?</v>
      </c>
    </row>
    <row r="2538" ht="15.75" customHeight="1">
      <c r="A2538" s="2" t="s">
        <v>2538</v>
      </c>
      <c r="B2538" s="2" t="str">
        <f>IFERROR(__xludf.DUMMYFUNCTION("GOOGLETRANSLATE(A2538, ""en"", ""mt"")"),"Il-magna Uniflow hija tentattiv biex tiffissa kwistjoni li tqum f'liema ċiklu?")</f>
        <v>Il-magna Uniflow hija tentattiv biex tiffissa kwistjoni li tqum f'liema ċiklu?</v>
      </c>
    </row>
    <row r="2539" ht="15.75" customHeight="1">
      <c r="A2539" s="2" t="s">
        <v>2539</v>
      </c>
      <c r="B2539" s="2" t="str">
        <f>IFERROR(__xludf.DUMMYFUNCTION("GOOGLETRANSLATE(A2539, ""en"", ""mt"")"),"Molekuli bi tliet karbonji msejħa aċidu 3-fosfogliċeriku, jew 3-PGA")</f>
        <v>Molekuli bi tliet karbonji msejħa aċidu 3-fosfogliċeriku, jew 3-PGA</v>
      </c>
    </row>
    <row r="2540" ht="15.75" customHeight="1">
      <c r="A2540" s="2" t="s">
        <v>2540</v>
      </c>
      <c r="B2540" s="2" t="str">
        <f>IFERROR(__xludf.DUMMYFUNCTION("GOOGLETRANSLATE(A2540, ""en"", ""mt"")"),"King Malcolm III")</f>
        <v>King Malcolm III</v>
      </c>
    </row>
    <row r="2541" ht="15.75" customHeight="1">
      <c r="A2541" s="2" t="s">
        <v>2541</v>
      </c>
      <c r="B2541" s="2" t="str">
        <f>IFERROR(__xludf.DUMMYFUNCTION("GOOGLETRANSLATE(A2541, ""en"", ""mt"")"),"żewġ klassijiet ewlenin")</f>
        <v>żewġ klassijiet ewlenin</v>
      </c>
    </row>
    <row r="2542" ht="15.75" customHeight="1">
      <c r="A2542" s="2" t="s">
        <v>2542</v>
      </c>
      <c r="B2542" s="2" t="str">
        <f>IFERROR(__xludf.DUMMYFUNCTION("GOOGLETRANSLATE(A2542, ""en"", ""mt"")"),"Liema kundizzjonijiet għandhom jiġu sodisfatti għal riċetta biex sustanza kkontrollata tkun valida?")</f>
        <v>Liema kundizzjonijiet għandhom jiġu sodisfatti għal riċetta biex sustanza kkontrollata tkun valida?</v>
      </c>
    </row>
    <row r="2543" ht="15.75" customHeight="1">
      <c r="A2543" s="2" t="s">
        <v>2543</v>
      </c>
      <c r="B2543" s="2" t="str">
        <f>IFERROR(__xludf.DUMMYFUNCTION("GOOGLETRANSLATE(A2543, ""en"", ""mt"")"),"Dawk involuti fid-disinn u l-eżekuzzjoni tal-infrastruttura")</f>
        <v>Dawk involuti fid-disinn u l-eżekuzzjoni tal-infrastruttura</v>
      </c>
    </row>
    <row r="2544" ht="15.75" customHeight="1">
      <c r="A2544" s="2" t="s">
        <v>2544</v>
      </c>
      <c r="B2544" s="2" t="str">
        <f>IFERROR(__xludf.DUMMYFUNCTION("GOOGLETRANSLATE(A2544, ""en"", ""mt"")"),"Il-liġi tal-Unjoni Ewropea hija korp ta 'trattati u leġiżlazzjoni, bħal regolamenti u direttivi, li għandhom effett dirett jew effett indirett fuq il-liġijiet tal-Istati Membri tal-Unjoni Ewropea. It-tliet sorsi tal-liġi tal-Unjoni Ewropea huma l-liġi pri"&amp;"marja, il-liġi sekondarja u l-liġi supplimentari. Is-sorsi ewlenin tal-liġi primarja huma t-trattati li jistabbilixxu l-Unjoni Ewropea. Sorsi sekondarji jinkludu regolamenti u direttivi li huma bbażati fuq it-trattati. Il-leġiżlatur tal-Unjoni Ewropea huw"&amp;"a prinċipalment magħmul mill-Parlament Ewropew u l-Kunsill tal-Unjoni Ewropea, li taħt it-trattati jista 'jistabbilixxi liġi sekondarja biex issegwi l-għan stabbilit fit-trattati.")</f>
        <v>Il-liġi tal-Unjoni Ewropea hija korp ta 'trattati u leġiżlazzjoni, bħal regolamenti u direttivi, li għandhom effett dirett jew effett indirett fuq il-liġijiet tal-Istati Membri tal-Unjoni Ewropea. It-tliet sorsi tal-liġi tal-Unjoni Ewropea huma l-liġi primarja, il-liġi sekondarja u l-liġi supplimentari. Is-sorsi ewlenin tal-liġi primarja huma t-trattati li jistabbilixxu l-Unjoni Ewropea. Sorsi sekondarji jinkludu regolamenti u direttivi li huma bbażati fuq it-trattati. Il-leġiżlatur tal-Unjoni Ewropea huwa prinċipalment magħmul mill-Parlament Ewropew u l-Kunsill tal-Unjoni Ewropea, li taħt it-trattati jista 'jistabbilixxi liġi sekondarja biex issegwi l-għan stabbilit fit-trattati.</v>
      </c>
    </row>
    <row r="2545" ht="15.75" customHeight="1">
      <c r="A2545" s="2" t="s">
        <v>2545</v>
      </c>
      <c r="B2545" s="2" t="str">
        <f>IFERROR(__xludf.DUMMYFUNCTION("GOOGLETRANSLATE(A2545, ""en"", ""mt"")"),"Kemm nies jaħdmu għall-iskejjel Kunskapskolan?")</f>
        <v>Kemm nies jaħdmu għall-iskejjel Kunskapskolan?</v>
      </c>
    </row>
    <row r="2546" ht="15.75" customHeight="1">
      <c r="A2546" s="2" t="s">
        <v>2546</v>
      </c>
      <c r="B2546" s="2" t="str">
        <f>IFERROR(__xludf.DUMMYFUNCTION("GOOGLETRANSLATE(A2546, ""en"", ""mt"")"),"priża planktonika sospiża")</f>
        <v>priża planktonika sospiża</v>
      </c>
    </row>
    <row r="2547" ht="15.75" customHeight="1">
      <c r="A2547" s="2" t="s">
        <v>2547</v>
      </c>
      <c r="B2547" s="2" t="str">
        <f>IFERROR(__xludf.DUMMYFUNCTION("GOOGLETRANSLATE(A2547, ""en"", ""mt"")"),"forzi")</f>
        <v>forzi</v>
      </c>
    </row>
    <row r="2548" ht="15.75" customHeight="1">
      <c r="A2548" s="2" t="s">
        <v>2548</v>
      </c>
      <c r="B2548" s="2" t="str">
        <f>IFERROR(__xludf.DUMMYFUNCTION("GOOGLETRANSLATE(A2548, ""en"", ""mt"")"),"driegħ")</f>
        <v>driegħ</v>
      </c>
    </row>
    <row r="2549" ht="15.75" customHeight="1">
      <c r="A2549" s="2" t="s">
        <v>2549</v>
      </c>
      <c r="B2549" s="2" t="str">
        <f>IFERROR(__xludf.DUMMYFUNCTION("GOOGLETRANSLATE(A2549, ""en"", ""mt"")"),"X'iktar ġie interrogat pubblikament?")</f>
        <v>X'iktar ġie interrogat pubblikament?</v>
      </c>
    </row>
    <row r="2550" ht="15.75" customHeight="1">
      <c r="A2550" s="2" t="s">
        <v>2550</v>
      </c>
      <c r="B2550" s="2" t="str">
        <f>IFERROR(__xludf.DUMMYFUNCTION("GOOGLETRANSLATE(A2550, ""en"", ""mt"")"),"Geordie")</f>
        <v>Geordie</v>
      </c>
    </row>
    <row r="2551" ht="15.75" customHeight="1">
      <c r="A2551" s="2" t="s">
        <v>2551</v>
      </c>
      <c r="B2551" s="2" t="str">
        <f>IFERROR(__xludf.DUMMYFUNCTION("GOOGLETRANSLATE(A2551, ""en"", ""mt"")"),"1964 u 1965")</f>
        <v>1964 u 1965</v>
      </c>
    </row>
    <row r="2552" ht="15.75" customHeight="1">
      <c r="A2552" s="2" t="s">
        <v>2552</v>
      </c>
      <c r="B2552" s="2" t="str">
        <f>IFERROR(__xludf.DUMMYFUNCTION("GOOGLETRANSLATE(A2552, ""en"", ""mt"")"),"komunitajiet suburbani u użu ta 'karozzi u awtostradi")</f>
        <v>komunitajiet suburbani u użu ta 'karozzi u awtostradi</v>
      </c>
    </row>
    <row r="2553" ht="15.75" customHeight="1">
      <c r="A2553" s="2" t="s">
        <v>2553</v>
      </c>
      <c r="B2553" s="2" t="str">
        <f>IFERROR(__xludf.DUMMYFUNCTION("GOOGLETRANSLATE(A2553, ""en"", ""mt"")"),"Liema reliġjon hija ddominata minn St Cuthbert's High School?")</f>
        <v>Liema reliġjon hija ddominata minn St Cuthbert's High School?</v>
      </c>
    </row>
    <row r="2554" ht="15.75" customHeight="1">
      <c r="A2554" s="2" t="s">
        <v>2554</v>
      </c>
      <c r="B2554" s="2" t="str">
        <f>IFERROR(__xludf.DUMMYFUNCTION("GOOGLETRANSLATE(A2554, ""en"", ""mt"")"),"Id-disponibbiltà tal-Bibbja f'lingwi vernakulari kienet importanti għat-tixrid tal-moviment Protestant u l-iżvilupp tal-Knisja Riformata fi Franza. Il-pajjiż kellu storja twila ta 'ġlidiet mal-papat sa meta fl-aħħar waslet ir-Riforma Protestanta. Madwar l"&amp;"-1294, verżjoni Franċiża tal-Iskrittura ġiet ippreparata mill-Kappillan Kattoliku Ruman, Guyard de Moulin. Verżjoni ta 'parafrażi tal-folio illustrata b'żewġ volumi bbażata fuq il-manuskritt tiegħu, minn Jean de Rély, ġiet stampata f'Pariġi fl-1487.")</f>
        <v>Id-disponibbiltà tal-Bibbja f'lingwi vernakulari kienet importanti għat-tixrid tal-moviment Protestant u l-iżvilupp tal-Knisja Riformata fi Franza. Il-pajjiż kellu storja twila ta 'ġlidiet mal-papat sa meta fl-aħħar waslet ir-Riforma Protestanta. Madwar l-1294, verżjoni Franċiża tal-Iskrittura ġiet ippreparata mill-Kappillan Kattoliku Ruman, Guyard de Moulin. Verżjoni ta 'parafrażi tal-folio illustrata b'żewġ volumi bbażata fuq il-manuskritt tiegħu, minn Jean de Rély, ġiet stampata f'Pariġi fl-1487.</v>
      </c>
    </row>
    <row r="2555" ht="15.75" customHeight="1">
      <c r="A2555" s="2" t="s">
        <v>2555</v>
      </c>
      <c r="B2555" s="2" t="str">
        <f>IFERROR(__xludf.DUMMYFUNCTION("GOOGLETRANSLATE(A2555, ""en"", ""mt"")"),"Kemm-il darba Newcastle ġġieled barra l-Iskoċċiż matul is-seklu 14?")</f>
        <v>Kemm-il darba Newcastle ġġieled barra l-Iskoċċiż matul is-seklu 14?</v>
      </c>
    </row>
    <row r="2556" ht="15.75" customHeight="1">
      <c r="A2556" s="2" t="s">
        <v>2556</v>
      </c>
      <c r="B2556" s="2" t="str">
        <f>IFERROR(__xludf.DUMMYFUNCTION("GOOGLETRANSLATE(A2556, ""en"", ""mt"")"),"Varjazzjoni antiġenika")</f>
        <v>Varjazzjoni antiġenika</v>
      </c>
    </row>
    <row r="2557" ht="15.75" customHeight="1">
      <c r="A2557" s="2" t="s">
        <v>2557</v>
      </c>
      <c r="B2557" s="2" t="str">
        <f>IFERROR(__xludf.DUMMYFUNCTION("GOOGLETRANSLATE(A2557, ""en"", ""mt"")"),"Fejn jinstabu l-pirenojdi?")</f>
        <v>Fejn jinstabu l-pirenojdi?</v>
      </c>
    </row>
    <row r="2558" ht="15.75" customHeight="1">
      <c r="A2558" s="2" t="s">
        <v>2558</v>
      </c>
      <c r="B2558" s="2" t="str">
        <f>IFERROR(__xludf.DUMMYFUNCTION("GOOGLETRANSLATE(A2558, ""en"", ""mt"")"),"Liema Eġitologu kien ukoll apparti mill-fakultà tal-università?")</f>
        <v>Liema Eġitologu kien ukoll apparti mill-fakultà tal-università?</v>
      </c>
    </row>
    <row r="2559" ht="15.75" customHeight="1">
      <c r="A2559" s="2" t="s">
        <v>2559</v>
      </c>
      <c r="B2559" s="2" t="str">
        <f>IFERROR(__xludf.DUMMYFUNCTION("GOOGLETRANSLATE(A2559, ""en"", ""mt"")"),"il-chao")</f>
        <v>il-chao</v>
      </c>
    </row>
    <row r="2560" ht="15.75" customHeight="1">
      <c r="A2560" s="2" t="s">
        <v>2560</v>
      </c>
      <c r="B2560" s="2" t="str">
        <f>IFERROR(__xludf.DUMMYFUNCTION("GOOGLETRANSLATE(A2560, ""en"", ""mt"")"),"Kemm hemm sorsi tal-liġi tal-Unjoni Ewropea?")</f>
        <v>Kemm hemm sorsi tal-liġi tal-Unjoni Ewropea?</v>
      </c>
    </row>
    <row r="2561" ht="15.75" customHeight="1">
      <c r="A2561" s="2" t="s">
        <v>2561</v>
      </c>
      <c r="B2561" s="2" t="str">
        <f>IFERROR(__xludf.DUMMYFUNCTION("GOOGLETRANSLATE(A2561, ""en"", ""mt"")"),"1% tal-popolazzjoni")</f>
        <v>1% tal-popolazzjoni</v>
      </c>
    </row>
    <row r="2562" ht="15.75" customHeight="1">
      <c r="A2562" s="2" t="s">
        <v>2562</v>
      </c>
      <c r="B2562" s="2" t="str">
        <f>IFERROR(__xludf.DUMMYFUNCTION("GOOGLETRANSLATE(A2562, ""en"", ""mt"")"),"il-firxa tal-qsim il-kbir")</f>
        <v>il-firxa tal-qsim il-kbir</v>
      </c>
    </row>
    <row r="2563" ht="15.75" customHeight="1">
      <c r="A2563" s="2" t="s">
        <v>2563</v>
      </c>
      <c r="B2563" s="2" t="str">
        <f>IFERROR(__xludf.DUMMYFUNCTION("GOOGLETRANSLATE(A2563, ""en"", ""mt"")"),"Liema speċi ta 'siġar hija mħawla fiż-żewġ kantunieri mill-faċċata tat-tramuntana?")</f>
        <v>Liema speċi ta 'siġar hija mħawla fiż-żewġ kantunieri mill-faċċata tat-tramuntana?</v>
      </c>
    </row>
    <row r="2564" ht="15.75" customHeight="1">
      <c r="A2564" s="2" t="s">
        <v>2564</v>
      </c>
      <c r="B2564" s="2" t="str">
        <f>IFERROR(__xludf.DUMMYFUNCTION("GOOGLETRANSLATE(A2564, ""en"", ""mt"")"),"$ 1,000,000")</f>
        <v>$ 1,000,000</v>
      </c>
    </row>
    <row r="2565" ht="15.75" customHeight="1">
      <c r="A2565" s="2" t="s">
        <v>2565</v>
      </c>
      <c r="B2565" s="2" t="str">
        <f>IFERROR(__xludf.DUMMYFUNCTION("GOOGLETRANSLATE(A2565, ""en"", ""mt"")"),"1018")</f>
        <v>1018</v>
      </c>
    </row>
    <row r="2566" ht="15.75" customHeight="1">
      <c r="A2566" s="2" t="s">
        <v>2566</v>
      </c>
      <c r="B2566" s="2" t="str">
        <f>IFERROR(__xludf.DUMMYFUNCTION("GOOGLETRANSLATE(A2566, ""en"", ""mt"")"),"F’liema seklu missjunarji stabbilixxew b’mod partikolari l-iskejjel tal-knisja fl-Afrika t'Isfel?")</f>
        <v>F’liema seklu missjunarji stabbilixxew b’mod partikolari l-iskejjel tal-knisja fl-Afrika t'Isfel?</v>
      </c>
    </row>
    <row r="2567" ht="15.75" customHeight="1">
      <c r="A2567" s="2" t="s">
        <v>2567</v>
      </c>
      <c r="B2567" s="2" t="str">
        <f>IFERROR(__xludf.DUMMYFUNCTION("GOOGLETRANSLATE(A2567, ""en"", ""mt"")"),"Invenzjonijiet, riċerki u kitbiet ta 'Nikola Tesla.")</f>
        <v>Invenzjonijiet, riċerki u kitbiet ta 'Nikola Tesla.</v>
      </c>
    </row>
    <row r="2568" ht="15.75" customHeight="1">
      <c r="A2568" s="2" t="s">
        <v>2568</v>
      </c>
      <c r="B2568" s="2" t="str">
        <f>IFERROR(__xludf.DUMMYFUNCTION("GOOGLETRANSLATE(A2568, ""en"", ""mt"")"),"Dinjità")</f>
        <v>Dinjità</v>
      </c>
    </row>
    <row r="2569" ht="15.75" customHeight="1">
      <c r="A2569" s="2" t="s">
        <v>2569</v>
      </c>
      <c r="B2569" s="2" t="str">
        <f>IFERROR(__xludf.DUMMYFUNCTION("GOOGLETRANSLATE(A2569, ""en"", ""mt"")"),"Lampi elettriċi mingħajr fili")</f>
        <v>Lampi elettriċi mingħajr fili</v>
      </c>
    </row>
    <row r="2570" ht="15.75" customHeight="1">
      <c r="A2570" s="2" t="s">
        <v>2570</v>
      </c>
      <c r="B2570" s="2" t="str">
        <f>IFERROR(__xludf.DUMMYFUNCTION("GOOGLETRANSLATE(A2570, ""en"", ""mt"")"),"Il-Bord Intergovernattiv dwar it-Tibdil fil-Klima (IPCC) huwa korp intergovernattiv xjentifiku taħt il-patroċinju tan-Nazzjonijiet Uniti, imwaqqaf fuq talba tal-gvernijiet membri. L-ewwel ġie stabbilit fl-1988 minn żewġ organizzazzjonijiet tan-Nazzjonijie"&amp;"t Uniti, l-Organizzazzjoni Meteoroloġika Dinjija (WMO) u l-Programm ta 'l-Ambjent tan-Nazzjonijiet Uniti (UNEP), u aktar tard approvat mill-Assemblea Ġenerali tan-Nazzjonijiet Uniti permezz tar-Riżoluzzjoni 43/53. Is-sħubija fl-IPCC hija miftuħa għall-mem"&amp;"bri kollha tal-WMO u l-UNEP. L-IPCC jipproduċi rapporti li jappoġġjaw il-Konvenzjoni Qafas tan-Nazzjonijiet Uniti dwar it-Tibdil fil-Klima (UNFCCC), li huwa t-Trattat Internazzjonali ewlieni dwar it-Tibdil fil-Klima. L-għan aħħari tal-UNFCCC huwa li ""tis"&amp;"tabbilizza l-konċentrazzjonijiet tal-gass serra fl-atmosfera f'livell li jipprevjeni interferenza antropoġenika perikoluża [i.e., indotta mill-bniedem] fis-sistema klimatika"". Ir-rapporti tal-IPCC ikopru ""l-informazzjoni xjentifika, teknika u soċjo-ekon"&amp;"omika rilevanti biex tifhem il-bażi xjentifika tar-riskju ta 'bidla fil-klima indotta mill-bniedem, l-impatti potenzjali u l-għażliet tagħha għall-adattament u l-mitigazzjoni.""")</f>
        <v>Il-Bord Intergovernattiv dwar it-Tibdil fil-Klima (IPCC) huwa korp intergovernattiv xjentifiku taħt il-patroċinju tan-Nazzjonijiet Uniti, imwaqqaf fuq talba tal-gvernijiet membri. L-ewwel ġie stabbilit fl-1988 minn żewġ organizzazzjonijiet tan-Nazzjonijiet Uniti, l-Organizzazzjoni Meteoroloġika Dinjija (WMO) u l-Programm ta 'l-Ambjent tan-Nazzjonijiet Uniti (UNEP), u aktar tard approvat mill-Assemblea Ġenerali tan-Nazzjonijiet Uniti permezz tar-Riżoluzzjoni 43/53. Is-sħubija fl-IPCC hija miftuħa għall-membri kollha tal-WMO u l-UNEP. L-IPCC jipproduċi rapporti li jappoġġjaw il-Konvenzjoni Qafas tan-Nazzjonijiet Uniti dwar it-Tibdil fil-Klima (UNFCCC), li huwa t-Trattat Internazzjonali ewlieni dwar it-Tibdil fil-Klima. L-għan aħħari tal-UNFCCC huwa li "tistabbilizza l-konċentrazzjonijiet tal-gass serra fl-atmosfera f'livell li jipprevjeni interferenza antropoġenika perikoluża [i.e., indotta mill-bniedem] fis-sistema klimatika". Ir-rapporti tal-IPCC ikopru "l-informazzjoni xjentifika, teknika u soċjo-ekonomika rilevanti biex tifhem il-bażi xjentifika tar-riskju ta 'bidla fil-klima indotta mill-bniedem, l-impatti potenzjali u l-għażliet tagħha għall-adattament u l-mitigazzjoni."</v>
      </c>
    </row>
    <row r="2571" ht="15.75" customHeight="1">
      <c r="A2571" s="2" t="s">
        <v>2571</v>
      </c>
      <c r="B2571" s="2" t="str">
        <f>IFERROR(__xludf.DUMMYFUNCTION("GOOGLETRANSLATE(A2571, ""en"", ""mt"")"),"Sit tat-Test Nukleari tal-Merkurju tal-Kamp")</f>
        <v>Sit tat-Test Nukleari tal-Merkurju tal-Kamp</v>
      </c>
    </row>
    <row r="2572" ht="15.75" customHeight="1">
      <c r="A2572" s="2" t="s">
        <v>2572</v>
      </c>
      <c r="B2572" s="2" t="str">
        <f>IFERROR(__xludf.DUMMYFUNCTION("GOOGLETRANSLATE(A2572, ""en"", ""mt"")"),"B'liema korp għandu jirreġistra tekniku tal-ispiżerija?")</f>
        <v>B'liema korp għandu jirreġistra tekniku tal-ispiżerija?</v>
      </c>
    </row>
    <row r="2573" ht="15.75" customHeight="1">
      <c r="A2573" s="2" t="s">
        <v>2573</v>
      </c>
      <c r="B2573" s="2" t="str">
        <f>IFERROR(__xludf.DUMMYFUNCTION("GOOGLETRANSLATE(A2573, ""en"", ""mt"")"),"Kemm jintuża l-metodu tal-passatur tal-produzzjoni tal-gass?")</f>
        <v>Kemm jintuża l-metodu tal-passatur tal-produzzjoni tal-gass?</v>
      </c>
    </row>
    <row r="2574" ht="15.75" customHeight="1">
      <c r="A2574" s="2" t="s">
        <v>2574</v>
      </c>
      <c r="B2574" s="2" t="str">
        <f>IFERROR(__xludf.DUMMYFUNCTION("GOOGLETRANSLATE(A2574, ""en"", ""mt"")"),"$ 3.5 biljun u $ 118 għal kull wieħed mill-ishma ta 'ABC kif ukoll garanzija ta' 10% (jew $ 3) għal total ta '$ 121 kull sehem")</f>
        <v>$ 3.5 biljun u $ 118 għal kull wieħed mill-ishma ta 'ABC kif ukoll garanzija ta' 10% (jew $ 3) għal total ta '$ 121 kull sehem</v>
      </c>
    </row>
    <row r="2575" ht="15.75" customHeight="1">
      <c r="A2575" s="2" t="s">
        <v>2575</v>
      </c>
      <c r="B2575" s="2" t="str">
        <f>IFERROR(__xludf.DUMMYFUNCTION("GOOGLETRANSLATE(A2575, ""en"", ""mt"")"),"Beijing")</f>
        <v>Beijing</v>
      </c>
    </row>
    <row r="2576" ht="15.75" customHeight="1">
      <c r="A2576" s="2" t="s">
        <v>2576</v>
      </c>
      <c r="B2576" s="2" t="str">
        <f>IFERROR(__xludf.DUMMYFUNCTION("GOOGLETRANSLATE(A2576, ""en"", ""mt"")"),"X'inhu t-tip ta 'produzzjoni ta' ossiġnu għall-ossiġnu ta 'emerġenza fil-linji tal-ajru?")</f>
        <v>X'inhu t-tip ta 'produzzjoni ta' ossiġnu għall-ossiġnu ta 'emerġenza fil-linji tal-ajru?</v>
      </c>
    </row>
    <row r="2577" ht="15.75" customHeight="1">
      <c r="A2577" s="2" t="s">
        <v>2577</v>
      </c>
      <c r="B2577" s="2" t="str">
        <f>IFERROR(__xludf.DUMMYFUNCTION("GOOGLETRANSLATE(A2577, ""en"", ""mt"")"),"A. A. Michelson")</f>
        <v>A. A. Michelson</v>
      </c>
    </row>
    <row r="2578" ht="15.75" customHeight="1">
      <c r="A2578" s="2" t="s">
        <v>2578</v>
      </c>
      <c r="B2578" s="2" t="str">
        <f>IFERROR(__xludf.DUMMYFUNCTION("GOOGLETRANSLATE(A2578, ""en"", ""mt"")"),"Stoking")</f>
        <v>Stoking</v>
      </c>
    </row>
    <row r="2579" ht="15.75" customHeight="1">
      <c r="A2579" s="2" t="s">
        <v>2579</v>
      </c>
      <c r="B2579" s="2" t="str">
        <f>IFERROR(__xludf.DUMMYFUNCTION("GOOGLETRANSLATE(A2579, ""en"", ""mt"")"),"Uġigħ kroniku")</f>
        <v>Uġigħ kroniku</v>
      </c>
    </row>
    <row r="2580" ht="15.75" customHeight="1">
      <c r="A2580" s="2" t="s">
        <v>2580</v>
      </c>
      <c r="B2580" s="2" t="str">
        <f>IFERROR(__xludf.DUMMYFUNCTION("GOOGLETRANSLATE(A2580, ""en"", ""mt"")"),"Kif tissejjaħ il-verżjoni riveduta tal-Ktieb tat-Talb Komuni?")</f>
        <v>Kif tissejjaħ il-verżjoni riveduta tal-Ktieb tat-Talb Komuni?</v>
      </c>
    </row>
    <row r="2581" ht="15.75" customHeight="1">
      <c r="A2581" s="2" t="s">
        <v>2581</v>
      </c>
      <c r="B2581" s="2" t="str">
        <f>IFERROR(__xludf.DUMMYFUNCTION("GOOGLETRANSLATE(A2581, ""en"", ""mt"")"),"F'liema parti li fiha l-korp tal-kalċju huwa parti?")</f>
        <v>F'liema parti li fiha l-korp tal-kalċju huwa parti?</v>
      </c>
    </row>
    <row r="2582" ht="15.75" customHeight="1">
      <c r="A2582" s="2" t="s">
        <v>2582</v>
      </c>
      <c r="B2582" s="2" t="str">
        <f>IFERROR(__xludf.DUMMYFUNCTION("GOOGLETRANSLATE(A2582, ""en"", ""mt"")"),"Wara t-tmiem tal-Gwerra tal-Messiku.")</f>
        <v>Wara t-tmiem tal-Gwerra tal-Messiku.</v>
      </c>
    </row>
    <row r="2583" ht="15.75" customHeight="1">
      <c r="A2583" s="2" t="s">
        <v>2583</v>
      </c>
      <c r="B2583" s="2" t="str">
        <f>IFERROR(__xludf.DUMMYFUNCTION("GOOGLETRANSLATE(A2583, ""en"", ""mt"")"),"innegozjat bejn il-punti finali")</f>
        <v>innegozjat bejn il-punti finali</v>
      </c>
    </row>
    <row r="2584" ht="15.75" customHeight="1">
      <c r="A2584" s="2" t="s">
        <v>2584</v>
      </c>
      <c r="B2584" s="2" t="str">
        <f>IFERROR(__xludf.DUMMYFUNCTION("GOOGLETRANSLATE(A2584, ""en"", ""mt"")"),"Zokkor u Ossiġenu (O2)")</f>
        <v>Zokkor u Ossiġenu (O2)</v>
      </c>
    </row>
    <row r="2585" ht="15.75" customHeight="1">
      <c r="A2585" s="2" t="s">
        <v>2585</v>
      </c>
      <c r="B2585" s="2" t="str">
        <f>IFERROR(__xludf.DUMMYFUNCTION("GOOGLETRANSLATE(A2585, ""en"", ""mt"")"),"Meta Brittaniċi bdew jibnu Fort taħt William Trent?")</f>
        <v>Meta Brittaniċi bdew jibnu Fort taħt William Trent?</v>
      </c>
    </row>
    <row r="2586" ht="15.75" customHeight="1">
      <c r="A2586" s="2" t="s">
        <v>2586</v>
      </c>
      <c r="B2586" s="2" t="str">
        <f>IFERROR(__xludf.DUMMYFUNCTION("GOOGLETRANSLATE(A2586, ""en"", ""mt"")"),"Messikan")</f>
        <v>Messikan</v>
      </c>
    </row>
    <row r="2587" ht="15.75" customHeight="1">
      <c r="A2587" s="2" t="s">
        <v>2587</v>
      </c>
      <c r="B2587" s="2" t="str">
        <f>IFERROR(__xludf.DUMMYFUNCTION("GOOGLETRANSLATE(A2587, ""en"", ""mt"")"),"settur privat, negozji u sponsors")</f>
        <v>settur privat, negozji u sponsors</v>
      </c>
    </row>
    <row r="2588" ht="15.75" customHeight="1">
      <c r="A2588" s="2" t="s">
        <v>2588</v>
      </c>
      <c r="B2588" s="2" t="str">
        <f>IFERROR(__xludf.DUMMYFUNCTION("GOOGLETRANSLATE(A2588, ""en"", ""mt"")"),"tkun l-iktar affidabbli u li kien hemm sistema ta 'Westinghouse li tixgħel bozoz inkandexxenti bl-użu ta' kurrent alternattiv b'żewġ fażijiet")</f>
        <v>tkun l-iktar affidabbli u li kien hemm sistema ta 'Westinghouse li tixgħel bozoz inkandexxenti bl-użu ta' kurrent alternattiv b'żewġ fażijiet</v>
      </c>
    </row>
    <row r="2589" ht="15.75" customHeight="1">
      <c r="A2589" s="2" t="s">
        <v>2589</v>
      </c>
      <c r="B2589" s="2" t="str">
        <f>IFERROR(__xludf.DUMMYFUNCTION("GOOGLETRANSLATE(A2589, ""en"", ""mt"")"),"Wianki")</f>
        <v>Wianki</v>
      </c>
    </row>
    <row r="2590" ht="15.75" customHeight="1">
      <c r="A2590" s="2" t="s">
        <v>2590</v>
      </c>
      <c r="B2590" s="2" t="str">
        <f>IFERROR(__xludf.DUMMYFUNCTION("GOOGLETRANSLATE(A2590, ""en"", ""mt"")"),"avveniment ta 'tqabbid, bħal sħana jew xrar")</f>
        <v>avveniment ta 'tqabbid, bħal sħana jew xrar</v>
      </c>
    </row>
    <row r="2591" ht="15.75" customHeight="1">
      <c r="A2591" s="2" t="s">
        <v>2591</v>
      </c>
      <c r="B2591" s="2" t="str">
        <f>IFERROR(__xludf.DUMMYFUNCTION("GOOGLETRANSLATE(A2591, ""en"", ""mt"")"),"Meta sostnew it-Tliet Avukati Ġenerali li d-direttivi għandhom joħolqu drittijiet u dmirijiet għaċ-ċittadini kollha?")</f>
        <v>Meta sostnew it-Tliet Avukati Ġenerali li d-direttivi għandhom joħolqu drittijiet u dmirijiet għaċ-ċittadini kollha?</v>
      </c>
    </row>
    <row r="2592" ht="15.75" customHeight="1">
      <c r="A2592" s="2" t="s">
        <v>2592</v>
      </c>
      <c r="B2592" s="2" t="str">
        <f>IFERROR(__xludf.DUMMYFUNCTION("GOOGLETRANSLATE(A2592, ""en"", ""mt"")"),"Liema kumpanija kummerċjali għenet biex tissetilja Huguenots ħdejn il-Kap?")</f>
        <v>Liema kumpanija kummerċjali għenet biex tissetilja Huguenots ħdejn il-Kap?</v>
      </c>
    </row>
    <row r="2593" ht="15.75" customHeight="1">
      <c r="A2593" s="2" t="s">
        <v>2593</v>
      </c>
      <c r="B2593" s="2" t="str">
        <f>IFERROR(__xludf.DUMMYFUNCTION("GOOGLETRANSLATE(A2593, ""en"", ""mt"")"),"X'inhuma l-injetturi użati biex ifornu?")</f>
        <v>X'inhuma l-injetturi użati biex ifornu?</v>
      </c>
    </row>
    <row r="2594" ht="15.75" customHeight="1">
      <c r="A2594" s="2" t="s">
        <v>2594</v>
      </c>
      <c r="B2594" s="2" t="str">
        <f>IFERROR(__xludf.DUMMYFUNCTION("GOOGLETRANSLATE(A2594, ""en"", ""mt"")"),"probabbiltà li tirrepeti l-azzjonijiet illegali tagħha")</f>
        <v>probabbiltà li tirrepeti l-azzjonijiet illegali tagħha</v>
      </c>
    </row>
    <row r="2595" ht="15.75" customHeight="1">
      <c r="A2595" s="2" t="s">
        <v>2595</v>
      </c>
      <c r="B2595" s="2" t="str">
        <f>IFERROR(__xludf.DUMMYFUNCTION("GOOGLETRANSLATE(A2595, ""en"", ""mt"")"),"X'kienet id-densità tal-popolazzjoni fl-2000?")</f>
        <v>X'kienet id-densità tal-popolazzjoni fl-2000?</v>
      </c>
    </row>
    <row r="2596" ht="15.75" customHeight="1">
      <c r="A2596" s="2" t="s">
        <v>2596</v>
      </c>
      <c r="B2596" s="2" t="str">
        <f>IFERROR(__xludf.DUMMYFUNCTION("GOOGLETRANSLATE(A2596, ""en"", ""mt"")"),"l-ambjent li fihom għexu")</f>
        <v>l-ambjent li fihom għexu</v>
      </c>
    </row>
    <row r="2597" ht="15.75" customHeight="1">
      <c r="A2597" s="2" t="s">
        <v>2597</v>
      </c>
      <c r="B2597" s="2" t="str">
        <f>IFERROR(__xludf.DUMMYFUNCTION("GOOGLETRANSLATE(A2597, ""en"", ""mt"")"),"Fl-24 ta 'Marzu 1879")</f>
        <v>Fl-24 ta 'Marzu 1879</v>
      </c>
    </row>
    <row r="2598" ht="15.75" customHeight="1">
      <c r="A2598" s="2" t="s">
        <v>2598</v>
      </c>
      <c r="B2598" s="2" t="str">
        <f>IFERROR(__xludf.DUMMYFUNCTION("GOOGLETRANSLATE(A2598, ""en"", ""mt"")"),"L-Isqof qara l-appuntamenti fis-sessjoni tal-Konferenza Annwali")</f>
        <v>L-Isqof qara l-appuntamenti fis-sessjoni tal-Konferenza Annwali</v>
      </c>
    </row>
    <row r="2599" ht="15.75" customHeight="1">
      <c r="A2599" s="2" t="s">
        <v>2599</v>
      </c>
      <c r="B2599" s="2" t="str">
        <f>IFERROR(__xludf.DUMMYFUNCTION("GOOGLETRANSLATE(A2599, ""en"", ""mt"")"),"Boomer Esiason")</f>
        <v>Boomer Esiason</v>
      </c>
    </row>
    <row r="2600" ht="15.75" customHeight="1">
      <c r="A2600" s="2" t="s">
        <v>2600</v>
      </c>
      <c r="B2600" s="2" t="str">
        <f>IFERROR(__xludf.DUMMYFUNCTION("GOOGLETRANSLATE(A2600, ""en"", ""mt"")"),"Drittijiet ta 'tagħlim baxxi ħafna")</f>
        <v>Drittijiet ta 'tagħlim baxxi ħafna</v>
      </c>
    </row>
    <row r="2601" ht="15.75" customHeight="1">
      <c r="A2601" s="2" t="s">
        <v>2601</v>
      </c>
      <c r="B2601" s="2" t="str">
        <f>IFERROR(__xludf.DUMMYFUNCTION("GOOGLETRANSLATE(A2601, ""en"", ""mt"")"),"Għal xiex huwa l-itwal żmien li ċ-ċertifikat tat-tagħlim huwa tajjeb għalih?")</f>
        <v>Għal xiex huwa l-itwal żmien li ċ-ċertifikat tat-tagħlim huwa tajjeb għalih?</v>
      </c>
    </row>
    <row r="2602" ht="15.75" customHeight="1">
      <c r="A2602" s="2" t="s">
        <v>2602</v>
      </c>
      <c r="B2602" s="2" t="str">
        <f>IFERROR(__xludf.DUMMYFUNCTION("GOOGLETRANSLATE(A2602, ""en"", ""mt"")"),"Friefet il-lejl tal-vampire")</f>
        <v>Friefet il-lejl tal-vampire</v>
      </c>
    </row>
    <row r="2603" ht="15.75" customHeight="1">
      <c r="A2603" s="2" t="s">
        <v>2603</v>
      </c>
      <c r="B2603" s="2" t="str">
        <f>IFERROR(__xludf.DUMMYFUNCTION("GOOGLETRANSLATE(A2603, ""en"", ""mt"")"),"Dan il-filmat kien kompatibbli jew inkompatibbli ma 'formati tat-TV imxandar live?")</f>
        <v>Dan il-filmat kien kompatibbli jew inkompatibbli ma 'formati tat-TV imxandar live?</v>
      </c>
    </row>
    <row r="2604" ht="15.75" customHeight="1">
      <c r="A2604" s="2" t="s">
        <v>2604</v>
      </c>
      <c r="B2604" s="2" t="str">
        <f>IFERROR(__xludf.DUMMYFUNCTION("GOOGLETRANSLATE(A2604, ""en"", ""mt"")"),"Liema terminu jaħsbu li l-Iżlamisti għandhom jiġu applikati għalihom?")</f>
        <v>Liema terminu jaħsbu li l-Iżlamisti għandhom jiġu applikati għalihom?</v>
      </c>
    </row>
    <row r="2605" ht="15.75" customHeight="1">
      <c r="A2605" s="2" t="s">
        <v>2605</v>
      </c>
      <c r="B2605" s="2" t="str">
        <f>IFERROR(__xludf.DUMMYFUNCTION("GOOGLETRANSLATE(A2605, ""en"", ""mt"")"),"X'inhu terminu ieħor għall-abilità ta 'viżwalizzazzjoni ta' Tesla?")</f>
        <v>X'inhu terminu ieħor għall-abilità ta 'viżwalizzazzjoni ta' Tesla?</v>
      </c>
    </row>
    <row r="2606" ht="15.75" customHeight="1">
      <c r="A2606" s="2" t="s">
        <v>2606</v>
      </c>
      <c r="B2606" s="2" t="str">
        <f>IFERROR(__xludf.DUMMYFUNCTION("GOOGLETRANSLATE(A2606, ""en"", ""mt"")"),"Liema anniversarju mill-franchise Pokémon ġie ċċelebrat matul is-Super Bowl?")</f>
        <v>Liema anniversarju mill-franchise Pokémon ġie ċċelebrat matul is-Super Bowl?</v>
      </c>
    </row>
    <row r="2607" ht="15.75" customHeight="1">
      <c r="A2607" s="2" t="s">
        <v>2607</v>
      </c>
      <c r="B2607" s="2" t="str">
        <f>IFERROR(__xludf.DUMMYFUNCTION("GOOGLETRANSLATE(A2607, ""en"", ""mt"")"),"X'inhu l-isem tal-affiljat tas-CBS fi Fresno?")</f>
        <v>X'inhu l-isem tal-affiljat tas-CBS fi Fresno?</v>
      </c>
    </row>
    <row r="2608" ht="15.75" customHeight="1">
      <c r="A2608" s="2" t="s">
        <v>2608</v>
      </c>
      <c r="B2608" s="2" t="str">
        <f>IFERROR(__xludf.DUMMYFUNCTION("GOOGLETRANSLATE(A2608, ""en"", ""mt"")"),"l-Unjoni Sovjetika")</f>
        <v>l-Unjoni Sovjetika</v>
      </c>
    </row>
    <row r="2609" ht="15.75" customHeight="1">
      <c r="A2609" s="2" t="s">
        <v>2609</v>
      </c>
      <c r="B2609" s="2" t="str">
        <f>IFERROR(__xludf.DUMMYFUNCTION("GOOGLETRANSLATE(A2609, ""en"", ""mt"")"),"bażi tat-taxxa tinħela")</f>
        <v>bażi tat-taxxa tinħela</v>
      </c>
    </row>
    <row r="2610" ht="15.75" customHeight="1">
      <c r="A2610" s="2" t="s">
        <v>2610</v>
      </c>
      <c r="B2610" s="2" t="str">
        <f>IFERROR(__xludf.DUMMYFUNCTION("GOOGLETRANSLATE(A2610, ""en"", ""mt"")"),"X'jikkompila u jirrapporta dwar dejta dwar id-daqs tal-kumpaniji tad-disinn u tal-kostruzzjoni?")</f>
        <v>X'jikkompila u jirrapporta dwar dejta dwar id-daqs tal-kumpaniji tad-disinn u tal-kostruzzjoni?</v>
      </c>
    </row>
    <row r="2611" ht="15.75" customHeight="1">
      <c r="A2611" s="2" t="s">
        <v>2611</v>
      </c>
      <c r="B2611" s="2" t="str">
        <f>IFERROR(__xludf.DUMMYFUNCTION("GOOGLETRANSLATE(A2611, ""en"", ""mt"")"),"X'inhu l-isem tal-kurrikulu ewlieni tal-università?")</f>
        <v>X'inhu l-isem tal-kurrikulu ewlieni tal-università?</v>
      </c>
    </row>
    <row r="2612" ht="15.75" customHeight="1">
      <c r="A2612" s="2" t="s">
        <v>2612</v>
      </c>
      <c r="B2612" s="2" t="str">
        <f>IFERROR(__xludf.DUMMYFUNCTION("GOOGLETRANSLATE(A2612, ""en"", ""mt"")"),"toqgħod id-dar")</f>
        <v>toqgħod id-dar</v>
      </c>
    </row>
    <row r="2613" ht="15.75" customHeight="1">
      <c r="A2613" s="2" t="s">
        <v>2613</v>
      </c>
      <c r="B2613" s="2" t="str">
        <f>IFERROR(__xludf.DUMMYFUNCTION("GOOGLETRANSLATE(A2613, ""en"", ""mt"")"),"Proġett Merkurju u Gemini")</f>
        <v>Proġett Merkurju u Gemini</v>
      </c>
    </row>
    <row r="2614" ht="15.75" customHeight="1">
      <c r="A2614" s="2" t="s">
        <v>2614</v>
      </c>
      <c r="B2614" s="2" t="str">
        <f>IFERROR(__xludf.DUMMYFUNCTION("GOOGLETRANSLATE(A2614, ""en"", ""mt"")"),"C. J. Anderson")</f>
        <v>C. J. Anderson</v>
      </c>
    </row>
    <row r="2615" ht="15.75" customHeight="1">
      <c r="A2615" s="2" t="s">
        <v>2615</v>
      </c>
      <c r="B2615" s="2" t="str">
        <f>IFERROR(__xludf.DUMMYFUNCTION("GOOGLETRANSLATE(A2615, ""en"", ""mt"")"),"il-qadim ""Triq il-Kbira tat-Tramuntana""")</f>
        <v>il-qadim "Triq il-Kbira tat-Tramuntana"</v>
      </c>
    </row>
    <row r="2616" ht="15.75" customHeight="1">
      <c r="A2616" s="2" t="s">
        <v>2616</v>
      </c>
      <c r="B2616" s="2" t="str">
        <f>IFERROR(__xludf.DUMMYFUNCTION("GOOGLETRANSLATE(A2616, ""en"", ""mt"")"),"Stat tal-Mongolja Kbira")</f>
        <v>Stat tal-Mongolja Kbira</v>
      </c>
    </row>
    <row r="2617" ht="15.75" customHeight="1">
      <c r="A2617" s="2" t="s">
        <v>2617</v>
      </c>
      <c r="B2617" s="2" t="str">
        <f>IFERROR(__xludf.DUMMYFUNCTION("GOOGLETRANSLATE(A2617, ""en"", ""mt"")"),"Ġermanja")</f>
        <v>Ġermanja</v>
      </c>
    </row>
    <row r="2618" ht="15.75" customHeight="1">
      <c r="A2618" s="2" t="s">
        <v>2618</v>
      </c>
      <c r="B2618" s="2" t="str">
        <f>IFERROR(__xludf.DUMMYFUNCTION("GOOGLETRANSLATE(A2618, ""en"", ""mt"")"),"Minn liema pajjiż ġej il-Kabinett tal-Uffiċċju ta 'Rokoko Augustus Rex?")</f>
        <v>Minn liema pajjiż ġej il-Kabinett tal-Uffiċċju ta 'Rokoko Augustus Rex?</v>
      </c>
    </row>
    <row r="2619" ht="15.75" customHeight="1">
      <c r="A2619" s="2" t="s">
        <v>2619</v>
      </c>
      <c r="B2619" s="2" t="str">
        <f>IFERROR(__xludf.DUMMYFUNCTION("GOOGLETRANSLATE(A2619, ""en"", ""mt"")"),"Minħabba li l-liġi Olandiża qalet li nies biss stabbiliti fl-Olanda jistgħu jagħtu pariri legali")</f>
        <v>Minħabba li l-liġi Olandiża qalet li nies biss stabbiliti fl-Olanda jistgħu jagħtu pariri legali</v>
      </c>
    </row>
    <row r="2620" ht="15.75" customHeight="1">
      <c r="A2620" s="2" t="s">
        <v>2620</v>
      </c>
      <c r="B2620" s="2" t="str">
        <f>IFERROR(__xludf.DUMMYFUNCTION("GOOGLETRANSLATE(A2620, ""en"", ""mt"")"),"X'kien magħruf it-televiżjoni domestika Disney-ABC qabel?")</f>
        <v>X'kien magħruf it-televiżjoni domestika Disney-ABC qabel?</v>
      </c>
    </row>
    <row r="2621" ht="15.75" customHeight="1">
      <c r="A2621" s="2" t="s">
        <v>2621</v>
      </c>
      <c r="B2621" s="2" t="str">
        <f>IFERROR(__xludf.DUMMYFUNCTION("GOOGLETRANSLATE(A2621, ""en"", ""mt"")"),"Tard 2008")</f>
        <v>Tard 2008</v>
      </c>
    </row>
    <row r="2622" ht="15.75" customHeight="1">
      <c r="A2622" s="2" t="s">
        <v>2622</v>
      </c>
      <c r="B2622" s="2" t="str">
        <f>IFERROR(__xludf.DUMMYFUNCTION("GOOGLETRANSLATE(A2622, ""en"", ""mt"")"),"ministri jew mexxejja tal-partit")</f>
        <v>ministri jew mexxejja tal-partit</v>
      </c>
    </row>
    <row r="2623" ht="15.75" customHeight="1">
      <c r="A2623" s="2" t="s">
        <v>2623</v>
      </c>
      <c r="B2623" s="2" t="str">
        <f>IFERROR(__xludf.DUMMYFUNCTION("GOOGLETRANSLATE(A2623, ""en"", ""mt"")"),"Il-Kunsill tat-Tagħlim")</f>
        <v>Il-Kunsill tat-Tagħlim</v>
      </c>
    </row>
    <row r="2624" ht="15.75" customHeight="1">
      <c r="A2624" s="2" t="s">
        <v>2624</v>
      </c>
      <c r="B2624" s="2" t="str">
        <f>IFERROR(__xludf.DUMMYFUNCTION("GOOGLETRANSLATE(A2624, ""en"", ""mt"")"),"Liema ikoni ġew introdotti mill-ġdid fis-Serje 2 tal-Revival Show?")</f>
        <v>Liema ikoni ġew introdotti mill-ġdid fis-Serje 2 tal-Revival Show?</v>
      </c>
    </row>
    <row r="2625" ht="15.75" customHeight="1">
      <c r="A2625" s="2" t="s">
        <v>2625</v>
      </c>
      <c r="B2625" s="2" t="str">
        <f>IFERROR(__xludf.DUMMYFUNCTION("GOOGLETRANSLATE(A2625, ""en"", ""mt"")"),"Min kienu l-galleriji tal-iskultura li nfetħu fl-2006 imsemmija wara?")</f>
        <v>Min kienu l-galleriji tal-iskultura li nfetħu fl-2006 imsemmija wara?</v>
      </c>
    </row>
    <row r="2626" ht="15.75" customHeight="1">
      <c r="A2626" s="2" t="s">
        <v>2626</v>
      </c>
      <c r="B2626" s="2" t="str">
        <f>IFERROR(__xludf.DUMMYFUNCTION("GOOGLETRANSLATE(A2626, ""en"", ""mt"")"),"Yin-Yang u Wuxing")</f>
        <v>Yin-Yang u Wuxing</v>
      </c>
    </row>
    <row r="2627" ht="15.75" customHeight="1">
      <c r="A2627" s="2" t="s">
        <v>2627</v>
      </c>
      <c r="B2627" s="2" t="str">
        <f>IFERROR(__xludf.DUMMYFUNCTION("GOOGLETRANSLATE(A2627, ""en"", ""mt"")"),"L-Enerġija tad-Dawl tax-Xemx")</f>
        <v>L-Enerġija tad-Dawl tax-Xemx</v>
      </c>
    </row>
    <row r="2628" ht="15.75" customHeight="1">
      <c r="A2628" s="2" t="s">
        <v>2628</v>
      </c>
      <c r="B2628" s="2" t="str">
        <f>IFERROR(__xludf.DUMMYFUNCTION("GOOGLETRANSLATE(A2628, ""en"", ""mt"")"),"Ta 'liema forma huma Mersenne Primes?")</f>
        <v>Ta 'liema forma huma Mersenne Primes?</v>
      </c>
    </row>
    <row r="2629" ht="15.75" customHeight="1">
      <c r="A2629" s="2" t="s">
        <v>2629</v>
      </c>
      <c r="B2629" s="2" t="str">
        <f>IFERROR(__xludf.DUMMYFUNCTION("GOOGLETRANSLATE(A2629, ""en"", ""mt"")"),"Candy li jsalva l-ħajja")</f>
        <v>Candy li jsalva l-ħajja</v>
      </c>
    </row>
    <row r="2630" ht="15.75" customHeight="1">
      <c r="A2630" s="2" t="s">
        <v>2630</v>
      </c>
      <c r="B2630" s="2" t="str">
        <f>IFERROR(__xludf.DUMMYFUNCTION("GOOGLETRANSLATE(A2630, ""en"", ""mt"")"),"427,652")</f>
        <v>427,652</v>
      </c>
    </row>
    <row r="2631" ht="15.75" customHeight="1">
      <c r="A2631" s="2" t="s">
        <v>2631</v>
      </c>
      <c r="B2631" s="2" t="str">
        <f>IFERROR(__xludf.DUMMYFUNCTION("GOOGLETRANSLATE(A2631, ""en"", ""mt"")"),"tenfasizza l-użu taċ-ċikliżmu")</f>
        <v>tenfasizza l-użu taċ-ċikliżmu</v>
      </c>
    </row>
    <row r="2632" ht="15.75" customHeight="1">
      <c r="A2632" s="2" t="s">
        <v>2632</v>
      </c>
      <c r="B2632" s="2" t="str">
        <f>IFERROR(__xludf.DUMMYFUNCTION("GOOGLETRANSLATE(A2632, ""en"", ""mt"")"),"imkessaħ bl-ilma")</f>
        <v>imkessaħ bl-ilma</v>
      </c>
    </row>
    <row r="2633" ht="15.75" customHeight="1">
      <c r="A2633" s="2" t="s">
        <v>2633</v>
      </c>
      <c r="B2633" s="2" t="str">
        <f>IFERROR(__xludf.DUMMYFUNCTION("GOOGLETRANSLATE(A2633, ""en"", ""mt"")"),"Sitt serje ta 'teżijiet kontra Agricola")</f>
        <v>Sitt serje ta 'teżijiet kontra Agricola</v>
      </c>
    </row>
    <row r="2634" ht="15.75" customHeight="1">
      <c r="A2634" s="2" t="s">
        <v>2634</v>
      </c>
      <c r="B2634" s="2" t="str">
        <f>IFERROR(__xludf.DUMMYFUNCTION("GOOGLETRANSLATE(A2634, ""en"", ""mt"")"),"Min telaq bħala president ta 'Capital Cities / ABC fl-1994?")</f>
        <v>Min telaq bħala president ta 'Capital Cities / ABC fl-1994?</v>
      </c>
    </row>
    <row r="2635" ht="15.75" customHeight="1">
      <c r="A2635" s="2" t="s">
        <v>2635</v>
      </c>
      <c r="B2635" s="2" t="str">
        <f>IFERROR(__xludf.DUMMYFUNCTION("GOOGLETRANSLATE(A2635, ""en"", ""mt"")"),"Fejn ipprattikaw il-Panthers għas-Super Bowl?")</f>
        <v>Fejn ipprattikaw il-Panthers għas-Super Bowl?</v>
      </c>
    </row>
    <row r="2636" ht="15.75" customHeight="1">
      <c r="A2636" s="2" t="s">
        <v>2636</v>
      </c>
      <c r="B2636" s="2" t="str">
        <f>IFERROR(__xludf.DUMMYFUNCTION("GOOGLETRANSLATE(A2636, ""en"", ""mt"")"),"Qabel il-pranzu x'kienu l-ħinijiet tax-xogħol ta 'Tesla?")</f>
        <v>Qabel il-pranzu x'kienu l-ħinijiet tax-xogħol ta 'Tesla?</v>
      </c>
    </row>
    <row r="2637" ht="15.75" customHeight="1">
      <c r="A2637" s="2" t="s">
        <v>2637</v>
      </c>
      <c r="B2637" s="2" t="str">
        <f>IFERROR(__xludf.DUMMYFUNCTION("GOOGLETRANSLATE(A2637, ""en"", ""mt"")"),"komposti ta 'ossiġenu b'ossidattiv għoli")</f>
        <v>komposti ta 'ossiġenu b'ossidattiv għoli</v>
      </c>
    </row>
    <row r="2638" ht="15.75" customHeight="1">
      <c r="A2638" s="2" t="s">
        <v>2638</v>
      </c>
      <c r="B2638" s="2" t="str">
        <f>IFERROR(__xludf.DUMMYFUNCTION("GOOGLETRANSLATE(A2638, ""en"", ""mt"")"),"inqas minn 10 impjegati")</f>
        <v>inqas minn 10 impjegati</v>
      </c>
    </row>
    <row r="2639" ht="15.75" customHeight="1">
      <c r="A2639" s="2" t="s">
        <v>2639</v>
      </c>
      <c r="B2639" s="2" t="str">
        <f>IFERROR(__xludf.DUMMYFUNCTION("GOOGLETRANSLATE(A2639, ""en"", ""mt"")"),"""ABC"" magħluq fi tarka ċirkolari megħluba mill-ajkla qargħi")</f>
        <v>"ABC" magħluq fi tarka ċirkolari megħluba mill-ajkla qargħi</v>
      </c>
    </row>
    <row r="2640" ht="15.75" customHeight="1">
      <c r="A2640" s="2" t="s">
        <v>2640</v>
      </c>
      <c r="B2640" s="2" t="str">
        <f>IFERROR(__xludf.DUMMYFUNCTION("GOOGLETRANSLATE(A2640, ""en"", ""mt"")"),"Fejn kienet il-Kumpanija Edison Kontinentali?")</f>
        <v>Fejn kienet il-Kumpanija Edison Kontinentali?</v>
      </c>
    </row>
    <row r="2641" ht="15.75" customHeight="1">
      <c r="A2641" s="2" t="s">
        <v>2641</v>
      </c>
      <c r="B2641" s="2" t="str">
        <f>IFERROR(__xludf.DUMMYFUNCTION("GOOGLETRANSLATE(A2641, ""en"", ""mt"")"),"X'qal Joseph Haas fl-email tiegħu?")</f>
        <v>X'qal Joseph Haas fl-email tiegħu?</v>
      </c>
    </row>
    <row r="2642" ht="15.75" customHeight="1">
      <c r="A2642" s="2" t="s">
        <v>2642</v>
      </c>
      <c r="B2642" s="2" t="str">
        <f>IFERROR(__xludf.DUMMYFUNCTION("GOOGLETRANSLATE(A2642, ""en"", ""mt"")"),"Wara l-ftuħ mill-ġdid tagħha, liema tipi ta 'films juru t-Tower Theatre?")</f>
        <v>Wara l-ftuħ mill-ġdid tagħha, liema tipi ta 'films juru t-Tower Theatre?</v>
      </c>
    </row>
    <row r="2643" ht="15.75" customHeight="1">
      <c r="A2643" s="2" t="s">
        <v>2643</v>
      </c>
      <c r="B2643" s="2" t="str">
        <f>IFERROR(__xludf.DUMMYFUNCTION("GOOGLETRANSLATE(A2643, ""en"", ""mt"")"),"Min kien il-President tas-Sottokumitat dwar is-Superviżjoni u l-Investigazzjonijiet?")</f>
        <v>Min kien il-President tas-Sottokumitat dwar is-Superviżjoni u l-Investigazzjonijiet?</v>
      </c>
    </row>
    <row r="2644" ht="15.75" customHeight="1">
      <c r="A2644" s="2" t="s">
        <v>2644</v>
      </c>
      <c r="B2644" s="2" t="str">
        <f>IFERROR(__xludf.DUMMYFUNCTION("GOOGLETRANSLATE(A2644, ""en"", ""mt"")"),"Għaliex Tesla sever rabtiet mal-familja tiegħu?")</f>
        <v>Għaliex Tesla sever rabtiet mal-familja tiegħu?</v>
      </c>
    </row>
    <row r="2645" ht="15.75" customHeight="1">
      <c r="A2645" s="2" t="s">
        <v>2645</v>
      </c>
      <c r="B2645" s="2" t="str">
        <f>IFERROR(__xludf.DUMMYFUNCTION("GOOGLETRANSLATE(A2645, ""en"", ""mt"")"),"Min afferma d-dritt tar-Russja għal ""awtodeterminazzjoni?""")</f>
        <v>Min afferma d-dritt tar-Russja għal "awtodeterminazzjoni?"</v>
      </c>
    </row>
    <row r="2646" ht="15.75" customHeight="1">
      <c r="A2646" s="2" t="s">
        <v>2646</v>
      </c>
      <c r="B2646" s="2" t="str">
        <f>IFERROR(__xludf.DUMMYFUNCTION("GOOGLETRANSLATE(A2646, ""en"", ""mt"")"),"""Ibda hawn""")</f>
        <v>"Ibda hawn"</v>
      </c>
    </row>
    <row r="2647" ht="15.75" customHeight="1">
      <c r="A2647" s="2" t="s">
        <v>2647</v>
      </c>
      <c r="B2647" s="2" t="str">
        <f>IFERROR(__xludf.DUMMYFUNCTION("GOOGLETRANSLATE(A2647, ""en"", ""mt"")"),"Problemi ambjentali u soċjali")</f>
        <v>Problemi ambjentali u soċjali</v>
      </c>
    </row>
    <row r="2648" ht="15.75" customHeight="1">
      <c r="A2648" s="2" t="s">
        <v>2648</v>
      </c>
      <c r="B2648" s="2" t="str">
        <f>IFERROR(__xludf.DUMMYFUNCTION("GOOGLETRANSLATE(A2648, ""en"", ""mt"")"),"Finanzi")</f>
        <v>Finanzi</v>
      </c>
    </row>
    <row r="2649" ht="15.75" customHeight="1">
      <c r="A2649" s="2" t="s">
        <v>2649</v>
      </c>
      <c r="B2649" s="2" t="str">
        <f>IFERROR(__xludf.DUMMYFUNCTION("GOOGLETRANSLATE(A2649, ""en"", ""mt"")"),"Liema tip Franċiż ħareġ din id-dikjarazzjoni?")</f>
        <v>Liema tip Franċiż ħareġ din id-dikjarazzjoni?</v>
      </c>
    </row>
    <row r="2650" ht="15.75" customHeight="1">
      <c r="A2650" s="2" t="s">
        <v>2650</v>
      </c>
      <c r="B2650" s="2" t="str">
        <f>IFERROR(__xludf.DUMMYFUNCTION("GOOGLETRANSLATE(A2650, ""en"", ""mt"")"),"Liema belt Franċiża ġiet imsemmija New Rochelle wara?")</f>
        <v>Liema belt Franċiża ġiet imsemmija New Rochelle wara?</v>
      </c>
    </row>
    <row r="2651" ht="15.75" customHeight="1">
      <c r="A2651" s="2" t="s">
        <v>2651</v>
      </c>
      <c r="B2651" s="2" t="str">
        <f>IFERROR(__xludf.DUMMYFUNCTION("GOOGLETRANSLATE(A2651, ""en"", ""mt"")"),"Minbarra l-BBC Radio 5, liema stazzjon tar-radju se jxandar il-logħba?")</f>
        <v>Minbarra l-BBC Radio 5, liema stazzjon tar-radju se jxandar il-logħba?</v>
      </c>
    </row>
    <row r="2652" ht="15.75" customHeight="1">
      <c r="A2652" s="2" t="s">
        <v>2652</v>
      </c>
      <c r="B2652" s="2" t="str">
        <f>IFERROR(__xludf.DUMMYFUNCTION("GOOGLETRANSLATE(A2652, ""en"", ""mt"")"),"tnaqqis")</f>
        <v>tnaqqis</v>
      </c>
    </row>
    <row r="2653" ht="15.75" customHeight="1">
      <c r="A2653" s="2" t="s">
        <v>2653</v>
      </c>
      <c r="B2653" s="2" t="str">
        <f>IFERROR(__xludf.DUMMYFUNCTION("GOOGLETRANSLATE(A2653, ""en"", ""mt"")"),"Biex tagħżel u taħtar isqfijiet")</f>
        <v>Biex tagħżel u taħtar isqfijiet</v>
      </c>
    </row>
    <row r="2654" ht="15.75" customHeight="1">
      <c r="A2654" s="2" t="s">
        <v>2654</v>
      </c>
      <c r="B2654" s="2" t="str">
        <f>IFERROR(__xludf.DUMMYFUNCTION("GOOGLETRANSLATE(A2654, ""en"", ""mt"")"),"Liema proporzjon telgħu djar maqtugħin fl-2010?")</f>
        <v>Liema proporzjon telgħu djar maqtugħin fl-2010?</v>
      </c>
    </row>
    <row r="2655" ht="15.75" customHeight="1">
      <c r="A2655" s="2" t="s">
        <v>2655</v>
      </c>
      <c r="B2655" s="2" t="str">
        <f>IFERROR(__xludf.DUMMYFUNCTION("GOOGLETRANSLATE(A2655, ""en"", ""mt"")"),"kompetenzi devoluti")</f>
        <v>kompetenzi devoluti</v>
      </c>
    </row>
    <row r="2656" ht="15.75" customHeight="1">
      <c r="A2656" s="2" t="s">
        <v>2656</v>
      </c>
      <c r="B2656" s="2" t="str">
        <f>IFERROR(__xludf.DUMMYFUNCTION("GOOGLETRANSLATE(A2656, ""en"", ""mt"")"),"kolonizzazzjoni, użu ta 'forza militari, jew oħrajn")</f>
        <v>kolonizzazzjoni, użu ta 'forza militari, jew oħrajn</v>
      </c>
    </row>
    <row r="2657" ht="15.75" customHeight="1">
      <c r="A2657" s="2" t="s">
        <v>2657</v>
      </c>
      <c r="B2657" s="2" t="str">
        <f>IFERROR(__xludf.DUMMYFUNCTION("GOOGLETRANSLATE(A2657, ""en"", ""mt"")"),"għaxar darbiet")</f>
        <v>għaxar darbiet</v>
      </c>
    </row>
    <row r="2658" ht="15.75" customHeight="1">
      <c r="A2658" s="2" t="s">
        <v>2658</v>
      </c>
      <c r="B2658" s="2" t="str">
        <f>IFERROR(__xludf.DUMMYFUNCTION("GOOGLETRANSLATE(A2658, ""en"", ""mt"")"),"Liema kanzunetta kkollaboraw Coldplay u Beyoncé fuq l-ispettaklu tas-Super Bowl 50 f'ħin il-mistrieħ?")</f>
        <v>Liema kanzunetta kkollaboraw Coldplay u Beyoncé fuq l-ispettaklu tas-Super Bowl 50 f'ħin il-mistrieħ?</v>
      </c>
    </row>
    <row r="2659" ht="15.75" customHeight="1">
      <c r="A2659" s="2" t="s">
        <v>2659</v>
      </c>
      <c r="B2659" s="2" t="str">
        <f>IFERROR(__xludf.DUMMYFUNCTION("GOOGLETRANSLATE(A2659, ""en"", ""mt"")"),"kondensaturi")</f>
        <v>kondensaturi</v>
      </c>
    </row>
    <row r="2660" ht="15.75" customHeight="1">
      <c r="A2660" s="2" t="s">
        <v>2660</v>
      </c>
      <c r="B2660" s="2" t="str">
        <f>IFERROR(__xludf.DUMMYFUNCTION("GOOGLETRANSLATE(A2660, ""en"", ""mt"")"),"nofs siegħa")</f>
        <v>nofs siegħa</v>
      </c>
    </row>
    <row r="2661" ht="15.75" customHeight="1">
      <c r="A2661" s="2" t="s">
        <v>2661</v>
      </c>
      <c r="B2661" s="2" t="str">
        <f>IFERROR(__xludf.DUMMYFUNCTION("GOOGLETRANSLATE(A2661, ""en"", ""mt"")"),"Wieħed mill-aktar manifestazzjonijiet ħorox fid-dinja")</f>
        <v>Wieħed mill-aktar manifestazzjonijiet ħorox fid-dinja</v>
      </c>
    </row>
    <row r="2662" ht="15.75" customHeight="1">
      <c r="A2662" s="2" t="s">
        <v>2662</v>
      </c>
      <c r="B2662" s="2" t="str">
        <f>IFERROR(__xludf.DUMMYFUNCTION("GOOGLETRANSLATE(A2662, ""en"", ""mt"")"),"Liema fazzjoni tan-NASA waslet l-ewwel biex tappoġġja l-LOR?")</f>
        <v>Liema fazzjoni tan-NASA waslet l-ewwel biex tappoġġja l-LOR?</v>
      </c>
    </row>
    <row r="2663" ht="15.75" customHeight="1">
      <c r="A2663" s="2" t="s">
        <v>2663</v>
      </c>
      <c r="B2663" s="2" t="str">
        <f>IFERROR(__xludf.DUMMYFUNCTION("GOOGLETRANSLATE(A2663, ""en"", ""mt"")"),"Għal liema tradizzjoni kienu magħrufa l-patrijiet Saint-Evroul?")</f>
        <v>Għal liema tradizzjoni kienu magħrufa l-patrijiet Saint-Evroul?</v>
      </c>
    </row>
    <row r="2664" ht="15.75" customHeight="1">
      <c r="A2664" s="2" t="s">
        <v>2664</v>
      </c>
      <c r="B2664" s="2" t="str">
        <f>IFERROR(__xludf.DUMMYFUNCTION("GOOGLETRANSLATE(A2664, ""en"", ""mt"")"),"Kings Canyon Avenue u Clovis Avenue")</f>
        <v>Kings Canyon Avenue u Clovis Avenue</v>
      </c>
    </row>
    <row r="2665" ht="15.75" customHeight="1">
      <c r="A2665" s="2" t="s">
        <v>2665</v>
      </c>
      <c r="B2665" s="2" t="str">
        <f>IFERROR(__xludf.DUMMYFUNCTION("GOOGLETRANSLATE(A2665, ""en"", ""mt"")"),"l-istat u l-liġijiet tiegħu")</f>
        <v>l-istat u l-liġijiet tiegħu</v>
      </c>
    </row>
    <row r="2666" ht="15.75" customHeight="1">
      <c r="A2666" s="2" t="s">
        <v>2666</v>
      </c>
      <c r="B2666" s="2" t="str">
        <f>IFERROR(__xludf.DUMMYFUNCTION("GOOGLETRANSLATE(A2666, ""en"", ""mt"")"),"14,000")</f>
        <v>14,000</v>
      </c>
    </row>
    <row r="2667" ht="15.75" customHeight="1">
      <c r="A2667" s="2" t="s">
        <v>2667</v>
      </c>
      <c r="B2667" s="2" t="str">
        <f>IFERROR(__xludf.DUMMYFUNCTION("GOOGLETRANSLATE(A2667, ""en"", ""mt"")"),"Kwalunkwe membru")</f>
        <v>Kwalunkwe membru</v>
      </c>
    </row>
    <row r="2668" ht="15.75" customHeight="1">
      <c r="A2668" s="2" t="s">
        <v>2668</v>
      </c>
      <c r="B2668" s="2" t="str">
        <f>IFERROR(__xludf.DUMMYFUNCTION("GOOGLETRANSLATE(A2668, ""en"", ""mt"")"),"Pierre-Auguste Renoir")</f>
        <v>Pierre-Auguste Renoir</v>
      </c>
    </row>
    <row r="2669" ht="15.75" customHeight="1">
      <c r="A2669" s="2" t="s">
        <v>2669</v>
      </c>
      <c r="B2669" s="2" t="str">
        <f>IFERROR(__xludf.DUMMYFUNCTION("GOOGLETRANSLATE(A2669, ""en"", ""mt"")"),"erba 'varjanti")</f>
        <v>erba 'varjanti</v>
      </c>
    </row>
    <row r="2670" ht="15.75" customHeight="1">
      <c r="A2670" s="2" t="s">
        <v>2670</v>
      </c>
      <c r="B2670" s="2" t="str">
        <f>IFERROR(__xludf.DUMMYFUNCTION("GOOGLETRANSLATE(A2670, ""en"", ""mt"")"),"F'termini ta 'stokk tad-djar, l-awtorità hija waħda mill-ftit awtoritajiet li tara l-proporzjon ta' djar maqtugħin jiżdiedu fiċ-ċensiment tal-2010 (sa 7.8%), f'dan il-każ dan kien akkoppjat ma 'żieda simili fil-flats u l-appartamenti tal-baħar ma' 25.6%, "&amp;"u l-proporzjon ta 'djar konvertiti jew maqsuma fl-2011 jirrendi dan it-tip ta' abitazzjoni fl-ogħla wieħed mill-ħames parentesi kodifikati bil-kulur f'5,9%, u bl-istess mod ma 'Oxford u l-qari, akbar minn Manchester u Liverpool u taħt numru żgħir ta' stor"&amp;"iku okkupat b'mod dens , Swieq li bla dubju żżejjed fl-awtoritajiet lokali: Harrogate, Cheltenham, Bath, Inner London, Hastings, Brighton u Tunbridge Wells.")</f>
        <v>F'termini ta 'stokk tad-djar, l-awtorità hija waħda mill-ftit awtoritajiet li tara l-proporzjon ta' djar maqtugħin jiżdiedu fiċ-ċensiment tal-2010 (sa 7.8%), f'dan il-każ dan kien akkoppjat ma 'żieda simili fil-flats u l-appartamenti tal-baħar ma' 25.6%, u l-proporzjon ta 'djar konvertiti jew maqsuma fl-2011 jirrendi dan it-tip ta' abitazzjoni fl-ogħla wieħed mill-ħames parentesi kodifikati bil-kulur f'5,9%, u bl-istess mod ma 'Oxford u l-qari, akbar minn Manchester u Liverpool u taħt numru żgħir ta' storiku okkupat b'mod dens , Swieq li bla dubju żżejjed fl-awtoritajiet lokali: Harrogate, Cheltenham, Bath, Inner London, Hastings, Brighton u Tunbridge Wells.</v>
      </c>
    </row>
    <row r="2671" ht="15.75" customHeight="1">
      <c r="A2671" s="2" t="s">
        <v>2671</v>
      </c>
      <c r="B2671" s="2" t="str">
        <f>IFERROR(__xludf.DUMMYFUNCTION("GOOGLETRANSLATE(A2671, ""en"", ""mt"")"),"Ministri fid-dipartimenti li huma magħżula għall-interrogazzjoni ta 'dak il-jum tas-seduta")</f>
        <v>Ministri fid-dipartimenti li huma magħżula għall-interrogazzjoni ta 'dak il-jum tas-seduta</v>
      </c>
    </row>
    <row r="2672" ht="15.75" customHeight="1">
      <c r="A2672" s="2" t="s">
        <v>2672</v>
      </c>
      <c r="B2672" s="2" t="str">
        <f>IFERROR(__xludf.DUMMYFUNCTION("GOOGLETRANSLATE(A2672, ""en"", ""mt"")"),"Rays X.")</f>
        <v>Rays X.</v>
      </c>
    </row>
    <row r="2673" ht="15.75" customHeight="1">
      <c r="A2673" s="2" t="s">
        <v>2673</v>
      </c>
      <c r="B2673" s="2" t="str">
        <f>IFERROR(__xludf.DUMMYFUNCTION("GOOGLETRANSLATE(A2673, ""en"", ""mt"")"),"Oireachtas")</f>
        <v>Oireachtas</v>
      </c>
    </row>
    <row r="2674" ht="15.75" customHeight="1">
      <c r="A2674" s="2" t="s">
        <v>2674</v>
      </c>
      <c r="B2674" s="2" t="str">
        <f>IFERROR(__xludf.DUMMYFUNCTION("GOOGLETRANSLATE(A2674, ""en"", ""mt"")"),"X'kien il-valur tal-kollezzjoni John Jones meta tħalliet fil-mużew?")</f>
        <v>X'kien il-valur tal-kollezzjoni John Jones meta tħalliet fil-mużew?</v>
      </c>
    </row>
    <row r="2675" ht="15.75" customHeight="1">
      <c r="A2675" s="2" t="s">
        <v>2675</v>
      </c>
      <c r="B2675" s="2" t="str">
        <f>IFERROR(__xludf.DUMMYFUNCTION("GOOGLETRANSLATE(A2675, ""en"", ""mt"")"),"ċitokini")</f>
        <v>ċitokini</v>
      </c>
    </row>
    <row r="2676" ht="15.75" customHeight="1">
      <c r="A2676" s="2" t="s">
        <v>2676</v>
      </c>
      <c r="B2676" s="2" t="str">
        <f>IFERROR(__xludf.DUMMYFUNCTION("GOOGLETRANSLATE(A2676, ""en"", ""mt"")"),"24")</f>
        <v>24</v>
      </c>
    </row>
    <row r="2677" ht="15.75" customHeight="1">
      <c r="A2677" s="2" t="s">
        <v>2677</v>
      </c>
      <c r="B2677" s="2" t="str">
        <f>IFERROR(__xludf.DUMMYFUNCTION("GOOGLETRANSLATE(A2677, ""en"", ""mt"")"),"Apollo 1 Crew Backup.")</f>
        <v>Apollo 1 Crew Backup.</v>
      </c>
    </row>
    <row r="2678" ht="15.75" customHeight="1">
      <c r="A2678" s="2" t="s">
        <v>2678</v>
      </c>
      <c r="B2678" s="2" t="str">
        <f>IFERROR(__xludf.DUMMYFUNCTION("GOOGLETRANSLATE(A2678, ""en"", ""mt"")"),"fil-mistrieħ")</f>
        <v>fil-mistrieħ</v>
      </c>
    </row>
    <row r="2679" ht="15.75" customHeight="1">
      <c r="A2679" s="2" t="s">
        <v>2679</v>
      </c>
      <c r="B2679" s="2" t="str">
        <f>IFERROR(__xludf.DUMMYFUNCTION("GOOGLETRANSLATE(A2679, ""en"", ""mt"")"),"Kjaru Agostinjan magħluq")</f>
        <v>Kjaru Agostinjan magħluq</v>
      </c>
    </row>
    <row r="2680" ht="15.75" customHeight="1">
      <c r="A2680" s="2" t="s">
        <v>2680</v>
      </c>
      <c r="B2680" s="2" t="str">
        <f>IFERROR(__xludf.DUMMYFUNCTION("GOOGLETRANSLATE(A2680, ""en"", ""mt"")"),"Liema websajt qed jużaw l-għalliema biex ibigħu l-pjanijiet tal-lezzjoni tagħhom?")</f>
        <v>Liema websajt qed jużaw l-għalliema biex ibigħu l-pjanijiet tal-lezzjoni tagħhom?</v>
      </c>
    </row>
    <row r="2681" ht="15.75" customHeight="1">
      <c r="A2681" s="2" t="s">
        <v>2681</v>
      </c>
      <c r="B2681" s="2" t="str">
        <f>IFERROR(__xludf.DUMMYFUNCTION("GOOGLETRANSLATE(A2681, ""en"", ""mt"")"),"Ordni Pubbliku")</f>
        <v>Ordni Pubbliku</v>
      </c>
    </row>
    <row r="2682" ht="15.75" customHeight="1">
      <c r="A2682" s="2" t="s">
        <v>2682</v>
      </c>
      <c r="B2682" s="2" t="str">
        <f>IFERROR(__xludf.DUMMYFUNCTION("GOOGLETRANSLATE(A2682, ""en"", ""mt"")"),"Min tilef kontra l-Broncos fil-Kampjonat AFC?")</f>
        <v>Min tilef kontra l-Broncos fil-Kampjonat AFC?</v>
      </c>
    </row>
    <row r="2683" ht="15.75" customHeight="1">
      <c r="A2683" s="2" t="s">
        <v>2683</v>
      </c>
      <c r="B2683" s="2" t="str">
        <f>IFERROR(__xludf.DUMMYFUNCTION("GOOGLETRANSLATE(A2683, ""en"", ""mt"")"),"Allan Bloom")</f>
        <v>Allan Bloom</v>
      </c>
    </row>
    <row r="2684" ht="15.75" customHeight="1">
      <c r="A2684" s="2" t="s">
        <v>2684</v>
      </c>
      <c r="B2684" s="2" t="str">
        <f>IFERROR(__xludf.DUMMYFUNCTION("GOOGLETRANSLATE(A2684, ""en"", ""mt"")"),"Sasse")</f>
        <v>Sasse</v>
      </c>
    </row>
    <row r="2685" ht="15.75" customHeight="1">
      <c r="A2685" s="2" t="s">
        <v>2685</v>
      </c>
      <c r="B2685" s="2" t="str">
        <f>IFERROR(__xludf.DUMMYFUNCTION("GOOGLETRANSLATE(A2685, ""en"", ""mt"")"),"Liema pajjiż ġiegħel il-Ġappun f'alleanza?")</f>
        <v>Liema pajjiż ġiegħel il-Ġappun f'alleanza?</v>
      </c>
    </row>
    <row r="2686" ht="15.75" customHeight="1">
      <c r="A2686" s="2" t="s">
        <v>2686</v>
      </c>
      <c r="B2686" s="2" t="str">
        <f>IFERROR(__xludf.DUMMYFUNCTION("GOOGLETRANSLATE(A2686, ""en"", ""mt"")"),"Kemm għandhom ħafna aurikoli?")</f>
        <v>Kemm għandhom ħafna aurikoli?</v>
      </c>
    </row>
    <row r="2687" ht="15.75" customHeight="1">
      <c r="A2687" s="2" t="s">
        <v>2687</v>
      </c>
      <c r="B2687" s="2" t="str">
        <f>IFERROR(__xludf.DUMMYFUNCTION("GOOGLETRANSLATE(A2687, ""en"", ""mt"")"),"25 pied")</f>
        <v>25 pied</v>
      </c>
    </row>
    <row r="2688" ht="15.75" customHeight="1">
      <c r="A2688" s="2" t="s">
        <v>2688</v>
      </c>
      <c r="B2688" s="2" t="str">
        <f>IFERROR(__xludf.DUMMYFUNCTION("GOOGLETRANSLATE(A2688, ""en"", ""mt"")"),"l-elettroni mhux imqabbla tagħha")</f>
        <v>l-elettroni mhux imqabbla tagħha</v>
      </c>
    </row>
    <row r="2689" ht="15.75" customHeight="1">
      <c r="A2689" s="2" t="s">
        <v>2689</v>
      </c>
      <c r="B2689" s="2" t="str">
        <f>IFERROR(__xludf.DUMMYFUNCTION("GOOGLETRANSLATE(A2689, ""en"", ""mt"")"),"ħdax")</f>
        <v>ħdax</v>
      </c>
    </row>
    <row r="2690" ht="15.75" customHeight="1">
      <c r="A2690" s="2" t="s">
        <v>2690</v>
      </c>
      <c r="B2690" s="2" t="str">
        <f>IFERROR(__xludf.DUMMYFUNCTION("GOOGLETRANSLATE(A2690, ""en"", ""mt"")"),"Konservattivi")</f>
        <v>Konservattivi</v>
      </c>
    </row>
    <row r="2691" ht="15.75" customHeight="1">
      <c r="A2691" s="2" t="s">
        <v>2691</v>
      </c>
      <c r="B2691" s="2" t="str">
        <f>IFERROR(__xludf.DUMMYFUNCTION("GOOGLETRANSLATE(A2691, ""en"", ""mt"")"),"1275")</f>
        <v>1275</v>
      </c>
    </row>
    <row r="2692" ht="15.75" customHeight="1">
      <c r="A2692" s="2" t="s">
        <v>2692</v>
      </c>
      <c r="B2692" s="2" t="str">
        <f>IFERROR(__xludf.DUMMYFUNCTION("GOOGLETRANSLATE(A2692, ""en"", ""mt"")"),"Ferrovija")</f>
        <v>Ferrovija</v>
      </c>
    </row>
    <row r="2693" ht="15.75" customHeight="1">
      <c r="A2693" s="2" t="s">
        <v>2693</v>
      </c>
      <c r="B2693" s="2" t="str">
        <f>IFERROR(__xludf.DUMMYFUNCTION("GOOGLETRANSLATE(A2693, ""en"", ""mt"")"),"X'kien il-memorja intitolata li ġiet sottomessa lis-Soċjetà Filosofika Amerikana?")</f>
        <v>X'kien il-memorja intitolata li ġiet sottomessa lis-Soċjetà Filosofika Amerikana?</v>
      </c>
    </row>
    <row r="2694" ht="15.75" customHeight="1">
      <c r="A2694" s="2" t="s">
        <v>2694</v>
      </c>
      <c r="B2694" s="2" t="str">
        <f>IFERROR(__xludf.DUMMYFUNCTION("GOOGLETRANSLATE(A2694, ""en"", ""mt"")"),"Tesla kienet ħabib tajjeb ta 'Francis Marion Crawford, Robert Underwood Johnson, Stanford White, Fritz Lowenstein, George Scherff, u Kenneth Swezey. Fl-età tan-nofs, Tesla saret ħabib tal-qalb ta 'Mark Twain; Huma qattgħu ħafna ħin flimkien fil-laboratorj"&amp;"u tiegħu u bnadi oħra. Twain iddeskriva b'mod partikolari l-invenzjoni tal-mutur ta 'induzzjoni ta' Tesla bħala ""l-iktar brevett siewi mit-telefon."" Fl-aħħar tas-snin 1920, Tesla wkoll ħabiba lil George Sylvester Viereck, poeta, kittieb, mistiku, u akta"&amp;"r tard, propagandist Nażista. Tesla kultant attendiet festin tal-pranzu miżmuma minn Viereck u martu.")</f>
        <v>Tesla kienet ħabib tajjeb ta 'Francis Marion Crawford, Robert Underwood Johnson, Stanford White, Fritz Lowenstein, George Scherff, u Kenneth Swezey. Fl-età tan-nofs, Tesla saret ħabib tal-qalb ta 'Mark Twain; Huma qattgħu ħafna ħin flimkien fil-laboratorju tiegħu u bnadi oħra. Twain iddeskriva b'mod partikolari l-invenzjoni tal-mutur ta 'induzzjoni ta' Tesla bħala "l-iktar brevett siewi mit-telefon." Fl-aħħar tas-snin 1920, Tesla wkoll ħabiba lil George Sylvester Viereck, poeta, kittieb, mistiku, u aktar tard, propagandist Nażista. Tesla kultant attendiet festin tal-pranzu miżmuma minn Viereck u martu.</v>
      </c>
    </row>
    <row r="2695" ht="15.75" customHeight="1">
      <c r="A2695" s="2" t="s">
        <v>2695</v>
      </c>
      <c r="B2695" s="2" t="str">
        <f>IFERROR(__xludf.DUMMYFUNCTION("GOOGLETRANSLATE(A2695, ""en"", ""mt"")"),"Kumpless ta 'ġewwa")</f>
        <v>Kumpless ta 'ġewwa</v>
      </c>
    </row>
    <row r="2696" ht="15.75" customHeight="1">
      <c r="A2696" s="2" t="s">
        <v>2696</v>
      </c>
      <c r="B2696" s="2" t="str">
        <f>IFERROR(__xludf.DUMMYFUNCTION("GOOGLETRANSLATE(A2696, ""en"", ""mt"")"),"Min immappjat ix-Xmara San Ġwann fl-1562?")</f>
        <v>Min immappjat ix-Xmara San Ġwann fl-1562?</v>
      </c>
    </row>
    <row r="2697" ht="15.75" customHeight="1">
      <c r="A2697" s="2" t="s">
        <v>2697</v>
      </c>
      <c r="B2697" s="2" t="str">
        <f>IFERROR(__xludf.DUMMYFUNCTION("GOOGLETRANSLATE(A2697, ""en"", ""mt"")"),"Al-Gama'a al-Islamiyya")</f>
        <v>Al-Gama'a al-Islamiyya</v>
      </c>
    </row>
    <row r="2698" ht="15.75" customHeight="1">
      <c r="A2698" s="2" t="s">
        <v>2698</v>
      </c>
      <c r="B2698" s="2" t="str">
        <f>IFERROR(__xludf.DUMMYFUNCTION("GOOGLETRANSLATE(A2698, ""en"", ""mt"")"),"sterjoskopiku")</f>
        <v>sterjoskopiku</v>
      </c>
    </row>
    <row r="2699" ht="15.75" customHeight="1">
      <c r="A2699" s="2" t="s">
        <v>2699</v>
      </c>
      <c r="B2699" s="2" t="str">
        <f>IFERROR(__xludf.DUMMYFUNCTION("GOOGLETRANSLATE(A2699, ""en"", ""mt"")"),"Minkejja li rrinunzja għal żmien twil lura DeAngelo Williams u jitlef ir-riċevitur tal-aqwa wiesa 'Kelvin Benjamin għal ACL imqatta' fil-preseason, il-Panthers Carolina kellhom l-aħjar staġun regolari tagħhom fl-istorja tal-franchise, u saru s-seba 'tim l"&amp;"i jirbħu mill-inqas 15-il logħba tal-istaġun regolari mill-kampjonat espandiet għal skeda ta '16 -il logħba fl-1978. Carolina bdiet l-istaġun 14-0, mhux biss stabbilixxiet rekords ta 'franchise għall-aħjar bidu u l-itwal sensiela ta' rebħ ta 'staġun wieħe"&amp;"d, iżda wkoll ippubblikat l-aħjar bidu għal staġun minn tim tal-NFC fl-NFL L-istorja, li tkisser ir-rekord 13-0 qabel maqsum man-New Orleans Saints tal-2009 u l-Green Bay Packers tal-2011. Bl-aqwa rekord tal-istaġun regolari NFC 15-1 tagħhom, il-Panthers "&amp;"ikklassifikaw vantaġġ fuq il-post tad-dar matul il-playoffs tal-NFC għall-ewwel darba fl-istorja tal-franchise. Għaxar plejers intgħażlu għall-Pro Bowl (l-iktar fl-istorja tal-franchise) flimkien ma 'tmien selezzjonijiet kollha tal-Pro.")</f>
        <v>Minkejja li rrinunzja għal żmien twil lura DeAngelo Williams u jitlef ir-riċevitur tal-aqwa wiesa 'Kelvin Benjamin għal ACL imqatta' fil-preseason, il-Panthers Carolina kellhom l-aħjar staġun regolari tagħhom fl-istorja tal-franchise, u saru s-seba 'tim li jirbħu mill-inqas 15-il logħba tal-istaġun regolari mill-kampjonat espandiet għal skeda ta '16 -il logħba fl-1978. Carolina bdiet l-istaġun 14-0, mhux biss stabbilixxiet rekords ta 'franchise għall-aħjar bidu u l-itwal sensiela ta' rebħ ta 'staġun wieħed, iżda wkoll ippubblikat l-aħjar bidu għal staġun minn tim tal-NFC fl-NFL L-istorja, li tkisser ir-rekord 13-0 qabel maqsum man-New Orleans Saints tal-2009 u l-Green Bay Packers tal-2011. Bl-aqwa rekord tal-istaġun regolari NFC 15-1 tagħhom, il-Panthers ikklassifikaw vantaġġ fuq il-post tad-dar matul il-playoffs tal-NFC għall-ewwel darba fl-istorja tal-franchise. Għaxar plejers intgħażlu għall-Pro Bowl (l-iktar fl-istorja tal-franchise) flimkien ma 'tmien selezzjonijiet kollha tal-Pro.</v>
      </c>
    </row>
    <row r="2700" ht="15.75" customHeight="1">
      <c r="A2700" s="2" t="s">
        <v>2700</v>
      </c>
      <c r="B2700" s="2" t="str">
        <f>IFERROR(__xludf.DUMMYFUNCTION("GOOGLETRANSLATE(A2700, ""en"", ""mt"")"),"Meta ġie ordnat Martin Luther bħala saċerdot?")</f>
        <v>Meta ġie ordnat Martin Luther bħala saċerdot?</v>
      </c>
    </row>
    <row r="2701" ht="15.75" customHeight="1">
      <c r="A2701" s="2" t="s">
        <v>2701</v>
      </c>
      <c r="B2701" s="2" t="str">
        <f>IFERROR(__xludf.DUMMYFUNCTION("GOOGLETRANSLATE(A2701, ""en"", ""mt"")"),"Oċean Paċifiku")</f>
        <v>Oċean Paċifiku</v>
      </c>
    </row>
    <row r="2702" ht="15.75" customHeight="1">
      <c r="A2702" s="2" t="s">
        <v>2702</v>
      </c>
      <c r="B2702" s="2" t="str">
        <f>IFERROR(__xludf.DUMMYFUNCTION("GOOGLETRANSLATE(A2702, ""en"", ""mt"")"),"Kemm każijiet ta 'malarja rrappurtaw il-Kenja fl-2006?")</f>
        <v>Kemm każijiet ta 'malarja rrappurtaw il-Kenja fl-2006?</v>
      </c>
    </row>
    <row r="2703" ht="15.75" customHeight="1">
      <c r="A2703" s="2" t="s">
        <v>2703</v>
      </c>
      <c r="B2703" s="2" t="str">
        <f>IFERROR(__xludf.DUMMYFUNCTION("GOOGLETRANSLATE(A2703, ""en"", ""mt"")"),"Minn xiex saru Chao?")</f>
        <v>Minn xiex saru Chao?</v>
      </c>
    </row>
    <row r="2704" ht="15.75" customHeight="1">
      <c r="A2704" s="2" t="s">
        <v>2704</v>
      </c>
      <c r="B2704" s="2" t="str">
        <f>IFERROR(__xludf.DUMMYFUNCTION("GOOGLETRANSLATE(A2704, ""en"", ""mt"")"),"Politika ta 'importazzjoni maqbudin")</f>
        <v>Politika ta 'importazzjoni maqbudin</v>
      </c>
    </row>
    <row r="2705" ht="15.75" customHeight="1">
      <c r="A2705" s="2" t="s">
        <v>2705</v>
      </c>
      <c r="B2705" s="2" t="str">
        <f>IFERROR(__xludf.DUMMYFUNCTION("GOOGLETRANSLATE(A2705, ""en"", ""mt"")"),"1262")</f>
        <v>1262</v>
      </c>
    </row>
    <row r="2706" ht="15.75" customHeight="1">
      <c r="A2706" s="2" t="s">
        <v>2706</v>
      </c>
      <c r="B2706" s="2" t="str">
        <f>IFERROR(__xludf.DUMMYFUNCTION("GOOGLETRANSLATE(A2706, ""en"", ""mt"")"),"X’użat Luther biex jiċċelebra l-qima?")</f>
        <v>X’użat Luther biex jiċċelebra l-qima?</v>
      </c>
    </row>
    <row r="2707" ht="15.75" customHeight="1">
      <c r="A2707" s="2" t="s">
        <v>2707</v>
      </c>
      <c r="B2707" s="2" t="str">
        <f>IFERROR(__xludf.DUMMYFUNCTION("GOOGLETRANSLATE(A2707, ""en"", ""mt"")"),"lokali-global")</f>
        <v>lokali-global</v>
      </c>
    </row>
    <row r="2708" ht="15.75" customHeight="1">
      <c r="A2708" s="2" t="s">
        <v>2708</v>
      </c>
      <c r="B2708" s="2" t="str">
        <f>IFERROR(__xludf.DUMMYFUNCTION("GOOGLETRANSLATE(A2708, ""en"", ""mt"")"),"Fejn jinstabu ctenophores f'numri kbar?")</f>
        <v>Fejn jinstabu ctenophores f'numri kbar?</v>
      </c>
    </row>
    <row r="2709" ht="15.75" customHeight="1">
      <c r="A2709" s="2" t="s">
        <v>2709</v>
      </c>
      <c r="B2709" s="2" t="str">
        <f>IFERROR(__xludf.DUMMYFUNCTION("GOOGLETRANSLATE(A2709, ""en"", ""mt"")"),"XIA tal-Punent")</f>
        <v>XIA tal-Punent</v>
      </c>
    </row>
    <row r="2710" ht="15.75" customHeight="1">
      <c r="A2710" s="2" t="s">
        <v>2710</v>
      </c>
      <c r="B2710" s="2" t="str">
        <f>IFERROR(__xludf.DUMMYFUNCTION("GOOGLETRANSLATE(A2710, ""en"", ""mt"")"),"NP≡N (Mod P)")</f>
        <v>NP≡N (Mod P)</v>
      </c>
    </row>
    <row r="2711" ht="15.75" customHeight="1">
      <c r="A2711" s="2" t="s">
        <v>2711</v>
      </c>
      <c r="B2711" s="2" t="str">
        <f>IFERROR(__xludf.DUMMYFUNCTION("GOOGLETRANSLATE(A2711, ""en"", ""mt"")"),"Liema kumpanija moderna ilha taħdem b'mod partikolari fuq magna tal-fwar billi tuża materjali moderni?")</f>
        <v>Liema kumpanija moderna ilha taħdem b'mod partikolari fuq magna tal-fwar billi tuża materjali moderni?</v>
      </c>
    </row>
    <row r="2712" ht="15.75" customHeight="1">
      <c r="A2712" s="2" t="s">
        <v>2712</v>
      </c>
      <c r="B2712" s="2" t="str">
        <f>IFERROR(__xludf.DUMMYFUNCTION("GOOGLETRANSLATE(A2712, ""en"", ""mt"")"),"MHC i")</f>
        <v>MHC i</v>
      </c>
    </row>
    <row r="2713" ht="15.75" customHeight="1">
      <c r="A2713" s="2" t="s">
        <v>2713</v>
      </c>
      <c r="B2713" s="2" t="str">
        <f>IFERROR(__xludf.DUMMYFUNCTION("GOOGLETRANSLATE(A2713, ""en"", ""mt"")"),"X'inhu l-inqas numru ta 'membri li jista' jkollu bord ta 'trustees?")</f>
        <v>X'inhu l-inqas numru ta 'membri li jista' jkollu bord ta 'trustees?</v>
      </c>
    </row>
    <row r="2714" ht="15.75" customHeight="1">
      <c r="A2714" s="2" t="s">
        <v>2714</v>
      </c>
      <c r="B2714" s="2" t="str">
        <f>IFERROR(__xludf.DUMMYFUNCTION("GOOGLETRANSLATE(A2714, ""en"", ""mt"")"),"Stabbiliment ta 'relazzjonijiet ma' parteċipanti oħra meħtieġa permezz tal-proċess ta 'bini tad-disinn")</f>
        <v>Stabbiliment ta 'relazzjonijiet ma' parteċipanti oħra meħtieġa permezz tal-proċess ta 'bini tad-disinn</v>
      </c>
    </row>
    <row r="2715" ht="15.75" customHeight="1">
      <c r="A2715" s="2" t="s">
        <v>2715</v>
      </c>
      <c r="B2715" s="2" t="str">
        <f>IFERROR(__xludf.DUMMYFUNCTION("GOOGLETRANSLATE(A2715, ""en"", ""mt"")"),"X'kienet ħaġa waħda li ġiet ittestjata speċifikament fuq it-tnedija tat-test Apollo 4 rigward is-CM?")</f>
        <v>X'kienet ħaġa waħda li ġiet ittestjata speċifikament fuq it-tnedija tat-test Apollo 4 rigward is-CM?</v>
      </c>
    </row>
    <row r="2716" ht="15.75" customHeight="1">
      <c r="A2716" s="2" t="s">
        <v>2716</v>
      </c>
      <c r="B2716" s="2" t="str">
        <f>IFERROR(__xludf.DUMMYFUNCTION("GOOGLETRANSLATE(A2716, ""en"", ""mt"")"),"X'kien l-isem tal-kumpanija ta 'Westinghouse?")</f>
        <v>X'kien l-isem tal-kumpanija ta 'Westinghouse?</v>
      </c>
    </row>
    <row r="2717" ht="15.75" customHeight="1">
      <c r="A2717" s="2" t="s">
        <v>2717</v>
      </c>
      <c r="B2717" s="2" t="str">
        <f>IFERROR(__xludf.DUMMYFUNCTION("GOOGLETRANSLATE(A2717, ""en"", ""mt"")"),"Mhux poter marittimu, u mhux stat nazzjon, kif eventwalment sar, il-parteċipazzjoni tal-Ġermanja fl-imperjalizmu tal-Punent kienet negliġibbli sal-aħħar tas-seklu 19. Il-parteċipazzjoni tal-Awstrija kienet primarjament bħala riżultat tal-kontroll ta ’Habs"&amp;"burg tal-ewwel imperu, it-tron Spanjol, u djar irjali oħra. [Aktar spjegazzjoni meħtieġa] wara t-telfa ta’ Napuljun, li kkawża x-xoljiment ta ’dak l-Imperu Ruman qaddis, il-Prussja u L-istati Ġermaniżi komplew joħorġu mill-imperjalizmu, u ppreferu jimmani"&amp;"pulaw is-sistema Ewropea permezz tal-kunċert tal-Ewropa. Wara li l-Prussja unifikat l-istati l-oħra fit-tieni imperu Ġermaniż wara l-gwerra Franco-Ġermaniża, il-kanċillier tagħha fit-tul, Otto von Bismarck (1862–90), fit-tul oppona l-akkwisti kolonjali, b"&amp;"illi argumenta li l-piż li jikseb, iżomm u jiddefendi tali Il-possedimenti jiżbqu kwalunkwe benefiċċju potenzjali. Huwa ħass li l-kolonji ma ħallsux għalihom infushom, li s-sistema burokratika Ġermaniża ma taħdimx sew fit-tropiċi u li t-tilwim diplomatiku"&amp;" fuq il-kolonji jaljena l-Ġermanja mill-interess ċentrali tagħha, l-Ewropa nnifisha.")</f>
        <v>Mhux poter marittimu, u mhux stat nazzjon, kif eventwalment sar, il-parteċipazzjoni tal-Ġermanja fl-imperjalizmu tal-Punent kienet negliġibbli sal-aħħar tas-seklu 19. Il-parteċipazzjoni tal-Awstrija kienet primarjament bħala riżultat tal-kontroll ta ’Habsburg tal-ewwel imperu, it-tron Spanjol, u djar irjali oħra. [Aktar spjegazzjoni meħtieġa] wara t-telfa ta’ Napuljun, li kkawża x-xoljiment ta ’dak l-Imperu Ruman qaddis, il-Prussja u L-istati Ġermaniżi komplew joħorġu mill-imperjalizmu, u ppreferu jimmanipulaw is-sistema Ewropea permezz tal-kunċert tal-Ewropa. Wara li l-Prussja unifikat l-istati l-oħra fit-tieni imperu Ġermaniż wara l-gwerra Franco-Ġermaniża, il-kanċillier tagħha fit-tul, Otto von Bismarck (1862–90), fit-tul oppona l-akkwisti kolonjali, billi argumenta li l-piż li jikseb, iżomm u jiddefendi tali Il-possedimenti jiżbqu kwalunkwe benefiċċju potenzjali. Huwa ħass li l-kolonji ma ħallsux għalihom infushom, li s-sistema burokratika Ġermaniża ma taħdimx sew fit-tropiċi u li t-tilwim diplomatiku fuq il-kolonji jaljena l-Ġermanja mill-interess ċentrali tagħha, l-Ewropa nnifisha.</v>
      </c>
    </row>
    <row r="2718" ht="15.75" customHeight="1">
      <c r="A2718" s="2" t="s">
        <v>2718</v>
      </c>
      <c r="B2718" s="2" t="str">
        <f>IFERROR(__xludf.DUMMYFUNCTION("GOOGLETRANSLATE(A2718, ""en"", ""mt"")"),"£ 20,980")</f>
        <v>£ 20,980</v>
      </c>
    </row>
    <row r="2719" ht="15.75" customHeight="1">
      <c r="A2719" s="2" t="s">
        <v>2719</v>
      </c>
      <c r="B2719" s="2" t="str">
        <f>IFERROR(__xludf.DUMMYFUNCTION("GOOGLETRANSLATE(A2719, ""en"", ""mt"")"),"Min kienu eżentati mill-Ministeru tal-Ġustizzja?")</f>
        <v>Min kienu eżentati mill-Ministeru tal-Ġustizzja?</v>
      </c>
    </row>
    <row r="2720" ht="15.75" customHeight="1">
      <c r="A2720" s="2" t="s">
        <v>2720</v>
      </c>
      <c r="B2720" s="2" t="str">
        <f>IFERROR(__xludf.DUMMYFUNCTION("GOOGLETRANSLATE(A2720, ""en"", ""mt"")"),"F'liema jistgħu jinbidlu l-kloroplasti?")</f>
        <v>F'liema jistgħu jinbidlu l-kloroplasti?</v>
      </c>
    </row>
    <row r="2721" ht="15.75" customHeight="1">
      <c r="A2721" s="2" t="s">
        <v>2721</v>
      </c>
      <c r="B2721" s="2" t="str">
        <f>IFERROR(__xludf.DUMMYFUNCTION("GOOGLETRANSLATE(A2721, ""en"", ""mt"")"),"Fuq liema ferrovija ntuża Salamanca?")</f>
        <v>Fuq liema ferrovija ntuża Salamanca?</v>
      </c>
    </row>
    <row r="2722" ht="15.75" customHeight="1">
      <c r="A2722" s="2" t="s">
        <v>2722</v>
      </c>
      <c r="B2722" s="2" t="str">
        <f>IFERROR(__xludf.DUMMYFUNCTION("GOOGLETRANSLATE(A2722, ""en"", ""mt"")"),"(tip ta '""avvelenament mid-demm""")</f>
        <v>(tip ta '"avvelenament mid-demm"</v>
      </c>
    </row>
    <row r="2723" ht="15.75" customHeight="1">
      <c r="A2723" s="2" t="s">
        <v>2723</v>
      </c>
      <c r="B2723" s="2" t="str">
        <f>IFERROR(__xludf.DUMMYFUNCTION("GOOGLETRANSLATE(A2723, ""en"", ""mt"")"),"Liema raġuni qed tingħata li għandek tipprotesta wkoll kumpaniji pubbliċi?")</f>
        <v>Liema raġuni qed tingħata li għandek tipprotesta wkoll kumpaniji pubbliċi?</v>
      </c>
    </row>
    <row r="2724" ht="15.75" customHeight="1">
      <c r="A2724" s="2" t="s">
        <v>2724</v>
      </c>
      <c r="B2724" s="2" t="str">
        <f>IFERROR(__xludf.DUMMYFUNCTION("GOOGLETRANSLATE(A2724, ""en"", ""mt"")"),"Kotba, films, radju, TV, mużika, teatru live, komiks u logħob tal-kompjuter")</f>
        <v>Kotba, films, radju, TV, mużika, teatru live, komiks u logħob tal-kompjuter</v>
      </c>
    </row>
    <row r="2725" ht="15.75" customHeight="1">
      <c r="A2725" s="2" t="s">
        <v>2725</v>
      </c>
      <c r="B2725" s="2" t="str">
        <f>IFERROR(__xludf.DUMMYFUNCTION("GOOGLETRANSLATE(A2725, ""en"", ""mt"")"),"Demografija u Ekonomika")</f>
        <v>Demografija u Ekonomika</v>
      </c>
    </row>
    <row r="2726" ht="15.75" customHeight="1">
      <c r="A2726" s="2" t="s">
        <v>2726</v>
      </c>
      <c r="B2726" s="2" t="str">
        <f>IFERROR(__xludf.DUMMYFUNCTION("GOOGLETRANSLATE(A2726, ""en"", ""mt"")"),"X'kienet il-firxa tal-ispedizzjoni ta 'Celeron?")</f>
        <v>X'kienet il-firxa tal-ispedizzjoni ta 'Celeron?</v>
      </c>
    </row>
    <row r="2727" ht="15.75" customHeight="1">
      <c r="A2727" s="2" t="s">
        <v>2727</v>
      </c>
      <c r="B2727" s="2" t="str">
        <f>IFERROR(__xludf.DUMMYFUNCTION("GOOGLETRANSLATE(A2727, ""en"", ""mt"")"),"bħala awditur")</f>
        <v>bħala awditur</v>
      </c>
    </row>
    <row r="2728" ht="15.75" customHeight="1">
      <c r="A2728" s="2" t="s">
        <v>2728</v>
      </c>
      <c r="B2728" s="2" t="str">
        <f>IFERROR(__xludf.DUMMYFUNCTION("GOOGLETRANSLATE(A2728, ""en"", ""mt"")"),"Liema kunċett jintuża ta 'spiss biex jiddefinixxi klassijiet ta' kumplessità?")</f>
        <v>Liema kunċett jintuża ta 'spiss biex jiddefinixxi klassijiet ta' kumplessità?</v>
      </c>
    </row>
    <row r="2729" ht="15.75" customHeight="1">
      <c r="A2729" s="2" t="s">
        <v>2729</v>
      </c>
      <c r="B2729" s="2" t="str">
        <f>IFERROR(__xludf.DUMMYFUNCTION("GOOGLETRANSLATE(A2729, ""en"", ""mt"")"),"Salarji medji tal-għalliema")</f>
        <v>Salarji medji tal-għalliema</v>
      </c>
    </row>
    <row r="2730" ht="15.75" customHeight="1">
      <c r="A2730" s="2" t="s">
        <v>2730</v>
      </c>
      <c r="B2730" s="2" t="str">
        <f>IFERROR(__xludf.DUMMYFUNCTION("GOOGLETRANSLATE(A2730,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2731" ht="15.75" customHeight="1">
      <c r="A2731" s="2" t="s">
        <v>2731</v>
      </c>
      <c r="B2731" s="2" t="str">
        <f>IFERROR(__xludf.DUMMYFUNCTION("GOOGLETRANSLATE(A2731, ""en"", ""mt"")"),"Qorti Ewropea tad-Drittijiet tal-Bniedem")</f>
        <v>Qorti Ewropea tad-Drittijiet tal-Bniedem</v>
      </c>
    </row>
    <row r="2732" ht="15.75" customHeight="1">
      <c r="A2732" s="2" t="s">
        <v>2732</v>
      </c>
      <c r="B2732" s="2" t="str">
        <f>IFERROR(__xludf.DUMMYFUNCTION("GOOGLETRANSLATE(A2732, ""en"", ""mt"")"),"Kemm huma kbar it-tilkoids tal-granal?")</f>
        <v>Kemm huma kbar it-tilkoids tal-granal?</v>
      </c>
    </row>
    <row r="2733" ht="15.75" customHeight="1">
      <c r="A2733" s="2" t="s">
        <v>2733</v>
      </c>
      <c r="B2733" s="2" t="str">
        <f>IFERROR(__xludf.DUMMYFUNCTION("GOOGLETRANSLATE(A2733, ""en"", ""mt"")"),"Alfabett binarju")</f>
        <v>Alfabett binarju</v>
      </c>
    </row>
    <row r="2734" ht="15.75" customHeight="1">
      <c r="A2734" s="2" t="s">
        <v>2734</v>
      </c>
      <c r="B2734" s="2" t="str">
        <f>IFERROR(__xludf.DUMMYFUNCTION("GOOGLETRANSLATE(A2734, ""en"", ""mt"")"),"Servizz tan-netwerk tas-sinsla b'veloċità għolja ħafna")</f>
        <v>Servizz tan-netwerk tas-sinsla b'veloċità għolja ħafna</v>
      </c>
    </row>
    <row r="2735" ht="15.75" customHeight="1">
      <c r="A2735" s="2" t="s">
        <v>2735</v>
      </c>
      <c r="B2735" s="2" t="str">
        <f>IFERROR(__xludf.DUMMYFUNCTION("GOOGLETRANSLATE(A2735, ""en"", ""mt"")"),"Grissom")</f>
        <v>Grissom</v>
      </c>
    </row>
    <row r="2736" ht="15.75" customHeight="1">
      <c r="A2736" s="2" t="s">
        <v>2736</v>
      </c>
      <c r="B2736" s="2" t="str">
        <f>IFERROR(__xludf.DUMMYFUNCTION("GOOGLETRANSLATE(A2736, ""en"", ""mt"")"),"Cork City")</f>
        <v>Cork City</v>
      </c>
    </row>
    <row r="2737" ht="15.75" customHeight="1">
      <c r="A2737" s="2" t="s">
        <v>2737</v>
      </c>
      <c r="B2737" s="2" t="str">
        <f>IFERROR(__xludf.DUMMYFUNCTION("GOOGLETRANSLATE(A2737, ""en"", ""mt"")"),"X'inhu Twin Prime?")</f>
        <v>X'inhu Twin Prime?</v>
      </c>
    </row>
    <row r="2738" ht="15.75" customHeight="1">
      <c r="A2738" s="2" t="s">
        <v>2738</v>
      </c>
      <c r="B2738" s="2" t="str">
        <f>IFERROR(__xludf.DUMMYFUNCTION("GOOGLETRANSLATE(A2738, ""en"", ""mt"")"),"Lulju 1960")</f>
        <v>Lulju 1960</v>
      </c>
    </row>
    <row r="2739" ht="15.75" customHeight="1">
      <c r="A2739" s="2" t="s">
        <v>2739</v>
      </c>
      <c r="B2739" s="2" t="str">
        <f>IFERROR(__xludf.DUMMYFUNCTION("GOOGLETRANSLATE(A2739, ""en"", ""mt"")"),"satelliti")</f>
        <v>satelliti</v>
      </c>
    </row>
    <row r="2740" ht="15.75" customHeight="1">
      <c r="A2740" s="2" t="s">
        <v>2740</v>
      </c>
      <c r="B2740" s="2" t="str">
        <f>IFERROR(__xludf.DUMMYFUNCTION("GOOGLETRANSLATE(A2740, ""en"", ""mt"")"),"Il-verżjoni tal-2005")</f>
        <v>Il-verżjoni tal-2005</v>
      </c>
    </row>
    <row r="2741" ht="15.75" customHeight="1">
      <c r="A2741" s="2" t="s">
        <v>2741</v>
      </c>
      <c r="B2741" s="2" t="str">
        <f>IFERROR(__xludf.DUMMYFUNCTION("GOOGLETRANSLATE(A2741, ""en"", ""mt"")"),"Biex tiffissa d-dijossidu tal-karbonju fil-molekuli taz-zokkor fil-proċess tal-fotosintesi, il-kloroplasti jużaw enzima msejħa Rubisco. Rubisco għandu problema - għandu problemi biex jiddistingwi bejn id-dijossidu tal-karbonju u l-ossiġnu, u għalhekk f'ko"&amp;"nċentrazzjonijiet għoljin ta 'ossiġnu, Rubisco jibda aċċidentalment iżid ossiġnu mal-prekursuri taz-zokkor. Dan għandu r-riżultat aħħari tal-enerġija ATP li qed tinħela u s-CO2 qed jiġi rilaxxat, kollha mingħajr zokkor. Din hija problema kbira, peress li "&amp;"O2 huwa prodott mir-reazzjonijiet tad-dawl inizjali tal-fotosintesi, li jikkawżaw kwistjonijiet fil-linja fiċ-ċiklu ta 'Calvin li juża Rubisco.")</f>
        <v>Biex tiffissa d-dijossidu tal-karbonju fil-molekuli taz-zokkor fil-proċess tal-fotosintesi, il-kloroplasti jużaw enzima msejħa Rubisco. Rubisco għandu problema - għandu problemi biex jiddistingwi bejn id-dijossidu tal-karbonju u l-ossiġnu, u għalhekk f'konċentrazzjonijiet għoljin ta 'ossiġnu, Rubisco jibda aċċidentalment iżid ossiġnu mal-prekursuri taz-zokkor. Dan għandu r-riżultat aħħari tal-enerġija ATP li qed tinħela u s-CO2 qed jiġi rilaxxat, kollha mingħajr zokkor. Din hija problema kbira, peress li O2 huwa prodott mir-reazzjonijiet tad-dawl inizjali tal-fotosintesi, li jikkawżaw kwistjonijiet fil-linja fiċ-ċiklu ta 'Calvin li juża Rubisco.</v>
      </c>
    </row>
    <row r="2742" ht="15.75" customHeight="1">
      <c r="A2742" s="2" t="s">
        <v>2742</v>
      </c>
      <c r="B2742" s="2" t="str">
        <f>IFERROR(__xludf.DUMMYFUNCTION("GOOGLETRANSLATE(A2742, ""en"", ""mt"")"),"mormi")</f>
        <v>mormi</v>
      </c>
    </row>
    <row r="2743" ht="15.75" customHeight="1">
      <c r="A2743" s="2" t="s">
        <v>2743</v>
      </c>
      <c r="B2743" s="2" t="str">
        <f>IFERROR(__xludf.DUMMYFUNCTION("GOOGLETRANSLATE(A2743, ""en"", ""mt"")"),"X'inhu inkluż flimkien ma 'aċċerazzjoni gravitazzjonali, u l-massa tad-dinja f'formula dwar rotazzjoni madwar id-dinja?")</f>
        <v>X'inhu inkluż flimkien ma 'aċċerazzjoni gravitazzjonali, u l-massa tad-dinja f'formula dwar rotazzjoni madwar id-dinja?</v>
      </c>
    </row>
    <row r="2744" ht="15.75" customHeight="1">
      <c r="A2744" s="2" t="s">
        <v>2744</v>
      </c>
      <c r="B2744" s="2" t="str">
        <f>IFERROR(__xludf.DUMMYFUNCTION("GOOGLETRANSLATE(A2744, ""en"", ""mt"")"),"sa 7.8%")</f>
        <v>sa 7.8%</v>
      </c>
    </row>
    <row r="2745" ht="15.75" customHeight="1">
      <c r="A2745" s="2" t="s">
        <v>2745</v>
      </c>
      <c r="B2745" s="2" t="str">
        <f>IFERROR(__xludf.DUMMYFUNCTION("GOOGLETRANSLATE(A2745, ""en"", ""mt"")"),"Min kien il-parti opposta fil-każ Runyon?")</f>
        <v>Min kien il-parti opposta fil-każ Runyon?</v>
      </c>
    </row>
    <row r="2746" ht="15.75" customHeight="1">
      <c r="A2746" s="2" t="s">
        <v>2746</v>
      </c>
      <c r="B2746" s="2" t="str">
        <f>IFERROR(__xludf.DUMMYFUNCTION("GOOGLETRANSLATE(A2746, ""en"", ""mt"")"),"residenzjali u mhux residenzjali")</f>
        <v>residenzjali u mhux residenzjali</v>
      </c>
    </row>
    <row r="2747" ht="15.75" customHeight="1">
      <c r="A2747" s="2" t="s">
        <v>2747</v>
      </c>
      <c r="B2747" s="2" t="str">
        <f>IFERROR(__xludf.DUMMYFUNCTION("GOOGLETRANSLATE(A2747, ""en"", ""mt"")"),"Talbiet territorjali konfliġġenti")</f>
        <v>Talbiet territorjali konfliġġenti</v>
      </c>
    </row>
    <row r="2748" ht="15.75" customHeight="1">
      <c r="A2748" s="2" t="s">
        <v>2748</v>
      </c>
      <c r="B2748" s="2" t="str">
        <f>IFERROR(__xludf.DUMMYFUNCTION("GOOGLETRANSLATE(A2748, ""en"", ""mt"")"),"Normans")</f>
        <v>Normans</v>
      </c>
    </row>
    <row r="2749" ht="15.75" customHeight="1">
      <c r="A2749" s="2" t="s">
        <v>2749</v>
      </c>
      <c r="B2749" s="2" t="str">
        <f>IFERROR(__xludf.DUMMYFUNCTION("GOOGLETRANSLATE(A2749, ""en"", ""mt"")"),"John u Benjamin Green")</f>
        <v>John u Benjamin Green</v>
      </c>
    </row>
    <row r="2750" ht="15.75" customHeight="1">
      <c r="A2750" s="2" t="s">
        <v>2750</v>
      </c>
      <c r="B2750" s="2" t="str">
        <f>IFERROR(__xludf.DUMMYFUNCTION("GOOGLETRANSLATE(A2750, ""en"", ""mt"")"),"UMC")</f>
        <v>UMC</v>
      </c>
    </row>
    <row r="2751" ht="15.75" customHeight="1">
      <c r="A2751" s="2" t="s">
        <v>2751</v>
      </c>
      <c r="B2751" s="3" t="str">
        <f>IFERROR(__xludf.DUMMYFUNCTION("GOOGLETRANSLATE(A2751, ""en"", ""mt"")"),"TeacherSpayteachers.com")</f>
        <v>TeacherSpayteachers.com</v>
      </c>
    </row>
    <row r="2752" ht="15.75" customHeight="1">
      <c r="A2752" s="2" t="s">
        <v>2752</v>
      </c>
      <c r="B2752" s="2" t="str">
        <f>IFERROR(__xludf.DUMMYFUNCTION("GOOGLETRANSLATE(A2752, ""en"", ""mt"")"),"professjonisti")</f>
        <v>professjonisti</v>
      </c>
    </row>
    <row r="2753" ht="15.75" customHeight="1">
      <c r="A2753" s="2" t="s">
        <v>2753</v>
      </c>
      <c r="B2753" s="2" t="str">
        <f>IFERROR(__xludf.DUMMYFUNCTION("GOOGLETRANSLATE(A2753, ""en"", ""mt"")"),"Knisja Metodista sabiħa tal-Lane,")</f>
        <v>Knisja Metodista sabiħa tal-Lane,</v>
      </c>
    </row>
    <row r="2754" ht="15.75" customHeight="1">
      <c r="A2754" s="2" t="s">
        <v>2754</v>
      </c>
      <c r="B2754" s="2" t="str">
        <f>IFERROR(__xludf.DUMMYFUNCTION("GOOGLETRANSLATE(A2754, ""en"", ""mt"")"),"X'tip ta 'fjura hija mfittxija fil-Lejliet ta' Nofs is-Sajf?")</f>
        <v>X'tip ta 'fjura hija mfittxija fil-Lejliet ta' Nofs is-Sajf?</v>
      </c>
    </row>
    <row r="2755" ht="15.75" customHeight="1">
      <c r="A2755" s="2" t="s">
        <v>2755</v>
      </c>
      <c r="B2755" s="2" t="str">
        <f>IFERROR(__xludf.DUMMYFUNCTION("GOOGLETRANSLATE(A2755, ""en"", ""mt"")"),"Ta 'x'inhu l-ożonu parti reattiva ta' ossiġnu?")</f>
        <v>Ta 'x'inhu l-ożonu parti reattiva ta' ossiġnu?</v>
      </c>
    </row>
    <row r="2756" ht="15.75" customHeight="1">
      <c r="A2756" s="2" t="s">
        <v>2756</v>
      </c>
      <c r="B2756" s="2" t="str">
        <f>IFERROR(__xludf.DUMMYFUNCTION("GOOGLETRANSLATE(A2756, ""en"", ""mt"")"),"huma ġġudikati ""ħażin"" minn kuxjenza individwali")</f>
        <v>huma ġġudikati "ħażin" minn kuxjenza individwali</v>
      </c>
    </row>
    <row r="2757" ht="15.75" customHeight="1">
      <c r="A2757" s="2" t="s">
        <v>2757</v>
      </c>
      <c r="B2757" s="2" t="str">
        <f>IFERROR(__xludf.DUMMYFUNCTION("GOOGLETRANSLATE(A2757, ""en"", ""mt"")"),"Dale Chihuly")</f>
        <v>Dale Chihuly</v>
      </c>
    </row>
    <row r="2758" ht="15.75" customHeight="1">
      <c r="A2758" s="2" t="s">
        <v>2758</v>
      </c>
      <c r="B2758" s="2" t="str">
        <f>IFERROR(__xludf.DUMMYFUNCTION("GOOGLETRANSLATE(A2758, ""en"", ""mt"")"),"kimikament")</f>
        <v>kimikament</v>
      </c>
    </row>
    <row r="2759" ht="15.75" customHeight="1">
      <c r="A2759" s="2" t="s">
        <v>2759</v>
      </c>
      <c r="B2759" s="2" t="str">
        <f>IFERROR(__xludf.DUMMYFUNCTION("GOOGLETRANSLATE(A2759, ""en"", ""mt"")"),"Meta l-FCC iffriża l-applikazzjonijiet li deħlin għal stazzjonijiet ġodda?")</f>
        <v>Meta l-FCC iffriża l-applikazzjonijiet li deħlin għal stazzjonijiet ġodda?</v>
      </c>
    </row>
    <row r="2760" ht="15.75" customHeight="1">
      <c r="A2760" s="2" t="s">
        <v>2760</v>
      </c>
      <c r="B2760" s="2" t="str">
        <f>IFERROR(__xludf.DUMMYFUNCTION("GOOGLETRANSLATE(A2760, ""en"", ""mt"")"),"Kemm hemm appoġġ għall-approċċ tal-Istati Uniti għall-iżvilupp ekonomiku?")</f>
        <v>Kemm hemm appoġġ għall-approċċ tal-Istati Uniti għall-iżvilupp ekonomiku?</v>
      </c>
    </row>
    <row r="2761" ht="15.75" customHeight="1">
      <c r="A2761" s="2" t="s">
        <v>2761</v>
      </c>
      <c r="B2761" s="2" t="str">
        <f>IFERROR(__xludf.DUMMYFUNCTION("GOOGLETRANSLATE(A2761, ""en"", ""mt"")"),"Infjammazzjoni sseħħ waqt il-ħinijiet ta 'l-irqad minħabba l-preżenza ta' liema molekula?")</f>
        <v>Infjammazzjoni sseħħ waqt il-ħinijiet ta 'l-irqad minħabba l-preżenza ta' liema molekula?</v>
      </c>
    </row>
    <row r="2762" ht="15.75" customHeight="1">
      <c r="A2762" s="2" t="s">
        <v>2762</v>
      </c>
      <c r="B2762" s="2" t="str">
        <f>IFERROR(__xludf.DUMMYFUNCTION("GOOGLETRANSLATE(A2762, ""en"", ""mt"")"),"15–1")</f>
        <v>15–1</v>
      </c>
    </row>
    <row r="2763" ht="15.75" customHeight="1">
      <c r="A2763" s="2" t="s">
        <v>2763</v>
      </c>
      <c r="B2763" s="2" t="str">
        <f>IFERROR(__xludf.DUMMYFUNCTION("GOOGLETRANSLATE(A2763, ""en"", ""mt"")"),"preżenza personali")</f>
        <v>preżenza personali</v>
      </c>
    </row>
    <row r="2764" ht="15.75" customHeight="1">
      <c r="A2764" s="2" t="s">
        <v>2764</v>
      </c>
      <c r="B2764" s="2" t="str">
        <f>IFERROR(__xludf.DUMMYFUNCTION("GOOGLETRANSLATE(A2764, ""en"", ""mt"")"),"Apollo 7")</f>
        <v>Apollo 7</v>
      </c>
    </row>
    <row r="2765" ht="15.75" customHeight="1">
      <c r="A2765" s="2" t="s">
        <v>2765</v>
      </c>
      <c r="B2765" s="2" t="str">
        <f>IFERROR(__xludf.DUMMYFUNCTION("GOOGLETRANSLATE(A2765, ""en"", ""mt"")"),"Liema karatteristika tal-Amażonja għamlet lin-nies jemmnu li ma jistax ikollhom ħafna abitanti?")</f>
        <v>Liema karatteristika tal-Amażonja għamlet lin-nies jemmnu li ma jistax ikollhom ħafna abitanti?</v>
      </c>
    </row>
    <row r="2766" ht="15.75" customHeight="1">
      <c r="A2766" s="2" t="s">
        <v>2766</v>
      </c>
      <c r="B2766" s="2" t="str">
        <f>IFERROR(__xludf.DUMMYFUNCTION("GOOGLETRANSLATE(A2766, ""en"", ""mt"")"),"Tmien serje oriġinali tas-serje")</f>
        <v>Tmien serje oriġinali tas-serje</v>
      </c>
    </row>
    <row r="2767" ht="15.75" customHeight="1">
      <c r="A2767" s="2" t="s">
        <v>2767</v>
      </c>
      <c r="B2767" s="2" t="str">
        <f>IFERROR(__xludf.DUMMYFUNCTION("GOOGLETRANSLATE(A2767, ""en"", ""mt"")"),"Megaregion tan-Nofsinhar ta 'California")</f>
        <v>Megaregion tan-Nofsinhar ta 'California</v>
      </c>
    </row>
    <row r="2768" ht="15.75" customHeight="1">
      <c r="A2768" s="2" t="s">
        <v>2768</v>
      </c>
      <c r="B2768" s="2" t="str">
        <f>IFERROR(__xludf.DUMMYFUNCTION("GOOGLETRANSLATE(A2768, ""en"", ""mt"")"),"Finsteraarhorn")</f>
        <v>Finsteraarhorn</v>
      </c>
    </row>
    <row r="2769" ht="15.75" customHeight="1">
      <c r="A2769" s="2" t="s">
        <v>2769</v>
      </c>
      <c r="B2769" s="2" t="str">
        <f>IFERROR(__xludf.DUMMYFUNCTION("GOOGLETRANSLATE(A2769, ""en"", ""mt"")"),"il-magna tal-fwar Corliss")</f>
        <v>il-magna tal-fwar Corliss</v>
      </c>
    </row>
    <row r="2770" ht="15.75" customHeight="1">
      <c r="A2770" s="2" t="s">
        <v>2770</v>
      </c>
      <c r="B2770" s="2" t="str">
        <f>IFERROR(__xludf.DUMMYFUNCTION("GOOGLETRANSLATE(A2770, ""en"", ""mt"")"),"Liema forma ġeometrika tintuża fl-ekwazzjonijiet biex tiddetermina l-forza netta?")</f>
        <v>Liema forma ġeometrika tintuża fl-ekwazzjonijiet biex tiddetermina l-forza netta?</v>
      </c>
    </row>
    <row r="2771" ht="15.75" customHeight="1">
      <c r="A2771" s="2" t="s">
        <v>2771</v>
      </c>
      <c r="B2771" s="2" t="str">
        <f>IFERROR(__xludf.DUMMYFUNCTION("GOOGLETRANSLATE(A2771, ""en"", ""mt"")"),"marda")</f>
        <v>marda</v>
      </c>
    </row>
    <row r="2772" ht="15.75" customHeight="1">
      <c r="A2772" s="2" t="s">
        <v>2772</v>
      </c>
      <c r="B2772" s="2" t="str">
        <f>IFERROR(__xludf.DUMMYFUNCTION("GOOGLETRANSLATE(A2772, ""en"", ""mt"")"),"Meta ġew imħabbra l-finalisti?")</f>
        <v>Meta ġew imħabbra l-finalisti?</v>
      </c>
    </row>
    <row r="2773" ht="15.75" customHeight="1">
      <c r="A2773" s="2" t="s">
        <v>2773</v>
      </c>
      <c r="B2773" s="2" t="str">
        <f>IFERROR(__xludf.DUMMYFUNCTION("GOOGLETRANSLATE(A2773, ""en"", ""mt"")"),"Minn Dinwiddie jitlob irtirar Franċiż immedjat mill-pajjiż ta 'Ohio")</f>
        <v>Minn Dinwiddie jitlob irtirar Franċiż immedjat mill-pajjiż ta 'Ohio</v>
      </c>
    </row>
    <row r="2774" ht="15.75" customHeight="1">
      <c r="A2774" s="2" t="s">
        <v>2774</v>
      </c>
      <c r="B2774" s="2" t="str">
        <f>IFERROR(__xludf.DUMMYFUNCTION("GOOGLETRANSLATE(A2774, ""en"", ""mt"")"),"X'għandhom imexxu l-gvern li jaffettwa l-għalliema?")</f>
        <v>X'għandhom imexxu l-gvern li jaffettwa l-għalliema?</v>
      </c>
    </row>
    <row r="2775" ht="15.75" customHeight="1">
      <c r="A2775" s="2" t="s">
        <v>2775</v>
      </c>
      <c r="B2775" s="2" t="str">
        <f>IFERROR(__xludf.DUMMYFUNCTION("GOOGLETRANSLATE(A2775, ""en"", ""mt"")"),"Queer bħala folk")</f>
        <v>Queer bħala folk</v>
      </c>
    </row>
    <row r="2776" ht="15.75" customHeight="1">
      <c r="A2776" s="2" t="s">
        <v>2776</v>
      </c>
      <c r="B2776" s="2" t="str">
        <f>IFERROR(__xludf.DUMMYFUNCTION("GOOGLETRANSLATE(A2776, ""en"", ""mt"")"),"Fejn Maududi eżerċita l-iktar impatt?")</f>
        <v>Fejn Maududi eżerċita l-iktar impatt?</v>
      </c>
    </row>
    <row r="2777" ht="15.75" customHeight="1">
      <c r="A2777" s="2" t="s">
        <v>2777</v>
      </c>
      <c r="B2777" s="2" t="str">
        <f>IFERROR(__xludf.DUMMYFUNCTION("GOOGLETRANSLATE(A2777, ""en"", ""mt"")"),"Kemm huma kbar il-plastoglobuli?")</f>
        <v>Kemm huma kbar il-plastoglobuli?</v>
      </c>
    </row>
    <row r="2778" ht="15.75" customHeight="1">
      <c r="A2778" s="2" t="s">
        <v>2778</v>
      </c>
      <c r="B2778" s="2" t="str">
        <f>IFERROR(__xludf.DUMMYFUNCTION("GOOGLETRANSLATE(A2778, ""en"", ""mt"")"),"b'mod sinifikanti aktar ħafif minn xi postijiet oħra")</f>
        <v>b'mod sinifikanti aktar ħafif minn xi postijiet oħra</v>
      </c>
    </row>
    <row r="2779" ht="15.75" customHeight="1">
      <c r="A2779" s="2" t="s">
        <v>2779</v>
      </c>
      <c r="B2779" s="2" t="str">
        <f>IFERROR(__xludf.DUMMYFUNCTION("GOOGLETRANSLATE(A2779, ""en"", ""mt"")"),"Żball fundamentali")</f>
        <v>Żball fundamentali</v>
      </c>
    </row>
    <row r="2780" ht="15.75" customHeight="1">
      <c r="A2780" s="2" t="s">
        <v>2780</v>
      </c>
      <c r="B2780" s="2" t="str">
        <f>IFERROR(__xludf.DUMMYFUNCTION("GOOGLETRANSLATE(A2780, ""en"", ""mt"")"),"bħala bdiewa itineranti")</f>
        <v>bħala bdiewa itineranti</v>
      </c>
    </row>
    <row r="2781" ht="15.75" customHeight="1">
      <c r="A2781" s="2" t="s">
        <v>2781</v>
      </c>
      <c r="B2781" s="2" t="str">
        <f>IFERROR(__xludf.DUMMYFUNCTION("GOOGLETRANSLATE(A2781, ""en"", ""mt"")"),"il-ħorn żgħir")</f>
        <v>il-ħorn żgħir</v>
      </c>
    </row>
    <row r="2782" ht="15.75" customHeight="1">
      <c r="A2782" s="2" t="s">
        <v>2782</v>
      </c>
      <c r="B2782" s="2" t="str">
        <f>IFERROR(__xludf.DUMMYFUNCTION("GOOGLETRANSLATE(A2782, ""en"", ""mt"")"),"Fil-missjonijiet taż-żamma tal-paċi madwar id-dinja")</f>
        <v>Fil-missjonijiet taż-żamma tal-paċi madwar id-dinja</v>
      </c>
    </row>
    <row r="2783" ht="15.75" customHeight="1">
      <c r="A2783" s="2" t="s">
        <v>2783</v>
      </c>
      <c r="B2783" s="2" t="str">
        <f>IFERROR(__xludf.DUMMYFUNCTION("GOOGLETRANSLATE(A2783, ""en"", ""mt"")"),"iżżid il-biċċa l-kbira tagħha u tnaqqas id-densità tagħha")</f>
        <v>iżżid il-biċċa l-kbira tagħha u tnaqqas id-densità tagħha</v>
      </c>
    </row>
    <row r="2784" ht="15.75" customHeight="1">
      <c r="A2784" s="2" t="s">
        <v>2784</v>
      </c>
      <c r="B2784" s="2" t="str">
        <f>IFERROR(__xludf.DUMMYFUNCTION("GOOGLETRANSLATE(A2784, ""en"", ""mt"")"),"""Kont ta 'skoperti oħra fl-ajru"" ġie ppubblikat minn min fl-1775?")</f>
        <v>"Kont ta 'skoperti oħra fl-ajru" ġie ppubblikat minn min fl-1775?</v>
      </c>
    </row>
    <row r="2785" ht="15.75" customHeight="1">
      <c r="A2785" s="2" t="s">
        <v>2785</v>
      </c>
      <c r="B2785" s="2" t="str">
        <f>IFERROR(__xludf.DUMMYFUNCTION("GOOGLETRANSLATE(A2785, ""en"", ""mt"")"),"$ 41 triljun")</f>
        <v>$ 41 triljun</v>
      </c>
    </row>
    <row r="2786" ht="15.75" customHeight="1">
      <c r="A2786" s="2" t="s">
        <v>2786</v>
      </c>
      <c r="B2786" s="2" t="str">
        <f>IFERROR(__xludf.DUMMYFUNCTION("GOOGLETRANSLATE(A2786, ""en"", ""mt"")"),"Min kienu tnejn mill-fundaturi tal-Knisja Metodista Magħquda?")</f>
        <v>Min kienu tnejn mill-fundaturi tal-Knisja Metodista Magħquda?</v>
      </c>
    </row>
    <row r="2787" ht="15.75" customHeight="1">
      <c r="A2787" s="2" t="s">
        <v>2787</v>
      </c>
      <c r="B2787" s="2" t="str">
        <f>IFERROR(__xludf.DUMMYFUNCTION("GOOGLETRANSLATE(A2787, ""en"", ""mt"")"),"11-il miljun")</f>
        <v>11-il miljun</v>
      </c>
    </row>
    <row r="2788" ht="15.75" customHeight="1">
      <c r="A2788" s="2" t="s">
        <v>2788</v>
      </c>
      <c r="B2788" s="2" t="str">
        <f>IFERROR(__xludf.DUMMYFUNCTION("GOOGLETRANSLATE(A2788, ""en"", ""mt"")"),"detrimentali fit-tul")</f>
        <v>detrimentali fit-tul</v>
      </c>
    </row>
    <row r="2789" ht="15.75" customHeight="1">
      <c r="A2789" s="2" t="s">
        <v>2789</v>
      </c>
      <c r="B2789" s="2" t="str">
        <f>IFERROR(__xludf.DUMMYFUNCTION("GOOGLETRANSLATE(A2789, ""en"", ""mt"")"),"Mhux iddisinjat biex itir fl-atmosfera tad-Dinja jew jirritorna fid-Dinja")</f>
        <v>Mhux iddisinjat biex itir fl-atmosfera tad-Dinja jew jirritorna fid-Dinja</v>
      </c>
    </row>
    <row r="2790" ht="15.75" customHeight="1">
      <c r="A2790" s="2" t="s">
        <v>2790</v>
      </c>
      <c r="B2790" s="2" t="str">
        <f>IFERROR(__xludf.DUMMYFUNCTION("GOOGLETRANSLATE(A2790, ""en"", ""mt"")"),"Tqil / awtostrada, inġinerija ċivili jew tqila tqila")</f>
        <v>Tqil / awtostrada, inġinerija ċivili jew tqila tqila</v>
      </c>
    </row>
    <row r="2791" ht="15.75" customHeight="1">
      <c r="A2791" s="2" t="s">
        <v>2791</v>
      </c>
      <c r="B2791" s="2" t="str">
        <f>IFERROR(__xludf.DUMMYFUNCTION("GOOGLETRANSLATE(A2791, ""en"", ""mt"")"),"Trajettorja ballistika")</f>
        <v>Trajettorja ballistika</v>
      </c>
    </row>
    <row r="2792" ht="15.75" customHeight="1">
      <c r="A2792" s="2" t="s">
        <v>2792</v>
      </c>
      <c r="B2792" s="2" t="str">
        <f>IFERROR(__xludf.DUMMYFUNCTION("GOOGLETRANSLATE(A2792, ""en"", ""mt"")"),"uffiċċji ċivili, militari u ċensuri")</f>
        <v>uffiċċji ċivili, militari u ċensuri</v>
      </c>
    </row>
    <row r="2793" ht="15.75" customHeight="1">
      <c r="A2793" s="2" t="s">
        <v>2793</v>
      </c>
      <c r="B2793" s="2" t="str">
        <f>IFERROR(__xludf.DUMMYFUNCTION("GOOGLETRANSLATE(A2793, ""en"", ""mt"")"),"Fejn hu d-detentur tad-Doctor Who r-rekord għall-iktar serje ta ’suċċess tax-xjenza fittizja tal-ħin kollu?")</f>
        <v>Fejn hu d-detentur tad-Doctor Who r-rekord għall-iktar serje ta ’suċċess tax-xjenza fittizja tal-ħin kollu?</v>
      </c>
    </row>
    <row r="2794" ht="15.75" customHeight="1">
      <c r="A2794" s="2" t="s">
        <v>2794</v>
      </c>
      <c r="B2794" s="2" t="str">
        <f>IFERROR(__xludf.DUMMYFUNCTION("GOOGLETRANSLATE(A2794, ""en"", ""mt"")"),"Lil min sejħet Tesla f'nofs il-lejl?")</f>
        <v>Lil min sejħet Tesla f'nofs il-lejl?</v>
      </c>
    </row>
    <row r="2795" ht="15.75" customHeight="1">
      <c r="A2795" s="2" t="s">
        <v>2795</v>
      </c>
      <c r="B2795" s="2" t="str">
        <f>IFERROR(__xludf.DUMMYFUNCTION("GOOGLETRANSLATE(A2795, ""en"", ""mt"")"),"ksur tal-liġi bi protesta kontra organizzazzjonijiet internazzjonali u gvernijiet barranin")</f>
        <v>ksur tal-liġi bi protesta kontra organizzazzjonijiet internazzjonali u gvernijiet barranin</v>
      </c>
    </row>
    <row r="2796" ht="15.75" customHeight="1">
      <c r="A2796" s="2" t="s">
        <v>2796</v>
      </c>
      <c r="B2796" s="2" t="str">
        <f>IFERROR(__xludf.DUMMYFUNCTION("GOOGLETRANSLATE(A2796, ""en"", ""mt"")"),"F'liema lingwa ngħataw il-klassijiet?")</f>
        <v>F'liema lingwa ngħataw il-klassijiet?</v>
      </c>
    </row>
    <row r="2797" ht="15.75" customHeight="1">
      <c r="A2797" s="2" t="s">
        <v>2797</v>
      </c>
      <c r="B2797" s="2" t="str">
        <f>IFERROR(__xludf.DUMMYFUNCTION("GOOGLETRANSLATE(A2797, ""en"", ""mt"")"),"Toroq Fresno u B")</f>
        <v>Toroq Fresno u B</v>
      </c>
    </row>
    <row r="2798" ht="15.75" customHeight="1">
      <c r="A2798" s="2" t="s">
        <v>2798</v>
      </c>
      <c r="B2798" s="2" t="str">
        <f>IFERROR(__xludf.DUMMYFUNCTION("GOOGLETRANSLATE(A2798, ""en"", ""mt"")"),"Corona Mark II")</f>
        <v>Corona Mark II</v>
      </c>
    </row>
    <row r="2799" ht="15.75" customHeight="1">
      <c r="A2799" s="2" t="s">
        <v>2799</v>
      </c>
      <c r="B2799" s="2" t="str">
        <f>IFERROR(__xludf.DUMMYFUNCTION("GOOGLETRANSLATE(A2799, ""en"", ""mt"")"),"Liema frażi popolari hija assoċjata mas-serje Doctor Who?")</f>
        <v>Liema frażi popolari hija assoċjata mas-serje Doctor Who?</v>
      </c>
    </row>
    <row r="2800" ht="15.75" customHeight="1">
      <c r="A2800" s="2" t="s">
        <v>2800</v>
      </c>
      <c r="B2800" s="2" t="str">
        <f>IFERROR(__xludf.DUMMYFUNCTION("GOOGLETRANSLATE(A2800, ""en"", ""mt"")"),"Rati ta 'intraprenditorija")</f>
        <v>Rati ta 'intraprenditorija</v>
      </c>
    </row>
    <row r="2801" ht="15.75" customHeight="1">
      <c r="A2801" s="2" t="s">
        <v>2801</v>
      </c>
      <c r="B2801" s="2" t="str">
        <f>IFERROR(__xludf.DUMMYFUNCTION("GOOGLETRANSLATE(A2801, ""en"", ""mt"")"),"Nuqqas ta 'akkomodazzjoni bi prezz raġonevoli")</f>
        <v>Nuqqas ta 'akkomodazzjoni bi prezz raġonevoli</v>
      </c>
    </row>
    <row r="2802" ht="15.75" customHeight="1">
      <c r="A2802" s="2" t="s">
        <v>2802</v>
      </c>
      <c r="B2802" s="2" t="str">
        <f>IFERROR(__xludf.DUMMYFUNCTION("GOOGLETRANSLATE(A2802, ""en"", ""mt"")"),"1927")</f>
        <v>1927</v>
      </c>
    </row>
    <row r="2803" ht="15.75" customHeight="1">
      <c r="A2803" s="2" t="s">
        <v>2803</v>
      </c>
      <c r="B2803" s="2" t="str">
        <f>IFERROR(__xludf.DUMMYFUNCTION("GOOGLETRANSLATE(A2803, ""en"", ""mt"")"),"kunċett personali")</f>
        <v>kunċett personali</v>
      </c>
    </row>
    <row r="2804" ht="15.75" customHeight="1">
      <c r="A2804" s="2" t="s">
        <v>2804</v>
      </c>
      <c r="B2804" s="2" t="str">
        <f>IFERROR(__xludf.DUMMYFUNCTION("GOOGLETRANSLATE(A2804, ""en"", ""mt"")"),"Terrazzi mgħarrqa ta 'qabel")</f>
        <v>Terrazzi mgħarrqa ta 'qabel</v>
      </c>
    </row>
    <row r="2805" ht="15.75" customHeight="1">
      <c r="A2805" s="2" t="s">
        <v>2805</v>
      </c>
      <c r="B2805" s="2" t="str">
        <f>IFERROR(__xludf.DUMMYFUNCTION("GOOGLETRANSLATE(A2805, ""en"", ""mt"")"),"In-netwerk kien imsaħħaħ")</f>
        <v>In-netwerk kien imsaħħaħ</v>
      </c>
    </row>
    <row r="2806" ht="15.75" customHeight="1">
      <c r="A2806" s="2" t="s">
        <v>2806</v>
      </c>
      <c r="B2806" s="2" t="str">
        <f>IFERROR(__xludf.DUMMYFUNCTION("GOOGLETRANSLATE(A2806, ""en"", ""mt"")"),"US $ 1,000,000")</f>
        <v>US $ 1,000,000</v>
      </c>
    </row>
    <row r="2807" ht="15.75" customHeight="1">
      <c r="A2807" s="2" t="s">
        <v>2807</v>
      </c>
      <c r="B2807" s="2" t="str">
        <f>IFERROR(__xludf.DUMMYFUNCTION("GOOGLETRANSLATE(A2807, ""en"", ""mt"")"),"X'jistgħu jkunu l-forzi ortogonali meta jkun hemm tliet komponenti b'żewġ angoli retti ma 'xulxin?")</f>
        <v>X'jistgħu jkunu l-forzi ortogonali meta jkun hemm tliet komponenti b'żewġ angoli retti ma 'xulxin?</v>
      </c>
    </row>
    <row r="2808" ht="15.75" customHeight="1">
      <c r="A2808" s="2" t="s">
        <v>2808</v>
      </c>
      <c r="B2808" s="2" t="str">
        <f>IFERROR(__xludf.DUMMYFUNCTION("GOOGLETRANSLATE(A2808, ""en"", ""mt"")"),"Għaxar snin wara l-1973")</f>
        <v>Għaxar snin wara l-1973</v>
      </c>
    </row>
    <row r="2809" ht="15.75" customHeight="1">
      <c r="A2809" s="2" t="s">
        <v>2809</v>
      </c>
      <c r="B2809" s="2" t="str">
        <f>IFERROR(__xludf.DUMMYFUNCTION("GOOGLETRANSLATE(A2809, ""en"", ""mt"")"),"tliet mija sittin")</f>
        <v>tliet mija sittin</v>
      </c>
    </row>
    <row r="2810" ht="15.75" customHeight="1">
      <c r="A2810" s="2" t="s">
        <v>2810</v>
      </c>
      <c r="B2810" s="2" t="str">
        <f>IFERROR(__xludf.DUMMYFUNCTION("GOOGLETRANSLATE(A2810, ""en"", ""mt"")"),"X'kienet id-data tal-mewt ta 'Tesla?")</f>
        <v>X'kienet id-data tal-mewt ta 'Tesla?</v>
      </c>
    </row>
    <row r="2811" ht="15.75" customHeight="1">
      <c r="A2811" s="2" t="s">
        <v>2811</v>
      </c>
      <c r="B2811" s="2" t="str">
        <f>IFERROR(__xludf.DUMMYFUNCTION("GOOGLETRANSLATE(A2811, ""en"", ""mt"")"),"Liema xahar u jum Kennedy messaġġ il-viċi president tiegħu dwar l-istatus tal-programm?")</f>
        <v>Liema xahar u jum Kennedy messaġġ il-viċi president tiegħu dwar l-istatus tal-programm?</v>
      </c>
    </row>
    <row r="2812" ht="15.75" customHeight="1">
      <c r="A2812" s="2" t="s">
        <v>2812</v>
      </c>
      <c r="B2812" s="2" t="str">
        <f>IFERROR(__xludf.DUMMYFUNCTION("GOOGLETRANSLATE(A2812, ""en"", ""mt"")"),"23.63%")</f>
        <v>23.63%</v>
      </c>
    </row>
    <row r="2813" ht="15.75" customHeight="1">
      <c r="A2813" s="2" t="s">
        <v>2813</v>
      </c>
      <c r="B2813" s="2" t="str">
        <f>IFERROR(__xludf.DUMMYFUNCTION("GOOGLETRANSLATE(A2813, ""en"", ""mt"")"),"Elettorat")</f>
        <v>Elettorat</v>
      </c>
    </row>
    <row r="2814" ht="15.75" customHeight="1">
      <c r="A2814" s="2" t="s">
        <v>2814</v>
      </c>
      <c r="B2814" s="2" t="str">
        <f>IFERROR(__xludf.DUMMYFUNCTION("GOOGLETRANSLATE(A2814, ""en"", ""mt"")"),"X'kienet il-popolazzjoni ta 'Fresno fl-2010?")</f>
        <v>X'kienet il-popolazzjoni ta 'Fresno fl-2010?</v>
      </c>
    </row>
    <row r="2815" ht="15.75" customHeight="1">
      <c r="A2815" s="2" t="s">
        <v>2815</v>
      </c>
      <c r="B2815" s="2" t="str">
        <f>IFERROR(__xludf.DUMMYFUNCTION("GOOGLETRANSLATE(A2815, ""en"", ""mt"")"),"Kong Duancao")</f>
        <v>Kong Duancao</v>
      </c>
    </row>
    <row r="2816" ht="15.75" customHeight="1">
      <c r="A2816" s="2" t="s">
        <v>2816</v>
      </c>
      <c r="B2816" s="2" t="str">
        <f>IFERROR(__xludf.DUMMYFUNCTION("GOOGLETRANSLATE(A2816, ""en"", ""mt"")"),"""Il-Ħin tat-Tabib""")</f>
        <v>"Il-Ħin tat-Tabib"</v>
      </c>
    </row>
    <row r="2817" ht="15.75" customHeight="1">
      <c r="A2817" s="2" t="s">
        <v>2817</v>
      </c>
      <c r="B2817" s="2" t="str">
        <f>IFERROR(__xludf.DUMMYFUNCTION("GOOGLETRANSLATE(A2817, ""en"", ""mt"")"),"Kemm premjijiet rebaħ it-tabib?")</f>
        <v>Kemm premjijiet rebaħ it-tabib?</v>
      </c>
    </row>
    <row r="2818" ht="15.75" customHeight="1">
      <c r="A2818" s="2" t="s">
        <v>2818</v>
      </c>
      <c r="B2818" s="2" t="str">
        <f>IFERROR(__xludf.DUMMYFUNCTION("GOOGLETRANSLATE(A2818, ""en"", ""mt"")"),"15 ta 'Mejju 1525")</f>
        <v>15 ta 'Mejju 1525</v>
      </c>
    </row>
    <row r="2819" ht="15.75" customHeight="1">
      <c r="A2819" s="2" t="s">
        <v>2819</v>
      </c>
      <c r="B2819" s="2" t="str">
        <f>IFERROR(__xludf.DUMMYFUNCTION("GOOGLETRANSLATE(A2819, ""en"", ""mt"")"),"Konsum tal-Ħin u l-Memorja")</f>
        <v>Konsum tal-Ħin u l-Memorja</v>
      </c>
    </row>
    <row r="2820" ht="15.75" customHeight="1">
      <c r="A2820" s="2" t="s">
        <v>2820</v>
      </c>
      <c r="B2820" s="2" t="str">
        <f>IFERROR(__xludf.DUMMYFUNCTION("GOOGLETRANSLATE(A2820, ""en"", ""mt"")"),"17-il sena")</f>
        <v>17-il sena</v>
      </c>
    </row>
    <row r="2821" ht="15.75" customHeight="1">
      <c r="A2821" s="2" t="s">
        <v>2821</v>
      </c>
      <c r="B2821" s="2" t="str">
        <f>IFERROR(__xludf.DUMMYFUNCTION("GOOGLETRANSLATE(A2821, ""en"", ""mt"")"),"X'inhu l-korp ġudizzjarju ewlieni attwali tal-UE?")</f>
        <v>X'inhu l-korp ġudizzjarju ewlieni attwali tal-UE?</v>
      </c>
    </row>
    <row r="2822" ht="15.75" customHeight="1">
      <c r="A2822" s="2" t="s">
        <v>2822</v>
      </c>
      <c r="B2822" s="2" t="str">
        <f>IFERROR(__xludf.DUMMYFUNCTION("GOOGLETRANSLATE(A2822, ""en"", ""mt"")"),"Fuq xiex għandu l-livell għoli attwali ta 'popolazzjoni?")</f>
        <v>Fuq xiex għandu l-livell għoli attwali ta 'popolazzjoni?</v>
      </c>
    </row>
    <row r="2823" ht="15.75" customHeight="1">
      <c r="A2823" s="2" t="s">
        <v>2823</v>
      </c>
      <c r="B2823" s="2" t="str">
        <f>IFERROR(__xludf.DUMMYFUNCTION("GOOGLETRANSLATE(A2823, ""en"", ""mt"")"),"kontra l-mard")</f>
        <v>kontra l-mard</v>
      </c>
    </row>
    <row r="2824" ht="15.75" customHeight="1">
      <c r="A2824" s="2" t="s">
        <v>2824</v>
      </c>
      <c r="B2824" s="2" t="str">
        <f>IFERROR(__xludf.DUMMYFUNCTION("GOOGLETRANSLATE(A2824, ""en"", ""mt"")"),"Robert R. Gilruth's")</f>
        <v>Robert R. Gilruth's</v>
      </c>
    </row>
    <row r="2825" ht="15.75" customHeight="1">
      <c r="A2825" s="2" t="s">
        <v>2825</v>
      </c>
      <c r="B2825" s="2" t="str">
        <f>IFERROR(__xludf.DUMMYFUNCTION("GOOGLETRANSLATE(A2825, ""en"", ""mt"")"),"reliġjon mill-politika")</f>
        <v>reliġjon mill-politika</v>
      </c>
    </row>
    <row r="2826" ht="15.75" customHeight="1">
      <c r="A2826" s="2" t="s">
        <v>2826</v>
      </c>
      <c r="B2826" s="2" t="str">
        <f>IFERROR(__xludf.DUMMYFUNCTION("GOOGLETRANSLATE(A2826, ""en"", ""mt"")"),"Meuse")</f>
        <v>Meuse</v>
      </c>
    </row>
    <row r="2827" ht="15.75" customHeight="1">
      <c r="A2827" s="2" t="s">
        <v>2827</v>
      </c>
      <c r="B2827" s="2" t="str">
        <f>IFERROR(__xludf.DUMMYFUNCTION("GOOGLETRANSLATE(A2827, ""en"", ""mt"")"),"Meta l-Kenja saret pajjiż indipendenti?")</f>
        <v>Meta l-Kenja saret pajjiż indipendenti?</v>
      </c>
    </row>
    <row r="2828" ht="15.75" customHeight="1">
      <c r="A2828" s="2" t="s">
        <v>2828</v>
      </c>
      <c r="B2828" s="2" t="str">
        <f>IFERROR(__xludf.DUMMYFUNCTION("GOOGLETRANSLATE(A2828, ""en"", ""mt"")"),"L-ex alleati ta 'missieru, it-Tayichi'ud")</f>
        <v>L-ex alleati ta 'missieru, it-Tayichi'ud</v>
      </c>
    </row>
    <row r="2829" ht="15.75" customHeight="1">
      <c r="A2829" s="2" t="s">
        <v>2829</v>
      </c>
      <c r="B2829" s="2" t="str">
        <f>IFERROR(__xludf.DUMMYFUNCTION("GOOGLETRANSLATE(A2829, ""en"", ""mt"")"),"19")</f>
        <v>19</v>
      </c>
    </row>
    <row r="2830" ht="15.75" customHeight="1">
      <c r="A2830" s="2" t="s">
        <v>2830</v>
      </c>
      <c r="B2830" s="2" t="str">
        <f>IFERROR(__xludf.DUMMYFUNCTION("GOOGLETRANSLATE(A2830, ""en"", ""mt"")"),"11–13 seklu WK")</f>
        <v>11–13 seklu WK</v>
      </c>
    </row>
    <row r="2831" ht="15.75" customHeight="1">
      <c r="A2831" s="2" t="s">
        <v>2831</v>
      </c>
      <c r="B2831" s="2" t="str">
        <f>IFERROR(__xludf.DUMMYFUNCTION("GOOGLETRANSLATE(A2831, ""en"", ""mt"")"),"Librerija Regenstein")</f>
        <v>Librerija Regenstein</v>
      </c>
    </row>
    <row r="2832" ht="15.75" customHeight="1">
      <c r="A2832" s="2" t="s">
        <v>2832</v>
      </c>
      <c r="B2832" s="2" t="str">
        <f>IFERROR(__xludf.DUMMYFUNCTION("GOOGLETRANSLATE(A2832, ""en"", ""mt"")"),"għandhom ikunu appoġġjati minn evidenza xjentifika")</f>
        <v>għandhom ikunu appoġġjati minn evidenza xjentifika</v>
      </c>
    </row>
    <row r="2833" ht="15.75" customHeight="1">
      <c r="A2833" s="2" t="s">
        <v>2833</v>
      </c>
      <c r="B2833" s="2" t="str">
        <f>IFERROR(__xludf.DUMMYFUNCTION("GOOGLETRANSLATE(A2833, ""en"", ""mt"")"),"Sunday Times University of the Year")</f>
        <v>Sunday Times University of the Year</v>
      </c>
    </row>
    <row r="2834" ht="15.75" customHeight="1">
      <c r="A2834" s="2" t="s">
        <v>2834</v>
      </c>
      <c r="B2834" s="2" t="str">
        <f>IFERROR(__xludf.DUMMYFUNCTION("GOOGLETRANSLATE(A2834, ""en"", ""mt"")"),"telimina l-pożizzjoni tal-Prim Ministru")</f>
        <v>telimina l-pożizzjoni tal-Prim Ministru</v>
      </c>
    </row>
    <row r="2835" ht="15.75" customHeight="1">
      <c r="A2835" s="2" t="s">
        <v>2835</v>
      </c>
      <c r="B2835" s="2" t="str">
        <f>IFERROR(__xludf.DUMMYFUNCTION("GOOGLETRANSLATE(A2835, ""en"", ""mt"")"),"X'inhu involut f'reviżjoni ta 'mediċini preskritti?")</f>
        <v>X'inhu involut f'reviżjoni ta 'mediċini preskritti?</v>
      </c>
    </row>
    <row r="2836" ht="15.75" customHeight="1">
      <c r="A2836" s="2" t="s">
        <v>2836</v>
      </c>
      <c r="B2836" s="2" t="str">
        <f>IFERROR(__xludf.DUMMYFUNCTION("GOOGLETRANSLATE(A2836, ""en"", ""mt"")"),"ir-relazzjoni bejn l-għalliema u t-tfal")</f>
        <v>ir-relazzjoni bejn l-għalliema u t-tfal</v>
      </c>
    </row>
    <row r="2837" ht="15.75" customHeight="1">
      <c r="A2837" s="2" t="s">
        <v>2837</v>
      </c>
      <c r="B2837" s="2" t="str">
        <f>IFERROR(__xludf.DUMMYFUNCTION("GOOGLETRANSLATE(A2837, ""en"", ""mt"")"),"4.7")</f>
        <v>4.7</v>
      </c>
    </row>
    <row r="2838" ht="15.75" customHeight="1">
      <c r="A2838" s="2" t="s">
        <v>2838</v>
      </c>
      <c r="B2838" s="2" t="str">
        <f>IFERROR(__xludf.DUMMYFUNCTION("GOOGLETRANSLATE(A2838, ""en"", ""mt"")"),"L-antiġeni MHC fuq ċelloli normali tal-ġisem huma rikonoxxuti minn liema riċettur fuq ċelloli NK?")</f>
        <v>L-antiġeni MHC fuq ċelloli normali tal-ġisem huma rikonoxxuti minn liema riċettur fuq ċelloli NK?</v>
      </c>
    </row>
    <row r="2839" ht="15.75" customHeight="1">
      <c r="A2839" s="2" t="s">
        <v>2839</v>
      </c>
      <c r="B2839" s="2" t="str">
        <f>IFERROR(__xludf.DUMMYFUNCTION("GOOGLETRANSLATE(A2839, ""en"", ""mt"")"),"X’kienet it-Taliban li jissuġġetta lill-pajjiż kollu?")</f>
        <v>X’kienet it-Taliban li jissuġġetta lill-pajjiż kollu?</v>
      </c>
    </row>
    <row r="2840" ht="15.75" customHeight="1">
      <c r="A2840" s="2" t="s">
        <v>2840</v>
      </c>
      <c r="B2840" s="2" t="str">
        <f>IFERROR(__xludf.DUMMYFUNCTION("GOOGLETRANSLATE(A2840, ""en"", ""mt"")"),"il-kaptan")</f>
        <v>il-kaptan</v>
      </c>
    </row>
    <row r="2841" ht="15.75" customHeight="1">
      <c r="A2841" s="2" t="s">
        <v>2841</v>
      </c>
      <c r="B2841" s="2" t="str">
        <f>IFERROR(__xludf.DUMMYFUNCTION("GOOGLETRANSLATE(A2841, ""en"", ""mt"")"),"Ħwejjeġ ta 'kuljum minn eras preċedenti ġeneralment ma baqgħux ħajjin")</f>
        <v>Ħwejjeġ ta 'kuljum minn eras preċedenti ġeneralment ma baqgħux ħajjin</v>
      </c>
    </row>
    <row r="2842" ht="15.75" customHeight="1">
      <c r="A2842" s="2" t="s">
        <v>2842</v>
      </c>
      <c r="B2842" s="2" t="str">
        <f>IFERROR(__xludf.DUMMYFUNCTION("GOOGLETRANSLATE(A2842, ""en"", ""mt"")"),"66–34")</f>
        <v>66–34</v>
      </c>
    </row>
    <row r="2843" ht="15.75" customHeight="1">
      <c r="A2843" s="2" t="s">
        <v>2843</v>
      </c>
      <c r="B2843" s="2" t="str">
        <f>IFERROR(__xludf.DUMMYFUNCTION("GOOGLETRANSLATE(A2843, ""en"", ""mt"")"),"mibegħda moderna lejn il-Lhud")</f>
        <v>mibegħda moderna lejn il-Lhud</v>
      </c>
    </row>
    <row r="2844" ht="15.75" customHeight="1">
      <c r="A2844" s="2" t="s">
        <v>2844</v>
      </c>
      <c r="B2844" s="2" t="str">
        <f>IFERROR(__xludf.DUMMYFUNCTION("GOOGLETRANSLATE(A2844, ""en"", ""mt"")"),"Il-kuluri brillanti tagħhom kultant jwarrbu l-aħdar tal-klorofilla")</f>
        <v>Il-kuluri brillanti tagħhom kultant jwarrbu l-aħdar tal-klorofilla</v>
      </c>
    </row>
    <row r="2845" ht="15.75" customHeight="1">
      <c r="A2845" s="2" t="s">
        <v>2845</v>
      </c>
      <c r="B2845" s="2" t="str">
        <f>IFERROR(__xludf.DUMMYFUNCTION("GOOGLETRANSLATE(A2845, ""en"", ""mt"")"),"Min minbarra Woodrow Wilson innifsu kellu l-idea għall-inkjesta?")</f>
        <v>Min minbarra Woodrow Wilson innifsu kellu l-idea għall-inkjesta?</v>
      </c>
    </row>
    <row r="2846" ht="15.75" customHeight="1">
      <c r="A2846" s="2" t="s">
        <v>2846</v>
      </c>
      <c r="B2846" s="2" t="str">
        <f>IFERROR(__xludf.DUMMYFUNCTION("GOOGLETRANSLATE(A2846, ""en"", ""mt"")"),"X'toffri Franza li kienet rari mill-istandards imperjali?")</f>
        <v>X'toffri Franza li kienet rari mill-istandards imperjali?</v>
      </c>
    </row>
    <row r="2847" ht="15.75" customHeight="1">
      <c r="A2847" s="2" t="s">
        <v>2847</v>
      </c>
      <c r="B2847" s="2" t="str">
        <f>IFERROR(__xludf.DUMMYFUNCTION("GOOGLETRANSLATE(A2847, ""en"", ""mt"")"),"In-negozju ppermetta lill-kumpaniji privati ​​jagħmlu dak")</f>
        <v>In-negozju ppermetta lill-kumpaniji privati ​​jagħmlu dak</v>
      </c>
    </row>
    <row r="2848" ht="15.75" customHeight="1">
      <c r="A2848" s="2" t="s">
        <v>2848</v>
      </c>
      <c r="B2848" s="2" t="str">
        <f>IFERROR(__xludf.DUMMYFUNCTION("GOOGLETRANSLATE(A2848, ""en"", ""mt"")"),"karbonat tas-sodju u karbonat tal-potassju")</f>
        <v>karbonat tas-sodju u karbonat tal-potassju</v>
      </c>
    </row>
    <row r="2849" ht="15.75" customHeight="1">
      <c r="A2849" s="2" t="s">
        <v>2849</v>
      </c>
      <c r="B2849" s="2" t="str">
        <f>IFERROR(__xludf.DUMMYFUNCTION("GOOGLETRANSLATE(A2849, ""en"", ""mt"")"),"Kemm hemm oġġetti permanenti hemm?")</f>
        <v>Kemm hemm oġġetti permanenti hemm?</v>
      </c>
    </row>
    <row r="2850" ht="15.75" customHeight="1">
      <c r="A2850" s="2" t="s">
        <v>2850</v>
      </c>
      <c r="B2850" s="2" t="str">
        <f>IFERROR(__xludf.DUMMYFUNCTION("GOOGLETRANSLATE(A2850, ""en"", ""mt"")"),"Liema fluwidu tax-xogħol jintuża fit-turbina tal-fwar tal-merkurju?")</f>
        <v>Liema fluwidu tax-xogħol jintuża fit-turbina tal-fwar tal-merkurju?</v>
      </c>
    </row>
    <row r="2851" ht="15.75" customHeight="1">
      <c r="A2851" s="2" t="s">
        <v>2851</v>
      </c>
      <c r="B2851" s="2" t="str">
        <f>IFERROR(__xludf.DUMMYFUNCTION("GOOGLETRANSLATE(A2851, ""en"", ""mt"")"),"NASA's")</f>
        <v>NASA's</v>
      </c>
    </row>
    <row r="2852" ht="15.75" customHeight="1">
      <c r="A2852" s="2" t="s">
        <v>2852</v>
      </c>
      <c r="B2852" s="2" t="str">
        <f>IFERROR(__xludf.DUMMYFUNCTION("GOOGLETRANSLATE(A2852, ""en"", ""mt"")"),"Kienet ikkunsidrata bidla kostituzzjonali li telimina l-pożizzjoni tal-Prim Ministru u fl-istess ħin tnaqqas il-poteri tal-president. Referendum biex jivvota fuq il-Kostituzzjoni proposta sar fl-4 ta 'Awwissu 2010, u l-kostituzzjoni l-ġdida għaddiet minn "&amp;"marġni wiesa'. Fost affarijiet oħra, il-Kostituzzjoni l-ġdida tiddelega aktar setgħa lill-gvernijiet lokali u tagħti lill-Kenyans Abbozz tad-Drittijiet. Ġie promulgat fis-27 ta 'Awwissu 2010 f'ċerimonja ewforika fil-Park Uhuru ta' Nairobi, akkumpanjat min"&amp;"n salut ta '21 gun. L-avveniment attendew diversi mexxejja Afrikani u mfaħħra mill-komunità internazzjonali. Minn dak in-nhar, il-kostituzzjoni l-ġdida li tħabbar it-tieni repubblika daħlet fis-seħħ.")</f>
        <v>Kienet ikkunsidrata bidla kostituzzjonali li telimina l-pożizzjoni tal-Prim Ministru u fl-istess ħin tnaqqas il-poteri tal-president. Referendum biex jivvota fuq il-Kostituzzjoni proposta sar fl-4 ta 'Awwissu 2010, u l-kostituzzjoni l-ġdida għaddiet minn marġni wiesa'. Fost affarijiet oħra, il-Kostituzzjoni l-ġdida tiddelega aktar setgħa lill-gvernijiet lokali u tagħti lill-Kenyans Abbozz tad-Drittijiet. Ġie promulgat fis-27 ta 'Awwissu 2010 f'ċerimonja ewforika fil-Park Uhuru ta' Nairobi, akkumpanjat minn salut ta '21 gun. L-avveniment attendew diversi mexxejja Afrikani u mfaħħra mill-komunità internazzjonali. Minn dak in-nhar, il-kostituzzjoni l-ġdida li tħabbar it-tieni repubblika daħlet fis-seħħ.</v>
      </c>
    </row>
    <row r="2853" ht="15.75" customHeight="1">
      <c r="A2853" s="2" t="s">
        <v>2853</v>
      </c>
      <c r="B2853" s="2" t="str">
        <f>IFERROR(__xludf.DUMMYFUNCTION("GOOGLETRANSLATE(A2853, ""en"", ""mt"")"),"Ġerusalemm")</f>
        <v>Ġerusalemm</v>
      </c>
    </row>
    <row r="2854" ht="15.75" customHeight="1">
      <c r="A2854" s="2" t="s">
        <v>2854</v>
      </c>
      <c r="B2854" s="2" t="str">
        <f>IFERROR(__xludf.DUMMYFUNCTION("GOOGLETRANSLATE(A2854, ""en"", ""mt"")"),"MHC waħda: molekula tal-antiġen")</f>
        <v>MHC waħda: molekula tal-antiġen</v>
      </c>
    </row>
    <row r="2855" ht="15.75" customHeight="1">
      <c r="A2855" s="2" t="s">
        <v>2855</v>
      </c>
      <c r="B2855" s="2" t="str">
        <f>IFERROR(__xludf.DUMMYFUNCTION("GOOGLETRANSLATE(A2855, ""en"", ""mt"")"),"C1110")</f>
        <v>C1110</v>
      </c>
    </row>
    <row r="2856" ht="15.75" customHeight="1">
      <c r="A2856" s="2" t="s">
        <v>2856</v>
      </c>
      <c r="B2856" s="2" t="str">
        <f>IFERROR(__xludf.DUMMYFUNCTION("GOOGLETRANSLATE(A2856, ""en"", ""mt"")"),"Liema pajjiż fl-1985 iffirma trattat biex jagħtih status speċjali?")</f>
        <v>Liema pajjiż fl-1985 iffirma trattat biex jagħtih status speċjali?</v>
      </c>
    </row>
    <row r="2857" ht="15.75" customHeight="1">
      <c r="A2857" s="2" t="s">
        <v>2857</v>
      </c>
      <c r="B2857" s="2" t="str">
        <f>IFERROR(__xludf.DUMMYFUNCTION("GOOGLETRANSLATE(A2857, ""en"", ""mt"")"),"Ulaanbaatar")</f>
        <v>Ulaanbaatar</v>
      </c>
    </row>
    <row r="2858" ht="15.75" customHeight="1">
      <c r="A2858" s="2" t="s">
        <v>2858</v>
      </c>
      <c r="B2858" s="2" t="str">
        <f>IFERROR(__xludf.DUMMYFUNCTION("GOOGLETRANSLATE(A2858, ""en"", ""mt"")"),"L-1940s")</f>
        <v>L-1940s</v>
      </c>
    </row>
    <row r="2859" ht="15.75" customHeight="1">
      <c r="A2859" s="2" t="s">
        <v>2859</v>
      </c>
      <c r="B2859" s="2" t="str">
        <f>IFERROR(__xludf.DUMMYFUNCTION("GOOGLETRANSLATE(A2859, ""en"", ""mt"")"),"Tnejn mill-ispedizzjonijiet kellhom suċċess, ma 'Fort Duquesne u Louisbourg")</f>
        <v>Tnejn mill-ispedizzjonijiet kellhom suċċess, ma 'Fort Duquesne u Louisbourg</v>
      </c>
    </row>
    <row r="2860" ht="15.75" customHeight="1">
      <c r="A2860" s="2" t="s">
        <v>2860</v>
      </c>
      <c r="B2860" s="2" t="str">
        <f>IFERROR(__xludf.DUMMYFUNCTION("GOOGLETRANSLATE(A2860, ""en"", ""mt"")"),"Minn dak li kien jaħseb Da Vinci li parti ġiet ikkunsmata waqt il-kombustjoni?")</f>
        <v>Minn dak li kien jaħseb Da Vinci li parti ġiet ikkunsmata waqt il-kombustjoni?</v>
      </c>
    </row>
    <row r="2861" ht="15.75" customHeight="1">
      <c r="A2861" s="2" t="s">
        <v>2861</v>
      </c>
      <c r="B2861" s="2" t="str">
        <f>IFERROR(__xludf.DUMMYFUNCTION("GOOGLETRANSLATE(A2861, ""en"", ""mt"")"),"Kanali HD u vidjow fuq talba")</f>
        <v>Kanali HD u vidjow fuq talba</v>
      </c>
    </row>
    <row r="2862" ht="15.75" customHeight="1">
      <c r="A2862" s="2" t="s">
        <v>2862</v>
      </c>
      <c r="B2862" s="2" t="str">
        <f>IFERROR(__xludf.DUMMYFUNCTION("GOOGLETRANSLATE(A2862, ""en"", ""mt"")"),"Liema denominazzjoni topera l-Kulleġġ ta 'San Ġużepp?")</f>
        <v>Liema denominazzjoni topera l-Kulleġġ ta 'San Ġużepp?</v>
      </c>
    </row>
    <row r="2863" ht="15.75" customHeight="1">
      <c r="A2863" s="2" t="s">
        <v>2863</v>
      </c>
      <c r="B2863" s="2" t="str">
        <f>IFERROR(__xludf.DUMMYFUNCTION("GOOGLETRANSLATE(A2863, ""en"", ""mt"")"),"50–140 cm")</f>
        <v>50–140 cm</v>
      </c>
    </row>
    <row r="2864" ht="15.75" customHeight="1">
      <c r="A2864" s="2" t="s">
        <v>2864</v>
      </c>
      <c r="B2864" s="2" t="str">
        <f>IFERROR(__xludf.DUMMYFUNCTION("GOOGLETRANSLATE(A2864, ""en"", ""mt"")"),"X’inkiseb art meta sofra n-nazzjonaliżmu Għarbi?")</f>
        <v>X’inkiseb art meta sofra n-nazzjonaliżmu Għarbi?</v>
      </c>
    </row>
    <row r="2865" ht="15.75" customHeight="1">
      <c r="A2865" s="2" t="s">
        <v>2865</v>
      </c>
      <c r="B2865" s="2" t="str">
        <f>IFERROR(__xludf.DUMMYFUNCTION("GOOGLETRANSLATE(A2865, ""en"", ""mt"")"),"Kif jiġu ppeżati l-voti biex jiżguraw li stati iżgħar ma jkunux iddominati minn dawk ikbar?")</f>
        <v>Kif jiġu ppeżati l-voti biex jiżguraw li stati iżgħar ma jkunux iddominati minn dawk ikbar?</v>
      </c>
    </row>
    <row r="2866" ht="15.75" customHeight="1">
      <c r="A2866" s="2" t="s">
        <v>2866</v>
      </c>
      <c r="B2866" s="2" t="str">
        <f>IFERROR(__xludf.DUMMYFUNCTION("GOOGLETRANSLATE(A2866, ""en"", ""mt"")"),"Liema organizzazzjoni kienet immexxija minn Hasan al-Hudaybi?")</f>
        <v>Liema organizzazzjoni kienet immexxija minn Hasan al-Hudaybi?</v>
      </c>
    </row>
    <row r="2867" ht="15.75" customHeight="1">
      <c r="A2867" s="2" t="s">
        <v>2867</v>
      </c>
      <c r="B2867" s="2" t="str">
        <f>IFERROR(__xludf.DUMMYFUNCTION("GOOGLETRANSLATE(A2867, ""en"", ""mt"")"),"X'għandhom Ctenophores li m'għandhom l-ebda annimali oħra?")</f>
        <v>X'għandhom Ctenophores li m'għandhom l-ebda annimali oħra?</v>
      </c>
    </row>
    <row r="2868" ht="15.75" customHeight="1">
      <c r="A2868" s="2" t="s">
        <v>2868</v>
      </c>
      <c r="B2868" s="2" t="str">
        <f>IFERROR(__xludf.DUMMYFUNCTION("GOOGLETRANSLATE(A2868, ""en"", ""mt"")"),"Ċentru tax-xiri")</f>
        <v>Ċentru tax-xiri</v>
      </c>
    </row>
    <row r="2869" ht="15.75" customHeight="1">
      <c r="A2869" s="2" t="s">
        <v>2869</v>
      </c>
      <c r="B2869" s="2" t="str">
        <f>IFERROR(__xludf.DUMMYFUNCTION("GOOGLETRANSLATE(A2869, ""en"", ""mt"")"),"Fi żminijiet imgħoddija, il-kastig korporali (spanking jew paddling jew bott jew strapping jew li jdaħħal l-istudent sabiex jikkawża uġigħ fiżiku) kienet waħda mill-aktar forom komuni ta 'dixxiplina tal-iskola matul ħafna mid-dinja. Il-biċċa l-kbira tal-p"&amp;"ajjiżi tal-Punent, u xi oħrajn, issa pprojbixxewha, iżda tibqa 'legali fl-Istati Uniti wara deċiżjoni tal-Qorti Suprema ta' l-Istati Uniti fl-1977 li ddeċidiet li l-paddling ma kiserx il-Kostituzzjoni ta 'l-Istati Uniti.")</f>
        <v>Fi żminijiet imgħoddija, il-kastig korporali (spanking jew paddling jew bott jew strapping jew li jdaħħal l-istudent sabiex jikkawża uġigħ fiżiku) kienet waħda mill-aktar forom komuni ta 'dixxiplina tal-iskola matul ħafna mid-dinja. Il-biċċa l-kbira tal-pajjiżi tal-Punent, u xi oħrajn, issa pprojbixxewha, iżda tibqa 'legali fl-Istati Uniti wara deċiżjoni tal-Qorti Suprema ta' l-Istati Uniti fl-1977 li ddeċidiet li l-paddling ma kiserx il-Kostituzzjoni ta 'l-Istati Uniti.</v>
      </c>
    </row>
    <row r="2870" ht="15.75" customHeight="1">
      <c r="A2870" s="2" t="s">
        <v>2870</v>
      </c>
      <c r="B2870" s="2" t="str">
        <f>IFERROR(__xludf.DUMMYFUNCTION("GOOGLETRANSLATE(A2870, ""en"", ""mt"")"),"F'liema sena deher l-għaxar tabib fis-serje Sarah Jane?")</f>
        <v>F'liema sena deher l-għaxar tabib fis-serje Sarah Jane?</v>
      </c>
    </row>
    <row r="2871" ht="15.75" customHeight="1">
      <c r="A2871" s="2" t="s">
        <v>2871</v>
      </c>
      <c r="B2871" s="2" t="str">
        <f>IFERROR(__xludf.DUMMYFUNCTION("GOOGLETRANSLATE(A2871, ""en"", ""mt"")"),"Hemm database pubblika ta 'epitopi għal patoġeni magħrufa li huma rikonoxxibbli minn liema ċelloli?")</f>
        <v>Hemm database pubblika ta 'epitopi għal patoġeni magħrufa li huma rikonoxxibbli minn liema ċelloli?</v>
      </c>
    </row>
    <row r="2872" ht="15.75" customHeight="1">
      <c r="A2872" s="2" t="s">
        <v>2872</v>
      </c>
      <c r="B2872" s="2" t="str">
        <f>IFERROR(__xludf.DUMMYFUNCTION("GOOGLETRANSLATE(A2872, ""en"", ""mt"")"),"tirrifjuta li tieħu impenn")</f>
        <v>tirrifjuta li tieħu impenn</v>
      </c>
    </row>
    <row r="2873" ht="15.75" customHeight="1">
      <c r="A2873" s="2" t="s">
        <v>2873</v>
      </c>
      <c r="B2873" s="2" t="str">
        <f>IFERROR(__xludf.DUMMYFUNCTION("GOOGLETRANSLATE(A2873, ""en"", ""mt"")"),"25 minuta")</f>
        <v>25 minuta</v>
      </c>
    </row>
    <row r="2874" ht="15.75" customHeight="1">
      <c r="A2874" s="2" t="s">
        <v>2874</v>
      </c>
      <c r="B2874" s="2" t="str">
        <f>IFERROR(__xludf.DUMMYFUNCTION("GOOGLETRANSLATE(A2874, ""en"", ""mt"")"),"Tħeġġeġ kunsens fost il-membri eletti")</f>
        <v>Tħeġġeġ kunsens fost il-membri eletti</v>
      </c>
    </row>
    <row r="2875" ht="15.75" customHeight="1">
      <c r="A2875" s="2" t="s">
        <v>2875</v>
      </c>
      <c r="B2875" s="2" t="str">
        <f>IFERROR(__xludf.DUMMYFUNCTION("GOOGLETRANSLATE(A2875, ""en"", ""mt"")"),"Jumonville Glen")</f>
        <v>Jumonville Glen</v>
      </c>
    </row>
    <row r="2876" ht="15.75" customHeight="1">
      <c r="A2876" s="2" t="s">
        <v>2876</v>
      </c>
      <c r="B2876" s="2" t="str">
        <f>IFERROR(__xludf.DUMMYFUNCTION("GOOGLETRANSLATE(A2876, ""en"", ""mt"")"),"Liema kumitat għandu s-setgħa esklussiva li jistabbilixxi s-salarji tar-ragħajja?")</f>
        <v>Liema kumitat għandu s-setgħa esklussiva li jistabbilixxi s-salarji tar-ragħajja?</v>
      </c>
    </row>
    <row r="2877" ht="15.75" customHeight="1">
      <c r="A2877" s="2" t="s">
        <v>2877</v>
      </c>
      <c r="B2877" s="2" t="str">
        <f>IFERROR(__xludf.DUMMYFUNCTION("GOOGLETRANSLATE(A2877, ""en"", ""mt"")"),"fotolisi ta 'l-ożonu bid-dawl ta' tul ta 'mewġa qasir")</f>
        <v>fotolisi ta 'l-ożonu bid-dawl ta' tul ta 'mewġa qasir</v>
      </c>
    </row>
    <row r="2878" ht="15.75" customHeight="1">
      <c r="A2878" s="2" t="s">
        <v>2878</v>
      </c>
      <c r="B2878" s="2" t="str">
        <f>IFERROR(__xludf.DUMMYFUNCTION("GOOGLETRANSLATE(A2878, ""en"", ""mt"")"),"April 1970")</f>
        <v>April 1970</v>
      </c>
    </row>
    <row r="2879" ht="15.75" customHeight="1">
      <c r="A2879" s="2" t="s">
        <v>2879</v>
      </c>
      <c r="B2879" s="2" t="str">
        <f>IFERROR(__xludf.DUMMYFUNCTION("GOOGLETRANSLATE(A2879, ""en"", ""mt"")"),"X'kien eżempju wieħed ta 'pittura mhux Franċiża kien inkluż fil-Bequest ta' Jones ta 'l-1882?")</f>
        <v>X'kien eżempju wieħed ta 'pittura mhux Franċiża kien inkluż fil-Bequest ta' Jones ta 'l-1882?</v>
      </c>
    </row>
    <row r="2880" ht="15.75" customHeight="1">
      <c r="A2880" s="2" t="s">
        <v>2880</v>
      </c>
      <c r="B2880" s="2" t="str">
        <f>IFERROR(__xludf.DUMMYFUNCTION("GOOGLETRANSLATE(A2880, ""en"", ""mt"")"),"Liema sonda lunari kienet ħdejn is-sit tal-inżul tal-ekwipaġġ Apollo 12?")</f>
        <v>Liema sonda lunari kienet ħdejn is-sit tal-inżul tal-ekwipaġġ Apollo 12?</v>
      </c>
    </row>
    <row r="2881" ht="15.75" customHeight="1">
      <c r="A2881" s="2" t="s">
        <v>2881</v>
      </c>
      <c r="B2881" s="2" t="str">
        <f>IFERROR(__xludf.DUMMYFUNCTION("GOOGLETRANSLATE(A2881, ""en"", ""mt"")"),"Cosgrove Hall")</f>
        <v>Cosgrove Hall</v>
      </c>
    </row>
    <row r="2882" ht="15.75" customHeight="1">
      <c r="A2882" s="2" t="s">
        <v>2882</v>
      </c>
      <c r="B2882" s="2" t="str">
        <f>IFERROR(__xludf.DUMMYFUNCTION("GOOGLETRANSLATE(A2882, ""en"", ""mt"")"),"28 ta 'Novembru, 1995")</f>
        <v>28 ta 'Novembru, 1995</v>
      </c>
    </row>
    <row r="2883" ht="15.75" customHeight="1">
      <c r="A2883" s="2" t="s">
        <v>2883</v>
      </c>
      <c r="B2883" s="2" t="str">
        <f>IFERROR(__xludf.DUMMYFUNCTION("GOOGLETRANSLATE(A2883, ""en"", ""mt"")"),"X'kienet l-ewwel vettura spazjali biex orbita korp ċelesti ieħor?")</f>
        <v>X'kienet l-ewwel vettura spazjali biex orbita korp ċelesti ieħor?</v>
      </c>
    </row>
    <row r="2884" ht="15.75" customHeight="1">
      <c r="A2884" s="2" t="s">
        <v>2884</v>
      </c>
      <c r="B2884" s="2" t="str">
        <f>IFERROR(__xludf.DUMMYFUNCTION("GOOGLETRANSLATE(A2884, ""en"", ""mt"")"),"B'liema isem ġew magħrufa l-""allegatament riformati""?")</f>
        <v>B'liema isem ġew magħrufa l-"allegatament riformati"?</v>
      </c>
    </row>
    <row r="2885" ht="15.75" customHeight="1">
      <c r="A2885" s="2" t="s">
        <v>2885</v>
      </c>
      <c r="B2885" s="2" t="str">
        <f>IFERROR(__xludf.DUMMYFUNCTION("GOOGLETRANSLATE(A2885, ""en"", ""mt"")"),"Liema ktieb huwa rivedut wara kull konferenza ġenerali?")</f>
        <v>Liema ktieb huwa rivedut wara kull konferenza ġenerali?</v>
      </c>
    </row>
    <row r="2886" ht="15.75" customHeight="1">
      <c r="A2886" s="2" t="s">
        <v>2886</v>
      </c>
      <c r="B2886" s="2" t="str">
        <f>IFERROR(__xludf.DUMMYFUNCTION("GOOGLETRANSLATE(A2886, ""en"", ""mt"")"),"Liema knisja parrokkjali fi Newcastle hija tipikament miftiehma li tkun l-eqdem waħda fil-belt?")</f>
        <v>Liema knisja parrokkjali fi Newcastle hija tipikament miftiehma li tkun l-eqdem waħda fil-belt?</v>
      </c>
    </row>
    <row r="2887" ht="15.75" customHeight="1">
      <c r="A2887" s="2" t="s">
        <v>2887</v>
      </c>
      <c r="B2887" s="2" t="str">
        <f>IFERROR(__xludf.DUMMYFUNCTION("GOOGLETRANSLATE(A2887, ""en"", ""mt"")"),"virus tad-deni isfar")</f>
        <v>virus tad-deni isfar</v>
      </c>
    </row>
    <row r="2888" ht="15.75" customHeight="1">
      <c r="A2888" s="2" t="s">
        <v>2888</v>
      </c>
      <c r="B2888" s="2" t="str">
        <f>IFERROR(__xludf.DUMMYFUNCTION("GOOGLETRANSLATE(A2888, ""en"", ""mt"")"),"tistabbilixxi, tgħammar, tmexxi u żżomm libreriji nazzjonali u pubbliċi fil-pajjiż")</f>
        <v>tistabbilixxi, tgħammar, tmexxi u żżomm libreriji nazzjonali u pubbliċi fil-pajjiż</v>
      </c>
    </row>
    <row r="2889" ht="15.75" customHeight="1">
      <c r="A2889" s="2" t="s">
        <v>2889</v>
      </c>
      <c r="B2889" s="2" t="str">
        <f>IFERROR(__xludf.DUMMYFUNCTION("GOOGLETRANSLATE(A2889, ""en"", ""mt"")"),"Meta l-Papa Leo x Excommunicate Luther?")</f>
        <v>Meta l-Papa Leo x Excommunicate Luther?</v>
      </c>
    </row>
    <row r="2890" ht="15.75" customHeight="1">
      <c r="A2890" s="2" t="s">
        <v>2890</v>
      </c>
      <c r="B2890" s="2" t="str">
        <f>IFERROR(__xludf.DUMMYFUNCTION("GOOGLETRANSLATE(A2890, ""en"", ""mt"")"),"Minn xiex kien jaħseb li Luther ma setgħetx tinftiehem?")</f>
        <v>Minn xiex kien jaħseb li Luther ma setgħetx tinftiehem?</v>
      </c>
    </row>
    <row r="2891" ht="15.75" customHeight="1">
      <c r="A2891" s="2" t="s">
        <v>2891</v>
      </c>
      <c r="B2891" s="2" t="str">
        <f>IFERROR(__xludf.DUMMYFUNCTION("GOOGLETRANSLATE(A2891, ""en"", ""mt"")"),"Fir-rebbiegħa tal-1753, Paul Marin de la Malgue ingħata kmand ta ’forza ta’ 2,000 raġel ta ’truppi de la Marine u Indjani. L-ordnijiet tiegħu kienu li jipproteġu l-art tar-re fil-Wied ta 'Ohio mill-Ingliżi. Marin segwa r-rotta li Céloron kien fassal erba "&amp;"'snin qabel, iżda fejn Céloron kien illimita r-rekord tat-talbiet Franċiżi għad-difna ta' pjanċi taċ-ċomb, Marin mibni u forts garrisoned. Huwa l-ewwel bena Fort Presque Isle (ħdejn Erie tal-lum, Pennsylvania) fuq ix-Xatt tan-Nofsinhar tal-Lag Erie. Kellu"&amp;" triq mibnija lejn il-headwaters ta ’Leboeuf Creek. Marin bena t-tieni Fort fil-Fort Le Boeuf (preżenti Waterford, Pennsylvania), iddisinjat biex jgħasses il-headwaters ta 'Leboeuf Creek. Hekk kif mexa lejn in-nofsinhar, huwa saq jew qabad negozjanti Ingl"&amp;"iżi, allarmanti kemm lill-Ingliżi kif ukoll lill-Iroquois. Tanaghrisson, kap tal-Mingo, li kienu fdalijiet ta 'Iroquois u tribujiet oħra li kienu mmexxija lejn il-punent minn espansjoni kolonjali. Huwa ma qagħadx b'mod intensiv lill-Franċiżi (li huwa akku"&amp;"żat li qatel u jiekol lil missieru). Jivvjaġġa lejn Fort Le Boeuf, huwa hedded lill-Franċiżi b'azzjoni militari, li Marin ċaħad b'mod dispreġġjattiv.")</f>
        <v>Fir-rebbiegħa tal-1753, Paul Marin de la Malgue ingħata kmand ta ’forza ta’ 2,000 raġel ta ’truppi de la Marine u Indjani. L-ordnijiet tiegħu kienu li jipproteġu l-art tar-re fil-Wied ta 'Ohio mill-Ingliżi. Marin segwa r-rotta li Céloron kien fassal erba 'snin qabel, iżda fejn Céloron kien illimita r-rekord tat-talbiet Franċiżi għad-difna ta' pjanċi taċ-ċomb, Marin mibni u forts garrisoned. Huwa l-ewwel bena Fort Presque Isle (ħdejn Erie tal-lum, Pennsylvania) fuq ix-Xatt tan-Nofsinhar tal-Lag Erie. Kellu triq mibnija lejn il-headwaters ta ’Leboeuf Creek. Marin bena t-tieni Fort fil-Fort Le Boeuf (preżenti Waterford, Pennsylvania), iddisinjat biex jgħasses il-headwaters ta 'Leboeuf Creek. Hekk kif mexa lejn in-nofsinhar, huwa saq jew qabad negozjanti Ingliżi, allarmanti kemm lill-Ingliżi kif ukoll lill-Iroquois. Tanaghrisson, kap tal-Mingo, li kienu fdalijiet ta 'Iroquois u tribujiet oħra li kienu mmexxija lejn il-punent minn espansjoni kolonjali. Huwa ma qagħadx b'mod intensiv lill-Franċiżi (li huwa akkużat li qatel u jiekol lil missieru). Jivvjaġġa lejn Fort Le Boeuf, huwa hedded lill-Franċiżi b'azzjoni militari, li Marin ċaħad b'mod dispreġġjattiv.</v>
      </c>
    </row>
    <row r="2892" ht="15.75" customHeight="1">
      <c r="A2892" s="2" t="s">
        <v>2892</v>
      </c>
      <c r="B2892" s="2" t="str">
        <f>IFERROR(__xludf.DUMMYFUNCTION("GOOGLETRANSLATE(A2892, ""en"", ""mt"")"),"Min qal Martin Luther kien il-granter waħdu tal-maħfra?")</f>
        <v>Min qal Martin Luther kien il-granter waħdu tal-maħfra?</v>
      </c>
    </row>
    <row r="2893" ht="15.75" customHeight="1">
      <c r="A2893" s="2" t="s">
        <v>2893</v>
      </c>
      <c r="B2893" s="2" t="str">
        <f>IFERROR(__xludf.DUMMYFUNCTION("GOOGLETRANSLATE(A2893, ""en"", ""mt"")"),"Celeron kif kien jieħu ħsieb in-negozju fuq il-vjaġġ?")</f>
        <v>Celeron kif kien jieħu ħsieb in-negozju fuq il-vjaġġ?</v>
      </c>
    </row>
    <row r="2894" ht="15.75" customHeight="1">
      <c r="A2894" s="2" t="s">
        <v>2894</v>
      </c>
      <c r="B2894" s="2" t="str">
        <f>IFERROR(__xludf.DUMMYFUNCTION("GOOGLETRANSLATE(A2894, ""en"", ""mt"")"),"n = 4")</f>
        <v>n = 4</v>
      </c>
    </row>
    <row r="2895" ht="15.75" customHeight="1">
      <c r="A2895" s="2" t="s">
        <v>2895</v>
      </c>
      <c r="B2895" s="2" t="str">
        <f>IFERROR(__xludf.DUMMYFUNCTION("GOOGLETRANSLATE(A2895, ""en"", ""mt"")"),"Id-Delegazzjoni Amerikana mill-Konferenza tal-Paċi ta ’Pariġi")</f>
        <v>Id-Delegazzjoni Amerikana mill-Konferenza tal-Paċi ta ’Pariġi</v>
      </c>
    </row>
    <row r="2896" ht="15.75" customHeight="1">
      <c r="A2896" s="2" t="s">
        <v>2896</v>
      </c>
      <c r="B2896" s="2" t="str">
        <f>IFERROR(__xludf.DUMMYFUNCTION("GOOGLETRANSLATE(A2896, ""en"", ""mt"")"),"Liema belt hija l-iktar popolata f'Kalifornja?")</f>
        <v>Liema belt hija l-iktar popolata f'Kalifornja?</v>
      </c>
    </row>
    <row r="2897" ht="15.75" customHeight="1">
      <c r="A2897" s="2" t="s">
        <v>2897</v>
      </c>
      <c r="B2897" s="2" t="str">
        <f>IFERROR(__xludf.DUMMYFUNCTION("GOOGLETRANSLATE(A2897, ""en"", ""mt"")"),"Min ħa ritorn ta '61 -yard meta l-plejers ħasbu li talab għal qabda ġusta imma ma?")</f>
        <v>Min ħa ritorn ta '61 -yard meta l-plejers ħasbu li talab għal qabda ġusta imma ma?</v>
      </c>
    </row>
    <row r="2898" ht="15.75" customHeight="1">
      <c r="A2898" s="2" t="s">
        <v>2898</v>
      </c>
      <c r="B2898" s="2" t="str">
        <f>IFERROR(__xludf.DUMMYFUNCTION("GOOGLETRANSLATE(A2898, ""en"", ""mt"")"),"Kemm ħallas Westinghouse lil Tesla, Brown u Peck?")</f>
        <v>Kemm ħallas Westinghouse lil Tesla, Brown u Peck?</v>
      </c>
    </row>
    <row r="2899" ht="15.75" customHeight="1">
      <c r="A2899" s="2" t="s">
        <v>2899</v>
      </c>
      <c r="B2899" s="2" t="str">
        <f>IFERROR(__xludf.DUMMYFUNCTION("GOOGLETRANSLATE(A2899, ""en"", ""mt"")"),"It-tobba tal-Qorti tal-Yuan ġew minn kulturi differenti. Il-fejqan kienu maqsuma fi tobba mhux Mongoljati msejħa Otachi u Shamans tradizzjonali tal-Mongolja. Il-Mongoli kkaratterizzaw tobba Otachi bl-użu tagħhom ta 'rimedji tal-ħxejjex, li kienet distinta"&amp;" mill-kuri spiritwali tax-xamaniżmu Mongoljan. It-tobba rċivew appoġġ uffiċjali mill-gvern tal-Yuan u ngħataw privileġġi legali speċjali. Kublai ħoloq l-Akkademja Imperjali tal-Mediċina biex jimmaniġġja t-trattati mediċi u l-edukazzjoni ta 'tobba ġodda. L"&amp;"-istudjużi Confucian ġew attirati mill-professjoni medika minħabba li żgura dħul għoli u l-etika medika kienet kompatibbli mal-virtujiet Confucian.")</f>
        <v>It-tobba tal-Qorti tal-Yuan ġew minn kulturi differenti. Il-fejqan kienu maqsuma fi tobba mhux Mongoljati msejħa Otachi u Shamans tradizzjonali tal-Mongolja. Il-Mongoli kkaratterizzaw tobba Otachi bl-użu tagħhom ta 'rimedji tal-ħxejjex, li kienet distinta mill-kuri spiritwali tax-xamaniżmu Mongoljan. It-tobba rċivew appoġġ uffiċjali mill-gvern tal-Yuan u ngħataw privileġġi legali speċjali. Kublai ħoloq l-Akkademja Imperjali tal-Mediċina biex jimmaniġġja t-trattati mediċi u l-edukazzjoni ta 'tobba ġodda. L-istudjużi Confucian ġew attirati mill-professjoni medika minħabba li żgura dħul għoli u l-etika medika kienet kompatibbli mal-virtujiet Confucian.</v>
      </c>
    </row>
    <row r="2900" ht="15.75" customHeight="1">
      <c r="A2900" s="2" t="s">
        <v>2900</v>
      </c>
      <c r="B2900" s="2" t="str">
        <f>IFERROR(__xludf.DUMMYFUNCTION("GOOGLETRANSLATE(A2900, ""en"", ""mt"")"),"Il-faċilità li biha n-nies, b'mod partikolari ż-żgħażagħ, jistgħu jiksbu sustanzi kkontrollati")</f>
        <v>Il-faċilità li biha n-nies, b'mod partikolari ż-żgħażagħ, jistgħu jiksbu sustanzi kkontrollati</v>
      </c>
    </row>
    <row r="2901" ht="15.75" customHeight="1">
      <c r="A2901" s="2" t="s">
        <v>2901</v>
      </c>
      <c r="B2901" s="2" t="str">
        <f>IFERROR(__xludf.DUMMYFUNCTION("GOOGLETRANSLATE(A2901, ""en"", ""mt"")"),"$ 680 biljun")</f>
        <v>$ 680 biljun</v>
      </c>
    </row>
    <row r="2902" ht="15.75" customHeight="1">
      <c r="A2902" s="2" t="s">
        <v>2902</v>
      </c>
      <c r="B2902" s="2" t="str">
        <f>IFERROR(__xludf.DUMMYFUNCTION("GOOGLETRANSLATE(A2902, ""en"", ""mt"")"),"injettur")</f>
        <v>injettur</v>
      </c>
    </row>
    <row r="2903" ht="15.75" customHeight="1">
      <c r="A2903" s="2" t="s">
        <v>2903</v>
      </c>
      <c r="B2903" s="2" t="str">
        <f>IFERROR(__xludf.DUMMYFUNCTION("GOOGLETRANSLATE(A2903, ""en"", ""mt"")"),"Isiah Bowman")</f>
        <v>Isiah Bowman</v>
      </c>
    </row>
    <row r="2904" ht="15.75" customHeight="1">
      <c r="A2904" s="2" t="s">
        <v>2904</v>
      </c>
      <c r="B2904" s="2" t="str">
        <f>IFERROR(__xludf.DUMMYFUNCTION("GOOGLETRANSLATE(A2904, ""en"", ""mt"")"),"Kif kien jissejjaħ l-apparat ta 'Tesla?")</f>
        <v>Kif kien jissejjaħ l-apparat ta 'Tesla?</v>
      </c>
    </row>
    <row r="2905" ht="15.75" customHeight="1">
      <c r="A2905" s="2" t="s">
        <v>2905</v>
      </c>
      <c r="B2905" s="2" t="str">
        <f>IFERROR(__xludf.DUMMYFUNCTION("GOOGLETRANSLATE(A2905, ""en"", ""mt"")"),"Liema imperu kien l-aħħar wieħed li Genghis Khan ħakem qabel ma miet?")</f>
        <v>Liema imperu kien l-aħħar wieħed li Genghis Khan ħakem qabel ma miet?</v>
      </c>
    </row>
    <row r="2906" ht="15.75" customHeight="1">
      <c r="A2906" s="2" t="s">
        <v>2906</v>
      </c>
      <c r="B2906" s="2" t="str">
        <f>IFERROR(__xludf.DUMMYFUNCTION("GOOGLETRANSLATE(A2906, ""en"", ""mt"")"),"X'kien l-iskop tat-truppi ta 'Loudoun fil-Fort Henry?")</f>
        <v>X'kien l-iskop tat-truppi ta 'Loudoun fil-Fort Henry?</v>
      </c>
    </row>
    <row r="2907" ht="15.75" customHeight="1">
      <c r="A2907" s="2" t="s">
        <v>2907</v>
      </c>
      <c r="B2907" s="2" t="str">
        <f>IFERROR(__xludf.DUMMYFUNCTION("GOOGLETRANSLATE(A2907, ""en"", ""mt"")"),"3 miljun segwaċi")</f>
        <v>3 miljun segwaċi</v>
      </c>
    </row>
    <row r="2908" ht="15.75" customHeight="1">
      <c r="A2908" s="2" t="s">
        <v>2908</v>
      </c>
      <c r="B2908" s="2" t="str">
        <f>IFERROR(__xludf.DUMMYFUNCTION("GOOGLETRANSLATE(A2908, ""en"", ""mt"")"),"Liema kumpanija WorldVision biegħet porzjon tal-katalgu tagħha fl-1990?")</f>
        <v>Liema kumpanija WorldVision biegħet porzjon tal-katalgu tagħha fl-1990?</v>
      </c>
    </row>
    <row r="2909" ht="15.75" customHeight="1">
      <c r="A2909" s="2" t="s">
        <v>2909</v>
      </c>
      <c r="B2909" s="2" t="str">
        <f>IFERROR(__xludf.DUMMYFUNCTION("GOOGLETRANSLATE(A2909, ""en"", ""mt"")"),"Kawann qasir")</f>
        <v>Kawann qasir</v>
      </c>
    </row>
    <row r="2910" ht="15.75" customHeight="1">
      <c r="A2910" s="2" t="s">
        <v>2910</v>
      </c>
      <c r="B2910" s="2" t="str">
        <f>IFERROR(__xludf.DUMMYFUNCTION("GOOGLETRANSLATE(A2910, ""en"", ""mt"")"),"Ikklassifikat hawn fuq")</f>
        <v>Ikklassifikat hawn fuq</v>
      </c>
    </row>
    <row r="2911" ht="15.75" customHeight="1">
      <c r="A2911" s="2" t="s">
        <v>2911</v>
      </c>
      <c r="B2911" s="2" t="str">
        <f>IFERROR(__xludf.DUMMYFUNCTION("GOOGLETRANSLATE(A2911, ""en"", ""mt"")"),"X’kienu l-aħħar ftit mit-tnedijiet tal-Boilerplate CSM magħhom?")</f>
        <v>X’kienu l-aħħar ftit mit-tnedijiet tal-Boilerplate CSM magħhom?</v>
      </c>
    </row>
    <row r="2912" ht="15.75" customHeight="1">
      <c r="A2912" s="2" t="s">
        <v>2912</v>
      </c>
      <c r="B2912" s="2" t="str">
        <f>IFERROR(__xludf.DUMMYFUNCTION("GOOGLETRANSLATE(A2912, ""en"", ""mt"")"),"Forza tal-Ajru tal-Istati Uniti")</f>
        <v>Forza tal-Ajru tal-Istati Uniti</v>
      </c>
    </row>
    <row r="2913" ht="15.75" customHeight="1">
      <c r="A2913" s="2" t="s">
        <v>2913</v>
      </c>
      <c r="B2913" s="2" t="str">
        <f>IFERROR(__xludf.DUMMYFUNCTION("GOOGLETRANSLATE(A2913, ""en"", ""mt"")"),"Liema skola attendew kemm Hank Marvin kif ukoll Bruce Welch?")</f>
        <v>Liema skola attendew kemm Hank Marvin kif ukoll Bruce Welch?</v>
      </c>
    </row>
    <row r="2914" ht="15.75" customHeight="1">
      <c r="A2914" s="2" t="s">
        <v>2914</v>
      </c>
      <c r="B2914" s="2" t="str">
        <f>IFERROR(__xludf.DUMMYFUNCTION("GOOGLETRANSLATE(A2914, ""en"", ""mt"")"),"Liema strateġija uża l-armata ta 'Jebe kontra Kuchlug u l-partitarji tiegħu?")</f>
        <v>Liema strateġija uża l-armata ta 'Jebe kontra Kuchlug u l-partitarji tiegħu?</v>
      </c>
    </row>
    <row r="2915" ht="15.75" customHeight="1">
      <c r="A2915" s="2" t="s">
        <v>2915</v>
      </c>
      <c r="B2915" s="2" t="str">
        <f>IFERROR(__xludf.DUMMYFUNCTION("GOOGLETRANSLATE(A2915, ""en"", ""mt"")"),"X'kienet waħda mit-teoriji dwar dak li kkawża l-marda mhux speċifikata ta 'missier Tesla?")</f>
        <v>X'kienet waħda mit-teoriji dwar dak li kkawża l-marda mhux speċifikata ta 'missier Tesla?</v>
      </c>
    </row>
    <row r="2916" ht="15.75" customHeight="1">
      <c r="A2916" s="2" t="s">
        <v>2916</v>
      </c>
      <c r="B2916" s="2" t="str">
        <f>IFERROR(__xludf.DUMMYFUNCTION("GOOGLETRANSLATE(A2916, ""en"", ""mt"")"),"24%")</f>
        <v>24%</v>
      </c>
    </row>
    <row r="2917" ht="15.75" customHeight="1">
      <c r="A2917" s="2" t="s">
        <v>2917</v>
      </c>
      <c r="B2917" s="2" t="str">
        <f>IFERROR(__xludf.DUMMYFUNCTION("GOOGLETRANSLATE(A2917, ""en"", ""mt"")"),"Fil-bidu tas-seklu 20, avvanz importanti fix-xjenza ġeoloġika ġie ffaċilitat mill-abbiltà li jinkisbu dati assoluti preċiżi għal avvenimenti ġeoloġiċi bl-użu ta 'iżotopi radjuattivi u metodi oħra. Dan biddel il-fehim tal-ħin ġeoloġiku. Preċedentement, il-"&amp;"ġeoloġi jistgħu jużaw biss fossili u korrelazzjoni stratigrafika sal-lum sezzjonijiet tal-blat relattivi għal xulxin. Bid-dati iżotopiċi, sar possibbli li jiġu assenjati etajiet assoluti lil unitajiet tal-blat, u dawn id-dati assoluti jistgħu jiġu applika"&amp;"ti għal sekwenzi fossili li fihom kien hemm materjal li jista 'jkun, li jikkonverti l-etajiet relattivi qodma f'età assoluta ġodda.")</f>
        <v>Fil-bidu tas-seklu 20, avvanz importanti fix-xjenza ġeoloġika ġie ffaċilitat mill-abbiltà li jinkisbu dati assoluti preċiżi għal avvenimenti ġeoloġiċi bl-użu ta 'iżotopi radjuattivi u metodi oħra. Dan biddel il-fehim tal-ħin ġeoloġiku. Preċedentement, il-ġeoloġi jistgħu jużaw biss fossili u korrelazzjoni stratigrafika sal-lum sezzjonijiet tal-blat relattivi għal xulxin. Bid-dati iżotopiċi, sar possibbli li jiġu assenjati etajiet assoluti lil unitajiet tal-blat, u dawn id-dati assoluti jistgħu jiġu applikati għal sekwenzi fossili li fihom kien hemm materjal li jista 'jkun, li jikkonverti l-etajiet relattivi qodma f'età assoluta ġodda.</v>
      </c>
    </row>
    <row r="2918" ht="15.75" customHeight="1">
      <c r="A2918" s="2" t="s">
        <v>2918</v>
      </c>
      <c r="B2918" s="2" t="str">
        <f>IFERROR(__xludf.DUMMYFUNCTION("GOOGLETRANSLATE(A2918, ""en"", ""mt"")"),"forma ġdida")</f>
        <v>forma ġdida</v>
      </c>
    </row>
    <row r="2919" ht="15.75" customHeight="1">
      <c r="A2919" s="2" t="s">
        <v>2919</v>
      </c>
      <c r="B2919" s="2" t="str">
        <f>IFERROR(__xludf.DUMMYFUNCTION("GOOGLETRANSLATE(A2919, ""en"", ""mt"")"),"Kemm nies attendew il-laqgħa tal-IPCC tal-2003?")</f>
        <v>Kemm nies attendew il-laqgħa tal-IPCC tal-2003?</v>
      </c>
    </row>
    <row r="2920" ht="15.75" customHeight="1">
      <c r="A2920" s="2" t="s">
        <v>2920</v>
      </c>
      <c r="B2920" s="2" t="str">
        <f>IFERROR(__xludf.DUMMYFUNCTION("GOOGLETRANSLATE(A2920, ""en"", ""mt"")"),"Lothar de Maizière")</f>
        <v>Lothar de Maizière</v>
      </c>
    </row>
    <row r="2921" ht="15.75" customHeight="1">
      <c r="A2921" s="2" t="s">
        <v>2921</v>
      </c>
      <c r="B2921" s="2" t="str">
        <f>IFERROR(__xludf.DUMMYFUNCTION("GOOGLETRANSLATE(A2921, ""en"", ""mt"")"),"Seclude lilu nnifsu bix-xogħol tiegħu")</f>
        <v>Seclude lilu nnifsu bix-xogħol tiegħu</v>
      </c>
    </row>
    <row r="2922" ht="15.75" customHeight="1">
      <c r="A2922" s="2" t="s">
        <v>2922</v>
      </c>
      <c r="B2922" s="2" t="str">
        <f>IFERROR(__xludf.DUMMYFUNCTION("GOOGLETRANSLATE(A2922, ""en"", ""mt"")"),"Lehramtstudien")</f>
        <v>Lehramtstudien</v>
      </c>
    </row>
    <row r="2923" ht="15.75" customHeight="1">
      <c r="A2923" s="2" t="s">
        <v>2923</v>
      </c>
      <c r="B2923" s="2" t="str">
        <f>IFERROR(__xludf.DUMMYFUNCTION("GOOGLETRANSLATE(A2923, ""en"", ""mt"")"),"565")</f>
        <v>565</v>
      </c>
    </row>
    <row r="2924" ht="15.75" customHeight="1">
      <c r="A2924" s="2" t="s">
        <v>2924</v>
      </c>
      <c r="B2924" s="2" t="str">
        <f>IFERROR(__xludf.DUMMYFUNCTION("GOOGLETRANSLATE(A2924, ""en"", ""mt"")"),"Il-kontrolli u s-sistema tal-bilanċi tal-Istati Uniti u ta ’ħafna gvernijiet oħra.")</f>
        <v>Il-kontrolli u s-sistema tal-bilanċi tal-Istati Uniti u ta ’ħafna gvernijiet oħra.</v>
      </c>
    </row>
    <row r="2925" ht="15.75" customHeight="1">
      <c r="A2925" s="2" t="s">
        <v>2925</v>
      </c>
      <c r="B2925" s="2" t="str">
        <f>IFERROR(__xludf.DUMMYFUNCTION("GOOGLETRANSLATE(A2925, ""en"", ""mt"")"),"430 QK.")</f>
        <v>430 QK.</v>
      </c>
    </row>
    <row r="2926" ht="15.75" customHeight="1">
      <c r="A2926" s="2" t="s">
        <v>2926</v>
      </c>
      <c r="B2926" s="2" t="str">
        <f>IFERROR(__xludf.DUMMYFUNCTION("GOOGLETRANSLATE(A2926, ""en"", ""mt"")"),"Il-LOC kien jinkludi l-Kumpless tat-Tnedija 39, ċentru ta 'kontroll tal-varar, u bini ta' assemblaġġ vertikali ta '130 miljun marda (3.7 miljun kubu) (VAB) li fih il-vettura spazjali (tnedija ta' vettura u vettura spazjali) tkun immuntata fuq pjattaforma "&amp;"tal-lanċatur mobbli u Imbagħad imċaqlaq minn trasportatur għal wieħed minn diversi pads tal-varar. Għalkemm ġew ippjanati mill-inqas tliet pads, tnejn biss, magħżula A u B, tlestew f'Ottubru 1965. Il-LOC inkluda wkoll bini ta 'operazzjonijiet u checkout ("&amp;"OCB) li għalih il-vettura spazjali Gemini u Apollo ġew irċevuti inizjalment qabel ma ġew imqabbla mat-tnedija tagħhom vetturi. Il-vettura spazjali Apollo tista 'tiġi ttestjata f'żewġ kmamar tal-vakwu li kapaċi jissimulaw pressjoni atmosferika f'altitudnij"&amp;"iet sa 250,000 pied (76 km), li huwa kważi vakwu.")</f>
        <v>Il-LOC kien jinkludi l-Kumpless tat-Tnedija 39, ċentru ta 'kontroll tal-varar, u bini ta' assemblaġġ vertikali ta '130 miljun marda (3.7 miljun kubu) (VAB) li fih il-vettura spazjali (tnedija ta' vettura u vettura spazjali) tkun immuntata fuq pjattaforma tal-lanċatur mobbli u Imbagħad imċaqlaq minn trasportatur għal wieħed minn diversi pads tal-varar. Għalkemm ġew ippjanati mill-inqas tliet pads, tnejn biss, magħżula A u B, tlestew f'Ottubru 1965. Il-LOC inkluda wkoll bini ta 'operazzjonijiet u checkout (OCB) li għalih il-vettura spazjali Gemini u Apollo ġew irċevuti inizjalment qabel ma ġew imqabbla mat-tnedija tagħhom vetturi. Il-vettura spazjali Apollo tista 'tiġi ttestjata f'żewġ kmamar tal-vakwu li kapaċi jissimulaw pressjoni atmosferika f'altitudnijiet sa 250,000 pied (76 km), li huwa kważi vakwu.</v>
      </c>
    </row>
    <row r="2927" ht="15.75" customHeight="1">
      <c r="A2927" s="2" t="s">
        <v>2927</v>
      </c>
      <c r="B2927" s="2" t="str">
        <f>IFERROR(__xludf.DUMMYFUNCTION("GOOGLETRANSLATE(A2927, ""en"", ""mt"")"),"Residenza ta 'Prattika ta' l-Ispiżerija")</f>
        <v>Residenza ta 'Prattika ta' l-Ispiżerija</v>
      </c>
    </row>
    <row r="2928" ht="15.75" customHeight="1">
      <c r="A2928" s="2" t="s">
        <v>2928</v>
      </c>
      <c r="B2928" s="2" t="str">
        <f>IFERROR(__xludf.DUMMYFUNCTION("GOOGLETRANSLATE(A2928, ""en"", ""mt"")"),"Fost l-aktar klassijiet importanti ta 'komposti organiċi li fihom l-ossiġnu hemm (fejn ""R"" huwa grupp organiku): alkoħol (R-OH); eteri (R-O-R); ketoni (r-co-r); Aldehydes (R-Co-H); Aċidi karbossiliċi (R-COOH); esteri (r-coo-r); aċidu aċidużi (r-co-o-co-"&amp;"r); u amidi (r-c (o) -nr
2). Hemm ħafna solventi organiċi importanti li fihom ossiġnu, inklużi: aċetun, metanol, etanol, isopropanol, furan, THF, dietil ether, dijossan, aċetat tal-etil, DMF, DMS, DMSO, aċidu aċetiku, u aċidu formiku. Aċetun ((ch
3)
2co) "&amp;"u fenol (c
6h
5OH) jintużaw bħala materjali ta 'l-alimentazzjoni fis-sintesi ta' ħafna sustanzi differenti. Komposti organiċi importanti oħra li fihom l-ossiġnu huma: gliċerol, formaldehyde, glutaraldehyde, aċidu ċitriku, anhydride aċetiku, u aċetamide. L"&amp;"-epossidi huma eteri li fihom l-atomu tal-ossiġnu huwa parti minn ċirku ta 'tliet atomi.")</f>
        <v>Fost l-aktar klassijiet importanti ta 'komposti organiċi li fihom l-ossiġnu hemm (fejn "R" huwa grupp organiku): alkoħol (R-OH); eteri (R-O-R); ketoni (r-co-r); Aldehydes (R-Co-H); Aċidi karbossiliċi (R-COOH); esteri (r-coo-r); aċidu aċidużi (r-co-o-co-r); u amidi (r-c (o) -nr
2). Hemm ħafna solventi organiċi importanti li fihom ossiġnu, inklużi: aċetun, metanol, etanol, isopropanol, furan, THF, dietil ether, dijossan, aċetat tal-etil, DMF, DMS, DMSO, aċidu aċetiku, u aċidu formiku. Aċetun ((ch
3)
2co) u fenol (c
6h
5OH) jintużaw bħala materjali ta 'l-alimentazzjoni fis-sintesi ta' ħafna sustanzi differenti. Komposti organiċi importanti oħra li fihom l-ossiġnu huma: gliċerol, formaldehyde, glutaraldehyde, aċidu ċitriku, anhydride aċetiku, u aċetamide. L-epossidi huma eteri li fihom l-atomu tal-ossiġnu huwa parti minn ċirku ta 'tliet atomi.</v>
      </c>
    </row>
    <row r="2929" ht="15.75" customHeight="1">
      <c r="A2929" s="2" t="s">
        <v>2929</v>
      </c>
      <c r="B2929" s="2" t="str">
        <f>IFERROR(__xludf.DUMMYFUNCTION("GOOGLETRANSLATE(A2929, ""en"", ""mt"")"),"F'liema sena l-ewwel ivvjaġġar Ewropew it-tul kollu tax-xmara Amazon?")</f>
        <v>F'liema sena l-ewwel ivvjaġġar Ewropew it-tul kollu tax-xmara Amazon?</v>
      </c>
    </row>
    <row r="2930" ht="15.75" customHeight="1">
      <c r="A2930" s="2" t="s">
        <v>2930</v>
      </c>
      <c r="B2930" s="2" t="str">
        <f>IFERROR(__xludf.DUMMYFUNCTION("GOOGLETRANSLATE(A2930, ""en"", ""mt"")"),"ex monasteru")</f>
        <v>ex monasteru</v>
      </c>
    </row>
    <row r="2931" ht="15.75" customHeight="1">
      <c r="A2931" s="2" t="s">
        <v>2931</v>
      </c>
      <c r="B2931" s="2" t="str">
        <f>IFERROR(__xludf.DUMMYFUNCTION("GOOGLETRANSLATE(A2931, ""en"", ""mt"")"),"Minn liema sena l-università offriet dottorat fiċ-ċinema u l-istudji tal-midja?")</f>
        <v>Minn liema sena l-università offriet dottorat fiċ-ċinema u l-istudji tal-midja?</v>
      </c>
    </row>
    <row r="2932" ht="15.75" customHeight="1">
      <c r="A2932" s="2" t="s">
        <v>2932</v>
      </c>
      <c r="B2932" s="2" t="str">
        <f>IFERROR(__xludf.DUMMYFUNCTION("GOOGLETRANSLATE(A2932, ""en"", ""mt"")"),"Liema sena ffurmaw il-Panthers Carolina?")</f>
        <v>Liema sena ffurmaw il-Panthers Carolina?</v>
      </c>
    </row>
    <row r="2933" ht="15.75" customHeight="1">
      <c r="A2933" s="2" t="s">
        <v>2933</v>
      </c>
      <c r="B2933" s="2" t="str">
        <f>IFERROR(__xludf.DUMMYFUNCTION("GOOGLETRANSLATE(A2933, ""en"", ""mt"")"),"Jean-Marc Bosman")</f>
        <v>Jean-Marc Bosman</v>
      </c>
    </row>
    <row r="2934" ht="15.75" customHeight="1">
      <c r="A2934" s="2" t="s">
        <v>2934</v>
      </c>
      <c r="B2934" s="2" t="str">
        <f>IFERROR(__xludf.DUMMYFUNCTION("GOOGLETRANSLATE(A2934, ""en"", ""mt"")"),"Spike Milligan")</f>
        <v>Spike Milligan</v>
      </c>
    </row>
    <row r="2935" ht="15.75" customHeight="1">
      <c r="A2935" s="2" t="s">
        <v>2935</v>
      </c>
      <c r="B2935" s="2" t="str">
        <f>IFERROR(__xludf.DUMMYFUNCTION("GOOGLETRANSLATE(A2935, ""en"", ""mt"")"),"Użu tal-forza u l-vjolenza u r-rifjut li jissottomettu għall-arrest")</f>
        <v>Użu tal-forza u l-vjolenza u r-rifjut li jissottomettu għall-arrest</v>
      </c>
    </row>
    <row r="2936" ht="15.75" customHeight="1">
      <c r="A2936" s="2" t="s">
        <v>2936</v>
      </c>
      <c r="B2936" s="2" t="str">
        <f>IFERROR(__xludf.DUMMYFUNCTION("GOOGLETRANSLATE(A2936, ""en"", ""mt"")"),"Netwerk tar-Radju")</f>
        <v>Netwerk tar-Radju</v>
      </c>
    </row>
    <row r="2937" ht="15.75" customHeight="1">
      <c r="A2937" s="2" t="s">
        <v>2937</v>
      </c>
      <c r="B2937" s="2" t="str">
        <f>IFERROR(__xludf.DUMMYFUNCTION("GOOGLETRANSLATE(A2937, ""en"", ""mt"")"),"X'inhu l-ekwivalenti tal-forza tat-torque meta mqabbel mal-momentum angolari?")</f>
        <v>X'inhu l-ekwivalenti tal-forza tat-torque meta mqabbel mal-momentum angolari?</v>
      </c>
    </row>
    <row r="2938" ht="15.75" customHeight="1">
      <c r="A2938" s="2" t="s">
        <v>2938</v>
      </c>
      <c r="B2938" s="2" t="str">
        <f>IFERROR(__xludf.DUMMYFUNCTION("GOOGLETRANSLATE(A2938, ""en"", ""mt"")"),"15 ta 'Awwissu, 1971")</f>
        <v>15 ta 'Awwissu, 1971</v>
      </c>
    </row>
    <row r="2939" ht="15.75" customHeight="1">
      <c r="A2939" s="2" t="s">
        <v>2939</v>
      </c>
      <c r="B2939" s="2" t="str">
        <f>IFERROR(__xludf.DUMMYFUNCTION("GOOGLETRANSLATE(A2939, ""en"", ""mt"")"),"fil-palazz tal-kultura u x-xjenza")</f>
        <v>fil-palazz tal-kultura u x-xjenza</v>
      </c>
    </row>
    <row r="2940" ht="15.75" customHeight="1">
      <c r="A2940" s="2" t="s">
        <v>2940</v>
      </c>
      <c r="B2940" s="2" t="str">
        <f>IFERROR(__xludf.DUMMYFUNCTION("GOOGLETRANSLATE(A2940, ""en"", ""mt"")"),"te, prodotti ortikulturali, u kafè")</f>
        <v>te, prodotti ortikulturali, u kafè</v>
      </c>
    </row>
    <row r="2941" ht="15.75" customHeight="1">
      <c r="A2941" s="2" t="s">
        <v>2941</v>
      </c>
      <c r="B2941" s="2" t="str">
        <f>IFERROR(__xludf.DUMMYFUNCTION("GOOGLETRANSLATE(A2941, ""en"", ""mt"")"),"Il-Beroida, magħrufa wkoll bħala Nuda, m'għandhom l-ebda appendiċi ta 'l-għalf, iżda l-farinġi kbir tagħhom, eżatt ġewwa l-ħalq il-kbir u jimlew ħafna mill-ġisem tas-sakka, iġorru ""makrocilia"" fit-tarf orali. Dawn il-gzuz imdewba ta 'bosta eluf ta' ċili"&amp;" kbar huma kapaċi ""jigdem"" biċċiet ta 'priża li huma kbar wisq biex jibilgħu sħaħ - kważi dejjem ċtenofori oħra. Quddiem il-qasam tal-makrocilia, fuq il-ħalq ""xufftejn"" f'xi speċi ta 'beroe, hemm par ta' strixxi dojoq ta 'ċelloli epiteljali li jeħlu f"&amp;"uq il-ħajt tal-istonku li ""biż-żipp"" il-ħalq jingħalaq meta l-annimal ma jkunx qed jitma', billi jifforma Konnessjonijiet interċellulari mal-istrixxa tal-kolla opposta. Dan l-għeluq issikkat jissimplifika l-faċċata tal-annimal meta jkun qed isegwi l-pri"&amp;"ża.")</f>
        <v>Il-Beroida, magħrufa wkoll bħala Nuda, m'għandhom l-ebda appendiċi ta 'l-għalf, iżda l-farinġi kbir tagħhom, eżatt ġewwa l-ħalq il-kbir u jimlew ħafna mill-ġisem tas-sakka, iġorru "makrocilia" fit-tarf orali. Dawn il-gzuz imdewba ta 'bosta eluf ta' ċili kbar huma kapaċi "jigdem" biċċiet ta 'priża li huma kbar wisq biex jibilgħu sħaħ - kważi dejjem ċtenofori oħra. Quddiem il-qasam tal-makrocilia, fuq il-ħalq "xufftejn" f'xi speċi ta 'beroe, hemm par ta' strixxi dojoq ta 'ċelloli epiteljali li jeħlu fuq il-ħajt tal-istonku li "biż-żipp" il-ħalq jingħalaq meta l-annimal ma jkunx qed jitma', billi jifforma Konnessjonijiet interċellulari mal-istrixxa tal-kolla opposta. Dan l-għeluq issikkat jissimplifika l-faċċata tal-annimal meta jkun qed isegwi l-priża.</v>
      </c>
    </row>
    <row r="2942" ht="15.75" customHeight="1">
      <c r="A2942" s="2" t="s">
        <v>2942</v>
      </c>
      <c r="B2942" s="2" t="str">
        <f>IFERROR(__xludf.DUMMYFUNCTION("GOOGLETRANSLATE(A2942, ""en"", ""mt"")"),"X'jiġri man-norma meta numru jiġi mmultiplikat b'P?")</f>
        <v>X'jiġri man-norma meta numru jiġi mmultiplikat b'P?</v>
      </c>
    </row>
    <row r="2943" ht="15.75" customHeight="1">
      <c r="A2943" s="2" t="s">
        <v>2943</v>
      </c>
      <c r="B2943" s="2" t="str">
        <f>IFERROR(__xludf.DUMMYFUNCTION("GOOGLETRANSLATE(A2943, ""en"", ""mt"")"),"Għaliex is-suċċessuri ta 'Kublai tilfu l-kontroll tal-kumplament tal-imperu Mongoljan?")</f>
        <v>Għaliex is-suċċessuri ta 'Kublai tilfu l-kontroll tal-kumplament tal-imperu Mongoljan?</v>
      </c>
    </row>
    <row r="2944" ht="15.75" customHeight="1">
      <c r="A2944" s="2" t="s">
        <v>2944</v>
      </c>
      <c r="B2944" s="2" t="str">
        <f>IFERROR(__xludf.DUMMYFUNCTION("GOOGLETRANSLATE(A2944, ""en"", ""mt"")"),"23 ta 'Lulju, 1963,")</f>
        <v>23 ta 'Lulju, 1963,</v>
      </c>
    </row>
    <row r="2945" ht="15.75" customHeight="1">
      <c r="A2945" s="2" t="s">
        <v>2945</v>
      </c>
      <c r="B2945" s="2" t="str">
        <f>IFERROR(__xludf.DUMMYFUNCTION("GOOGLETRANSLATE(A2945, ""en"", ""mt"")"),"X'inhi l-espressjoni użata biex tindika kumplessità tal-agħar każ kif espress mill-ħin meħud?")</f>
        <v>X'inhi l-espressjoni użata biex tindika kumplessità tal-agħar każ kif espress mill-ħin meħud?</v>
      </c>
    </row>
    <row r="2946" ht="15.75" customHeight="1">
      <c r="A2946" s="2" t="s">
        <v>2946</v>
      </c>
      <c r="B2946" s="2" t="str">
        <f>IFERROR(__xludf.DUMMYFUNCTION("GOOGLETRANSLATE(A2946, ""en"", ""mt"")"),"Għal liema pajjiż tieħu l-Moselle?")</f>
        <v>Għal liema pajjiż tieħu l-Moselle?</v>
      </c>
    </row>
    <row r="2947" ht="15.75" customHeight="1">
      <c r="A2947" s="2" t="s">
        <v>2947</v>
      </c>
      <c r="B2947" s="2" t="str">
        <f>IFERROR(__xludf.DUMMYFUNCTION("GOOGLETRANSLATE(A2947, ""en"", ""mt"")"),"Kemm dam il-proġett Apollo?")</f>
        <v>Kemm dam il-proġett Apollo?</v>
      </c>
    </row>
    <row r="2948" ht="15.75" customHeight="1">
      <c r="A2948" s="2" t="s">
        <v>2948</v>
      </c>
      <c r="B2948" s="2" t="str">
        <f>IFERROR(__xludf.DUMMYFUNCTION("GOOGLETRANSLATE(A2948, ""en"", ""mt"")"),"X’taħseb li Mote Mote s-sistema tal-klassi Yuan verament irrappreżentat?")</f>
        <v>X’taħseb li Mote Mote s-sistema tal-klassi Yuan verament irrappreżentat?</v>
      </c>
    </row>
    <row r="2949" ht="15.75" customHeight="1">
      <c r="A2949" s="2" t="s">
        <v>2949</v>
      </c>
      <c r="B2949" s="2" t="str">
        <f>IFERROR(__xludf.DUMMYFUNCTION("GOOGLETRANSLATE(A2949, ""en"", ""mt"")"),"Olanda")</f>
        <v>Olanda</v>
      </c>
    </row>
    <row r="2950" ht="15.75" customHeight="1">
      <c r="A2950" s="2" t="s">
        <v>2950</v>
      </c>
      <c r="B2950" s="2" t="str">
        <f>IFERROR(__xludf.DUMMYFUNCTION("GOOGLETRANSLATE(A2950, ""en"", ""mt"")"),"qtugħ tal-enerġija")</f>
        <v>qtugħ tal-enerġija</v>
      </c>
    </row>
    <row r="2951" ht="15.75" customHeight="1">
      <c r="A2951" s="2" t="s">
        <v>2951</v>
      </c>
      <c r="B2951" s="2" t="str">
        <f>IFERROR(__xludf.DUMMYFUNCTION("GOOGLETRANSLATE(A2951, ""en"", ""mt"")"),"Partiċelli tal-punt idealizzati aktar milli oġġetti tridimensjonali")</f>
        <v>Partiċelli tal-punt idealizzati aktar milli oġġetti tridimensjonali</v>
      </c>
    </row>
    <row r="2952" ht="15.75" customHeight="1">
      <c r="A2952" s="2" t="s">
        <v>2952</v>
      </c>
      <c r="B2952" s="2" t="str">
        <f>IFERROR(__xludf.DUMMYFUNCTION("GOOGLETRANSLATE(A2952, ""en"", ""mt"")"),"L-edukazzjoni ta 'Luther")</f>
        <v>L-edukazzjoni ta 'Luther</v>
      </c>
    </row>
    <row r="2953" ht="15.75" customHeight="1">
      <c r="A2953" s="2" t="s">
        <v>2953</v>
      </c>
      <c r="B2953" s="2" t="str">
        <f>IFERROR(__xludf.DUMMYFUNCTION("GOOGLETRANSLATE(A2953, ""en"", ""mt"")"),"Fejn Tesla mxiet fl-1881?")</f>
        <v>Fejn Tesla mxiet fl-1881?</v>
      </c>
    </row>
    <row r="2954" ht="15.75" customHeight="1">
      <c r="A2954" s="2" t="s">
        <v>2954</v>
      </c>
      <c r="B2954" s="2" t="str">
        <f>IFERROR(__xludf.DUMMYFUNCTION("GOOGLETRANSLATE(A2954, ""en"", ""mt"")"),"Robert Guiscard")</f>
        <v>Robert Guiscard</v>
      </c>
    </row>
    <row r="2955" ht="15.75" customHeight="1">
      <c r="A2955" s="2" t="s">
        <v>2955</v>
      </c>
      <c r="B2955" s="2" t="str">
        <f>IFERROR(__xludf.DUMMYFUNCTION("GOOGLETRANSLATE(A2955, ""en"", ""mt"")"),"lura lejn id-Dinja.")</f>
        <v>lura lejn id-Dinja.</v>
      </c>
    </row>
    <row r="2956" ht="15.75" customHeight="1">
      <c r="A2956" s="2" t="s">
        <v>2956</v>
      </c>
      <c r="B2956" s="2" t="str">
        <f>IFERROR(__xludf.DUMMYFUNCTION("GOOGLETRANSLATE(A2956, ""en"", ""mt"")"),"il-grazzja li ""tmur quddiem"" magħna")</f>
        <v>il-grazzja li "tmur quddiem" magħna</v>
      </c>
    </row>
    <row r="2957" ht="15.75" customHeight="1">
      <c r="A2957" s="2" t="s">
        <v>2957</v>
      </c>
      <c r="B2957" s="2" t="str">
        <f>IFERROR(__xludf.DUMMYFUNCTION("GOOGLETRANSLATE(A2957, ""en"", ""mt"")"),"il-kosta tal-Kenja")</f>
        <v>il-kosta tal-Kenja</v>
      </c>
    </row>
    <row r="2958" ht="15.75" customHeight="1">
      <c r="A2958" s="2" t="s">
        <v>2958</v>
      </c>
      <c r="B2958" s="2" t="str">
        <f>IFERROR(__xludf.DUMMYFUNCTION("GOOGLETRANSLATE(A2958, ""en"", ""mt"")"),"X'inhu t-tributarju ewlieni tar-Renu?")</f>
        <v>X'inhu t-tributarju ewlieni tar-Renu?</v>
      </c>
    </row>
    <row r="2959" ht="15.75" customHeight="1">
      <c r="A2959" s="2" t="s">
        <v>2959</v>
      </c>
      <c r="B2959" s="2" t="str">
        <f>IFERROR(__xludf.DUMMYFUNCTION("GOOGLETRANSLATE(A2959, ""en"", ""mt"")"),"L-isferi kollha")</f>
        <v>L-isferi kollha</v>
      </c>
    </row>
    <row r="2960" ht="15.75" customHeight="1">
      <c r="A2960" s="2" t="s">
        <v>2960</v>
      </c>
      <c r="B2960" s="2" t="str">
        <f>IFERROR(__xludf.DUMMYFUNCTION("GOOGLETRANSLATE(A2960, ""en"", ""mt"")"),"Faċilità ta 'Prattika tal-Istat ta' San Jose")</f>
        <v>Faċilità ta 'Prattika tal-Istat ta' San Jose</v>
      </c>
    </row>
    <row r="2961" ht="15.75" customHeight="1">
      <c r="A2961" s="2" t="s">
        <v>2961</v>
      </c>
      <c r="B2961" s="2" t="str">
        <f>IFERROR(__xludf.DUMMYFUNCTION("GOOGLETRANSLATE(A2961, ""en"", ""mt"")"),"Taħteġ fuq is-Salmi")</f>
        <v>Taħteġ fuq is-Salmi</v>
      </c>
    </row>
    <row r="2962" ht="15.75" customHeight="1">
      <c r="A2962" s="2" t="s">
        <v>2962</v>
      </c>
      <c r="B2962" s="2" t="str">
        <f>IFERROR(__xludf.DUMMYFUNCTION("GOOGLETRANSLATE(A2962, ""en"", ""mt"")"),"jiksbu medikazzjoni kosteffikaċi")</f>
        <v>jiksbu medikazzjoni kosteffikaċi</v>
      </c>
    </row>
    <row r="2963" ht="15.75" customHeight="1">
      <c r="A2963" s="2" t="s">
        <v>2963</v>
      </c>
      <c r="B2963" s="2" t="str">
        <f>IFERROR(__xludf.DUMMYFUNCTION("GOOGLETRANSLATE(A2963, ""en"", ""mt"")"),"Liema annimali ħadu ħsieb Tesla?")</f>
        <v>Liema annimali ħadu ħsieb Tesla?</v>
      </c>
    </row>
    <row r="2964" ht="15.75" customHeight="1">
      <c r="A2964" s="2" t="s">
        <v>2964</v>
      </c>
      <c r="B2964" s="2" t="str">
        <f>IFERROR(__xludf.DUMMYFUNCTION("GOOGLETRANSLATE(A2964, ""en"", ""mt"")"),"51,300 lira")</f>
        <v>51,300 lira</v>
      </c>
    </row>
    <row r="2965" ht="15.75" customHeight="1">
      <c r="A2965" s="2" t="s">
        <v>2965</v>
      </c>
      <c r="B2965" s="2" t="str">
        <f>IFERROR(__xludf.DUMMYFUNCTION("GOOGLETRANSLATE(A2965, ""en"", ""mt"")"),"X'forma l-Merwede-Oute Maas ma 'Waal u Lek?")</f>
        <v>X'forma l-Merwede-Oute Maas ma 'Waal u Lek?</v>
      </c>
    </row>
    <row r="2966" ht="15.75" customHeight="1">
      <c r="A2966" s="2" t="s">
        <v>2966</v>
      </c>
      <c r="B2966" s="2" t="str">
        <f>IFERROR(__xludf.DUMMYFUNCTION("GOOGLETRANSLATE(A2966, ""en"", ""mt"")"),"Kummissarju wieħed għal kull wieħed mit-28 stat membru")</f>
        <v>Kummissarju wieħed għal kull wieħed mit-28 stat membru</v>
      </c>
    </row>
    <row r="2967" ht="15.75" customHeight="1">
      <c r="A2967" s="2" t="s">
        <v>2967</v>
      </c>
      <c r="B2967" s="2" t="str">
        <f>IFERROR(__xludf.DUMMYFUNCTION("GOOGLETRANSLATE(A2967, ""en"", ""mt"")"),"Edward il-konfessur")</f>
        <v>Edward il-konfessur</v>
      </c>
    </row>
    <row r="2968" ht="15.75" customHeight="1">
      <c r="A2968" s="2" t="s">
        <v>2968</v>
      </c>
      <c r="B2968" s="2" t="str">
        <f>IFERROR(__xludf.DUMMYFUNCTION("GOOGLETRANSLATE(A2968, ""en"", ""mt"")"),"labirint ta 'problemi semantiċi u niceties grammatikali")</f>
        <v>labirint ta 'problemi semantiċi u niceties grammatikali</v>
      </c>
    </row>
    <row r="2969" ht="15.75" customHeight="1">
      <c r="A2969" s="2" t="s">
        <v>2969</v>
      </c>
      <c r="B2969" s="2" t="str">
        <f>IFERROR(__xludf.DUMMYFUNCTION("GOOGLETRANSLATE(A2969, ""en"", ""mt"")"),"X'inhu t-terminu għal mudell matematiku li teoretikament jirrappreżenta magna tal-kompjuters ġenerali?")</f>
        <v>X'inhu t-terminu għal mudell matematiku li teoretikament jirrappreżenta magna tal-kompjuters ġenerali?</v>
      </c>
    </row>
    <row r="2970" ht="15.75" customHeight="1">
      <c r="A2970" s="2" t="s">
        <v>2970</v>
      </c>
      <c r="B2970" s="2" t="str">
        <f>IFERROR(__xludf.DUMMYFUNCTION("GOOGLETRANSLATE(A2970, ""en"", ""mt"")"),"Maine")</f>
        <v>Maine</v>
      </c>
    </row>
    <row r="2971" ht="15.75" customHeight="1">
      <c r="A2971" s="2" t="s">
        <v>2971</v>
      </c>
      <c r="B2971" s="2" t="str">
        <f>IFERROR(__xludf.DUMMYFUNCTION("GOOGLETRANSLATE(A2971, ""en"", ""mt"")"),"Mill-irvellijiet elettorali, l-organizzazzjonijiet tal-gvern u tas-soċjetà ċivili bdew programmi biex jevitaw diżastri simili fil-futur, qal Agnes R. M. Aboum - Direttur Eżekuttiv tat-TAABCO Research and Development Consultants f'Nairobi - fir-rivista D +"&amp;" C għall-iżvilupp u l-kooperazzjoni. Pereżempju, il-Kummissjoni tal-Verità, il-Ġustizzja u r-Rikonċiljazzjoni bdiet djalogi fil-komunità, il-Knisja Evanġelika Luterana fil-Kenja bdiet laqgħat ta 'paċi u l-proċess ta' djalogu u rikonċiljazzjoni nazzjonali "&amp;"tal-Kenja beda.")</f>
        <v>Mill-irvellijiet elettorali, l-organizzazzjonijiet tal-gvern u tas-soċjetà ċivili bdew programmi biex jevitaw diżastri simili fil-futur, qal Agnes R. M. Aboum - Direttur Eżekuttiv tat-TAABCO Research and Development Consultants f'Nairobi - fir-rivista D + C għall-iżvilupp u l-kooperazzjoni. Pereżempju, il-Kummissjoni tal-Verità, il-Ġustizzja u r-Rikonċiljazzjoni bdiet djalogi fil-komunità, il-Knisja Evanġelika Luterana fil-Kenja bdiet laqgħat ta 'paċi u l-proċess ta' djalogu u rikonċiljazzjoni nazzjonali tal-Kenja beda.</v>
      </c>
    </row>
    <row r="2972" ht="15.75" customHeight="1">
      <c r="A2972" s="2" t="s">
        <v>2972</v>
      </c>
      <c r="B2972" s="2" t="str">
        <f>IFERROR(__xludf.DUMMYFUNCTION("GOOGLETRANSLATE(A2972, ""en"", ""mt"")"),"Liema Ġermaniżi jistgħu jifhmu l-lingwa użata li Luther?")</f>
        <v>Liema Ġermaniżi jistgħu jifhmu l-lingwa użata li Luther?</v>
      </c>
    </row>
    <row r="2973" ht="15.75" customHeight="1">
      <c r="A2973" s="2" t="s">
        <v>2973</v>
      </c>
      <c r="B2973" s="2" t="str">
        <f>IFERROR(__xludf.DUMMYFUNCTION("GOOGLETRANSLATE(A2973, ""en"", ""mt"")"),"Kumpless tat-Triq")</f>
        <v>Kumpless tat-Triq</v>
      </c>
    </row>
    <row r="2974" ht="15.75" customHeight="1">
      <c r="A2974" s="2" t="s">
        <v>2974</v>
      </c>
      <c r="B2974" s="2" t="str">
        <f>IFERROR(__xludf.DUMMYFUNCTION("GOOGLETRANSLATE(A2974, ""en"", ""mt"")"),"żoni vasti")</f>
        <v>żoni vasti</v>
      </c>
    </row>
    <row r="2975" ht="15.75" customHeight="1">
      <c r="A2975" s="2" t="s">
        <v>2975</v>
      </c>
      <c r="B2975" s="2" t="str">
        <f>IFERROR(__xludf.DUMMYFUNCTION("GOOGLETRANSLATE(A2975, ""en"", ""mt"")"),"X'inhu tip wieħed ta 'algoritmu ta' kriptografija ta 'ċavetta pubblika?")</f>
        <v>X'inhu tip wieħed ta 'algoritmu ta' kriptografija ta 'ċavetta pubblika?</v>
      </c>
    </row>
    <row r="2976" ht="15.75" customHeight="1">
      <c r="A2976" s="2" t="s">
        <v>2976</v>
      </c>
      <c r="B2976" s="2" t="str">
        <f>IFERROR(__xludf.DUMMYFUNCTION("GOOGLETRANSLATE(A2976, ""en"", ""mt"")"),"Stokk")</f>
        <v>Stokk</v>
      </c>
    </row>
    <row r="2977" ht="15.75" customHeight="1">
      <c r="A2977" s="2" t="s">
        <v>2977</v>
      </c>
      <c r="B2977" s="2" t="str">
        <f>IFERROR(__xludf.DUMMYFUNCTION("GOOGLETRANSLATE(A2977, ""en"", ""mt"")"),"Fejn waqaf Johnson?")</f>
        <v>Fejn waqaf Johnson?</v>
      </c>
    </row>
    <row r="2978" ht="15.75" customHeight="1">
      <c r="A2978" s="2" t="s">
        <v>2978</v>
      </c>
      <c r="B2978" s="2" t="str">
        <f>IFERROR(__xludf.DUMMYFUNCTION("GOOGLETRANSLATE(A2978, ""en"", ""mt"")"),"Fejn ħadmet Tesla f'Budapest?")</f>
        <v>Fejn ħadmet Tesla f'Budapest?</v>
      </c>
    </row>
    <row r="2979" ht="15.75" customHeight="1">
      <c r="A2979" s="2" t="s">
        <v>2979</v>
      </c>
      <c r="B2979" s="2" t="str">
        <f>IFERROR(__xludf.DUMMYFUNCTION("GOOGLETRANSLATE(A2979, ""en"", ""mt"")"),"Il-Kumpanija Walt Disney")</f>
        <v>Il-Kumpanija Walt Disney</v>
      </c>
    </row>
    <row r="2980" ht="15.75" customHeight="1">
      <c r="A2980" s="2" t="s">
        <v>2980</v>
      </c>
      <c r="B2980" s="2" t="str">
        <f>IFERROR(__xludf.DUMMYFUNCTION("GOOGLETRANSLATE(A2980, ""en"", ""mt"")"),"mewt u ġudizzju divin,")</f>
        <v>mewt u ġudizzju divin,</v>
      </c>
    </row>
    <row r="2981" ht="15.75" customHeight="1">
      <c r="A2981" s="2" t="s">
        <v>2981</v>
      </c>
      <c r="B2981" s="2" t="str">
        <f>IFERROR(__xludf.DUMMYFUNCTION("GOOGLETRANSLATE(A2981, ""en"", ""mt"")"),"X'kien l-isem tal-operazzjoni ta 'l-isparar ta' Du Pont?")</f>
        <v>X'kien l-isem tal-operazzjoni ta 'l-isparar ta' Du Pont?</v>
      </c>
    </row>
    <row r="2982" ht="15.75" customHeight="1">
      <c r="A2982" s="2" t="s">
        <v>2982</v>
      </c>
      <c r="B2982" s="2" t="str">
        <f>IFERROR(__xludf.DUMMYFUNCTION("GOOGLETRANSLATE(A2982, ""en"", ""mt"")"),"X'inhi l-massa ta 'oġġett proporzjonali għal fil-wiċċ tad-dinja?")</f>
        <v>X'inhi l-massa ta 'oġġett proporzjonali għal fil-wiċċ tad-dinja?</v>
      </c>
    </row>
    <row r="2983" ht="15.75" customHeight="1">
      <c r="A2983" s="2" t="s">
        <v>2983</v>
      </c>
      <c r="B2983" s="2" t="str">
        <f>IFERROR(__xludf.DUMMYFUNCTION("GOOGLETRANSLATE(A2983, ""en"", ""mt"")"),"Jannar 2010")</f>
        <v>Jannar 2010</v>
      </c>
    </row>
    <row r="2984" ht="15.75" customHeight="1">
      <c r="A2984" s="2" t="s">
        <v>2984</v>
      </c>
      <c r="B2984" s="2" t="str">
        <f>IFERROR(__xludf.DUMMYFUNCTION("GOOGLETRANSLATE(A2984, ""en"", ""mt"")"),"Liema kumpanija ewlenija tal-gazzetta ma setgħetx tevadi t-taxxa billi tbiddel ir-residenza tagħha lill-Olanda?")</f>
        <v>Liema kumpanija ewlenija tal-gazzetta ma setgħetx tevadi t-taxxa billi tbiddel ir-residenza tagħha lill-Olanda?</v>
      </c>
    </row>
    <row r="2985" ht="15.75" customHeight="1">
      <c r="A2985" s="2" t="s">
        <v>2985</v>
      </c>
      <c r="B2985" s="2" t="str">
        <f>IFERROR(__xludf.DUMMYFUNCTION("GOOGLETRANSLATE(A2985, ""en"", ""mt"")"),"madwar 5 miljun")</f>
        <v>madwar 5 miljun</v>
      </c>
    </row>
    <row r="2986" ht="15.75" customHeight="1">
      <c r="A2986" s="2" t="s">
        <v>2986</v>
      </c>
      <c r="B2986" s="2" t="str">
        <f>IFERROR(__xludf.DUMMYFUNCTION("GOOGLETRANSLATE(A2986, ""en"", ""mt"")"),"Flimkien ma 'l-ammissjoni, l-exhaust u l-kompressjoni, x'inhu avveniment fiċ-ċiklu tal-magna?")</f>
        <v>Flimkien ma 'l-ammissjoni, l-exhaust u l-kompressjoni, x'inhu avveniment fiċ-ċiklu tal-magna?</v>
      </c>
    </row>
    <row r="2987" ht="15.75" customHeight="1">
      <c r="A2987" s="2" t="s">
        <v>2987</v>
      </c>
      <c r="B2987" s="2" t="str">
        <f>IFERROR(__xludf.DUMMYFUNCTION("GOOGLETRANSLATE(A2987, ""en"", ""mt"")"),"Fis-snin ta ’wara dawn l-għajdut, la Tesla u lanqas Edison ma rebħu l-premju (għalkemm Edison ma rċivew waħda mit-38 offerta possibbli fl-1915 u Tesla rċeviet waħda mit-38 offerta possibbli fl-1937).")</f>
        <v>Fis-snin ta ’wara dawn l-għajdut, la Tesla u lanqas Edison ma rebħu l-premju (għalkemm Edison ma rċivew waħda mit-38 offerta possibbli fl-1915 u Tesla rċeviet waħda mit-38 offerta possibbli fl-1937).</v>
      </c>
    </row>
    <row r="2988" ht="15.75" customHeight="1">
      <c r="A2988" s="2" t="s">
        <v>2988</v>
      </c>
      <c r="B2988" s="2" t="str">
        <f>IFERROR(__xludf.DUMMYFUNCTION("GOOGLETRANSLATE(A2988, ""en"", ""mt"")"),"Elettroliżi ta 'dak li jista' jintuża biex jipproduċi ossiġnu u idroġenu?")</f>
        <v>Elettroliżi ta 'dak li jista' jintuża biex jipproduċi ossiġnu u idroġenu?</v>
      </c>
    </row>
    <row r="2989" ht="15.75" customHeight="1">
      <c r="A2989" s="2" t="s">
        <v>2989</v>
      </c>
      <c r="B2989" s="2" t="str">
        <f>IFERROR(__xludf.DUMMYFUNCTION("GOOGLETRANSLATE(A2989, ""en"", ""mt"")"),"Joseph Shea,")</f>
        <v>Joseph Shea,</v>
      </c>
    </row>
    <row r="2990" ht="15.75" customHeight="1">
      <c r="A2990" s="2" t="s">
        <v>2990</v>
      </c>
      <c r="B2990" s="2" t="str">
        <f>IFERROR(__xludf.DUMMYFUNCTION("GOOGLETRANSLATE(A2990, ""en"", ""mt"")"),"Xi jfisser il-biċċa l-kbira tal-materjal HD bħala standard?")</f>
        <v>Xi jfisser il-biċċa l-kbira tal-materjal HD bħala standard?</v>
      </c>
    </row>
    <row r="2991" ht="15.75" customHeight="1">
      <c r="A2991" s="2" t="s">
        <v>2991</v>
      </c>
      <c r="B2991" s="2" t="str">
        <f>IFERROR(__xludf.DUMMYFUNCTION("GOOGLETRANSLATE(A2991, ""en"", ""mt"")"),"F'liema sena l-gallerija ddedikat għall-arti Ċiniża miftuħa?")</f>
        <v>F'liema sena l-gallerija ddedikat għall-arti Ċiniża miftuħa?</v>
      </c>
    </row>
    <row r="2992" ht="15.75" customHeight="1">
      <c r="A2992" s="2" t="s">
        <v>2992</v>
      </c>
      <c r="B2992" s="2" t="str">
        <f>IFERROR(__xludf.DUMMYFUNCTION("GOOGLETRANSLATE(A2992, ""en"", ""mt"")"),"Ralph Woodward")</f>
        <v>Ralph Woodward</v>
      </c>
    </row>
    <row r="2993" ht="15.75" customHeight="1">
      <c r="A2993" s="2" t="s">
        <v>2993</v>
      </c>
      <c r="B2993" s="2" t="str">
        <f>IFERROR(__xludf.DUMMYFUNCTION("GOOGLETRANSLATE(A2993, ""en"", ""mt"")"),"Youngstown")</f>
        <v>Youngstown</v>
      </c>
    </row>
    <row r="2994" ht="15.75" customHeight="1">
      <c r="A2994" s="2" t="s">
        <v>2994</v>
      </c>
      <c r="B2994" s="2" t="str">
        <f>IFERROR(__xludf.DUMMYFUNCTION("GOOGLETRANSLATE(A2994, ""en"", ""mt"")"),"Minn meta kienet il-parti tar-Rhine tal-kultura Areal of Hallstatt?")</f>
        <v>Minn meta kienet il-parti tar-Rhine tal-kultura Areal of Hallstatt?</v>
      </c>
    </row>
    <row r="2995" ht="15.75" customHeight="1">
      <c r="A2995" s="2" t="s">
        <v>2995</v>
      </c>
      <c r="B2995" s="2" t="str">
        <f>IFERROR(__xludf.DUMMYFUNCTION("GOOGLETRANSLATE(A2995, ""en"", ""mt"")"),"Fl-1937, waqt ikla fl-unur tiegħu rigward il-mewt Ray, Tesla ddikjarat, ""Iżda mhuwiex esperiment ... bnejt, wrejt u użajtha. Ftit ħin se jgħaddi biss qabel ma nista 'nagħtiha lid-dinja . "" Ir-rekords tiegħu jindikaw li l-apparat huwa bbażat fuq nixxiegħ"&amp;"a dejqa ta 'pritkuni żgħar tat-tungstenu li huma aċċellerati permezz ta' vultaġġ għoli (permezz ta 'l-istess mod għat-transformer tiegħu).")</f>
        <v>Fl-1937, waqt ikla fl-unur tiegħu rigward il-mewt Ray, Tesla ddikjarat, "Iżda mhuwiex esperiment ... bnejt, wrejt u użajtha. Ftit ħin se jgħaddi biss qabel ma nista 'nagħtiha lid-dinja . " Ir-rekords tiegħu jindikaw li l-apparat huwa bbażat fuq nixxiegħa dejqa ta 'pritkuni żgħar tat-tungstenu li huma aċċellerati permezz ta' vultaġġ għoli (permezz ta 'l-istess mod għat-transformer tiegħu).</v>
      </c>
    </row>
    <row r="2996" ht="15.75" customHeight="1">
      <c r="A2996" s="2" t="s">
        <v>2996</v>
      </c>
      <c r="B2996" s="2" t="str">
        <f>IFERROR(__xludf.DUMMYFUNCTION("GOOGLETRANSLATE(A2996, ""en"", ""mt"")"),"11,000 sena")</f>
        <v>11,000 sena</v>
      </c>
    </row>
    <row r="2997" ht="15.75" customHeight="1">
      <c r="A2997" s="2" t="s">
        <v>2997</v>
      </c>
      <c r="B2997" s="2" t="str">
        <f>IFERROR(__xludf.DUMMYFUNCTION("GOOGLETRANSLATE(A2997, ""en"", ""mt"")"),"Min jipproduċi lista ta 'rekwiżiti għal proġett, li jagħti veduta ġenerali tal-għanijiet tal-proġett?")</f>
        <v>Min jipproduċi lista ta 'rekwiżiti għal proġett, li jagħti veduta ġenerali tal-għanijiet tal-proġett?</v>
      </c>
    </row>
    <row r="2998" ht="15.75" customHeight="1">
      <c r="A2998" s="2" t="s">
        <v>2998</v>
      </c>
      <c r="B2998" s="2" t="str">
        <f>IFERROR(__xludf.DUMMYFUNCTION("GOOGLETRANSLATE(A2998, ""en"", ""mt"")"),"Bacteriophage T4")</f>
        <v>Bacteriophage T4</v>
      </c>
    </row>
    <row r="2999" ht="15.75" customHeight="1">
      <c r="A2999" s="2" t="s">
        <v>2999</v>
      </c>
      <c r="B2999" s="2" t="str">
        <f>IFERROR(__xludf.DUMMYFUNCTION("GOOGLETRANSLATE(A2999, ""en"", ""mt"")"),"Liema stazzjon ABC f'South Bend, Indiana żżomm simulcasts diġitali fuq subchannel?")</f>
        <v>Liema stazzjon ABC f'South Bend, Indiana żżomm simulcasts diġitali fuq subchannel?</v>
      </c>
    </row>
    <row r="3000" ht="15.75" customHeight="1">
      <c r="A3000" s="2" t="s">
        <v>3000</v>
      </c>
      <c r="B3000" s="2" t="str">
        <f>IFERROR(__xludf.DUMMYFUNCTION("GOOGLETRANSLATE(A3000, ""en"", ""mt"")"),"Il-materjal fil-kollezzjoni tat-teatru V&amp;A huwa disponibbli għal liema użu?")</f>
        <v>Il-materjal fil-kollezzjoni tat-teatru V&amp;A huwa disponibbli għal liema użu?</v>
      </c>
    </row>
    <row r="3001" ht="15.75" customHeight="1">
      <c r="A3001" s="2" t="s">
        <v>3001</v>
      </c>
      <c r="B3001" s="2" t="str">
        <f>IFERROR(__xludf.DUMMYFUNCTION("GOOGLETRANSLATE(A3001, ""en"", ""mt"")"),"L-għalliema f'Wales jistgħu jiġu rreġistrati membri ta 'trejdjunjins bħal ATL, NUT jew NASUWT u rapporti f'dawn l-aħħar snin jissuġġerixxu li l-età medja ta' l-għalliema f'Wales qed taqa 'ma' għalliema li huma iżgħar milli fis-snin ta 'qabel. Kawża dejjem"&amp;" tikber ta 'tħassib huma li attakki fuq għalliema fl-iskejjel ta' Welsh li laħqu l-ħin kollu bejn l-2005 u l-2010.")</f>
        <v>L-għalliema f'Wales jistgħu jiġu rreġistrati membri ta 'trejdjunjins bħal ATL, NUT jew NASUWT u rapporti f'dawn l-aħħar snin jissuġġerixxu li l-età medja ta' l-għalliema f'Wales qed taqa 'ma' għalliema li huma iżgħar milli fis-snin ta 'qabel. Kawża dejjem tikber ta 'tħassib huma li attakki fuq għalliema fl-iskejjel ta' Welsh li laħqu l-ħin kollu bejn l-2005 u l-2010.</v>
      </c>
    </row>
    <row r="3002" ht="15.75" customHeight="1">
      <c r="A3002" s="2" t="s">
        <v>3002</v>
      </c>
      <c r="B3002" s="2" t="str">
        <f>IFERROR(__xludf.DUMMYFUNCTION("GOOGLETRANSLATE(A3002, ""en"", ""mt"")"),"Torchwood")</f>
        <v>Torchwood</v>
      </c>
    </row>
    <row r="3003" ht="15.75" customHeight="1">
      <c r="A3003" s="2" t="s">
        <v>3003</v>
      </c>
      <c r="B3003" s="2" t="str">
        <f>IFERROR(__xludf.DUMMYFUNCTION("GOOGLETRANSLATE(A3003, ""en"", ""mt"")"),"te jew porridge bil-ħobż, chapati, mahamri, patata ħelwa mgħollija jew yams")</f>
        <v>te jew porridge bil-ħobż, chapati, mahamri, patata ħelwa mgħollija jew yams</v>
      </c>
    </row>
    <row r="3004" ht="15.75" customHeight="1">
      <c r="A3004" s="2" t="s">
        <v>3004</v>
      </c>
      <c r="B3004" s="2" t="str">
        <f>IFERROR(__xludf.DUMMYFUNCTION("GOOGLETRANSLATE(A3004, ""en"", ""mt"")"),"Gruppi Alleati mill-Asja Ċentrali u t-Tmiem tal-Punent tal-Imperu")</f>
        <v>Gruppi Alleati mill-Asja Ċentrali u t-Tmiem tal-Punent tal-Imperu</v>
      </c>
    </row>
    <row r="3005" ht="15.75" customHeight="1">
      <c r="A3005" s="2" t="s">
        <v>3005</v>
      </c>
      <c r="B3005" s="2" t="str">
        <f>IFERROR(__xludf.DUMMYFUNCTION("GOOGLETRANSLATE(A3005, ""en"", ""mt"")"),"X'tip ta 'ċellula daħlet cynaobacteria żmien ilu?")</f>
        <v>X'tip ta 'ċellula daħlet cynaobacteria żmien ilu?</v>
      </c>
    </row>
    <row r="3006" ht="15.75" customHeight="1">
      <c r="A3006" s="2" t="s">
        <v>3006</v>
      </c>
      <c r="B3006" s="2" t="str">
        <f>IFERROR(__xludf.DUMMYFUNCTION("GOOGLETRANSLATE(A3006, ""en"", ""mt"")"),"Irrappreżentat tajjeb fil-kollezzjoni hemm Meissen Porcelain, mill-ewwel fabbrika fl-Ewropa biex tiskopri l-metodu Ċiniż biex tagħmel il-porċellana. Fost l-ifjen eżempji hemm il-Meissen Vulture mill-1731 u s-Servizz tal-Pranzu Möllendorff, iddisinjat fl-1"&amp;"762 minn Frederick II il-Kbir. Iċ-ċeramika mill-manifattura Nationale de Sèvres huma estensivi, speċjalment mis-sekli 18 u 19. Il-kollezzjoni tal-porċellana Ingliża tas-seklu 18 hija l-akbar u l-ifjen fid-dinja. Eżempji minn kull fabbrika huma rrappreżent"&amp;"ati, il-kollezzjonijiet tal-porċellana ta 'Chelsea u tal-porċellana ta' Worcester huma speċjalment tajbin. Il-fabbriki Ingliżi ewlenin kollha tas-seklu 19 huma rrappreżentati wkoll. Spinta kbira għall-kollezzjonijiet kienet il-bequest tat-tlugħ magħmul fl"&amp;"-1909, li għajjat ​​l-istokk tal-mużew taċ-ċeramika Ċiniża u Ġappuniża. Dan il-bequest jifforma parti mill-ifjen kollezzjoni ta 'fuħħar u porċellana tal-Asja tal-Lvant fid-dinja, inkluż Kakiemon Ware.")</f>
        <v>Irrappreżentat tajjeb fil-kollezzjoni hemm Meissen Porcelain, mill-ewwel fabbrika fl-Ewropa biex tiskopri l-metodu Ċiniż biex tagħmel il-porċellana. Fost l-ifjen eżempji hemm il-Meissen Vulture mill-1731 u s-Servizz tal-Pranzu Möllendorff, iddisinjat fl-1762 minn Frederick II il-Kbir. Iċ-ċeramika mill-manifattura Nationale de Sèvres huma estensivi, speċjalment mis-sekli 18 u 19. Il-kollezzjoni tal-porċellana Ingliża tas-seklu 18 hija l-akbar u l-ifjen fid-dinja. Eżempji minn kull fabbrika huma rrappreżentati, il-kollezzjonijiet tal-porċellana ta 'Chelsea u tal-porċellana ta' Worcester huma speċjalment tajbin. Il-fabbriki Ingliżi ewlenin kollha tas-seklu 19 huma rrappreżentati wkoll. Spinta kbira għall-kollezzjonijiet kienet il-bequest tat-tlugħ magħmul fl-1909, li għajjat ​​l-istokk tal-mużew taċ-ċeramika Ċiniża u Ġappuniża. Dan il-bequest jifforma parti mill-ifjen kollezzjoni ta 'fuħħar u porċellana tal-Asja tal-Lvant fid-dinja, inkluż Kakiemon Ware.</v>
      </c>
    </row>
    <row r="3007" ht="15.75" customHeight="1">
      <c r="A3007" s="2" t="s">
        <v>3007</v>
      </c>
      <c r="B3007" s="2" t="str">
        <f>IFERROR(__xludf.DUMMYFUNCTION("GOOGLETRANSLATE(A3007, ""en"", ""mt"")"),"kontra l-Prussja u l-alleati tagħha fit-Teatru Ewropew tal-Gwerra.")</f>
        <v>kontra l-Prussja u l-alleati tagħha fit-Teatru Ewropew tal-Gwerra.</v>
      </c>
    </row>
    <row r="3008" ht="15.75" customHeight="1">
      <c r="A3008" s="2" t="s">
        <v>3008</v>
      </c>
      <c r="B3008" s="2" t="str">
        <f>IFERROR(__xludf.DUMMYFUNCTION("GOOGLETRANSLATE(A3008, ""en"", ""mt"")"),"Il-foresta tropikali tnaqqset")</f>
        <v>Il-foresta tropikali tnaqqset</v>
      </c>
    </row>
    <row r="3009" ht="15.75" customHeight="1">
      <c r="A3009" s="2" t="s">
        <v>3009</v>
      </c>
      <c r="B3009" s="2" t="str">
        <f>IFERROR(__xludf.DUMMYFUNCTION("GOOGLETRANSLATE(A3009, ""en"", ""mt"")"),"ġlieda, ġuħ, u mrar")</f>
        <v>ġlieda, ġuħ, u mrar</v>
      </c>
    </row>
    <row r="3010" ht="15.75" customHeight="1">
      <c r="A3010" s="2" t="s">
        <v>3010</v>
      </c>
      <c r="B3010" s="2" t="str">
        <f>IFERROR(__xludf.DUMMYFUNCTION("GOOGLETRANSLATE(A3010, ""en"", ""mt"")"),"Aqta 'b'suċċess il-Frontier Franċiż Fortizzi aktar lejn il-Punent u n-Nofsinhar")</f>
        <v>Aqta 'b'suċċess il-Frontier Franċiż Fortizzi aktar lejn il-Punent u n-Nofsinhar</v>
      </c>
    </row>
    <row r="3011" ht="15.75" customHeight="1">
      <c r="A3011" s="2" t="s">
        <v>3011</v>
      </c>
      <c r="B3011" s="2" t="str">
        <f>IFERROR(__xludf.DUMMYFUNCTION("GOOGLETRANSLATE(A3011, ""en"", ""mt"")"),"Kant rivoluzzjoni biex iġġib l-indipendenza lill-pajjiżi tal-Baltiku")</f>
        <v>Kant rivoluzzjoni biex iġġib l-indipendenza lill-pajjiżi tal-Baltiku</v>
      </c>
    </row>
    <row r="3012" ht="15.75" customHeight="1">
      <c r="A3012" s="2" t="s">
        <v>3012</v>
      </c>
      <c r="B3012" s="2" t="str">
        <f>IFERROR(__xludf.DUMMYFUNCTION("GOOGLETRANSLATE(A3012, ""en"", ""mt"")"),"X'inhuma wieħed mit-tipi ta 'ċelloli ewlenin tas-sistema immuni adatta?")</f>
        <v>X'inhuma wieħed mit-tipi ta 'ċelloli ewlenin tas-sistema immuni adatta?</v>
      </c>
    </row>
    <row r="3013" ht="15.75" customHeight="1">
      <c r="A3013" s="2" t="s">
        <v>3013</v>
      </c>
      <c r="B3013" s="2" t="str">
        <f>IFERROR(__xludf.DUMMYFUNCTION("GOOGLETRANSLATE(A3013, ""en"", ""mt"")"),"Oqtol lil Luther")</f>
        <v>Oqtol lil Luther</v>
      </c>
    </row>
    <row r="3014" ht="15.75" customHeight="1">
      <c r="A3014" s="2" t="s">
        <v>3014</v>
      </c>
      <c r="B3014" s="2" t="str">
        <f>IFERROR(__xludf.DUMMYFUNCTION("GOOGLETRANSLATE(A3014, ""en"", ""mt"")"),"Liema kumpanija ħadet f'idejha Edison Machine?")</f>
        <v>Liema kumpanija ħadet f'idejha Edison Machine?</v>
      </c>
    </row>
    <row r="3015" ht="15.75" customHeight="1">
      <c r="A3015" s="2" t="s">
        <v>3015</v>
      </c>
      <c r="B3015" s="2" t="str">
        <f>IFERROR(__xludf.DUMMYFUNCTION("GOOGLETRANSLATE(A3015, ""en"", ""mt"")"),"Ħsara fotoossidattiva")</f>
        <v>Ħsara fotoossidattiva</v>
      </c>
    </row>
    <row r="3016" ht="15.75" customHeight="1">
      <c r="A3016" s="2" t="s">
        <v>3016</v>
      </c>
      <c r="B3016" s="2" t="str">
        <f>IFERROR(__xludf.DUMMYFUNCTION("GOOGLETRANSLATE(A3016, ""en"", ""mt"")"),"Format inkompatibbli mat-TV imxandar")</f>
        <v>Format inkompatibbli mat-TV imxandar</v>
      </c>
    </row>
    <row r="3017" ht="15.75" customHeight="1">
      <c r="A3017" s="2" t="s">
        <v>3017</v>
      </c>
      <c r="B3017" s="2" t="str">
        <f>IFERROR(__xludf.DUMMYFUNCTION("GOOGLETRANSLATE(A3017, ""en"", ""mt"")"),"Liema saffi ta 'weraq għandhom kloroplasti?")</f>
        <v>Liema saffi ta 'weraq għandhom kloroplasti?</v>
      </c>
    </row>
    <row r="3018" ht="15.75" customHeight="1">
      <c r="A3018" s="2" t="s">
        <v>3018</v>
      </c>
      <c r="B3018" s="2" t="str">
        <f>IFERROR(__xludf.DUMMYFUNCTION("GOOGLETRANSLATE(A3018, ""en"", ""mt"")"),"Liema forma huma wħud mill-bini fil-kumpless tal-Parlament?")</f>
        <v>Liema forma huma wħud mill-bini fil-kumpless tal-Parlament?</v>
      </c>
    </row>
    <row r="3019" ht="15.75" customHeight="1">
      <c r="A3019" s="2" t="s">
        <v>3019</v>
      </c>
      <c r="B3019" s="2" t="str">
        <f>IFERROR(__xludf.DUMMYFUNCTION("GOOGLETRANSLATE(A3019, ""en"", ""mt"")"),"blu")</f>
        <v>blu</v>
      </c>
    </row>
    <row r="3020" ht="15.75" customHeight="1">
      <c r="A3020" s="2" t="s">
        <v>3020</v>
      </c>
      <c r="B3020" s="2" t="str">
        <f>IFERROR(__xludf.DUMMYFUNCTION("GOOGLETRANSLATE(A3020, ""en"", ""mt"")"),"Filwaqt li l-ideat ta 'Qutb saru dejjem aktar radikali matul il-ħabs tiegħu qabel l-eżekuzzjoni tiegħu fl-1966, it-tmexxija tal-fratellanza, immexxija minn Hasan al-Hudaybi, baqgħet moderata u interessata fin-negozjar politiku u l-attiviżmu. Movimenti mar"&amp;"ġinali jew splinter ispirati mill-kitbiet finali ta 'QUTB f'nofs is-snin 1960 (partikolarment il-manifest importanti, a.k.a. Ma'alim fi-l-tariq) żviluppaw, madankollu, żviluppaw u huma segwew direzzjoni aktar radikali. Fis-snin sebgħin, il-fratellanza kie"&amp;"net irrinunzjat għall-vjolenza bħala mezz biex tilħaq l-għanijiet tagħha.")</f>
        <v>Filwaqt li l-ideat ta 'Qutb saru dejjem aktar radikali matul il-ħabs tiegħu qabel l-eżekuzzjoni tiegħu fl-1966, it-tmexxija tal-fratellanza, immexxija minn Hasan al-Hudaybi, baqgħet moderata u interessata fin-negozjar politiku u l-attiviżmu. Movimenti marġinali jew splinter ispirati mill-kitbiet finali ta 'QUTB f'nofs is-snin 1960 (partikolarment il-manifest importanti, a.k.a. Ma'alim fi-l-tariq) żviluppaw, madankollu, żviluppaw u huma segwew direzzjoni aktar radikali. Fis-snin sebgħin, il-fratellanza kienet irrinunzjat għall-vjolenza bħala mezz biex tilħaq l-għanijiet tagħha.</v>
      </c>
    </row>
    <row r="3021" ht="15.75" customHeight="1">
      <c r="A3021" s="2" t="s">
        <v>3021</v>
      </c>
      <c r="B3021" s="2" t="str">
        <f>IFERROR(__xludf.DUMMYFUNCTION("GOOGLETRANSLATE(A3021, ""en"", ""mt"")"),"Mill-aħħar tas-snin 1340 'il quddiem, in-nies fil-kampanja sofrew minn diżastri naturali frekwenti bħal nixfiet, għargħar u l-ġuħ li jirriżulta, u n-nuqqas ta' politika effettiva tal-gvern wassal għal telf ta 'appoġġ popolari. Fl-1351, ir-Rebellion Turban"&amp;" Red bdiet u kibret f'rewwixta nazzjonali. Fl-1354, meta Toghtogha mexxa armata kbira biex tfarrak ir-ribelli tar-Red Turban, Toghun Temür f'daqqa waħda ċaħadlu minħabba l-biża 'ta' tradiment. Dan irriżulta fir-restawr tal-poter ta 'Toghun Temür minn naħa"&amp;" u dgħajjef rapidu tal-gvern ċentrali mill-ieħor. Huwa ma kellu l-ebda għażla ħlief li jiddependi fuq il-poter militari tal-kmandanti lokali, u gradwalment tilef l-interess tiegħu fil-politika u ma baqax jintervjeni fi ġlidiet politiċi. Huwa ħarab lejn it"&amp;"-tramuntana lejn Shangdu minn Khanbaliq (Beijing preżenti) fl-1368 wara l-approċċ tal-forzi tad-dinastija Míng (1368-1644), imwaqqfa minn Zhu Yuanzhang fin-nofsinhar. Huwa kien ipprova jerġa 'jikseb Khanbaliq, li eventwalment falla; Huwa miet f'Yingchang "&amp;"(li jinsab fil-Mongolja ta 'ġewwa preżenti) sentejn wara (1370). Yingchang ġie maqbud mill-Ming ftit wara mewtu. Xi membri tal-familja rjali għadhom għexu f’Henan illum.")</f>
        <v>Mill-aħħar tas-snin 1340 'il quddiem, in-nies fil-kampanja sofrew minn diżastri naturali frekwenti bħal nixfiet, għargħar u l-ġuħ li jirriżulta, u n-nuqqas ta' politika effettiva tal-gvern wassal għal telf ta 'appoġġ popolari. Fl-1351, ir-Rebellion Turban Red bdiet u kibret f'rewwixta nazzjonali. Fl-1354, meta Toghtogha mexxa armata kbira biex tfarrak ir-ribelli tar-Red Turban, Toghun Temür f'daqqa waħda ċaħadlu minħabba l-biża 'ta' tradiment. Dan irriżulta fir-restawr tal-poter ta 'Toghun Temür minn naħa u dgħajjef rapidu tal-gvern ċentrali mill-ieħor. Huwa ma kellu l-ebda għażla ħlief li jiddependi fuq il-poter militari tal-kmandanti lokali, u gradwalment tilef l-interess tiegħu fil-politika u ma baqax jintervjeni fi ġlidiet politiċi. Huwa ħarab lejn it-tramuntana lejn Shangdu minn Khanbaliq (Beijing preżenti) fl-1368 wara l-approċċ tal-forzi tad-dinastija Míng (1368-1644), imwaqqfa minn Zhu Yuanzhang fin-nofsinhar. Huwa kien ipprova jerġa 'jikseb Khanbaliq, li eventwalment falla; Huwa miet f'Yingchang (li jinsab fil-Mongolja ta 'ġewwa preżenti) sentejn wara (1370). Yingchang ġie maqbud mill-Ming ftit wara mewtu. Xi membri tal-familja rjali għadhom għexu f’Henan illum.</v>
      </c>
    </row>
    <row r="3022" ht="15.75" customHeight="1">
      <c r="A3022" s="2" t="s">
        <v>3022</v>
      </c>
      <c r="B3022" s="2" t="str">
        <f>IFERROR(__xludf.DUMMYFUNCTION("GOOGLETRANSLATE(A3022, ""en"", ""mt"")"),"Ir-relazzjoni ta 'ctenophores mal-bqija tal-metazoa hija importanti ħafna għall-għarfien tagħna dwar l-evoluzzjoni bikrija ta' l-annimali u l-oriġini tal-multikellularità. Kien il-fokus tad-dibattitu għal ħafna snin. Ctenophores ġew maħsuba li huma n-nise"&amp;"l ta ’oħt il-Bilateria, oħt iċ-Cnidaria, oħt lil Cnidaria, Placozoa u Bilateria, u oħt il-phyla l-oħra kollha tal-annimali. Serje ta 'studji li ħarsu lejn il-preżenza u l-assenza ta' membri ta 'familji tal-ġeni u mogħdijiet ta' sinjalazzjoni (per eżempju,"&amp;" homeoboxes, riċetturi nukleari, mogħdija ta 'sinjalazzjoni Wnt, u kanali tas-sodju) urew evidenza kongruwenti ma' dawn l-aħħar żewġ xenarji, li ċ-ċtenofori huma jew oħthom lil Cnidaria, Placozoa u Bilateria jew oħt il-phyla l-oħra kollha tal-annimali. Bo"&amp;"sta studji aktar riċenti li jqabblu ġenomi sekwenzjati kompluti ta 'ctenophores ma' ġenomi ta 'annimali sekwenzati oħra appoġġaw ukoll ctenophori bħala n-nisel oħt għall-annimali l-oħra kollha. Din il-pożizzjoni tissuġġerixxi li t-tipi ta 'ċelluli newrali"&amp;" u tal-muskoli jew intilfu f'linji ewlenin ta' l-annimali (per eżempju, Porifera) jew li evolvew b'mod indipendenti fin-nisel taċ-ctenophore. Madankollu, riċerkaturi oħra argumentaw li t-tqegħid ta 'ctenophora bħala oħt għall-annimali l-oħra kollha hija a"&amp;"nomalija statistika kkawżata mir-rata għolja ta' evoluzzjoni fil-ġenomi ta 'ctenophore, u li l-porifera (sponoż) hija l-ewwel phylum tal-annimali li qed issir aktar kmieni. Ctenophores u sponoż huma wkoll l-unika phyla tal-annimali magħrufa li m'għandhomx"&amp;" xi ġeni hox vera.")</f>
        <v>Ir-relazzjoni ta 'ctenophores mal-bqija tal-metazoa hija importanti ħafna għall-għarfien tagħna dwar l-evoluzzjoni bikrija ta' l-annimali u l-oriġini tal-multikellularità. Kien il-fokus tad-dibattitu għal ħafna snin. Ctenophores ġew maħsuba li huma n-nisel ta ’oħt il-Bilateria, oħt iċ-Cnidaria, oħt lil Cnidaria, Placozoa u Bilateria, u oħt il-phyla l-oħra kollha tal-annimali. Serje ta 'studji li ħarsu lejn il-preżenza u l-assenza ta' membri ta 'familji tal-ġeni u mogħdijiet ta' sinjalazzjoni (per eżempju, homeoboxes, riċetturi nukleari, mogħdija ta 'sinjalazzjoni Wnt, u kanali tas-sodju) urew evidenza kongruwenti ma' dawn l-aħħar żewġ xenarji, li ċ-ċtenofori huma jew oħthom lil Cnidaria, Placozoa u Bilateria jew oħt il-phyla l-oħra kollha tal-annimali. Bosta studji aktar riċenti li jqabblu ġenomi sekwenzjati kompluti ta 'ctenophores ma' ġenomi ta 'annimali sekwenzati oħra appoġġaw ukoll ctenophori bħala n-nisel oħt għall-annimali l-oħra kollha. Din il-pożizzjoni tissuġġerixxi li t-tipi ta 'ċelluli newrali u tal-muskoli jew intilfu f'linji ewlenin ta' l-annimali (per eżempju, Porifera) jew li evolvew b'mod indipendenti fin-nisel taċ-ctenophore. Madankollu, riċerkaturi oħra argumentaw li t-tqegħid ta 'ctenophora bħala oħt għall-annimali l-oħra kollha hija anomalija statistika kkawżata mir-rata għolja ta' evoluzzjoni fil-ġenomi ta 'ctenophore, u li l-porifera (sponoż) hija l-ewwel phylum tal-annimali li qed issir aktar kmieni. Ctenophores u sponoż huma wkoll l-unika phyla tal-annimali magħrufa li m'għandhomx xi ġeni hox vera.</v>
      </c>
    </row>
    <row r="3023" ht="15.75" customHeight="1">
      <c r="A3023" s="2" t="s">
        <v>3023</v>
      </c>
      <c r="B3023" s="2" t="str">
        <f>IFERROR(__xludf.DUMMYFUNCTION("GOOGLETRANSLATE(A3023, ""en"", ""mt"")"),"1887")</f>
        <v>1887</v>
      </c>
    </row>
    <row r="3024" ht="15.75" customHeight="1">
      <c r="A3024" s="2" t="s">
        <v>3024</v>
      </c>
      <c r="B3024" s="2" t="str">
        <f>IFERROR(__xludf.DUMMYFUNCTION("GOOGLETRANSLATE(A3024, ""en"", ""mt"")"),"X'kien l-iskor finali tas-Super Bowl XXXIII?")</f>
        <v>X'kien l-iskor finali tas-Super Bowl XXXIII?</v>
      </c>
    </row>
    <row r="3025" ht="15.75" customHeight="1">
      <c r="A3025" s="2" t="s">
        <v>3025</v>
      </c>
      <c r="B3025" s="2" t="str">
        <f>IFERROR(__xludf.DUMMYFUNCTION("GOOGLETRANSLATE(A3025, ""en"", ""mt"")"),"il-konservattiv")</f>
        <v>il-konservattiv</v>
      </c>
    </row>
    <row r="3026" ht="15.75" customHeight="1">
      <c r="A3026" s="2" t="s">
        <v>3026</v>
      </c>
      <c r="B3026" s="2" t="str">
        <f>IFERROR(__xludf.DUMMYFUNCTION("GOOGLETRANSLATE(A3026, ""en"", ""mt"")"),"Minħabba li ż-żejt kien ipprezzat f'dollari, id-dħul reali tal-produtturi taż-żejt naqas.")</f>
        <v>Minħabba li ż-żejt kien ipprezzat f'dollari, id-dħul reali tal-produtturi taż-żejt naqas.</v>
      </c>
    </row>
    <row r="3027" ht="15.75" customHeight="1">
      <c r="A3027" s="2" t="s">
        <v>3027</v>
      </c>
      <c r="B3027" s="2" t="str">
        <f>IFERROR(__xludf.DUMMYFUNCTION("GOOGLETRANSLATE(A3027, ""en"", ""mt"")"),"Fl-1873, Tesla rritornat fit-twelid tiegħu, Smiljan. Ftit wara li wasal, Tesla kkuntrattat il-kolera; Huwa kien imsaħħaħ għal disa 'xhur u kien qrib il-mewt diversi drabi. Missier Tesla, f’mument ta ’disperazzjoni, wiegħed li jibgħatlu lill-aqwa skola ta’"&amp;" inġinerija jekk irkupra mill-marda (missieru oriġinarjament ried li jidħol fis-saċerdozju).")</f>
        <v>Fl-1873, Tesla rritornat fit-twelid tiegħu, Smiljan. Ftit wara li wasal, Tesla kkuntrattat il-kolera; Huwa kien imsaħħaħ għal disa 'xhur u kien qrib il-mewt diversi drabi. Missier Tesla, f’mument ta ’disperazzjoni, wiegħed li jibgħatlu lill-aqwa skola ta’ inġinerija jekk irkupra mill-marda (missieru oriġinarjament ried li jidħol fis-saċerdozju).</v>
      </c>
    </row>
    <row r="3028" ht="15.75" customHeight="1">
      <c r="A3028" s="2" t="s">
        <v>3028</v>
      </c>
      <c r="B3028" s="2" t="str">
        <f>IFERROR(__xludf.DUMMYFUNCTION("GOOGLETRANSLATE(A3028, ""en"", ""mt"")"),"Meta ġie mwaqqa 'al-nimeiry?")</f>
        <v>Meta ġie mwaqqa 'al-nimeiry?</v>
      </c>
    </row>
    <row r="3029" ht="15.75" customHeight="1">
      <c r="A3029" s="2" t="s">
        <v>3029</v>
      </c>
      <c r="B3029" s="2" t="str">
        <f>IFERROR(__xludf.DUMMYFUNCTION("GOOGLETRANSLATE(A3029, ""en"", ""mt"")"),"Le Grande kiteb ukoll li d-definizzjoni tat-terminu diżubbidjenza ċivili daqshekk diffiċli jista 'jiġi deskritt bħala?")</f>
        <v>Le Grande kiteb ukoll li d-definizzjoni tat-terminu diżubbidjenza ċivili daqshekk diffiċli jista 'jiġi deskritt bħala?</v>
      </c>
    </row>
    <row r="3030" ht="15.75" customHeight="1">
      <c r="A3030" s="2" t="s">
        <v>3030</v>
      </c>
      <c r="B3030" s="2" t="str">
        <f>IFERROR(__xludf.DUMMYFUNCTION("GOOGLETRANSLATE(A3030, ""en"", ""mt"")"),"X'kien il-proporzjon ta 'Huguenots għall-Kattoliċi fil-quċċata tagħhom?")</f>
        <v>X'kien il-proporzjon ta 'Huguenots għall-Kattoliċi fil-quċċata tagħhom?</v>
      </c>
    </row>
    <row r="3031" ht="15.75" customHeight="1">
      <c r="A3031" s="2" t="s">
        <v>3031</v>
      </c>
      <c r="B3031" s="2" t="str">
        <f>IFERROR(__xludf.DUMMYFUNCTION("GOOGLETRANSLATE(A3031, ""en"", ""mt"")"),"Kooperazzjoni")</f>
        <v>Kooperazzjoni</v>
      </c>
    </row>
    <row r="3032" ht="15.75" customHeight="1">
      <c r="A3032" s="2" t="s">
        <v>3032</v>
      </c>
      <c r="B3032" s="2" t="str">
        <f>IFERROR(__xludf.DUMMYFUNCTION("GOOGLETRANSLATE(A3032, ""en"", ""mt"")"),"Ħajja b'saħħitha")</f>
        <v>Ħajja b'saħħitha</v>
      </c>
    </row>
    <row r="3033" ht="15.75" customHeight="1">
      <c r="A3033" s="2" t="s">
        <v>3033</v>
      </c>
      <c r="B3033" s="2" t="str">
        <f>IFERROR(__xludf.DUMMYFUNCTION("GOOGLETRANSLATE(A3033, ""en"", ""mt"")"),"Meta Tesla gradwat?")</f>
        <v>Meta Tesla gradwat?</v>
      </c>
    </row>
    <row r="3034" ht="15.75" customHeight="1">
      <c r="A3034" s="2" t="s">
        <v>3034</v>
      </c>
      <c r="B3034" s="2" t="str">
        <f>IFERROR(__xludf.DUMMYFUNCTION("GOOGLETRANSLATE(A3034, ""en"", ""mt"")"),"Qlib taċ-ċirkwit")</f>
        <v>Qlib taċ-ċirkwit</v>
      </c>
    </row>
    <row r="3035" ht="15.75" customHeight="1">
      <c r="A3035" s="2" t="s">
        <v>3035</v>
      </c>
      <c r="B3035" s="2" t="str">
        <f>IFERROR(__xludf.DUMMYFUNCTION("GOOGLETRANSLATE(A3035, ""en"", ""mt"")"),"Xi jħoss Piketty kien l-akbar fatturi fit-tnaqqis tal-inugwaljanza bejn l-1914 sal-1945?")</f>
        <v>Xi jħoss Piketty kien l-akbar fatturi fit-tnaqqis tal-inugwaljanza bejn l-1914 sal-1945?</v>
      </c>
    </row>
    <row r="3036" ht="15.75" customHeight="1">
      <c r="A3036" s="2" t="s">
        <v>3036</v>
      </c>
      <c r="B3036" s="2" t="str">
        <f>IFERROR(__xludf.DUMMYFUNCTION("GOOGLETRANSLATE(A3036, ""en"", ""mt"")"),"1550")</f>
        <v>1550</v>
      </c>
    </row>
    <row r="3037" ht="15.75" customHeight="1">
      <c r="A3037" s="2" t="s">
        <v>3037</v>
      </c>
      <c r="B3037" s="2" t="str">
        <f>IFERROR(__xludf.DUMMYFUNCTION("GOOGLETRANSLATE(A3037, ""en"", ""mt"")"),"RSA")</f>
        <v>RSA</v>
      </c>
    </row>
    <row r="3038" ht="15.75" customHeight="1">
      <c r="A3038" s="2" t="s">
        <v>3038</v>
      </c>
      <c r="B3038" s="2" t="str">
        <f>IFERROR(__xludf.DUMMYFUNCTION("GOOGLETRANSLATE(A3038, ""en"", ""mt"")"),"X'tip ta 'konfini jgħinu biex jiddefinixxu l-mod kif iġibu ruħhom it-tfal?")</f>
        <v>X'tip ta 'konfini jgħinu biex jiddefinixxu l-mod kif iġibu ruħhom it-tfal?</v>
      </c>
    </row>
    <row r="3039" ht="15.75" customHeight="1">
      <c r="A3039" s="2" t="s">
        <v>3039</v>
      </c>
      <c r="B3039" s="2" t="str">
        <f>IFERROR(__xludf.DUMMYFUNCTION("GOOGLETRANSLATE(A3039, ""en"", ""mt"")"),"problema tal-komputazzjoni")</f>
        <v>problema tal-komputazzjoni</v>
      </c>
    </row>
    <row r="3040" ht="15.75" customHeight="1">
      <c r="A3040" s="2" t="s">
        <v>3040</v>
      </c>
      <c r="B3040" s="2" t="str">
        <f>IFERROR(__xludf.DUMMYFUNCTION("GOOGLETRANSLATE(A3040, ""en"", ""mt"")"),"Itfi d-difiżi ospitanti")</f>
        <v>Itfi d-difiżi ospitanti</v>
      </c>
    </row>
    <row r="3041" ht="15.75" customHeight="1">
      <c r="A3041" s="2" t="s">
        <v>3041</v>
      </c>
      <c r="B3041" s="2" t="str">
        <f>IFERROR(__xludf.DUMMYFUNCTION("GOOGLETRANSLATE(A3041, ""en"", ""mt"")"),"Saraċens")</f>
        <v>Saraċens</v>
      </c>
    </row>
    <row r="3042" ht="15.75" customHeight="1">
      <c r="A3042" s="2" t="s">
        <v>3042</v>
      </c>
      <c r="B3042" s="2" t="str">
        <f>IFERROR(__xludf.DUMMYFUNCTION("GOOGLETRANSLATE(A3042, ""en"", ""mt"")"),"25 minuta")</f>
        <v>25 minuta</v>
      </c>
    </row>
    <row r="3043" ht="15.75" customHeight="1">
      <c r="A3043" s="2" t="s">
        <v>3043</v>
      </c>
      <c r="B3043" s="2" t="str">
        <f>IFERROR(__xludf.DUMMYFUNCTION("GOOGLETRANSLATE(A3043, ""en"", ""mt"")"),"Liema Specials tat-Televiżjoni ABC akkwistaw id-drittijiet fl-2000?")</f>
        <v>Liema Specials tat-Televiżjoni ABC akkwistaw id-drittijiet fl-2000?</v>
      </c>
    </row>
    <row r="3044" ht="15.75" customHeight="1">
      <c r="A3044" s="2" t="s">
        <v>3044</v>
      </c>
      <c r="B3044" s="2" t="str">
        <f>IFERROR(__xludf.DUMMYFUNCTION("GOOGLETRANSLATE(A3044, ""en"", ""mt"")"),"Kemm maġġuri akkademiċi l-università tagħti b’kollox?")</f>
        <v>Kemm maġġuri akkademiċi l-università tagħti b’kollox?</v>
      </c>
    </row>
    <row r="3045" ht="15.75" customHeight="1">
      <c r="A3045" s="2" t="s">
        <v>3045</v>
      </c>
      <c r="B3045" s="2" t="str">
        <f>IFERROR(__xludf.DUMMYFUNCTION("GOOGLETRANSLATE(A3045, ""en"", ""mt"")"),"Referendum fi Franza u r-referendum fl-Olanda")</f>
        <v>Referendum fi Franza u r-referendum fl-Olanda</v>
      </c>
    </row>
    <row r="3046" ht="15.75" customHeight="1">
      <c r="A3046" s="2" t="s">
        <v>3046</v>
      </c>
      <c r="B3046" s="2" t="str">
        <f>IFERROR(__xludf.DUMMYFUNCTION("GOOGLETRANSLATE(A3046, ""en"", ""mt"")"),"primarjament tul il-fruntieri bejn Franza l-ġdida u l-kolonji Ingliżi")</f>
        <v>primarjament tul il-fruntieri bejn Franza l-ġdida u l-kolonji Ingliżi</v>
      </c>
    </row>
    <row r="3047" ht="15.75" customHeight="1">
      <c r="A3047" s="2" t="s">
        <v>3047</v>
      </c>
      <c r="B3047" s="2" t="str">
        <f>IFERROR(__xludf.DUMMYFUNCTION("GOOGLETRANSLATE(A3047, ""en"", ""mt"")"),"Kemm punti d-difiża ta 'Broncos ippermettiet lill-avversarji tagħhom jiksbu?")</f>
        <v>Kemm punti d-difiża ta 'Broncos ippermettiet lill-avversarji tagħhom jiksbu?</v>
      </c>
    </row>
    <row r="3048" ht="15.75" customHeight="1">
      <c r="A3048" s="2" t="s">
        <v>3048</v>
      </c>
      <c r="B3048" s="2" t="str">
        <f>IFERROR(__xludf.DUMMYFUNCTION("GOOGLETRANSLATE(A3048, ""en"", ""mt"")"),"Mużew tal-Immaġni li Jiċċaqlaq")</f>
        <v>Mużew tal-Immaġni li Jiċċaqlaq</v>
      </c>
    </row>
    <row r="3049" ht="15.75" customHeight="1">
      <c r="A3049" s="2" t="s">
        <v>3049</v>
      </c>
      <c r="B3049" s="2" t="str">
        <f>IFERROR(__xludf.DUMMYFUNCTION("GOOGLETRANSLATE(A3049, ""en"", ""mt"")"),"Inventur ta 'Smallpipes ta' Northumbrian Keyed")</f>
        <v>Inventur ta 'Smallpipes ta' Northumbrian Keyed</v>
      </c>
    </row>
    <row r="3050" ht="15.75" customHeight="1">
      <c r="A3050" s="2" t="s">
        <v>3050</v>
      </c>
      <c r="B3050" s="2" t="str">
        <f>IFERROR(__xludf.DUMMYFUNCTION("GOOGLETRANSLATE(A3050, ""en"", ""mt"")"),"Imperu Khwarezmid")</f>
        <v>Imperu Khwarezmid</v>
      </c>
    </row>
    <row r="3051" ht="15.75" customHeight="1">
      <c r="A3051" s="2" t="s">
        <v>3051</v>
      </c>
      <c r="B3051" s="2" t="str">
        <f>IFERROR(__xludf.DUMMYFUNCTION("GOOGLETRANSLATE(A3051, ""en"", ""mt"")"),"Liema ġeneru kien jidher l-awto-fertilizzazzjoni?")</f>
        <v>Liema ġeneru kien jidher l-awto-fertilizzazzjoni?</v>
      </c>
    </row>
    <row r="3052" ht="15.75" customHeight="1">
      <c r="A3052" s="2" t="s">
        <v>3052</v>
      </c>
      <c r="B3052" s="2" t="str">
        <f>IFERROR(__xludf.DUMMYFUNCTION("GOOGLETRANSLATE(A3052, ""en"", ""mt"")"),"Il-Knisja tal-Ingilterra.")</f>
        <v>Il-Knisja tal-Ingilterra.</v>
      </c>
    </row>
    <row r="3053" ht="15.75" customHeight="1">
      <c r="A3053" s="2" t="s">
        <v>3053</v>
      </c>
      <c r="B3053" s="2" t="str">
        <f>IFERROR(__xludf.DUMMYFUNCTION("GOOGLETRANSLATE(A3053, ""en"", ""mt"")"),"Liema belt hija ppjanata li tkun parti mill-ferrovija ta 'veloċità għolja ta' California?")</f>
        <v>Liema belt hija ppjanata li tkun parti mill-ferrovija ta 'veloċità għolja ta' California?</v>
      </c>
    </row>
    <row r="3054" ht="15.75" customHeight="1">
      <c r="A3054" s="2" t="s">
        <v>3054</v>
      </c>
      <c r="B3054" s="2" t="str">
        <f>IFERROR(__xludf.DUMMYFUNCTION("GOOGLETRANSLATE(A3054, ""en"", ""mt"")"),"Park Roeding")</f>
        <v>Park Roeding</v>
      </c>
    </row>
    <row r="3055" ht="15.75" customHeight="1">
      <c r="A3055" s="2" t="s">
        <v>3055</v>
      </c>
      <c r="B3055" s="2" t="str">
        <f>IFERROR(__xludf.DUMMYFUNCTION("GOOGLETRANSLATE(A3055, ""en"", ""mt"")"),"X'kien is-sehem tat-telespettazzjoni ta 'ABC fl-1993?")</f>
        <v>X'kien is-sehem tat-telespettazzjoni ta 'ABC fl-1993?</v>
      </c>
    </row>
    <row r="3056" ht="15.75" customHeight="1">
      <c r="A3056" s="2" t="s">
        <v>3056</v>
      </c>
      <c r="B3056" s="2" t="str">
        <f>IFERROR(__xludf.DUMMYFUNCTION("GOOGLETRANSLATE(A3056, ""en"", ""mt"")"),"Tribujiet Nomadi tal-Asja tal-Grigal")</f>
        <v>Tribujiet Nomadi tal-Asja tal-Grigal</v>
      </c>
    </row>
    <row r="3057" ht="15.75" customHeight="1">
      <c r="A3057" s="2" t="s">
        <v>3057</v>
      </c>
      <c r="B3057" s="2" t="str">
        <f>IFERROR(__xludf.DUMMYFUNCTION("GOOGLETRANSLATE(A3057, ""en"", ""mt"")"),"50 kilopascals")</f>
        <v>50 kilopascals</v>
      </c>
    </row>
    <row r="3058" ht="15.75" customHeight="1">
      <c r="A3058" s="2" t="s">
        <v>3058</v>
      </c>
      <c r="B3058" s="2" t="str">
        <f>IFERROR(__xludf.DUMMYFUNCTION("GOOGLETRANSLATE(A3058, ""en"", ""mt"")"),"Modulu tas-Servizz")</f>
        <v>Modulu tas-Servizz</v>
      </c>
    </row>
    <row r="3059" ht="15.75" customHeight="1">
      <c r="A3059" s="2" t="s">
        <v>3059</v>
      </c>
      <c r="B3059" s="2" t="str">
        <f>IFERROR(__xludf.DUMMYFUNCTION("GOOGLETRANSLATE(A3059, ""en"", ""mt"")"),"X'jiekol ġeneralment il-Bolinopsis?")</f>
        <v>X'jiekol ġeneralment il-Bolinopsis?</v>
      </c>
    </row>
    <row r="3060" ht="15.75" customHeight="1">
      <c r="A3060" s="2" t="s">
        <v>3060</v>
      </c>
      <c r="B3060" s="2" t="str">
        <f>IFERROR(__xludf.DUMMYFUNCTION("GOOGLETRANSLATE(A3060, ""en"", ""mt"")"),"Liema armi kienu qed jużaw iż-Żulus matul il-Gwerra Anglo-Żulu tal-1879?")</f>
        <v>Liema armi kienu qed jużaw iż-Żulus matul il-Gwerra Anglo-Żulu tal-1879?</v>
      </c>
    </row>
    <row r="3061" ht="15.75" customHeight="1">
      <c r="A3061" s="2" t="s">
        <v>3061</v>
      </c>
      <c r="B3061" s="2" t="str">
        <f>IFERROR(__xludf.DUMMYFUNCTION("GOOGLETRANSLATE(A3061, ""en"", ""mt"")"),"it-tielet post")</f>
        <v>it-tielet post</v>
      </c>
    </row>
    <row r="3062" ht="15.75" customHeight="1">
      <c r="A3062" s="2" t="s">
        <v>3062</v>
      </c>
      <c r="B3062" s="2" t="str">
        <f>IFERROR(__xludf.DUMMYFUNCTION("GOOGLETRANSLATE(A3062, ""en"", ""mt"")"),"Flagellat komuni")</f>
        <v>Flagellat komuni</v>
      </c>
    </row>
    <row r="3063" ht="15.75" customHeight="1">
      <c r="A3063" s="2" t="s">
        <v>3063</v>
      </c>
      <c r="B3063" s="2" t="str">
        <f>IFERROR(__xludf.DUMMYFUNCTION("GOOGLETRANSLATE(A3063, ""en"", ""mt"")"),"stadji ta 'fuq finta mimlijin ilma")</f>
        <v>stadji ta 'fuq finta mimlijin ilma</v>
      </c>
    </row>
    <row r="3064" ht="15.75" customHeight="1">
      <c r="A3064" s="2" t="s">
        <v>3064</v>
      </c>
      <c r="B3064" s="2" t="str">
        <f>IFERROR(__xludf.DUMMYFUNCTION("GOOGLETRANSLATE(A3064, ""en"", ""mt"")"),"L-analiżi reġjonali tal-kost-benefiċċju u l-qsim tal-piż li jvarjaw fir-rigward tad-distribuzzjoni tat-tnaqqis tal-emissjonijiet")</f>
        <v>L-analiżi reġjonali tal-kost-benefiċċju u l-qsim tal-piż li jvarjaw fir-rigward tad-distribuzzjoni tat-tnaqqis tal-emissjonijiet</v>
      </c>
    </row>
    <row r="3065" ht="15.75" customHeight="1">
      <c r="A3065" s="2" t="s">
        <v>3065</v>
      </c>
      <c r="B3065" s="2" t="str">
        <f>IFERROR(__xludf.DUMMYFUNCTION("GOOGLETRANSLATE(A3065, ""en"", ""mt"")"),"Min beda jippubblika Doctor Who Novels fl-2005?")</f>
        <v>Min beda jippubblika Doctor Who Novels fl-2005?</v>
      </c>
    </row>
    <row r="3066" ht="15.75" customHeight="1">
      <c r="A3066" s="2" t="s">
        <v>3066</v>
      </c>
      <c r="B3066" s="2" t="str">
        <f>IFERROR(__xludf.DUMMYFUNCTION("GOOGLETRANSLATE(A3066, ""en"", ""mt"")"),"Madwar 3.5 biljun sena ilu")</f>
        <v>Madwar 3.5 biljun sena ilu</v>
      </c>
    </row>
    <row r="3067" ht="15.75" customHeight="1">
      <c r="A3067" s="2" t="s">
        <v>3067</v>
      </c>
      <c r="B3067" s="2" t="str">
        <f>IFERROR(__xludf.DUMMYFUNCTION("GOOGLETRANSLATE(A3067, ""en"", ""mt"")"),"abjad, blu, roża, neon tal-qawsalla u glittering")</f>
        <v>abjad, blu, roża, neon tal-qawsalla u glittering</v>
      </c>
    </row>
    <row r="3068" ht="15.75" customHeight="1">
      <c r="A3068" s="2" t="s">
        <v>3068</v>
      </c>
      <c r="B3068" s="2" t="str">
        <f>IFERROR(__xludf.DUMMYFUNCTION("GOOGLETRANSLATE(A3068, ""en"", ""mt"")"),"probabbiltà li tirrepeti")</f>
        <v>probabbiltà li tirrepeti</v>
      </c>
    </row>
    <row r="3069" ht="15.75" customHeight="1">
      <c r="A3069" s="2" t="s">
        <v>3069</v>
      </c>
      <c r="B3069" s="2" t="str">
        <f>IFERROR(__xludf.DUMMYFUNCTION("GOOGLETRANSLATE(A3069, ""en"", ""mt"")"),"Liema artist Olandiż famuż li pitter l-għassa tal-lejl huwa rrappreżentat fil-kollezzjoni tat-tpinġijiet tal-V &amp; A?")</f>
        <v>Liema artist Olandiż famuż li pitter l-għassa tal-lejl huwa rrappreżentat fil-kollezzjoni tat-tpinġijiet tal-V &amp; A?</v>
      </c>
    </row>
    <row r="3070" ht="15.75" customHeight="1">
      <c r="A3070" s="2" t="s">
        <v>3070</v>
      </c>
      <c r="B3070" s="2" t="str">
        <f>IFERROR(__xludf.DUMMYFUNCTION("GOOGLETRANSLATE(A3070, ""en"", ""mt"")"),"X'kien it-titlu Taljan tal-ktieb ta 'Polo?")</f>
        <v>X'kien it-titlu Taljan tal-ktieb ta 'Polo?</v>
      </c>
    </row>
    <row r="3071" ht="15.75" customHeight="1">
      <c r="A3071" s="2" t="s">
        <v>3071</v>
      </c>
      <c r="B3071" s="2" t="str">
        <f>IFERROR(__xludf.DUMMYFUNCTION("GOOGLETRANSLATE(A3071, ""en"", ""mt"")"),"kittien")</f>
        <v>kittien</v>
      </c>
    </row>
    <row r="3072" ht="15.75" customHeight="1">
      <c r="A3072" s="2" t="s">
        <v>3072</v>
      </c>
      <c r="B3072" s="2" t="str">
        <f>IFERROR(__xludf.DUMMYFUNCTION("GOOGLETRANSLATE(A3072, ""en"", ""mt"")"),"X'inhu l-laqam għall-A167 ta 'Newcastle?")</f>
        <v>X'inhu l-laqam għall-A167 ta 'Newcastle?</v>
      </c>
    </row>
    <row r="3073" ht="15.75" customHeight="1">
      <c r="A3073" s="2" t="s">
        <v>3073</v>
      </c>
      <c r="B3073" s="2" t="str">
        <f>IFERROR(__xludf.DUMMYFUNCTION("GOOGLETRANSLATE(A3073, ""en"", ""mt"")"),"Ir-rwol ta 'Yersinia pestis fil-mewt l-Iswed")</f>
        <v>Ir-rwol ta 'Yersinia pestis fil-mewt l-Iswed</v>
      </c>
    </row>
    <row r="3074" ht="15.75" customHeight="1">
      <c r="A3074" s="2" t="s">
        <v>3074</v>
      </c>
      <c r="B3074" s="2" t="str">
        <f>IFERROR(__xludf.DUMMYFUNCTION("GOOGLETRANSLATE(A3074, ""en"", ""mt"")"),"F'liema oqsma jseħħ ħafna mit-tagħlim?")</f>
        <v>F'liema oqsma jseħħ ħafna mit-tagħlim?</v>
      </c>
    </row>
    <row r="3075" ht="15.75" customHeight="1">
      <c r="A3075" s="2" t="s">
        <v>3075</v>
      </c>
      <c r="B3075" s="2" t="str">
        <f>IFERROR(__xludf.DUMMYFUNCTION("GOOGLETRANSLATE(A3075, ""en"", ""mt"")"),"X'tip ta 'effett Luther spiss uża fid-diskorsi tiegħu?")</f>
        <v>X'tip ta 'effett Luther spiss uża fid-diskorsi tiegħu?</v>
      </c>
    </row>
    <row r="3076" ht="15.75" customHeight="1">
      <c r="A3076" s="2" t="s">
        <v>3076</v>
      </c>
      <c r="B3076" s="2" t="str">
        <f>IFERROR(__xludf.DUMMYFUNCTION("GOOGLETRANSLATE(A3076, ""en"", ""mt"")"),"Liema żewġ oqsma fir-Repubblika kienu l-ewwel li jagħtu drittijiet lill-Huguenots?")</f>
        <v>Liema żewġ oqsma fir-Repubblika kienu l-ewwel li jagħtu drittijiet lill-Huguenots?</v>
      </c>
    </row>
    <row r="3077" ht="15.75" customHeight="1">
      <c r="A3077" s="2" t="s">
        <v>3077</v>
      </c>
      <c r="B3077" s="2" t="str">
        <f>IFERROR(__xludf.DUMMYFUNCTION("GOOGLETRANSLATE(A3077, ""en"", ""mt"")"),"Kostruzzjoni tal-Kumpless tax-Xjenza Allston $ 1.2 biljun")</f>
        <v>Kostruzzjoni tal-Kumpless tax-Xjenza Allston $ 1.2 biljun</v>
      </c>
    </row>
    <row r="3078" ht="15.75" customHeight="1">
      <c r="A3078" s="2" t="s">
        <v>3078</v>
      </c>
      <c r="B3078" s="2" t="str">
        <f>IFERROR(__xludf.DUMMYFUNCTION("GOOGLETRANSLATE(A3078, ""en"", ""mt"")"),"Il-fallimenti Ingliżi fl-Amerika ta ’Fuq, flimkien ma’ fallimenti oħra fit-Teatru Ewropew, wasslu għall-waqgħa mill-poter ta ’Newcastle u l-konsulent militari prinċipali tiegħu, id-Duka ta’ Cumberland. Newcastle u Pitt ingħaqdu f'koalizzjoni inkwiet li fi"&amp;"ha Pitt iddomina l-ippjanar militari. Huwa beda pjan għall-kampanja tal-1758 li kienet fil-biċċa l-kbira żviluppata minn Loudoun. Huwa kien ġie sostitwit minn Abercrombie bħala kmandant kap wara l-fallimenti tal-1757. Il-pjan ta 'Pitt talab għal tliet azz"&amp;"jonijiet offensivi kbar li jinvolvu numru kbir ta' truppi regolari, appoġġjati mill-milizji provinċjali, immirati biex jaqbdu l-qalb ta 'Franza l-ġdida. Tnejn mill-ispedizzjonijiet kellhom suċċess, bil-Fort Duquesne u Louisbourg jaqgħu għall-forzi Ingliżi"&amp;" mdaqqsa.")</f>
        <v>Il-fallimenti Ingliżi fl-Amerika ta ’Fuq, flimkien ma’ fallimenti oħra fit-Teatru Ewropew, wasslu għall-waqgħa mill-poter ta ’Newcastle u l-konsulent militari prinċipali tiegħu, id-Duka ta’ Cumberland. Newcastle u Pitt ingħaqdu f'koalizzjoni inkwiet li fiha Pitt iddomina l-ippjanar militari. Huwa beda pjan għall-kampanja tal-1758 li kienet fil-biċċa l-kbira żviluppata minn Loudoun. Huwa kien ġie sostitwit minn Abercrombie bħala kmandant kap wara l-fallimenti tal-1757. Il-pjan ta 'Pitt talab għal tliet azzjonijiet offensivi kbar li jinvolvu numru kbir ta' truppi regolari, appoġġjati mill-milizji provinċjali, immirati biex jaqbdu l-qalb ta 'Franza l-ġdida. Tnejn mill-ispedizzjonijiet kellhom suċċess, bil-Fort Duquesne u Louisbourg jaqgħu għall-forzi Ingliżi mdaqqsa.</v>
      </c>
    </row>
    <row r="3079" ht="15.75" customHeight="1">
      <c r="A3079" s="2" t="s">
        <v>3079</v>
      </c>
      <c r="B3079" s="2" t="str">
        <f>IFERROR(__xludf.DUMMYFUNCTION("GOOGLETRANSLATE(A3079, ""en"", ""mt"")"),"X'kien l-isem tal-ewwel reazzjoni nukleari magħmula mill-bniedem awto-sostnuta?")</f>
        <v>X'kien l-isem tal-ewwel reazzjoni nukleari magħmula mill-bniedem awto-sostnuta?</v>
      </c>
    </row>
    <row r="3080" ht="15.75" customHeight="1">
      <c r="A3080" s="2" t="s">
        <v>3080</v>
      </c>
      <c r="B3080" s="2" t="str">
        <f>IFERROR(__xludf.DUMMYFUNCTION("GOOGLETRANSLATE(A3080, ""en"", ""mt"")"),"Interventiv")</f>
        <v>Interventiv</v>
      </c>
    </row>
    <row r="3081" ht="15.75" customHeight="1">
      <c r="A3081" s="2" t="s">
        <v>3081</v>
      </c>
      <c r="B3081" s="2" t="str">
        <f>IFERROR(__xludf.DUMMYFUNCTION("GOOGLETRANSLATE(A3081, ""en"", ""mt"")"),"X'inhu l-iżgħar student li jista 'jkollu għalliem?")</f>
        <v>X'inhu l-iżgħar student li jista 'jkollu għalliem?</v>
      </c>
    </row>
    <row r="3082" ht="15.75" customHeight="1">
      <c r="A3082" s="2" t="s">
        <v>3082</v>
      </c>
      <c r="B3082" s="2" t="str">
        <f>IFERROR(__xludf.DUMMYFUNCTION("GOOGLETRANSLATE(A3082, ""en"", ""mt"")"),"Konservazzjoni bbażata fil-Komunità")</f>
        <v>Konservazzjoni bbażata fil-Komunità</v>
      </c>
    </row>
    <row r="3083" ht="15.75" customHeight="1">
      <c r="A3083" s="2" t="s">
        <v>3083</v>
      </c>
      <c r="B3083" s="2" t="str">
        <f>IFERROR(__xludf.DUMMYFUNCTION("GOOGLETRANSLATE(A3083, ""en"", ""mt"")"),"influwenti")</f>
        <v>influwenti</v>
      </c>
    </row>
    <row r="3084" ht="15.75" customHeight="1">
      <c r="A3084" s="2" t="s">
        <v>3084</v>
      </c>
      <c r="B3084" s="2" t="str">
        <f>IFERROR(__xludf.DUMMYFUNCTION("GOOGLETRANSLATE(A3084, ""en"", ""mt"")"),"Il-belt għandha żewġ universitajiet - Newcastle University u Northumbria University. L-Università ta ’Newcastle għandha l-oriġini tagħha fl-Iskola tal-Mediċina u l-Kirurġija, stabbilita fl-1834 u saret indipendenti mill-Università ta’ Durham fl-1 ta ’Awwi"&amp;"ssu 1963 biex tifforma l-Università ta’ Newcastle fuq Tyne. Newcastle University issa hija waħda mill-universitajiet internazzjonali ewlenin tar-Renju Unit. Huwa rebaħ il-premju tas-Sunday Times tal-Università tas-Sena fl-2000. L-Università ta 'Northumbri"&amp;"a għandha l-oriġini tagħha fi Newcastle Polytechnic, stabbilita fl-1969 u saret l-Università ta' Northumbria fi Newcastle fl-1992 bħala parti mill-proċess tar-Renju Unit universitajiet. L-Università ta 'Northumbria ġiet ivvutata ""L-Aħjar Università Ġdida"&amp;""" mill-Times Good University Guide 2005 u rebħet ukoll il-Premju tal-Kumpanija ferm coveted tal-Organizzazzjoni ""L-iktar IT Enabled"" (fir-Renju Unit), mir-rivista tal-IT tal-IT.")</f>
        <v>Il-belt għandha żewġ universitajiet - Newcastle University u Northumbria University. L-Università ta ’Newcastle għandha l-oriġini tagħha fl-Iskola tal-Mediċina u l-Kirurġija, stabbilita fl-1834 u saret indipendenti mill-Università ta’ Durham fl-1 ta ’Awwissu 1963 biex tifforma l-Università ta’ Newcastle fuq Tyne. Newcastle University issa hija waħda mill-universitajiet internazzjonali ewlenin tar-Renju Unit. Huwa rebaħ il-premju tas-Sunday Times tal-Università tas-Sena fl-2000. L-Università ta 'Northumbria għandha l-oriġini tagħha fi Newcastle Polytechnic, stabbilita fl-1969 u saret l-Università ta' Northumbria fi Newcastle fl-1992 bħala parti mill-proċess tar-Renju Unit universitajiet. L-Università ta 'Northumbria ġiet ivvutata "L-Aħjar Università Ġdida" mill-Times Good University Guide 2005 u rebħet ukoll il-Premju tal-Kumpanija ferm coveted tal-Organizzazzjoni "L-iktar IT Enabled" (fir-Renju Unit), mir-rivista tal-IT tal-IT.</v>
      </c>
    </row>
    <row r="3085" ht="15.75" customHeight="1">
      <c r="A3085" s="2" t="s">
        <v>3085</v>
      </c>
      <c r="B3085" s="2" t="str">
        <f>IFERROR(__xludf.DUMMYFUNCTION("GOOGLETRANSLATE(A3085, ""en"", ""mt"")"),"Meta ġew ippubblikati wħud mix-xogħlijiet l-aktar magħrufa ta 'Luther?")</f>
        <v>Meta ġew ippubblikati wħud mix-xogħlijiet l-aktar magħrufa ta 'Luther?</v>
      </c>
    </row>
    <row r="3086" ht="15.75" customHeight="1">
      <c r="A3086" s="2" t="s">
        <v>3086</v>
      </c>
      <c r="B3086" s="2" t="str">
        <f>IFERROR(__xludf.DUMMYFUNCTION("GOOGLETRANSLATE(A3086, ""en"", ""mt"")"),"Fl-24 ta 'Marzu 1879, Tesla ġiet mibgħuta lura lil Gospić taħt il-gwardja tal-pulizija talli ma kellhiex permess ta' residenza. Fis-17 ta 'April 1879, Milutin Tesla miet fl-età ta '60 wara li kkuntrattat marda mhux speċifikata (għalkemm xi sorsi jgħidu li"&amp;" miet ta' puplesija). Matul dik is-sena, Tesla għallmet klassi kbira ta ’studenti fl-iskola antika tiegħu, ġinnasju reali ogħla, fi Gospić.")</f>
        <v>Fl-24 ta 'Marzu 1879, Tesla ġiet mibgħuta lura lil Gospić taħt il-gwardja tal-pulizija talli ma kellhiex permess ta' residenza. Fis-17 ta 'April 1879, Milutin Tesla miet fl-età ta '60 wara li kkuntrattat marda mhux speċifikata (għalkemm xi sorsi jgħidu li miet ta' puplesija). Matul dik is-sena, Tesla għallmet klassi kbira ta ’studenti fl-iskola antika tiegħu, ġinnasju reali ogħla, fi Gospić.</v>
      </c>
    </row>
    <row r="3087" ht="15.75" customHeight="1">
      <c r="A3087" s="2" t="s">
        <v>3087</v>
      </c>
      <c r="B3087" s="2" t="str">
        <f>IFERROR(__xludf.DUMMYFUNCTION("GOOGLETRANSLATE(A3087, ""en"", ""mt"")"),"Montpellier")</f>
        <v>Montpellier</v>
      </c>
    </row>
    <row r="3088" ht="15.75" customHeight="1">
      <c r="A3088" s="2" t="s">
        <v>3088</v>
      </c>
      <c r="B3088" s="2" t="str">
        <f>IFERROR(__xludf.DUMMYFUNCTION("GOOGLETRANSLATE(A3088, ""en"", ""mt"")"),"gruppi ta 'tlieta")</f>
        <v>gruppi ta 'tlieta</v>
      </c>
    </row>
    <row r="3089" ht="15.75" customHeight="1">
      <c r="A3089" s="2" t="s">
        <v>3089</v>
      </c>
      <c r="B3089" s="2" t="str">
        <f>IFERROR(__xludf.DUMMYFUNCTION("GOOGLETRANSLATE(A3089, ""en"", ""mt"")"),"Kemm mili mill-Baħar tat-Tramuntana huwa Newcastle?")</f>
        <v>Kemm mili mill-Baħar tat-Tramuntana huwa Newcastle?</v>
      </c>
    </row>
    <row r="3090" ht="15.75" customHeight="1">
      <c r="A3090" s="2" t="s">
        <v>3090</v>
      </c>
      <c r="B3090" s="2" t="str">
        <f>IFERROR(__xludf.DUMMYFUNCTION("GOOGLETRANSLATE(A3090, ""en"", ""mt"")"),"Tliet speċi putattivi addizzjonali")</f>
        <v>Tliet speċi putattivi addizzjonali</v>
      </c>
    </row>
    <row r="3091" ht="15.75" customHeight="1">
      <c r="A3091" s="2" t="s">
        <v>3091</v>
      </c>
      <c r="B3091" s="2" t="str">
        <f>IFERROR(__xludf.DUMMYFUNCTION("GOOGLETRANSLATE(A3091, ""en"", ""mt"")"),"René-Robert Cavelier, Sieur de la Salle esplora l-pajjiż ta 'Ohio")</f>
        <v>René-Robert Cavelier, Sieur de la Salle esplora l-pajjiż ta 'Ohio</v>
      </c>
    </row>
    <row r="3092" ht="15.75" customHeight="1">
      <c r="A3092" s="2" t="s">
        <v>3092</v>
      </c>
      <c r="B3092" s="2" t="str">
        <f>IFERROR(__xludf.DUMMYFUNCTION("GOOGLETRANSLATE(A3092, ""en"", ""mt"")"),"Ingliż")</f>
        <v>Ingliż</v>
      </c>
    </row>
    <row r="3093" ht="15.75" customHeight="1">
      <c r="A3093" s="2" t="s">
        <v>3093</v>
      </c>
      <c r="B3093" s="2" t="str">
        <f>IFERROR(__xludf.DUMMYFUNCTION("GOOGLETRANSLATE(A3093, ""en"", ""mt"")"),"X'inhi l-professjoni ta 'Thomas B. Edsall?")</f>
        <v>X'inhi l-professjoni ta 'Thomas B. Edsall?</v>
      </c>
    </row>
    <row r="3094" ht="15.75" customHeight="1">
      <c r="A3094" s="2" t="s">
        <v>3094</v>
      </c>
      <c r="B3094" s="2" t="str">
        <f>IFERROR(__xludf.DUMMYFUNCTION("GOOGLETRANSLATE(A3094, ""en"", ""mt"")"),"Bassett jiffoka fuq dak li juri l-idea tiegħu?")</f>
        <v>Bassett jiffoka fuq dak li juri l-idea tiegħu?</v>
      </c>
    </row>
    <row r="3095" ht="15.75" customHeight="1">
      <c r="A3095" s="2" t="s">
        <v>3095</v>
      </c>
      <c r="B3095" s="2" t="str">
        <f>IFERROR(__xludf.DUMMYFUNCTION("GOOGLETRANSLATE(A3095, ""en"", ""mt"")"),"komunità usa '")</f>
        <v>komunità usa '</v>
      </c>
    </row>
    <row r="3096" ht="15.75" customHeight="1">
      <c r="A3096" s="2" t="s">
        <v>3096</v>
      </c>
      <c r="B3096" s="2" t="str">
        <f>IFERROR(__xludf.DUMMYFUNCTION("GOOGLETRANSLATE(A3096, ""en"", ""mt"")"),"Min kien Boleslaw II ta 'Masovia?")</f>
        <v>Min kien Boleslaw II ta 'Masovia?</v>
      </c>
    </row>
    <row r="3097" ht="15.75" customHeight="1">
      <c r="A3097" s="2" t="s">
        <v>3097</v>
      </c>
      <c r="B3097" s="2" t="str">
        <f>IFERROR(__xludf.DUMMYFUNCTION("GOOGLETRANSLATE(A3097, ""en"", ""mt"")"),"Mill-Dynasties Sui u Tang")</f>
        <v>Mill-Dynasties Sui u Tang</v>
      </c>
    </row>
    <row r="3098" ht="15.75" customHeight="1">
      <c r="A3098" s="2" t="s">
        <v>3098</v>
      </c>
      <c r="B3098" s="2" t="str">
        <f>IFERROR(__xludf.DUMMYFUNCTION("GOOGLETRANSLATE(A3098, ""en"", ""mt"")"),"1937")</f>
        <v>1937</v>
      </c>
    </row>
    <row r="3099" ht="15.75" customHeight="1">
      <c r="A3099" s="2" t="s">
        <v>3099</v>
      </c>
      <c r="B3099" s="2" t="str">
        <f>IFERROR(__xludf.DUMMYFUNCTION("GOOGLETRANSLATE(A3099, ""en"", ""mt"")"),"1970")</f>
        <v>1970</v>
      </c>
    </row>
    <row r="3100" ht="15.75" customHeight="1">
      <c r="A3100" s="2" t="s">
        <v>3100</v>
      </c>
      <c r="B3100" s="2" t="str">
        <f>IFERROR(__xludf.DUMMYFUNCTION("GOOGLETRANSLATE(A3100, ""en"", ""mt"")"),"Prototip għall-Konfederazzjoni")</f>
        <v>Prototip għall-Konfederazzjoni</v>
      </c>
    </row>
    <row r="3101" ht="15.75" customHeight="1">
      <c r="A3101" s="2" t="s">
        <v>3101</v>
      </c>
      <c r="B3101" s="2" t="str">
        <f>IFERROR(__xludf.DUMMYFUNCTION("GOOGLETRANSLATE(A3101, ""en"", ""mt"")"),"Ir-Rabat għandha kostituzzjoni bil-miktub promulgata fl-1975, iżda bbażata fuq il-Kostituzzjoni Kolonjali tal-1855, mgħoddija mill-Parlament tar-Renju Unit bħala l-Att dwar il-Kostituzzjoni tar-Rabat 1855, li jistabbilixxi l-Parlament bħala l-korp li jagħ"&amp;"mel il-liġi tal-istat għal kwistjonijiet li jaqgħu taħt ir-responsabbiltà tal-istat. Il-Kostituzzjoni Vittorjana tista 'tiġi emendata mill-Parlament ta' Victoria, ħlief għal ċerti dispożizzjonijiet ""għeruq"" li jeħtieġu jew maġġoranza assoluta fiż-żewġ d"&amp;"jar, maġġoranza ta 'tliet ħamsa fiż-żewġ djar, jew l-approvazzjoni tal-poplu Vittorjan f'referendum, jiddependi dwar id-dispożizzjoni.")</f>
        <v>Ir-Rabat għandha kostituzzjoni bil-miktub promulgata fl-1975, iżda bbażata fuq il-Kostituzzjoni Kolonjali tal-1855, mgħoddija mill-Parlament tar-Renju Unit bħala l-Att dwar il-Kostituzzjoni tar-Rabat 1855, li jistabbilixxi l-Parlament bħala l-korp li jagħmel il-liġi tal-istat għal kwistjonijiet li jaqgħu taħt ir-responsabbiltà tal-istat. Il-Kostituzzjoni Vittorjana tista 'tiġi emendata mill-Parlament ta' Victoria, ħlief għal ċerti dispożizzjonijiet "għeruq" li jeħtieġu jew maġġoranza assoluta fiż-żewġ djar, maġġoranza ta 'tliet ħamsa fiż-żewġ djar, jew l-approvazzjoni tal-poplu Vittorjan f'referendum, jiddependi dwar id-dispożizzjoni.</v>
      </c>
    </row>
    <row r="3102" ht="15.75" customHeight="1">
      <c r="A3102" s="2" t="s">
        <v>3102</v>
      </c>
      <c r="B3102" s="2" t="str">
        <f>IFERROR(__xludf.DUMMYFUNCTION("GOOGLETRANSLATE(A3102, ""en"", ""mt"")"),"jekk hux se jagħmel iktar ħsara milli ġid")</f>
        <v>jekk hux se jagħmel iktar ħsara milli ġid</v>
      </c>
    </row>
    <row r="3103" ht="15.75" customHeight="1">
      <c r="A3103" s="2" t="s">
        <v>3103</v>
      </c>
      <c r="B3103" s="2" t="str">
        <f>IFERROR(__xludf.DUMMYFUNCTION("GOOGLETRANSLATE(A3103, ""en"", ""mt"")"),"Liema denominazzjoni hija assoċjata mal-Kulleġġ San Kentigern?")</f>
        <v>Liema denominazzjoni hija assoċjata mal-Kulleġġ San Kentigern?</v>
      </c>
    </row>
    <row r="3104" ht="15.75" customHeight="1">
      <c r="A3104" s="2" t="s">
        <v>3104</v>
      </c>
      <c r="B3104" s="2" t="str">
        <f>IFERROR(__xludf.DUMMYFUNCTION("GOOGLETRANSLATE(A3104, ""en"", ""mt"")"),"Pjan aħjar ta 'Jacksonville")</f>
        <v>Pjan aħjar ta 'Jacksonville</v>
      </c>
    </row>
    <row r="3105" ht="15.75" customHeight="1">
      <c r="A3105" s="2" t="s">
        <v>3105</v>
      </c>
      <c r="B3105" s="2" t="str">
        <f>IFERROR(__xludf.DUMMYFUNCTION("GOOGLETRANSLATE(A3105, ""en"", ""mt"")"),"batterjofage")</f>
        <v>batterjofage</v>
      </c>
    </row>
    <row r="3106" ht="15.75" customHeight="1">
      <c r="A3106" s="2" t="s">
        <v>3106</v>
      </c>
      <c r="B3106" s="2" t="str">
        <f>IFERROR(__xludf.DUMMYFUNCTION("GOOGLETRANSLATE(A3106, ""en"", ""mt"")"),"Skulturi kemm Ingliżi kif ukoll Ewropej li kienu bbażati fil-Gran Brittanja u li x-xogħol tagħhom jinsab fil-kollezzjoni jinkludu Nicholas Stone, Caius Gabriel Cibber, Grinling Gibbons, John Michael Rysbrack, Louis-François Roubilic, Peter Scheemakers, Si"&amp;"r Henry Cheere, Agostino Carlini, Thomas Banks, Joseph Nollekens, Joseph Wilton, John Flaxman, Sir Francis Chantrey, John Gibson, Edward Hodges Baily, Lord Leighton, Alfred Stevens, Thomas Brock, Alfred Gilbert, George Frampton, u Eric Gill. Kampjun ta 'w"&amp;"ħud minn dawn ix-xogħol ta' dawn l-iskulturi huwa għall-wiri fil-Galleriji Brittaniċi.")</f>
        <v>Skulturi kemm Ingliżi kif ukoll Ewropej li kienu bbażati fil-Gran Brittanja u li x-xogħol tagħhom jinsab fil-kollezzjoni jinkludu Nicholas Stone, Caius Gabriel Cibber, Grinling Gibbons, John Michael Rysbrack, Louis-François Roubilic, Peter Scheemakers, Sir Henry Cheere, Agostino Carlini, Thomas Banks, Joseph Nollekens, Joseph Wilton, John Flaxman, Sir Francis Chantrey, John Gibson, Edward Hodges Baily, Lord Leighton, Alfred Stevens, Thomas Brock, Alfred Gilbert, George Frampton, u Eric Gill. Kampjun ta 'wħud minn dawn ix-xogħol ta' dawn l-iskulturi huwa għall-wiri fil-Galleriji Brittaniċi.</v>
      </c>
    </row>
    <row r="3107" ht="15.75" customHeight="1">
      <c r="A3107" s="2" t="s">
        <v>3107</v>
      </c>
      <c r="B3107" s="2" t="str">
        <f>IFERROR(__xludf.DUMMYFUNCTION("GOOGLETRANSLATE(A3107, ""en"", ""mt"")"),"Demografikament")</f>
        <v>Demografikament</v>
      </c>
    </row>
    <row r="3108" ht="15.75" customHeight="1">
      <c r="A3108" s="2" t="s">
        <v>3108</v>
      </c>
      <c r="B3108" s="2" t="str">
        <f>IFERROR(__xludf.DUMMYFUNCTION("GOOGLETRANSLATE(A3108, ""en"", ""mt"")"),"Min qal Edward jgħid li qed jiġi attakkat mill-imperjalizmu tal-Istati Uniti?")</f>
        <v>Min qal Edward jgħid li qed jiġi attakkat mill-imperjalizmu tal-Istati Uniti?</v>
      </c>
    </row>
    <row r="3109" ht="15.75" customHeight="1">
      <c r="A3109" s="2" t="s">
        <v>3109</v>
      </c>
      <c r="B3109" s="2" t="str">
        <f>IFERROR(__xludf.DUMMYFUNCTION("GOOGLETRANSLATE(A3109, ""en"", ""mt"")"),"Meta kienet l-aħħar darba li California ospitat Super Bowl?")</f>
        <v>Meta kienet l-aħħar darba li California ospitat Super Bowl?</v>
      </c>
    </row>
    <row r="3110" ht="15.75" customHeight="1">
      <c r="A3110" s="2" t="s">
        <v>3110</v>
      </c>
      <c r="B3110" s="2" t="str">
        <f>IFERROR(__xludf.DUMMYFUNCTION("GOOGLETRANSLATE(A3110, ""en"", ""mt"")"),"Liema karatteristika tidentifika l-antenati Franċiżi ta 'xi Afrika t'Isfel?")</f>
        <v>Liema karatteristika tidentifika l-antenati Franċiżi ta 'xi Afrika t'Isfel?</v>
      </c>
    </row>
    <row r="3111" ht="15.75" customHeight="1">
      <c r="A3111" s="2" t="s">
        <v>3111</v>
      </c>
      <c r="B3111" s="2" t="str">
        <f>IFERROR(__xludf.DUMMYFUNCTION("GOOGLETRANSLATE(A3111, ""en"", ""mt"")"),"Magni tat-Turing")</f>
        <v>Magni tat-Turing</v>
      </c>
    </row>
    <row r="3112" ht="15.75" customHeight="1">
      <c r="A3112" s="2" t="s">
        <v>3112</v>
      </c>
      <c r="B3112" s="2" t="str">
        <f>IFERROR(__xludf.DUMMYFUNCTION("GOOGLETRANSLATE(A3112, ""en"", ""mt"")"),"Fl-1900, Tesla ngħatat privattivi għal ""sistema ta 'trasmissjoni ta' enerġija elettrika"" u ""trasmettitur elettriku."" Meta Guglielmo Marconi għamel l-ewwel trasmissjoni tar-radju transatlantiku famuż tiegħu fl-1901, Tesla qabdet li kien sar bi 17-il br"&amp;"evett ta 'Tesla, għalkemm ftit hemm biex tappoġġja din it-talba. Dan kien il-bidu ta 'snin ta' battalji ta 'privattivi fuq ir-radju bil-privattivi ta' Tesla qed jintlaqgħu fl-1903, segwita minn deċiżjoni inversa favur Marconi fl-1904. Fl-1943, Qorti Supre"&amp;"ma ta 'l-Istati Uniti d-deċiżjoni rrestawrat il-privattivi preċedenti ta' Tesla, Oliver, Oliver Logħba, u John Stone. Il-qorti ddikjarat li d-deċiżjoni tagħhom ma kellha l-ebda effett fuq it-talba ta 'Marconi bħala l-ewwel li tinkiseb trasmissjoni tar-rad"&amp;"ju, biss li peress li t-talba ta' Marconi għal ċerti privattivi kienet dubjuża, ma setax jitlob ksur fuq dawk l-istess privattivi (hemm talbiet li l-Qorti Għolja kienet qed tipprova Nullify Gwerra Dinjija I Talba kontra l-Gvern ta 'l-Istati Uniti mill-Kum"&amp;"panija Marconi permezz ta' sempliċement restawr tal-privattiva preċedenti ta 'Tesla).")</f>
        <v>Fl-1900, Tesla ngħatat privattivi għal "sistema ta 'trasmissjoni ta' enerġija elettrika" u "trasmettitur elettriku." Meta Guglielmo Marconi għamel l-ewwel trasmissjoni tar-radju transatlantiku famuż tiegħu fl-1901, Tesla qabdet li kien sar bi 17-il brevett ta 'Tesla, għalkemm ftit hemm biex tappoġġja din it-talba. Dan kien il-bidu ta 'snin ta' battalji ta 'privattivi fuq ir-radju bil-privattivi ta' Tesla qed jintlaqgħu fl-1903, segwita minn deċiżjoni inversa favur Marconi fl-1904. Fl-1943, Qorti Suprema ta 'l-Istati Uniti d-deċiżjoni rrestawrat il-privattivi preċedenti ta' Tesla, Oliver, Oliver Logħba, u John Stone. Il-qorti ddikjarat li d-deċiżjoni tagħhom ma kellha l-ebda effett fuq it-talba ta 'Marconi bħala l-ewwel li tinkiseb trasmissjoni tar-radju, biss li peress li t-talba ta' Marconi għal ċerti privattivi kienet dubjuża, ma setax jitlob ksur fuq dawk l-istess privattivi (hemm talbiet li l-Qorti Għolja kienet qed tipprova Nullify Gwerra Dinjija I Talba kontra l-Gvern ta 'l-Istati Uniti mill-Kumpanija Marconi permezz ta' sempliċement restawr tal-privattiva preċedenti ta 'Tesla).</v>
      </c>
    </row>
    <row r="3113" ht="15.75" customHeight="1">
      <c r="A3113" s="2" t="s">
        <v>3113</v>
      </c>
      <c r="B3113" s="2" t="str">
        <f>IFERROR(__xludf.DUMMYFUNCTION("GOOGLETRANSLATE(A3113, ""en"", ""mt"")"),"X'tip ta 'sentenzi ngħataw id-dimostranti?")</f>
        <v>X'tip ta 'sentenzi ngħataw id-dimostranti?</v>
      </c>
    </row>
    <row r="3114" ht="15.75" customHeight="1">
      <c r="A3114" s="2" t="s">
        <v>3114</v>
      </c>
      <c r="B3114" s="2" t="str">
        <f>IFERROR(__xludf.DUMMYFUNCTION("GOOGLETRANSLATE(A3114, ""en"", ""mt"")"),"Sala tal-Knisja ta ’Kristu")</f>
        <v>Sala tal-Knisja ta ’Kristu</v>
      </c>
    </row>
    <row r="3115" ht="15.75" customHeight="1">
      <c r="A3115" s="2" t="s">
        <v>3115</v>
      </c>
      <c r="B3115" s="2" t="str">
        <f>IFERROR(__xludf.DUMMYFUNCTION("GOOGLETRANSLATE(A3115, ""en"", ""mt"")"),"X'kien l-isem tal-miżura approvata li għen biex tkopri l-ispiża tal-proġetti ewlenin tal-belt?")</f>
        <v>X'kien l-isem tal-miżura approvata li għen biex tkopri l-ispiża tal-proġetti ewlenin tal-belt?</v>
      </c>
    </row>
    <row r="3116" ht="15.75" customHeight="1">
      <c r="A3116" s="2" t="s">
        <v>3116</v>
      </c>
      <c r="B3116" s="2" t="str">
        <f>IFERROR(__xludf.DUMMYFUNCTION("GOOGLETRANSLATE(A3116, ""en"", ""mt"")"),"Min għamel Luther li kien l-Antichrist?")</f>
        <v>Min għamel Luther li kien l-Antichrist?</v>
      </c>
    </row>
    <row r="3117" ht="15.75" customHeight="1">
      <c r="A3117" s="2" t="s">
        <v>3117</v>
      </c>
      <c r="B3117" s="2" t="str">
        <f>IFERROR(__xludf.DUMMYFUNCTION("GOOGLETRANSLATE(A3117, ""en"", ""mt"")"),"qawwa ratba")</f>
        <v>qawwa ratba</v>
      </c>
    </row>
    <row r="3118" ht="15.75" customHeight="1">
      <c r="A3118" s="2" t="s">
        <v>3118</v>
      </c>
      <c r="B3118" s="2" t="str">
        <f>IFERROR(__xludf.DUMMYFUNCTION("GOOGLETRANSLATE(A3118, ""en"", ""mt"")"),"Pesta Bubonika")</f>
        <v>Pesta Bubonika</v>
      </c>
    </row>
    <row r="3119" ht="15.75" customHeight="1">
      <c r="A3119" s="2" t="s">
        <v>3119</v>
      </c>
      <c r="B3119" s="2" t="str">
        <f>IFERROR(__xludf.DUMMYFUNCTION("GOOGLETRANSLATE(A3119, ""en"", ""mt"")"),"Liema sena BSKYB u Virgin Media kellhom tilwima dwar il-ġarr ta 'stazzjonijiet tas-sema fuq it-TV bil-kejbil?")</f>
        <v>Liema sena BSKYB u Virgin Media kellhom tilwima dwar il-ġarr ta 'stazzjonijiet tas-sema fuq it-TV bil-kejbil?</v>
      </c>
    </row>
    <row r="3120" ht="15.75" customHeight="1">
      <c r="A3120" s="2" t="s">
        <v>3120</v>
      </c>
      <c r="B3120" s="2" t="str">
        <f>IFERROR(__xludf.DUMMYFUNCTION("GOOGLETRANSLATE(A3120, ""en"", ""mt"")"),"Ronnie Hillman")</f>
        <v>Ronnie Hillman</v>
      </c>
    </row>
    <row r="3121" ht="15.75" customHeight="1">
      <c r="A3121" s="2" t="s">
        <v>3121</v>
      </c>
      <c r="B3121" s="2" t="str">
        <f>IFERROR(__xludf.DUMMYFUNCTION("GOOGLETRANSLATE(A3121, ""en"", ""mt"")"),"Ġermaniż")</f>
        <v>Ġermaniż</v>
      </c>
    </row>
    <row r="3122" ht="15.75" customHeight="1">
      <c r="A3122" s="2" t="s">
        <v>3122</v>
      </c>
      <c r="B3122" s="2" t="str">
        <f>IFERROR(__xludf.DUMMYFUNCTION("GOOGLETRANSLATE(A3122, ""en"", ""mt"")"),"Liema armata Varsavja ddefendiet b'suċċess lilha nnifisha?")</f>
        <v>Liema armata Varsavja ddefendiet b'suċċess lilha nnifisha?</v>
      </c>
    </row>
    <row r="3123" ht="15.75" customHeight="1">
      <c r="A3123" s="2" t="s">
        <v>3123</v>
      </c>
      <c r="B3123" s="2" t="str">
        <f>IFERROR(__xludf.DUMMYFUNCTION("GOOGLETRANSLATE(A3123, ""en"", ""mt"")"),"Sparking u ż-żamma għolja ta 'servizz kontinwu u sostituzzjoni ta' xkupilji mekkaniċi")</f>
        <v>Sparking u ż-żamma għolja ta 'servizz kontinwu u sostituzzjoni ta' xkupilji mekkaniċi</v>
      </c>
    </row>
    <row r="3124" ht="15.75" customHeight="1">
      <c r="A3124" s="2" t="s">
        <v>3124</v>
      </c>
      <c r="B3124" s="2" t="str">
        <f>IFERROR(__xludf.DUMMYFUNCTION("GOOGLETRANSLATE(A3124, ""en"", ""mt"")"),"88%")</f>
        <v>88%</v>
      </c>
    </row>
    <row r="3125" ht="15.75" customHeight="1">
      <c r="A3125" s="2" t="s">
        <v>3125</v>
      </c>
      <c r="B3125" s="2" t="str">
        <f>IFERROR(__xludf.DUMMYFUNCTION("GOOGLETRANSLATE(A3125, ""en"", ""mt"")"),"It-temperaturi medji ta 'kull xahar ivarjaw minn madwar 53 F f'Jannar għal 82 F f'Lulju. Temperaturi għoljin medja 64 sa 92 ° F (18 sa 33 ° C) matul is-sena. Indiċi tas-sħana għoljin huma komuni għax-xhur tas-sajf fiż-żona, b'indiċi 'l fuq minn 110 ° F (4"&amp;"3.3 ° C) possibbli. L-ogħla temperatura rreġistrata kienet ta ’104 ° F (40 ° C) fil-11 ta’ Lulju, 1879 u t-28 ta ’Lulju, 1872. Huwa komuni li l-maltempati jinqerdu waqt wara nofsinhar tipiku tas-sajf. Dawn huma kkawżati mit-tisħin rapidu ta 'l-art relatti"&amp;"va għall-ilma, flimkien ma' umdità estremament għolja.")</f>
        <v>It-temperaturi medji ta 'kull xahar ivarjaw minn madwar 53 F f'Jannar għal 82 F f'Lulju. Temperaturi għoljin medja 64 sa 92 ° F (18 sa 33 ° C) matul is-sena. Indiċi tas-sħana għoljin huma komuni għax-xhur tas-sajf fiż-żona, b'indiċi 'l fuq minn 110 ° F (43.3 ° C) possibbli. L-ogħla temperatura rreġistrata kienet ta ’104 ° F (40 ° C) fil-11 ta’ Lulju, 1879 u t-28 ta ’Lulju, 1872. Huwa komuni li l-maltempati jinqerdu waqt wara nofsinhar tipiku tas-sajf. Dawn huma kkawżati mit-tisħin rapidu ta 'l-art relattiva għall-ilma, flimkien ma' umdità estremament għolja.</v>
      </c>
    </row>
    <row r="3126" ht="15.75" customHeight="1">
      <c r="A3126" s="2" t="s">
        <v>3126</v>
      </c>
      <c r="B3126" s="2" t="str">
        <f>IFERROR(__xludf.DUMMYFUNCTION("GOOGLETRANSLATE(A3126, ""en"", ""mt"")"),"L-Imperu Brittaniku")</f>
        <v>L-Imperu Brittaniku</v>
      </c>
    </row>
    <row r="3127" ht="15.75" customHeight="1">
      <c r="A3127" s="2" t="s">
        <v>3127</v>
      </c>
      <c r="B3127" s="2" t="str">
        <f>IFERROR(__xludf.DUMMYFUNCTION("GOOGLETRANSLATE(A3127, ""en"", ""mt"")"),"X'inhuma l-iskejjel privati ​​li jitolbu l-ebda tagħlim?")</f>
        <v>X'inhuma l-iskejjel privati ​​li jitolbu l-ebda tagħlim?</v>
      </c>
    </row>
    <row r="3128" ht="15.75" customHeight="1">
      <c r="A3128" s="2" t="s">
        <v>3128</v>
      </c>
      <c r="B3128" s="2" t="str">
        <f>IFERROR(__xludf.DUMMYFUNCTION("GOOGLETRANSLATE(A3128, ""en"", ""mt"")"),"Liema snin għaddew is-serje oriġinali tat-Tabib WHO?")</f>
        <v>Liema snin għaddew is-serje oriġinali tat-Tabib WHO?</v>
      </c>
    </row>
    <row r="3129" ht="15.75" customHeight="1">
      <c r="A3129" s="2" t="s">
        <v>3129</v>
      </c>
      <c r="B3129" s="2" t="str">
        <f>IFERROR(__xludf.DUMMYFUNCTION("GOOGLETRANSLATE(A3129, ""en"", ""mt"")"),"huwa impossibbli")</f>
        <v>huwa impossibbli</v>
      </c>
    </row>
    <row r="3130" ht="15.75" customHeight="1">
      <c r="A3130" s="2" t="s">
        <v>3130</v>
      </c>
      <c r="B3130" s="2" t="str">
        <f>IFERROR(__xludf.DUMMYFUNCTION("GOOGLETRANSLATE(A3130, ""en"", ""mt"")"),"Xi tfisser Untersee?")</f>
        <v>Xi tfisser Untersee?</v>
      </c>
    </row>
    <row r="3131" ht="15.75" customHeight="1">
      <c r="A3131" s="2" t="s">
        <v>3131</v>
      </c>
      <c r="B3131" s="2" t="str">
        <f>IFERROR(__xludf.DUMMYFUNCTION("GOOGLETRANSLATE(A3131, ""en"", ""mt"")"),"Fil-bijosfera tad-dinja, l-arja, il-baħar u l-art")</f>
        <v>Fil-bijosfera tad-dinja, l-arja, il-baħar u l-art</v>
      </c>
    </row>
    <row r="3132" ht="15.75" customHeight="1">
      <c r="A3132" s="2" t="s">
        <v>3132</v>
      </c>
      <c r="B3132" s="2" t="str">
        <f>IFERROR(__xludf.DUMMYFUNCTION("GOOGLETRANSLATE(A3132, ""en"", ""mt"")"),"X’jaħsbu li l-avversarji ta ’Luther kienu jfissru dwar il-preżenza ta’ Alla?")</f>
        <v>X’jaħsbu li l-avversarji ta ’Luther kienu jfissru dwar il-preżenza ta’ Alla?</v>
      </c>
    </row>
    <row r="3133" ht="15.75" customHeight="1">
      <c r="A3133" s="2" t="s">
        <v>3133</v>
      </c>
      <c r="B3133" s="2" t="str">
        <f>IFERROR(__xludf.DUMMYFUNCTION("GOOGLETRANSLATE(A3133, ""en"", ""mt"")"),"Kumpanija tal-Assikurazzjoni Prudenzjali tal-Amerika.")</f>
        <v>Kumpanija tal-Assikurazzjoni Prudenzjali tal-Amerika.</v>
      </c>
    </row>
    <row r="3134" ht="15.75" customHeight="1">
      <c r="A3134" s="2" t="s">
        <v>3134</v>
      </c>
      <c r="B3134" s="2" t="str">
        <f>IFERROR(__xludf.DUMMYFUNCTION("GOOGLETRANSLATE(A3134, ""en"", ""mt"")"),"Russell T Davies")</f>
        <v>Russell T Davies</v>
      </c>
    </row>
    <row r="3135" ht="15.75" customHeight="1">
      <c r="A3135" s="2" t="s">
        <v>3135</v>
      </c>
      <c r="B3135" s="2" t="str">
        <f>IFERROR(__xludf.DUMMYFUNCTION("GOOGLETRANSLATE(A3135, ""en"", ""mt"")"),"ċelloli dendritiċi")</f>
        <v>ċelloli dendritiċi</v>
      </c>
    </row>
    <row r="3136" ht="15.75" customHeight="1">
      <c r="A3136" s="2" t="s">
        <v>3136</v>
      </c>
      <c r="B3136" s="2" t="str">
        <f>IFERROR(__xludf.DUMMYFUNCTION("GOOGLETRANSLATE(A3136, ""en"", ""mt"")"),"Kemm perċentwali ta 'art ta' Victoria hija meħuda mill-irziezet?")</f>
        <v>Kemm perċentwali ta 'art ta' Victoria hija meħuda mill-irziezet?</v>
      </c>
    </row>
    <row r="3137" ht="15.75" customHeight="1">
      <c r="A3137" s="2" t="s">
        <v>3137</v>
      </c>
      <c r="B3137" s="2" t="str">
        <f>IFERROR(__xludf.DUMMYFUNCTION("GOOGLETRANSLATE(A3137, ""en"", ""mt"")"),"Numri Carmichael")</f>
        <v>Numri Carmichael</v>
      </c>
    </row>
    <row r="3138" ht="15.75" customHeight="1">
      <c r="A3138" s="2" t="s">
        <v>3138</v>
      </c>
      <c r="B3138" s="2" t="str">
        <f>IFERROR(__xludf.DUMMYFUNCTION("GOOGLETRANSLATE(A3138, ""en"", ""mt"")"),"Liema karatteristika skulturika arkitettonika Gotika tard tinstab fuq it-torri 'l fuq mid-daħla ewlenija?")</f>
        <v>Liema karatteristika skulturika arkitettonika Gotika tard tinstab fuq it-torri 'l fuq mid-daħla ewlenija?</v>
      </c>
    </row>
    <row r="3139" ht="15.75" customHeight="1">
      <c r="A3139" s="2" t="s">
        <v>3139</v>
      </c>
      <c r="B3139" s="2" t="str">
        <f>IFERROR(__xludf.DUMMYFUNCTION("GOOGLETRANSLATE(A3139, ""en"", ""mt"")"),"Vjolazzjoni tal-liġi kriminali li ma tikserx id-drittijiet ta 'ħaddieħor")</f>
        <v>Vjolazzjoni tal-liġi kriminali li ma tikserx id-drittijiet ta 'ħaddieħor</v>
      </c>
    </row>
    <row r="3140" ht="15.75" customHeight="1">
      <c r="A3140" s="2" t="s">
        <v>3140</v>
      </c>
      <c r="B3140" s="2" t="str">
        <f>IFERROR(__xludf.DUMMYFUNCTION("GOOGLETRANSLATE(A3140, ""en"", ""mt"")"),"Ir-Renju Unit, l-Awstralja, il-Kanada u l-Istati Uniti")</f>
        <v>Ir-Renju Unit, l-Awstralja, il-Kanada u l-Istati Uniti</v>
      </c>
    </row>
    <row r="3141" ht="15.75" customHeight="1">
      <c r="A3141" s="2" t="s">
        <v>3141</v>
      </c>
      <c r="B3141" s="2" t="str">
        <f>IFERROR(__xludf.DUMMYFUNCTION("GOOGLETRANSLATE(A3141, ""en"", ""mt"")"),"Issottometti għall-Piena")</f>
        <v>Issottometti għall-Piena</v>
      </c>
    </row>
    <row r="3142" ht="15.75" customHeight="1">
      <c r="A3142" s="2" t="s">
        <v>3142</v>
      </c>
      <c r="B3142" s="2" t="str">
        <f>IFERROR(__xludf.DUMMYFUNCTION("GOOGLETRANSLATE(A3142, ""en"", ""mt"")"),"2,000 m")</f>
        <v>2,000 m</v>
      </c>
    </row>
    <row r="3143" ht="15.75" customHeight="1">
      <c r="A3143" s="2" t="s">
        <v>3143</v>
      </c>
      <c r="B3143" s="2" t="str">
        <f>IFERROR(__xludf.DUMMYFUNCTION("GOOGLETRANSLATE(A3143, ""en"", ""mt"")"),"b'regoli komuni għall-faħam u l-azzar, u mbagħad l-enerġija atomika")</f>
        <v>b'regoli komuni għall-faħam u l-azzar, u mbagħad l-enerġija atomika</v>
      </c>
    </row>
    <row r="3144" ht="15.75" customHeight="1">
      <c r="A3144" s="2" t="s">
        <v>3144</v>
      </c>
      <c r="B3144" s="2" t="str">
        <f>IFERROR(__xludf.DUMMYFUNCTION("GOOGLETRANSLATE(A3144, ""en"", ""mt"")"),"Il-gwerra ġiet miġġielda primarjament tul il-fruntieri bejn New France u l-kolonji Ingliżi, minn Virginia fin-nofsinhar sa l-Iskozja fit-tramuntana. Dan beda b'tilwima dwar il-kontroll tal-konfluwenza tax-xmajjar Allegheny u Monongahela, imsejħa l-Forks o"&amp;"f the Ohio, u s-sit tal-Fort Franċiż Duquesne u l-lum Pittsburgh, Pennsylvania. It-tilwima faqqgħet fil-vjolenza fil-battalja ta ’Jumonville Glen f’Mejju 1754, li matulha l-milizjani ta’ Virginia taħt il-kmand ta ’George Washington ta ’22 sena ħabbru rond"&amp;"a Franċiża.")</f>
        <v>Il-gwerra ġiet miġġielda primarjament tul il-fruntieri bejn New France u l-kolonji Ingliżi, minn Virginia fin-nofsinhar sa l-Iskozja fit-tramuntana. Dan beda b'tilwima dwar il-kontroll tal-konfluwenza tax-xmajjar Allegheny u Monongahela, imsejħa l-Forks of the Ohio, u s-sit tal-Fort Franċiż Duquesne u l-lum Pittsburgh, Pennsylvania. It-tilwima faqqgħet fil-vjolenza fil-battalja ta ’Jumonville Glen f’Mejju 1754, li matulha l-milizjani ta’ Virginia taħt il-kmand ta ’George Washington ta ’22 sena ħabbru ronda Franċiża.</v>
      </c>
    </row>
    <row r="3145" ht="15.75" customHeight="1">
      <c r="A3145" s="2" t="s">
        <v>3145</v>
      </c>
      <c r="B3145" s="2" t="str">
        <f>IFERROR(__xludf.DUMMYFUNCTION("GOOGLETRANSLATE(A3145, ""en"", ""mt"")"),"nies Ċiniżi mhux nattivi")</f>
        <v>nies Ċiniżi mhux nattivi</v>
      </c>
    </row>
    <row r="3146" ht="15.75" customHeight="1">
      <c r="A3146" s="2" t="s">
        <v>3146</v>
      </c>
      <c r="B3146" s="2" t="str">
        <f>IFERROR(__xludf.DUMMYFUNCTION("GOOGLETRANSLATE(A3146, ""en"", ""mt"")"),"Meta kienet l-aħħar epidemija ewlenija tal-Ewropa?")</f>
        <v>Meta kienet l-aħħar epidemija ewlenija tal-Ewropa?</v>
      </c>
    </row>
    <row r="3147" ht="15.75" customHeight="1">
      <c r="A3147" s="2" t="s">
        <v>3147</v>
      </c>
      <c r="B3147" s="2" t="str">
        <f>IFERROR(__xludf.DUMMYFUNCTION("GOOGLETRANSLATE(A3147, ""en"", ""mt"")"),"Sett ta 'problema li dak huwa diffiċli għall-espressjoni NP jista' jkun iddikjarat ukoll kif?")</f>
        <v>Sett ta 'problema li dak huwa diffiċli għall-espressjoni NP jista' jkun iddikjarat ukoll kif?</v>
      </c>
    </row>
    <row r="3148" ht="15.75" customHeight="1">
      <c r="A3148" s="2" t="s">
        <v>3148</v>
      </c>
      <c r="B3148" s="2" t="str">
        <f>IFERROR(__xludf.DUMMYFUNCTION("GOOGLETRANSLATE(A3148, ""en"", ""mt"")"),"F'liema sena ngħalaq il-gallerija tal-istrumenti mużikali?")</f>
        <v>F'liema sena ngħalaq il-gallerija tal-istrumenti mużikali?</v>
      </c>
    </row>
    <row r="3149" ht="15.75" customHeight="1">
      <c r="A3149" s="2" t="s">
        <v>3149</v>
      </c>
      <c r="B3149" s="2" t="str">
        <f>IFERROR(__xludf.DUMMYFUNCTION("GOOGLETRANSLATE(A3149, ""en"", ""mt"")"),"Ekonomista")</f>
        <v>Ekonomista</v>
      </c>
    </row>
    <row r="3150" ht="15.75" customHeight="1">
      <c r="A3150" s="2" t="s">
        <v>3150</v>
      </c>
      <c r="B3150" s="2" t="str">
        <f>IFERROR(__xludf.DUMMYFUNCTION("GOOGLETRANSLATE(A3150, ""en"", ""mt"")"),"Liema kanal talbu l-5 applikazzjonijiet għax-xandir?")</f>
        <v>Liema kanal talbu l-5 applikazzjonijiet għax-xandir?</v>
      </c>
    </row>
    <row r="3151" ht="15.75" customHeight="1">
      <c r="A3151" s="2" t="s">
        <v>3151</v>
      </c>
      <c r="B3151" s="2" t="str">
        <f>IFERROR(__xludf.DUMMYFUNCTION("GOOGLETRANSLATE(A3151, ""en"", ""mt"")"),"Fejn kien ir-Rhine regolat b'kanal ta 'fuq?")</f>
        <v>Fejn kien ir-Rhine regolat b'kanal ta 'fuq?</v>
      </c>
    </row>
    <row r="3152" ht="15.75" customHeight="1">
      <c r="A3152" s="2" t="s">
        <v>3152</v>
      </c>
      <c r="B3152" s="2" t="str">
        <f>IFERROR(__xludf.DUMMYFUNCTION("GOOGLETRANSLATE(A3152, ""en"", ""mt"")"),"X’kisponi dwar Luther fis-Sassonja?")</f>
        <v>X’kisponi dwar Luther fis-Sassonja?</v>
      </c>
    </row>
    <row r="3153" ht="15.75" customHeight="1">
      <c r="A3153" s="2" t="s">
        <v>3153</v>
      </c>
      <c r="B3153" s="2" t="str">
        <f>IFERROR(__xludf.DUMMYFUNCTION("GOOGLETRANSLATE(A3153, ""en"", ""mt"")"),"Fertilizzazzjoni interna")</f>
        <v>Fertilizzazzjoni interna</v>
      </c>
    </row>
    <row r="3154" ht="15.75" customHeight="1">
      <c r="A3154" s="2" t="s">
        <v>3154</v>
      </c>
      <c r="B3154" s="2" t="str">
        <f>IFERROR(__xludf.DUMMYFUNCTION("GOOGLETRANSLATE(A3154, ""en"", ""mt"")"),"Liema attriċi Doctor Who ġiet innominata għal premju fl-2016?")</f>
        <v>Liema attriċi Doctor Who ġiet innominata għal premju fl-2016?</v>
      </c>
    </row>
    <row r="3155" ht="15.75" customHeight="1">
      <c r="A3155" s="2" t="s">
        <v>3155</v>
      </c>
      <c r="B3155" s="2" t="str">
        <f>IFERROR(__xludf.DUMMYFUNCTION("GOOGLETRANSLATE(A3155, ""en"", ""mt"")"),"Żwieġ klerikali")</f>
        <v>Żwieġ klerikali</v>
      </c>
    </row>
    <row r="3156" ht="15.75" customHeight="1">
      <c r="A3156" s="2" t="s">
        <v>3156</v>
      </c>
      <c r="B3156" s="2" t="str">
        <f>IFERROR(__xludf.DUMMYFUNCTION("GOOGLETRANSLATE(A3156, ""en"", ""mt"")"),"Il- ""libertà li tipprovdi servizzi"" taħt l-Artikolu 56 tat-TFEU japplika għal nies li jagħtu servizzi ""għar-rimunerazzjoni"", speċjalment attività kummerċjali jew professjonali. Pereżempju, fil-Van Binsbergen v Besttuur Van de Bedrijfvereniging Voor de"&amp;" Metaalnijverheid Avukat Olandiż mar il-Belġju filwaqt li ta parir lil klijent f'każ ta 'sigurtà soċjali, u kien qal li ma jistax ikompli minħabba li l-liġi Olandiża qalet li nies biss stabbiliti fl-Olanda jistgħu jagħtu legali parir. Il-Qorti tal-Ġustizz"&amp;"ja ddeċidiet li l-libertà li tipprovdi servizzi applikati, kienet direttament effettiva, u r-regola probabbilment kienet iġġustifikata: li jkollok indirizz fl-Istat Membru jkun biżżejjed biex issegwi l-għan leġittimu ta 'amministrazzjoni tajba tal-ġustizz"&amp;"ja. Il-Qorti tal-Ġustizzja ddeċidiet li l-edukazzjoni sekondarja taqa 'barra mill-ambitu tal-Artikolu 56, għaliex ġeneralment l-istat jiffinanzjah, għalkemm l-edukazzjoni għolja m'għandhiex. Il-kura tas-saħħa ġeneralment tgħodd bħala servizz. Fil-Geraets-"&amp;"Smits v Stichting Ziekenfonds Is-Sinjura Geraets-Smits iddikjarat li għandha tiġi rimborżata mill-assigurazzjoni soċjali Olandiża għall-ispejjeż li tirċievi trattament fil-Ġermanja. L-awtoritajiet tas-saħħa Olandiżi kkunsidraw it-trattament bla bżonn, u g"&amp;"ħalhekk hija argumentat li din il-libertà illimitat (tal-klinika tas-saħħa Ġermaniża) biex tipprovdi servizzi. Bosta gvernijiet issottomettew li s-servizzi tal-isptar m'għandhomx jitqiesu bħala ekonomiċi, u m'għandhomx jaqgħu taħt l-Artikolu 56. Iżda l-Qo"&amp;"rti tal-Ġustizzja li żammet is-saħħa kienet ""servizz"" minkejja li l-gvern (aktar milli r-riċevitur tas-servizz) ħallas għas-servizz. L-awtoritajiet nazzjonali jistgħu jkunu ġġustifikati meta jirrifjutaw li jirrimborżaw pazjenti għal servizzi mediċi barr"&amp;"a l-pajjiż jekk il-kura tas-saħħa rċeviet id-dar kienet mingħajr dewmien żejjed, u segwiet ""xjenza medika internazzjonali"" li fuqha t-trattamenti kienu jingħaddu bħala normali u meħtieġa. Il-qorti tirrikjedi li ċ-ċirkostanzi individwali ta 'pazjent jiġġ"&amp;"ustifikaw listi ta' stennija, u dan huwa minnu wkoll fil-kuntest tas-Servizz Nazzjonali tas-Saħħa tar-Renju Unit. Minbarra s-servizzi pubbliċi, qasam ieħor sensittiv ta 'servizzi huma dawk klassifikati bħala illegali. Josemans v Burgemeester van Maastrich"&amp;"t iddeċieda li r-regolamentazzjoni tal-Olanda tal-konsum tal-kannabis, inklużi l-projbizzjonijiet minn xi muniċipalitajiet fuq turisti (iżda mhux ċittadini Olandiżi) li jmorru fil-ħwienet tal-kafè, waqgħu barra mill-artikolu 56 għal kollox. Il-Qorti tal-Ġ"&amp;"ustizzja rraġunaw li d-drogi narkotiċi kienu kkontrollati fl-istati membri kollha, u għalhekk dan kien differenti minn każijiet oħra fejn il-prostituzzjoni jew attività kważi-legali oħra kienet soġġetta għal restrizzjoni. Jekk attività taqa 'taħt l-Artiko"&amp;"lu 56, restrizzjoni tista' tkun iġġustifikata skond l-Artikolu 52 jew rekwiżiti importanti żviluppati mill-Qorti tal-Ġustizzja. Fl-Alpinal Investments BV v il-Ministru Van Financiën negozju li biegħ il-futures tal-prodotti (ma 'Merrill Lynch u ditti banka"&amp;"rji oħra) ipprova jikkontesta liġi Olandiża li tipprojbixxi lill-klijenti li jsejħu l-kesħa. Il-Qorti tal-Ġustizzja ddeċidiet li l-projbizzjoni Olandiża segwiet għan leġittimu biex tipprevjeni ""żviluppi mhux mixtieqa fil-kummerċ tat-titoli"" inkluż il-ħa"&amp;"rsien tal-konsumatur minn tattiċi ta 'bejgħ aggressivi, u b'hekk iżżomm il-fiduċja fis-swieq Olandiżi. Fil-Omega Spielhallen GmbH v Bonn, in-negozju ta '""Laserdrome"" ġie pprojbit mill-Kunsill ta' Bonn. Xtara servizzi foloz tal-pistoli bil-lejżer minn di"&amp;"tta tar-Renju Unit imsejħa Pulsar Ltd, iżda r-residenti kienu pprotestaw kontra ""jilagħbu fil-qtil"" ta 'divertiment. Il-Qorti tal-Ġustizzja ddeċidiet li l-valur kostituzzjonali Ġermaniż tad-dinjità tal-bniedem, li sostniet il-projbizzjoni, kien jgħodd b"&amp;"ħala restrizzjoni ġustifikata fuq il-libertà li tipprovdi servizzi. Fil-Liga Portuguesa de Futebol vs Santa Ca Casa da Misericórdia de Lisboa, il-Qorti tal-Ġustizzja ddeċidiet ukoll li l-monopolju tal-istat fuq il-logħob tal-ażżard, u piena għal ditta ta "&amp;"’Ġibiltà li kienet biegħet servizzi tal-logħob tal-ażżard tal-internet, kienet iġġustifikata li tipprevjeni l-frodi u l-logħob fejn kienu diverġenti ħafna. Il-projbizzjoni kienet proporzjonata peress li dan kien mod xieraq u meħtieġ biex jiġu indirizzati "&amp;"l-problemi serji ta 'frodi li jinqalgħu fuq l-internet. Fid-Direttiva tas-Servizzi, grupp ta 'ġustifikazzjonijiet ġew ikkodifikati fl-Artikolu 16 li l-ġurisprudenza żviluppat.")</f>
        <v>Il- "libertà li tipprovdi servizzi" taħt l-Artikolu 56 tat-TFEU japplika għal nies li jagħtu servizzi "għar-rimunerazzjoni", speċjalment attività kummerċjali jew professjonali. Pereżempju, fil-Van Binsbergen v Besttuur Van de Bedrijfvereniging Voor de Metaalnijverheid Avukat Olandiż mar il-Belġju filwaqt li ta parir lil klijent f'każ ta 'sigurtà soċjali, u kien qal li ma jistax ikompli minħabba li l-liġi Olandiża qalet li nies biss stabbiliti fl-Olanda jistgħu jagħtu legali parir. Il-Qorti tal-Ġustizzja ddeċidiet li l-libertà li tipprovdi servizzi applikati, kienet direttament effettiva, u r-regola probabbilment kienet iġġustifikata: li jkollok indirizz fl-Istat Membru jkun biżżejjed biex issegwi l-għan leġittimu ta 'amministrazzjoni tajba tal-ġustizzja. Il-Qorti tal-Ġustizzja ddeċidiet li l-edukazzjoni sekondarja taqa 'barra mill-ambitu tal-Artikolu 56, għaliex ġeneralment l-istat jiffinanzjah, għalkemm l-edukazzjoni għolja m'għandhiex. Il-kura tas-saħħa ġeneralment tgħodd bħala servizz. Fil-Geraets-Smits v Stichting Ziekenfonds Is-Sinjura Geraets-Smits iddikjarat li għandha tiġi rimborżata mill-assigurazzjoni soċjali Olandiża għall-ispejjeż li tirċievi trattament fil-Ġermanja. L-awtoritajiet tas-saħħa Olandiżi kkunsidraw it-trattament bla bżonn, u għalhekk hija argumentat li din il-libertà illimitat (tal-klinika tas-saħħa Ġermaniża) biex tipprovdi servizzi. Bosta gvernijiet issottomettew li s-servizzi tal-isptar m'għandhomx jitqiesu bħala ekonomiċi, u m'għandhomx jaqgħu taħt l-Artikolu 56. Iżda l-Qorti tal-Ġustizzja li żammet is-saħħa kienet "servizz" minkejja li l-gvern (aktar milli r-riċevitur tas-servizz) ħallas għas-servizz. L-awtoritajiet nazzjonali jistgħu jkunu ġġustifikati meta jirrifjutaw li jirrimborżaw pazjenti għal servizzi mediċi barra l-pajjiż jekk il-kura tas-saħħa rċeviet id-dar kienet mingħajr dewmien żejjed, u segwiet "xjenza medika internazzjonali" li fuqha t-trattamenti kienu jingħaddu bħala normali u meħtieġa. Il-qorti tirrikjedi li ċ-ċirkostanzi individwali ta 'pazjent jiġġustifikaw listi ta' stennija, u dan huwa minnu wkoll fil-kuntest tas-Servizz Nazzjonali tas-Saħħa tar-Renju Unit. Minbarra s-servizzi pubbliċi, qasam ieħor sensittiv ta 'servizzi huma dawk klassifikati bħala illegali. Josemans v Burgemeester van Maastricht iddeċieda li r-regolamentazzjoni tal-Olanda tal-konsum tal-kannabis, inklużi l-projbizzjonijiet minn xi muniċipalitajiet fuq turisti (iżda mhux ċittadini Olandiżi) li jmorru fil-ħwienet tal-kafè, waqgħu barra mill-artikolu 56 għal kollox. Il-Qorti tal-Ġustizzja rraġunaw li d-drogi narkotiċi kienu kkontrollati fl-istati membri kollha, u għalhekk dan kien differenti minn każijiet oħra fejn il-prostituzzjoni jew attività kważi-legali oħra kienet soġġetta għal restrizzjoni. Jekk attività taqa 'taħt l-Artikolu 56, restrizzjoni tista' tkun iġġustifikata skond l-Artikolu 52 jew rekwiżiti importanti żviluppati mill-Qorti tal-Ġustizzja. Fl-Alpinal Investments BV v il-Ministru Van Financiën negozju li biegħ il-futures tal-prodotti (ma 'Merrill Lynch u ditti bankarji oħra) ipprova jikkontesta liġi Olandiża li tipprojbixxi lill-klijenti li jsejħu l-kesħa. Il-Qorti tal-Ġustizzja ddeċidiet li l-projbizzjoni Olandiża segwiet għan leġittimu biex tipprevjeni "żviluppi mhux mixtieqa fil-kummerċ tat-titoli" inkluż il-ħarsien tal-konsumatur minn tattiċi ta 'bejgħ aggressivi, u b'hekk iżżomm il-fiduċja fis-swieq Olandiżi. Fil-Omega Spielhallen GmbH v Bonn, in-negozju ta '"Laserdrome" ġie pprojbit mill-Kunsill ta' Bonn. Xtara servizzi foloz tal-pistoli bil-lejżer minn ditta tar-Renju Unit imsejħa Pulsar Ltd, iżda r-residenti kienu pprotestaw kontra "jilagħbu fil-qtil" ta 'divertiment. Il-Qorti tal-Ġustizzja ddeċidiet li l-valur kostituzzjonali Ġermaniż tad-dinjità tal-bniedem, li sostniet il-projbizzjoni, kien jgħodd bħala restrizzjoni ġustifikata fuq il-libertà li tipprovdi servizzi. Fil-Liga Portuguesa de Futebol vs Santa Ca Casa da Misericórdia de Lisboa, il-Qorti tal-Ġustizzja ddeċidiet ukoll li l-monopolju tal-istat fuq il-logħob tal-ażżard, u piena għal ditta ta ’Ġibiltà li kienet biegħet servizzi tal-logħob tal-ażżard tal-internet, kienet iġġustifikata li tipprevjeni l-frodi u l-logħob fejn kienu diverġenti ħafna. Il-projbizzjoni kienet proporzjonata peress li dan kien mod xieraq u meħtieġ biex jiġu indirizzati l-problemi serji ta 'frodi li jinqalgħu fuq l-internet. Fid-Direttiva tas-Servizzi, grupp ta 'ġustifikazzjonijiet ġew ikkodifikati fl-Artikolu 16 li l-ġurisprudenza żviluppat.</v>
      </c>
    </row>
    <row r="3157" ht="15.75" customHeight="1">
      <c r="A3157" s="2" t="s">
        <v>3157</v>
      </c>
      <c r="B3157" s="2" t="str">
        <f>IFERROR(__xludf.DUMMYFUNCTION("GOOGLETRANSLATE(A3157, ""en"", ""mt"")"),"X’jipprevjenu livelli għoljin ta ’inugwaljanza li jipprevjenu lil hinn mill-prosperità ekonomika?")</f>
        <v>X’jipprevjenu livelli għoljin ta ’inugwaljanza li jipprevjenu lil hinn mill-prosperità ekonomika?</v>
      </c>
    </row>
    <row r="3158" ht="15.75" customHeight="1">
      <c r="A3158" s="2" t="s">
        <v>3158</v>
      </c>
      <c r="B3158" s="2" t="str">
        <f>IFERROR(__xludf.DUMMYFUNCTION("GOOGLETRANSLATE(A3158, ""en"", ""mt"")"),"il-formazzjoni ta 'amiloplasti li jinħażnu l-lamtu")</f>
        <v>il-formazzjoni ta 'amiloplasti li jinħażnu l-lamtu</v>
      </c>
    </row>
    <row r="3159" ht="15.75" customHeight="1">
      <c r="A3159" s="2" t="s">
        <v>3159</v>
      </c>
      <c r="B3159" s="2" t="str">
        <f>IFERROR(__xludf.DUMMYFUNCTION("GOOGLETRANSLATE(A3159, ""en"", ""mt"")"),"Kuchlug, il-Khan depożitat tal-Konfederazzjoni Naiman li Temüjin għeleb u mitwi fl-imperu Mongoljan tiegħu, ħarab mill-punent u użurpa l-khanat ta 'Qara Khitai (magħruf ukoll bħala l-Liao tal-Punent, kif kien oriġinarjament stabbilit bħala fdalijiet tad-d"&amp;"inastija Liao). Genghis Khan iddeċieda li jirbaħ il-Qara Khitai u jegħleb lil Kuchlug, possibilment biex jeħodha mill-poter. Sa dan iż-żmien l-armata Mongoljana kienet eżawrita minn għaxar snin ta ’kampanja kontinwa fiċ-Ċina kontra d-dinastija tal-Punent "&amp;"Xia u Jin. Għalhekk, Genghis bagħat biss żewġ tumen (20,000 suldat) kontra Kuchlug, taħt il-ġeneral iżgħar tiegħu, Jebe, magħruf bħala ""The Arrow"".")</f>
        <v>Kuchlug, il-Khan depożitat tal-Konfederazzjoni Naiman li Temüjin għeleb u mitwi fl-imperu Mongoljan tiegħu, ħarab mill-punent u użurpa l-khanat ta 'Qara Khitai (magħruf ukoll bħala l-Liao tal-Punent, kif kien oriġinarjament stabbilit bħala fdalijiet tad-dinastija Liao). Genghis Khan iddeċieda li jirbaħ il-Qara Khitai u jegħleb lil Kuchlug, possibilment biex jeħodha mill-poter. Sa dan iż-żmien l-armata Mongoljana kienet eżawrita minn għaxar snin ta ’kampanja kontinwa fiċ-Ċina kontra d-dinastija tal-Punent Xia u Jin. Għalhekk, Genghis bagħat biss żewġ tumen (20,000 suldat) kontra Kuchlug, taħt il-ġeneral iżgħar tiegħu, Jebe, magħruf bħala "The Arrow".</v>
      </c>
    </row>
    <row r="3160" ht="15.75" customHeight="1">
      <c r="A3160" s="2" t="s">
        <v>3160</v>
      </c>
      <c r="B3160" s="2" t="str">
        <f>IFERROR(__xludf.DUMMYFUNCTION("GOOGLETRANSLATE(A3160, ""en"", ""mt"")"),"Fejn Tesla bdiet xogħol ġdid fl-1882?")</f>
        <v>Fejn Tesla bdiet xogħol ġdid fl-1882?</v>
      </c>
    </row>
    <row r="3161" ht="15.75" customHeight="1">
      <c r="A3161" s="2" t="s">
        <v>3161</v>
      </c>
      <c r="B3161" s="2" t="str">
        <f>IFERROR(__xludf.DUMMYFUNCTION("GOOGLETRANSLATE(A3161, ""en"", ""mt"")"),"X'kienet il-popolazzjoni stmata ta 'Pons Aelius madwar it-2 seklu?")</f>
        <v>X'kienet il-popolazzjoni stmata ta 'Pons Aelius madwar it-2 seklu?</v>
      </c>
    </row>
    <row r="3162" ht="15.75" customHeight="1">
      <c r="A3162" s="2" t="s">
        <v>3162</v>
      </c>
      <c r="B3162" s="2" t="str">
        <f>IFERROR(__xludf.DUMMYFUNCTION("GOOGLETRANSLATE(A3162, ""en"", ""mt"")"),"Sentenzi")</f>
        <v>Sentenzi</v>
      </c>
    </row>
    <row r="3163" ht="15.75" customHeight="1">
      <c r="A3163" s="2" t="s">
        <v>3163</v>
      </c>
      <c r="B3163" s="2" t="str">
        <f>IFERROR(__xludf.DUMMYFUNCTION("GOOGLETRANSLATE(A3163, ""en"", ""mt"")"),"Jerome Schurf")</f>
        <v>Jerome Schurf</v>
      </c>
    </row>
    <row r="3164" ht="15.75" customHeight="1">
      <c r="A3164" s="2" t="s">
        <v>3164</v>
      </c>
      <c r="B3164" s="2" t="str">
        <f>IFERROR(__xludf.DUMMYFUNCTION("GOOGLETRANSLATE(A3164, ""en"", ""mt"")"),"""Anniversarju tad-Deheb""")</f>
        <v>"Anniversarju tad-Deheb"</v>
      </c>
    </row>
    <row r="3165" ht="15.75" customHeight="1">
      <c r="A3165" s="2" t="s">
        <v>3165</v>
      </c>
      <c r="B3165" s="2" t="str">
        <f>IFERROR(__xludf.DUMMYFUNCTION("GOOGLETRANSLATE(A3165, ""en"", ""mt"")"),"Typhoon inauspicious")</f>
        <v>Typhoon inauspicious</v>
      </c>
    </row>
    <row r="3166" ht="15.75" customHeight="1">
      <c r="A3166" s="2" t="s">
        <v>3166</v>
      </c>
      <c r="B3166" s="2" t="str">
        <f>IFERROR(__xludf.DUMMYFUNCTION("GOOGLETRANSLATE(A3166, ""en"", ""mt"")"),"1899")</f>
        <v>1899</v>
      </c>
    </row>
    <row r="3167" ht="15.75" customHeight="1">
      <c r="A3167" s="2" t="s">
        <v>3167</v>
      </c>
      <c r="B3167" s="2" t="str">
        <f>IFERROR(__xludf.DUMMYFUNCTION("GOOGLETRANSLATE(A3167, ""en"", ""mt"")"),"1993–94")</f>
        <v>1993–94</v>
      </c>
    </row>
    <row r="3168" ht="15.75" customHeight="1">
      <c r="A3168" s="2" t="s">
        <v>3168</v>
      </c>
      <c r="B3168" s="2" t="str">
        <f>IFERROR(__xludf.DUMMYFUNCTION("GOOGLETRANSLATE(A3168, ""en"", ""mt"")"),"Kien hemm ħafna Mongoli b'liema status mhux mistenni?")</f>
        <v>Kien hemm ħafna Mongoli b'liema status mhux mistenni?</v>
      </c>
    </row>
    <row r="3169" ht="15.75" customHeight="1">
      <c r="A3169" s="2" t="s">
        <v>3169</v>
      </c>
      <c r="B3169" s="2" t="str">
        <f>IFERROR(__xludf.DUMMYFUNCTION("GOOGLETRANSLATE(A3169, ""en"", ""mt"")"),"Dixxiplini akkademiċi varji")</f>
        <v>Dixxiplini akkademiċi varji</v>
      </c>
    </row>
    <row r="3170" ht="15.75" customHeight="1">
      <c r="A3170" s="2" t="s">
        <v>3170</v>
      </c>
      <c r="B3170" s="2" t="str">
        <f>IFERROR(__xludf.DUMMYFUNCTION("GOOGLETRANSLATE(A3170, ""en"", ""mt"")"),"17")</f>
        <v>17</v>
      </c>
    </row>
    <row r="3171" ht="15.75" customHeight="1">
      <c r="A3171" s="2" t="s">
        <v>3171</v>
      </c>
      <c r="B3171" s="2" t="str">
        <f>IFERROR(__xludf.DUMMYFUNCTION("GOOGLETRANSLATE(A3171, ""en"", ""mt"")"),"ir-re Korean")</f>
        <v>ir-re Korean</v>
      </c>
    </row>
    <row r="3172" ht="15.75" customHeight="1">
      <c r="A3172" s="2" t="s">
        <v>3172</v>
      </c>
      <c r="B3172" s="2" t="str">
        <f>IFERROR(__xludf.DUMMYFUNCTION("GOOGLETRANSLATE(A3172, ""en"", ""mt"")"),"1975")</f>
        <v>1975</v>
      </c>
    </row>
    <row r="3173" ht="15.75" customHeight="1">
      <c r="A3173" s="2" t="s">
        <v>3173</v>
      </c>
      <c r="B3173" s="2" t="str">
        <f>IFERROR(__xludf.DUMMYFUNCTION("GOOGLETRANSLATE(A3173, ""en"", ""mt"")"),"reliġjuż u fl-ebda rispett razzjali")</f>
        <v>reliġjuż u fl-ebda rispett razzjali</v>
      </c>
    </row>
    <row r="3174" ht="15.75" customHeight="1">
      <c r="A3174" s="2" t="s">
        <v>3174</v>
      </c>
      <c r="B3174" s="2" t="str">
        <f>IFERROR(__xludf.DUMMYFUNCTION("GOOGLETRANSLATE(A3174, ""en"", ""mt"")"),"tkabbir u investiment")</f>
        <v>tkabbir u investiment</v>
      </c>
    </row>
    <row r="3175" ht="15.75" customHeight="1">
      <c r="A3175" s="2" t="s">
        <v>3175</v>
      </c>
      <c r="B3175" s="2" t="str">
        <f>IFERROR(__xludf.DUMMYFUNCTION("GOOGLETRANSLATE(A3175, ""en"", ""mt"")"),"Ħdejn il-Baħar l-Iswed")</f>
        <v>Ħdejn il-Baħar l-Iswed</v>
      </c>
    </row>
    <row r="3176" ht="15.75" customHeight="1">
      <c r="A3176" s="2" t="s">
        <v>3176</v>
      </c>
      <c r="B3176" s="2" t="str">
        <f>IFERROR(__xludf.DUMMYFUNCTION("GOOGLETRANSLATE(A3176, ""en"", ""mt"")"),"Fuq liema stazzjon tat-televiżjoni jista 'telespettatur Amerikan jara l-logħba?")</f>
        <v>Fuq liema stazzjon tat-televiżjoni jista 'telespettatur Amerikan jara l-logħba?</v>
      </c>
    </row>
    <row r="3177" ht="15.75" customHeight="1">
      <c r="A3177" s="2" t="s">
        <v>3177</v>
      </c>
      <c r="B3177" s="2" t="str">
        <f>IFERROR(__xludf.DUMMYFUNCTION("GOOGLETRANSLATE(A3177, ""en"", ""mt"")"),"F'liema lingwa saru l-klassijiet fl-iskola ta 'Tesla?")</f>
        <v>F'liema lingwa saru l-klassijiet fl-iskola ta 'Tesla?</v>
      </c>
    </row>
    <row r="3178" ht="15.75" customHeight="1">
      <c r="A3178" s="2" t="s">
        <v>3178</v>
      </c>
      <c r="B3178" s="2" t="str">
        <f>IFERROR(__xludf.DUMMYFUNCTION("GOOGLETRANSLATE(A3178, ""en"", ""mt"")"),"X'tip ta 'studji esploraw il-motivazzjoni tal-istudenti?")</f>
        <v>X'tip ta 'studji esploraw il-motivazzjoni tal-istudenti?</v>
      </c>
    </row>
    <row r="3179" ht="15.75" customHeight="1">
      <c r="A3179" s="2" t="s">
        <v>3179</v>
      </c>
      <c r="B3179" s="2" t="str">
        <f>IFERROR(__xludf.DUMMYFUNCTION("GOOGLETRANSLATE(A3179, ""en"", ""mt"")"),"X'perjodu l-pjanċi reġġgħu lura d-direzzjonijiet biex jikkompressaw l-art tat-Tethys?")</f>
        <v>X'perjodu l-pjanċi reġġgħu lura d-direzzjonijiet biex jikkompressaw l-art tat-Tethys?</v>
      </c>
    </row>
    <row r="3180" ht="15.75" customHeight="1">
      <c r="A3180" s="2" t="s">
        <v>3180</v>
      </c>
      <c r="B3180" s="2" t="str">
        <f>IFERROR(__xludf.DUMMYFUNCTION("GOOGLETRANSLATE(A3180, ""en"", ""mt"")"),"Tesla Coil")</f>
        <v>Tesla Coil</v>
      </c>
    </row>
    <row r="3181" ht="15.75" customHeight="1">
      <c r="A3181" s="2" t="s">
        <v>3181</v>
      </c>
      <c r="B3181" s="2" t="str">
        <f>IFERROR(__xludf.DUMMYFUNCTION("GOOGLETRANSLATE(A3181, ""en"", ""mt"")"),"Ma 'Emma żżewweġ?")</f>
        <v>Ma 'Emma żżewweġ?</v>
      </c>
    </row>
    <row r="3182" ht="15.75" customHeight="1">
      <c r="A3182" s="2" t="s">
        <v>3182</v>
      </c>
      <c r="B3182" s="2" t="str">
        <f>IFERROR(__xludf.DUMMYFUNCTION("GOOGLETRANSLATE(A3182, ""en"", ""mt"")"),"Il-kontijiet kontemporanji kienu esaġerazzjonijiet")</f>
        <v>Il-kontijiet kontemporanji kienu esaġerazzjonijiet</v>
      </c>
    </row>
    <row r="3183" ht="15.75" customHeight="1">
      <c r="A3183" s="2" t="s">
        <v>3183</v>
      </c>
      <c r="B3183" s="2" t="str">
        <f>IFERROR(__xludf.DUMMYFUNCTION("GOOGLETRANSLATE(A3183, ""en"", ""mt"")"),"depopolazzjoni u bidla permanenti kemm fl-istrutturi ekonomiċi kif ukoll soċjali")</f>
        <v>depopolazzjoni u bidla permanenti kemm fl-istrutturi ekonomiċi kif ukoll soċjali</v>
      </c>
    </row>
    <row r="3184" ht="15.75" customHeight="1">
      <c r="A3184" s="2" t="s">
        <v>3184</v>
      </c>
      <c r="B3184" s="2" t="str">
        <f>IFERROR(__xludf.DUMMYFUNCTION("GOOGLETRANSLATE(A3184, ""en"", ""mt"")"),"L-ewwel seklu WK")</f>
        <v>L-ewwel seklu WK</v>
      </c>
    </row>
    <row r="3185" ht="15.75" customHeight="1">
      <c r="A3185" s="2" t="s">
        <v>3185</v>
      </c>
      <c r="B3185" s="2" t="str">
        <f>IFERROR(__xludf.DUMMYFUNCTION("GOOGLETRANSLATE(A3185, ""en"", ""mt"")"),"Komposti ta 'ossidu")</f>
        <v>Komposti ta 'ossidu</v>
      </c>
    </row>
    <row r="3186" ht="15.75" customHeight="1">
      <c r="A3186" s="2" t="s">
        <v>3186</v>
      </c>
      <c r="B3186" s="2" t="str">
        <f>IFERROR(__xludf.DUMMYFUNCTION("GOOGLETRANSLATE(A3186, ""en"", ""mt"")"),"X'jista 'xi kultant jieħu sa 14-il sena biex jiksbu permess biex jibnu?")</f>
        <v>X'jista 'xi kultant jieħu sa 14-il sena biex jiksbu permess biex jibnu?</v>
      </c>
    </row>
    <row r="3187" ht="15.75" customHeight="1">
      <c r="A3187" s="2" t="s">
        <v>3187</v>
      </c>
      <c r="B3187" s="2" t="str">
        <f>IFERROR(__xludf.DUMMYFUNCTION("GOOGLETRANSLATE(A3187, ""en"", ""mt"")"),"X'tip ta 'taħlita ġiet maħluqa biex tissostitwixxi l-atmosfera ta' ossiġnu pur ġewwa l-kabina?")</f>
        <v>X'tip ta 'taħlita ġiet maħluqa biex tissostitwixxi l-atmosfera ta' ossiġnu pur ġewwa l-kabina?</v>
      </c>
    </row>
    <row r="3188" ht="15.75" customHeight="1">
      <c r="A3188" s="2" t="s">
        <v>3188</v>
      </c>
      <c r="B3188" s="2" t="str">
        <f>IFERROR(__xludf.DUMMYFUNCTION("GOOGLETRANSLATE(A3188, ""en"", ""mt"")"),"Liema avveniment ġie akkużat dwar l-introduzzjoni ta 'Mnemiopsis fil-Baħar l-Iswed?")</f>
        <v>Liema avveniment ġie akkużat dwar l-introduzzjoni ta 'Mnemiopsis fil-Baħar l-Iswed?</v>
      </c>
    </row>
    <row r="3189" ht="15.75" customHeight="1">
      <c r="A3189" s="2" t="s">
        <v>3189</v>
      </c>
      <c r="B3189" s="2" t="str">
        <f>IFERROR(__xludf.DUMMYFUNCTION("GOOGLETRANSLATE(A3189, ""en"", ""mt"")"),"Abercrombie ġie mfakkar u sostitwit minn Jeffery Amherst,")</f>
        <v>Abercrombie ġie mfakkar u sostitwit minn Jeffery Amherst,</v>
      </c>
    </row>
    <row r="3190" ht="15.75" customHeight="1">
      <c r="A3190" s="2" t="s">
        <v>3190</v>
      </c>
      <c r="B3190" s="2" t="str">
        <f>IFERROR(__xludf.DUMMYFUNCTION("GOOGLETRANSLATE(A3190, ""en"", ""mt"")"),"Numru Ġenerali għal passatur tal-qasam")</f>
        <v>Numru Ġenerali għal passatur tal-qasam</v>
      </c>
    </row>
    <row r="3191" ht="15.75" customHeight="1">
      <c r="A3191" s="2" t="s">
        <v>3191</v>
      </c>
      <c r="B3191" s="2" t="str">
        <f>IFERROR(__xludf.DUMMYFUNCTION("GOOGLETRANSLATE(A3191, ""en"", ""mt"")"),"Liema sena Tesla rreġistrat fi skola ta 'inġinerija?")</f>
        <v>Liema sena Tesla rreġistrat fi skola ta 'inġinerija?</v>
      </c>
    </row>
    <row r="3192" ht="15.75" customHeight="1">
      <c r="A3192" s="2" t="s">
        <v>3192</v>
      </c>
      <c r="B3192" s="2" t="str">
        <f>IFERROR(__xludf.DUMMYFUNCTION("GOOGLETRANSLATE(A3192, ""en"", ""mt"")"),"Episkopali")</f>
        <v>Episkopali</v>
      </c>
    </row>
    <row r="3193" ht="15.75" customHeight="1">
      <c r="A3193" s="2" t="s">
        <v>3193</v>
      </c>
      <c r="B3193" s="2" t="str">
        <f>IFERROR(__xludf.DUMMYFUNCTION("GOOGLETRANSLATE(A3193, ""en"", ""mt"")"),"F'liema xahar il-kaċċa tal-kennies tal-università?")</f>
        <v>F'liema xahar il-kaċċa tal-kennies tal-università?</v>
      </c>
    </row>
    <row r="3194" ht="15.75" customHeight="1">
      <c r="A3194" s="2" t="s">
        <v>3194</v>
      </c>
      <c r="B3194" s="2" t="str">
        <f>IFERROR(__xludf.DUMMYFUNCTION("GOOGLETRANSLATE(A3194, ""en"", ""mt"")"),"billejl")</f>
        <v>billejl</v>
      </c>
    </row>
    <row r="3195" ht="15.75" customHeight="1">
      <c r="A3195" s="2" t="s">
        <v>3195</v>
      </c>
      <c r="B3195" s="2" t="str">
        <f>IFERROR(__xludf.DUMMYFUNCTION("GOOGLETRANSLATE(A3195, ""en"", ""mt"")"),"X'tip ta 'arkitettura hija rappreżentata fil-knejjes maestużi?")</f>
        <v>X'tip ta 'arkitettura hija rappreżentata fil-knejjes maestużi?</v>
      </c>
    </row>
    <row r="3196" ht="15.75" customHeight="1">
      <c r="A3196" s="2" t="s">
        <v>3196</v>
      </c>
      <c r="B3196" s="2" t="str">
        <f>IFERROR(__xludf.DUMMYFUNCTION("GOOGLETRANSLATE(A3196, ""en"", ""mt"")"),"60%")</f>
        <v>60%</v>
      </c>
    </row>
    <row r="3197" ht="15.75" customHeight="1">
      <c r="A3197" s="2" t="s">
        <v>3197</v>
      </c>
      <c r="B3197" s="2" t="str">
        <f>IFERROR(__xludf.DUMMYFUNCTION("GOOGLETRANSLATE(A3197, ""en"", ""mt"")"),"Liema oqsma żdiedu fl-influwenza fuq l-ispiżerija fl-Istati Uniti?")</f>
        <v>Liema oqsma żdiedu fl-influwenza fuq l-ispiżerija fl-Istati Uniti?</v>
      </c>
    </row>
    <row r="3198" ht="15.75" customHeight="1">
      <c r="A3198" s="2" t="s">
        <v>3198</v>
      </c>
      <c r="B3198" s="2" t="str">
        <f>IFERROR(__xludf.DUMMYFUNCTION("GOOGLETRANSLATE(A3198, ""en"", ""mt"")"),"Tmien kategoriji ta 'edukazzjoni ġenerali")</f>
        <v>Tmien kategoriji ta 'edukazzjoni ġenerali</v>
      </c>
    </row>
    <row r="3199" ht="15.75" customHeight="1">
      <c r="A3199" s="2" t="s">
        <v>3199</v>
      </c>
      <c r="B3199" s="2" t="str">
        <f>IFERROR(__xludf.DUMMYFUNCTION("GOOGLETRANSLATE(A3199, ""en"", ""mt"")"),"Anke qabel ma rritorna Washington, Dinwiddie kienet bagħtet kumpanija ta '40 irġiel taħt William Trent sa dak il-punt, fejn fix-xhur bikrin tal-1754 huma bdew il-kostruzzjoni ta 'fort żgħir maħżun. Il-Gvernatur Duquesne bagħat forzi Franċiżi addizzjonali "&amp;"taħt Claude-Pierre Pecaudy de Contrecœur biex ittaffi lil Saint-Pierre matul l-istess perjodu, u Contrecœur mexxa 500 irġiel fin-nofsinhar minn Fort Venango fil-5 ta 'April, 1754. Meta dawn il-forzi waslu fil-forti fis-16 ta' April, Contrecœur Ġenerożamen"&amp;"t ippermetta li l-kumpanija żgħira ta 'Trent tirtira. Huwa xtara l-għodod tal-kostruzzjoni tagħhom biex ikomplu jibnu dak li sar Fort Duquesne.")</f>
        <v>Anke qabel ma rritorna Washington, Dinwiddie kienet bagħtet kumpanija ta '40 irġiel taħt William Trent sa dak il-punt, fejn fix-xhur bikrin tal-1754 huma bdew il-kostruzzjoni ta 'fort żgħir maħżun. Il-Gvernatur Duquesne bagħat forzi Franċiżi addizzjonali taħt Claude-Pierre Pecaudy de Contrecœur biex ittaffi lil Saint-Pierre matul l-istess perjodu, u Contrecœur mexxa 500 irġiel fin-nofsinhar minn Fort Venango fil-5 ta 'April, 1754. Meta dawn il-forzi waslu fil-forti fis-16 ta' April, Contrecœur Ġenerożament ippermetta li l-kumpanija żgħira ta 'Trent tirtira. Huwa xtara l-għodod tal-kostruzzjoni tagħhom biex ikomplu jibnu dak li sar Fort Duquesne.</v>
      </c>
    </row>
    <row r="3200" ht="15.75" customHeight="1">
      <c r="A3200" s="2" t="s">
        <v>3200</v>
      </c>
      <c r="B3200" s="2" t="str">
        <f>IFERROR(__xludf.DUMMYFUNCTION("GOOGLETRANSLATE(A3200, ""en"", ""mt"")"),"Il-kaptan")</f>
        <v>Il-kaptan</v>
      </c>
    </row>
    <row r="3201" ht="15.75" customHeight="1">
      <c r="A3201" s="2" t="s">
        <v>3201</v>
      </c>
      <c r="B3201" s="2" t="str">
        <f>IFERROR(__xludf.DUMMYFUNCTION("GOOGLETRANSLATE(A3201, ""en"", ""mt"")"),"Kif jissejħu x-xagħar fuq ctenophores?")</f>
        <v>Kif jissejħu x-xagħar fuq ctenophores?</v>
      </c>
    </row>
    <row r="3202" ht="15.75" customHeight="1">
      <c r="A3202" s="2" t="s">
        <v>3202</v>
      </c>
      <c r="B3202" s="2" t="str">
        <f>IFERROR(__xludf.DUMMYFUNCTION("GOOGLETRANSLATE(A3202, ""en"", ""mt"")"),"Fl-10 ta 'Jannar 1943, is-Sindku tal-Belt ta' New York, Fiorello La Guardia qara eulogy miktub mill-awtur Sloven-Amerikan Louis Adamic Live Over the WNYC Radio waqt li l-biċċiet tal-vjolin ""Ave Maria"" u ""Tamo Daleko"" kienu jindaqqu fl-isfond. Fit-12 t"&amp;"a 'Jannar, elfejn persuna attendew funeral statali għal Tesla fil-Katidral ta' San Ġwann id-Divin. Wara l-funeral, il-ġisem ta 'Tesla ttieħed fiċ-Ċimiterju Ferncliff f'Ardsley, New York, fejn aktar tard ġie kremat. L-għada, it-tieni servizz tmexxa minn sa"&amp;"ċerdoti prominenti fil-Kappella tat-Trinità (Katidral Ortodoss Serb tal-lum ta ’San Sava) fi New York City.")</f>
        <v>Fl-10 ta 'Jannar 1943, is-Sindku tal-Belt ta' New York, Fiorello La Guardia qara eulogy miktub mill-awtur Sloven-Amerikan Louis Adamic Live Over the WNYC Radio waqt li l-biċċiet tal-vjolin "Ave Maria" u "Tamo Daleko" kienu jindaqqu fl-isfond. Fit-12 ta 'Jannar, elfejn persuna attendew funeral statali għal Tesla fil-Katidral ta' San Ġwann id-Divin. Wara l-funeral, il-ġisem ta 'Tesla ttieħed fiċ-Ċimiterju Ferncliff f'Ardsley, New York, fejn aktar tard ġie kremat. L-għada, it-tieni servizz tmexxa minn saċerdoti prominenti fil-Kappella tat-Trinità (Katidral Ortodoss Serb tal-lum ta ’San Sava) fi New York City.</v>
      </c>
    </row>
    <row r="3203" ht="15.75" customHeight="1">
      <c r="A3203" s="2" t="s">
        <v>3203</v>
      </c>
      <c r="B3203" s="2" t="str">
        <f>IFERROR(__xludf.DUMMYFUNCTION("GOOGLETRANSLATE(A3203, ""en"", ""mt"")"),"Kif tissejjaħ id-dar t'isfel tal-Parlament Vittorjan?")</f>
        <v>Kif tissejjaħ id-dar t'isfel tal-Parlament Vittorjan?</v>
      </c>
    </row>
    <row r="3204" ht="15.75" customHeight="1">
      <c r="A3204" s="2" t="s">
        <v>3204</v>
      </c>
      <c r="B3204" s="2" t="str">
        <f>IFERROR(__xludf.DUMMYFUNCTION("GOOGLETRANSLATE(A3204, ""en"", ""mt"")"),"ippropona li jibni netwerk nazzjonali fir-Renju Unit")</f>
        <v>ippropona li jibni netwerk nazzjonali fir-Renju Unit</v>
      </c>
    </row>
    <row r="3205" ht="15.75" customHeight="1">
      <c r="A3205" s="2" t="s">
        <v>3205</v>
      </c>
      <c r="B3205" s="2" t="str">
        <f>IFERROR(__xludf.DUMMYFUNCTION("GOOGLETRANSLATE(A3205, ""en"", ""mt"")"),"Wirja kbira tal-1851")</f>
        <v>Wirja kbira tal-1851</v>
      </c>
    </row>
    <row r="3206" ht="15.75" customHeight="1">
      <c r="A3206" s="2" t="s">
        <v>3206</v>
      </c>
      <c r="B3206" s="2" t="str">
        <f>IFERROR(__xludf.DUMMYFUNCTION("GOOGLETRANSLATE(A3206, ""en"", ""mt"")"),"Isaac Newton (Astronomija")</f>
        <v>Isaac Newton (Astronomija</v>
      </c>
    </row>
    <row r="3207" ht="15.75" customHeight="1">
      <c r="A3207" s="2" t="s">
        <v>3207</v>
      </c>
      <c r="B3207" s="2" t="str">
        <f>IFERROR(__xludf.DUMMYFUNCTION("GOOGLETRANSLATE(A3207, ""en"", ""mt"")"),"Fejn ivvjaġġa l-ilma fuq in-naħa tal-Lvant tal-Baċin tal-Amażonja wara l-qasma?")</f>
        <v>Fejn ivvjaġġa l-ilma fuq in-naħa tal-Lvant tal-Baċin tal-Amażonja wara l-qasma?</v>
      </c>
    </row>
    <row r="3208" ht="15.75" customHeight="1">
      <c r="A3208" s="2" t="s">
        <v>3208</v>
      </c>
      <c r="B3208" s="2" t="str">
        <f>IFERROR(__xludf.DUMMYFUNCTION("GOOGLETRANSLATE(A3208, ""en"", ""mt"")"),"Għaliex ried jagħmel il-lingwa aċċessibbli għan-nies?")</f>
        <v>Għaliex ried jagħmel il-lingwa aċċessibbli għan-nies?</v>
      </c>
    </row>
    <row r="3209" ht="15.75" customHeight="1">
      <c r="A3209" s="2" t="s">
        <v>3209</v>
      </c>
      <c r="B3209" s="2" t="str">
        <f>IFERROR(__xludf.DUMMYFUNCTION("GOOGLETRANSLATE(A3209, ""en"", ""mt"")"),"Fejn reġgħu reġgħu Brittaniċi ħafna Akkadjani?")</f>
        <v>Fejn reġgħu reġgħu Brittaniċi ħafna Akkadjani?</v>
      </c>
    </row>
    <row r="3210" ht="15.75" customHeight="1">
      <c r="A3210" s="2" t="s">
        <v>3210</v>
      </c>
      <c r="B3210" s="2" t="str">
        <f>IFERROR(__xludf.DUMMYFUNCTION("GOOGLETRANSLATE(A3210, ""en"", ""mt"")"),"Sal-1796")</f>
        <v>Sal-1796</v>
      </c>
    </row>
    <row r="3211" ht="15.75" customHeight="1">
      <c r="A3211" s="2" t="s">
        <v>3211</v>
      </c>
      <c r="B3211" s="2" t="str">
        <f>IFERROR(__xludf.DUMMYFUNCTION("GOOGLETRANSLATE(A3211, ""en"", ""mt"")"),"Berger")</f>
        <v>Berger</v>
      </c>
    </row>
    <row r="3212" ht="15.75" customHeight="1">
      <c r="A3212" s="2" t="s">
        <v>3212</v>
      </c>
      <c r="B3212" s="2" t="str">
        <f>IFERROR(__xludf.DUMMYFUNCTION("GOOGLETRANSLATE(A3212, ""en"", ""mt"")"),"n = 2 · 1017")</f>
        <v>n = 2 · 1017</v>
      </c>
    </row>
    <row r="3213" ht="15.75" customHeight="1">
      <c r="A3213" s="2" t="s">
        <v>3213</v>
      </c>
      <c r="B3213" s="2" t="str">
        <f>IFERROR(__xludf.DUMMYFUNCTION("GOOGLETRANSLATE(A3213, ""en"", ""mt"")"),"Meta ġie elett minn Nixon?")</f>
        <v>Meta ġie elett minn Nixon?</v>
      </c>
    </row>
    <row r="3214" ht="15.75" customHeight="1">
      <c r="A3214" s="2" t="s">
        <v>3214</v>
      </c>
      <c r="B3214" s="2" t="str">
        <f>IFERROR(__xludf.DUMMYFUNCTION("GOOGLETRANSLATE(A3214, ""en"", ""mt"")"),"uffiċċji u kamra tal-bord")</f>
        <v>uffiċċji u kamra tal-bord</v>
      </c>
    </row>
    <row r="3215" ht="15.75" customHeight="1">
      <c r="A3215" s="2" t="s">
        <v>3215</v>
      </c>
      <c r="B3215" s="2" t="str">
        <f>IFERROR(__xludf.DUMMYFUNCTION("GOOGLETRANSLATE(A3215, ""en"", ""mt"")"),"Assent Royal: Wara li jkun għadda l-abbozz, l-uffiċjal li jippresiedi jissottomettih lill-Monarka għall-Assent Royal u jsir att tal-Parlament Skoċċiż. Madankollu huwa ma jistax jagħmel hekk sakemm ikun għadda perjodu ta '4 ġimgħat, li matulu l-uffiċjali t"&amp;"al-liġi tal-gvern Skoċċiż jew tal-gvern tar-Renju Unit jistgħu jirreferu l-abbozz lill-Qorti Suprema tar-Renju Unit għal deċiżjoni dwar jekk hux fil-poteri ta' Parlament. Atti tal-Parlament Skoċċiż ma jibdewx bi formula konvenzjonali li tippromwovi. Minfl"&amp;"ok jibdew bi frażi li tgħid: ""L-abbozz għal dan l-att tal-Parlament Skoċċiż ġie mgħoddi mill-Parlament fid-data [data] u rċieva kunsens irjali fid-data [data]"".")</f>
        <v>Assent Royal: Wara li jkun għadda l-abbozz, l-uffiċjal li jippresiedi jissottomettih lill-Monarka għall-Assent Royal u jsir att tal-Parlament Skoċċiż. Madankollu huwa ma jistax jagħmel hekk sakemm ikun għadda perjodu ta '4 ġimgħat, li matulu l-uffiċjali tal-liġi tal-gvern Skoċċiż jew tal-gvern tar-Renju Unit jistgħu jirreferu l-abbozz lill-Qorti Suprema tar-Renju Unit għal deċiżjoni dwar jekk hux fil-poteri ta' Parlament. Atti tal-Parlament Skoċċiż ma jibdewx bi formula konvenzjonali li tippromwovi. Minflok jibdew bi frażi li tgħid: "L-abbozz għal dan l-att tal-Parlament Skoċċiż ġie mgħoddi mill-Parlament fid-data [data] u rċieva kunsens irjali fid-data [data]".</v>
      </c>
    </row>
    <row r="3216" ht="15.75" customHeight="1">
      <c r="A3216" s="2" t="s">
        <v>3216</v>
      </c>
      <c r="B3216" s="2" t="str">
        <f>IFERROR(__xludf.DUMMYFUNCTION("GOOGLETRANSLATE(A3216, ""en"", ""mt"")"),"Id-Danimarka, l-Islanda u n-Norveġja")</f>
        <v>Id-Danimarka, l-Islanda u n-Norveġja</v>
      </c>
    </row>
    <row r="3217" ht="15.75" customHeight="1">
      <c r="A3217" s="2" t="s">
        <v>3217</v>
      </c>
      <c r="B3217" s="2" t="str">
        <f>IFERROR(__xludf.DUMMYFUNCTION("GOOGLETRANSLATE(A3217, ""en"", ""mt"")"),"X'inhu t-titlu għal gradwat tas-seminarju li jservi mandat ta 'sentejn f'ħatriet full-time wara li jkun ġie kkummissjonat?")</f>
        <v>X'inhu t-titlu għal gradwat tas-seminarju li jservi mandat ta 'sentejn f'ħatriet full-time wara li jkun ġie kkummissjonat?</v>
      </c>
    </row>
    <row r="3218" ht="15.75" customHeight="1">
      <c r="A3218" s="2" t="s">
        <v>3218</v>
      </c>
      <c r="B3218" s="2" t="str">
        <f>IFERROR(__xludf.DUMMYFUNCTION("GOOGLETRANSLATE(A3218, ""en"", ""mt"")"),"187 pied (57 m)")</f>
        <v>187 pied (57 m)</v>
      </c>
    </row>
    <row r="3219" ht="15.75" customHeight="1">
      <c r="A3219" s="2" t="s">
        <v>3219</v>
      </c>
      <c r="B3219" s="2" t="str">
        <f>IFERROR(__xludf.DUMMYFUNCTION("GOOGLETRANSLATE(A3219, ""en"", ""mt"")"),"Kif jiġu ttrattati l-forzi mill-għelieqi trattati bl-istess mod?")</f>
        <v>Kif jiġu ttrattati l-forzi mill-għelieqi trattati bl-istess mod?</v>
      </c>
    </row>
    <row r="3220" ht="15.75" customHeight="1">
      <c r="A3220" s="2" t="s">
        <v>3220</v>
      </c>
      <c r="B3220" s="2" t="str">
        <f>IFERROR(__xludf.DUMMYFUNCTION("GOOGLETRANSLATE(A3220, ""en"", ""mt"")"),"Telfa mgħaġġla u deċiżiva")</f>
        <v>Telfa mgħaġġla u deċiżiva</v>
      </c>
    </row>
    <row r="3221" ht="15.75" customHeight="1">
      <c r="A3221" s="2" t="s">
        <v>3221</v>
      </c>
      <c r="B3221" s="2" t="str">
        <f>IFERROR(__xludf.DUMMYFUNCTION("GOOGLETRANSLATE(A3221, ""en"", ""mt"")"),"Id-dawl intwera li huwa rekwiżit għad-diviżjoni tal-kloroplast. Il-kloroplasti jistgħu jikbru u jimxu 'l quddiem minn uħud mill-istadji ta' restrizzjoni taħt dawl aħdar ta 'kwalità ħażina, iżda huma bil-mod biex jitlestew id-diviżjoni - jeħtieġu esponimen"&amp;"t għal dawl abjad jgħajjat ​​biex tlesti d-diviżjoni. Il-weraq tal-ispinaċi mkabbra taħt dawl aħdar ġew osservati li fihom ħafna kloroplasti kbar b'forma ta 'dumbbell. L-esponiment għal dawl abjad jista 'jistimula dawn il-kloroplasti biex jinqasmu u jnaqq"&amp;"su l-popolazzjoni ta' kloroplasti b'forma ta 'dumbbell.")</f>
        <v>Id-dawl intwera li huwa rekwiżit għad-diviżjoni tal-kloroplast. Il-kloroplasti jistgħu jikbru u jimxu 'l quddiem minn uħud mill-istadji ta' restrizzjoni taħt dawl aħdar ta 'kwalità ħażina, iżda huma bil-mod biex jitlestew id-diviżjoni - jeħtieġu esponiment għal dawl abjad jgħajjat ​​biex tlesti d-diviżjoni. Il-weraq tal-ispinaċi mkabbra taħt dawl aħdar ġew osservati li fihom ħafna kloroplasti kbar b'forma ta 'dumbbell. L-esponiment għal dawl abjad jista 'jistimula dawn il-kloroplasti biex jinqasmu u jnaqqsu l-popolazzjoni ta' kloroplasti b'forma ta 'dumbbell.</v>
      </c>
    </row>
    <row r="3222" ht="15.75" customHeight="1">
      <c r="A3222" s="2" t="s">
        <v>3222</v>
      </c>
      <c r="B3222" s="2" t="str">
        <f>IFERROR(__xludf.DUMMYFUNCTION("GOOGLETRANSLATE(A3222, ""en"", ""mt"")"),"immedjat")</f>
        <v>immedjat</v>
      </c>
    </row>
    <row r="3223" ht="15.75" customHeight="1">
      <c r="A3223" s="2" t="s">
        <v>3223</v>
      </c>
      <c r="B3223" s="2" t="str">
        <f>IFERROR(__xludf.DUMMYFUNCTION("GOOGLETRANSLATE(A3223, ""en"", ""mt"")"),"Il-prinċipju tas-suċċessjoni faunal")</f>
        <v>Il-prinċipju tas-suċċessjoni faunal</v>
      </c>
    </row>
    <row r="3224" ht="15.75" customHeight="1">
      <c r="A3224" s="2" t="s">
        <v>3224</v>
      </c>
      <c r="B3224" s="2" t="str">
        <f>IFERROR(__xludf.DUMMYFUNCTION("GOOGLETRANSLATE(A3224, ""en"", ""mt"")"),"Liema programm inħoloq biex jitwettqu dawn il-proġetti u missjonijiet?")</f>
        <v>Liema programm inħoloq biex jitwettqu dawn il-proġetti u missjonijiet?</v>
      </c>
    </row>
    <row r="3225" ht="15.75" customHeight="1">
      <c r="A3225" s="2" t="s">
        <v>3225</v>
      </c>
      <c r="B3225" s="2" t="str">
        <f>IFERROR(__xludf.DUMMYFUNCTION("GOOGLETRANSLATE(A3225, ""en"", ""mt"")"),"helicosproidia")</f>
        <v>helicosproidia</v>
      </c>
    </row>
    <row r="3226" ht="15.75" customHeight="1">
      <c r="A3226" s="2" t="s">
        <v>3226</v>
      </c>
      <c r="B3226" s="2" t="str">
        <f>IFERROR(__xludf.DUMMYFUNCTION("GOOGLETRANSLATE(A3226, ""en"", ""mt"")"),"25 miljun")</f>
        <v>25 miljun</v>
      </c>
    </row>
    <row r="3227" ht="15.75" customHeight="1">
      <c r="A3227" s="2" t="s">
        <v>3227</v>
      </c>
      <c r="B3227" s="2" t="str">
        <f>IFERROR(__xludf.DUMMYFUNCTION("GOOGLETRANSLATE(A3227, ""en"", ""mt"")"),"Liema att stabbilixxa l-poteri tal-Parlament bħala leġiżlatura devolta?")</f>
        <v>Liema att stabbilixxa l-poteri tal-Parlament bħala leġiżlatura devolta?</v>
      </c>
    </row>
    <row r="3228" ht="15.75" customHeight="1">
      <c r="A3228" s="2" t="s">
        <v>3228</v>
      </c>
      <c r="B3228" s="2" t="str">
        <f>IFERROR(__xludf.DUMMYFUNCTION("GOOGLETRANSLATE(A3228, ""en"", ""mt"")"),"Evidenza jew avvenimenti ġodda sinifikanti li jibdlu l-fehim tagħna")</f>
        <v>Evidenza jew avvenimenti ġodda sinifikanti li jibdlu l-fehim tagħna</v>
      </c>
    </row>
    <row r="3229" ht="15.75" customHeight="1">
      <c r="A3229" s="2" t="s">
        <v>3229</v>
      </c>
      <c r="B3229" s="2" t="str">
        <f>IFERROR(__xludf.DUMMYFUNCTION("GOOGLETRANSLATE(A3229, ""en"", ""mt"")"),"il-bażi tal-metodoloġija użata")</f>
        <v>il-bażi tal-metodoloġija użata</v>
      </c>
    </row>
    <row r="3230" ht="15.75" customHeight="1">
      <c r="A3230" s="2" t="s">
        <v>3230</v>
      </c>
      <c r="B3230" s="2" t="str">
        <f>IFERROR(__xludf.DUMMYFUNCTION("GOOGLETRANSLATE(A3230, ""en"", ""mt"")"),"bl-erożjoni")</f>
        <v>bl-erożjoni</v>
      </c>
    </row>
    <row r="3231" ht="15.75" customHeight="1">
      <c r="A3231" s="2" t="s">
        <v>3231</v>
      </c>
      <c r="B3231" s="2" t="str">
        <f>IFERROR(__xludf.DUMMYFUNCTION("GOOGLETRANSLATE(A3231, ""en"", ""mt"")"),"UDP")</f>
        <v>UDP</v>
      </c>
    </row>
    <row r="3232" ht="15.75" customHeight="1">
      <c r="A3232" s="2" t="s">
        <v>3232</v>
      </c>
      <c r="B3232" s="2" t="str">
        <f>IFERROR(__xludf.DUMMYFUNCTION("GOOGLETRANSLATE(A3232, ""en"", ""mt"")"),"In-naħa tal-punent ta 'Fresno hija ċ-ċentru ta' liema komunità etnika?")</f>
        <v>In-naħa tal-punent ta 'Fresno hija ċ-ċentru ta' liema komunità etnika?</v>
      </c>
    </row>
    <row r="3233" ht="15.75" customHeight="1">
      <c r="A3233" s="2" t="s">
        <v>3233</v>
      </c>
      <c r="B3233" s="2" t="str">
        <f>IFERROR(__xludf.DUMMYFUNCTION("GOOGLETRANSLATE(A3233, ""en"", ""mt"")"),"Minbarra Universal u Warner Brothers, liema kumpanija oħra tmexxi kumpanija rekord ewlenija?")</f>
        <v>Minbarra Universal u Warner Brothers, liema kumpanija oħra tmexxi kumpanija rekord ewlenija?</v>
      </c>
    </row>
    <row r="3234" ht="15.75" customHeight="1">
      <c r="A3234" s="2" t="s">
        <v>3234</v>
      </c>
      <c r="B3234" s="2" t="str">
        <f>IFERROR(__xludf.DUMMYFUNCTION("GOOGLETRANSLATE(A3234, ""en"", ""mt"")"),"Il-viċinat għandu ristoranti, teatru ħaj u nightclubs, kif ukoll diversi ħwienet u libreriji indipendenti, li bħalissa joperaw fuq jew qrib iż-Żebbuġ, u kollha fi ftit mijiet ta 'piedi ta' xulxin. Mit-tiġdid, id-distrett tat-Torri sar żona attraenti għal "&amp;"ristoranti u negozji lokali oħra. Illum, id-distrett tat-torri huwa magħruf ukoll bħala ċ-ċentru tal-komunitajiet LGBT u hipster ta 'Fresno.; Barra minn hekk, it-Tower District huwa magħruf ukoll bħala ċ-ċentru tal-punk lokali / goth / deathrock u komunit"&amp;"à tal-metall tqil ta 'Fresno. [Ċitazzjoni meħtieġa]")</f>
        <v>Il-viċinat għandu ristoranti, teatru ħaj u nightclubs, kif ukoll diversi ħwienet u libreriji indipendenti, li bħalissa joperaw fuq jew qrib iż-Żebbuġ, u kollha fi ftit mijiet ta 'piedi ta' xulxin. Mit-tiġdid, id-distrett tat-Torri sar żona attraenti għal ristoranti u negozji lokali oħra. Illum, id-distrett tat-torri huwa magħruf ukoll bħala ċ-ċentru tal-komunitajiet LGBT u hipster ta 'Fresno.; Barra minn hekk, it-Tower District huwa magħruf ukoll bħala ċ-ċentru tal-punk lokali / goth / deathrock u komunità tal-metall tqil ta 'Fresno. [Ċitazzjoni meħtieġa]</v>
      </c>
    </row>
    <row r="3235" ht="15.75" customHeight="1">
      <c r="A3235" s="2" t="s">
        <v>3235</v>
      </c>
      <c r="B3235" s="2" t="str">
        <f>IFERROR(__xludf.DUMMYFUNCTION("GOOGLETRANSLATE(A3235, ""en"", ""mt"")"),"Kemm djar il-passaġġ ta 'Alta Vista kellhom ħames snin wara li Billings &amp; Meyering akkwistawh?")</f>
        <v>Kemm djar il-passaġġ ta 'Alta Vista kellhom ħames snin wara li Billings &amp; Meyering akkwistawh?</v>
      </c>
    </row>
    <row r="3236" ht="15.75" customHeight="1">
      <c r="A3236" s="2" t="s">
        <v>3236</v>
      </c>
      <c r="B3236" s="2" t="str">
        <f>IFERROR(__xludf.DUMMYFUNCTION("GOOGLETRANSLATE(A3236, ""en"", ""mt"")"),"Min approva dan il-pjan?")</f>
        <v>Min approva dan il-pjan?</v>
      </c>
    </row>
    <row r="3237" ht="15.75" customHeight="1">
      <c r="A3237" s="2" t="s">
        <v>3237</v>
      </c>
      <c r="B3237" s="2" t="str">
        <f>IFERROR(__xludf.DUMMYFUNCTION("GOOGLETRANSLATE(A3237, ""en"", ""mt"")"),"Liema persentaġġ ta 'Vittorjani huma Kristjani?")</f>
        <v>Liema persentaġġ ta 'Vittorjani huma Kristjani?</v>
      </c>
    </row>
    <row r="3238" ht="15.75" customHeight="1">
      <c r="A3238" s="2" t="s">
        <v>3238</v>
      </c>
      <c r="B3238" s="2" t="str">
        <f>IFERROR(__xludf.DUMMYFUNCTION("GOOGLETRANSLATE(A3238, ""en"", ""mt"")"),"Parallel mar-Rhine kanalizzata fil-lag.")</f>
        <v>Parallel mar-Rhine kanalizzata fil-lag.</v>
      </c>
    </row>
    <row r="3239" ht="15.75" customHeight="1">
      <c r="A3239" s="2" t="s">
        <v>3239</v>
      </c>
      <c r="B3239" s="2" t="str">
        <f>IFERROR(__xludf.DUMMYFUNCTION("GOOGLETRANSLATE(A3239, ""en"", ""mt"")"),"Is-serje 2013")</f>
        <v>Is-serje 2013</v>
      </c>
    </row>
    <row r="3240" ht="15.75" customHeight="1">
      <c r="A3240" s="2" t="s">
        <v>3240</v>
      </c>
      <c r="B3240" s="2" t="str">
        <f>IFERROR(__xludf.DUMMYFUNCTION("GOOGLETRANSLATE(A3240, ""en"", ""mt"")"),"L-aħħar dikjarazzjoni")</f>
        <v>L-aħħar dikjarazzjoni</v>
      </c>
    </row>
    <row r="3241" ht="15.75" customHeight="1">
      <c r="A3241" s="2" t="s">
        <v>3241</v>
      </c>
      <c r="B3241" s="2" t="str">
        <f>IFERROR(__xludf.DUMMYFUNCTION("GOOGLETRANSLATE(A3241, ""en"", ""mt"")"),"1421 sa 1904")</f>
        <v>1421 sa 1904</v>
      </c>
    </row>
    <row r="3242" ht="15.75" customHeight="1">
      <c r="A3242" s="2" t="s">
        <v>3242</v>
      </c>
      <c r="B3242" s="2" t="str">
        <f>IFERROR(__xludf.DUMMYFUNCTION("GOOGLETRANSLATE(A3242, ""en"", ""mt"")"),"Omm Temujin")</f>
        <v>Omm Temujin</v>
      </c>
    </row>
    <row r="3243" ht="15.75" customHeight="1">
      <c r="A3243" s="2" t="s">
        <v>3243</v>
      </c>
      <c r="B3243" s="2" t="str">
        <f>IFERROR(__xludf.DUMMYFUNCTION("GOOGLETRANSLATE(A3243, ""en"", ""mt"")"),"Istitut Orjentali")</f>
        <v>Istitut Orjentali</v>
      </c>
    </row>
    <row r="3244" ht="15.75" customHeight="1">
      <c r="A3244" s="2" t="s">
        <v>3244</v>
      </c>
      <c r="B3244" s="2" t="str">
        <f>IFERROR(__xludf.DUMMYFUNCTION("GOOGLETRANSLATE(A3244, ""en"", ""mt"")"),"Minn liema distanza jista 'jinstema' r-ragħad artifiċjali.")</f>
        <v>Minn liema distanza jista 'jinstema' r-ragħad artifiċjali.</v>
      </c>
    </row>
    <row r="3245" ht="15.75" customHeight="1">
      <c r="A3245" s="2" t="s">
        <v>3245</v>
      </c>
      <c r="B3245" s="2" t="str">
        <f>IFERROR(__xludf.DUMMYFUNCTION("GOOGLETRANSLATE(A3245, ""en"", ""mt"")"),"Mudelli ta 'prezz aktar baxxi")</f>
        <v>Mudelli ta 'prezz aktar baxxi</v>
      </c>
    </row>
    <row r="3246" ht="15.75" customHeight="1">
      <c r="A3246" s="2" t="s">
        <v>3246</v>
      </c>
      <c r="B3246" s="2" t="str">
        <f>IFERROR(__xludf.DUMMYFUNCTION("GOOGLETRANSLATE(A3246, ""en"", ""mt"")"),"X'kienet il-filosofija ta 'programmazzjoni pijuniera minn ABC u Goldenson?")</f>
        <v>X'kienet il-filosofija ta 'programmazzjoni pijuniera minn ABC u Goldenson?</v>
      </c>
    </row>
    <row r="3247" ht="15.75" customHeight="1">
      <c r="A3247" s="2" t="s">
        <v>3247</v>
      </c>
      <c r="B3247" s="2" t="str">
        <f>IFERROR(__xludf.DUMMYFUNCTION("GOOGLETRANSLATE(A3247, ""en"", ""mt"")")," Meta sar l-att wieħed Ewropew?")</f>
        <v> Meta sar l-att wieħed Ewropew?</v>
      </c>
    </row>
    <row r="3248" ht="15.75" customHeight="1">
      <c r="A3248" s="2" t="s">
        <v>3248</v>
      </c>
      <c r="B3248" s="2" t="str">
        <f>IFERROR(__xludf.DUMMYFUNCTION("GOOGLETRANSLATE(A3248, ""en"", ""mt"")"),"fis-sens li dawk kollha li huma verament jemmnu f'kull età jappartjenu lill-Knisja Mqaddsa inviżibbli")</f>
        <v>fis-sens li dawk kollha li huma verament jemmnu f'kull età jappartjenu lill-Knisja Mqaddsa inviżibbli</v>
      </c>
    </row>
    <row r="3249" ht="15.75" customHeight="1">
      <c r="A3249" s="2" t="s">
        <v>3249</v>
      </c>
      <c r="B3249" s="2" t="str">
        <f>IFERROR(__xludf.DUMMYFUNCTION("GOOGLETRANSLATE(A3249, ""en"", ""mt"")"),"Newcastle.")</f>
        <v>Newcastle.</v>
      </c>
    </row>
    <row r="3250" ht="15.75" customHeight="1">
      <c r="A3250" s="2" t="s">
        <v>3250</v>
      </c>
      <c r="B3250" s="2" t="str">
        <f>IFERROR(__xludf.DUMMYFUNCTION("GOOGLETRANSLATE(A3250, ""en"", ""mt"")"),"unjoni doganali, u l-prinċipju ta 'nuqqas ta' diskriminazzjoni")</f>
        <v>unjoni doganali, u l-prinċipju ta 'nuqqas ta' diskriminazzjoni</v>
      </c>
    </row>
    <row r="3251" ht="15.75" customHeight="1">
      <c r="A3251" s="2" t="s">
        <v>3251</v>
      </c>
      <c r="B3251" s="2" t="str">
        <f>IFERROR(__xludf.DUMMYFUNCTION("GOOGLETRANSLATE(A3251, ""en"", ""mt"")"),"X'kien l-isem tal-ewwel knisja Huguenot fid-dinja l-ġdida?")</f>
        <v>X'kien l-isem tal-ewwel knisja Huguenot fid-dinja l-ġdida?</v>
      </c>
    </row>
    <row r="3252" ht="15.75" customHeight="1">
      <c r="A3252" s="2" t="s">
        <v>3252</v>
      </c>
      <c r="B3252" s="2" t="str">
        <f>IFERROR(__xludf.DUMMYFUNCTION("GOOGLETRANSLATE(A3252, ""en"", ""mt"")"),"Fl-4 ta 'Ġunju, 2014, l-NFL ħabbret li l-prattika tal-immarkar tal-logħob tas-Super Bowl b'numri Rumani, prattika stabbilita fis-Super Bowl V, tkun temporanjament sospiża, u li l-logħba tkun imsemmija bl-użu ta' numri Għarbi bħala Super Bowl 50 lil Super "&amp;"Bowl L. L-użu tan-numri Rumani se jerġa 'jiddaħħal għas-Super Bowl LI. Jaime Weston, il-viċi president tal-kampjonat tal-marka u kreattiv, spjega li raġuni primarja għall-bidla kienet id-diffikultà li tfassal logo estetikament pjaċevoli bl-ittra ""L"" bl-"&amp;"użu tal-mudell tal-logo standardizzat introdott fis-Super Bowl XLV. Il-logo jiddevja wkoll mill-mudell billi fih numri kbar, ikkuluriti fid-deheb, wara t-trofew Vince Lombardi, minflok taħt u fil-fidda bħal fil-logo standard.")</f>
        <v>Fl-4 ta 'Ġunju, 2014, l-NFL ħabbret li l-prattika tal-immarkar tal-logħob tas-Super Bowl b'numri Rumani, prattika stabbilita fis-Super Bowl V, tkun temporanjament sospiża, u li l-logħba tkun imsemmija bl-użu ta' numri Għarbi bħala Super Bowl 50 lil Super Bowl L. L-użu tan-numri Rumani se jerġa 'jiddaħħal għas-Super Bowl LI. Jaime Weston, il-viċi president tal-kampjonat tal-marka u kreattiv, spjega li raġuni primarja għall-bidla kienet id-diffikultà li tfassal logo estetikament pjaċevoli bl-ittra "L" bl-użu tal-mudell tal-logo standardizzat introdott fis-Super Bowl XLV. Il-logo jiddevja wkoll mill-mudell billi fih numri kbar, ikkuluriti fid-deheb, wara t-trofew Vince Lombardi, minflok taħt u fil-fidda bħal fil-logo standard.</v>
      </c>
    </row>
    <row r="3253" ht="15.75" customHeight="1">
      <c r="A3253" s="2" t="s">
        <v>3253</v>
      </c>
      <c r="B3253" s="2" t="str">
        <f>IFERROR(__xludf.DUMMYFUNCTION("GOOGLETRANSLATE(A3253, ""en"", ""mt"")"),"Royal Ujazdów")</f>
        <v>Royal Ujazdów</v>
      </c>
    </row>
    <row r="3254" ht="15.75" customHeight="1">
      <c r="A3254" s="2" t="s">
        <v>3254</v>
      </c>
      <c r="B3254" s="2" t="str">
        <f>IFERROR(__xludf.DUMMYFUNCTION("GOOGLETRANSLATE(A3254, ""en"", ""mt"")"),"1622")</f>
        <v>1622</v>
      </c>
    </row>
    <row r="3255" ht="15.75" customHeight="1">
      <c r="A3255" s="2" t="s">
        <v>3255</v>
      </c>
      <c r="B3255" s="2" t="str">
        <f>IFERROR(__xludf.DUMMYFUNCTION("GOOGLETRANSLATE(A3255, ""en"", ""mt"")"),"Minbarra l-vinikultura, x'inhu settur ekonomiku dominanti tar-Renu Nofsani?")</f>
        <v>Minbarra l-vinikultura, x'inhu settur ekonomiku dominanti tar-Renu Nofsani?</v>
      </c>
    </row>
    <row r="3256" ht="15.75" customHeight="1">
      <c r="A3256" s="2" t="s">
        <v>3256</v>
      </c>
      <c r="B3256" s="2" t="str">
        <f>IFERROR(__xludf.DUMMYFUNCTION("GOOGLETRANSLATE(A3256, ""en"", ""mt"")"),"Liema fenomenu wassal għal kritika?")</f>
        <v>Liema fenomenu wassal għal kritika?</v>
      </c>
    </row>
    <row r="3257" ht="15.75" customHeight="1">
      <c r="A3257" s="2" t="s">
        <v>3257</v>
      </c>
      <c r="B3257" s="2" t="str">
        <f>IFERROR(__xludf.DUMMYFUNCTION("GOOGLETRANSLATE(A3257, ""en"", ""mt"")"),"L-Aħjar Pjan ta ’Jacksonville")</f>
        <v>L-Aħjar Pjan ta ’Jacksonville</v>
      </c>
    </row>
    <row r="3258" ht="15.75" customHeight="1">
      <c r="A3258" s="2" t="s">
        <v>3258</v>
      </c>
      <c r="B3258" s="2" t="str">
        <f>IFERROR(__xludf.DUMMYFUNCTION("GOOGLETRANSLATE(A3258, ""en"", ""mt"")"),"Prinċipju ta 'esklużjoni ta' Pauli")</f>
        <v>Prinċipju ta 'esklużjoni ta' Pauli</v>
      </c>
    </row>
    <row r="3259" ht="15.75" customHeight="1">
      <c r="A3259" s="2" t="s">
        <v>3259</v>
      </c>
      <c r="B3259" s="2" t="str">
        <f>IFERROR(__xludf.DUMMYFUNCTION("GOOGLETRANSLATE(A3259, ""en"", ""mt"")"),"qbid tan-nixxiegħa")</f>
        <v>qbid tan-nixxiegħa</v>
      </c>
    </row>
    <row r="3260" ht="15.75" customHeight="1">
      <c r="A3260" s="2" t="s">
        <v>3260</v>
      </c>
      <c r="B3260" s="2" t="str">
        <f>IFERROR(__xludf.DUMMYFUNCTION("GOOGLETRANSLATE(A3260, ""en"", ""mt"")"),"Jevalwa l-livelli ta 'tagħlim fl-Indja rurali")</f>
        <v>Jevalwa l-livelli ta 'tagħlim fl-Indja rurali</v>
      </c>
    </row>
    <row r="3261" ht="15.75" customHeight="1">
      <c r="A3261" s="2" t="s">
        <v>3261</v>
      </c>
      <c r="B3261" s="2" t="str">
        <f>IFERROR(__xludf.DUMMYFUNCTION("GOOGLETRANSLATE(A3261, ""en"", ""mt"")"),"Dwar kemm kienet tiswa skola ta ’New York City Jum kull sena fl-2012?")</f>
        <v>Dwar kemm kienet tiswa skola ta ’New York City Jum kull sena fl-2012?</v>
      </c>
    </row>
    <row r="3262" ht="15.75" customHeight="1">
      <c r="A3262" s="2" t="s">
        <v>3262</v>
      </c>
      <c r="B3262" s="2" t="str">
        <f>IFERROR(__xludf.DUMMYFUNCTION("GOOGLETRANSLATE(A3262, ""en"", ""mt"")"),"Il-poter leġiżlattiv f'Varsavja huwa mogħti fil-Kunsill tal-Belt Unikameral ta 'Varsavja (Rada Miasta), li jinkludi 60 membru. Il-membri tal-Kunsill huma eletti direttament kull erba 'snin. Bħal fil-biċċa l-kbira tal-korpi leġiżlattivi, il-Kunsill tal-Bel"&amp;"t jaqsam ruħu f'kumitati li għandhom is-sorveljanza ta 'diversi funzjonijiet tal-gvern tal-belt. Il-kontijiet mgħoddija minn maġġoranza sempliċi jintbagħtu lis-Sindku (il-President ta 'Varsavja), li jista' jiffirmahom fil-liġi. Jekk is-Sindku jivvota abbo"&amp;"zz ta ’liġi, il-Kunsill għandu 30 jum biex jwarrab il-veto permezz ta’ vot ta ’maġġoranza ta’ żewġ terzi.")</f>
        <v>Il-poter leġiżlattiv f'Varsavja huwa mogħti fil-Kunsill tal-Belt Unikameral ta 'Varsavja (Rada Miasta), li jinkludi 60 membru. Il-membri tal-Kunsill huma eletti direttament kull erba 'snin. Bħal fil-biċċa l-kbira tal-korpi leġiżlattivi, il-Kunsill tal-Belt jaqsam ruħu f'kumitati li għandhom is-sorveljanza ta 'diversi funzjonijiet tal-gvern tal-belt. Il-kontijiet mgħoddija minn maġġoranza sempliċi jintbagħtu lis-Sindku (il-President ta 'Varsavja), li jista' jiffirmahom fil-liġi. Jekk is-Sindku jivvota abbozz ta ’liġi, il-Kunsill għandu 30 jum biex jwarrab il-veto permezz ta’ vot ta ’maġġoranza ta’ żewġ terzi.</v>
      </c>
    </row>
    <row r="3263" ht="15.75" customHeight="1">
      <c r="A3263" s="2" t="s">
        <v>3263</v>
      </c>
      <c r="B3263" s="2" t="str">
        <f>IFERROR(__xludf.DUMMYFUNCTION("GOOGLETRANSLATE(A3263, ""en"", ""mt"")"),"Liġi Primarja, Liġi Sekondarja u Liġi Supplimentari")</f>
        <v>Liġi Primarja, Liġi Sekondarja u Liġi Supplimentari</v>
      </c>
    </row>
    <row r="3264" ht="15.75" customHeight="1">
      <c r="A3264" s="2" t="s">
        <v>3264</v>
      </c>
      <c r="B3264" s="2" t="str">
        <f>IFERROR(__xludf.DUMMYFUNCTION("GOOGLETRANSLATE(A3264, ""en"", ""mt"")"),"varjetà ta 'atti illegali differenti")</f>
        <v>varjetà ta 'atti illegali differenti</v>
      </c>
    </row>
    <row r="3265" ht="15.75" customHeight="1">
      <c r="A3265" s="2" t="s">
        <v>3265</v>
      </c>
      <c r="B3265" s="2" t="str">
        <f>IFERROR(__xludf.DUMMYFUNCTION("GOOGLETRANSLATE(A3265, ""en"", ""mt"")"),"Min huma s-subordinati mhux eletti tal-gvernijiet tal-istat membri?")</f>
        <v>Min huma s-subordinati mhux eletti tal-gvernijiet tal-istat membri?</v>
      </c>
    </row>
    <row r="3266" ht="15.75" customHeight="1">
      <c r="A3266" s="2" t="s">
        <v>3266</v>
      </c>
      <c r="B3266" s="2" t="str">
        <f>IFERROR(__xludf.DUMMYFUNCTION("GOOGLETRANSLATE(A3266, ""en"", ""mt"")"),"Diversifikat ħafna")</f>
        <v>Diversifikat ħafna</v>
      </c>
    </row>
    <row r="3267" ht="15.75" customHeight="1">
      <c r="A3267" s="2" t="s">
        <v>3267</v>
      </c>
      <c r="B3267" s="2" t="str">
        <f>IFERROR(__xludf.DUMMYFUNCTION("GOOGLETRANSLATE(A3267, ""en"", ""mt"")"),"Min George Westinghouse għeleb biex jixgħel l-Espożizzjoni Kolumbjana tad-Dinja?")</f>
        <v>Min George Westinghouse għeleb biex jixgħel l-Espożizzjoni Kolumbjana tad-Dinja?</v>
      </c>
    </row>
    <row r="3268" ht="15.75" customHeight="1">
      <c r="A3268" s="2" t="s">
        <v>3268</v>
      </c>
      <c r="B3268" s="2" t="str">
        <f>IFERROR(__xludf.DUMMYFUNCTION("GOOGLETRANSLATE(A3268, ""en"", ""mt"")"),"Min kiteb li l-imperjalizmu huwa l-ogħla stadju tal-kapitaliżmu?")</f>
        <v>Min kiteb li l-imperjalizmu huwa l-ogħla stadju tal-kapitaliżmu?</v>
      </c>
    </row>
    <row r="3269" ht="15.75" customHeight="1">
      <c r="A3269" s="2" t="s">
        <v>3269</v>
      </c>
      <c r="B3269" s="2" t="str">
        <f>IFERROR(__xludf.DUMMYFUNCTION("GOOGLETRANSLATE(A3269, ""en"", ""mt"")"),"Meta Galor u Zeria wrew informazzjoni ġdida dwar l-inugwaljanza?")</f>
        <v>Meta Galor u Zeria wrew informazzjoni ġdida dwar l-inugwaljanza?</v>
      </c>
    </row>
    <row r="3270" ht="15.75" customHeight="1">
      <c r="A3270" s="2" t="s">
        <v>3270</v>
      </c>
      <c r="B3270" s="2" t="str">
        <f>IFERROR(__xludf.DUMMYFUNCTION("GOOGLETRANSLATE(A3270, ""en"", ""mt"")"),"Ir-Renu jqassam mill-ġdid fl-ijssel u liema korp ieħor?")</f>
        <v>Ir-Renu jqassam mill-ġdid fl-ijssel u liema korp ieħor?</v>
      </c>
    </row>
    <row r="3271" ht="15.75" customHeight="1">
      <c r="A3271" s="2" t="s">
        <v>3271</v>
      </c>
      <c r="B3271" s="2" t="str">
        <f>IFERROR(__xludf.DUMMYFUNCTION("GOOGLETRANSLATE(A3271, ""en"", ""mt"")"),"1013")</f>
        <v>1013</v>
      </c>
    </row>
    <row r="3272" ht="15.75" customHeight="1">
      <c r="A3272" s="2" t="s">
        <v>3272</v>
      </c>
      <c r="B3272" s="2" t="str">
        <f>IFERROR(__xludf.DUMMYFUNCTION("GOOGLETRANSLATE(A3272, ""en"", ""mt"")"),"il-qu")</f>
        <v>il-qu</v>
      </c>
    </row>
    <row r="3273" ht="15.75" customHeight="1">
      <c r="A3273" s="2" t="s">
        <v>3273</v>
      </c>
      <c r="B3273" s="2" t="str">
        <f>IFERROR(__xludf.DUMMYFUNCTION("GOOGLETRANSLATE(A3273, ""en"", ""mt"")"),"Seljuk Turks")</f>
        <v>Seljuk Turks</v>
      </c>
    </row>
    <row r="3274" ht="15.75" customHeight="1">
      <c r="A3274" s="2" t="s">
        <v>3274</v>
      </c>
      <c r="B3274" s="2" t="str">
        <f>IFERROR(__xludf.DUMMYFUNCTION("GOOGLETRANSLATE(A3274, ""en"", ""mt"")"),"Alka ħadra")</f>
        <v>Alka ħadra</v>
      </c>
    </row>
    <row r="3275" ht="15.75" customHeight="1">
      <c r="A3275" s="2" t="s">
        <v>3275</v>
      </c>
      <c r="B3275" s="2" t="str">
        <f>IFERROR(__xludf.DUMMYFUNCTION("GOOGLETRANSLATE(A3275, ""en"", ""mt"")"),"Il-kleru ġeneralment iservi bħala dak fil-kongregazzjonijiet lokali?")</f>
        <v>Il-kleru ġeneralment iservi bħala dak fil-kongregazzjonijiet lokali?</v>
      </c>
    </row>
    <row r="3276" ht="15.75" customHeight="1">
      <c r="A3276" s="2" t="s">
        <v>3276</v>
      </c>
      <c r="B3276" s="2" t="str">
        <f>IFERROR(__xludf.DUMMYFUNCTION("GOOGLETRANSLATE(A3276, ""en"", ""mt"")"),"skola sekondarja")</f>
        <v>skola sekondarja</v>
      </c>
    </row>
    <row r="3277" ht="15.75" customHeight="1">
      <c r="A3277" s="2" t="s">
        <v>3277</v>
      </c>
      <c r="B3277" s="2" t="str">
        <f>IFERROR(__xludf.DUMMYFUNCTION("GOOGLETRANSLATE(A3277, ""en"", ""mt"")"),"Wara l-għaqda bejn l-ABC u l-bliet kapitali, li sar il-viċi president ta 'ABC Broadcasting?")</f>
        <v>Wara l-għaqda bejn l-ABC u l-bliet kapitali, li sar il-viċi president ta 'ABC Broadcasting?</v>
      </c>
    </row>
    <row r="3278" ht="15.75" customHeight="1">
      <c r="A3278" s="2" t="s">
        <v>3278</v>
      </c>
      <c r="B3278" s="2" t="str">
        <f>IFERROR(__xludf.DUMMYFUNCTION("GOOGLETRANSLATE(A3278, ""en"", ""mt"")"),"X'inhu l-isem ta 'Varsavja fil-lingwa Pollakka?")</f>
        <v>X'inhu l-isem ta 'Varsavja fil-lingwa Pollakka?</v>
      </c>
    </row>
    <row r="3279" ht="15.75" customHeight="1">
      <c r="A3279" s="2" t="s">
        <v>3279</v>
      </c>
      <c r="B3279" s="2" t="str">
        <f>IFERROR(__xludf.DUMMYFUNCTION("GOOGLETRANSLATE(A3279, ""en"", ""mt"")"),"Ossiġnu diatomiku")</f>
        <v>Ossiġnu diatomiku</v>
      </c>
    </row>
    <row r="3280" ht="15.75" customHeight="1">
      <c r="A3280" s="2" t="s">
        <v>3280</v>
      </c>
      <c r="B3280" s="2" t="str">
        <f>IFERROR(__xludf.DUMMYFUNCTION("GOOGLETRANSLATE(A3280, ""en"", ""mt"")"),"Bini tal-vapuri")</f>
        <v>Bini tal-vapuri</v>
      </c>
    </row>
    <row r="3281" ht="15.75" customHeight="1">
      <c r="A3281" s="2" t="s">
        <v>3281</v>
      </c>
      <c r="B3281" s="2" t="str">
        <f>IFERROR(__xludf.DUMMYFUNCTION("GOOGLETRANSLATE(A3281, ""en"", ""mt"")"),"Meta fetaħ l-istadium ta 'Levi għall-pubbliku?")</f>
        <v>Meta fetaħ l-istadium ta 'Levi għall-pubbliku?</v>
      </c>
    </row>
    <row r="3282" ht="15.75" customHeight="1">
      <c r="A3282" s="2" t="s">
        <v>3282</v>
      </c>
      <c r="B3282" s="2" t="str">
        <f>IFERROR(__xludf.DUMMYFUNCTION("GOOGLETRANSLATE(A3282, ""en"", ""mt"")"),"Tentakli twal u rqaq")</f>
        <v>Tentakli twal u rqaq</v>
      </c>
    </row>
    <row r="3283" ht="15.75" customHeight="1">
      <c r="A3283" s="2" t="s">
        <v>3283</v>
      </c>
      <c r="B3283" s="2" t="str">
        <f>IFERROR(__xludf.DUMMYFUNCTION("GOOGLETRANSLATE(A3283, ""en"", ""mt"")"),"Aktar minn $ 45,000")</f>
        <v>Aktar minn $ 45,000</v>
      </c>
    </row>
    <row r="3284" ht="15.75" customHeight="1">
      <c r="A3284" s="2" t="s">
        <v>3284</v>
      </c>
      <c r="B3284" s="2" t="str">
        <f>IFERROR(__xludf.DUMMYFUNCTION("GOOGLETRANSLATE(A3284, ""en"", ""mt"")"),"In-nuqqas ta ’parlament tal-Iskozja")</f>
        <v>In-nuqqas ta ’parlament tal-Iskozja</v>
      </c>
    </row>
    <row r="3285" ht="15.75" customHeight="1">
      <c r="A3285" s="2" t="s">
        <v>3285</v>
      </c>
      <c r="B3285" s="2" t="str">
        <f>IFERROR(__xludf.DUMMYFUNCTION("GOOGLETRANSLATE(A3285, ""en"", ""mt"")"),"Liners tal-Oċean")</f>
        <v>Liners tal-Oċean</v>
      </c>
    </row>
    <row r="3286" ht="15.75" customHeight="1">
      <c r="A3286" s="2" t="s">
        <v>3286</v>
      </c>
      <c r="B3286" s="2" t="str">
        <f>IFERROR(__xludf.DUMMYFUNCTION("GOOGLETRANSLATE(A3286, ""en"", ""mt"")"),"Super_bowl_50")</f>
        <v>Super_bowl_50</v>
      </c>
    </row>
    <row r="3287" ht="15.75" customHeight="1">
      <c r="A3287" s="2" t="s">
        <v>3287</v>
      </c>
      <c r="B3287" s="2" t="str">
        <f>IFERROR(__xludf.DUMMYFUNCTION("GOOGLETRANSLATE(A3287, ""en"", ""mt"")"),"L-isports tal-kulleġġ huma wkoll popolari fin-Nofsinhar tal-Kalifornja. L-UCLA Bruins u l-USC Trojans iż-żewġ timijiet tal-qasam fid-Diviżjoni I tal-NCAA fil-Konferenza Pac-12, u hemm rivalità għal żmien twil bejn l-iskejjel.")</f>
        <v>L-isports tal-kulleġġ huma wkoll popolari fin-Nofsinhar tal-Kalifornja. L-UCLA Bruins u l-USC Trojans iż-żewġ timijiet tal-qasam fid-Diviżjoni I tal-NCAA fil-Konferenza Pac-12, u hemm rivalità għal żmien twil bejn l-iskejjel.</v>
      </c>
    </row>
    <row r="3288" ht="15.75" customHeight="1">
      <c r="A3288" s="2" t="s">
        <v>3288</v>
      </c>
      <c r="B3288" s="2" t="str">
        <f>IFERROR(__xludf.DUMMYFUNCTION("GOOGLETRANSLATE(A3288, ""en"", ""mt"")"),"Antropoloġiku riċenti")</f>
        <v>Antropoloġiku riċenti</v>
      </c>
    </row>
    <row r="3289" ht="15.75" customHeight="1">
      <c r="A3289" s="2" t="s">
        <v>3289</v>
      </c>
      <c r="B3289" s="2" t="str">
        <f>IFERROR(__xludf.DUMMYFUNCTION("GOOGLETRANSLATE(A3289, ""en"", ""mt"")"),"Exptime")</f>
        <v>Exptime</v>
      </c>
    </row>
    <row r="3290" ht="15.75" customHeight="1">
      <c r="A3290" s="2" t="s">
        <v>3290</v>
      </c>
      <c r="B3290" s="2" t="str">
        <f>IFERROR(__xludf.DUMMYFUNCTION("GOOGLETRANSLATE(A3290, ""en"", ""mt"")"),"Liema sena mmarkat l-inqas klassifikazzjonijiet għad-drama mitlufa?")</f>
        <v>Liema sena mmarkat l-inqas klassifikazzjonijiet għad-drama mitlufa?</v>
      </c>
    </row>
    <row r="3291" ht="15.75" customHeight="1">
      <c r="A3291" s="2" t="s">
        <v>3291</v>
      </c>
      <c r="B3291" s="2" t="str">
        <f>IFERROR(__xludf.DUMMYFUNCTION("GOOGLETRANSLATE(A3291, ""en"", ""mt"")"),"ITV Digital")</f>
        <v>ITV Digital</v>
      </c>
    </row>
    <row r="3292" ht="15.75" customHeight="1">
      <c r="A3292" s="2" t="s">
        <v>3292</v>
      </c>
      <c r="B3292" s="2" t="str">
        <f>IFERROR(__xludf.DUMMYFUNCTION("GOOGLETRANSLATE(A3292, ""en"", ""mt"")"),"pettnijiet")</f>
        <v>pettnijiet</v>
      </c>
    </row>
    <row r="3293" ht="15.75" customHeight="1">
      <c r="A3293" s="2" t="s">
        <v>3293</v>
      </c>
      <c r="B3293" s="2" t="str">
        <f>IFERROR(__xludf.DUMMYFUNCTION("GOOGLETRANSLATE(A3293, ""en"", ""mt"")"),"Startjar minnu nnifsu")</f>
        <v>Startjar minnu nnifsu</v>
      </c>
    </row>
    <row r="3294" ht="15.75" customHeight="1">
      <c r="A3294" s="2" t="s">
        <v>3294</v>
      </c>
      <c r="B3294" s="2" t="str">
        <f>IFERROR(__xludf.DUMMYFUNCTION("GOOGLETRANSLATE(A3294, ""en"", ""mt"")"),"Biex tkejjel id-diffikultà biex tissolva problema tal-komputazzjoni, wieħed jista 'jixtieq jara kemm ħin l-aħjar algoritmu jirrikjedi biex issolvi l-problema. Madankollu, il-ħin ta 'tħaddim jista', b'mod ġenerali, jiddependi mill-istanza. B'mod partikolar"&amp;"i, każijiet ikbar jeħtieġu aktar ħin biex isolvu. Għalhekk il-ħin meħtieġ biex tissolva problema (jew l-ispazju meħtieġ, jew kwalunkwe miżura ta 'kumplessità) huwa kkalkulat bħala funzjoni tad-daqs tal-istanza. Dan ġeneralment jittieħed bħala d-daqs tal-i"&amp;"nput fil-bits. It-teorija tal-kumplessità hija interessata fil-mod kif l-algoritmi jiskalaw b'żieda fid-daqs tal-input. Pereżempju, fil-problema li ssib jekk graff huwiex konness, kemm iktar ħin tieħu biex issolvi problema għal graff bi vertiċi 2N meta mq"&amp;"abbel mal-ħin meħud għal graff bi n vertiċi?")</f>
        <v>Biex tkejjel id-diffikultà biex tissolva problema tal-komputazzjoni, wieħed jista 'jixtieq jara kemm ħin l-aħjar algoritmu jirrikjedi biex issolvi l-problema. Madankollu, il-ħin ta 'tħaddim jista', b'mod ġenerali, jiddependi mill-istanza. B'mod partikolari, każijiet ikbar jeħtieġu aktar ħin biex isolvu. Għalhekk il-ħin meħtieġ biex tissolva problema (jew l-ispazju meħtieġ, jew kwalunkwe miżura ta 'kumplessità) huwa kkalkulat bħala funzjoni tad-daqs tal-istanza. Dan ġeneralment jittieħed bħala d-daqs tal-input fil-bits. It-teorija tal-kumplessità hija interessata fil-mod kif l-algoritmi jiskalaw b'żieda fid-daqs tal-input. Pereżempju, fil-problema li ssib jekk graff huwiex konness, kemm iktar ħin tieħu biex issolvi problema għal graff bi vertiċi 2N meta mqabbel mal-ħin meħud għal graff bi n vertiċi?</v>
      </c>
    </row>
    <row r="3295" ht="15.75" customHeight="1">
      <c r="A3295" s="2" t="s">
        <v>3295</v>
      </c>
      <c r="B3295" s="2" t="str">
        <f>IFERROR(__xludf.DUMMYFUNCTION("GOOGLETRANSLATE(A3295, ""en"", ""mt"")"),"Ir-reġjun huwa dar għal madwar 2.5 miljun speċi ta 'insetti, għexieren ta' eluf ta 'pjanti, u madwar 2,000 għasafar u mammiferi. Sal-lum, mill-inqas 40,000 speċi ta ’pjanti, 2,200 ħut, 1,294 għasafar, 427 mammiferi, 428 anfibji, u 378 rettili ġew klassifi"&amp;"kati xjentifikament fir-reġjun. Waħda minn kull ħamsa mill-ispeċi kollha tal-għasafar fid-dinja tgħix fil-foresti tropikali tal-Amażonja, u waħda minn kull ħamsa mill-ispeċi tal-ħut jgħixu fix-xmajjar u n-nixxigħat tal-Amażonja. Ix-xjentisti ddeskrivew be"&amp;"jn 96,660 u 128,843 speċi invertebrati fil-Brażil biss.")</f>
        <v>Ir-reġjun huwa dar għal madwar 2.5 miljun speċi ta 'insetti, għexieren ta' eluf ta 'pjanti, u madwar 2,000 għasafar u mammiferi. Sal-lum, mill-inqas 40,000 speċi ta ’pjanti, 2,200 ħut, 1,294 għasafar, 427 mammiferi, 428 anfibji, u 378 rettili ġew klassifikati xjentifikament fir-reġjun. Waħda minn kull ħamsa mill-ispeċi kollha tal-għasafar fid-dinja tgħix fil-foresti tropikali tal-Amażonja, u waħda minn kull ħamsa mill-ispeċi tal-ħut jgħixu fix-xmajjar u n-nixxigħat tal-Amażonja. Ix-xjentisti ddeskrivew bejn 96,660 u 128,843 speċi invertebrati fil-Brażil biss.</v>
      </c>
    </row>
    <row r="3296" ht="15.75" customHeight="1">
      <c r="A3296" s="2" t="s">
        <v>3296</v>
      </c>
      <c r="B3296" s="2" t="str">
        <f>IFERROR(__xludf.DUMMYFUNCTION("GOOGLETRANSLATE(A3296, ""en"", ""mt"")"),"Min kien responsabbli għad-dekorazzjonijiet tal-kamra tal-grill?")</f>
        <v>Min kien responsabbli għad-dekorazzjonijiet tal-kamra tal-grill?</v>
      </c>
    </row>
    <row r="3297" ht="15.75" customHeight="1">
      <c r="A3297" s="2" t="s">
        <v>3297</v>
      </c>
      <c r="B3297" s="2" t="str">
        <f>IFERROR(__xludf.DUMMYFUNCTION("GOOGLETRANSLATE(A3297, ""en"", ""mt"")"),"Xellug Graz")</f>
        <v>Xellug Graz</v>
      </c>
    </row>
    <row r="3298" ht="15.75" customHeight="1">
      <c r="A3298" s="2" t="s">
        <v>3298</v>
      </c>
      <c r="B3298" s="2" t="str">
        <f>IFERROR(__xludf.DUMMYFUNCTION("GOOGLETRANSLATE(A3298, ""en"", ""mt"")"),"X'kien l-isem tal-effett tas-sistema 3D fid-dimensjoni fil-ħin?")</f>
        <v>X'kien l-isem tal-effett tas-sistema 3D fid-dimensjoni fil-ħin?</v>
      </c>
    </row>
    <row r="3299" ht="15.75" customHeight="1">
      <c r="A3299" s="2" t="s">
        <v>3299</v>
      </c>
      <c r="B3299" s="2" t="str">
        <f>IFERROR(__xludf.DUMMYFUNCTION("GOOGLETRANSLATE(A3299, ""en"", ""mt"")"),"cryptomonads")</f>
        <v>cryptomonads</v>
      </c>
    </row>
    <row r="3300" ht="15.75" customHeight="1">
      <c r="A3300" s="2" t="s">
        <v>3300</v>
      </c>
      <c r="B3300" s="2" t="str">
        <f>IFERROR(__xludf.DUMMYFUNCTION("GOOGLETRANSLATE(A3300, ""en"", ""mt"")"),"Min scolded lil Luther dwar ir-rudeness tiegħu?")</f>
        <v>Min scolded lil Luther dwar ir-rudeness tiegħu?</v>
      </c>
    </row>
    <row r="3301" ht="15.75" customHeight="1">
      <c r="A3301" s="2" t="s">
        <v>3301</v>
      </c>
      <c r="B3301" s="2" t="str">
        <f>IFERROR(__xludf.DUMMYFUNCTION("GOOGLETRANSLATE(A3301, ""en"", ""mt"")"),"pubbliċità ħażina")</f>
        <v>pubbliċità ħażina</v>
      </c>
    </row>
    <row r="3302" ht="15.75" customHeight="1">
      <c r="A3302" s="2" t="s">
        <v>3302</v>
      </c>
      <c r="B3302" s="2" t="str">
        <f>IFERROR(__xludf.DUMMYFUNCTION("GOOGLETRANSLATE(A3302, ""en"", ""mt"")"),"Minn Settembru 2004, id-dar uffiċjali tal-Parlament Skoċċiż kienet bini ġdid tal-Parlament Skoċċiż, fiż-żona ta 'Holyrood ta' Edinburgh. Il-bini tal-Parlament Skoċċiż kien iddisinjat mill-perit Spanjol Enric Miralles bi sħab mad-ditta lokali ta ’arkitettu"&amp;"ra ta’ Edinburgh RMJM li kienet immexxija mill-prinċipal tad-disinn Tony Kettle. Uħud mill-karatteristiċi ewlenin tal-kumpless jinkludu bini b'forma ta 'weraq, fergħa msaqqda bil-ħaxix li tgħaqqad f'parkland li jmissu magħhom u ħitan tal-gabion iffurmati "&amp;"mill-ġebel ta' bini preċedenti. Matul il-bini hemm ħafna motivi ripetuti, bħal forom ibbażati fuq il-ministru tal-iskejjel ta 'Raeburn. Gables imxerrda bil-crow u t-tamboċċi tad-dgħajsa mdawra tal-lobby tal-ġnien, itemmu l-arkitettura unika. Ir-Reġina Eli"&amp;"żabetta II fetħet il-bini l-ġdid fid-9 ta ’Ottubru 2004.")</f>
        <v>Minn Settembru 2004, id-dar uffiċjali tal-Parlament Skoċċiż kienet bini ġdid tal-Parlament Skoċċiż, fiż-żona ta 'Holyrood ta' Edinburgh. Il-bini tal-Parlament Skoċċiż kien iddisinjat mill-perit Spanjol Enric Miralles bi sħab mad-ditta lokali ta ’arkitettura ta’ Edinburgh RMJM li kienet immexxija mill-prinċipal tad-disinn Tony Kettle. Uħud mill-karatteristiċi ewlenin tal-kumpless jinkludu bini b'forma ta 'weraq, fergħa msaqqda bil-ħaxix li tgħaqqad f'parkland li jmissu magħhom u ħitan tal-gabion iffurmati mill-ġebel ta' bini preċedenti. Matul il-bini hemm ħafna motivi ripetuti, bħal forom ibbażati fuq il-ministru tal-iskejjel ta 'Raeburn. Gables imxerrda bil-crow u t-tamboċċi tad-dgħajsa mdawra tal-lobby tal-ġnien, itemmu l-arkitettura unika. Ir-Reġina Eliżabetta II fetħet il-bini l-ġdid fid-9 ta ’Ottubru 2004.</v>
      </c>
    </row>
    <row r="3303" ht="15.75" customHeight="1">
      <c r="A3303" s="2" t="s">
        <v>3303</v>
      </c>
      <c r="B3303" s="2" t="str">
        <f>IFERROR(__xludf.DUMMYFUNCTION("GOOGLETRANSLATE(A3303, ""en"", ""mt"")"),"Jekk il-forza tal-apparat ta 'żewġ ferzzjonijiet hija attraenti, x'inhi l-funzjoni spin?")</f>
        <v>Jekk il-forza tal-apparat ta 'żewġ ferzzjonijiet hija attraenti, x'inhi l-funzjoni spin?</v>
      </c>
    </row>
    <row r="3304" ht="15.75" customHeight="1">
      <c r="A3304" s="2" t="s">
        <v>3304</v>
      </c>
      <c r="B3304" s="2" t="str">
        <f>IFERROR(__xludf.DUMMYFUNCTION("GOOGLETRANSLATE(A3304, ""en"", ""mt"")"),"1938")</f>
        <v>1938</v>
      </c>
    </row>
    <row r="3305" ht="15.75" customHeight="1">
      <c r="A3305" s="2" t="s">
        <v>3305</v>
      </c>
      <c r="B3305" s="2" t="str">
        <f>IFERROR(__xludf.DUMMYFUNCTION("GOOGLETRANSLATE(A3305, ""en"", ""mt"")"),"Ir-riċerka turi li l-motivazzjoni u l-attitudnijiet tal-istudenti lejn l-iskola huma marbuta mill-qrib mar-relazzjonijiet studenti-għalliema. Għalliema entużjasti huma partikolarment tajbin biex joħolqu relazzjonijiet ta 'benefiċċju mal-istudenti tagħhom."&amp;" Il-kapaċità tagħhom li joħolqu ambjenti ta 'tagħlim effettivi li jrawmu l-kisba ta' studenti tiddependi fuq it-tip ta 'relazzjoni li jibnu mal-istudenti tagħhom. Interazzjonijiet utli għalliem-student huma kruċjali biex jgħaqqdu s-suċċess akkademiku mal-"&amp;"kisba personali. Hawnhekk, is-suċċess personali huwa l-għan intern tal-istudent li jtejjeb lilu nnifsu, filwaqt li s-suċċess akkademiku jinkludi l-għanijiet li jirċievi mis-superjuri tiegħu. Għalliem għandu jiggwida lill-istudent tiegħu biex jallinja l-għ"&amp;"anijiet personali tiegħu mal-għanijiet akkademiċi tiegħu. Studenti li jirċievu din l-influwenza pożittiva juru kunfidenza fihom infushom aktar b'saħħithom u suċċess personali u akkademiku akbar minn dawk mingħajr dawn l-interazzjonijiet tal-għalliema.")</f>
        <v>Ir-riċerka turi li l-motivazzjoni u l-attitudnijiet tal-istudenti lejn l-iskola huma marbuta mill-qrib mar-relazzjonijiet studenti-għalliema. Għalliema entużjasti huma partikolarment tajbin biex joħolqu relazzjonijiet ta 'benefiċċju mal-istudenti tagħhom. Il-kapaċità tagħhom li joħolqu ambjenti ta 'tagħlim effettivi li jrawmu l-kisba ta' studenti tiddependi fuq it-tip ta 'relazzjoni li jibnu mal-istudenti tagħhom. Interazzjonijiet utli għalliem-student huma kruċjali biex jgħaqqdu s-suċċess akkademiku mal-kisba personali. Hawnhekk, is-suċċess personali huwa l-għan intern tal-istudent li jtejjeb lilu nnifsu, filwaqt li s-suċċess akkademiku jinkludi l-għanijiet li jirċievi mis-superjuri tiegħu. Għalliem għandu jiggwida lill-istudent tiegħu biex jallinja l-għanijiet personali tiegħu mal-għanijiet akkademiċi tiegħu. Studenti li jirċievu din l-influwenza pożittiva juru kunfidenza fihom infushom aktar b'saħħithom u suċċess personali u akkademiku akbar minn dawk mingħajr dawn l-interazzjonijiet tal-għalliema.</v>
      </c>
    </row>
    <row r="3306" ht="15.75" customHeight="1">
      <c r="A3306" s="2" t="s">
        <v>3306</v>
      </c>
      <c r="B3306" s="2" t="str">
        <f>IFERROR(__xludf.DUMMYFUNCTION("GOOGLETRANSLATE(A3306, ""en"", ""mt"")"),"Il-frażi ""moħbija wara (jew"" tara minn wara "") is-sufan"" daħlet fil-kultura pop Ingliża, li tindika fl-umoriżmu l-imġieba sterjotipika tas-serje bikrija tat-tfal li riedu jevitaw li jaraw partijiet tal-biża 'ta' programm televiżiv waqt li baqgħu fil-k"&amp;"amra biex jaraw il-kumplament ta 'dan. Il-frażi żżomm din l-assoċjazzjoni ma 'Doctor Who, sal-punt li fl-1991 il-Mużew ta' l-Immaġni Moving f'Londra semma l-wirja tagħhom li tiċċelebra l-programm ""wara s-sufan"". Il-mużika tema elettronika wkoll kienet p"&amp;"erċepita bħala stramba, ġdida u tal-biża 'dak iż-żmien. Artiklu tal-2012 poġġa din it-tfulija ta 'biża' ta 'biża' u eċċitament ""fiċ-ċentru tar-relazzjoni ta 'ħafna nies ma' l-ispettaklu"", u vot onlajn tal-2011 fuq diġitali spy qies is-serje ""l-ispettak"&amp;"lu tat-TV scariest ta 'kull żmien"".")</f>
        <v>Il-frażi "moħbija wara (jew" tara minn wara ") is-sufan" daħlet fil-kultura pop Ingliża, li tindika fl-umoriżmu l-imġieba sterjotipika tas-serje bikrija tat-tfal li riedu jevitaw li jaraw partijiet tal-biża 'ta' programm televiżiv waqt li baqgħu fil-kamra biex jaraw il-kumplament ta 'dan. Il-frażi żżomm din l-assoċjazzjoni ma 'Doctor Who, sal-punt li fl-1991 il-Mużew ta' l-Immaġni Moving f'Londra semma l-wirja tagħhom li tiċċelebra l-programm "wara s-sufan". Il-mużika tema elettronika wkoll kienet perċepita bħala stramba, ġdida u tal-biża 'dak iż-żmien. Artiklu tal-2012 poġġa din it-tfulija ta 'biża' ta 'biża' u eċċitament "fiċ-ċentru tar-relazzjoni ta 'ħafna nies ma' l-ispettaklu", u vot onlajn tal-2011 fuq diġitali spy qies is-serje "l-ispettaklu tat-TV scariest ta 'kull żmien".</v>
      </c>
    </row>
    <row r="3307" ht="15.75" customHeight="1">
      <c r="A3307" s="2" t="s">
        <v>3307</v>
      </c>
      <c r="B3307" s="2" t="str">
        <f>IFERROR(__xludf.DUMMYFUNCTION("GOOGLETRANSLATE(A3307, ""en"", ""mt"")"),"X'kienet l-iktar pubblikazzjoni notevoli tal-Akkademja ta 'Tugh?")</f>
        <v>X'kienet l-iktar pubblikazzjoni notevoli tal-Akkademja ta 'Tugh?</v>
      </c>
    </row>
    <row r="3308" ht="15.75" customHeight="1">
      <c r="A3308" s="2" t="s">
        <v>3308</v>
      </c>
      <c r="B3308" s="2" t="str">
        <f>IFERROR(__xludf.DUMMYFUNCTION("GOOGLETRANSLATE(A3308, ""en"", ""mt"")"),"Ħajja aċetika tal-ordnijiet reliġjużi medjevali")</f>
        <v>Ħajja aċetika tal-ordnijiet reliġjużi medjevali</v>
      </c>
    </row>
    <row r="3309" ht="15.75" customHeight="1">
      <c r="A3309" s="2" t="s">
        <v>3309</v>
      </c>
      <c r="B3309" s="2" t="str">
        <f>IFERROR(__xludf.DUMMYFUNCTION("GOOGLETRANSLATE(A3309, ""en"", ""mt"")"),"Orbiter ta 'għarfien Lunar")</f>
        <v>Orbiter ta 'għarfien Lunar</v>
      </c>
    </row>
    <row r="3310" ht="15.75" customHeight="1">
      <c r="A3310" s="2" t="s">
        <v>3310</v>
      </c>
      <c r="B3310" s="2" t="str">
        <f>IFERROR(__xludf.DUMMYFUNCTION("GOOGLETRANSLATE(A3310, ""en"", ""mt"")"),"Motivazzjonijiet orjentati lejn il-kisba")</f>
        <v>Motivazzjonijiet orjentati lejn il-kisba</v>
      </c>
    </row>
    <row r="3311" ht="15.75" customHeight="1">
      <c r="A3311" s="2" t="s">
        <v>3311</v>
      </c>
      <c r="B3311" s="2" t="str">
        <f>IFERROR(__xludf.DUMMYFUNCTION("GOOGLETRANSLATE(A3311, ""en"", ""mt"")"),"X'inhuma l-peptidi antimikrobiċi li huma l-forma ewlenija ta 'immunità sistemika invertebrati?")</f>
        <v>X'inhuma l-peptidi antimikrobiċi li huma l-forma ewlenija ta 'immunità sistemika invertebrati?</v>
      </c>
    </row>
    <row r="3312" ht="15.75" customHeight="1">
      <c r="A3312" s="2" t="s">
        <v>3312</v>
      </c>
      <c r="B3312" s="2" t="str">
        <f>IFERROR(__xludf.DUMMYFUNCTION("GOOGLETRANSLATE(A3312, ""en"", ""mt"")"),"l-urbanizzazzjoni tal-belt")</f>
        <v>l-urbanizzazzjoni tal-belt</v>
      </c>
    </row>
    <row r="3313" ht="15.75" customHeight="1">
      <c r="A3313" s="2" t="s">
        <v>3313</v>
      </c>
      <c r="B3313" s="2" t="str">
        <f>IFERROR(__xludf.DUMMYFUNCTION("GOOGLETRANSLATE(A3313, ""en"", ""mt"")"),"Messiaen jgħid li l-kompożizzjoni bin-numri ewlenin kienet ispirata minn xiex?")</f>
        <v>Messiaen jgħid li l-kompożizzjoni bin-numri ewlenin kienet ispirata minn xiex?</v>
      </c>
    </row>
    <row r="3314" ht="15.75" customHeight="1">
      <c r="A3314" s="2" t="s">
        <v>3314</v>
      </c>
      <c r="B3314" s="2" t="str">
        <f>IFERROR(__xludf.DUMMYFUNCTION("GOOGLETRANSLATE(A3314, ""en"", ""mt"")"),"It-Trattat dwar l-Unjoni Ewropea (TEU) u t-Trattat dwar il-Funzjonament tal-Unjoni Ewropea (TFEU)")</f>
        <v>It-Trattat dwar l-Unjoni Ewropea (TEU) u t-Trattat dwar il-Funzjonament tal-Unjoni Ewropea (TFEU)</v>
      </c>
    </row>
    <row r="3315" ht="15.75" customHeight="1">
      <c r="A3315" s="2" t="s">
        <v>3315</v>
      </c>
      <c r="B3315" s="2" t="str">
        <f>IFERROR(__xludf.DUMMYFUNCTION("GOOGLETRANSLATE(A3315, ""en"", ""mt"")"),"ir-regolamenti finanzjarji u r-regoli tal-WMO")</f>
        <v>ir-regolamenti finanzjarji u r-regoli tal-WMO</v>
      </c>
    </row>
    <row r="3316" ht="15.75" customHeight="1">
      <c r="A3316" s="2" t="s">
        <v>3316</v>
      </c>
      <c r="B3316" s="2" t="str">
        <f>IFERROR(__xludf.DUMMYFUNCTION("GOOGLETRANSLATE(A3316, ""en"", ""mt"")"),"Sħubija Assoċjata")</f>
        <v>Sħubija Assoċjata</v>
      </c>
    </row>
    <row r="3317" ht="15.75" customHeight="1">
      <c r="A3317" s="2" t="s">
        <v>3317</v>
      </c>
      <c r="B3317" s="2" t="str">
        <f>IFERROR(__xludf.DUMMYFUNCTION("GOOGLETRANSLATE(A3317, ""en"", ""mt"")"),"Kif ir-revoka rrestrinġiet l-ivvjaġġar Huguenot?")</f>
        <v>Kif ir-revoka rrestrinġiet l-ivvjaġġar Huguenot?</v>
      </c>
    </row>
    <row r="3318" ht="15.75" customHeight="1">
      <c r="A3318" s="2" t="s">
        <v>3318</v>
      </c>
      <c r="B3318" s="2" t="str">
        <f>IFERROR(__xludf.DUMMYFUNCTION("GOOGLETRANSLATE(A3318, ""en"", ""mt"")"),"14")</f>
        <v>14</v>
      </c>
    </row>
    <row r="3319" ht="15.75" customHeight="1">
      <c r="A3319" s="2" t="s">
        <v>3319</v>
      </c>
      <c r="B3319" s="2" t="str">
        <f>IFERROR(__xludf.DUMMYFUNCTION("GOOGLETRANSLATE(A3319, ""en"", ""mt"")"),"Perjodu ta 'Cambrian.")</f>
        <v>Perjodu ta 'Cambrian.</v>
      </c>
    </row>
    <row r="3320" ht="15.75" customHeight="1">
      <c r="A3320" s="2" t="s">
        <v>3320</v>
      </c>
      <c r="B3320" s="2" t="str">
        <f>IFERROR(__xludf.DUMMYFUNCTION("GOOGLETRANSLATE(A3320, ""en"", ""mt"")"),"Liema proprjetà tas-Serje Armonika 1 + 1/2 + 1/3 + 1/4 + ... turi li hemm numru infinit ta 'primes?")</f>
        <v>Liema proprjetà tas-Serje Armonika 1 + 1/2 + 1/3 + 1/4 + ... turi li hemm numru infinit ta 'primes?</v>
      </c>
    </row>
    <row r="3321" ht="15.75" customHeight="1">
      <c r="A3321" s="2" t="s">
        <v>3321</v>
      </c>
      <c r="B3321" s="2" t="str">
        <f>IFERROR(__xludf.DUMMYFUNCTION("GOOGLETRANSLATE(A3321, ""en"", ""mt"")"),"wieħed (jew aktar) tad-dipartimenti (jew ministeri) tal-gvern Skoċċiż")</f>
        <v>wieħed (jew aktar) tad-dipartimenti (jew ministeri) tal-gvern Skoċċiż</v>
      </c>
    </row>
    <row r="3322" ht="15.75" customHeight="1">
      <c r="A3322" s="2" t="s">
        <v>3322</v>
      </c>
      <c r="B3322" s="2" t="str">
        <f>IFERROR(__xludf.DUMMYFUNCTION("GOOGLETRANSLATE(A3322, ""en"", ""mt"")"),"Kemm-il darba għandu jerġa 'jiġi applikat il-qaddej lokali?")</f>
        <v>Kemm-il darba għandu jerġa 'jiġi applikat il-qaddej lokali?</v>
      </c>
    </row>
    <row r="3323" ht="15.75" customHeight="1">
      <c r="A3323" s="2" t="s">
        <v>3323</v>
      </c>
      <c r="B3323" s="2" t="str">
        <f>IFERROR(__xludf.DUMMYFUNCTION("GOOGLETRANSLATE(A3323, ""en"", ""mt"")"),"X'kien l-isem ta 'missier Tesla?")</f>
        <v>X'kien l-isem ta 'missier Tesla?</v>
      </c>
    </row>
    <row r="3324" ht="15.75" customHeight="1">
      <c r="A3324" s="2" t="s">
        <v>3324</v>
      </c>
      <c r="B3324" s="2" t="str">
        <f>IFERROR(__xludf.DUMMYFUNCTION("GOOGLETRANSLATE(A3324, ""en"", ""mt"")"),"gwerer u ""xokkijiet ekonomiċi u politiċi vjolenti""")</f>
        <v>gwerer u "xokkijiet ekonomiċi u politiċi vjolenti"</v>
      </c>
    </row>
    <row r="3325" ht="15.75" customHeight="1">
      <c r="A3325" s="2" t="s">
        <v>3325</v>
      </c>
      <c r="B3325" s="2" t="str">
        <f>IFERROR(__xludf.DUMMYFUNCTION("GOOGLETRANSLATE(A3325, ""en"", ""mt"")"),"2014.")</f>
        <v>2014.</v>
      </c>
    </row>
    <row r="3326" ht="15.75" customHeight="1">
      <c r="A3326" s="2" t="s">
        <v>3326</v>
      </c>
      <c r="B3326" s="2" t="str">
        <f>IFERROR(__xludf.DUMMYFUNCTION("GOOGLETRANSLATE(A3326, ""en"", ""mt"")"),"L-Anglo-Sassoni")</f>
        <v>L-Anglo-Sassoni</v>
      </c>
    </row>
    <row r="3327" ht="15.75" customHeight="1">
      <c r="A3327" s="2" t="s">
        <v>3327</v>
      </c>
      <c r="B3327" s="2" t="str">
        <f>IFERROR(__xludf.DUMMYFUNCTION("GOOGLETRANSLATE(A3327, ""en"", ""mt"")"),"Miller-Rabin")</f>
        <v>Miller-Rabin</v>
      </c>
    </row>
    <row r="3328" ht="15.75" customHeight="1">
      <c r="A3328" s="2" t="s">
        <v>3328</v>
      </c>
      <c r="B3328" s="2" t="str">
        <f>IFERROR(__xludf.DUMMYFUNCTION("GOOGLETRANSLATE(A3328, ""en"", ""mt"")"),"Illum, it-Trattat ta 'Lisbona jipprojbixxi ftehimiet anti-kompetittivi fl-Artikolu 101 (1), inkluż l-iffissar tal-prezzijiet. Skond l-Artikolu 101 (2) kwalunkwe ftehim bħal dan huwa awtomatikament bla effett. L-Artikolu 101 (3) jistabbilixxi eżenzjonijiet"&amp;", jekk il-kollużjoni hija għal innovazzjoni distribuzzjoni jew teknoloġika, tagħti lill-konsumaturi ""sehem ġust"" tal-benefiċċju u ma jinkludix trażżin mhux raġonevoli li l-eliminazzjoni tar-riskju tal-kompetizzjoni kullimkien (jew konformi mal-prinċipju"&amp;" ġenerali tal-liġi tal-Unjoni Ewropea ta 'proporzjonalità). L-Artikolu 102 jipprojbixxi l-abbuż ta 'pożizzjoni dominanti, bħal diskriminazzjoni fil-prezz u trattament esklussiv. L-Artikolu 102 jippermetti lill-Kunsill Ewropew jirregola l-għaqdiet bejn id-"&amp;"ditti (ir-regolament attwali huwa r-Regolament 139/2004 / KE). It-test ġenerali huwa jekk konċentrazzjoni (i.e. għaqda jew akkwist) b'dimensjoni tal-komunità (i.e. taffettwa numru ta 'stati membri tal-UE) jista' jimpedixxi b'mod sinifikanti l-kompetizzjon"&amp;"i effettiva. L-Artikoli 106 u 107 jipprovdu li d-dritt tal-Istat Membru li jagħti servizzi pubbliku ma jistax jiġi ostakolat, iżda li inkella l-intrapriżi pubbliċi għandhom jaderixxu mal-istess prinċipji tal-kompetizzjoni bħall-kumpaniji. L-Artikolu 107 j"&amp;"istabbilixxi regola ġenerali li l-Istat ma jistax jgħin jew jissussidja partijiet privati ​​fit-tgħawwiġ ta 'kompetizzjoni b'xejn u jipprovdi eżenzjonijiet għal karitajiet, għanijiet ta' żvilupp reġjonali u f'każ ta 'diżastru naturali.")</f>
        <v>Illum, it-Trattat ta 'Lisbona jipprojbixxi ftehimiet anti-kompetittivi fl-Artikolu 101 (1), inkluż l-iffissar tal-prezzijiet. Skond l-Artikolu 101 (2) kwalunkwe ftehim bħal dan huwa awtomatikament bla effett. L-Artikolu 101 (3) jistabbilixxi eżenzjonijiet, jekk il-kollużjoni hija għal innovazzjoni distribuzzjoni jew teknoloġika, tagħti lill-konsumaturi "sehem ġust" tal-benefiċċju u ma jinkludix trażżin mhux raġonevoli li l-eliminazzjoni tar-riskju tal-kompetizzjoni kullimkien (jew konformi mal-prinċipju ġenerali tal-liġi tal-Unjoni Ewropea ta 'proporzjonalità). L-Artikolu 102 jipprojbixxi l-abbuż ta 'pożizzjoni dominanti, bħal diskriminazzjoni fil-prezz u trattament esklussiv. L-Artikolu 102 jippermetti lill-Kunsill Ewropew jirregola l-għaqdiet bejn id-ditti (ir-regolament attwali huwa r-Regolament 139/2004 / KE). It-test ġenerali huwa jekk konċentrazzjoni (i.e. għaqda jew akkwist) b'dimensjoni tal-komunità (i.e. taffettwa numru ta 'stati membri tal-UE) jista' jimpedixxi b'mod sinifikanti l-kompetizzjoni effettiva. L-Artikoli 106 u 107 jipprovdu li d-dritt tal-Istat Membru li jagħti servizzi pubbliku ma jistax jiġi ostakolat, iżda li inkella l-intrapriżi pubbliċi għandhom jaderixxu mal-istess prinċipji tal-kompetizzjoni bħall-kumpaniji. L-Artikolu 107 jistabbilixxi regola ġenerali li l-Istat ma jistax jgħin jew jissussidja partijiet privati ​​fit-tgħawwiġ ta 'kompetizzjoni b'xejn u jipprovdi eżenzjonijiet għal karitajiet, għanijiet ta' żvilupp reġjonali u f'każ ta 'diżastru naturali.</v>
      </c>
    </row>
    <row r="3329" ht="15.75" customHeight="1">
      <c r="A3329" s="2" t="s">
        <v>3329</v>
      </c>
      <c r="B3329" s="2" t="str">
        <f>IFERROR(__xludf.DUMMYFUNCTION("GOOGLETRANSLATE(A3329, ""en"", ""mt"")"),"Min kien ir-4 li ddeċieda d-dinastija Yuan?")</f>
        <v>Min kien ir-4 li ddeċieda d-dinastija Yuan?</v>
      </c>
    </row>
    <row r="3330" ht="15.75" customHeight="1">
      <c r="A3330" s="2" t="s">
        <v>3330</v>
      </c>
      <c r="B3330" s="2" t="str">
        <f>IFERROR(__xludf.DUMMYFUNCTION("GOOGLETRANSLATE(A3330, ""en"", ""mt"")"),"Fejn ġew solvuti l-Amerikani tat-Tramuntana Franċiżi?")</f>
        <v>Fejn ġew solvuti l-Amerikani tat-Tramuntana Franċiżi?</v>
      </c>
    </row>
    <row r="3331" ht="15.75" customHeight="1">
      <c r="A3331" s="2" t="s">
        <v>3331</v>
      </c>
      <c r="B3331" s="2" t="str">
        <f>IFERROR(__xludf.DUMMYFUNCTION("GOOGLETRANSLATE(A3331, ""en"", ""mt"")"),"11-il miljun klijent")</f>
        <v>11-il miljun klijent</v>
      </c>
    </row>
    <row r="3332" ht="15.75" customHeight="1">
      <c r="A3332" s="2" t="s">
        <v>3332</v>
      </c>
      <c r="B3332" s="2" t="str">
        <f>IFERROR(__xludf.DUMMYFUNCTION("GOOGLETRANSLATE(A3332, ""en"", ""mt"")"),"X'pożizzjoni tilgħab Jerricho Cotchery?")</f>
        <v>X'pożizzjoni tilgħab Jerricho Cotchery?</v>
      </c>
    </row>
    <row r="3333" ht="15.75" customHeight="1">
      <c r="A3333" s="2" t="s">
        <v>3333</v>
      </c>
      <c r="B3333" s="2" t="str">
        <f>IFERROR(__xludf.DUMMYFUNCTION("GOOGLETRANSLATE(A3333, ""en"", ""mt"")"),"Meta Sky Digital tnediet fl-1998 is-servizz il-ġdid uża s-satellita Astra 2A li kienet tinsab fil-pożizzjoni orbitali ta '28 .5 ° E, b'differenza mis-servizz analogu li ġie mxandar minn 19.2 ° E. Sussegwentement ġie segwit minn aktar satelliti Astra kif u"&amp;"koll minn Euutelsat's Eurobind 1 (issa Eutelsat 33C) fi 28.5 ° E), ippermetta lill-kumpanija tniedi servizz ġdid diġitali kollu, Sky, bil-potenzjal li ġġorr mijiet ta 'kanali tat-televiżjoni u tar-radju Jonqos Il-pożizzjoni l-qadima kienet maqsuma ma 'xan"&amp;"dara minn diversi pajjiżi Ewropej, filwaqt li l-pożizzjoni l-ġdida ta '28 .5 ° E waslet kważi esklussivament għal kanali li xxandru lir-Renju Unit.")</f>
        <v>Meta Sky Digital tnediet fl-1998 is-servizz il-ġdid uża s-satellita Astra 2A li kienet tinsab fil-pożizzjoni orbitali ta '28 .5 ° E, b'differenza mis-servizz analogu li ġie mxandar minn 19.2 ° E. Sussegwentement ġie segwit minn aktar satelliti Astra kif ukoll minn Euutelsat's Eurobind 1 (issa Eutelsat 33C) fi 28.5 ° E), ippermetta lill-kumpanija tniedi servizz ġdid diġitali kollu, Sky, bil-potenzjal li ġġorr mijiet ta 'kanali tat-televiżjoni u tar-radju Jonqos Il-pożizzjoni l-qadima kienet maqsuma ma 'xandara minn diversi pajjiżi Ewropej, filwaqt li l-pożizzjoni l-ġdida ta '28 .5 ° E waslet kważi esklussivament għal kanali li xxandru lir-Renju Unit.</v>
      </c>
    </row>
    <row r="3334" ht="15.75" customHeight="1">
      <c r="A3334" s="2" t="s">
        <v>3334</v>
      </c>
      <c r="B3334" s="2" t="str">
        <f>IFERROR(__xludf.DUMMYFUNCTION("GOOGLETRANSLATE(A3334, ""en"", ""mt"")"),"Palazz Leopold Kronenberg")</f>
        <v>Palazz Leopold Kronenberg</v>
      </c>
    </row>
    <row r="3335" ht="15.75" customHeight="1">
      <c r="A3335" s="2" t="s">
        <v>3335</v>
      </c>
      <c r="B3335" s="2" t="str">
        <f>IFERROR(__xludf.DUMMYFUNCTION("GOOGLETRANSLATE(A3335, ""en"", ""mt"")"),"Żieda sostanzjalment il-konċentrazzjonijiet atmosferiċi")</f>
        <v>Żieda sostanzjalment il-konċentrazzjonijiet atmosferiċi</v>
      </c>
    </row>
    <row r="3336" ht="15.75" customHeight="1">
      <c r="A3336" s="2" t="s">
        <v>3336</v>
      </c>
      <c r="B3336" s="2" t="str">
        <f>IFERROR(__xludf.DUMMYFUNCTION("GOOGLETRANSLATE(A3336, ""en"", ""mt"")"),"Matthew Murray")</f>
        <v>Matthew Murray</v>
      </c>
    </row>
    <row r="3337" ht="15.75" customHeight="1">
      <c r="A3337" s="2" t="s">
        <v>3337</v>
      </c>
      <c r="B3337" s="2" t="str">
        <f>IFERROR(__xludf.DUMMYFUNCTION("GOOGLETRANSLATE(A3337, ""en"", ""mt"")"),"Cybermen")</f>
        <v>Cybermen</v>
      </c>
    </row>
    <row r="3338" ht="15.75" customHeight="1">
      <c r="A3338" s="2" t="s">
        <v>3338</v>
      </c>
      <c r="B3338" s="2" t="str">
        <f>IFERROR(__xludf.DUMMYFUNCTION("GOOGLETRANSLATE(A3338, ""en"", ""mt"")"),"L-Iżlamisti staqsew il-mistoqsija, ""Jekk l-Iżlam huwiex mod ta 'ħajja, kif nistgħu ngħidu li dawk li jixtiequ jgħixu mill-prinċipji tiegħu fl-isferi legali, soċjali, politiċi, ekonomiċi u politiċi tal-ħajja mhumiex Musulmani, iżda l-Iżlamisti u jemmnu Fl"&amp;"-Iżlamiżmu, mhux [biss] l-Islam? "" Bl-istess mod, kittieb għall-grupp ta 'kriżi internazzjonali jsostni li ""l-kunċett ta'"" Islam politiku ""huwa ħolqien ta 'Amerikani li jispjegaw ir-rivoluzzjoni Iżlamika Iranjana u l-Islam apolitiku kien fluke storiku"&amp;" ta' l-era ta 'ħajja qasira In-nazzjonaliżmu Għarbi bejn l-1945 u l-1970 "", u huwa Iżlam kwiet / mhux politiku, mhux l-Iżlamiżmu, li jirrikjedi spjegazzjoni.")</f>
        <v>L-Iżlamisti staqsew il-mistoqsija, "Jekk l-Iżlam huwiex mod ta 'ħajja, kif nistgħu ngħidu li dawk li jixtiequ jgħixu mill-prinċipji tiegħu fl-isferi legali, soċjali, politiċi, ekonomiċi u politiċi tal-ħajja mhumiex Musulmani, iżda l-Iżlamisti u jemmnu Fl-Iżlamiżmu, mhux [biss] l-Islam? " Bl-istess mod, kittieb għall-grupp ta 'kriżi internazzjonali jsostni li "l-kunċett ta'" Islam politiku "huwa ħolqien ta 'Amerikani li jispjegaw ir-rivoluzzjoni Iżlamika Iranjana u l-Islam apolitiku kien fluke storiku ta' l-era ta 'ħajja qasira In-nazzjonaliżmu Għarbi bejn l-1945 u l-1970 ", u huwa Iżlam kwiet / mhux politiku, mhux l-Iżlamiżmu, li jirrikjedi spjegazzjoni.</v>
      </c>
    </row>
    <row r="3339" ht="15.75" customHeight="1">
      <c r="A3339" s="2" t="s">
        <v>3339</v>
      </c>
      <c r="B3339" s="2" t="str">
        <f>IFERROR(__xludf.DUMMYFUNCTION("GOOGLETRANSLATE(A3339, ""en"", ""mt"")"),"Żewġ differenzi fundamentali kienu jinvolvu d-diviżjoni tal-funzjonijiet u l-kompiti bejn l-ospiti fit-tarf tan-netwerk u l-qalba tan-netwerk")</f>
        <v>Żewġ differenzi fundamentali kienu jinvolvu d-diviżjoni tal-funzjonijiet u l-kompiti bejn l-ospiti fit-tarf tan-netwerk u l-qalba tan-netwerk</v>
      </c>
    </row>
    <row r="3340" ht="15.75" customHeight="1">
      <c r="A3340" s="2" t="s">
        <v>3340</v>
      </c>
      <c r="B3340" s="2" t="str">
        <f>IFERROR(__xludf.DUMMYFUNCTION("GOOGLETRANSLATE(A3340, ""en"", ""mt"")"),"Il-Gran Brittanja kisbet il-kontroll tal-Kanada Franċiża u l-Acadia, kolonji li fihom madwar 80,000 residenti Kattoliċi Rumani li jitkellmu bil-Franċiż. Id-deportazzjoni tal-Akkadjani li bdiet fl-1755 irriżultat f’art magħmula disponibbli għall-migranti m"&amp;"ill-Ewropa u l-kolonji aktar fin-nofsinhar. Il-Brittaniċi reġgħu ssettjati mill-ġdid ħafna Akkadjani matul il-provinċji tal-Amerika ta ’Fuq, iżda ħafna marru Franza, u xi wħud marru fi New Orleans, li huma kienu jistennew li jibqgħu Franċiżi. Uħud intbagħ"&amp;"tu biex jikkolonizzaw postijiet differenti bħall-Guyana Franċiża u l-Gżejjer Falkland; Dawn l-aħħar sforzi ma rnexxewx. Oħrajn emigra lejn postijiet bħal Saint-Domingue, u ħarbu lejn New Orleans wara r-Rivoluzzjoni ta ’Ħaiti. Il-popolazzjoni ta 'Louisiana"&amp;" kkontribwiet għall-fondazzjoni tal-popolazzjoni moderna ta' Cajun. (Il-kelma Franċiża ""Acadien"" evolviet għal ""Cadien"", imbagħad għal ""Cajun"".)")</f>
        <v>Il-Gran Brittanja kisbet il-kontroll tal-Kanada Franċiża u l-Acadia, kolonji li fihom madwar 80,000 residenti Kattoliċi Rumani li jitkellmu bil-Franċiż. Id-deportazzjoni tal-Akkadjani li bdiet fl-1755 irriżultat f’art magħmula disponibbli għall-migranti mill-Ewropa u l-kolonji aktar fin-nofsinhar. Il-Brittaniċi reġgħu ssettjati mill-ġdid ħafna Akkadjani matul il-provinċji tal-Amerika ta ’Fuq, iżda ħafna marru Franza, u xi wħud marru fi New Orleans, li huma kienu jistennew li jibqgħu Franċiżi. Uħud intbagħtu biex jikkolonizzaw postijiet differenti bħall-Guyana Franċiża u l-Gżejjer Falkland; Dawn l-aħħar sforzi ma rnexxewx. Oħrajn emigra lejn postijiet bħal Saint-Domingue, u ħarbu lejn New Orleans wara r-Rivoluzzjoni ta ’Ħaiti. Il-popolazzjoni ta 'Louisiana kkontribwiet għall-fondazzjoni tal-popolazzjoni moderna ta' Cajun. (Il-kelma Franċiża "Acadien" evolviet għal "Cadien", imbagħad għal "Cajun".)</v>
      </c>
    </row>
    <row r="3341" ht="15.75" customHeight="1">
      <c r="A3341" s="2" t="s">
        <v>3341</v>
      </c>
      <c r="B3341" s="2" t="str">
        <f>IFERROR(__xludf.DUMMYFUNCTION("GOOGLETRANSLATE(A3341, ""en"", ""mt"")"),"fornew żewġ reġimenti ġodda tal-armata tiegħu")</f>
        <v>fornew żewġ reġimenti ġodda tal-armata tiegħu</v>
      </c>
    </row>
    <row r="3342" ht="15.75" customHeight="1">
      <c r="A3342" s="2" t="s">
        <v>3342</v>
      </c>
      <c r="B3342" s="2" t="str">
        <f>IFERROR(__xludf.DUMMYFUNCTION("GOOGLETRANSLATE(A3342, ""en"", ""mt"")"),"Serb")</f>
        <v>Serb</v>
      </c>
    </row>
    <row r="3343" ht="15.75" customHeight="1">
      <c r="A3343" s="2" t="s">
        <v>3343</v>
      </c>
      <c r="B3343" s="2" t="str">
        <f>IFERROR(__xludf.DUMMYFUNCTION("GOOGLETRANSLATE(A3343, ""en"", ""mt"")"),"Aqraha mingħajr tfixkil")</f>
        <v>Aqraha mingħajr tfixkil</v>
      </c>
    </row>
    <row r="3344" ht="15.75" customHeight="1">
      <c r="A3344" s="2" t="s">
        <v>3344</v>
      </c>
      <c r="B3344" s="2" t="str">
        <f>IFERROR(__xludf.DUMMYFUNCTION("GOOGLETRANSLATE(A3344, ""en"", ""mt"")"),"Kif kien jissejjaħ il-mużew oriġinarjament?")</f>
        <v>Kif kien jissejjaħ il-mużew oriġinarjament?</v>
      </c>
    </row>
    <row r="3345" ht="15.75" customHeight="1">
      <c r="A3345" s="2" t="s">
        <v>3345</v>
      </c>
      <c r="B3345" s="2" t="str">
        <f>IFERROR(__xludf.DUMMYFUNCTION("GOOGLETRANSLATE(A3345, ""en"", ""mt"")"),"Liema arkeologu ppropona l-idea li l-Amazon Rainforest ma setgħetx issostni popolazzjonijiet kbar?")</f>
        <v>Liema arkeologu ppropona l-idea li l-Amazon Rainforest ma setgħetx issostni popolazzjonijiet kbar?</v>
      </c>
    </row>
    <row r="3346" ht="15.75" customHeight="1">
      <c r="A3346" s="2" t="s">
        <v>3346</v>
      </c>
      <c r="B3346" s="2" t="str">
        <f>IFERROR(__xludf.DUMMYFUNCTION("GOOGLETRANSLATE(A3346, ""en"", ""mt"")"),"popolazzjonijiet ta 'studenti")</f>
        <v>popolazzjonijiet ta 'studenti</v>
      </c>
    </row>
    <row r="3347" ht="15.75" customHeight="1">
      <c r="A3347" s="2" t="s">
        <v>3347</v>
      </c>
      <c r="B3347" s="2" t="str">
        <f>IFERROR(__xludf.DUMMYFUNCTION("GOOGLETRANSLATE(A3347, ""en"", ""mt"")"),"Fl-Amerika Latina x'inhu l-iktar kulur tal-ġilda revered?")</f>
        <v>Fl-Amerika Latina x'inhu l-iktar kulur tal-ġilda revered?</v>
      </c>
    </row>
    <row r="3348" ht="15.75" customHeight="1">
      <c r="A3348" s="2" t="s">
        <v>3348</v>
      </c>
      <c r="B3348" s="2" t="str">
        <f>IFERROR(__xludf.DUMMYFUNCTION("GOOGLETRANSLATE(A3348, ""en"", ""mt"")"),"Joseph Black")</f>
        <v>Joseph Black</v>
      </c>
    </row>
    <row r="3349" ht="15.75" customHeight="1">
      <c r="A3349" s="2" t="s">
        <v>3349</v>
      </c>
      <c r="B3349" s="2" t="str">
        <f>IFERROR(__xludf.DUMMYFUNCTION("GOOGLETRANSLATE(A3349, ""en"", ""mt"")"),"X’għamel Sasse li pproklama lil Luther?")</f>
        <v>X’għamel Sasse li pproklama lil Luther?</v>
      </c>
    </row>
    <row r="3350" ht="15.75" customHeight="1">
      <c r="A3350" s="2" t="s">
        <v>3350</v>
      </c>
      <c r="B3350" s="2" t="str">
        <f>IFERROR(__xludf.DUMMYFUNCTION("GOOGLETRANSLATE(A3350, ""en"", ""mt"")"),"qafas")</f>
        <v>qafas</v>
      </c>
    </row>
    <row r="3351" ht="15.75" customHeight="1">
      <c r="A3351" s="2" t="s">
        <v>3351</v>
      </c>
      <c r="B3351" s="2" t="str">
        <f>IFERROR(__xludf.DUMMYFUNCTION("GOOGLETRANSLATE(A3351, ""en"", ""mt"")"),"Sostituzzjoni ta 'tagħmir kapitali għax-xogħol")</f>
        <v>Sostituzzjoni ta 'tagħmir kapitali għax-xogħol</v>
      </c>
    </row>
    <row r="3352" ht="15.75" customHeight="1">
      <c r="A3352" s="2" t="s">
        <v>3352</v>
      </c>
      <c r="B3352" s="2" t="str">
        <f>IFERROR(__xludf.DUMMYFUNCTION("GOOGLETRANSLATE(A3352, ""en"", ""mt"")"),"Liema sena rriżultat fis-sospensjoni ta 'wieħed miż-żewġ timijiet tal-futbol?")</f>
        <v>Liema sena rriżultat fis-sospensjoni ta 'wieħed miż-żewġ timijiet tal-futbol?</v>
      </c>
    </row>
    <row r="3353" ht="15.75" customHeight="1">
      <c r="A3353" s="2" t="s">
        <v>3353</v>
      </c>
      <c r="B3353" s="2" t="str">
        <f>IFERROR(__xludf.DUMMYFUNCTION("GOOGLETRANSLATE(A3353, ""en"", ""mt"")"),"Netwerks ta 'komunikazzjoni li jistgħu jiġu sopravvitabbli")</f>
        <v>Netwerks ta 'komunikazzjoni li jistgħu jiġu sopravvitabbli</v>
      </c>
    </row>
    <row r="3354" ht="15.75" customHeight="1">
      <c r="A3354" s="2" t="s">
        <v>3354</v>
      </c>
      <c r="B3354" s="2" t="str">
        <f>IFERROR(__xludf.DUMMYFUNCTION("GOOGLETRANSLATE(A3354, ""en"", ""mt"")"),"Liema pubblikazzjoni stampat li l-1% sinjur għandhom aktar flus minn dawk fil-qiegħ 90%?")</f>
        <v>Liema pubblikazzjoni stampat li l-1% sinjur għandhom aktar flus minn dawk fil-qiegħ 90%?</v>
      </c>
    </row>
    <row r="3355" ht="15.75" customHeight="1">
      <c r="A3355" s="2" t="s">
        <v>3355</v>
      </c>
      <c r="B3355" s="2" t="str">
        <f>IFERROR(__xludf.DUMMYFUNCTION("GOOGLETRANSLATE(A3355, ""en"", ""mt"")"),"Stat ta 'San Jose")</f>
        <v>Stat ta 'San Jose</v>
      </c>
    </row>
    <row r="3356" ht="15.75" customHeight="1">
      <c r="A3356" s="2" t="s">
        <v>3356</v>
      </c>
      <c r="B3356" s="2" t="str">
        <f>IFERROR(__xludf.DUMMYFUNCTION("GOOGLETRANSLATE(A3356, ""en"", ""mt"")"),"Liema sena rebaħ il-Premju Peabody?")</f>
        <v>Liema sena rebaħ il-Premju Peabody?</v>
      </c>
    </row>
    <row r="3357" ht="15.75" customHeight="1">
      <c r="A3357" s="2" t="s">
        <v>3357</v>
      </c>
      <c r="B3357" s="2" t="str">
        <f>IFERROR(__xludf.DUMMYFUNCTION("GOOGLETRANSLATE(A3357, ""en"", ""mt"")"),"Melanocytes")</f>
        <v>Melanocytes</v>
      </c>
    </row>
    <row r="3358" ht="15.75" customHeight="1">
      <c r="A3358" s="2" t="s">
        <v>3358</v>
      </c>
      <c r="B3358" s="2" t="str">
        <f>IFERROR(__xludf.DUMMYFUNCTION("GOOGLETRANSLATE(A3358, ""en"", ""mt"")"),"1962")</f>
        <v>1962</v>
      </c>
    </row>
    <row r="3359" ht="15.75" customHeight="1">
      <c r="A3359" s="2" t="s">
        <v>3359</v>
      </c>
      <c r="B3359" s="2" t="str">
        <f>IFERROR(__xludf.DUMMYFUNCTION("GOOGLETRANSLATE(A3359, ""en"", ""mt"")"),"Il-Festival tal-Gran Brittanja")</f>
        <v>Il-Festival tal-Gran Brittanja</v>
      </c>
    </row>
    <row r="3360" ht="15.75" customHeight="1">
      <c r="A3360" s="2" t="s">
        <v>3360</v>
      </c>
      <c r="B3360" s="2" t="str">
        <f>IFERROR(__xludf.DUMMYFUNCTION("GOOGLETRANSLATE(A3360, ""en"", ""mt"")"),"esperjenza u responsabbiltajiet żejda")</f>
        <v>esperjenza u responsabbiltajiet żejda</v>
      </c>
    </row>
    <row r="3361" ht="15.75" customHeight="1">
      <c r="A3361" s="2" t="s">
        <v>3361</v>
      </c>
      <c r="B3361" s="2" t="str">
        <f>IFERROR(__xludf.DUMMYFUNCTION("GOOGLETRANSLATE(A3361, ""en"", ""mt"")"),"Triq Fresno u Thorne Ave")</f>
        <v>Triq Fresno u Thorne Ave</v>
      </c>
    </row>
    <row r="3362" ht="15.75" customHeight="1">
      <c r="A3362" s="2" t="s">
        <v>3362</v>
      </c>
      <c r="B3362" s="2" t="str">
        <f>IFERROR(__xludf.DUMMYFUNCTION("GOOGLETRANSLATE(A3362, ""en"", ""mt"")"),"Il-Librerija Nazzjonali tal-Art (imsejħa wkoll id-Dipartiment tal-Kelma u l-Immaġni) fil-Katalgu tal-Kollezzjoni tal-Mużew Victoria u Albert użat biex tinżamm f'formati differenti inklużi katalogi tal-esibizzjoni stampati, u katalgi tal-karti. Sistema tal"&amp;"-kompjuter imsejħa Sistema ta 'Katalogar Modi ġiet użata mis-snin 1980 sad-disgħinijiet, iżda dawk il-fajls elettroniċi ma kinux disponibbli għall-utenti tal-librerija. Il-materjal tal-arkivju fil-Librerija Nazzjonali tal-Art qed juża deskrizzjoni tal-ark"&amp;"ivju kodifikat (EAD). Il-Mużew Victoria u Albert għandu sistema tal-kompjuter iżda ħafna mill-oġġetti fil-kollezzjoni, sakemm dawk li għadhom kemm ġew adeżjonijiet fil-kollezzjoni, probabbilment ma jidhrux fis-sistema tal-kompjuter. Hemm karatteristika fu"&amp;"q is-sit web tal-Victoria u Albert Museum imsejjaħ ""Fittex fil-Kollezzjonijiet,"" iżda mhux kollox huwa elenkat hemmhekk.")</f>
        <v>Il-Librerija Nazzjonali tal-Art (imsejħa wkoll id-Dipartiment tal-Kelma u l-Immaġni) fil-Katalgu tal-Kollezzjoni tal-Mużew Victoria u Albert użat biex tinżamm f'formati differenti inklużi katalogi tal-esibizzjoni stampati, u katalgi tal-karti. Sistema tal-kompjuter imsejħa Sistema ta 'Katalogar Modi ġiet użata mis-snin 1980 sad-disgħinijiet, iżda dawk il-fajls elettroniċi ma kinux disponibbli għall-utenti tal-librerija. Il-materjal tal-arkivju fil-Librerija Nazzjonali tal-Art qed juża deskrizzjoni tal-arkivju kodifikat (EAD). Il-Mużew Victoria u Albert għandu sistema tal-kompjuter iżda ħafna mill-oġġetti fil-kollezzjoni, sakemm dawk li għadhom kemm ġew adeżjonijiet fil-kollezzjoni, probabbilment ma jidhrux fis-sistema tal-kompjuter. Hemm karatteristika fuq is-sit web tal-Victoria u Albert Museum imsejjaħ "Fittex fil-Kollezzjonijiet," iżda mhux kollox huwa elenkat hemmhekk.</v>
      </c>
    </row>
    <row r="3363" ht="15.75" customHeight="1">
      <c r="A3363" s="2" t="s">
        <v>3363</v>
      </c>
      <c r="B3363" s="2" t="str">
        <f>IFERROR(__xludf.DUMMYFUNCTION("GOOGLETRANSLATE(A3363, ""en"", ""mt"")"),"Is-salarji għall-għalliema primarji fl-Irlanda jiddependu prinċipalment fuq l-anzjanità (i.e. li għandhom il-pożizzjoni ta 'prinċipal, viċi prinċipali jew assistent prinċipali), esperjenza u kwalifiki. Paga żejda tingħata wkoll għat-tagħlim permezz tal-li"&amp;"ngwa Irlandiża, f'żona ta 'Gaeltacht jew fuq gżira. Il-paga bażika għal għalliem tal-bidu hija ta '€ 27,814 p.a., li tiżdied b'mod inkrimentali għal € 53,423 għal għalliem b'servizz ta '25 sena. Prinċipal ta 'skola kbira b'ħafna snin esperjenza u diversi "&amp;"kwalifiki (M.A., H.Dip., Eċċ.) Jista' jaqla 'aktar minn € 90,000.")</f>
        <v>Is-salarji għall-għalliema primarji fl-Irlanda jiddependu prinċipalment fuq l-anzjanità (i.e. li għandhom il-pożizzjoni ta 'prinċipal, viċi prinċipali jew assistent prinċipali), esperjenza u kwalifiki. Paga żejda tingħata wkoll għat-tagħlim permezz tal-lingwa Irlandiża, f'żona ta 'Gaeltacht jew fuq gżira. Il-paga bażika għal għalliem tal-bidu hija ta '€ 27,814 p.a., li tiżdied b'mod inkrimentali għal € 53,423 għal għalliem b'servizz ta '25 sena. Prinċipal ta 'skola kbira b'ħafna snin esperjenza u diversi kwalifiki (M.A., H.Dip., Eċċ.) Jista' jaqla 'aktar minn € 90,000.</v>
      </c>
    </row>
    <row r="3364" ht="15.75" customHeight="1">
      <c r="A3364" s="2" t="s">
        <v>3364</v>
      </c>
      <c r="B3364" s="2" t="str">
        <f>IFERROR(__xludf.DUMMYFUNCTION("GOOGLETRANSLATE(A3364, ""en"", ""mt"")"),"Każ tal-ħġieġ sospiż mill-għatu")</f>
        <v>Każ tal-ħġieġ sospiż mill-għatu</v>
      </c>
    </row>
    <row r="3365" ht="15.75" customHeight="1">
      <c r="A3365" s="2" t="s">
        <v>3365</v>
      </c>
      <c r="B3365" s="2" t="str">
        <f>IFERROR(__xludf.DUMMYFUNCTION("GOOGLETRANSLATE(A3365, ""en"", ""mt"")"),"Liema indiġeni ġew spostati mill-akkwist Ingliż fi Florida?")</f>
        <v>Liema indiġeni ġew spostati mill-akkwist Ingliż fi Florida?</v>
      </c>
    </row>
    <row r="3366" ht="15.75" customHeight="1">
      <c r="A3366" s="2" t="s">
        <v>3366</v>
      </c>
      <c r="B3366" s="2" t="str">
        <f>IFERROR(__xludf.DUMMYFUNCTION("GOOGLETRANSLATE(A3366, ""en"", ""mt"")"),"X'għamlet Tesla Electric Light &amp; Manufacturing?")</f>
        <v>X'għamlet Tesla Electric Light &amp; Manufacturing?</v>
      </c>
    </row>
    <row r="3367" ht="15.75" customHeight="1">
      <c r="A3367" s="2" t="s">
        <v>3367</v>
      </c>
      <c r="B3367" s="2" t="str">
        <f>IFERROR(__xludf.DUMMYFUNCTION("GOOGLETRANSLATE(A3367, ""en"", ""mt"")"),"Fl-1962, min kien responsabbli għall-awtrija ta 'karta ppubblikata fuq kumplessi ta' ħin reali?")</f>
        <v>Fl-1962, min kien responsabbli għall-awtrija ta 'karta ppubblikata fuq kumplessi ta' ħin reali?</v>
      </c>
    </row>
    <row r="3368" ht="15.75" customHeight="1">
      <c r="A3368" s="2" t="s">
        <v>3368</v>
      </c>
      <c r="B3368" s="2" t="str">
        <f>IFERROR(__xludf.DUMMYFUNCTION("GOOGLETRANSLATE(A3368, ""en"", ""mt"")"),"X'inhu l-isem Franċiż għar-Rhine?")</f>
        <v>X'inhu l-isem Franċiż għar-Rhine?</v>
      </c>
    </row>
    <row r="3369" ht="15.75" customHeight="1">
      <c r="A3369" s="2" t="s">
        <v>3369</v>
      </c>
      <c r="B3369" s="2" t="str">
        <f>IFERROR(__xludf.DUMMYFUNCTION("GOOGLETRANSLATE(A3369, ""en"", ""mt"")"),"Kif intużaw il-priġunieri tal-għadu tattikament minn armati Mongoljani?")</f>
        <v>Kif intużaw il-priġunieri tal-għadu tattikament minn armati Mongoljani?</v>
      </c>
    </row>
    <row r="3370" ht="15.75" customHeight="1">
      <c r="A3370" s="2" t="s">
        <v>3370</v>
      </c>
      <c r="B3370" s="2" t="str">
        <f>IFERROR(__xludf.DUMMYFUNCTION("GOOGLETRANSLATE(A3370, ""en"", ""mt"")"),"Carboxysome")</f>
        <v>Carboxysome</v>
      </c>
    </row>
    <row r="3371" ht="15.75" customHeight="1">
      <c r="A3371" s="2" t="s">
        <v>3371</v>
      </c>
      <c r="B3371" s="2" t="str">
        <f>IFERROR(__xludf.DUMMYFUNCTION("GOOGLETRANSLATE(A3371, ""en"", ""mt"")"),"Profeti Zwickau")</f>
        <v>Profeti Zwickau</v>
      </c>
    </row>
    <row r="3372" ht="15.75" customHeight="1">
      <c r="A3372" s="2" t="s">
        <v>3372</v>
      </c>
      <c r="B3372" s="2" t="str">
        <f>IFERROR(__xludf.DUMMYFUNCTION("GOOGLETRANSLATE(A3372, ""en"", ""mt"")"),"Ftehim kummerċjali sfurzat bejn żewġ pajjiżi jkun eżempju ta 'xiex?")</f>
        <v>Ftehim kummerċjali sfurzat bejn żewġ pajjiżi jkun eżempju ta 'xiex?</v>
      </c>
    </row>
    <row r="3373" ht="15.75" customHeight="1">
      <c r="A3373" s="2" t="s">
        <v>3373</v>
      </c>
      <c r="B3373" s="2" t="str">
        <f>IFERROR(__xludf.DUMMYFUNCTION("GOOGLETRANSLATE(A3373, ""en"", ""mt"")"),"X'toħolqu l-potenzjal elettrostatiku gradjuż?")</f>
        <v>X'toħolqu l-potenzjal elettrostatiku gradjuż?</v>
      </c>
    </row>
    <row r="3374" ht="15.75" customHeight="1">
      <c r="A3374" s="2" t="s">
        <v>3374</v>
      </c>
      <c r="B3374" s="2" t="str">
        <f>IFERROR(__xludf.DUMMYFUNCTION("GOOGLETRANSLATE(A3374, ""en"", ""mt"")"),"Liema proġett poġġa l-ewwel Amerikani fl-ispazju?")</f>
        <v>Liema proġett poġġa l-ewwel Amerikani fl-ispazju?</v>
      </c>
    </row>
    <row r="3375" ht="15.75" customHeight="1">
      <c r="A3375" s="2" t="s">
        <v>3375</v>
      </c>
      <c r="B3375" s="2" t="str">
        <f>IFERROR(__xludf.DUMMYFUNCTION("GOOGLETRANSLATE(A3375, ""en"", ""mt"")"),"X'kienet it-teorija ta 'Norman Cantor dwar il-pesta?")</f>
        <v>X'kienet it-teorija ta 'Norman Cantor dwar il-pesta?</v>
      </c>
    </row>
    <row r="3376" ht="15.75" customHeight="1">
      <c r="A3376" s="2" t="s">
        <v>3376</v>
      </c>
      <c r="B3376" s="2" t="str">
        <f>IFERROR(__xludf.DUMMYFUNCTION("GOOGLETRANSLATE(A3376, ""en"", ""mt"")"),"ingħataw lill-Protestanti ugwaljanza mal-Kattoliċi taħt it-tron u grad ta 'libertà reliġjuża u politika fl-oqsma tagħhom")</f>
        <v>ingħataw lill-Protestanti ugwaljanza mal-Kattoliċi taħt it-tron u grad ta 'libertà reliġjuża u politika fl-oqsma tagħhom</v>
      </c>
    </row>
    <row r="3377" ht="15.75" customHeight="1">
      <c r="A3377" s="2" t="s">
        <v>3377</v>
      </c>
      <c r="B3377" s="2" t="str">
        <f>IFERROR(__xludf.DUMMYFUNCTION("GOOGLETRANSLATE(A3377, ""en"", ""mt"")"),"Librerija tal-Art")</f>
        <v>Librerija tal-Art</v>
      </c>
    </row>
    <row r="3378" ht="15.75" customHeight="1">
      <c r="A3378" s="2" t="s">
        <v>3378</v>
      </c>
      <c r="B3378" s="2" t="str">
        <f>IFERROR(__xludf.DUMMYFUNCTION("GOOGLETRANSLATE(A3378, ""en"", ""mt"")"),"Gvern Skoċċiż")</f>
        <v>Gvern Skoċċiż</v>
      </c>
    </row>
    <row r="3379" ht="15.75" customHeight="1">
      <c r="A3379" s="2" t="s">
        <v>3379</v>
      </c>
      <c r="B3379" s="2" t="str">
        <f>IFERROR(__xludf.DUMMYFUNCTION("GOOGLETRANSLATE(A3379, ""en"", ""mt"")"),"L-istudju tal-blat")</f>
        <v>L-istudju tal-blat</v>
      </c>
    </row>
    <row r="3380" ht="15.75" customHeight="1">
      <c r="A3380" s="2" t="s">
        <v>3380</v>
      </c>
      <c r="B3380" s="2" t="str">
        <f>IFERROR(__xludf.DUMMYFUNCTION("GOOGLETRANSLATE(A3380, ""en"", ""mt"")"),"X'għandu jħallas ġenitur biex jibgħat lil uliedhom fi skola ta 'l-imbark fl-2012?")</f>
        <v>X'għandu jħallas ġenitur biex jibgħat lil uliedhom fi skola ta 'l-imbark fl-2012?</v>
      </c>
    </row>
    <row r="3381" ht="15.75" customHeight="1">
      <c r="A3381" s="2" t="s">
        <v>3381</v>
      </c>
      <c r="B3381" s="2" t="str">
        <f>IFERROR(__xludf.DUMMYFUNCTION("GOOGLETRANSLATE(A3381, ""en"", ""mt"")"),"X'jista 'joffri l-bonusijiet jgħinu biex inaqqsu?")</f>
        <v>X'jista 'joffri l-bonusijiet jgħinu biex inaqqsu?</v>
      </c>
    </row>
    <row r="3382" ht="15.75" customHeight="1">
      <c r="A3382" s="2" t="s">
        <v>3382</v>
      </c>
      <c r="B3382" s="2" t="str">
        <f>IFERROR(__xludf.DUMMYFUNCTION("GOOGLETRANSLATE(A3382, ""en"", ""mt"")"),"John Schmitt u Ben Zipperer (2006) tal-CEPR jindikaw il-liberaliżmu ekonomiku u t-tnaqqis tar-regolamentazzjoni tan-negozju flimkien mat-tnaqqis tas-sħubija fl-unjoni bħala waħda mill-kawżi tal-inugwaljanza ekonomika. F'analiżi tal-effetti tal-politiki li"&amp;"berali Anglo-Amerikani intensivi meta mqabbla mal-liberaliżmu Ewropew kontinentali, fejn l-għaqdiet baqgħu b'saħħithom, huma kkonkludew ""il-mudell ekonomiku u soċjali tal-Istati Uniti huwa assoċjat ma 'livelli sostanzjali ta' esklużjoni soċjali, inklużi "&amp;"livelli għoljin ta 'inugwaljanza fid-dħul , rati ta 'faqar relattivi u assoluti għoljin, riżultati edukattivi foqra u mhux ugwali, riżultati ta' saħħa foqra, u rati għoljin ta 'kriminalità u inkarċerazzjoni. Fl-istess ħin, l-evidenza disponibbli tipprovdi"&amp;" ftit appoġġ għall-fehma li l-flessibilità tas-suq tax-xogħol fl-istil ta' l-Istati Uniti titjieb b'mod drammatiku Riżultati tas-suq tax-xogħol. Minkejja preġudizzji popolari għall-kuntrarju, l-ekonomija ta 'l-Istati Uniti toffri b'mod konsistenti livell "&amp;"aktar baxx ta' mobilità ekonomika mill-pajjiżi Ewropej kontinentali kollha li għalihom hija disponibbli d-dejta. """)</f>
        <v>John Schmitt u Ben Zipperer (2006) tal-CEPR jindikaw il-liberaliżmu ekonomiku u t-tnaqqis tar-regolamentazzjoni tan-negozju flimkien mat-tnaqqis tas-sħubija fl-unjoni bħala waħda mill-kawżi tal-inugwaljanza ekonomika. F'analiżi tal-effetti tal-politiki liberali Anglo-Amerikani intensivi meta mqabbla mal-liberaliżmu Ewropew kontinentali, fejn l-għaqdiet baqgħu b'saħħithom, huma kkonkludew "il-mudell ekonomiku u soċjali tal-Istati Uniti huwa assoċjat ma 'livelli sostanzjali ta' esklużjoni soċjali, inklużi livelli għoljin ta 'inugwaljanza fid-dħul , rati ta 'faqar relattivi u assoluti għoljin, riżultati edukattivi foqra u mhux ugwali, riżultati ta' saħħa foqra, u rati għoljin ta 'kriminalità u inkarċerazzjoni. Fl-istess ħin, l-evidenza disponibbli tipprovdi ftit appoġġ għall-fehma li l-flessibilità tas-suq tax-xogħol fl-istil ta' l-Istati Uniti titjieb b'mod drammatiku Riżultati tas-suq tax-xogħol. Minkejja preġudizzji popolari għall-kuntrarju, l-ekonomija ta 'l-Istati Uniti toffri b'mod konsistenti livell aktar baxx ta' mobilità ekonomika mill-pajjiżi Ewropej kontinentali kollha li għalihom hija disponibbli d-dejta. "</v>
      </c>
    </row>
    <row r="3383" ht="15.75" customHeight="1">
      <c r="A3383" s="2" t="s">
        <v>3383</v>
      </c>
      <c r="B3383" s="2" t="str">
        <f>IFERROR(__xludf.DUMMYFUNCTION("GOOGLETRANSLATE(A3383, ""en"", ""mt"")"),"Ogedei")</f>
        <v>Ogedei</v>
      </c>
    </row>
    <row r="3384" ht="15.75" customHeight="1">
      <c r="A3384" s="2" t="s">
        <v>3384</v>
      </c>
      <c r="B3384" s="2" t="str">
        <f>IFERROR(__xludf.DUMMYFUNCTION("GOOGLETRANSLATE(A3384, ""en"", ""mt"")"),"Liema proċess huwa responsabbli għall-kontenut ta 'ossiġnu tal-pjaneta?")</f>
        <v>Liema proċess huwa responsabbli għall-kontenut ta 'ossiġnu tal-pjaneta?</v>
      </c>
    </row>
    <row r="3385" ht="15.75" customHeight="1">
      <c r="A3385" s="2" t="s">
        <v>3385</v>
      </c>
      <c r="B3385" s="2" t="str">
        <f>IFERROR(__xludf.DUMMYFUNCTION("GOOGLETRANSLATE(A3385, ""en"", ""mt"")"),"Id-dimostrazzjoni ta 'Tesla tal-mutur ta' induzzjoni tiegħu u l-liċenzjar sussegwenti ta 'Westinghouse tal-privattiva, it-tnejn fl-1888, poġġew lil Tesla sew fuq in-naħa ""AC"" tal-hekk imsejħa ""Gwerra tal-Kurrenti,"" battalja ta' distribuzzjoni elettrik"&amp;"a li qed issir bejn Thomas Edison u George Westinghouse Dan kien ilu jtejjeb mill-ewwel sistema AC ta 'Westinghouse fl-1886 u kien wasal fil-punt tal-gwerra kollha sal-1888. Dan beda bħala kompetizzjoni bejn sistemi ta' dawl rivali ma 'Edison li żżomm il-"&amp;"privattivi kollha għal DC u d-dawl inkandexxenti u Westinghouse bl-użu ta' tiegħu Sistema AC brevettata proprja għad-dwal tal-ark kif ukoll lampi inkandexxenti ta 'disinn kemmxejn differenti biex tiskopri l-privattiva Edison. L-akkwist ta 'mutur AC fattib"&amp;"bli ta lil Westinghouse brevett ewlieni fil-bini ta' sistema AC integrata kompletament, iżda r-razza finanzjarja ta 'xiri tal-privattivi u l-kiri ta' l-inġiniera meħtieġa biex jibnuha kienet tfisser l-iżvilupp tal-mutur ta 'Tesla kellha titpoġġa għal ftit"&amp;" żmien - Il-kompetizzjoni rriżultat f'xogħlijiet ta 'Edison Machine li jsegwu l-iżvilupp ta' AC fl-1890 u sal-1892 Thomas Edison ma kienx għadu fil-kontroll tal-kumpanija tiegħu stess, li kienet konsolidata fil-konglomerat General Electric u li kkonvertie"&amp;"t għal sistema ta 'konsenja AC f'dak il-punt.")</f>
        <v>Id-dimostrazzjoni ta 'Tesla tal-mutur ta' induzzjoni tiegħu u l-liċenzjar sussegwenti ta 'Westinghouse tal-privattiva, it-tnejn fl-1888, poġġew lil Tesla sew fuq in-naħa "AC" tal-hekk imsejħa "Gwerra tal-Kurrenti," battalja ta' distribuzzjoni elettrika li qed issir bejn Thomas Edison u George Westinghouse Dan kien ilu jtejjeb mill-ewwel sistema AC ta 'Westinghouse fl-1886 u kien wasal fil-punt tal-gwerra kollha sal-1888. Dan beda bħala kompetizzjoni bejn sistemi ta' dawl rivali ma 'Edison li żżomm il-privattivi kollha għal DC u d-dawl inkandexxenti u Westinghouse bl-użu ta' tiegħu Sistema AC brevettata proprja għad-dwal tal-ark kif ukoll lampi inkandexxenti ta 'disinn kemmxejn differenti biex tiskopri l-privattiva Edison. L-akkwist ta 'mutur AC fattibbli ta lil Westinghouse brevett ewlieni fil-bini ta' sistema AC integrata kompletament, iżda r-razza finanzjarja ta 'xiri tal-privattivi u l-kiri ta' l-inġiniera meħtieġa biex jibnuha kienet tfisser l-iżvilupp tal-mutur ta 'Tesla kellha titpoġġa għal ftit żmien - Il-kompetizzjoni rriżultat f'xogħlijiet ta 'Edison Machine li jsegwu l-iżvilupp ta' AC fl-1890 u sal-1892 Thomas Edison ma kienx għadu fil-kontroll tal-kumpanija tiegħu stess, li kienet konsolidata fil-konglomerat General Electric u li kkonvertiet għal sistema ta 'konsenja AC f'dak il-punt.</v>
      </c>
    </row>
    <row r="3386" ht="15.75" customHeight="1">
      <c r="A3386" s="2" t="s">
        <v>3386</v>
      </c>
      <c r="B3386" s="2" t="str">
        <f>IFERROR(__xludf.DUMMYFUNCTION("GOOGLETRANSLATE(A3386, ""en"", ""mt"")"),"Politika Barranija Nazzjonali")</f>
        <v>Politika Barranija Nazzjonali</v>
      </c>
    </row>
    <row r="3387" ht="15.75" customHeight="1">
      <c r="A3387" s="2" t="s">
        <v>3387</v>
      </c>
      <c r="B3387" s="2" t="str">
        <f>IFERROR(__xludf.DUMMYFUNCTION("GOOGLETRANSLATE(A3387, ""en"", ""mt"")"),"Segretarjat Ċentrali")</f>
        <v>Segretarjat Ċentrali</v>
      </c>
    </row>
    <row r="3388" ht="15.75" customHeight="1">
      <c r="A3388" s="2" t="s">
        <v>3388</v>
      </c>
      <c r="B3388" s="2" t="str">
        <f>IFERROR(__xludf.DUMMYFUNCTION("GOOGLETRANSLATE(A3388, ""en"", ""mt"")"),"Min kien is-sindku ta 'Jacksonville fil-ħin tal-konsolidazzjoni?")</f>
        <v>Min kien is-sindku ta 'Jacksonville fil-ħin tal-konsolidazzjoni?</v>
      </c>
    </row>
    <row r="3389" ht="15.75" customHeight="1">
      <c r="A3389" s="2" t="s">
        <v>3389</v>
      </c>
      <c r="B3389" s="2" t="str">
        <f>IFERROR(__xludf.DUMMYFUNCTION("GOOGLETRANSLATE(A3389, ""en"", ""mt"")"),"1806-07.")</f>
        <v>1806-07.</v>
      </c>
    </row>
    <row r="3390" ht="15.75" customHeight="1">
      <c r="A3390" s="2" t="s">
        <v>3390</v>
      </c>
      <c r="B3390" s="2" t="str">
        <f>IFERROR(__xludf.DUMMYFUNCTION("GOOGLETRANSLATE(A3390, ""en"", ""mt"")"),"Kemm idum ir-Renu?")</f>
        <v>Kemm idum ir-Renu?</v>
      </c>
    </row>
    <row r="3391" ht="15.75" customHeight="1">
      <c r="A3391" s="2" t="s">
        <v>3391</v>
      </c>
      <c r="B3391" s="2" t="str">
        <f>IFERROR(__xludf.DUMMYFUNCTION("GOOGLETRANSLATE(A3391, ""en"", ""mt"")"),"Fejn in-negozjanti Ġenesi ġabu l-pesta?")</f>
        <v>Fejn in-negozjanti Ġenesi ġabu l-pesta?</v>
      </c>
    </row>
    <row r="3392" ht="15.75" customHeight="1">
      <c r="A3392" s="2" t="s">
        <v>3392</v>
      </c>
      <c r="B3392" s="2" t="str">
        <f>IFERROR(__xludf.DUMMYFUNCTION("GOOGLETRANSLATE(A3392, ""en"", ""mt"")"),"darbtejn l-ispinta")</f>
        <v>darbtejn l-ispinta</v>
      </c>
    </row>
    <row r="3393" ht="15.75" customHeight="1">
      <c r="A3393" s="2" t="s">
        <v>3393</v>
      </c>
      <c r="B3393" s="2" t="str">
        <f>IFERROR(__xludf.DUMMYFUNCTION("GOOGLETRANSLATE(A3393, ""en"", ""mt"")"),"Kemm huguenots inqatlu f'Toulouse?")</f>
        <v>Kemm huguenots inqatlu f'Toulouse?</v>
      </c>
    </row>
    <row r="3394" ht="15.75" customHeight="1">
      <c r="A3394" s="2" t="s">
        <v>3394</v>
      </c>
      <c r="B3394" s="2" t="str">
        <f>IFERROR(__xludf.DUMMYFUNCTION("GOOGLETRANSLATE(A3394, ""en"", ""mt"")"),"Fejn hu l-iktar li jista 'jgħallem għalliem?")</f>
        <v>Fejn hu l-iktar li jista 'jgħallem għalliem?</v>
      </c>
    </row>
    <row r="3395" ht="15.75" customHeight="1">
      <c r="A3395" s="2" t="s">
        <v>3395</v>
      </c>
      <c r="B3395" s="2" t="str">
        <f>IFERROR(__xludf.DUMMYFUNCTION("GOOGLETRANSLATE(A3395, ""en"", ""mt"")"),"bl-ebda mod")</f>
        <v>bl-ebda mod</v>
      </c>
    </row>
    <row r="3396" ht="15.75" customHeight="1">
      <c r="A3396" s="2" t="s">
        <v>3396</v>
      </c>
      <c r="B3396" s="2" t="str">
        <f>IFERROR(__xludf.DUMMYFUNCTION("GOOGLETRANSLATE(A3396, ""en"", ""mt"")"),"Ħalib tas-sider")</f>
        <v>Ħalib tas-sider</v>
      </c>
    </row>
    <row r="3397" ht="15.75" customHeight="1">
      <c r="A3397" s="2" t="s">
        <v>3397</v>
      </c>
      <c r="B3397" s="2" t="str">
        <f>IFERROR(__xludf.DUMMYFUNCTION("GOOGLETRANSLATE(A3397, ""en"", ""mt"")"),"Doctor Who")</f>
        <v>Doctor Who</v>
      </c>
    </row>
    <row r="3398" ht="15.75" customHeight="1">
      <c r="A3398" s="2" t="s">
        <v>3398</v>
      </c>
      <c r="B3398" s="2" t="str">
        <f>IFERROR(__xludf.DUMMYFUNCTION("GOOGLETRANSLATE(A3398, ""en"", ""mt"")"),"Kattoliċiżmu")</f>
        <v>Kattoliċiżmu</v>
      </c>
    </row>
    <row r="3399" ht="15.75" customHeight="1">
      <c r="A3399" s="2" t="s">
        <v>3399</v>
      </c>
      <c r="B3399" s="2" t="str">
        <f>IFERROR(__xludf.DUMMYFUNCTION("GOOGLETRANSLATE(A3399, ""en"", ""mt"")"),"problema ta 'diverġenza")</f>
        <v>problema ta 'diverġenza</v>
      </c>
    </row>
    <row r="3400" ht="15.75" customHeight="1">
      <c r="A3400" s="2" t="s">
        <v>3400</v>
      </c>
      <c r="B3400" s="2" t="str">
        <f>IFERROR(__xludf.DUMMYFUNCTION("GOOGLETRANSLATE(A3400, ""en"", ""mt"")"),"Houston, Texas")</f>
        <v>Houston, Texas</v>
      </c>
    </row>
    <row r="3401" ht="15.75" customHeight="1">
      <c r="A3401" s="2" t="s">
        <v>3401</v>
      </c>
      <c r="B3401" s="2" t="str">
        <f>IFERROR(__xludf.DUMMYFUNCTION("GOOGLETRANSLATE(A3401, ""en"", ""mt"")"),"Inħoss li għamilt l-aħjar ħaġa billi kiser din il-liġi partikolari")</f>
        <v>Inħoss li għamilt l-aħjar ħaġa billi kiser din il-liġi partikolari</v>
      </c>
    </row>
    <row r="3402" ht="15.75" customHeight="1">
      <c r="A3402" s="2" t="s">
        <v>3402</v>
      </c>
      <c r="B3402" s="2" t="str">
        <f>IFERROR(__xludf.DUMMYFUNCTION("GOOGLETRANSLATE(A3402, ""en"", ""mt"")"),"Palazz tal-Kultura u x-Xjenza")</f>
        <v>Palazz tal-Kultura u x-Xjenza</v>
      </c>
    </row>
    <row r="3403" ht="15.75" customHeight="1">
      <c r="A3403" s="2" t="s">
        <v>3403</v>
      </c>
      <c r="B3403" s="2" t="str">
        <f>IFERROR(__xludf.DUMMYFUNCTION("GOOGLETRANSLATE(A3403, ""en"", ""mt"")"),"Liema plejer il-problema tal-grawnd fil-Levi's Stadium affettwat għal gowl fil-grawnd fil-ġimgħa sitt tal-istaġun regolari?")</f>
        <v>Liema plejer il-problema tal-grawnd fil-Levi's Stadium affettwat għal gowl fil-grawnd fil-ġimgħa sitt tal-istaġun regolari?</v>
      </c>
    </row>
    <row r="3404" ht="15.75" customHeight="1">
      <c r="A3404" s="2" t="s">
        <v>3404</v>
      </c>
      <c r="B3404" s="2" t="str">
        <f>IFERROR(__xludf.DUMMYFUNCTION("GOOGLETRANSLATE(A3404, ""en"", ""mt"")"),"X'kienet l-ispiża medja ta 'kummerċjali ta '30 sekonda?")</f>
        <v>X'kienet l-ispiża medja ta 'kummerċjali ta '30 sekonda?</v>
      </c>
    </row>
    <row r="3405" ht="15.75" customHeight="1">
      <c r="A3405" s="2" t="s">
        <v>3405</v>
      </c>
      <c r="B3405" s="2" t="str">
        <f>IFERROR(__xludf.DUMMYFUNCTION("GOOGLETRANSLATE(A3405, ""en"", ""mt"")"),"F'liema distretti huma n-numri tar-reġistrazzjoni għall-karozzi kollha tal-istess tip?")</f>
        <v>F'liema distretti huma n-numri tar-reġistrazzjoni għall-karozzi kollha tal-istess tip?</v>
      </c>
    </row>
    <row r="3406" ht="15.75" customHeight="1">
      <c r="A3406" s="2" t="s">
        <v>3406</v>
      </c>
      <c r="B3406" s="2" t="str">
        <f>IFERROR(__xludf.DUMMYFUNCTION("GOOGLETRANSLATE(A3406, ""en"", ""mt"")"),"Kemm hemm tipi ta 'thylakoids?")</f>
        <v>Kemm hemm tipi ta 'thylakoids?</v>
      </c>
    </row>
    <row r="3407" ht="15.75" customHeight="1">
      <c r="A3407" s="2" t="s">
        <v>3407</v>
      </c>
      <c r="B3407" s="2" t="str">
        <f>IFERROR(__xludf.DUMMYFUNCTION("GOOGLETRANSLATE(A3407, ""en"", ""mt"")"),"Pontijiet ġodda u mkabbra, servizz tax-shuttle u / jew tram.")</f>
        <v>Pontijiet ġodda u mkabbra, servizz tax-shuttle u / jew tram.</v>
      </c>
    </row>
    <row r="3408" ht="15.75" customHeight="1">
      <c r="A3408" s="2" t="s">
        <v>3408</v>
      </c>
      <c r="B3408" s="2" t="str">
        <f>IFERROR(__xludf.DUMMYFUNCTION("GOOGLETRANSLATE(A3408, ""en"", ""mt"")"),"Fuq liema kien ibbażat l-innu?")</f>
        <v>Fuq liema kien ibbażat l-innu?</v>
      </c>
    </row>
    <row r="3409" ht="15.75" customHeight="1">
      <c r="A3409" s="2" t="s">
        <v>3409</v>
      </c>
      <c r="B3409" s="2" t="str">
        <f>IFERROR(__xludf.DUMMYFUNCTION("GOOGLETRANSLATE(A3409, ""en"", ""mt"")"),"Fis-seklu 16")</f>
        <v>Fis-seklu 16</v>
      </c>
    </row>
    <row r="3410" ht="15.75" customHeight="1">
      <c r="A3410" s="2" t="s">
        <v>3410</v>
      </c>
      <c r="B3410" s="2" t="str">
        <f>IFERROR(__xludf.DUMMYFUNCTION("GOOGLETRANSLATE(A3410, ""en"", ""mt"")"),"pagi")</f>
        <v>pagi</v>
      </c>
    </row>
    <row r="3411" ht="15.75" customHeight="1">
      <c r="A3411" s="2" t="s">
        <v>3411</v>
      </c>
      <c r="B3411" s="2" t="str">
        <f>IFERROR(__xludf.DUMMYFUNCTION("GOOGLETRANSLATE(A3411, ""en"", ""mt"")"),"Liema kompożitur Franċiż kiteb mużika ametrika bl-użu ta 'numri ewlenin?")</f>
        <v>Liema kompożitur Franċiż kiteb mużika ametrika bl-użu ta 'numri ewlenin?</v>
      </c>
    </row>
    <row r="3412" ht="15.75" customHeight="1">
      <c r="A3412" s="2" t="s">
        <v>3412</v>
      </c>
      <c r="B3412" s="2" t="str">
        <f>IFERROR(__xludf.DUMMYFUNCTION("GOOGLETRANSLATE(A3412, ""en"", ""mt"")"),"Liema klassi ta 'kumplessità hija komunement ikkaratterizzata minn algoritmi mhux magħrufa biex ittejjeb is-solvabilità?")</f>
        <v>Liema klassi ta 'kumplessità hija komunement ikkaratterizzata minn algoritmi mhux magħrufa biex ittejjeb is-solvabilità?</v>
      </c>
    </row>
    <row r="3413" ht="15.75" customHeight="1">
      <c r="A3413" s="2" t="s">
        <v>3413</v>
      </c>
      <c r="B3413" s="2" t="str">
        <f>IFERROR(__xludf.DUMMYFUNCTION("GOOGLETRANSLATE(A3413, ""en"", ""mt"")"),"Immunoglobulina taċ-ċelloli qattiel")</f>
        <v>Immunoglobulina taċ-ċelloli qattiel</v>
      </c>
    </row>
    <row r="3414" ht="15.75" customHeight="1">
      <c r="A3414" s="2" t="s">
        <v>3414</v>
      </c>
      <c r="B3414" s="2" t="str">
        <f>IFERROR(__xludf.DUMMYFUNCTION("GOOGLETRANSLATE(A3414, ""en"", ""mt"")"),"permezz ta ’Phowa u Siddhi")</f>
        <v>permezz ta ’Phowa u Siddhi</v>
      </c>
    </row>
    <row r="3415" ht="15.75" customHeight="1">
      <c r="A3415" s="2" t="s">
        <v>3415</v>
      </c>
      <c r="B3415" s="2" t="str">
        <f>IFERROR(__xludf.DUMMYFUNCTION("GOOGLETRANSLATE(A3415, ""en"", ""mt"")"),"Liema terminu rrefera għal ċittadini tal-klassi tan-nofs li jħallu s-subborgi?")</f>
        <v>Liema terminu rrefera għal ċittadini tal-klassi tan-nofs li jħallu s-subborgi?</v>
      </c>
    </row>
    <row r="3416" ht="15.75" customHeight="1">
      <c r="A3416" s="2" t="s">
        <v>3416</v>
      </c>
      <c r="B3416" s="2" t="str">
        <f>IFERROR(__xludf.DUMMYFUNCTION("GOOGLETRANSLATE(A3416, ""en"", ""mt"")"),"Għal xiex tiġbed l-attenzjoni l-mużew tal-iskoperta?")</f>
        <v>Għal xiex tiġbed l-attenzjoni l-mużew tal-iskoperta?</v>
      </c>
    </row>
    <row r="3417" ht="15.75" customHeight="1">
      <c r="A3417" s="2" t="s">
        <v>3417</v>
      </c>
      <c r="B3417" s="2" t="str">
        <f>IFERROR(__xludf.DUMMYFUNCTION("GOOGLETRANSLATE(A3417, ""en"", ""mt"")"),"Min mexxa l-vot onlajn tal-2011?")</f>
        <v>Min mexxa l-vot onlajn tal-2011?</v>
      </c>
    </row>
    <row r="3418" ht="15.75" customHeight="1">
      <c r="A3418" s="2" t="s">
        <v>3418</v>
      </c>
      <c r="B3418" s="2" t="str">
        <f>IFERROR(__xludf.DUMMYFUNCTION("GOOGLETRANSLATE(A3418, ""en"", ""mt"")"),"Civil_disobedjenza")</f>
        <v>Civil_disobedjenza</v>
      </c>
    </row>
    <row r="3419" ht="15.75" customHeight="1">
      <c r="A3419" s="2" t="s">
        <v>3419</v>
      </c>
      <c r="B3419" s="2" t="str">
        <f>IFERROR(__xludf.DUMMYFUNCTION("GOOGLETRANSLATE(A3419, ""en"", ""mt"")"),"Min jiddeċiedi dwar il-kurrikuli li huwa konsistenti u standard?")</f>
        <v>Min jiddeċiedi dwar il-kurrikuli li huwa konsistenti u standard?</v>
      </c>
    </row>
    <row r="3420" ht="15.75" customHeight="1">
      <c r="A3420" s="2" t="s">
        <v>3420</v>
      </c>
      <c r="B3420" s="2" t="str">
        <f>IFERROR(__xludf.DUMMYFUNCTION("GOOGLETRANSLATE(A3420, ""en"", ""mt"")"),"Meta ġie sfurzat Time Warner Cable biex jirrestawra l-istazzjonijiet ABC għas-swieq affettwati?")</f>
        <v>Meta ġie sfurzat Time Warner Cable biex jirrestawra l-istazzjonijiet ABC għas-swieq affettwati?</v>
      </c>
    </row>
    <row r="3421" ht="15.75" customHeight="1">
      <c r="A3421" s="2" t="s">
        <v>3421</v>
      </c>
      <c r="B3421" s="2" t="str">
        <f>IFERROR(__xludf.DUMMYFUNCTION("GOOGLETRANSLATE(A3421, ""en"", ""mt"")"),"Liema żewġ ħakkiema oħra kellhom l-oqbra tagħhom moħbija taħt xmara?")</f>
        <v>Liema żewġ ħakkiema oħra kellhom l-oqbra tagħhom moħbija taħt xmara?</v>
      </c>
    </row>
    <row r="3422" ht="15.75" customHeight="1">
      <c r="A3422" s="2" t="s">
        <v>3422</v>
      </c>
      <c r="B3422" s="2" t="str">
        <f>IFERROR(__xludf.DUMMYFUNCTION("GOOGLETRANSLATE(A3422, ""en"", ""mt"")"),"Kif ġie deċiż id-destin ta 'Luther?")</f>
        <v>Kif ġie deċiż id-destin ta 'Luther?</v>
      </c>
    </row>
    <row r="3423" ht="15.75" customHeight="1">
      <c r="A3423" s="2" t="s">
        <v>3423</v>
      </c>
      <c r="B3423" s="2" t="str">
        <f>IFERROR(__xludf.DUMMYFUNCTION("GOOGLETRANSLATE(A3423, ""en"", ""mt"")"),"prim")</f>
        <v>prim</v>
      </c>
    </row>
    <row r="3424" ht="15.75" customHeight="1">
      <c r="A3424" s="2" t="s">
        <v>3424</v>
      </c>
      <c r="B3424" s="2" t="str">
        <f>IFERROR(__xludf.DUMMYFUNCTION("GOOGLETRANSLATE(A3424, ""en"", ""mt"")"),"Min qered l-iktar fdalijiet siewja fil-mausoleum matul ir-rivoluzzjoni kulturali?")</f>
        <v>Min qered l-iktar fdalijiet siewja fil-mausoleum matul ir-rivoluzzjoni kulturali?</v>
      </c>
    </row>
    <row r="3425" ht="15.75" customHeight="1">
      <c r="A3425" s="2" t="s">
        <v>3425</v>
      </c>
      <c r="B3425" s="2" t="str">
        <f>IFERROR(__xludf.DUMMYFUNCTION("GOOGLETRANSLATE(A3425, ""en"", ""mt"")"),"Liema direzzjoni użaw ir-Rumani biex jinżlu permezz tar-Renu?")</f>
        <v>Liema direzzjoni użaw ir-Rumani biex jinżlu permezz tar-Renu?</v>
      </c>
    </row>
    <row r="3426" ht="15.75" customHeight="1">
      <c r="A3426" s="2" t="s">
        <v>3426</v>
      </c>
      <c r="B3426" s="2" t="str">
        <f>IFERROR(__xludf.DUMMYFUNCTION("GOOGLETRANSLATE(A3426, ""en"", ""mt"")"),"Dublin, Cork, Portarlington, Lisburn, Waterford u Youghal")</f>
        <v>Dublin, Cork, Portarlington, Lisburn, Waterford u Youghal</v>
      </c>
    </row>
    <row r="3427" ht="15.75" customHeight="1">
      <c r="A3427" s="2" t="s">
        <v>3427</v>
      </c>
      <c r="B3427" s="2" t="str">
        <f>IFERROR(__xludf.DUMMYFUNCTION("GOOGLETRANSLATE(A3427, ""en"", ""mt"")"),"Apollo 5 (AS-204) kien l-ewwel titjira tat-test mingħajr ekwipaġġ ta 'LM fl-orbita tad-dinja, imnedija minn Pad 37 fit-22 ta' Jannar, 1968, mill-IB Saturn li kien jintuża għal Apollo 1. u reġa 'beda, minkejja żball ta' programmazzjoni tal-kompjuter li qat"&amp;"a 'l-ewwel stadju ta' dixxendenza. Il-magna tat-tlugħ ġiet sparata fil-modalità Abort, magħrufa bħala test ""Fire-in-the-Hole"", fejn kienet mixgħula fl-istess ħin ma 'Jettison tal-istadju tad-dixxendenza. Għalkemm Grumman ried it-tieni test mingħajr ekwi"&amp;"paġġ, George Low iddeċieda li t-titjira LM li jmiss kienet se tkun mgħammra.")</f>
        <v>Apollo 5 (AS-204) kien l-ewwel titjira tat-test mingħajr ekwipaġġ ta 'LM fl-orbita tad-dinja, imnedija minn Pad 37 fit-22 ta' Jannar, 1968, mill-IB Saturn li kien jintuża għal Apollo 1. u reġa 'beda, minkejja żball ta' programmazzjoni tal-kompjuter li qata 'l-ewwel stadju ta' dixxendenza. Il-magna tat-tlugħ ġiet sparata fil-modalità Abort, magħrufa bħala test "Fire-in-the-Hole", fejn kienet mixgħula fl-istess ħin ma 'Jettison tal-istadju tad-dixxendenza. Għalkemm Grumman ried it-tieni test mingħajr ekwipaġġ, George Low iddeċieda li t-titjira LM li jmiss kienet se tkun mgħammra.</v>
      </c>
    </row>
    <row r="3428" ht="15.75" customHeight="1">
      <c r="A3428" s="2" t="s">
        <v>3428</v>
      </c>
      <c r="B3428" s="2" t="str">
        <f>IFERROR(__xludf.DUMMYFUNCTION("GOOGLETRANSLATE(A3428, ""en"", ""mt"")"),"sa 2% ogħla")</f>
        <v>sa 2% ogħla</v>
      </c>
    </row>
    <row r="3429" ht="15.75" customHeight="1">
      <c r="A3429" s="2" t="s">
        <v>3429</v>
      </c>
      <c r="B3429" s="2" t="str">
        <f>IFERROR(__xludf.DUMMYFUNCTION("GOOGLETRANSLATE(A3429, ""en"", ""mt"")"),"Erba 'stejjer għoljin")</f>
        <v>Erba 'stejjer għoljin</v>
      </c>
    </row>
    <row r="3430" ht="15.75" customHeight="1">
      <c r="A3430" s="2" t="s">
        <v>3430</v>
      </c>
      <c r="B3430" s="2" t="str">
        <f>IFERROR(__xludf.DUMMYFUNCTION("GOOGLETRANSLATE(A3430, ""en"", ""mt"")"),"Il-provvisti minn Jacksonville kienu jappoġġjaw liema fazzjoni fil-Gwerra Ċivili?")</f>
        <v>Il-provvisti minn Jacksonville kienu jappoġġjaw liema fazzjoni fil-Gwerra Ċivili?</v>
      </c>
    </row>
    <row r="3431" ht="15.75" customHeight="1">
      <c r="A3431" s="2" t="s">
        <v>3431</v>
      </c>
      <c r="B3431" s="2" t="str">
        <f>IFERROR(__xludf.DUMMYFUNCTION("GOOGLETRANSLATE(A3431, ""en"", ""mt"")"),"Espressjonijiet mhux verbali rriżultaw f'liema tip ta 'livelli ta' motivazzjoni titgħallem?")</f>
        <v>Espressjonijiet mhux verbali rriżultaw f'liema tip ta 'livelli ta' motivazzjoni titgħallem?</v>
      </c>
    </row>
    <row r="3432" ht="15.75" customHeight="1">
      <c r="A3432" s="2" t="s">
        <v>3432</v>
      </c>
      <c r="B3432" s="2" t="str">
        <f>IFERROR(__xludf.DUMMYFUNCTION("GOOGLETRANSLATE(A3432, ""en"", ""mt"")"),"2.5 biljun sena ilu matul l-avveniment kbir ta 'ossiġenazzjoni")</f>
        <v>2.5 biljun sena ilu matul l-avveniment kbir ta 'ossiġenazzjoni</v>
      </c>
    </row>
    <row r="3433" ht="15.75" customHeight="1">
      <c r="A3433" s="2" t="s">
        <v>3433</v>
      </c>
      <c r="B3433" s="2" t="str">
        <f>IFERROR(__xludf.DUMMYFUNCTION("GOOGLETRANSLATE(A3433, ""en"", ""mt"")"),"Dak li ħafna drabi jaffettwa jew jiffaċilita l-faċilità ta 'analiżi fi problemi tal-komputazzjoni?")</f>
        <v>Dak li ħafna drabi jaffettwa jew jiffaċilita l-faċilità ta 'analiżi fi problemi tal-komputazzjoni?</v>
      </c>
    </row>
    <row r="3434" ht="15.75" customHeight="1">
      <c r="A3434" s="2" t="s">
        <v>3434</v>
      </c>
      <c r="B3434" s="2" t="str">
        <f>IFERROR(__xludf.DUMMYFUNCTION("GOOGLETRANSLATE(A3434, ""en"", ""mt"")"),"Field Marshall")</f>
        <v>Field Marshall</v>
      </c>
    </row>
    <row r="3435" ht="15.75" customHeight="1">
      <c r="A3435" s="2" t="s">
        <v>3435</v>
      </c>
      <c r="B3435" s="2" t="str">
        <f>IFERROR(__xludf.DUMMYFUNCTION("GOOGLETRANSLATE(A3435, ""en"", ""mt"")"),"7 miljun")</f>
        <v>7 miljun</v>
      </c>
    </row>
    <row r="3436" ht="15.75" customHeight="1">
      <c r="A3436" s="2" t="s">
        <v>3436</v>
      </c>
      <c r="B3436" s="2" t="str">
        <f>IFERROR(__xludf.DUMMYFUNCTION("GOOGLETRANSLATE(A3436, ""en"", ""mt"")"),"Awto-studju u soluzzjoni ta 'problemi")</f>
        <v>Awto-studju u soluzzjoni ta 'problemi</v>
      </c>
    </row>
    <row r="3437" ht="15.75" customHeight="1">
      <c r="A3437" s="2" t="s">
        <v>3437</v>
      </c>
      <c r="B3437" s="2" t="str">
        <f>IFERROR(__xludf.DUMMYFUNCTION("GOOGLETRANSLATE(A3437, ""en"", ""mt"")"),"F'liema sena għaqdu l-ammissjonijiet ta 'Harvard u Radcliffe?")</f>
        <v>F'liema sena għaqdu l-ammissjonijiet ta 'Harvard u Radcliffe?</v>
      </c>
    </row>
    <row r="3438" ht="15.75" customHeight="1">
      <c r="A3438" s="2" t="s">
        <v>3438</v>
      </c>
      <c r="B3438" s="2" t="str">
        <f>IFERROR(__xludf.DUMMYFUNCTION("GOOGLETRANSLATE(A3438, ""en"", ""mt"")"),"X'għandhom jiddevjaw l-armati tal-Mongolja sabiex jinqatgħu r-riżorsi tal-bliet li kienu jattakkaw?")</f>
        <v>X'għandhom jiddevjaw l-armati tal-Mongolja sabiex jinqatgħu r-riżorsi tal-bliet li kienu jattakkaw?</v>
      </c>
    </row>
    <row r="3439" ht="15.75" customHeight="1">
      <c r="A3439" s="2" t="s">
        <v>3439</v>
      </c>
      <c r="B3439" s="2" t="str">
        <f>IFERROR(__xludf.DUMMYFUNCTION("GOOGLETRANSLATE(A3439, ""en"", ""mt"")"),"X'inhu statocyst?")</f>
        <v>X'inhu statocyst?</v>
      </c>
    </row>
    <row r="3440" ht="15.75" customHeight="1">
      <c r="A3440" s="2" t="s">
        <v>3440</v>
      </c>
      <c r="B3440" s="2" t="str">
        <f>IFERROR(__xludf.DUMMYFUNCTION("GOOGLETRANSLATE(A3440, ""en"", ""mt"")"),"Amerikani")</f>
        <v>Amerikani</v>
      </c>
    </row>
    <row r="3441" ht="15.75" customHeight="1">
      <c r="A3441" s="2" t="s">
        <v>3441</v>
      </c>
      <c r="B3441" s="2" t="str">
        <f>IFERROR(__xludf.DUMMYFUNCTION("GOOGLETRANSLATE(A3441, ""en"", ""mt"")"),"Ħodor Awstraljani")</f>
        <v>Ħodor Awstraljani</v>
      </c>
    </row>
    <row r="3442" ht="15.75" customHeight="1">
      <c r="A3442" s="2" t="s">
        <v>3442</v>
      </c>
      <c r="B3442" s="2" t="str">
        <f>IFERROR(__xludf.DUMMYFUNCTION("GOOGLETRANSLATE(A3442, ""en"", ""mt"")"),"jirbħu l-artijiet tal-istat l-ieħor")</f>
        <v>jirbħu l-artijiet tal-istat l-ieħor</v>
      </c>
    </row>
    <row r="3443" ht="15.75" customHeight="1">
      <c r="A3443" s="2" t="s">
        <v>3443</v>
      </c>
      <c r="B3443" s="2" t="str">
        <f>IFERROR(__xludf.DUMMYFUNCTION("GOOGLETRANSLATE(A3443, ""en"", ""mt"")"),"Liema parti hija l-iktar b'saħħitha fir-reġjuni tal-Majjistral u tal-Lvant tar-Rabat?")</f>
        <v>Liema parti hija l-iktar b'saħħitha fir-reġjuni tal-Majjistral u tal-Lvant tar-Rabat?</v>
      </c>
    </row>
    <row r="3444" ht="15.75" customHeight="1">
      <c r="A3444" s="2" t="s">
        <v>3444</v>
      </c>
      <c r="B3444" s="2" t="str">
        <f>IFERROR(__xludf.DUMMYFUNCTION("GOOGLETRANSLATE(A3444, ""en"", ""mt"")"),"aktar korrużjoni")</f>
        <v>aktar korrużjoni</v>
      </c>
    </row>
    <row r="3445" ht="15.75" customHeight="1">
      <c r="A3445" s="2" t="s">
        <v>3445</v>
      </c>
      <c r="B3445" s="2" t="str">
        <f>IFERROR(__xludf.DUMMYFUNCTION("GOOGLETRANSLATE(A3445, ""en"", ""mt"")"),"X'inhi l-iktar biċċa magħrufa ta 'Norman Art?")</f>
        <v>X'inhi l-iktar biċċa magħrufa ta 'Norman Art?</v>
      </c>
    </row>
    <row r="3446" ht="15.75" customHeight="1">
      <c r="A3446" s="2" t="s">
        <v>3446</v>
      </c>
      <c r="B3446" s="2" t="str">
        <f>IFERROR(__xludf.DUMMYFUNCTION("GOOGLETRANSLATE(A3446, ""en"", ""mt"")"),"il-konġettura Twin Prime")</f>
        <v>il-konġettura Twin Prime</v>
      </c>
    </row>
    <row r="3447" ht="15.75" customHeight="1">
      <c r="A3447" s="2" t="s">
        <v>3447</v>
      </c>
      <c r="B3447" s="2" t="str">
        <f>IFERROR(__xludf.DUMMYFUNCTION("GOOGLETRANSLATE(A3447, ""en"", ""mt"")"),"art sewda")</f>
        <v>art sewda</v>
      </c>
    </row>
    <row r="3448" ht="15.75" customHeight="1">
      <c r="A3448" s="2" t="s">
        <v>3448</v>
      </c>
      <c r="B3448" s="2" t="str">
        <f>IFERROR(__xludf.DUMMYFUNCTION("GOOGLETRANSLATE(A3448, ""en"", ""mt"")"),"X’għamel l-Arabja Sawdita biex tirrapressa biex tikkumpensa għat-telf ta ’statura tagħha?")</f>
        <v>X’għamel l-Arabja Sawdita biex tirrapressa biex tikkumpensa għat-telf ta ’statura tagħha?</v>
      </c>
    </row>
    <row r="3449" ht="15.75" customHeight="1">
      <c r="A3449" s="2" t="s">
        <v>3449</v>
      </c>
      <c r="B3449" s="2" t="str">
        <f>IFERROR(__xludf.DUMMYFUNCTION("GOOGLETRANSLATE(A3449, ""en"", ""mt"")"),"b'xejn")</f>
        <v>b'xejn</v>
      </c>
    </row>
    <row r="3450" ht="15.75" customHeight="1">
      <c r="A3450" s="2" t="s">
        <v>3450</v>
      </c>
      <c r="B3450" s="2" t="str">
        <f>IFERROR(__xludf.DUMMYFUNCTION("GOOGLETRANSLATE(A3450, ""en"", ""mt"")"),"ma jistax jinkiseb")</f>
        <v>ma jistax jinkiseb</v>
      </c>
    </row>
    <row r="3451" ht="15.75" customHeight="1">
      <c r="A3451" s="2" t="s">
        <v>3451</v>
      </c>
      <c r="B3451" s="2" t="str">
        <f>IFERROR(__xludf.DUMMYFUNCTION("GOOGLETRANSLATE(A3451, ""en"", ""mt"")"),"Iħaffef is-Super Bowl")</f>
        <v>Iħaffef is-Super Bowl</v>
      </c>
    </row>
    <row r="3452" ht="15.75" customHeight="1">
      <c r="A3452" s="2" t="s">
        <v>3452</v>
      </c>
      <c r="B3452" s="2" t="str">
        <f>IFERROR(__xludf.DUMMYFUNCTION("GOOGLETRANSLATE(A3452, ""en"", ""mt"")"),"Louis XIII")</f>
        <v>Louis XIII</v>
      </c>
    </row>
    <row r="3453" ht="15.75" customHeight="1">
      <c r="A3453" s="2" t="s">
        <v>3453</v>
      </c>
      <c r="B3453" s="2" t="str">
        <f>IFERROR(__xludf.DUMMYFUNCTION("GOOGLETRANSLATE(A3453, ""en"", ""mt"")"),"Meta semma l-ewwel komunikazzjoni bla fili?")</f>
        <v>Meta semma l-ewwel komunikazzjoni bla fili?</v>
      </c>
    </row>
    <row r="3454" ht="15.75" customHeight="1">
      <c r="A3454" s="2" t="s">
        <v>3454</v>
      </c>
      <c r="B3454" s="2" t="str">
        <f>IFERROR(__xludf.DUMMYFUNCTION("GOOGLETRANSLATE(A3454, ""en"", ""mt"")"),"Min hu responsabbli għall-edukazzjoni fil-pajjiż tal-Awstralja?")</f>
        <v>Min hu responsabbli għall-edukazzjoni fil-pajjiż tal-Awstralja?</v>
      </c>
    </row>
    <row r="3455" ht="15.75" customHeight="1">
      <c r="A3455" s="2" t="s">
        <v>3455</v>
      </c>
      <c r="B3455" s="2" t="str">
        <f>IFERROR(__xludf.DUMMYFUNCTION("GOOGLETRANSLATE(A3455, ""en"", ""mt"")"),"X'inhu l-uniku distrett fis-CBD li ma jkollux ""downtown"" f'isem tiegħu?")</f>
        <v>X'inhu l-uniku distrett fis-CBD li ma jkollux "downtown" f'isem tiegħu?</v>
      </c>
    </row>
    <row r="3456" ht="15.75" customHeight="1">
      <c r="A3456" s="2" t="s">
        <v>3456</v>
      </c>
      <c r="B3456" s="2" t="str">
        <f>IFERROR(__xludf.DUMMYFUNCTION("GOOGLETRANSLATE(A3456, ""en"", ""mt"")"),"X'inhi l-aċċellerazzjoni gravitazzjonali proporzjonali għal?")</f>
        <v>X'inhi l-aċċellerazzjoni gravitazzjonali proporzjonali għal?</v>
      </c>
    </row>
    <row r="3457" ht="15.75" customHeight="1">
      <c r="A3457" s="2" t="s">
        <v>3457</v>
      </c>
      <c r="B3457" s="2" t="str">
        <f>IFERROR(__xludf.DUMMYFUNCTION("GOOGLETRANSLATE(A3457, ""en"", ""mt"")"),"Apollo 1")</f>
        <v>Apollo 1</v>
      </c>
    </row>
    <row r="3458" ht="15.75" customHeight="1">
      <c r="A3458" s="2" t="s">
        <v>3458</v>
      </c>
      <c r="B3458" s="2" t="str">
        <f>IFERROR(__xludf.DUMMYFUNCTION("GOOGLETRANSLATE(A3458, ""en"", ""mt"")"),"Effiċjenza distributiva")</f>
        <v>Effiċjenza distributiva</v>
      </c>
    </row>
    <row r="3459" ht="15.75" customHeight="1">
      <c r="A3459" s="2" t="s">
        <v>3459</v>
      </c>
      <c r="B3459" s="2" t="str">
        <f>IFERROR(__xludf.DUMMYFUNCTION("GOOGLETRANSLATE(A3459, ""en"", ""mt"")"),"fortuni akbar")</f>
        <v>fortuni akbar</v>
      </c>
    </row>
    <row r="3460" ht="15.75" customHeight="1">
      <c r="A3460" s="2" t="s">
        <v>3460</v>
      </c>
      <c r="B3460" s="2" t="str">
        <f>IFERROR(__xludf.DUMMYFUNCTION("GOOGLETRANSLATE(A3460, ""en"", ""mt"")"),"eletti u ħatru isqfijiet")</f>
        <v>eletti u ħatru isqfijiet</v>
      </c>
    </row>
    <row r="3461" ht="15.75" customHeight="1">
      <c r="A3461" s="2" t="s">
        <v>3461</v>
      </c>
      <c r="B3461" s="2" t="str">
        <f>IFERROR(__xludf.DUMMYFUNCTION("GOOGLETRANSLATE(A3461, ""en"", ""mt"")"),"Splashdown")</f>
        <v>Splashdown</v>
      </c>
    </row>
    <row r="3462" ht="15.75" customHeight="1">
      <c r="A3462" s="2" t="s">
        <v>3462</v>
      </c>
      <c r="B3462" s="2" t="str">
        <f>IFERROR(__xludf.DUMMYFUNCTION("GOOGLETRANSLATE(A3462, ""en"", ""mt"")"),"25")</f>
        <v>25</v>
      </c>
    </row>
    <row r="3463" ht="15.75" customHeight="1">
      <c r="A3463" s="2" t="s">
        <v>3463</v>
      </c>
      <c r="B3463" s="2" t="str">
        <f>IFERROR(__xludf.DUMMYFUNCTION("GOOGLETRANSLATE(A3463, ""en"", ""mt"")"),"Grigal")</f>
        <v>Grigal</v>
      </c>
    </row>
    <row r="3464" ht="15.75" customHeight="1">
      <c r="A3464" s="2" t="s">
        <v>3464</v>
      </c>
      <c r="B3464" s="2" t="str">
        <f>IFERROR(__xludf.DUMMYFUNCTION("GOOGLETRANSLATE(A3464, ""en"", ""mt"")"),"Kumpanija Cisco Systems")</f>
        <v>Kumpanija Cisco Systems</v>
      </c>
    </row>
    <row r="3465" ht="15.75" customHeight="1">
      <c r="A3465" s="2" t="s">
        <v>3465</v>
      </c>
      <c r="B3465" s="2" t="str">
        <f>IFERROR(__xludf.DUMMYFUNCTION("GOOGLETRANSLATE(A3465, ""en"", ""mt"")"),"Gwerer orribbli")</f>
        <v>Gwerer orribbli</v>
      </c>
    </row>
    <row r="3466" ht="15.75" customHeight="1">
      <c r="A3466" s="2" t="s">
        <v>3466</v>
      </c>
      <c r="B3466" s="2" t="str">
        <f>IFERROR(__xludf.DUMMYFUNCTION("GOOGLETRANSLATE(A3466, ""en"", ""mt"")"),"Liema membru tal-alumni jikteb ukoll l-bestseller qabel ma naqa '?")</f>
        <v>Liema membru tal-alumni jikteb ukoll l-bestseller qabel ma naqa '?</v>
      </c>
    </row>
    <row r="3467" ht="15.75" customHeight="1">
      <c r="A3467" s="2" t="s">
        <v>3467</v>
      </c>
      <c r="B3467" s="2" t="str">
        <f>IFERROR(__xludf.DUMMYFUNCTION("GOOGLETRANSLATE(A3467, ""en"", ""mt"")"),"L-Awstrija lejn il-Lvant.")</f>
        <v>L-Awstrija lejn il-Lvant.</v>
      </c>
    </row>
    <row r="3468" ht="15.75" customHeight="1">
      <c r="A3468" s="2" t="s">
        <v>3468</v>
      </c>
      <c r="B3468" s="2" t="str">
        <f>IFERROR(__xludf.DUMMYFUNCTION("GOOGLETRANSLATE(A3468, ""en"", ""mt"")"),"Kif tissejjaħ interpretazzjoni fundamentalista tal-Iżlam?")</f>
        <v>Kif tissejjaħ interpretazzjoni fundamentalista tal-Iżlam?</v>
      </c>
    </row>
    <row r="3469" ht="15.75" customHeight="1">
      <c r="A3469" s="2" t="s">
        <v>3469</v>
      </c>
      <c r="B3469" s="2" t="str">
        <f>IFERROR(__xludf.DUMMYFUNCTION("GOOGLETRANSLATE(A3469, ""en"", ""mt"")"),"Brandon Marshall")</f>
        <v>Brandon Marshall</v>
      </c>
    </row>
    <row r="3470" ht="15.75" customHeight="1">
      <c r="A3470" s="2" t="s">
        <v>3470</v>
      </c>
      <c r="B3470" s="2" t="str">
        <f>IFERROR(__xludf.DUMMYFUNCTION("GOOGLETRANSLATE(A3470, ""en"", ""mt"")"),"90.20 K (−182.95 ° C, −297.31 ° F)")</f>
        <v>90.20 K (−182.95 ° C, −297.31 ° F)</v>
      </c>
    </row>
    <row r="3471" ht="15.75" customHeight="1">
      <c r="A3471" s="2" t="s">
        <v>3471</v>
      </c>
      <c r="B3471" s="2" t="str">
        <f>IFERROR(__xludf.DUMMYFUNCTION("GOOGLETRANSLATE(A3471, ""en"", ""mt"")"),"Rikostruzzjoni u l-Età Indurata")</f>
        <v>Rikostruzzjoni u l-Età Indurata</v>
      </c>
    </row>
    <row r="3472" ht="15.75" customHeight="1">
      <c r="A3472" s="2" t="s">
        <v>3472</v>
      </c>
      <c r="B3472" s="2" t="str">
        <f>IFERROR(__xludf.DUMMYFUNCTION("GOOGLETRANSLATE(A3472, ""en"", ""mt"")"),"Pathway ta 'interferenza RNA")</f>
        <v>Pathway ta 'interferenza RNA</v>
      </c>
    </row>
    <row r="3473" ht="15.75" customHeight="1">
      <c r="A3473" s="2" t="s">
        <v>3473</v>
      </c>
      <c r="B3473" s="2" t="str">
        <f>IFERROR(__xludf.DUMMYFUNCTION("GOOGLETRANSLATE(A3473, ""en"", ""mt"")"),"l-istanza")</f>
        <v>l-istanza</v>
      </c>
    </row>
    <row r="3474" ht="15.75" customHeight="1">
      <c r="A3474" s="2" t="s">
        <v>3474</v>
      </c>
      <c r="B3474" s="2" t="str">
        <f>IFERROR(__xludf.DUMMYFUNCTION("GOOGLETRANSLATE(A3474, ""en"", ""mt"")"),"intuwizzjoni")</f>
        <v>intuwizzjoni</v>
      </c>
    </row>
    <row r="3475" ht="15.75" customHeight="1">
      <c r="A3475" s="2" t="s">
        <v>3475</v>
      </c>
      <c r="B3475" s="2" t="str">
        <f>IFERROR(__xludf.DUMMYFUNCTION("GOOGLETRANSLATE(A3475, ""en"", ""mt"")"),"F'Gebhard vs Consiglio ... Milano, ir-rekwiżiti li għandhom jiġu rreġistrati f'Milan qabel ma jkunu jistgħu jipprattikaw il-liġi jkunu permessi taħt liema kundizzjonijiet?")</f>
        <v>F'Gebhard vs Consiglio ... Milano, ir-rekwiżiti li għandhom jiġu rreġistrati f'Milan qabel ma jkunu jistgħu jipprattikaw il-liġi jkunu permessi taħt liema kundizzjonijiet?</v>
      </c>
    </row>
    <row r="3476" ht="15.75" customHeight="1">
      <c r="A3476" s="2" t="s">
        <v>3476</v>
      </c>
      <c r="B3476" s="2" t="str">
        <f>IFERROR(__xludf.DUMMYFUNCTION("GOOGLETRANSLATE(A3476, ""en"", ""mt"")"),"Disa 'xhur")</f>
        <v>Disa 'xhur</v>
      </c>
    </row>
    <row r="3477" ht="15.75" customHeight="1">
      <c r="A3477" s="2" t="s">
        <v>3477</v>
      </c>
      <c r="B3477" s="2" t="str">
        <f>IFERROR(__xludf.DUMMYFUNCTION("GOOGLETRANSLATE(A3477, ""en"", ""mt"")"),"Min sar l-ewwel Afrikani Amerikani ordnati mill-Knisja Metodista?")</f>
        <v>Min sar l-ewwel Afrikani Amerikani ordnati mill-Knisja Metodista?</v>
      </c>
    </row>
    <row r="3478" ht="15.75" customHeight="1">
      <c r="A3478" s="2" t="s">
        <v>3478</v>
      </c>
      <c r="B3478" s="2" t="str">
        <f>IFERROR(__xludf.DUMMYFUNCTION("GOOGLETRANSLATE(A3478, ""en"", ""mt"")"),"Liema dixxendenti ta 'Genghis Khan ippruvaw jiddisassoċjaw ruħhom mill-massakri tal-Mongolja fil-Lvant Nofsani?")</f>
        <v>Liema dixxendenti ta 'Genghis Khan ippruvaw jiddisassoċjaw ruħhom mill-massakri tal-Mongolja fil-Lvant Nofsani?</v>
      </c>
    </row>
    <row r="3479" ht="15.75" customHeight="1">
      <c r="A3479" s="2" t="s">
        <v>3479</v>
      </c>
      <c r="B3479" s="2" t="str">
        <f>IFERROR(__xludf.DUMMYFUNCTION("GOOGLETRANSLATE(A3479, ""en"", ""mt"")"),"Min analizza l-affarijiet ta 'Tesla?")</f>
        <v>Min analizza l-affarijiet ta 'Tesla?</v>
      </c>
    </row>
    <row r="3480" ht="15.75" customHeight="1">
      <c r="A3480" s="2" t="s">
        <v>3480</v>
      </c>
      <c r="B3480" s="2" t="str">
        <f>IFERROR(__xludf.DUMMYFUNCTION("GOOGLETRANSLATE(A3480, ""en"", ""mt"")"),"Għalkemm xi Akkadjani marru Franza u destinazzjonijiet oħra, liema belt ta 'l-Amerika ta' Fuq marret ħafna?")</f>
        <v>Għalkemm xi Akkadjani marru Franza u destinazzjonijiet oħra, liema belt ta 'l-Amerika ta' Fuq marret ħafna?</v>
      </c>
    </row>
    <row r="3481" ht="15.75" customHeight="1">
      <c r="A3481" s="2" t="s">
        <v>3481</v>
      </c>
      <c r="B3481" s="2" t="str">
        <f>IFERROR(__xludf.DUMMYFUNCTION("GOOGLETRANSLATE(A3481, ""en"", ""mt"")"),"Kunsill tal-Belt ta 'Varsavja")</f>
        <v>Kunsill tal-Belt ta 'Varsavja</v>
      </c>
    </row>
    <row r="3482" ht="15.75" customHeight="1">
      <c r="A3482" s="2" t="s">
        <v>3482</v>
      </c>
      <c r="B3482" s="2" t="str">
        <f>IFERROR(__xludf.DUMMYFUNCTION("GOOGLETRANSLATE(A3482, ""en"", ""mt"")"),"Epossidi")</f>
        <v>Epossidi</v>
      </c>
    </row>
    <row r="3483" ht="15.75" customHeight="1">
      <c r="A3483" s="2" t="s">
        <v>3483</v>
      </c>
      <c r="B3483" s="2" t="str">
        <f>IFERROR(__xludf.DUMMYFUNCTION("GOOGLETRANSLATE(A3483, ""en"", ""mt"")"),"Liema famuż pittur tar-Rinaxximent tal-Ġermain u stampatur tal-istampar huwa rrappreżentat fil-kollezzjoni tat-tpinġijiet tal-V &amp; A?")</f>
        <v>Liema famuż pittur tar-Rinaxximent tal-Ġermain u stampatur tal-istampar huwa rrappreżentat fil-kollezzjoni tat-tpinġijiet tal-V &amp; A?</v>
      </c>
    </row>
    <row r="3484" ht="15.75" customHeight="1">
      <c r="A3484" s="2" t="s">
        <v>3484</v>
      </c>
      <c r="B3484" s="2" t="str">
        <f>IFERROR(__xludf.DUMMYFUNCTION("GOOGLETRANSLATE(A3484, ""en"", ""mt"")"),"Forza ċentripetali żbilanċjata")</f>
        <v>Forza ċentripetali żbilanċjata</v>
      </c>
    </row>
    <row r="3485" ht="15.75" customHeight="1">
      <c r="A3485" s="2" t="s">
        <v>3485</v>
      </c>
      <c r="B3485" s="2" t="str">
        <f>IFERROR(__xludf.DUMMYFUNCTION("GOOGLETRANSLATE(A3485, ""en"", ""mt"")"),"It-teorija tal-pesta ġiet ikkontestata b'mod sinifikanti mill-ħidma tal-batterjologu Brittaniku J. F. D. Shrewsbury fl-1970, li nnota li r-rati rrappurtati ta 'mortalità fiż-żoni rurali matul il-pandemija tas-seklu 14 kienu inkonsistenti mal-pesta moderna"&amp;" Bubonic, li wasslitu biex jikkonkludi li l-kontijiet kontemporanji kienu esaġerazzjonijiet. Fl-1984 iż-żoologu Graham Twigg ipproduċa l-ewwel xogħol ewlieni biex jikkontesta direttament it-teorija tal-pesta bubonika, u d-dubji tiegħu dwar l-identità tal-"&amp;"mewt sewda ġew meħuda minn numru ta 'awturi, inkluż Samuel K. Cohn, Jr. (2002), David Herlihy (1997), u Susan Scott u Christopher Duncan (2001).")</f>
        <v>It-teorija tal-pesta ġiet ikkontestata b'mod sinifikanti mill-ħidma tal-batterjologu Brittaniku J. F. D. Shrewsbury fl-1970, li nnota li r-rati rrappurtati ta 'mortalità fiż-żoni rurali matul il-pandemija tas-seklu 14 kienu inkonsistenti mal-pesta moderna Bubonic, li wasslitu biex jikkonkludi li l-kontijiet kontemporanji kienu esaġerazzjonijiet. Fl-1984 iż-żoologu Graham Twigg ipproduċa l-ewwel xogħol ewlieni biex jikkontesta direttament it-teorija tal-pesta bubonika, u d-dubji tiegħu dwar l-identità tal-mewt sewda ġew meħuda minn numru ta 'awturi, inkluż Samuel K. Cohn, Jr. (2002), David Herlihy (1997), u Susan Scott u Christopher Duncan (2001).</v>
      </c>
    </row>
    <row r="3486" ht="15.75" customHeight="1">
      <c r="A3486" s="2" t="s">
        <v>3486</v>
      </c>
      <c r="B3486" s="2" t="str">
        <f>IFERROR(__xludf.DUMMYFUNCTION("GOOGLETRANSLATE(A3486, ""en"", ""mt"")"),"Williamite")</f>
        <v>Williamite</v>
      </c>
    </row>
    <row r="3487" ht="15.75" customHeight="1">
      <c r="A3487" s="2" t="s">
        <v>3487</v>
      </c>
      <c r="B3487" s="2" t="str">
        <f>IFERROR(__xludf.DUMMYFUNCTION("GOOGLETRANSLATE(A3487, ""en"", ""mt"")"),"L-ewwel film magħruf li fih xi xeni esterni ffilmjati fil-belt jinsab fil-lejl tan-nar (1939), għalkemm ġeneralment l-azzjoni hija marbuta mal-istudjo. Aktar tard waslu l-Isfar Msaħħab (1951) u l-Pagi (1961), it-tnejn li huma għandhom xeni aktar estensivi"&amp;" ffilmjati fil-belt. Il-film tal-1971 Get Carter ġie sparat fuq il-post fi Newcastle u madwarha u joffri opportunità biex tara kif kien jidher Newcastle fis-snin 1960 u fil-bidu tas-snin sebgħin. Il-belt kienet ukoll sfond għal film ieħor tal-gangster, il"&amp;"-film Noir Thriller Stormy tat-Tnejn tal-1988, dirett minn Mike Figgis u starring Tommy Lee Jones, Melanie Griffith, Sting u Sean Bean.")</f>
        <v>L-ewwel film magħruf li fih xi xeni esterni ffilmjati fil-belt jinsab fil-lejl tan-nar (1939), għalkemm ġeneralment l-azzjoni hija marbuta mal-istudjo. Aktar tard waslu l-Isfar Msaħħab (1951) u l-Pagi (1961), it-tnejn li huma għandhom xeni aktar estensivi ffilmjati fil-belt. Il-film tal-1971 Get Carter ġie sparat fuq il-post fi Newcastle u madwarha u joffri opportunità biex tara kif kien jidher Newcastle fis-snin 1960 u fil-bidu tas-snin sebgħin. Il-belt kienet ukoll sfond għal film ieħor tal-gangster, il-film Noir Thriller Stormy tat-Tnejn tal-1988, dirett minn Mike Figgis u starring Tommy Lee Jones, Melanie Griffith, Sting u Sean Bean.</v>
      </c>
    </row>
    <row r="3488" ht="15.75" customHeight="1">
      <c r="A3488" s="2" t="s">
        <v>3488</v>
      </c>
      <c r="B3488" s="2" t="str">
        <f>IFERROR(__xludf.DUMMYFUNCTION("GOOGLETRANSLATE(A3488, ""en"", ""mt"")"),"X'inhu l-isem ta 'għalliem fil-Buddiżmu Tibetan?")</f>
        <v>X'inhu l-isem ta 'għalliem fil-Buddiżmu Tibetan?</v>
      </c>
    </row>
    <row r="3489" ht="15.75" customHeight="1">
      <c r="A3489" s="2" t="s">
        <v>3489</v>
      </c>
      <c r="B3489" s="2" t="str">
        <f>IFERROR(__xludf.DUMMYFUNCTION("GOOGLETRANSLATE(A3489, ""en"", ""mt"")"),"Kemm idum biex tkun taf ir-riżultat ta 'diviżjoni?")</f>
        <v>Kemm idum biex tkun taf ir-riżultat ta 'diviżjoni?</v>
      </c>
    </row>
    <row r="3490" ht="15.75" customHeight="1">
      <c r="A3490" s="2" t="s">
        <v>3490</v>
      </c>
      <c r="B3490" s="2" t="str">
        <f>IFERROR(__xludf.DUMMYFUNCTION("GOOGLETRANSLATE(A3490, ""en"", ""mt"")"),"Skoperta mill-ġdid ta '""Kristu u s-Salvazzjoni Tiegħu""")</f>
        <v>Skoperta mill-ġdid ta '"Kristu u s-Salvazzjoni Tiegħu"</v>
      </c>
    </row>
    <row r="3491" ht="15.75" customHeight="1">
      <c r="A3491" s="2" t="s">
        <v>3491</v>
      </c>
      <c r="B3491" s="2" t="str">
        <f>IFERROR(__xludf.DUMMYFUNCTION("GOOGLETRANSLATE(A3491, ""en"", ""mt"")"),"fuq indulġenzi għall-għixien")</f>
        <v>fuq indulġenzi għall-għixien</v>
      </c>
    </row>
    <row r="3492" ht="15.75" customHeight="1">
      <c r="A3492" s="2" t="s">
        <v>3492</v>
      </c>
      <c r="B3492" s="2" t="str">
        <f>IFERROR(__xludf.DUMMYFUNCTION("GOOGLETRANSLATE(A3492, ""en"", ""mt"")"),"28 ta 'Diċembru, 2015")</f>
        <v>28 ta 'Diċembru, 2015</v>
      </c>
    </row>
    <row r="3493" ht="15.75" customHeight="1">
      <c r="A3493" s="2" t="s">
        <v>3493</v>
      </c>
      <c r="B3493" s="2" t="str">
        <f>IFERROR(__xludf.DUMMYFUNCTION("GOOGLETRANSLATE(A3493, ""en"", ""mt"")"),"ma jibbenefikawx l-Iskozja daqs kemm għandhom")</f>
        <v>ma jibbenefikawx l-Iskozja daqs kemm għandhom</v>
      </c>
    </row>
    <row r="3494" ht="15.75" customHeight="1">
      <c r="A3494" s="2" t="s">
        <v>3494</v>
      </c>
      <c r="B3494" s="2" t="str">
        <f>IFERROR(__xludf.DUMMYFUNCTION("GOOGLETRANSLATE(A3494, ""en"", ""mt"")"),"360 grad")</f>
        <v>360 grad</v>
      </c>
    </row>
    <row r="3495" ht="15.75" customHeight="1">
      <c r="A3495" s="2" t="s">
        <v>3495</v>
      </c>
      <c r="B3495" s="2" t="str">
        <f>IFERROR(__xludf.DUMMYFUNCTION("GOOGLETRANSLATE(A3495, ""en"", ""mt"")"),"James Wolfe")</f>
        <v>James Wolfe</v>
      </c>
    </row>
    <row r="3496" ht="15.75" customHeight="1">
      <c r="A3496" s="2" t="s">
        <v>3496</v>
      </c>
      <c r="B3496" s="2" t="str">
        <f>IFERROR(__xludf.DUMMYFUNCTION("GOOGLETRANSLATE(A3496, ""en"", ""mt"")"),"Min kien Huguenot prominenti fl-Olanda?")</f>
        <v>Min kien Huguenot prominenti fl-Olanda?</v>
      </c>
    </row>
    <row r="3497" ht="15.75" customHeight="1">
      <c r="A3497" s="2" t="s">
        <v>3497</v>
      </c>
      <c r="B3497" s="2" t="str">
        <f>IFERROR(__xludf.DUMMYFUNCTION("GOOGLETRANSLATE(A3497, ""en"", ""mt"")"),"Problema tal-isomorfiżmu graff, il-problema diskreta tal-logaritmu u l-problema ta 'fatturizzazzjoni integri")</f>
        <v>Problema tal-isomorfiżmu graff, il-problema diskreta tal-logaritmu u l-problema ta 'fatturizzazzjoni integri</v>
      </c>
    </row>
    <row r="3498" ht="15.75" customHeight="1">
      <c r="A3498" s="2" t="s">
        <v>3498</v>
      </c>
      <c r="B3498" s="2" t="str">
        <f>IFERROR(__xludf.DUMMYFUNCTION("GOOGLETRANSLATE(A3498, ""en"", ""mt"")"),"staġnat")</f>
        <v>staġnat</v>
      </c>
    </row>
    <row r="3499" ht="15.75" customHeight="1">
      <c r="A3499" s="2" t="s">
        <v>3499</v>
      </c>
      <c r="B3499" s="2" t="str">
        <f>IFERROR(__xludf.DUMMYFUNCTION("GOOGLETRANSLATE(A3499, ""en"", ""mt"")"),"kmieni fis-snin 1950")</f>
        <v>kmieni fis-snin 1950</v>
      </c>
    </row>
    <row r="3500" ht="15.75" customHeight="1">
      <c r="A3500" s="2" t="s">
        <v>3500</v>
      </c>
      <c r="B3500" s="2" t="str">
        <f>IFERROR(__xludf.DUMMYFUNCTION("GOOGLETRANSLATE(A3500, ""en"", ""mt"")"),"l-istess")</f>
        <v>l-istess</v>
      </c>
    </row>
    <row r="3501" ht="15.75" customHeight="1">
      <c r="A3501" s="2" t="s">
        <v>3501</v>
      </c>
      <c r="B3501" s="2" t="str">
        <f>IFERROR(__xludf.DUMMYFUNCTION("GOOGLETRANSLATE(A3501, ""en"", ""mt"")"),"Xi dibattitu li hemm korrelazzjoni bejn il-kapitaliżmu, l-imperjalizmu, u xiex?")</f>
        <v>Xi dibattitu li hemm korrelazzjoni bejn il-kapitaliżmu, l-imperjalizmu, u xiex?</v>
      </c>
    </row>
    <row r="3502" ht="15.75" customHeight="1">
      <c r="A3502" s="2" t="s">
        <v>3502</v>
      </c>
      <c r="B3502" s="2" t="str">
        <f>IFERROR(__xludf.DUMMYFUNCTION("GOOGLETRANSLATE(A3502, ""en"", ""mt"")"),"Minn Jannar 1964, sakemm kiseb l-ewwel inżul ta 'l-ekwipaġġ f'Lulju 1969")</f>
        <v>Minn Jannar 1964, sakemm kiseb l-ewwel inżul ta 'l-ekwipaġġ f'Lulju 1969</v>
      </c>
    </row>
    <row r="3503" ht="15.75" customHeight="1">
      <c r="A3503" s="2" t="s">
        <v>3503</v>
      </c>
      <c r="B3503" s="2" t="str">
        <f>IFERROR(__xludf.DUMMYFUNCTION("GOOGLETRANSLATE(A3503, ""en"", ""mt"")"),"1 jew 0")</f>
        <v>1 jew 0</v>
      </c>
    </row>
    <row r="3504" ht="15.75" customHeight="1">
      <c r="A3504" s="2" t="s">
        <v>3504</v>
      </c>
      <c r="B3504" s="2" t="str">
        <f>IFERROR(__xludf.DUMMYFUNCTION("GOOGLETRANSLATE(A3504, ""en"", ""mt"")"),"Problema tal-komputazzjoni")</f>
        <v>Problema tal-komputazzjoni</v>
      </c>
    </row>
    <row r="3505" ht="15.75" customHeight="1">
      <c r="A3505" s="2" t="s">
        <v>3505</v>
      </c>
      <c r="B3505" s="2" t="str">
        <f>IFERROR(__xludf.DUMMYFUNCTION("GOOGLETRANSLATE(A3505, ""en"", ""mt"")"),"L-approċċ ta 'Agassiz għax-xjenza kkombina l-osservazzjoni u x'inhu?")</f>
        <v>L-approċċ ta 'Agassiz għax-xjenza kkombina l-osservazzjoni u x'inhu?</v>
      </c>
    </row>
    <row r="3506" ht="15.75" customHeight="1">
      <c r="A3506" s="2" t="s">
        <v>3506</v>
      </c>
      <c r="B3506" s="2" t="str">
        <f>IFERROR(__xludf.DUMMYFUNCTION("GOOGLETRANSLATE(A3506, ""en"", ""mt"")"),"Il-Karta tad-Drittijiet Fundamentali tal-Unjoni Ewropea tas-7")</f>
        <v>Il-Karta tad-Drittijiet Fundamentali tal-Unjoni Ewropea tas-7</v>
      </c>
    </row>
    <row r="3507" ht="15.75" customHeight="1">
      <c r="A3507" s="2" t="s">
        <v>3507</v>
      </c>
      <c r="B3507" s="2" t="str">
        <f>IFERROR(__xludf.DUMMYFUNCTION("GOOGLETRANSLATE(A3507, ""en"", ""mt"")"),"Konsegwenza proċedurali")</f>
        <v>Konsegwenza proċedurali</v>
      </c>
    </row>
    <row r="3508" ht="15.75" customHeight="1">
      <c r="A3508" s="2" t="s">
        <v>3508</v>
      </c>
      <c r="B3508" s="2" t="str">
        <f>IFERROR(__xludf.DUMMYFUNCTION("GOOGLETRANSLATE(A3508, ""en"", ""mt"")"),"Dallas")</f>
        <v>Dallas</v>
      </c>
    </row>
    <row r="3509" ht="15.75" customHeight="1">
      <c r="A3509" s="2" t="s">
        <v>3509</v>
      </c>
      <c r="B3509" s="2" t="str">
        <f>IFERROR(__xludf.DUMMYFUNCTION("GOOGLETRANSLATE(A3509, ""en"", ""mt"")"),"mutur ta 'trazzjoni DC")</f>
        <v>mutur ta 'trazzjoni DC</v>
      </c>
    </row>
    <row r="3510" ht="15.75" customHeight="1">
      <c r="A3510" s="2" t="s">
        <v>3510</v>
      </c>
      <c r="B3510" s="2" t="str">
        <f>IFERROR(__xludf.DUMMYFUNCTION("GOOGLETRANSLATE(A3510, ""en"", ""mt"")"),"wasal tard wisq")</f>
        <v>wasal tard wisq</v>
      </c>
    </row>
    <row r="3511" ht="15.75" customHeight="1">
      <c r="A3511" s="2" t="s">
        <v>3511</v>
      </c>
      <c r="B3511" s="2" t="str">
        <f>IFERROR(__xludf.DUMMYFUNCTION("GOOGLETRANSLATE(A3511, ""en"", ""mt"")"),"Min iktar Luther uża retorika vjolenti lejh?")</f>
        <v>Min iktar Luther uża retorika vjolenti lejh?</v>
      </c>
    </row>
    <row r="3512" ht="15.75" customHeight="1">
      <c r="A3512" s="2" t="s">
        <v>3512</v>
      </c>
      <c r="B3512" s="2" t="str">
        <f>IFERROR(__xludf.DUMMYFUNCTION("GOOGLETRANSLATE(A3512, ""en"", ""mt"")"),"Fuq xiex m'għadx hemm limitazzjonijiet mill-1990?")</f>
        <v>Fuq xiex m'għadx hemm limitazzjonijiet mill-1990?</v>
      </c>
    </row>
    <row r="3513" ht="15.75" customHeight="1">
      <c r="A3513" s="2" t="s">
        <v>3513</v>
      </c>
      <c r="B3513" s="2" t="str">
        <f>IFERROR(__xludf.DUMMYFUNCTION("GOOGLETRANSLATE(A3513, ""en"", ""mt"")"),"Awtorizzazzjoni ta 'innijiet")</f>
        <v>Awtorizzazzjoni ta 'innijiet</v>
      </c>
    </row>
    <row r="3514" ht="15.75" customHeight="1">
      <c r="A3514" s="2" t="s">
        <v>3514</v>
      </c>
      <c r="B3514" s="2" t="str">
        <f>IFERROR(__xludf.DUMMYFUNCTION("GOOGLETRANSLATE(A3514, ""en"", ""mt"")"),"Għal liema pajjiż hija din l-istatistika?")</f>
        <v>Għal liema pajjiż hija din l-istatistika?</v>
      </c>
    </row>
    <row r="3515" ht="15.75" customHeight="1">
      <c r="A3515" s="2" t="s">
        <v>3515</v>
      </c>
      <c r="B3515" s="2" t="str">
        <f>IFERROR(__xludf.DUMMYFUNCTION("GOOGLETRANSLATE(A3515, ""en"", ""mt"")"),"Magni tat-Turing tape Uniku")</f>
        <v>Magni tat-Turing tape Uniku</v>
      </c>
    </row>
    <row r="3516" ht="15.75" customHeight="1">
      <c r="A3516" s="2" t="s">
        <v>3516</v>
      </c>
      <c r="B3516" s="2" t="str">
        <f>IFERROR(__xludf.DUMMYFUNCTION("GOOGLETRANSLATE(A3516, ""en"", ""mt"")"),"Ġudikatura")</f>
        <v>Ġudikatura</v>
      </c>
    </row>
    <row r="3517" ht="15.75" customHeight="1">
      <c r="A3517" s="2" t="s">
        <v>3517</v>
      </c>
      <c r="B3517" s="2" t="str">
        <f>IFERROR(__xludf.DUMMYFUNCTION("GOOGLETRANSLATE(A3517, ""en"", ""mt"")"),"Liema forma ta 'spazju Tesla tqis bħala ""kunċett falz""?")</f>
        <v>Liema forma ta 'spazju Tesla tqis bħala "kunċett falz"?</v>
      </c>
    </row>
    <row r="3518" ht="15.75" customHeight="1">
      <c r="A3518" s="2" t="s">
        <v>3518</v>
      </c>
      <c r="B3518" s="2" t="str">
        <f>IFERROR(__xludf.DUMMYFUNCTION("GOOGLETRANSLATE(A3518, ""en"", ""mt"")"),"Mistoqsijiet speċifiċi tal-Katekiżmu")</f>
        <v>Mistoqsijiet speċifiċi tal-Katekiżmu</v>
      </c>
    </row>
    <row r="3519" ht="15.75" customHeight="1">
      <c r="A3519" s="2" t="s">
        <v>3519</v>
      </c>
      <c r="B3519" s="2" t="str">
        <f>IFERROR(__xludf.DUMMYFUNCTION("GOOGLETRANSLATE(A3519, ""en"", ""mt"")"),"Dawn l-istudji ġew ippreżentati b'mod wiesa 'bħala li juru li l-perjodu ta' tisħin attwali huwa eċċezzjonali meta mqabbel ma 'temperaturi bejn 1000 u 1900, u l-graff ibbażat fuq MBH99 jidher fil-pubbliċità. Anke fl-abbozz tal-palk, din is-sejba ġiet ikkon"&amp;"testata mill-kontrarji: f'Mejju 2000 il-Proġett tal-Politika tax-Xjenza u l-Ambjent ta 'Fred Singer kellu avveniment għall-istampa fuq Capitol Hill, Washington, D.C., li fih kummenti dwar il-graff Wibjörn Karlén u Singer argumentaw kontra l-graff Kumitat "&amp;"tas-Senat tal-Istati Uniti dwar is-Smigħ tal-Kummerċ, ix-Xjenza u t-Trasport fit-18 ta 'Lulju 2000. Il-Kontrarju John Lawrence Daly deher verżjoni modifikata tal-IPCC 1990, li huwa identifika ħażin bħala li jidher fir-rapport tal-IPCC 1995, u argumenta li"&amp;" ""qalbu tiegħu Veduta preċedenti fir-rapport tal-1995, l-IPCC ippreżenta l- ""hockey stick"" bħala l-ortodossija l-ġdida li ma tantx tkun apoloġija jew spjegazzjoni għall-U-turn f'daqqa mir-rapport tal-1995 tiegħu "". Il-kritika tar-rikostruzzjoni MBH99 "&amp;"f'karta ta 'reviżjoni, li ġiet skreditata malajr fil-kontroversja dalwaqt u ta' Baliunas, inqabdet mill-amministrazzjoni ta 'Bush, u diskors tas-Senat mis-Senatur Repubblikan Amerikan James Inhofe allega li ""t-tisħin globali magħmul mill-bniedem huwa l-a"&amp;"kbar ingann li qatt kien hemm imwettqa fuq il-poplu Amerikan "". Id-dejta u l-metodoloġija użata biex tipproduċi l- ""Hockey Stick Graph"" ġiet ikkritikata f'karti minn Stephen McIntyre u Ross McKitrick, u mbagħad il-kritika f'dawn il-karti ġew eżaminati "&amp;"minn studji oħra u rifjutati b'mod komprensiv minn Wahl &amp; Ammann 2007, li wrew żbalji fi Il-metodi użati minn McIntyre u McKitrick.")</f>
        <v>Dawn l-istudji ġew ippreżentati b'mod wiesa 'bħala li juru li l-perjodu ta' tisħin attwali huwa eċċezzjonali meta mqabbel ma 'temperaturi bejn 1000 u 1900, u l-graff ibbażat fuq MBH99 jidher fil-pubbliċità. Anke fl-abbozz tal-palk, din is-sejba ġiet ikkontestata mill-kontrarji: f'Mejju 2000 il-Proġett tal-Politika tax-Xjenza u l-Ambjent ta 'Fred Singer kellu avveniment għall-istampa fuq Capitol Hill, Washington, D.C., li fih kummenti dwar il-graff Wibjörn Karlén u Singer argumentaw kontra l-graff Kumitat tas-Senat tal-Istati Uniti dwar is-Smigħ tal-Kummerċ, ix-Xjenza u t-Trasport fit-18 ta 'Lulju 2000. Il-Kontrarju John Lawrence Daly deher verżjoni modifikata tal-IPCC 1990, li huwa identifika ħażin bħala li jidher fir-rapport tal-IPCC 1995, u argumenta li "qalbu tiegħu Veduta preċedenti fir-rapport tal-1995, l-IPCC ippreżenta l- "hockey stick" bħala l-ortodossija l-ġdida li ma tantx tkun apoloġija jew spjegazzjoni għall-U-turn f'daqqa mir-rapport tal-1995 tiegħu ". Il-kritika tar-rikostruzzjoni MBH99 f'karta ta 'reviżjoni, li ġiet skreditata malajr fil-kontroversja dalwaqt u ta' Baliunas, inqabdet mill-amministrazzjoni ta 'Bush, u diskors tas-Senat mis-Senatur Repubblikan Amerikan James Inhofe allega li "t-tisħin globali magħmul mill-bniedem huwa l-akbar ingann li qatt kien hemm imwettqa fuq il-poplu Amerikan ". Id-dejta u l-metodoloġija użata biex tipproduċi l- "Hockey Stick Graph" ġiet ikkritikata f'karti minn Stephen McIntyre u Ross McKitrick, u mbagħad il-kritika f'dawn il-karti ġew eżaminati minn studji oħra u rifjutati b'mod komprensiv minn Wahl &amp; Ammann 2007, li wrew żbalji fi Il-metodi użati minn McIntyre u McKitrick.</v>
      </c>
    </row>
    <row r="3520" ht="15.75" customHeight="1">
      <c r="A3520" s="2" t="s">
        <v>3520</v>
      </c>
      <c r="B3520" s="2" t="str">
        <f>IFERROR(__xludf.DUMMYFUNCTION("GOOGLETRANSLATE(A3520, ""en"", ""mt"")"),"0.5–1.4 m [50–140 cm]")</f>
        <v>0.5–1.4 m [50–140 cm]</v>
      </c>
    </row>
    <row r="3521" ht="15.75" customHeight="1">
      <c r="A3521" s="2" t="s">
        <v>3521</v>
      </c>
      <c r="B3521" s="2" t="str">
        <f>IFERROR(__xludf.DUMMYFUNCTION("GOOGLETRANSLATE(A3521, ""en"", ""mt"")"),"X'inhu Salm 31: 5?")</f>
        <v>X'inhu Salm 31: 5?</v>
      </c>
    </row>
    <row r="3522" ht="15.75" customHeight="1">
      <c r="A3522" s="2" t="s">
        <v>3522</v>
      </c>
      <c r="B3522" s="2" t="str">
        <f>IFERROR(__xludf.DUMMYFUNCTION("GOOGLETRANSLATE(A3522, ""en"", ""mt"")"),"Charles")</f>
        <v>Charles</v>
      </c>
    </row>
    <row r="3523" ht="15.75" customHeight="1">
      <c r="A3523" s="2" t="s">
        <v>3523</v>
      </c>
      <c r="B3523" s="2" t="str">
        <f>IFERROR(__xludf.DUMMYFUNCTION("GOOGLETRANSLATE(A3523, ""en"", ""mt"")"),"Fejn hu sintetizzat il-polipeptide tal-kloroplast?")</f>
        <v>Fejn hu sintetizzat il-polipeptide tal-kloroplast?</v>
      </c>
    </row>
    <row r="3524" ht="15.75" customHeight="1">
      <c r="A3524" s="2" t="s">
        <v>3524</v>
      </c>
      <c r="B3524" s="2" t="str">
        <f>IFERROR(__xludf.DUMMYFUNCTION("GOOGLETRANSLATE(A3524, ""en"", ""mt"")"),"Bħall-mitokondrija, il-kloroplasti jużaw l-enerġija potenzjali maħżuna f'H +, jew gradjent tal-joni tal-idroġenu biex tiġġenera enerġija ATP. Iż-żewġ photosystems jaqbdu enerġija ħafifa biex iwaqqfu l-elettroni meħuda mill-ilma, u jeħilsuhom 'l isfel minn"&amp;" katina ta' trasport ta 'elettroni. Il-molekuli bejn il-photosystems jisfruttaw l-enerġija tal-elettroni biex jippompjaw joni tal-idroġenu fl-ispazju tat-tilakoid, li joħolqu gradjent ta 'konċentrazzjoni, b'aktar joni tal-idroġenu (sa elf darba daqs ħafna"&amp;") ġewwa s-sistema tat-tilakoid milli fl-istroma. L-joni tal-idroġenu fl-ispazju tat-tilakoid imbagħad ixxerrdu lura l-gradjent tal-konċentrazzjoni tagħhom, li joħorġu lura fl-istoma permezz ta 'ATP synthase. ATP synthase juża l-enerġija mill-joni tal-idro"&amp;"ġenu li jiċċirkolaw għal fosforilat adenosine difosfat fi adenosine trifosfat, jew ATP. Minħabba li l-kloroplast ATP synthase jipproġetta fl-istoma, l-ATP huwa sintetizzat hemmhekk, f'pożizzjoni li jintuża fir-reazzjonijiet mudlama.")</f>
        <v>Bħall-mitokondrija, il-kloroplasti jużaw l-enerġija potenzjali maħżuna f'H +, jew gradjent tal-joni tal-idroġenu biex tiġġenera enerġija ATP. Iż-żewġ photosystems jaqbdu enerġija ħafifa biex iwaqqfu l-elettroni meħuda mill-ilma, u jeħilsuhom 'l isfel minn katina ta' trasport ta 'elettroni. Il-molekuli bejn il-photosystems jisfruttaw l-enerġija tal-elettroni biex jippompjaw joni tal-idroġenu fl-ispazju tat-tilakoid, li joħolqu gradjent ta 'konċentrazzjoni, b'aktar joni tal-idroġenu (sa elf darba daqs ħafna) ġewwa s-sistema tat-tilakoid milli fl-istroma. L-joni tal-idroġenu fl-ispazju tat-tilakoid imbagħad ixxerrdu lura l-gradjent tal-konċentrazzjoni tagħhom, li joħorġu lura fl-istoma permezz ta 'ATP synthase. ATP synthase juża l-enerġija mill-joni tal-idroġenu li jiċċirkolaw għal fosforilat adenosine difosfat fi adenosine trifosfat, jew ATP. Minħabba li l-kloroplast ATP synthase jipproġetta fl-istoma, l-ATP huwa sintetizzat hemmhekk, f'pożizzjoni li jintuża fir-reazzjonijiet mudlama.</v>
      </c>
    </row>
    <row r="3525" ht="15.75" customHeight="1">
      <c r="A3525" s="2" t="s">
        <v>3525</v>
      </c>
      <c r="B3525" s="2" t="str">
        <f>IFERROR(__xludf.DUMMYFUNCTION("GOOGLETRANSLATE(A3525, ""en"", ""mt"")"),"Antisimetriċi")</f>
        <v>Antisimetriċi</v>
      </c>
    </row>
    <row r="3526" ht="15.75" customHeight="1">
      <c r="A3526" s="2" t="s">
        <v>3526</v>
      </c>
      <c r="B3526" s="2" t="str">
        <f>IFERROR(__xludf.DUMMYFUNCTION("GOOGLETRANSLATE(A3526, ""en"", ""mt"")"),"X'kienet l-okkupazzjoni ta 'kumpanji ta' Doctor Who (mhux relatati)?")</f>
        <v>X'kienet l-okkupazzjoni ta 'kumpanji ta' Doctor Who (mhux relatati)?</v>
      </c>
    </row>
    <row r="3527" ht="15.75" customHeight="1">
      <c r="A3527" s="2" t="s">
        <v>3527</v>
      </c>
      <c r="B3527" s="2" t="str">
        <f>IFERROR(__xludf.DUMMYFUNCTION("GOOGLETRANSLATE(A3527, ""en"", ""mt"")"),"Pjan ta 'terminu medju")</f>
        <v>Pjan ta 'terminu medju</v>
      </c>
    </row>
    <row r="3528" ht="15.75" customHeight="1">
      <c r="A3528" s="2" t="s">
        <v>3528</v>
      </c>
      <c r="B3528" s="2" t="str">
        <f>IFERROR(__xludf.DUMMYFUNCTION("GOOGLETRANSLATE(A3528, ""en"", ""mt"")"),"Permezz tal-Port ta ’Marsilja madwar Novembru 1347")</f>
        <v>Permezz tal-Port ta ’Marsilja madwar Novembru 1347</v>
      </c>
    </row>
    <row r="3529" ht="15.75" customHeight="1">
      <c r="A3529" s="2" t="s">
        <v>3529</v>
      </c>
      <c r="B3529" s="2" t="str">
        <f>IFERROR(__xludf.DUMMYFUNCTION("GOOGLETRANSLATE(A3529, ""en"", ""mt"")"),"Piranha")</f>
        <v>Piranha</v>
      </c>
    </row>
    <row r="3530" ht="15.75" customHeight="1">
      <c r="A3530" s="2" t="s">
        <v>3530</v>
      </c>
      <c r="B3530" s="2" t="str">
        <f>IFERROR(__xludf.DUMMYFUNCTION("GOOGLETRANSLATE(A3530, ""en"", ""mt"")"),"F'liema sena tnedew żewġ CSMs tal-Blokk I?")</f>
        <v>F'liema sena tnedew żewġ CSMs tal-Blokk I?</v>
      </c>
    </row>
    <row r="3531" ht="15.75" customHeight="1">
      <c r="A3531" s="2" t="s">
        <v>3531</v>
      </c>
      <c r="B3531" s="2" t="str">
        <f>IFERROR(__xludf.DUMMYFUNCTION("GOOGLETRANSLATE(A3531, ""en"", ""mt"")"),"Pjaneta tal-Ġganti")</f>
        <v>Pjaneta tal-Ġganti</v>
      </c>
    </row>
    <row r="3532" ht="15.75" customHeight="1">
      <c r="A3532" s="2" t="s">
        <v>3532</v>
      </c>
      <c r="B3532" s="2" t="str">
        <f>IFERROR(__xludf.DUMMYFUNCTION("GOOGLETRANSLATE(A3532, ""en"", ""mt"")"),"X'inhu eżempju tal-Katidral ta 'San Ġwann, stilistikament?")</f>
        <v>X'inhu eżempju tal-Katidral ta 'San Ġwann, stilistikament?</v>
      </c>
    </row>
    <row r="3533" ht="15.75" customHeight="1">
      <c r="A3533" s="2" t="s">
        <v>3533</v>
      </c>
      <c r="B3533" s="2" t="str">
        <f>IFERROR(__xludf.DUMMYFUNCTION("GOOGLETRANSLATE(A3533, ""en"", ""mt"")"),"ID tal-Konnessjoni")</f>
        <v>ID tal-Konnessjoni</v>
      </c>
    </row>
    <row r="3534" ht="15.75" customHeight="1">
      <c r="A3534" s="2" t="s">
        <v>3534</v>
      </c>
      <c r="B3534" s="2" t="str">
        <f>IFERROR(__xludf.DUMMYFUNCTION("GOOGLETRANSLATE(A3534, ""en"", ""mt"")"),"Fl-1500 AD kemm nies kienu maħsuba li għexu fir-reġjun tal-Amażonja?")</f>
        <v>Fl-1500 AD kemm nies kienu maħsuba li għexu fir-reġjun tal-Amażonja?</v>
      </c>
    </row>
    <row r="3535" ht="15.75" customHeight="1">
      <c r="A3535" s="2" t="s">
        <v>3535</v>
      </c>
      <c r="B3535" s="2" t="str">
        <f>IFERROR(__xludf.DUMMYFUNCTION("GOOGLETRANSLATE(A3535, ""en"", ""mt"")"),"diversi kulleġġi u universitajiet reġjonali")</f>
        <v>diversi kulleġġi u universitajiet reġjonali</v>
      </c>
    </row>
    <row r="3536" ht="15.75" customHeight="1">
      <c r="A3536" s="2" t="s">
        <v>3536</v>
      </c>
      <c r="B3536" s="2" t="str">
        <f>IFERROR(__xludf.DUMMYFUNCTION("GOOGLETRANSLATE(A3536, ""en"", ""mt"")"),"Super Bowl XLVII")</f>
        <v>Super Bowl XLVII</v>
      </c>
    </row>
    <row r="3537" ht="15.75" customHeight="1">
      <c r="A3537" s="2" t="s">
        <v>3537</v>
      </c>
      <c r="B3537" s="2" t="str">
        <f>IFERROR(__xludf.DUMMYFUNCTION("GOOGLETRANSLATE(A3537, ""en"", ""mt"")"),"Żoni statistiċi metropolitani")</f>
        <v>Żoni statistiċi metropolitani</v>
      </c>
    </row>
    <row r="3538" ht="15.75" customHeight="1">
      <c r="A3538" s="2" t="s">
        <v>3538</v>
      </c>
      <c r="B3538" s="2" t="str">
        <f>IFERROR(__xludf.DUMMYFUNCTION("GOOGLETRANSLATE(A3538, ""en"", ""mt"")"),"X’beda fl-1527 meta Luther introduċa l-Ordni l-Ġdida tal-Qima?")</f>
        <v>X’beda fl-1527 meta Luther introduċa l-Ordni l-Ġdida tal-Qima?</v>
      </c>
    </row>
    <row r="3539" ht="15.75" customHeight="1">
      <c r="A3539" s="2" t="s">
        <v>3539</v>
      </c>
      <c r="B3539" s="2" t="str">
        <f>IFERROR(__xludf.DUMMYFUNCTION("GOOGLETRANSLATE(A3539, ""en"", ""mt"")"),"Testment il-Ġdid")</f>
        <v>Testment il-Ġdid</v>
      </c>
    </row>
    <row r="3540" ht="15.75" customHeight="1">
      <c r="A3540" s="2" t="s">
        <v>3540</v>
      </c>
      <c r="B3540" s="2" t="str">
        <f>IFERROR(__xludf.DUMMYFUNCTION("GOOGLETRANSLATE(A3540, ""en"", ""mt"")"),"membrani addizzjonali barra mit-tnejn oriġinali")</f>
        <v>membrani addizzjonali barra mit-tnejn oriġinali</v>
      </c>
    </row>
    <row r="3541" ht="15.75" customHeight="1">
      <c r="A3541" s="2" t="s">
        <v>3541</v>
      </c>
      <c r="B3541" s="2" t="str">
        <f>IFERROR(__xludf.DUMMYFUNCTION("GOOGLETRANSLATE(A3541, ""en"", ""mt"")"),"360")</f>
        <v>360</v>
      </c>
    </row>
    <row r="3542" ht="15.75" customHeight="1">
      <c r="A3542" s="2" t="s">
        <v>3542</v>
      </c>
      <c r="B3542" s="2" t="str">
        <f>IFERROR(__xludf.DUMMYFUNCTION("GOOGLETRANSLATE(A3542, ""en"", ""mt"")"),"Kostit")</f>
        <v>Kostit</v>
      </c>
    </row>
    <row r="3543" ht="15.75" customHeight="1">
      <c r="A3543" s="2" t="s">
        <v>3543</v>
      </c>
      <c r="B3543" s="2" t="str">
        <f>IFERROR(__xludf.DUMMYFUNCTION("GOOGLETRANSLATE(A3543, ""en"", ""mt"")"),"L-UMC tgħallem li l-pornografija hija dwar xiex?")</f>
        <v>L-UMC tgħallem li l-pornografija hija dwar xiex?</v>
      </c>
    </row>
    <row r="3544" ht="15.75" customHeight="1">
      <c r="A3544" s="2" t="s">
        <v>3544</v>
      </c>
      <c r="B3544" s="2" t="str">
        <f>IFERROR(__xludf.DUMMYFUNCTION("GOOGLETRANSLATE(A3544, ""en"", ""mt"")"),"Kollha f'moħħu")</f>
        <v>Kollha f'moħħu</v>
      </c>
    </row>
    <row r="3545" ht="15.75" customHeight="1">
      <c r="A3545" s="2" t="s">
        <v>3545</v>
      </c>
      <c r="B3545" s="2" t="str">
        <f>IFERROR(__xludf.DUMMYFUNCTION("GOOGLETRANSLATE(A3545, ""en"", ""mt"")"),"differenza")</f>
        <v>differenza</v>
      </c>
    </row>
    <row r="3546" ht="15.75" customHeight="1">
      <c r="A3546" s="2" t="s">
        <v>3546</v>
      </c>
      <c r="B3546" s="2" t="str">
        <f>IFERROR(__xludf.DUMMYFUNCTION("GOOGLETRANSLATE(A3546, ""en"", ""mt"")"),"Materjali tal-alimentazzjoni")</f>
        <v>Materjali tal-alimentazzjoni</v>
      </c>
    </row>
    <row r="3547" ht="15.75" customHeight="1">
      <c r="A3547" s="2" t="s">
        <v>3547</v>
      </c>
      <c r="B3547" s="2" t="str">
        <f>IFERROR(__xludf.DUMMYFUNCTION("GOOGLETRANSLATE(A3547, ""en"", ""mt"")"),"In-nisel ta 'fucoxanthin dinophyte (inklużi Karlodinium u Karenia) tilfu l-kloroplast oriġinali tal-alka ħamra derivata tagħhom, u biddluh bi kloroplast ġdid derivat minn endosymbiont haptophyte. Karlodinium u Karenia probabbilment ħadu heterokontophytes "&amp;"differenti. Minħabba li l-kloroplast haptofite għandu erba 'membrani, l-endosimbijosi terzjarja tkun mistennija li toħloq kloroplast membrani, li żżid il-membrana taċ-ċellula tal-haptofite u l-vacuole fagożomali tad-dinofite. Madankollu, il-haptofite tnaq"&amp;"qas ħafna, imqaxxar minn ftit membrani u n-nukleu tiegħu, u ħalla biss il-kloroplast tiegħu (bil-membrana doppja oriġinali tagħha), u possibilment wieħed jew żewġ membrani addizzjonali madwaru.")</f>
        <v>In-nisel ta 'fucoxanthin dinophyte (inklużi Karlodinium u Karenia) tilfu l-kloroplast oriġinali tal-alka ħamra derivata tagħhom, u biddluh bi kloroplast ġdid derivat minn endosymbiont haptophyte. Karlodinium u Karenia probabbilment ħadu heterokontophytes differenti. Minħabba li l-kloroplast haptofite għandu erba 'membrani, l-endosimbijosi terzjarja tkun mistennija li toħloq kloroplast membrani, li żżid il-membrana taċ-ċellula tal-haptofite u l-vacuole fagożomali tad-dinofite. Madankollu, il-haptofite tnaqqas ħafna, imqaxxar minn ftit membrani u n-nukleu tiegħu, u ħalla biss il-kloroplast tiegħu (bil-membrana doppja oriġinali tagħha), u possibilment wieħed jew żewġ membrani addizzjonali madwaru.</v>
      </c>
    </row>
    <row r="3548" ht="15.75" customHeight="1">
      <c r="A3548" s="2" t="s">
        <v>3548</v>
      </c>
      <c r="B3548" s="2" t="str">
        <f>IFERROR(__xludf.DUMMYFUNCTION("GOOGLETRANSLATE(A3548, ""en"", ""mt"")"),"L-Isqof Reuben H. Mueller")</f>
        <v>L-Isqof Reuben H. Mueller</v>
      </c>
    </row>
    <row r="3549" ht="15.75" customHeight="1">
      <c r="A3549" s="2" t="s">
        <v>3549</v>
      </c>
      <c r="B3549" s="2" t="str">
        <f>IFERROR(__xludf.DUMMYFUNCTION("GOOGLETRANSLATE(A3549, ""en"", ""mt"")"),"Riħa stramba")</f>
        <v>Riħa stramba</v>
      </c>
    </row>
    <row r="3550" ht="15.75" customHeight="1">
      <c r="A3550" s="2" t="s">
        <v>3550</v>
      </c>
      <c r="B3550" s="2" t="str">
        <f>IFERROR(__xludf.DUMMYFUNCTION("GOOGLETRANSLATE(A3550, ""en"", ""mt"")"),"Għal liema tip ta 'mard jimmiraw l-apikoplasti?")</f>
        <v>Għal liema tip ta 'mard jimmiraw l-apikoplasti?</v>
      </c>
    </row>
    <row r="3551" ht="15.75" customHeight="1">
      <c r="A3551" s="2" t="s">
        <v>3551</v>
      </c>
      <c r="B3551" s="2" t="str">
        <f>IFERROR(__xludf.DUMMYFUNCTION("GOOGLETRANSLATE(A3551, ""en"", ""mt"")"),"X'kienu l-ewwel żewġ stazzjonijiet li jġorru l-ipprogrammar ta 'ABC?")</f>
        <v>X'kienu l-ewwel żewġ stazzjonijiet li jġorru l-ipprogrammar ta 'ABC?</v>
      </c>
    </row>
    <row r="3552" ht="15.75" customHeight="1">
      <c r="A3552" s="2" t="s">
        <v>3552</v>
      </c>
      <c r="B3552" s="2" t="str">
        <f>IFERROR(__xludf.DUMMYFUNCTION("GOOGLETRANSLATE(A3552, ""en"", ""mt"")"),"F’xi żoni rurali fir-Renju Unit")</f>
        <v>F’xi żoni rurali fir-Renju Unit</v>
      </c>
    </row>
    <row r="3553" ht="15.75" customHeight="1">
      <c r="A3553" s="2" t="s">
        <v>3553</v>
      </c>
      <c r="B3553" s="2" t="str">
        <f>IFERROR(__xludf.DUMMYFUNCTION("GOOGLETRANSLATE(A3553, ""en"", ""mt"")"),"Newcomen u Watt's")</f>
        <v>Newcomen u Watt's</v>
      </c>
    </row>
    <row r="3554" ht="15.75" customHeight="1">
      <c r="A3554" s="2" t="s">
        <v>3554</v>
      </c>
      <c r="B3554" s="2" t="str">
        <f>IFERROR(__xludf.DUMMYFUNCTION("GOOGLETRANSLATE(A3554, ""en"", ""mt"")"),"Kemm hemm ringieli ta 'pettnijiet?")</f>
        <v>Kemm hemm ringieli ta 'pettnijiet?</v>
      </c>
    </row>
    <row r="3555" ht="15.75" customHeight="1">
      <c r="A3555" s="2" t="s">
        <v>3555</v>
      </c>
      <c r="B3555" s="2" t="str">
        <f>IFERROR(__xludf.DUMMYFUNCTION("GOOGLETRANSLATE(A3555, ""en"", ""mt"")"),"tipi ta 'tnaqqis")</f>
        <v>tipi ta 'tnaqqis</v>
      </c>
    </row>
    <row r="3556" ht="15.75" customHeight="1">
      <c r="A3556" s="2" t="s">
        <v>3556</v>
      </c>
      <c r="B3556" s="2" t="str">
        <f>IFERROR(__xludf.DUMMYFUNCTION("GOOGLETRANSLATE(A3556, ""en"", ""mt"")"),"Alka")</f>
        <v>Alka</v>
      </c>
    </row>
    <row r="3557" ht="15.75" customHeight="1">
      <c r="A3557" s="2" t="s">
        <v>3557</v>
      </c>
      <c r="B3557" s="2" t="str">
        <f>IFERROR(__xludf.DUMMYFUNCTION("GOOGLETRANSLATE(A3557, ""en"", ""mt"")"),"Prokarioti")</f>
        <v>Prokarioti</v>
      </c>
    </row>
    <row r="3558" ht="15.75" customHeight="1">
      <c r="A3558" s="2" t="s">
        <v>3558</v>
      </c>
      <c r="B3558" s="2" t="str">
        <f>IFERROR(__xludf.DUMMYFUNCTION("GOOGLETRANSLATE(A3558, ""en"", ""mt"")"),"1 miljun")</f>
        <v>1 miljun</v>
      </c>
    </row>
    <row r="3559" ht="15.75" customHeight="1">
      <c r="A3559" s="2" t="s">
        <v>3559</v>
      </c>
      <c r="B3559" s="2" t="str">
        <f>IFERROR(__xludf.DUMMYFUNCTION("GOOGLETRANSLATE(A3559, ""en"", ""mt"")"),"Liema grupp huwa nattiv ta 'Newcastle Andy Taylor l-ex kitarrist ewlieni ta'?")</f>
        <v>Liema grupp huwa nattiv ta 'Newcastle Andy Taylor l-ex kitarrist ewlieni ta'?</v>
      </c>
    </row>
    <row r="3560" ht="15.75" customHeight="1">
      <c r="A3560" s="2" t="s">
        <v>3560</v>
      </c>
      <c r="B3560" s="2" t="str">
        <f>IFERROR(__xludf.DUMMYFUNCTION("GOOGLETRANSLATE(A3560, ""en"", ""mt"")"),"Min kienu s-Semuren?")</f>
        <v>Min kienu s-Semuren?</v>
      </c>
    </row>
    <row r="3561" ht="15.75" customHeight="1">
      <c r="A3561" s="2" t="s">
        <v>3561</v>
      </c>
      <c r="B3561" s="2" t="str">
        <f>IFERROR(__xludf.DUMMYFUNCTION("GOOGLETRANSLATE(A3561, ""en"", ""mt"")"),"Liġi ta 'Lorentz")</f>
        <v>Liġi ta 'Lorentz</v>
      </c>
    </row>
    <row r="3562" ht="15.75" customHeight="1">
      <c r="A3562" s="2" t="s">
        <v>3562</v>
      </c>
      <c r="B3562" s="2" t="str">
        <f>IFERROR(__xludf.DUMMYFUNCTION("GOOGLETRANSLATE(A3562, ""en"", ""mt"")"),"Imsejħa wkoll ""Ctenes"" jew ""Pjanċi tal-Moxt")</f>
        <v>Imsejħa wkoll "Ctenes" jew "Pjanċi tal-Moxt</v>
      </c>
    </row>
    <row r="3563" ht="15.75" customHeight="1">
      <c r="A3563" s="2" t="s">
        <v>3563</v>
      </c>
      <c r="B3563" s="2" t="str">
        <f>IFERROR(__xludf.DUMMYFUNCTION("GOOGLETRANSLATE(A3563, ""en"", ""mt"")"),"L-ispiża għolja tal-mediċini u t-teknoloġija relatata mal-mediċina")</f>
        <v>L-ispiża għolja tal-mediċini u t-teknoloġija relatata mal-mediċina</v>
      </c>
    </row>
    <row r="3564" ht="15.75" customHeight="1">
      <c r="A3564" s="2" t="s">
        <v>3564</v>
      </c>
      <c r="B3564" s="2" t="str">
        <f>IFERROR(__xludf.DUMMYFUNCTION("GOOGLETRANSLATE(A3564, ""en"", ""mt"")"),"bejn il-baden modern u l-württemberg")</f>
        <v>bejn il-baden modern u l-württemberg</v>
      </c>
    </row>
    <row r="3565" ht="15.75" customHeight="1">
      <c r="A3565" s="2" t="s">
        <v>3565</v>
      </c>
      <c r="B3565" s="2" t="str">
        <f>IFERROR(__xludf.DUMMYFUNCTION("GOOGLETRANSLATE(A3565, ""en"", ""mt"")"),"Min immaniġġja l-play-by-play għal WBT?")</f>
        <v>Min immaniġġja l-play-by-play għal WBT?</v>
      </c>
    </row>
    <row r="3566" ht="15.75" customHeight="1">
      <c r="A3566" s="2" t="s">
        <v>3566</v>
      </c>
      <c r="B3566" s="2" t="str">
        <f>IFERROR(__xludf.DUMMYFUNCTION("GOOGLETRANSLATE(A3566, ""en"", ""mt"")"),"każ tal-ħġieġ")</f>
        <v>każ tal-ħġieġ</v>
      </c>
    </row>
    <row r="3567" ht="15.75" customHeight="1">
      <c r="A3567" s="2" t="s">
        <v>3567</v>
      </c>
      <c r="B3567" s="2" t="str">
        <f>IFERROR(__xludf.DUMMYFUNCTION("GOOGLETRANSLATE(A3567, ""en"", ""mt"")"),"Min Banish Luther?")</f>
        <v>Min Banish Luther?</v>
      </c>
    </row>
    <row r="3568" ht="15.75" customHeight="1">
      <c r="A3568" s="2" t="s">
        <v>3568</v>
      </c>
      <c r="B3568" s="2" t="str">
        <f>IFERROR(__xludf.DUMMYFUNCTION("GOOGLETRANSLATE(A3568, ""en"", ""mt"")"),"Id-djakni jservu terminu ta 'kemm snin bħala djakni proviżorji?")</f>
        <v>Id-djakni jservu terminu ta 'kemm snin bħala djakni proviżorji?</v>
      </c>
    </row>
    <row r="3569" ht="15.75" customHeight="1">
      <c r="A3569" s="2" t="s">
        <v>3569</v>
      </c>
      <c r="B3569" s="2" t="str">
        <f>IFERROR(__xludf.DUMMYFUNCTION("GOOGLETRANSLATE(A3569, ""en"", ""mt"")"),"ħafna postijiet")</f>
        <v>ħafna postijiet</v>
      </c>
    </row>
    <row r="3570" ht="15.75" customHeight="1">
      <c r="A3570" s="2" t="s">
        <v>3570</v>
      </c>
      <c r="B3570" s="2" t="str">
        <f>IFERROR(__xludf.DUMMYFUNCTION("GOOGLETRANSLATE(A3570, ""en"", ""mt"")"),"1862")</f>
        <v>1862</v>
      </c>
    </row>
    <row r="3571" ht="15.75" customHeight="1">
      <c r="A3571" s="2" t="s">
        <v>3571</v>
      </c>
      <c r="B3571" s="2" t="str">
        <f>IFERROR(__xludf.DUMMYFUNCTION("GOOGLETRANSLATE(A3571, ""en"", ""mt"")"),"hemicycle")</f>
        <v>hemicycle</v>
      </c>
    </row>
    <row r="3572" ht="15.75" customHeight="1">
      <c r="A3572" s="2" t="s">
        <v>3572</v>
      </c>
      <c r="B3572" s="2" t="str">
        <f>IFERROR(__xludf.DUMMYFUNCTION("GOOGLETRANSLATE(A3572, ""en"", ""mt"")"),"fix-xatt tal-lemin tal-Vistula, mill-fruntiera tal-Lvant ta 'Varsavja")</f>
        <v>fix-xatt tal-lemin tal-Vistula, mill-fruntiera tal-Lvant ta 'Varsavja</v>
      </c>
    </row>
    <row r="3573" ht="15.75" customHeight="1">
      <c r="A3573" s="2" t="s">
        <v>3573</v>
      </c>
      <c r="B3573" s="2" t="str">
        <f>IFERROR(__xludf.DUMMYFUNCTION("GOOGLETRANSLATE(A3573, ""en"", ""mt"")"),"pixxini ta 'kumpens")</f>
        <v>pixxini ta 'kumpens</v>
      </c>
    </row>
    <row r="3574" ht="15.75" customHeight="1">
      <c r="A3574" s="2" t="s">
        <v>3574</v>
      </c>
      <c r="B3574" s="2" t="str">
        <f>IFERROR(__xludf.DUMMYFUNCTION("GOOGLETRANSLATE(A3574, ""en"", ""mt"")"),"Fejn kien ir-Rhine regolat b'kanal aktar baxx?")</f>
        <v>Fejn kien ir-Rhine regolat b'kanal aktar baxx?</v>
      </c>
    </row>
    <row r="3575" ht="15.75" customHeight="1">
      <c r="A3575" s="2" t="s">
        <v>3575</v>
      </c>
      <c r="B3575" s="2" t="str">
        <f>IFERROR(__xludf.DUMMYFUNCTION("GOOGLETRANSLATE(A3575, ""en"", ""mt"")"),"William P. Bell")</f>
        <v>William P. Bell</v>
      </c>
    </row>
    <row r="3576" ht="15.75" customHeight="1">
      <c r="A3576" s="2" t="s">
        <v>3576</v>
      </c>
      <c r="B3576" s="2" t="str">
        <f>IFERROR(__xludf.DUMMYFUNCTION("GOOGLETRANSLATE(A3576, ""en"", ""mt"")"),"Fattur ieħor li jiddependi mill-fotosintesi")</f>
        <v>Fattur ieħor li jiddependi mill-fotosintesi</v>
      </c>
    </row>
    <row r="3577" ht="15.75" customHeight="1">
      <c r="A3577" s="2" t="s">
        <v>3577</v>
      </c>
      <c r="B3577" s="2" t="str">
        <f>IFERROR(__xludf.DUMMYFUNCTION("GOOGLETRANSLATE(A3577, ""en"", ""mt"")"),"Liema livell ta 'mobilità ekonomika l-ekonomija ta' l-Istati Uniti qabblet ma 'pajjiżi Ewropej?")</f>
        <v>Liema livell ta 'mobilità ekonomika l-ekonomija ta' l-Istati Uniti qabblet ma 'pajjiżi Ewropej?</v>
      </c>
    </row>
    <row r="3578" ht="15.75" customHeight="1">
      <c r="A3578" s="2" t="s">
        <v>3578</v>
      </c>
      <c r="B3578" s="2" t="str">
        <f>IFERROR(__xludf.DUMMYFUNCTION("GOOGLETRANSLATE(A3578, ""en"", ""mt"")"),"12-il stazzjon televiżiv")</f>
        <v>12-il stazzjon televiżiv</v>
      </c>
    </row>
    <row r="3579" ht="15.75" customHeight="1">
      <c r="A3579" s="2" t="s">
        <v>3579</v>
      </c>
      <c r="B3579" s="2" t="str">
        <f>IFERROR(__xludf.DUMMYFUNCTION("GOOGLETRANSLATE(A3579, ""en"", ""mt"")"),"X'kien l-ewwel bini pubbliku li kien mixgħul bid-dawl elettriku fi Newcastle?")</f>
        <v>X'kien l-ewwel bini pubbliku li kien mixgħul bid-dawl elettriku fi Newcastle?</v>
      </c>
    </row>
    <row r="3580" ht="15.75" customHeight="1">
      <c r="A3580" s="2" t="s">
        <v>3580</v>
      </c>
      <c r="B3580" s="2" t="str">
        <f>IFERROR(__xludf.DUMMYFUNCTION("GOOGLETRANSLATE(A3580, ""en"", ""mt"")"),"Dawk kollha li huma verament jemmnu f'kull età jappartjenu lill-Knisja Mqaddsa inviżibbli, filwaqt li l-Knisja Metodista Magħquda hija fergħa tal-knisja viżibbli,")</f>
        <v>Dawk kollha li huma verament jemmnu f'kull età jappartjenu lill-Knisja Mqaddsa inviżibbli, filwaqt li l-Knisja Metodista Magħquda hija fergħa tal-knisja viżibbli,</v>
      </c>
    </row>
    <row r="3581" ht="15.75" customHeight="1">
      <c r="A3581" s="2" t="s">
        <v>3581</v>
      </c>
      <c r="B3581" s="2" t="str">
        <f>IFERROR(__xludf.DUMMYFUNCTION("GOOGLETRANSLATE(A3581, ""en"", ""mt"")"),"valur finit")</f>
        <v>valur finit</v>
      </c>
    </row>
    <row r="3582" ht="15.75" customHeight="1">
      <c r="A3582" s="2" t="s">
        <v>3582</v>
      </c>
      <c r="B3582" s="2" t="str">
        <f>IFERROR(__xludf.DUMMYFUNCTION("GOOGLETRANSLATE(A3582, ""en"", ""mt"")"),"Jackson")</f>
        <v>Jackson</v>
      </c>
    </row>
    <row r="3583" ht="15.75" customHeight="1">
      <c r="A3583" s="2" t="s">
        <v>3583</v>
      </c>
      <c r="B3583" s="2" t="str">
        <f>IFERROR(__xludf.DUMMYFUNCTION("GOOGLETRANSLATE(A3583, ""en"", ""mt"")"),"X'inhi waħda mill-ewwel tweġibiet li s-sistema immuni għandha l-infezzjoni?")</f>
        <v>X'inhi waħda mill-ewwel tweġibiet li s-sistema immuni għandha l-infezzjoni?</v>
      </c>
    </row>
    <row r="3584" ht="15.75" customHeight="1">
      <c r="A3584" s="2" t="s">
        <v>3584</v>
      </c>
      <c r="B3584" s="2" t="str">
        <f>IFERROR(__xludf.DUMMYFUNCTION("GOOGLETRANSLATE(A3584, ""en"", ""mt"")"),"Fil-ħarifa tal-1937, wara nofsillejl lejl wieħed, Tesla ħalliet il-lukanda New Yorker biex tagħmel il-vjaġġ regolari tiegħu lejn il-katidral u l-librerija biex titma 'l-ħamiem. Waqt li qassam triq ftit blokki mil-lukanda, Tesla ma setgħetx tevita taxicab "&amp;"li jiċċaqlaq u ġie mitfugħ ħafna lejn l-art. Id-dahar ta 'Tesla kien imqaxxar ħafna u tlieta mill-kustilji tiegħu ġew miksura fl-inċident (il-firxa sħiħa tal-korrimenti tiegħu qatt ma tkun magħrufa; Tesla rrifjutat li tikkonsulta tabib - drawwa kważi tul "&amp;"il-ħajja). Tesla ma qajmet l-ebda mistoqsija dwar min kellu t-tort u rrifjuta l-għajnuna medika, u talab biss biex jittieħed fil-lukanda tiegħu permezz tal-kabina. Tesla kienet imqiegħda fis-sodda għal xi xhur u ma setgħetx tkompli titma 'ħamiem mit-tieqa"&amp;" tiegħu; Dalwaqt, huma ma rnexxielhomx jiġu. Fil-bidu tal-1938, Tesla kienet kapaċi tqum. Huwa mill-ewwel reġa 'beda l-mixjiet tal-ħamiem fuq skala ferm aktar limitata, imma ta' spiss kellu att ta 'messaġġier għalih.")</f>
        <v>Fil-ħarifa tal-1937, wara nofsillejl lejl wieħed, Tesla ħalliet il-lukanda New Yorker biex tagħmel il-vjaġġ regolari tiegħu lejn il-katidral u l-librerija biex titma 'l-ħamiem. Waqt li qassam triq ftit blokki mil-lukanda, Tesla ma setgħetx tevita taxicab li jiċċaqlaq u ġie mitfugħ ħafna lejn l-art. Id-dahar ta 'Tesla kien imqaxxar ħafna u tlieta mill-kustilji tiegħu ġew miksura fl-inċident (il-firxa sħiħa tal-korrimenti tiegħu qatt ma tkun magħrufa; Tesla rrifjutat li tikkonsulta tabib - drawwa kważi tul il-ħajja). Tesla ma qajmet l-ebda mistoqsija dwar min kellu t-tort u rrifjuta l-għajnuna medika, u talab biss biex jittieħed fil-lukanda tiegħu permezz tal-kabina. Tesla kienet imqiegħda fis-sodda għal xi xhur u ma setgħetx tkompli titma 'ħamiem mit-tieqa tiegħu; Dalwaqt, huma ma rnexxielhomx jiġu. Fil-bidu tal-1938, Tesla kienet kapaċi tqum. Huwa mill-ewwel reġa 'beda l-mixjiet tal-ħamiem fuq skala ferm aktar limitata, imma ta' spiss kellu att ta 'messaġġier għalih.</v>
      </c>
    </row>
    <row r="3585" ht="15.75" customHeight="1">
      <c r="A3585" s="2" t="s">
        <v>3585</v>
      </c>
      <c r="B3585" s="2" t="str">
        <f>IFERROR(__xludf.DUMMYFUNCTION("GOOGLETRANSLATE(A3585, ""en"", ""mt"")"),"Port ta 'San Diego")</f>
        <v>Port ta 'San Diego</v>
      </c>
    </row>
    <row r="3586" ht="15.75" customHeight="1">
      <c r="A3586" s="2" t="s">
        <v>3586</v>
      </c>
      <c r="B3586" s="2" t="str">
        <f>IFERROR(__xludf.DUMMYFUNCTION("GOOGLETRANSLATE(A3586, ""en"", ""mt"")"),"Il-Kristjaneżmu u l-Kultura Franċiża")</f>
        <v>Il-Kristjaneżmu u l-Kultura Franċiża</v>
      </c>
    </row>
    <row r="3587" ht="15.75" customHeight="1">
      <c r="A3587" s="2" t="s">
        <v>3587</v>
      </c>
      <c r="B3587" s="2" t="str">
        <f>IFERROR(__xludf.DUMMYFUNCTION("GOOGLETRANSLATE(A3587, ""en"", ""mt"")"),"Min kellu Mathmatical Insite?")</f>
        <v>Min kellu Mathmatical Insite?</v>
      </c>
    </row>
    <row r="3588" ht="15.75" customHeight="1">
      <c r="A3588" s="2" t="s">
        <v>3588</v>
      </c>
      <c r="B3588" s="2" t="str">
        <f>IFERROR(__xludf.DUMMYFUNCTION("GOOGLETRANSLATE(A3588, ""en"", ""mt"")"),"L-idrografija tad-delta attwali hija kkaratterizzata mill-armi ewlenin tad-delta, armi skonnettjati (Hollandse ijssel, linge, vecht, eċċ.) U xmajjar u nixxigħat iżgħar. Ħafna xmajjar ingħalqu (""imtaqqba"") u issa jservu bħala kanali tad-drenaġġ għall-pol"&amp;"ders numerużi. Il-kostruzzjoni ta 'xogħlijiet ta' Delta biddlet id-Delta fit-tieni nofs tas-seklu 20. Bħalissa Rhine Water tidħol fil-baħar, jew ġo bajjiet tal-baħar preċedenti issa separati mill-baħar, f'ħames postijiet, jiġifieri f'ħalq in-Nieuwe Merwed"&amp;"e, Nieuwe Waterway (Nieuwe Maas), Dordtse Kil, SPUI u IJSel.")</f>
        <v>L-idrografija tad-delta attwali hija kkaratterizzata mill-armi ewlenin tad-delta, armi skonnettjati (Hollandse ijssel, linge, vecht, eċċ.) U xmajjar u nixxigħat iżgħar. Ħafna xmajjar ingħalqu ("imtaqqba") u issa jservu bħala kanali tad-drenaġġ għall-polders numerużi. Il-kostruzzjoni ta 'xogħlijiet ta' Delta biddlet id-Delta fit-tieni nofs tas-seklu 20. Bħalissa Rhine Water tidħol fil-baħar, jew ġo bajjiet tal-baħar preċedenti issa separati mill-baħar, f'ħames postijiet, jiġifieri f'ħalq in-Nieuwe Merwede, Nieuwe Waterway (Nieuwe Maas), Dordtse Kil, SPUI u IJSel.</v>
      </c>
    </row>
    <row r="3589" ht="15.75" customHeight="1">
      <c r="A3589" s="2" t="s">
        <v>3589</v>
      </c>
      <c r="B3589" s="2" t="str">
        <f>IFERROR(__xludf.DUMMYFUNCTION("GOOGLETRANSLATE(A3589, ""en"", ""mt"")"),"Ktieb tat-Talb Komuni")</f>
        <v>Ktieb tat-Talb Komuni</v>
      </c>
    </row>
    <row r="3590" ht="15.75" customHeight="1">
      <c r="A3590" s="2" t="s">
        <v>3590</v>
      </c>
      <c r="B3590" s="2" t="str">
        <f>IFERROR(__xludf.DUMMYFUNCTION("GOOGLETRANSLATE(A3590, ""en"", ""mt"")"),"""Ctenes"" jew ""Pjanċi tal-moxt""")</f>
        <v>"Ctenes" jew "Pjanċi tal-moxt"</v>
      </c>
    </row>
    <row r="3591" ht="15.75" customHeight="1">
      <c r="A3591" s="2" t="s">
        <v>3591</v>
      </c>
      <c r="B3591" s="2" t="str">
        <f>IFERROR(__xludf.DUMMYFUNCTION("GOOGLETRANSLATE(A3591, ""en"", ""mt"")"),"Chevrolet Bel Air")</f>
        <v>Chevrolet Bel Air</v>
      </c>
    </row>
    <row r="3592" ht="15.75" customHeight="1">
      <c r="A3592" s="2" t="s">
        <v>3592</v>
      </c>
      <c r="B3592" s="2" t="str">
        <f>IFERROR(__xludf.DUMMYFUNCTION("GOOGLETRANSLATE(A3592, ""en"", ""mt"")"),"L-invażjonijiet ta 'Bagdad, Samarkand, Urgench, Kiev, Vladimir fost oħrajn ikkawża omiċidji tal-massa, bħal meta porzjonijiet tan-Nofsinhar tal-Khuzestan ġew meqruda kompletament. Id-dixxendent tiegħu Hulagu Khan qered ħafna mill-parti tat-tramuntana tal-"&amp;"Iran u keċċa lil Bagdad għalkemm il-forzi tiegħu twaqqfu mill-Mamluks tal-Eġittu, iżda d-dixxendent ta 'Hulagu Ghazan Khan kien se jirritorna biex jegħleb lill-Mamluks Eġizzjani dritt barra mill-Levant, il-Palestina u l-Gaża. Skond ix-xogħlijiet tal-istor"&amp;"iku Persjan Rashid-al-din Hamadani, il-Mongoli qatlu aktar minn 70,000 persuna f'Merv u aktar minn 190,000 f'Nishapur. Fl-1237 Batu Khan, in-neputi ta 'Genghis Khan, nieda invażjoni f'Kievan Rus'. Matul it-tliet snin, il-Mongoli qerdu u annihilati l-iblie"&amp;"t il-kbar kollha tal-Ewropa tal-Lvant bl-eċċezzjonijiet ta 'Novgorod u Pskov.")</f>
        <v>L-invażjonijiet ta 'Bagdad, Samarkand, Urgench, Kiev, Vladimir fost oħrajn ikkawża omiċidji tal-massa, bħal meta porzjonijiet tan-Nofsinhar tal-Khuzestan ġew meqruda kompletament. Id-dixxendent tiegħu Hulagu Khan qered ħafna mill-parti tat-tramuntana tal-Iran u keċċa lil Bagdad għalkemm il-forzi tiegħu twaqqfu mill-Mamluks tal-Eġittu, iżda d-dixxendent ta 'Hulagu Ghazan Khan kien se jirritorna biex jegħleb lill-Mamluks Eġizzjani dritt barra mill-Levant, il-Palestina u l-Gaża. Skond ix-xogħlijiet tal-istoriku Persjan Rashid-al-din Hamadani, il-Mongoli qatlu aktar minn 70,000 persuna f'Merv u aktar minn 190,000 f'Nishapur. Fl-1237 Batu Khan, in-neputi ta 'Genghis Khan, nieda invażjoni f'Kievan Rus'. Matul it-tliet snin, il-Mongoli qerdu u annihilati l-ibliet il-kbar kollha tal-Ewropa tal-Lvant bl-eċċezzjonijiet ta 'Novgorod u Pskov.</v>
      </c>
    </row>
    <row r="3593" ht="15.75" customHeight="1">
      <c r="A3593" s="2" t="s">
        <v>3593</v>
      </c>
      <c r="B3593" s="2" t="str">
        <f>IFERROR(__xludf.DUMMYFUNCTION("GOOGLETRANSLATE(A3593, ""en"", ""mt"")"),"Fejn ċedew l-istazzjonijiet ewlenin tal-ABC New York fl-1953?")</f>
        <v>Fejn ċedew l-istazzjonijiet ewlenin tal-ABC New York fl-1953?</v>
      </c>
    </row>
    <row r="3594" ht="15.75" customHeight="1">
      <c r="A3594" s="2" t="s">
        <v>3594</v>
      </c>
      <c r="B3594" s="2" t="str">
        <f>IFERROR(__xludf.DUMMYFUNCTION("GOOGLETRANSLATE(A3594, ""en"", ""mt"")"),"Kemm għandha siġġu Victoria fid-Dar tar-Rappreżentanti Awstraljana?")</f>
        <v>Kemm għandha siġġu Victoria fid-Dar tar-Rappreżentanti Awstraljana?</v>
      </c>
    </row>
    <row r="3595" ht="15.75" customHeight="1">
      <c r="A3595" s="2" t="s">
        <v>3595</v>
      </c>
      <c r="B3595" s="2" t="str">
        <f>IFERROR(__xludf.DUMMYFUNCTION("GOOGLETRANSLATE(A3595, ""en"", ""mt"")"),"Gruppi estremisti vjolenti bħal al-Qaeda u t-Taliban")</f>
        <v>Gruppi estremisti vjolenti bħal al-Qaeda u t-Taliban</v>
      </c>
    </row>
    <row r="3596" ht="15.75" customHeight="1">
      <c r="A3596" s="2" t="s">
        <v>3596</v>
      </c>
      <c r="B3596" s="2" t="str">
        <f>IFERROR(__xludf.DUMMYFUNCTION("GOOGLETRANSLATE(A3596, ""en"", ""mt"")"),"Kemm kien twil imdaħħal bil-kolera?")</f>
        <v>Kemm kien twil imdaħħal bil-kolera?</v>
      </c>
    </row>
    <row r="3597" ht="15.75" customHeight="1">
      <c r="A3597" s="2" t="s">
        <v>3597</v>
      </c>
      <c r="B3597" s="2" t="str">
        <f>IFERROR(__xludf.DUMMYFUNCTION("GOOGLETRANSLATE(A3597, ""en"", ""mt"")"),"Min uża l-imperjalizmu waqt ir-regola tagħhom tal-imperu Mongoljan?")</f>
        <v>Min uża l-imperjalizmu waqt ir-regola tagħhom tal-imperu Mongoljan?</v>
      </c>
    </row>
    <row r="3598" ht="15.75" customHeight="1">
      <c r="A3598" s="2" t="s">
        <v>3598</v>
      </c>
      <c r="B3598" s="2" t="str">
        <f>IFERROR(__xludf.DUMMYFUNCTION("GOOGLETRANSLATE(A3598, ""en"", ""mt"")"),"Kemm iddum Tesla din il-pożizzjoni?")</f>
        <v>Kemm iddum Tesla din il-pożizzjoni?</v>
      </c>
    </row>
    <row r="3599" ht="15.75" customHeight="1">
      <c r="A3599" s="2" t="s">
        <v>3599</v>
      </c>
      <c r="B3599" s="2" t="str">
        <f>IFERROR(__xludf.DUMMYFUNCTION("GOOGLETRANSLATE(A3599, ""en"", ""mt"")"),"X'inhu l-limitu tal-veloċità stabbilit biex jitnaqqas il-konsum?")</f>
        <v>X'inhu l-limitu tal-veloċità stabbilit biex jitnaqqas il-konsum?</v>
      </c>
    </row>
    <row r="3600" ht="15.75" customHeight="1">
      <c r="A3600" s="2" t="s">
        <v>3600</v>
      </c>
      <c r="B3600" s="2" t="str">
        <f>IFERROR(__xludf.DUMMYFUNCTION("GOOGLETRANSLATE(A3600, ""en"", ""mt"")"),"X'kienet il-gwerra ta 'seba' snin?")</f>
        <v>X'kienet il-gwerra ta 'seba' snin?</v>
      </c>
    </row>
    <row r="3601" ht="15.75" customHeight="1">
      <c r="A3601" s="2" t="s">
        <v>3601</v>
      </c>
      <c r="B3601" s="2" t="str">
        <f>IFERROR(__xludf.DUMMYFUNCTION("GOOGLETRANSLATE(A3601, ""en"", ""mt"")"),"Metodu biex jitnaqqas il-kobor ta 'dan it-tisħin u t-tkessiħ ġie vvintat fl-1804 mill-inġinier Ingliż Arthur Woolf, li brevetta l-magna kompost tiegħu bi pressjoni għolja tas-suf fl-1805. Fil-magna kompost, fwar bi pressjoni għolja mill-bojler jespandi f'"&amp;"livell għoli Ċilindru tal-pressjoni (HP) u mbagħad jidħol f'ċilindri sussegwenti jew aktar ta 'pressjoni baxxa (LP). L-espansjoni sħiħa tal-fwar issa sseħħ f'ċilindri multipli u hekk kif inqas espansjoni sseħħ f'kull ċilindru inqas sħana tintilef mill-fwa"&amp;"r f'kull wieħed. Dan inaqqas il-kobor tat-tisħin u t-tkessiħ taċ-ċilindru, u jżid l-effiċjenza tal-magna. Billi twaqqaf l-espansjoni f'ċilindri multipli, il-varjabbiltà tat-torque tista 'titnaqqas. Biex toħroġ xogħol ugwali minn fwar bi pressjoni baxxa te"&amp;"ħtieġ volum ta 'ċilindru akbar peress li dan il-fwar jokkupa volum akbar. Għalhekk, l-imtaqqab, u ħafna drabi l-puplesija, huma miżjuda f'ċilindri ta 'pressjoni baxxa li jirriżultaw f'ċilindri akbar.")</f>
        <v>Metodu biex jitnaqqas il-kobor ta 'dan it-tisħin u t-tkessiħ ġie vvintat fl-1804 mill-inġinier Ingliż Arthur Woolf, li brevetta l-magna kompost tiegħu bi pressjoni għolja tas-suf fl-1805. Fil-magna kompost, fwar bi pressjoni għolja mill-bojler jespandi f'livell għoli Ċilindru tal-pressjoni (HP) u mbagħad jidħol f'ċilindri sussegwenti jew aktar ta 'pressjoni baxxa (LP). L-espansjoni sħiħa tal-fwar issa sseħħ f'ċilindri multipli u hekk kif inqas espansjoni sseħħ f'kull ċilindru inqas sħana tintilef mill-fwar f'kull wieħed. Dan inaqqas il-kobor tat-tisħin u t-tkessiħ taċ-ċilindru, u jżid l-effiċjenza tal-magna. Billi twaqqaf l-espansjoni f'ċilindri multipli, il-varjabbiltà tat-torque tista 'titnaqqas. Biex toħroġ xogħol ugwali minn fwar bi pressjoni baxxa teħtieġ volum ta 'ċilindru akbar peress li dan il-fwar jokkupa volum akbar. Għalhekk, l-imtaqqab, u ħafna drabi l-puplesija, huma miżjuda f'ċilindri ta 'pressjoni baxxa li jirriżultaw f'ċilindri akbar.</v>
      </c>
    </row>
    <row r="3602" ht="15.75" customHeight="1">
      <c r="A3602" s="2" t="s">
        <v>3602</v>
      </c>
      <c r="B3602" s="2" t="str">
        <f>IFERROR(__xludf.DUMMYFUNCTION("GOOGLETRANSLATE(A3602, ""en"", ""mt"")"),"teoloġija u filosofija")</f>
        <v>teoloġija u filosofija</v>
      </c>
    </row>
    <row r="3603" ht="15.75" customHeight="1">
      <c r="A3603" s="2" t="s">
        <v>3603</v>
      </c>
      <c r="B3603" s="2" t="str">
        <f>IFERROR(__xludf.DUMMYFUNCTION("GOOGLETRANSLATE(A3603, ""en"", ""mt"")"),"Slave Craton fil-Majjistral tal-Kanada")</f>
        <v>Slave Craton fil-Majjistral tal-Kanada</v>
      </c>
    </row>
    <row r="3604" ht="15.75" customHeight="1">
      <c r="A3604" s="2" t="s">
        <v>3604</v>
      </c>
      <c r="B3604" s="2" t="str">
        <f>IFERROR(__xludf.DUMMYFUNCTION("GOOGLETRANSLATE(A3604, ""en"", ""mt"")"),"Ċittadini")</f>
        <v>Ċittadini</v>
      </c>
    </row>
    <row r="3605" ht="15.75" customHeight="1">
      <c r="A3605" s="2" t="s">
        <v>3605</v>
      </c>
      <c r="B3605" s="2" t="str">
        <f>IFERROR(__xludf.DUMMYFUNCTION("GOOGLETRANSLATE(A3605, ""en"", ""mt"")"),"Shiphrah u Puah")</f>
        <v>Shiphrah u Puah</v>
      </c>
    </row>
    <row r="3606" ht="15.75" customHeight="1">
      <c r="A3606" s="2" t="s">
        <v>3606</v>
      </c>
      <c r="B3606" s="2" t="str">
        <f>IFERROR(__xludf.DUMMYFUNCTION("GOOGLETRANSLATE(A3606, ""en"", ""mt"")"),"sekwenza ta 'tipi ta' missjoni")</f>
        <v>sekwenza ta 'tipi ta' missjoni</v>
      </c>
    </row>
    <row r="3607" ht="15.75" customHeight="1">
      <c r="A3607" s="2" t="s">
        <v>3607</v>
      </c>
      <c r="B3607" s="2" t="str">
        <f>IFERROR(__xludf.DUMMYFUNCTION("GOOGLETRANSLATE(A3607, ""en"", ""mt"")"),"id-deżert ta 'Mojave")</f>
        <v>id-deżert ta 'Mojave</v>
      </c>
    </row>
    <row r="3608" ht="15.75" customHeight="1">
      <c r="A3608" s="2" t="s">
        <v>3608</v>
      </c>
      <c r="B3608" s="2" t="str">
        <f>IFERROR(__xludf.DUMMYFUNCTION("GOOGLETRANSLATE(A3608, ""en"", ""mt"")"),"traduzzjoni")</f>
        <v>traduzzjoni</v>
      </c>
    </row>
    <row r="3609" ht="15.75" customHeight="1">
      <c r="A3609" s="2" t="s">
        <v>3609</v>
      </c>
      <c r="B3609" s="2" t="str">
        <f>IFERROR(__xludf.DUMMYFUNCTION("GOOGLETRANSLATE(A3609, ""en"", ""mt"")"),"Bid-dati tal-proċess tal-qorti kriminali internazzjonali fl-2013 kemm għall-President Kenyatta kif ukoll id-Deputat President William Ruto relatati mal-elezzjoni tal-2007, il-President Amerikan Barack Obama għażel li ma jżurx il-pajjiż matul il-vjaġġ Afri"&amp;"kan tiegħu f'nofs l-2013. Aktar tard fis-sajf, Kenyatta żaret iċ-Ċina fuq stedina tal-President Xi Jinping wara waqfa fir-Russja u ma żaretx l-Istati Uniti bħala president. F’Lulju 2015 Obama żar il-Kenja, bħala l-ewwel president Amerikan li żur il-pajjiż"&amp;" waqt li kien fil-kariga.")</f>
        <v>Bid-dati tal-proċess tal-qorti kriminali internazzjonali fl-2013 kemm għall-President Kenyatta kif ukoll id-Deputat President William Ruto relatati mal-elezzjoni tal-2007, il-President Amerikan Barack Obama għażel li ma jżurx il-pajjiż matul il-vjaġġ Afrikan tiegħu f'nofs l-2013. Aktar tard fis-sajf, Kenyatta żaret iċ-Ċina fuq stedina tal-President Xi Jinping wara waqfa fir-Russja u ma żaretx l-Istati Uniti bħala president. F’Lulju 2015 Obama żar il-Kenja, bħala l-ewwel president Amerikan li żur il-pajjiż waqt li kien fil-kariga.</v>
      </c>
    </row>
    <row r="3610" ht="15.75" customHeight="1">
      <c r="A3610" s="2" t="s">
        <v>3610</v>
      </c>
      <c r="B3610" s="2" t="str">
        <f>IFERROR(__xludf.DUMMYFUNCTION("GOOGLETRANSLATE(A3610, ""en"", ""mt"")"),"Liema linja tat-tarzna l-Broncos waqqfu l-Panthers fl-ewwel drive offensiv tagħhom ta 'Super Bowl 50?")</f>
        <v>Liema linja tat-tarzna l-Broncos waqqfu l-Panthers fl-ewwel drive offensiv tagħhom ta 'Super Bowl 50?</v>
      </c>
    </row>
    <row r="3611" ht="15.75" customHeight="1">
      <c r="A3611" s="2" t="s">
        <v>3611</v>
      </c>
      <c r="B3611" s="2" t="str">
        <f>IFERROR(__xludf.DUMMYFUNCTION("GOOGLETRANSLATE(A3611, ""en"", ""mt"")"),"Karrotti, nevew, varjetajiet ġodda ta 'lumi, brunġiel, u bettieħ, zokkor granulat ta' kwalità għolja, u qoton")</f>
        <v>Karrotti, nevew, varjetajiet ġodda ta 'lumi, brunġiel, u bettieħ, zokkor granulat ta' kwalità għolja, u qoton</v>
      </c>
    </row>
    <row r="3612" ht="15.75" customHeight="1">
      <c r="A3612" s="2" t="s">
        <v>3612</v>
      </c>
      <c r="B3612" s="2" t="str">
        <f>IFERROR(__xludf.DUMMYFUNCTION("GOOGLETRANSLATE(A3612, ""en"", ""mt"")"),"617 ft (")</f>
        <v>617 ft (</v>
      </c>
    </row>
    <row r="3613" ht="15.75" customHeight="1">
      <c r="A3613" s="2" t="s">
        <v>3613</v>
      </c>
      <c r="B3613" s="2" t="str">
        <f>IFERROR(__xludf.DUMMYFUNCTION("GOOGLETRANSLATE(A3613, ""en"", ""mt"")"),"azzjonijiet orjentati")</f>
        <v>azzjonijiet orjentati</v>
      </c>
    </row>
    <row r="3614" ht="15.75" customHeight="1">
      <c r="A3614" s="2" t="s">
        <v>3614</v>
      </c>
      <c r="B3614" s="2" t="str">
        <f>IFERROR(__xludf.DUMMYFUNCTION("GOOGLETRANSLATE(A3614, ""en"", ""mt"")"),"X'inhi biċċa oħra maħluqa minn Olivier Messiaen?")</f>
        <v>X'inhi biċċa oħra maħluqa minn Olivier Messiaen?</v>
      </c>
    </row>
    <row r="3615" ht="15.75" customHeight="1">
      <c r="A3615" s="2" t="s">
        <v>3615</v>
      </c>
      <c r="B3615" s="2" t="str">
        <f>IFERROR(__xludf.DUMMYFUNCTION("GOOGLETRANSLATE(A3615, ""en"", ""mt"")"),"Liema reġjun ivvinta l-mitralla?")</f>
        <v>Liema reġjun ivvinta l-mitralla?</v>
      </c>
    </row>
    <row r="3616" ht="15.75" customHeight="1">
      <c r="A3616" s="2" t="s">
        <v>3616</v>
      </c>
      <c r="B3616" s="2" t="str">
        <f>IFERROR(__xludf.DUMMYFUNCTION("GOOGLETRANSLATE(A3616, ""en"", ""mt"")"),"Ħafna kumpaniji tal-kostruzzjoni issa qed ipoġġu aktar enfasi fuq xiex?")</f>
        <v>Ħafna kumpaniji tal-kostruzzjoni issa qed ipoġġu aktar enfasi fuq xiex?</v>
      </c>
    </row>
    <row r="3617" ht="15.75" customHeight="1">
      <c r="A3617" s="2" t="s">
        <v>3617</v>
      </c>
      <c r="B3617" s="2" t="str">
        <f>IFERROR(__xludf.DUMMYFUNCTION("GOOGLETRANSLATE(A3617, ""en"", ""mt"")"),"2.5 miljun")</f>
        <v>2.5 miljun</v>
      </c>
    </row>
    <row r="3618" ht="15.75" customHeight="1">
      <c r="A3618" s="2" t="s">
        <v>3618</v>
      </c>
      <c r="B3618" s="2" t="str">
        <f>IFERROR(__xludf.DUMMYFUNCTION("GOOGLETRANSLATE(A3618, ""en"", ""mt"")"),"Għaliex l-ilma tar-Renu jaqa 'fil-fond fir-Rheinbrech?")</f>
        <v>Għaliex l-ilma tar-Renu jaqa 'fil-fond fir-Rheinbrech?</v>
      </c>
    </row>
    <row r="3619" ht="15.75" customHeight="1">
      <c r="A3619" s="2" t="s">
        <v>3619</v>
      </c>
      <c r="B3619" s="2" t="str">
        <f>IFERROR(__xludf.DUMMYFUNCTION("GOOGLETRANSLATE(A3619, ""en"", ""mt"")"),"distinzjoni")</f>
        <v>distinzjoni</v>
      </c>
    </row>
    <row r="3620" ht="15.75" customHeight="1">
      <c r="A3620" s="2" t="s">
        <v>3620</v>
      </c>
      <c r="B3620" s="2" t="str">
        <f>IFERROR(__xludf.DUMMYFUNCTION("GOOGLETRANSLATE(A3620, ""en"", ""mt"")"),"L-għajbien ta 'Luther")</f>
        <v>L-għajbien ta 'Luther</v>
      </c>
    </row>
    <row r="3621" ht="15.75" customHeight="1">
      <c r="A3621" s="2" t="s">
        <v>3621</v>
      </c>
      <c r="B3621" s="2" t="str">
        <f>IFERROR(__xludf.DUMMYFUNCTION("GOOGLETRANSLATE(A3621, ""en"", ""mt"")"),"jissupplimentah.")</f>
        <v>jissupplimentah.</v>
      </c>
    </row>
    <row r="3622" ht="15.75" customHeight="1">
      <c r="A3622" s="2" t="s">
        <v>3622</v>
      </c>
      <c r="B3622" s="2" t="str">
        <f>IFERROR(__xludf.DUMMYFUNCTION("GOOGLETRANSLATE(A3622, ""en"", ""mt"")"),"id-differenza fl-enerġija potenzjali")</f>
        <v>id-differenza fl-enerġija potenzjali</v>
      </c>
    </row>
    <row r="3623" ht="15.75" customHeight="1">
      <c r="A3623" s="2" t="s">
        <v>3623</v>
      </c>
      <c r="B3623" s="2" t="str">
        <f>IFERROR(__xludf.DUMMYFUNCTION("GOOGLETRANSLATE(A3623, ""en"", ""mt"")"),"skola")</f>
        <v>skola</v>
      </c>
    </row>
    <row r="3624" ht="15.75" customHeight="1">
      <c r="A3624" s="2" t="s">
        <v>3624</v>
      </c>
      <c r="B3624" s="2" t="str">
        <f>IFERROR(__xludf.DUMMYFUNCTION("GOOGLETRANSLATE(A3624, ""en"", ""mt"")"),"evidenza xjentifika")</f>
        <v>evidenza xjentifika</v>
      </c>
    </row>
    <row r="3625" ht="15.75" customHeight="1">
      <c r="A3625" s="2" t="s">
        <v>3625</v>
      </c>
      <c r="B3625" s="2" t="str">
        <f>IFERROR(__xludf.DUMMYFUNCTION("GOOGLETRANSLATE(A3625, ""en"", ""mt"")"),"Guglielmo Marconi")</f>
        <v>Guglielmo Marconi</v>
      </c>
    </row>
    <row r="3626" ht="15.75" customHeight="1">
      <c r="A3626" s="2" t="s">
        <v>3626</v>
      </c>
      <c r="B3626" s="2" t="str">
        <f>IFERROR(__xludf.DUMMYFUNCTION("GOOGLETRANSLATE(A3626, ""en"", ""mt"")"),"Xogħol relattivament żgħir huwa meħtieġ biex issuq il-pompa,")</f>
        <v>Xogħol relattivament żgħir huwa meħtieġ biex issuq il-pompa,</v>
      </c>
    </row>
    <row r="3627" ht="15.75" customHeight="1">
      <c r="A3627" s="2" t="s">
        <v>3627</v>
      </c>
      <c r="B3627" s="2" t="str">
        <f>IFERROR(__xludf.DUMMYFUNCTION("GOOGLETRANSLATE(A3627, ""en"", ""mt"")"),"Teatri tal-Paramount United (UPT)")</f>
        <v>Teatri tal-Paramount United (UPT)</v>
      </c>
    </row>
    <row r="3628" ht="15.75" customHeight="1">
      <c r="A3628" s="2" t="s">
        <v>3628</v>
      </c>
      <c r="B3628" s="2" t="str">
        <f>IFERROR(__xludf.DUMMYFUNCTION("GOOGLETRANSLATE(A3628, ""en"", ""mt"")"),"Liema pajjiż għandu l-iktar adulti illitterati fid-dinja?")</f>
        <v>Liema pajjiż għandu l-iktar adulti illitterati fid-dinja?</v>
      </c>
    </row>
    <row r="3629" ht="15.75" customHeight="1">
      <c r="A3629" s="2" t="s">
        <v>3629</v>
      </c>
      <c r="B3629" s="2" t="str">
        <f>IFERROR(__xludf.DUMMYFUNCTION("GOOGLETRANSLATE(A3629, ""en"", ""mt"")"),"Ma 'liema denominazzjoni hija affiljata l-Iskola Djoċesana għall-Bniet?")</f>
        <v>Ma 'liema denominazzjoni hija affiljata l-Iskola Djoċesana għall-Bniet?</v>
      </c>
    </row>
    <row r="3630" ht="15.75" customHeight="1">
      <c r="A3630" s="2" t="s">
        <v>3630</v>
      </c>
      <c r="B3630" s="2" t="str">
        <f>IFERROR(__xludf.DUMMYFUNCTION("GOOGLETRANSLATE(A3630, ""en"", ""mt"")"),"termodinamiku")</f>
        <v>termodinamiku</v>
      </c>
    </row>
    <row r="3631" ht="15.75" customHeight="1">
      <c r="A3631" s="2" t="s">
        <v>3631</v>
      </c>
      <c r="B3631" s="2" t="str">
        <f>IFERROR(__xludf.DUMMYFUNCTION("GOOGLETRANSLATE(A3631, ""en"", ""mt"")"),"Gwerra faqqgħet")</f>
        <v>Gwerra faqqgħet</v>
      </c>
    </row>
    <row r="3632" ht="15.75" customHeight="1">
      <c r="A3632" s="2" t="s">
        <v>3632</v>
      </c>
      <c r="B3632" s="2" t="str">
        <f>IFERROR(__xludf.DUMMYFUNCTION("GOOGLETRANSLATE(A3632, ""en"", ""mt"")"),"Santa Clara Marriott")</f>
        <v>Santa Clara Marriott</v>
      </c>
    </row>
    <row r="3633" ht="15.75" customHeight="1">
      <c r="A3633" s="2" t="s">
        <v>3633</v>
      </c>
      <c r="B3633" s="2" t="str">
        <f>IFERROR(__xludf.DUMMYFUNCTION("GOOGLETRANSLATE(A3633, ""en"", ""mt"")"),"Steam Avvanzat")</f>
        <v>Steam Avvanzat</v>
      </c>
    </row>
    <row r="3634" ht="15.75" customHeight="1">
      <c r="A3634" s="2" t="s">
        <v>3634</v>
      </c>
      <c r="B3634" s="2" t="str">
        <f>IFERROR(__xludf.DUMMYFUNCTION("GOOGLETRANSLATE(A3634, ""en"", ""mt"")"),"Ħafna klassijiet ewlenin ta 'molekuli organiċi f'organiżmi ħajjin, bħal proteini, aċidi nuklejiċi, karboidrati, u xaħmijiet, fihom ossiġnu, bħalma jagħmlu l-komposti inorganiċi ewlenin li huma kostitwenti ta' qxur ta 'annimali, snien u għadam. Il-biċċa l-"&amp;"kbira tal-massa ta 'organiżmi ħajjin hija ossiġnu peress li hija parti mill-ilma, il-kostitwent ewlieni tal-forom tal-ħajja. L-ossiġenu jintuża fir-respirazzjoni ċellulari u rilaxxat mill-fotosintesi, li juża l-enerġija tad-dawl tax-xemx biex jipproduċi o"&amp;"ssiġnu mill-ilma. Huwa reattiv kimikament wisq li jibqa 'element ħieles fl-arja mingħajr ma jerġa' jimtela mill-ġdid mill-azzjoni fotosintetika ta 'organiżmi ħajjin. Forma oħra (allotrope) ta 'ossiġnu, ożonu (o
3), tassorbi b'mod qawwi r-radjazzjoni UVB u"&amp;" konsegwentement is-saff ta 'l-ożonu ta' altitudni għolja jgħin biex jipproteġi l-bijosfera mir-radjazzjoni ultravjola, iżda huwa tniġġis viċin il-wiċċ fejn huwa prodott sekondarju ta 'smog. F'altitudnijiet ta 'orbita tad-Dinja baxxa saħansitra ogħla, huw"&amp;"a preżenti ossiġenu atomiku suffiċjenti biex jikkawża erożjoni għall-vettura spazjali.")</f>
        <v>Ħafna klassijiet ewlenin ta 'molekuli organiċi f'organiżmi ħajjin, bħal proteini, aċidi nuklejiċi, karboidrati, u xaħmijiet, fihom ossiġnu, bħalma jagħmlu l-komposti inorganiċi ewlenin li huma kostitwenti ta' qxur ta 'annimali, snien u għadam. Il-biċċa l-kbira tal-massa ta 'organiżmi ħajjin hija ossiġnu peress li hija parti mill-ilma, il-kostitwent ewlieni tal-forom tal-ħajja. L-ossiġenu jintuża fir-respirazzjoni ċellulari u rilaxxat mill-fotosintesi, li juża l-enerġija tad-dawl tax-xemx biex jipproduċi ossiġnu mill-ilma. Huwa reattiv kimikament wisq li jibqa 'element ħieles fl-arja mingħajr ma jerġa' jimtela mill-ġdid mill-azzjoni fotosintetika ta 'organiżmi ħajjin. Forma oħra (allotrope) ta 'ossiġnu, ożonu (o
3), tassorbi b'mod qawwi r-radjazzjoni UVB u konsegwentement is-saff ta 'l-ożonu ta' altitudni għolja jgħin biex jipproteġi l-bijosfera mir-radjazzjoni ultravjola, iżda huwa tniġġis viċin il-wiċċ fejn huwa prodott sekondarju ta 'smog. F'altitudnijiet ta 'orbita tad-Dinja baxxa saħansitra ogħla, huwa preżenti ossiġenu atomiku suffiċjenti biex jikkawża erożjoni għall-vettura spazjali.</v>
      </c>
    </row>
    <row r="3635" ht="15.75" customHeight="1">
      <c r="A3635" s="2" t="s">
        <v>3635</v>
      </c>
      <c r="B3635" s="2" t="str">
        <f>IFERROR(__xludf.DUMMYFUNCTION("GOOGLETRANSLATE(A3635, ""en"", ""mt"")"),"Att tal-2012")</f>
        <v>Att tal-2012</v>
      </c>
    </row>
    <row r="3636" ht="15.75" customHeight="1">
      <c r="A3636" s="2" t="s">
        <v>3636</v>
      </c>
      <c r="B3636" s="2" t="str">
        <f>IFERROR(__xludf.DUMMYFUNCTION("GOOGLETRANSLATE(A3636, ""en"", ""mt"")"),"bini, infrastruttura u industrijali")</f>
        <v>bini, infrastruttura u industrijali</v>
      </c>
    </row>
    <row r="3637" ht="15.75" customHeight="1">
      <c r="A3637" s="2" t="s">
        <v>3637</v>
      </c>
      <c r="B3637" s="2" t="str">
        <f>IFERROR(__xludf.DUMMYFUNCTION("GOOGLETRANSLATE(A3637, ""en"", ""mt"")"),"Ir-reġjun tal-Lagi l-Kbar Afrikani, li fih il-Kenja huwa parti minnu, ilu abitat mill-bnedmin mill-perjodu Paleolitiku aktar baxx. Sal-ewwel AD tal-millennju, l-espansjoni ta 'Bantu kienet waslet fiż-żona mill-Afrika tal-Punent-Ċentrali. Il-fruntieri ta '"&amp;"l-istat modern konsegwentement jinkludu s-salib tat-toroq taż-żoni tan-Niġer-Kongo, Nilo-Saħarjani u Afroasiatic tal-kontinent, li jirrappreżentaw il-biċċa l-kbira tal-gruppi etnolinguistiċi ewlenin misjuba fl-Afrika. Il-popolazzjonijiet Bantu u Nilotiċi "&amp;"flimkien jikkostitwixxu madwar 97% tar-residenti tan-nazzjon. Il-preżenza Ewropea u Għarbija fil-kosta Mombasa tmur għall-perjodu modern bikri; L-esplorazzjoni Ewropea tal-intern bdiet fis-seklu 19. L-Imperu Brittaniku stabbilixxa l-Protettorat tal-Afrika"&amp;" tal-Lvant fl-1895, li beda fl-1920 ċeda għall-kolonja tal-Kenja. Il-Kenja kisbet l-indipendenza f'Diċembru 1963. Wara referendum f'Awwissu 2010 u l-adozzjoni ta 'kostituzzjoni ġdida, il-Kenja issa hija maqsuma f'47 kontej semi-awtonomi, regolati minn gve"&amp;"rnaturi eletti.")</f>
        <v>Ir-reġjun tal-Lagi l-Kbar Afrikani, li fih il-Kenja huwa parti minnu, ilu abitat mill-bnedmin mill-perjodu Paleolitiku aktar baxx. Sal-ewwel AD tal-millennju, l-espansjoni ta 'Bantu kienet waslet fiż-żona mill-Afrika tal-Punent-Ċentrali. Il-fruntieri ta 'l-istat modern konsegwentement jinkludu s-salib tat-toroq taż-żoni tan-Niġer-Kongo, Nilo-Saħarjani u Afroasiatic tal-kontinent, li jirrappreżentaw il-biċċa l-kbira tal-gruppi etnolinguistiċi ewlenin misjuba fl-Afrika. Il-popolazzjonijiet Bantu u Nilotiċi flimkien jikkostitwixxu madwar 97% tar-residenti tan-nazzjon. Il-preżenza Ewropea u Għarbija fil-kosta Mombasa tmur għall-perjodu modern bikri; L-esplorazzjoni Ewropea tal-intern bdiet fis-seklu 19. L-Imperu Brittaniku stabbilixxa l-Protettorat tal-Afrika tal-Lvant fl-1895, li beda fl-1920 ċeda għall-kolonja tal-Kenja. Il-Kenja kisbet l-indipendenza f'Diċembru 1963. Wara referendum f'Awwissu 2010 u l-adozzjoni ta 'kostituzzjoni ġdida, il-Kenja issa hija maqsuma f'47 kontej semi-awtonomi, regolati minn gvernaturi eletti.</v>
      </c>
    </row>
    <row r="3638" ht="15.75" customHeight="1">
      <c r="A3638" s="2" t="s">
        <v>3638</v>
      </c>
      <c r="B3638" s="2" t="str">
        <f>IFERROR(__xludf.DUMMYFUNCTION("GOOGLETRANSLATE(A3638, ""en"", ""mt"")"),"Dorothy u Michael Hintze")</f>
        <v>Dorothy u Michael Hintze</v>
      </c>
    </row>
    <row r="3639" ht="15.75" customHeight="1">
      <c r="A3639" s="2" t="s">
        <v>3639</v>
      </c>
      <c r="B3639" s="2" t="str">
        <f>IFERROR(__xludf.DUMMYFUNCTION("GOOGLETRANSLATE(A3639, ""en"", ""mt"")"),"Buddiżmu Tibetan")</f>
        <v>Buddiżmu Tibetan</v>
      </c>
    </row>
    <row r="3640" ht="15.75" customHeight="1">
      <c r="A3640" s="2" t="s">
        <v>3640</v>
      </c>
      <c r="B3640" s="2" t="str">
        <f>IFERROR(__xludf.DUMMYFUNCTION("GOOGLETRANSLATE(A3640, ""en"", ""mt"")"),"William of Orange")</f>
        <v>William of Orange</v>
      </c>
    </row>
    <row r="3641" ht="15.75" customHeight="1">
      <c r="A3641" s="2" t="s">
        <v>3641</v>
      </c>
      <c r="B3641" s="2" t="str">
        <f>IFERROR(__xludf.DUMMYFUNCTION("GOOGLETRANSLATE(A3641, ""en"", ""mt"")"),"Għal xiex kien l-akronimu AAP?")</f>
        <v>Għal xiex kien l-akronimu AAP?</v>
      </c>
    </row>
    <row r="3642" ht="15.75" customHeight="1">
      <c r="A3642" s="2" t="s">
        <v>3642</v>
      </c>
      <c r="B3642" s="2" t="str">
        <f>IFERROR(__xludf.DUMMYFUNCTION("GOOGLETRANSLATE(A3642, ""en"", ""mt"")"),"Liema kumpanija kienet il-proprjetà tal-NBC fis-snin tletin?")</f>
        <v>Liema kumpanija kienet il-proprjetà tal-NBC fis-snin tletin?</v>
      </c>
    </row>
    <row r="3643" ht="15.75" customHeight="1">
      <c r="A3643" s="2" t="s">
        <v>3643</v>
      </c>
      <c r="B3643" s="2" t="str">
        <f>IFERROR(__xludf.DUMMYFUNCTION("GOOGLETRANSLATE(A3643, ""en"", ""mt"")"),"X'kien żviluppat mill-kejl ta 'Watt fuq magna tal-fwar tal-mudell?")</f>
        <v>X'kien żviluppat mill-kejl ta 'Watt fuq magna tal-fwar tal-mudell?</v>
      </c>
    </row>
    <row r="3644" ht="15.75" customHeight="1">
      <c r="A3644" s="2" t="s">
        <v>3644</v>
      </c>
      <c r="B3644" s="2" t="str">
        <f>IFERROR(__xludf.DUMMYFUNCTION("GOOGLETRANSLATE(A3644, ""en"", ""mt"")"),"Minbarra l-ilma li jirriċirkula, x'jagħmlu l-kondensaturi?")</f>
        <v>Minbarra l-ilma li jirriċirkula, x'jagħmlu l-kondensaturi?</v>
      </c>
    </row>
    <row r="3645" ht="15.75" customHeight="1">
      <c r="A3645" s="2" t="s">
        <v>3645</v>
      </c>
      <c r="B3645" s="2" t="str">
        <f>IFERROR(__xludf.DUMMYFUNCTION("GOOGLETRANSLATE(A3645, ""en"", ""mt"")"),"Il-programm Apollo rnexxielu jilħaq l-għan tiegħu ta 'Lunar Landing, minkejja l-intopp ewlieni ta' nar tal-kabina Apollo 1 tal-1967 li qatel l-ekwipaġġ kollu waqt test ta 'qabel it-tneħħija. Wara l-ewwel inżul, hardware suffiċjenti tat-titjira baqa 'għal "&amp;"disa' żbark ta 'segwitu bi pjan għall-esplorazzjoni ġeoloġika u astrofiżika lunari estiża. It-tnaqqis fil-baġit ġiegħel il-kanċellazzjoni ta 'tlieta minn dawn. Ħamsa mis-sitt missjonijiet li fadal kisbu ħatt ta 'suċċess, iżda l-inżul ta' Apollo 13 ġie evi"&amp;"tat minn splużjoni ta 'tank ta' ossiġnu fi tranżitu lejn il-qamar, li b'diżabilità tal-propulsjoni u l-appoġġ tal-ħajja tal-vettura tal-kmand. L-ekwipaġġ irritorna fid-Dinja mingħajr periklu billi uża l-modulu Lunar bħala ""dgħajsa tas-salvataġġ"" għal da"&amp;"wn il-funzjonijiet.")</f>
        <v>Il-programm Apollo rnexxielu jilħaq l-għan tiegħu ta 'Lunar Landing, minkejja l-intopp ewlieni ta' nar tal-kabina Apollo 1 tal-1967 li qatel l-ekwipaġġ kollu waqt test ta 'qabel it-tneħħija. Wara l-ewwel inżul, hardware suffiċjenti tat-titjira baqa 'għal disa' żbark ta 'segwitu bi pjan għall-esplorazzjoni ġeoloġika u astrofiżika lunari estiża. It-tnaqqis fil-baġit ġiegħel il-kanċellazzjoni ta 'tlieta minn dawn. Ħamsa mis-sitt missjonijiet li fadal kisbu ħatt ta 'suċċess, iżda l-inżul ta' Apollo 13 ġie evitat minn splużjoni ta 'tank ta' ossiġnu fi tranżitu lejn il-qamar, li b'diżabilità tal-propulsjoni u l-appoġġ tal-ħajja tal-vettura tal-kmand. L-ekwipaġġ irritorna fid-Dinja mingħajr periklu billi uża l-modulu Lunar bħala "dgħajsa tas-salvataġġ" għal dawn il-funzjonijiet.</v>
      </c>
    </row>
    <row r="3646" ht="15.75" customHeight="1">
      <c r="A3646" s="2" t="s">
        <v>3646</v>
      </c>
      <c r="B3646" s="2" t="str">
        <f>IFERROR(__xludf.DUMMYFUNCTION("GOOGLETRANSLATE(A3646, ""en"", ""mt"")"),"X'kien iffurmat biex jintroduċi bidliet li jirriflettu s-sovranità tan-nazzjon?")</f>
        <v>X'kien iffurmat biex jintroduċi bidliet li jirriflettu s-sovranità tan-nazzjon?</v>
      </c>
    </row>
    <row r="3647" ht="15.75" customHeight="1">
      <c r="A3647" s="2" t="s">
        <v>3647</v>
      </c>
      <c r="B3647" s="2" t="str">
        <f>IFERROR(__xludf.DUMMYFUNCTION("GOOGLETRANSLATE(A3647, ""en"", ""mt"")"),"Cytokine TGF-β")</f>
        <v>Cytokine TGF-β</v>
      </c>
    </row>
    <row r="3648" ht="15.75" customHeight="1">
      <c r="A3648" s="2" t="s">
        <v>3648</v>
      </c>
      <c r="B3648" s="2" t="str">
        <f>IFERROR(__xludf.DUMMYFUNCTION("GOOGLETRANSLATE(A3648, ""en"", ""mt"")"),"Dwar kemm mill-popolazzjoni Asjatika kienet Hmong?")</f>
        <v>Dwar kemm mill-popolazzjoni Asjatika kienet Hmong?</v>
      </c>
    </row>
    <row r="3649" ht="15.75" customHeight="1">
      <c r="A3649" s="2" t="s">
        <v>3649</v>
      </c>
      <c r="B3649" s="2" t="str">
        <f>IFERROR(__xludf.DUMMYFUNCTION("GOOGLETRANSLATE(A3649, ""en"", ""mt"")"),"Colts")</f>
        <v>Colts</v>
      </c>
    </row>
    <row r="3650" ht="15.75" customHeight="1">
      <c r="A3650" s="2" t="s">
        <v>3650</v>
      </c>
      <c r="B3650" s="2" t="str">
        <f>IFERROR(__xludf.DUMMYFUNCTION("GOOGLETRANSLATE(A3650, ""en"", ""mt"")"),"Stati Membri")</f>
        <v>Stati Membri</v>
      </c>
    </row>
    <row r="3651" ht="15.75" customHeight="1">
      <c r="A3651" s="2" t="s">
        <v>3651</v>
      </c>
      <c r="B3651" s="2" t="str">
        <f>IFERROR(__xludf.DUMMYFUNCTION("GOOGLETRANSLATE(A3651, ""en"", ""mt"")"),"grazzja")</f>
        <v>grazzja</v>
      </c>
    </row>
    <row r="3652" ht="15.75" customHeight="1">
      <c r="A3652" s="2" t="s">
        <v>3652</v>
      </c>
      <c r="B3652" s="2" t="str">
        <f>IFERROR(__xludf.DUMMYFUNCTION("GOOGLETRANSLATE(A3652, ""en"", ""mt"")"),"Artikolu 17 (3)")</f>
        <v>Artikolu 17 (3)</v>
      </c>
    </row>
    <row r="3653" ht="15.75" customHeight="1">
      <c r="A3653" s="2" t="s">
        <v>3653</v>
      </c>
      <c r="B3653" s="2" t="str">
        <f>IFERROR(__xludf.DUMMYFUNCTION("GOOGLETRANSLATE(A3653, ""en"", ""mt"")"),"Fuq liema tip ta 'mentoring jiffoka fuq il-knisja LDS?")</f>
        <v>Fuq liema tip ta 'mentoring jiffoka fuq il-knisja LDS?</v>
      </c>
    </row>
    <row r="3654" ht="15.75" customHeight="1">
      <c r="A3654" s="2" t="s">
        <v>3654</v>
      </c>
      <c r="B3654" s="2" t="str">
        <f>IFERROR(__xludf.DUMMYFUNCTION("GOOGLETRANSLATE(A3654, ""en"", ""mt"")"),"tarka protettiva tar-radjazzjoni")</f>
        <v>tarka protettiva tar-radjazzjoni</v>
      </c>
    </row>
    <row r="3655" ht="15.75" customHeight="1">
      <c r="A3655" s="2" t="s">
        <v>3655</v>
      </c>
      <c r="B3655" s="2" t="str">
        <f>IFERROR(__xludf.DUMMYFUNCTION("GOOGLETRANSLATE(A3655, ""en"", ""mt"")"),"X'tip ta 'hermaphrodite jipproduċi bajd u sperma fi żminijiet differenti?")</f>
        <v>X'tip ta 'hermaphrodite jipproduċi bajd u sperma fi żminijiet differenti?</v>
      </c>
    </row>
    <row r="3656" ht="15.75" customHeight="1">
      <c r="A3656" s="2" t="s">
        <v>3656</v>
      </c>
      <c r="B3656" s="2" t="str">
        <f>IFERROR(__xludf.DUMMYFUNCTION("GOOGLETRANSLATE(A3656, ""en"", ""mt"")"),"skejjel charter")</f>
        <v>skejjel charter</v>
      </c>
    </row>
    <row r="3657" ht="15.75" customHeight="1">
      <c r="A3657" s="2" t="s">
        <v>3657</v>
      </c>
      <c r="B3657" s="2" t="str">
        <f>IFERROR(__xludf.DUMMYFUNCTION("GOOGLETRANSLATE(A3657, ""en"", ""mt"")"),"Kolorazzjoni kemmxejn qawwija ""kolonjali""")</f>
        <v>Kolorazzjoni kemmxejn qawwija "kolonjali"</v>
      </c>
    </row>
    <row r="3658" ht="15.75" customHeight="1">
      <c r="A3658" s="2" t="s">
        <v>3658</v>
      </c>
      <c r="B3658" s="2" t="str">
        <f>IFERROR(__xludf.DUMMYFUNCTION("GOOGLETRANSLATE(A3658, ""en"", ""mt"")"),"Mnemiopsis Leidyi")</f>
        <v>Mnemiopsis Leidyi</v>
      </c>
    </row>
    <row r="3659" ht="15.75" customHeight="1">
      <c r="A3659" s="2" t="s">
        <v>3659</v>
      </c>
      <c r="B3659" s="2" t="str">
        <f>IFERROR(__xludf.DUMMYFUNCTION("GOOGLETRANSLATE(A3659, ""en"", ""mt"")"),"Matul l-istorja tal-edukazzjoni l-iktar forma komuni ta ’dixxiplina tal-iskola kienet il-kastig korporali. Waqt li tifel kien fl-iskola, għalliem kien mistenni li jaġixxi bħala ġenitur sostitut, bil-forom normali kollha ta ’dixxiplina tal-ġenituri miftuħa"&amp;" għalihom.")</f>
        <v>Matul l-istorja tal-edukazzjoni l-iktar forma komuni ta ’dixxiplina tal-iskola kienet il-kastig korporali. Waqt li tifel kien fl-iskola, għalliem kien mistenni li jaġixxi bħala ġenitur sostitut, bil-forom normali kollha ta ’dixxiplina tal-ġenituri miftuħa għalihom.</v>
      </c>
    </row>
    <row r="3660" ht="15.75" customHeight="1">
      <c r="A3660" s="2" t="s">
        <v>3660</v>
      </c>
      <c r="B3660" s="2" t="str">
        <f>IFERROR(__xludf.DUMMYFUNCTION("GOOGLETRANSLATE(A3660, ""en"", ""mt"")"),"Iffurmat f'Novembru 1990 mill-għaqda ugwali ta 'Sky Television u xandir bis-satellita Ingliża, BSKYB saret l-akbar kumpanija tat-televiżjoni diġitali tas-sottoskrizzjoni tar-Renju Unit. Wara l-akkwist tal-2014 tal-BSKYB ta 'Sky Italia u l-interess maġġora"&amp;"nza ta' 90.04% fis-Sky Deutschland f'Novembru 2014, il-kumpanija holding tagħha British Sky Broadcasting Group Plc biddlet isimha għal Sky Plc. L-operazzjonijiet tar-Renju Unit biddlu wkoll l-isem tal-kumpanija minn British Sky Broadcasting Limited għal S"&amp;"ky UK Limited, li għadu qed jinnegozja bħala Sky.")</f>
        <v>Iffurmat f'Novembru 1990 mill-għaqda ugwali ta 'Sky Television u xandir bis-satellita Ingliża, BSKYB saret l-akbar kumpanija tat-televiżjoni diġitali tas-sottoskrizzjoni tar-Renju Unit. Wara l-akkwist tal-2014 tal-BSKYB ta 'Sky Italia u l-interess maġġoranza ta' 90.04% fis-Sky Deutschland f'Novembru 2014, il-kumpanija holding tagħha British Sky Broadcasting Group Plc biddlet isimha għal Sky Plc. L-operazzjonijiet tar-Renju Unit biddlu wkoll l-isem tal-kumpanija minn British Sky Broadcasting Limited għal Sky UK Limited, li għadu qed jinnegozja bħala Sky.</v>
      </c>
    </row>
    <row r="3661" ht="15.75" customHeight="1">
      <c r="A3661" s="2" t="s">
        <v>3661</v>
      </c>
      <c r="B3661" s="2" t="str">
        <f>IFERROR(__xludf.DUMMYFUNCTION("GOOGLETRANSLATE(A3661, ""en"", ""mt"")"),"Liema tribujiet kienu l-biża 'Rumani li jinvadu mit-tramuntana?")</f>
        <v>Liema tribujiet kienu l-biża 'Rumani li jinvadu mit-tramuntana?</v>
      </c>
    </row>
    <row r="3662" ht="15.75" customHeight="1">
      <c r="A3662" s="2" t="s">
        <v>3662</v>
      </c>
      <c r="B3662" s="2" t="str">
        <f>IFERROR(__xludf.DUMMYFUNCTION("GOOGLETRANSLATE(A3662, ""en"", ""mt"")"),"X'jista 'jintuża biex jimmudella l-forzi tat-tensjoni?")</f>
        <v>X'jista 'jintuża biex jimmudella l-forzi tat-tensjoni?</v>
      </c>
    </row>
    <row r="3663" ht="15.75" customHeight="1">
      <c r="A3663" s="2" t="s">
        <v>3663</v>
      </c>
      <c r="B3663" s="2" t="str">
        <f>IFERROR(__xludf.DUMMYFUNCTION("GOOGLETRANSLATE(A3663, ""en"", ""mt"")"),"Negozju Maġġuri")</f>
        <v>Negozju Maġġuri</v>
      </c>
    </row>
    <row r="3664" ht="15.75" customHeight="1">
      <c r="A3664" s="2" t="s">
        <v>3664</v>
      </c>
      <c r="B3664" s="2" t="str">
        <f>IFERROR(__xludf.DUMMYFUNCTION("GOOGLETRANSLATE(A3664, ""en"", ""mt"")"),"Kull stadju tal-fotosintesi")</f>
        <v>Kull stadju tal-fotosintesi</v>
      </c>
    </row>
    <row r="3665" ht="15.75" customHeight="1">
      <c r="A3665" s="2" t="s">
        <v>3665</v>
      </c>
      <c r="B3665" s="2" t="str">
        <f>IFERROR(__xludf.DUMMYFUNCTION("GOOGLETRANSLATE(A3665, ""en"", ""mt"")"),"Is-sekli 16 u 17")</f>
        <v>Is-sekli 16 u 17</v>
      </c>
    </row>
    <row r="3666" ht="15.75" customHeight="1">
      <c r="A3666" s="2" t="s">
        <v>3666</v>
      </c>
      <c r="B3666" s="2" t="str">
        <f>IFERROR(__xludf.DUMMYFUNCTION("GOOGLETRANSLATE(A3666, ""en"", ""mt"")"),"fergħat sovrani tal-gvern")</f>
        <v>fergħat sovrani tal-gvern</v>
      </c>
    </row>
    <row r="3667" ht="15.75" customHeight="1">
      <c r="A3667" s="2" t="s">
        <v>3667</v>
      </c>
      <c r="B3667" s="2" t="str">
        <f>IFERROR(__xludf.DUMMYFUNCTION("GOOGLETRANSLATE(A3667, ""en"", ""mt"")"),"Min kien il-ħakkiem Karluk Kara-Khanid ikklassifikat hawn fuq?")</f>
        <v>Min kien il-ħakkiem Karluk Kara-Khanid ikklassifikat hawn fuq?</v>
      </c>
    </row>
    <row r="3668" ht="15.75" customHeight="1">
      <c r="A3668" s="2" t="s">
        <v>3668</v>
      </c>
      <c r="B3668" s="2" t="str">
        <f>IFERROR(__xludf.DUMMYFUNCTION("GOOGLETRANSLATE(A3668, ""en"", ""mt"")"),"Meta waslu l-Packers għal rekord ta '13 -0?")</f>
        <v>Meta waslu l-Packers għal rekord ta '13 -0?</v>
      </c>
    </row>
    <row r="3669" ht="15.75" customHeight="1">
      <c r="A3669" s="2" t="s">
        <v>3669</v>
      </c>
      <c r="B3669" s="2" t="str">
        <f>IFERROR(__xludf.DUMMYFUNCTION("GOOGLETRANSLATE(A3669, ""en"", ""mt"")"),"Minn liema pajjiżi oriġinaw in-Norveġja?")</f>
        <v>Minn liema pajjiżi oriġinaw in-Norveġja?</v>
      </c>
    </row>
    <row r="3670" ht="15.75" customHeight="1">
      <c r="A3670" s="2" t="s">
        <v>3670</v>
      </c>
      <c r="B3670" s="2" t="str">
        <f>IFERROR(__xludf.DUMMYFUNCTION("GOOGLETRANSLATE(A3670, ""en"", ""mt"")"),"Ir-rikostruzzjonijiet ""uffiċjali"" ġew rilaxxati wkoll mill-BBC fuq VHS, fuq MP3 CD-ROM, u bħala karatteristiċi speċjali fuq DVD. Il-BBC, flimkien ma 'Animation Studio Cosgrove Hall, rikostruwit l-Episodji 1 u 4 ta' l-Invażjoni (1968), bl-użu ta 'binarji"&amp;" awdjo remastered u n-noti komprensivi tal-istadju għall-iffilmjar oriġinali, għar-rilaxx tad-DVD tas-serje f'Novembru 2006. Episodji ta 'The Reign of Terror kienu animati mill-kumpanija ta' animazzjoni Theta-Sigma, b'kollaborazzjoni ma 'Big Finish, u sar"&amp;"u disponibbli għax-xiri f'Mejju 2013 permezz ta' Amazon.com. Animazzjonijiet sussegwenti magħmula fl-2013 jinkludu l-Għaxar Pjaneta, il-Ġellieda tas-Silġ u l-Moonbase.")</f>
        <v>Ir-rikostruzzjonijiet "uffiċjali" ġew rilaxxati wkoll mill-BBC fuq VHS, fuq MP3 CD-ROM, u bħala karatteristiċi speċjali fuq DVD. Il-BBC, flimkien ma 'Animation Studio Cosgrove Hall, rikostruwit l-Episodji 1 u 4 ta' l-Invażjoni (1968), bl-użu ta 'binarji awdjo remastered u n-noti komprensivi tal-istadju għall-iffilmjar oriġinali, għar-rilaxx tad-DVD tas-serje f'Novembru 2006. Episodji ta 'The Reign of Terror kienu animati mill-kumpanija ta' animazzjoni Theta-Sigma, b'kollaborazzjoni ma 'Big Finish, u saru disponibbli għax-xiri f'Mejju 2013 permezz ta' Amazon.com. Animazzjonijiet sussegwenti magħmula fl-2013 jinkludu l-Għaxar Pjaneta, il-Ġellieda tas-Silġ u l-Moonbase.</v>
      </c>
    </row>
    <row r="3671" ht="15.75" customHeight="1">
      <c r="A3671" s="2" t="s">
        <v>3671</v>
      </c>
      <c r="B3671" s="2" t="str">
        <f>IFERROR(__xludf.DUMMYFUNCTION("GOOGLETRANSLATE(A3671, ""en"", ""mt"")"),"Il-Gwerra taż-Żewġ Kapitali")</f>
        <v>Il-Gwerra taż-Żewġ Kapitali</v>
      </c>
    </row>
    <row r="3672" ht="15.75" customHeight="1">
      <c r="A3672" s="2" t="s">
        <v>3672</v>
      </c>
      <c r="B3672" s="2" t="str">
        <f>IFERROR(__xludf.DUMMYFUNCTION("GOOGLETRANSLATE(A3672, ""en"", ""mt"")"),"Madwar 9.81 metri kull sekonda")</f>
        <v>Madwar 9.81 metri kull sekonda</v>
      </c>
    </row>
    <row r="3673" ht="15.75" customHeight="1">
      <c r="A3673" s="2" t="s">
        <v>3673</v>
      </c>
      <c r="B3673" s="2" t="str">
        <f>IFERROR(__xludf.DUMMYFUNCTION("GOOGLETRANSLATE(A3673, ""en"", ""mt"")"),"Xi jfisser il-leġġenda tgħid li Genghis Khan uża biex iħassar il-post tat-twelid tal-emporer ta 'Kharezmid?")</f>
        <v>Xi jfisser il-leġġenda tgħid li Genghis Khan uża biex iħassar il-post tat-twelid tal-emporer ta 'Kharezmid?</v>
      </c>
    </row>
    <row r="3674" ht="15.75" customHeight="1">
      <c r="A3674" s="2" t="s">
        <v>3674</v>
      </c>
      <c r="B3674" s="2" t="str">
        <f>IFERROR(__xludf.DUMMYFUNCTION("GOOGLETRANSLATE(A3674, ""en"", ""mt"")"),"Kjaru Agostinjan f'Erfurt")</f>
        <v>Kjaru Agostinjan f'Erfurt</v>
      </c>
    </row>
    <row r="3675" ht="15.75" customHeight="1">
      <c r="A3675" s="2" t="s">
        <v>3675</v>
      </c>
      <c r="B3675" s="2" t="str">
        <f>IFERROR(__xludf.DUMMYFUNCTION("GOOGLETRANSLATE(A3675, ""en"", ""mt"")"),"X'jagħmlu l-karotenojdi fotosintetiċi?")</f>
        <v>X'jagħmlu l-karotenojdi fotosintetiċi?</v>
      </c>
    </row>
    <row r="3676" ht="15.75" customHeight="1">
      <c r="A3676" s="2" t="s">
        <v>3676</v>
      </c>
      <c r="B3676" s="2" t="str">
        <f>IFERROR(__xludf.DUMMYFUNCTION("GOOGLETRANSLATE(A3676, ""en"", ""mt"")"),"Missjoni għall-magħruf")</f>
        <v>Missjoni għall-magħruf</v>
      </c>
    </row>
    <row r="3677" ht="15.75" customHeight="1">
      <c r="A3677" s="2" t="s">
        <v>3677</v>
      </c>
      <c r="B3677" s="2" t="str">
        <f>IFERROR(__xludf.DUMMYFUNCTION("GOOGLETRANSLATE(A3677, ""en"", ""mt"")"),"infidili")</f>
        <v>infidili</v>
      </c>
    </row>
    <row r="3678" ht="15.75" customHeight="1">
      <c r="A3678" s="2" t="s">
        <v>3678</v>
      </c>
      <c r="B3678" s="2" t="str">
        <f>IFERROR(__xludf.DUMMYFUNCTION("GOOGLETRANSLATE(A3678, ""en"", ""mt"")"),"X'inhu l-Capitol tal-Kenja?")</f>
        <v>X'inhu l-Capitol tal-Kenja?</v>
      </c>
    </row>
    <row r="3679" ht="15.75" customHeight="1">
      <c r="A3679" s="2" t="s">
        <v>3679</v>
      </c>
      <c r="B3679" s="2" t="str">
        <f>IFERROR(__xludf.DUMMYFUNCTION("GOOGLETRANSLATE(A3679, ""en"", ""mt"")"),"turbina diga")</f>
        <v>turbina diga</v>
      </c>
    </row>
    <row r="3680" ht="15.75" customHeight="1">
      <c r="A3680" s="2" t="s">
        <v>3680</v>
      </c>
      <c r="B3680" s="2" t="str">
        <f>IFERROR(__xludf.DUMMYFUNCTION("GOOGLETRANSLATE(A3680, ""en"", ""mt"")"),"X'effett għandha l-liġi tal-Unjoni Ewropea dwar il-liġijiet tal-istati membri?")</f>
        <v>X'effett għandha l-liġi tal-Unjoni Ewropea dwar il-liġijiet tal-istati membri?</v>
      </c>
    </row>
    <row r="3681" ht="15.75" customHeight="1">
      <c r="A3681" s="2" t="s">
        <v>3681</v>
      </c>
      <c r="B3681" s="2" t="str">
        <f>IFERROR(__xludf.DUMMYFUNCTION("GOOGLETRANSLATE(A3681, ""en"", ""mt"")"),"kolloblasti")</f>
        <v>kolloblasti</v>
      </c>
    </row>
    <row r="3682" ht="15.75" customHeight="1">
      <c r="A3682" s="2" t="s">
        <v>3682</v>
      </c>
      <c r="B3682" s="2" t="str">
        <f>IFERROR(__xludf.DUMMYFUNCTION("GOOGLETRANSLATE(A3682, ""en"", ""mt"")"),"X'tip ta 'sistemi topoloġiċi jinstabu f'numri fir-Rabat?")</f>
        <v>X'tip ta 'sistemi topoloġiċi jinstabu f'numri fir-Rabat?</v>
      </c>
    </row>
    <row r="3683" ht="15.75" customHeight="1">
      <c r="A3683" s="2" t="s">
        <v>3683</v>
      </c>
      <c r="B3683" s="2" t="str">
        <f>IFERROR(__xludf.DUMMYFUNCTION("GOOGLETRANSLATE(A3683, ""en"", ""mt"")"),"Siġra tal-Irmied")</f>
        <v>Siġra tal-Irmied</v>
      </c>
    </row>
    <row r="3684" ht="15.75" customHeight="1">
      <c r="A3684" s="2" t="s">
        <v>3684</v>
      </c>
      <c r="B3684" s="2" t="str">
        <f>IFERROR(__xludf.DUMMYFUNCTION("GOOGLETRANSLATE(A3684, ""en"", ""mt"")"),"F'liema belt saret Super Bowl 50?")</f>
        <v>F'liema belt saret Super Bowl 50?</v>
      </c>
    </row>
    <row r="3685" ht="15.75" customHeight="1">
      <c r="A3685" s="2" t="s">
        <v>3685</v>
      </c>
      <c r="B3685" s="2" t="str">
        <f>IFERROR(__xludf.DUMMYFUNCTION("GOOGLETRANSLATE(A3685, ""en"", ""mt"")"),"Perjodu Jurassic")</f>
        <v>Perjodu Jurassic</v>
      </c>
    </row>
    <row r="3686" ht="15.75" customHeight="1">
      <c r="A3686" s="2" t="s">
        <v>3686</v>
      </c>
      <c r="B3686" s="2" t="str">
        <f>IFERROR(__xludf.DUMMYFUNCTION("GOOGLETRANSLATE(A3686, ""en"", ""mt"")"),"Napuljun")</f>
        <v>Napuljun</v>
      </c>
    </row>
    <row r="3687" ht="15.75" customHeight="1">
      <c r="A3687" s="2" t="s">
        <v>3687</v>
      </c>
      <c r="B3687" s="2" t="str">
        <f>IFERROR(__xludf.DUMMYFUNCTION("GOOGLETRANSLATE(A3687, ""en"", ""mt"")"),"Rijn")</f>
        <v>Rijn</v>
      </c>
    </row>
    <row r="3688" ht="15.75" customHeight="1">
      <c r="A3688" s="2" t="s">
        <v>3688</v>
      </c>
      <c r="B3688" s="2" t="str">
        <f>IFERROR(__xludf.DUMMYFUNCTION("GOOGLETRANSLATE(A3688, ""en"", ""mt"")"),"Kemm ilha rikonoxxuta l-proporzjonalità bħala wieħed mill-prinċipji ġenerali tal-liġi tal-UE?")</f>
        <v>Kemm ilha rikonoxxuta l-proporzjonalità bħala wieħed mill-prinċipji ġenerali tal-liġi tal-UE?</v>
      </c>
    </row>
    <row r="3689" ht="15.75" customHeight="1">
      <c r="A3689" s="2" t="s">
        <v>3689</v>
      </c>
      <c r="B3689" s="2" t="str">
        <f>IFERROR(__xludf.DUMMYFUNCTION("GOOGLETRANSLATE(A3689, ""en"", ""mt"")"),"Huwa possibbli li tuża mekkaniżmu bbażat fuq magna li ddur mingħajr piston bħall-magna Wankel minflok iċ-ċilindri u l-irkaptu tal-valv ta 'magna tal-fwar reċiprokanti konvenzjonali. Ħafna magni bħal dawn ġew iddisinjati, mill-ħin ta 'James Watt sal-lum, i"&amp;"żda relattivament ftit kienu fil-fatt mibnija u saħansitra inqas daħlu fil-produzzjoni tal-kwantità; Ara l-link fil-qiegħ tal-artiklu għal aktar dettalji. Il-problema ewlenija hija d-diffikultà li tissiġilla r-rotors biex tagħmilhom issikkati bil-fwar fil"&amp;"-konfront tal-ilbies u l-espansjoni termali; It-tnixxija li tirriżulta għamlithom ineffiċjenti ħafna. Nuqqas ta 'xogħol espansiv, jew kwalunkwe mezz ta' kontroll tal-qtugħ huwa wkoll problema serja b'ħafna disinni bħal dawn. [Ċitazzjoni meħtieġa]")</f>
        <v>Huwa possibbli li tuża mekkaniżmu bbażat fuq magna li ddur mingħajr piston bħall-magna Wankel minflok iċ-ċilindri u l-irkaptu tal-valv ta 'magna tal-fwar reċiprokanti konvenzjonali. Ħafna magni bħal dawn ġew iddisinjati, mill-ħin ta 'James Watt sal-lum, iżda relattivament ftit kienu fil-fatt mibnija u saħansitra inqas daħlu fil-produzzjoni tal-kwantità; Ara l-link fil-qiegħ tal-artiklu għal aktar dettalji. Il-problema ewlenija hija d-diffikultà li tissiġilla r-rotors biex tagħmilhom issikkati bil-fwar fil-konfront tal-ilbies u l-espansjoni termali; It-tnixxija li tirriżulta għamlithom ineffiċjenti ħafna. Nuqqas ta 'xogħol espansiv, jew kwalunkwe mezz ta' kontroll tal-qtugħ huwa wkoll problema serja b'ħafna disinni bħal dawn. [Ċitazzjoni meħtieġa]</v>
      </c>
    </row>
    <row r="3690" ht="15.75" customHeight="1">
      <c r="A3690" s="2" t="s">
        <v>3690</v>
      </c>
      <c r="B3690" s="2" t="str">
        <f>IFERROR(__xludf.DUMMYFUNCTION("GOOGLETRANSLATE(A3690, ""en"", ""mt"")"),"Regolamenti lokali tal-awtorità tal-bini u kodiċi ta 'prattika")</f>
        <v>Regolamenti lokali tal-awtorità tal-bini u kodiċi ta 'prattika</v>
      </c>
    </row>
    <row r="3691" ht="15.75" customHeight="1">
      <c r="A3691" s="2" t="s">
        <v>3691</v>
      </c>
      <c r="B3691" s="2" t="str">
        <f>IFERROR(__xludf.DUMMYFUNCTION("GOOGLETRANSLATE(A3691, ""en"", ""mt"")"),"kitbiet u kummenti")</f>
        <v>kitbiet u kummenti</v>
      </c>
    </row>
    <row r="3692" ht="15.75" customHeight="1">
      <c r="A3692" s="2" t="s">
        <v>3692</v>
      </c>
      <c r="B3692" s="2" t="str">
        <f>IFERROR(__xludf.DUMMYFUNCTION("GOOGLETRANSLATE(A3692, ""en"", ""mt"")"),"stat tal-moħħ")</f>
        <v>stat tal-moħħ</v>
      </c>
    </row>
    <row r="3693" ht="15.75" customHeight="1">
      <c r="A3693" s="2" t="s">
        <v>3693</v>
      </c>
      <c r="B3693" s="2" t="str">
        <f>IFERROR(__xludf.DUMMYFUNCTION("GOOGLETRANSLATE(A3693, ""en"", ""mt"")"),"Arċisqof Albrecht")</f>
        <v>Arċisqof Albrecht</v>
      </c>
    </row>
    <row r="3694" ht="15.75" customHeight="1">
      <c r="A3694" s="2" t="s">
        <v>3694</v>
      </c>
      <c r="B3694" s="2" t="str">
        <f>IFERROR(__xludf.DUMMYFUNCTION("GOOGLETRANSLATE(A3694, ""en"", ""mt"")"),"Kemm għalliema huma ġeneralment involuti meta jkunu ko-tagħlim?")</f>
        <v>Kemm għalliema huma ġeneralment involuti meta jkunu ko-tagħlim?</v>
      </c>
    </row>
    <row r="3695" ht="15.75" customHeight="1">
      <c r="A3695" s="2" t="s">
        <v>3695</v>
      </c>
      <c r="B3695" s="2" t="str">
        <f>IFERROR(__xludf.DUMMYFUNCTION("GOOGLETRANSLATE(A3695, ""en"", ""mt"")"),"Fis-6 ta 'Ottubru, 2004, ħaffer arkeoloġiku konġunt Ġappuniż-Mongoljan kixef dak li huwa maħsub li huwa l-Palazz ta' Genghis Khan fil-Mongolja rurali, li jqajjem il-possibbiltà li fil-fatt issib is-sit tad-dfin mitluf fit-tul tal-ħakkiem. Il-folklor jgħid"&amp;" li xmara ġiet iddevjata fuq il-qabar tiegħu biex tagħmilha impossibbli li tinstab (l-istess mod ta 'dfin bħar-Re Sumerjan Gilgamesh ta' Uruk u Atilla l-Hun). Rakkonti oħra jiddikjaraw li l-qabar tiegħu kien ittimbrat minn bosta żwiemel, u li s-siġar imba"&amp;"għad ġew imħawla fuq is-sit, u l-permafrost ukoll għamel il-parti tiegħu meta ħabi s-sit tad-dfin.")</f>
        <v>Fis-6 ta 'Ottubru, 2004, ħaffer arkeoloġiku konġunt Ġappuniż-Mongoljan kixef dak li huwa maħsub li huwa l-Palazz ta' Genghis Khan fil-Mongolja rurali, li jqajjem il-possibbiltà li fil-fatt issib is-sit tad-dfin mitluf fit-tul tal-ħakkiem. Il-folklor jgħid li xmara ġiet iddevjata fuq il-qabar tiegħu biex tagħmilha impossibbli li tinstab (l-istess mod ta 'dfin bħar-Re Sumerjan Gilgamesh ta' Uruk u Atilla l-Hun). Rakkonti oħra jiddikjaraw li l-qabar tiegħu kien ittimbrat minn bosta żwiemel, u li s-siġar imbagħad ġew imħawla fuq is-sit, u l-permafrost ukoll għamel il-parti tiegħu meta ħabi s-sit tad-dfin.</v>
      </c>
    </row>
    <row r="3696" ht="15.75" customHeight="1">
      <c r="A3696" s="2" t="s">
        <v>3696</v>
      </c>
      <c r="B3696" s="2" t="str">
        <f>IFERROR(__xludf.DUMMYFUNCTION("GOOGLETRANSLATE(A3696, ""en"", ""mt"")"),"F'liema kulur kien irrappreżentat id-DOT fis-sekwenza tal-ID tal-1977 ta 'ABC?")</f>
        <v>F'liema kulur kien irrappreżentat id-DOT fis-sekwenza tal-ID tal-1977 ta 'ABC?</v>
      </c>
    </row>
    <row r="3697" ht="15.75" customHeight="1">
      <c r="A3697" s="2" t="s">
        <v>3697</v>
      </c>
      <c r="B3697" s="2" t="str">
        <f>IFERROR(__xludf.DUMMYFUNCTION("GOOGLETRANSLATE(A3697, ""en"", ""mt"")"),"Peress li l-għalliema jistgħu jaffettwaw kif l-istudenti jipperċepixxu l-materjali tal-kors, instab li l-għalliema li wrew entużjażmu lejn il-materjali tal-kors u l-istudenti jistgħu jaffettwaw esperjenza ta 'tagħlim pożittiva lejn il-materjali tal-kors. "&amp;"Dwar l-evalwazzjonijiet tal-għalliema / kors, instab li l-għalliema li għandhom dispożizzjoni pożittiva lejn il-kontenut tal-kors għandhom it-tendenza li jittrasferixxu l-passjoni tagħhom lil studenti riċettivi. Dawn l-għalliema ma jgħallmux minn Rote imm"&amp;"a jippruvaw isibu invigorazzjoni ġdida għall-materjali tal-kors kuljum. Waħda mid-diffikultajiet f'dan l-approċċ hija li l-għalliema setgħu koprew ripetutament kurrikulu sakemm jibdew iħossuhom imtaqqba bis-suġġett li min-naħa tiegħu jħares l-istudenti wk"&amp;"oll. Studenti li kellhom għalliema entużjasti għandhom it-tendenza li jivvalutawhom ogħla minn għalliema li ma wrewx ħafna entużjażmu għall-materjali tal-kors.")</f>
        <v>Peress li l-għalliema jistgħu jaffettwaw kif l-istudenti jipperċepixxu l-materjali tal-kors, instab li l-għalliema li wrew entużjażmu lejn il-materjali tal-kors u l-istudenti jistgħu jaffettwaw esperjenza ta 'tagħlim pożittiva lejn il-materjali tal-kors. Dwar l-evalwazzjonijiet tal-għalliema / kors, instab li l-għalliema li għandhom dispożizzjoni pożittiva lejn il-kontenut tal-kors għandhom it-tendenza li jittrasferixxu l-passjoni tagħhom lil studenti riċettivi. Dawn l-għalliema ma jgħallmux minn Rote imma jippruvaw isibu invigorazzjoni ġdida għall-materjali tal-kors kuljum. Waħda mid-diffikultajiet f'dan l-approċċ hija li l-għalliema setgħu koprew ripetutament kurrikulu sakemm jibdew iħossuhom imtaqqba bis-suġġett li min-naħa tiegħu jħares l-istudenti wkoll. Studenti li kellhom għalliema entużjasti għandhom it-tendenza li jivvalutawhom ogħla minn għalliema li ma wrewx ħafna entużjażmu għall-materjali tal-kors.</v>
      </c>
    </row>
    <row r="3698" ht="15.75" customHeight="1">
      <c r="A3698" s="2" t="s">
        <v>3698</v>
      </c>
      <c r="B3698" s="2" t="str">
        <f>IFERROR(__xludf.DUMMYFUNCTION("GOOGLETRANSLATE(A3698, ""en"", ""mt"")"),"Il-bżonnijiet tal-bdiewa tas-sojja ntużaw biex jiġġustifikaw ħafna mill-proġetti ta 'trasport kontroversjali li bħalissa qed jiżviluppaw fl-Amażonja. L-ewwel żewġ awtostradi fetħu b'suċċess il-foresta tropikali u wasslu għal żieda fis-soluzzjoni u d-defor"&amp;"estazzjoni. Ir-rata medja ta 'deforestazzjoni annwali mill-2000 sal-2005 (22,392 km2 jew 8,646 sq mi fis-sena) kienet 18% ogħla milli fil-ħames snin ta' qabel (19,018 km2 jew 7,343 sq mi fis-sena). Għalkemm id-deforestazzjoni naqset b'mod sinifikanti fl-A"&amp;"mażonja Brażiljana bejn l-2004 u l-2014, kien hemm żieda sal-lum.")</f>
        <v>Il-bżonnijiet tal-bdiewa tas-sojja ntużaw biex jiġġustifikaw ħafna mill-proġetti ta 'trasport kontroversjali li bħalissa qed jiżviluppaw fl-Amażonja. L-ewwel żewġ awtostradi fetħu b'suċċess il-foresta tropikali u wasslu għal żieda fis-soluzzjoni u d-deforestazzjoni. Ir-rata medja ta 'deforestazzjoni annwali mill-2000 sal-2005 (22,392 km2 jew 8,646 sq mi fis-sena) kienet 18% ogħla milli fil-ħames snin ta' qabel (19,018 km2 jew 7,343 sq mi fis-sena). Għalkemm id-deforestazzjoni naqset b'mod sinifikanti fl-Amażonja Brażiljana bejn l-2004 u l-2014, kien hemm żieda sal-lum.</v>
      </c>
    </row>
    <row r="3699" ht="15.75" customHeight="1">
      <c r="A3699" s="2" t="s">
        <v>3699</v>
      </c>
      <c r="B3699" s="2" t="str">
        <f>IFERROR(__xludf.DUMMYFUNCTION("GOOGLETRANSLATE(A3699, ""en"", ""mt"")"),"Ir-ritratt tiegħu minn François Clouet kien inkluż fil-Bequest Jones tal-1882?")</f>
        <v>Ir-ritratt tiegħu minn François Clouet kien inkluż fil-Bequest Jones tal-1882?</v>
      </c>
    </row>
    <row r="3700" ht="15.75" customHeight="1">
      <c r="A3700" s="2" t="s">
        <v>3700</v>
      </c>
      <c r="B3700" s="2" t="str">
        <f>IFERROR(__xludf.DUMMYFUNCTION("GOOGLETRANSLATE(A3700, ""en"", ""mt"")"),"Parallel mar-Renu Kanalizzat")</f>
        <v>Parallel mar-Renu Kanalizzat</v>
      </c>
    </row>
    <row r="3701" ht="15.75" customHeight="1">
      <c r="A3701" s="2" t="s">
        <v>3701</v>
      </c>
      <c r="B3701" s="2" t="str">
        <f>IFERROR(__xludf.DUMMYFUNCTION("GOOGLETRANSLATE(A3701, ""en"", ""mt"")"),"Ftit qtar biss")</f>
        <v>Ftit qtar biss</v>
      </c>
    </row>
    <row r="3702" ht="15.75" customHeight="1">
      <c r="A3702" s="2" t="s">
        <v>3702</v>
      </c>
      <c r="B3702" s="2" t="str">
        <f>IFERROR(__xludf.DUMMYFUNCTION("GOOGLETRANSLATE(A3702, ""en"", ""mt"")"),"Gallerija ewlenija tal-fidda")</f>
        <v>Gallerija ewlenija tal-fidda</v>
      </c>
    </row>
    <row r="3703" ht="15.75" customHeight="1">
      <c r="A3703" s="2" t="s">
        <v>3703</v>
      </c>
      <c r="B3703" s="2" t="str">
        <f>IFERROR(__xludf.DUMMYFUNCTION("GOOGLETRANSLATE(A3703, ""en"", ""mt"")"),"1999")</f>
        <v>1999</v>
      </c>
    </row>
    <row r="3704" ht="15.75" customHeight="1">
      <c r="A3704" s="2" t="s">
        <v>3704</v>
      </c>
      <c r="B3704" s="2" t="str">
        <f>IFERROR(__xludf.DUMMYFUNCTION("GOOGLETRANSLATE(A3704, ""en"", ""mt"")"),"Il-missjoni G kienet miksuba fuq Apollo 11 f'Lulju 1969 minn ekwipaġġ veteran All-Gemini li jikkonsisti minn Neil Armstrong, Michael Collins u Buzz Aldrin. Armstrong u Aldrin wettqu l-ewwel inżul fil-Baħar ta 'Salvalità fl-20: 17: 40 UTC fl-20 ta' Lulju, "&amp;"1969. Huma qattgħu total ta '21 siegħa, 36 minuta fuq il-wiċċ, u qattgħu sagħtejn, 31 minuta barra l-vettura spazjali, Mixi fuq il-wiċċ, tieħu ritratti, tiġbor kampjuni ta 'materjal, u tuża strumenti xjentifiċi awtomatizzati, filwaqt li tibgħat kontinwame"&amp;"nt it-televiżjoni sewda u bajda lura lejn id-Dinja. L-astronawti rritornaw mingħajr periklu fl-24 ta 'Lulju.")</f>
        <v>Il-missjoni G kienet miksuba fuq Apollo 11 f'Lulju 1969 minn ekwipaġġ veteran All-Gemini li jikkonsisti minn Neil Armstrong, Michael Collins u Buzz Aldrin. Armstrong u Aldrin wettqu l-ewwel inżul fil-Baħar ta 'Salvalità fl-20: 17: 40 UTC fl-20 ta' Lulju, 1969. Huma qattgħu total ta '21 siegħa, 36 minuta fuq il-wiċċ, u qattgħu sagħtejn, 31 minuta barra l-vettura spazjali, Mixi fuq il-wiċċ, tieħu ritratti, tiġbor kampjuni ta 'materjal, u tuża strumenti xjentifiċi awtomatizzati, filwaqt li tibgħat kontinwament it-televiżjoni sewda u bajda lura lejn id-Dinja. L-astronawti rritornaw mingħajr periklu fl-24 ta 'Lulju.</v>
      </c>
    </row>
    <row r="3705" ht="15.75" customHeight="1">
      <c r="A3705" s="2" t="s">
        <v>3705</v>
      </c>
      <c r="B3705" s="2" t="str">
        <f>IFERROR(__xludf.DUMMYFUNCTION("GOOGLETRANSLATE(A3705, ""en"", ""mt"")"),"il-qerda ta ’Iżrael")</f>
        <v>il-qerda ta ’Iżrael</v>
      </c>
    </row>
    <row r="3706" ht="15.75" customHeight="1">
      <c r="A3706" s="2" t="s">
        <v>3706</v>
      </c>
      <c r="B3706" s="2" t="str">
        <f>IFERROR(__xludf.DUMMYFUNCTION("GOOGLETRANSLATE(A3706, ""en"", ""mt"")"),"CD8")</f>
        <v>CD8</v>
      </c>
    </row>
    <row r="3707" ht="15.75" customHeight="1">
      <c r="A3707" s="2" t="s">
        <v>3707</v>
      </c>
      <c r="B3707" s="2" t="str">
        <f>IFERROR(__xludf.DUMMYFUNCTION("GOOGLETRANSLATE(A3707, ""en"", ""mt"")"),"Meta n-nies jieħdu d-dejn, dan iwassal potenzjalment għal xiex?")</f>
        <v>Meta n-nies jieħdu d-dejn, dan iwassal potenzjalment għal xiex?</v>
      </c>
    </row>
    <row r="3708" ht="15.75" customHeight="1">
      <c r="A3708" s="2" t="s">
        <v>3708</v>
      </c>
      <c r="B3708" s="2" t="str">
        <f>IFERROR(__xludf.DUMMYFUNCTION("GOOGLETRANSLATE(A3708, ""en"", ""mt"")"),"BBC Radio 5")</f>
        <v>BBC Radio 5</v>
      </c>
    </row>
    <row r="3709" ht="15.75" customHeight="1">
      <c r="A3709" s="2" t="s">
        <v>3709</v>
      </c>
      <c r="B3709" s="2" t="str">
        <f>IFERROR(__xludf.DUMMYFUNCTION("GOOGLETRANSLATE(A3709, ""en"", ""mt"")"),"Brownlee jargumenta li xi kultant in-nies iġibu ruħhom b'liema mod biex jinstemgħu l-ħruġ tagħhom?")</f>
        <v>Brownlee jargumenta li xi kultant in-nies iġibu ruħhom b'liema mod biex jinstemgħu l-ħruġ tagħhom?</v>
      </c>
    </row>
    <row r="3710" ht="15.75" customHeight="1">
      <c r="A3710" s="2" t="s">
        <v>3710</v>
      </c>
      <c r="B3710" s="2" t="str">
        <f>IFERROR(__xludf.DUMMYFUNCTION("GOOGLETRANSLATE(A3710, ""en"", ""mt"")"),"Kważi ċ-ctenophores kollha huma predaturi - m'hemmx vegetarjani u ġeneru wieħed biss li huwa parzjalment parassitiku. Jekk l-ikel huwa abbundanti, huma jistgħu jieklu 10 darbiet il-piż tagħhom stess kuljum. Filwaqt li Beroe jipprepara prinċipalment fuq ct"&amp;"enophores oħra, speċi oħra ta 'ilma tal-wiċċ priża fuq zooplankton (annimali planktoniċi) li jvarjaw fid-daqs mill-mikroskopiku, inklużi l-molluski u l-larva tal-ħut, għal krustaċji żgħar għall-adulti bħal kopepodi, anfipods, u anke Krill. Il-membri tal-ġ"&amp;"eneru Haeckelia priża fuq il-bram u jinkorporaw in-nematokisti tal-priża tagħhom (ċelloli stinging) fit-tentakli tagħhom stess minflok il-kolloblasti. Ctenophores tqabblu ma 'brimb fil-firxa wiesgħa tagħhom ta' tekniki milli jaqbdu l-priża - uħud jiddendl"&amp;"u bla waqfien fl-ilma billi jużaw it-tentakli tagħhom bħala ""nsiġ"", uħud huma predaturi ta 'l-embush bħal brimb li jaqbżu l-melħ, u xi wħud mill-qtar li jwaħħal fl-aħħar ta' Ħajt fin, bħalma jagħmlu l-brimb Bolas. Din il-varjetà tispjega l-firxa wiesgħa"&amp;" ta 'forom tal-ġisem fi phylum bi ftit speċi. Il-lampea ""cydippid"" b'żewġ tentazzjonijiet titma 'esklussivament fuq salps, qraba mill-qrib ta' kwadri tal-baħar li jiffurmaw kolonji li jżommu f'katina kbira, u l-minorenni ta 'lampea jeħlu lilhom infushom"&amp;" bħal parassiti ma' Salps li huma kbar wisq biex jibilgħu. Membri tal-ġeneru Cydippid Pleurobrachia u l-lobate Bolinopsis ħafna drabi jilħqu densitajiet għoljin ta 'popolazzjoni fl-istess post u ħin minħabba li jispeċjalizzaw f'tipi differenti ta' priża: "&amp;"it-tentakli twal ta 'Pleubrachia jaqbdu prinċipalment għawwiema relattivament b'saħħithom bħal kopepodi adulti, filwaqt li l-bolinopsis ġeneralment jitfa' fuq iżgħar, Għawwiema aktar dgħajfa bħal rotifers u molluski u larva tal-krustaċji.")</f>
        <v>Kważi ċ-ctenophores kollha huma predaturi - m'hemmx vegetarjani u ġeneru wieħed biss li huwa parzjalment parassitiku. Jekk l-ikel huwa abbundanti, huma jistgħu jieklu 10 darbiet il-piż tagħhom stess kuljum. Filwaqt li Beroe jipprepara prinċipalment fuq ctenophores oħra, speċi oħra ta 'ilma tal-wiċċ priża fuq zooplankton (annimali planktoniċi) li jvarjaw fid-daqs mill-mikroskopiku, inklużi l-molluski u l-larva tal-ħut, għal krustaċji żgħar għall-adulti bħal kopepodi, anfipods, u anke Krill. Il-membri tal-ġeneru Haeckelia priża fuq il-bram u jinkorporaw in-nematokisti tal-priża tagħhom (ċelloli stinging) fit-tentakli tagħhom stess minflok il-kolloblasti. Ctenophores tqabblu ma 'brimb fil-firxa wiesgħa tagħhom ta' tekniki milli jaqbdu l-priża - uħud jiddendlu bla waqfien fl-ilma billi jużaw it-tentakli tagħhom bħala "nsiġ", uħud huma predaturi ta 'l-embush bħal brimb li jaqbżu l-melħ, u xi wħud mill-qtar li jwaħħal fl-aħħar ta' Ħajt fin, bħalma jagħmlu l-brimb Bolas. Din il-varjetà tispjega l-firxa wiesgħa ta 'forom tal-ġisem fi phylum bi ftit speċi. Il-lampea "cydippid" b'żewġ tentazzjonijiet titma 'esklussivament fuq salps, qraba mill-qrib ta' kwadri tal-baħar li jiffurmaw kolonji li jżommu f'katina kbira, u l-minorenni ta 'lampea jeħlu lilhom infushom bħal parassiti ma' Salps li huma kbar wisq biex jibilgħu. Membri tal-ġeneru Cydippid Pleurobrachia u l-lobate Bolinopsis ħafna drabi jilħqu densitajiet għoljin ta 'popolazzjoni fl-istess post u ħin minħabba li jispeċjalizzaw f'tipi differenti ta' priża: it-tentakli twal ta 'Pleubrachia jaqbdu prinċipalment għawwiema relattivament b'saħħithom bħal kopepodi adulti, filwaqt li l-bolinopsis ġeneralment jitfa' fuq iżgħar, Għawwiema aktar dgħajfa bħal rotifers u molluski u larva tal-krustaċji.</v>
      </c>
    </row>
    <row r="3711" ht="15.75" customHeight="1">
      <c r="A3711" s="2" t="s">
        <v>3711</v>
      </c>
      <c r="B3711" s="2" t="str">
        <f>IFERROR(__xludf.DUMMYFUNCTION("GOOGLETRANSLATE(A3711, ""en"", ""mt"")"),"L-ispeċifiċità tal-antiġen tippermetti tweġibiet li huma speċifiċi għal ċerti tipi ta 'xiex?")</f>
        <v>L-ispeċifiċità tal-antiġen tippermetti tweġibiet li huma speċifiċi għal ċerti tipi ta 'xiex?</v>
      </c>
    </row>
    <row r="3712" ht="15.75" customHeight="1">
      <c r="A3712" s="2" t="s">
        <v>3712</v>
      </c>
      <c r="B3712" s="2" t="str">
        <f>IFERROR(__xludf.DUMMYFUNCTION("GOOGLETRANSLATE(A3712, ""en"", ""mt"")"),"Liema tim kellu 244 tarzni fis-Super Bowl XXXV?")</f>
        <v>Liema tim kellu 244 tarzni fis-Super Bowl XXXV?</v>
      </c>
    </row>
    <row r="3713" ht="15.75" customHeight="1">
      <c r="A3713" s="2" t="s">
        <v>3713</v>
      </c>
      <c r="B3713" s="2" t="str">
        <f>IFERROR(__xludf.DUMMYFUNCTION("GOOGLETRANSLATE(A3713, ""en"", ""mt"")"),"X'għamlet il-brevett ta 'Tesla fl-1891?")</f>
        <v>X'għamlet il-brevett ta 'Tesla fl-1891?</v>
      </c>
    </row>
    <row r="3714" ht="15.75" customHeight="1">
      <c r="A3714" s="2" t="s">
        <v>3714</v>
      </c>
      <c r="B3714" s="2" t="str">
        <f>IFERROR(__xludf.DUMMYFUNCTION("GOOGLETRANSLATE(A3714, ""en"", ""mt"")"),"assenjawhom lill-kumpanija")</f>
        <v>assenjawhom lill-kumpanija</v>
      </c>
    </row>
    <row r="3715" ht="15.75" customHeight="1">
      <c r="A3715" s="2" t="s">
        <v>3715</v>
      </c>
      <c r="B3715" s="2" t="str">
        <f>IFERROR(__xludf.DUMMYFUNCTION("GOOGLETRANSLATE(A3715, ""en"", ""mt"")"),"27 ta 'Ġunju")</f>
        <v>27 ta 'Ġunju</v>
      </c>
    </row>
    <row r="3716" ht="15.75" customHeight="1">
      <c r="A3716" s="2" t="s">
        <v>3716</v>
      </c>
      <c r="B3716" s="2" t="str">
        <f>IFERROR(__xludf.DUMMYFUNCTION("GOOGLETRANSLATE(A3716, ""en"", ""mt"")"),"privattivi")</f>
        <v>privattivi</v>
      </c>
    </row>
    <row r="3717" ht="15.75" customHeight="1">
      <c r="A3717" s="2" t="s">
        <v>3717</v>
      </c>
      <c r="B3717" s="2" t="str">
        <f>IFERROR(__xludf.DUMMYFUNCTION("GOOGLETRANSLATE(A3717, ""en"", ""mt"")"),"X'għandu pprovda l-modulu Lunar biex jgħin id-dar Apollo 13 mingħajr periklu?")</f>
        <v>X'għandu pprovda l-modulu Lunar biex jgħin id-dar Apollo 13 mingħajr periklu?</v>
      </c>
    </row>
    <row r="3718" ht="15.75" customHeight="1">
      <c r="A3718" s="2" t="s">
        <v>3718</v>
      </c>
      <c r="B3718" s="2" t="str">
        <f>IFERROR(__xludf.DUMMYFUNCTION("GOOGLETRANSLATE(A3718, ""en"", ""mt"")"),"Kemm ismijiet ta 'bniet ta' Ghengis Khan huma magħrufa?")</f>
        <v>Kemm ismijiet ta 'bniet ta' Ghengis Khan huma magħrufa?</v>
      </c>
    </row>
    <row r="3719" ht="15.75" customHeight="1">
      <c r="A3719" s="2" t="s">
        <v>3719</v>
      </c>
      <c r="B3719" s="2" t="str">
        <f>IFERROR(__xludf.DUMMYFUNCTION("GOOGLETRANSLATE(A3719, ""en"", ""mt"")"),"bi traskuraġni")</f>
        <v>bi traskuraġni</v>
      </c>
    </row>
    <row r="3720" ht="15.75" customHeight="1">
      <c r="A3720" s="2" t="s">
        <v>3720</v>
      </c>
      <c r="B3720" s="2" t="str">
        <f>IFERROR(__xludf.DUMMYFUNCTION("GOOGLETRANSLATE(A3720, ""en"", ""mt"")"),"X'kienu l-Mohammedanism u t-Turk?")</f>
        <v>X'kienu l-Mohammedanism u t-Turk?</v>
      </c>
    </row>
    <row r="3721" ht="15.75" customHeight="1">
      <c r="A3721" s="2" t="s">
        <v>3721</v>
      </c>
      <c r="B3721" s="2" t="str">
        <f>IFERROR(__xludf.DUMMYFUNCTION("GOOGLETRANSLATE(A3721, ""en"", ""mt"")"),"il-gvern tal-unjoni")</f>
        <v>il-gvern tal-unjoni</v>
      </c>
    </row>
    <row r="3722" ht="15.75" customHeight="1">
      <c r="A3722" s="2" t="s">
        <v>3722</v>
      </c>
      <c r="B3722" s="2" t="str">
        <f>IFERROR(__xludf.DUMMYFUNCTION("GOOGLETRANSLATE(A3722, ""en"", ""mt"")"),"Phycobilisomes")</f>
        <v>Phycobilisomes</v>
      </c>
    </row>
    <row r="3723" ht="15.75" customHeight="1">
      <c r="A3723" s="2" t="s">
        <v>3723</v>
      </c>
      <c r="B3723" s="2" t="str">
        <f>IFERROR(__xludf.DUMMYFUNCTION("GOOGLETRANSLATE(A3723, ""en"", ""mt"")"),"il-kanali bażiċi")</f>
        <v>il-kanali bażiċi</v>
      </c>
    </row>
    <row r="3724" ht="15.75" customHeight="1">
      <c r="A3724" s="2" t="s">
        <v>3724</v>
      </c>
      <c r="B3724" s="2" t="str">
        <f>IFERROR(__xludf.DUMMYFUNCTION("GOOGLETRANSLATE(A3724, ""en"", ""mt"")"),"Liema gallerija ġiet iddisinjata mill-ġdid fid-disgħinijiet u aktar tard tjiebet fl-2002?")</f>
        <v>Liema gallerija ġiet iddisinjata mill-ġdid fid-disgħinijiet u aktar tard tjiebet fl-2002?</v>
      </c>
    </row>
    <row r="3725" ht="15.75" customHeight="1">
      <c r="A3725" s="2" t="s">
        <v>3725</v>
      </c>
      <c r="B3725" s="2" t="str">
        <f>IFERROR(__xludf.DUMMYFUNCTION("GOOGLETRANSLATE(A3725, ""en"", ""mt"")"),"L-ekonomista bankarju ċentrali Raghuram Rajan jargumenta li ""l-inugwaljanzi ekonomiċi sistematiċi, fl-Istati Uniti u madwar id-dinja, ħolqu 'linji ta' difetti finanzjarji profondi li għamlu kriżijiet [finanzjarji] aktar probabbli li jiġri milli fil-passa"&amp;"t"" - il-kriżi finanzjarja ta ' 2007–08 huwa l-iktar eżempju reċenti. Biex tikkumpensa għall-istaġnar u t-tnaqqis tal-poter tax-xiri, il-pressjoni politika żviluppat biex testendi kreditu aktar faċli għal dawk li jaqilgħu bi dħul aktar baxx u medju - part"&amp;"ikolarment biex jixtru djar - u kreditu aktar faċli b'mod ġenerali biex iżommu r-rati tal-qgħad baxxi. Dan ta lill-ekonomija Amerikana tendenza li tmur ""minn bużżieqa għal bużżieqa"" alimentata minn stimulazzjoni monetarja mhux sostenibbli.")</f>
        <v>L-ekonomista bankarju ċentrali Raghuram Rajan jargumenta li "l-inugwaljanzi ekonomiċi sistematiċi, fl-Istati Uniti u madwar id-dinja, ħolqu 'linji ta' difetti finanzjarji profondi li għamlu kriżijiet [finanzjarji] aktar probabbli li jiġri milli fil-passat" - il-kriżi finanzjarja ta ' 2007–08 huwa l-iktar eżempju reċenti. Biex tikkumpensa għall-istaġnar u t-tnaqqis tal-poter tax-xiri, il-pressjoni politika żviluppat biex testendi kreditu aktar faċli għal dawk li jaqilgħu bi dħul aktar baxx u medju - partikolarment biex jixtru djar - u kreditu aktar faċli b'mod ġenerali biex iżommu r-rati tal-qgħad baxxi. Dan ta lill-ekonomija Amerikana tendenza li tmur "minn bużżieqa għal bużżieqa" alimentata minn stimulazzjoni monetarja mhux sostenibbli.</v>
      </c>
    </row>
    <row r="3726" ht="15.75" customHeight="1">
      <c r="A3726" s="2" t="s">
        <v>3726</v>
      </c>
      <c r="B3726" s="2" t="str">
        <f>IFERROR(__xludf.DUMMYFUNCTION("GOOGLETRANSLATE(A3726, ""en"", ""mt"")"),"Għaliex il-librerija pubblika hija magħrufa bħala università tan-nies?")</f>
        <v>Għaliex il-librerija pubblika hija magħrufa bħala università tan-nies?</v>
      </c>
    </row>
    <row r="3727" ht="15.75" customHeight="1">
      <c r="A3727" s="2" t="s">
        <v>3727</v>
      </c>
      <c r="B3727" s="2" t="str">
        <f>IFERROR(__xludf.DUMMYFUNCTION("GOOGLETRANSLATE(A3727, ""en"", ""mt"")"),"storbjuż")</f>
        <v>storbjuż</v>
      </c>
    </row>
    <row r="3728" ht="15.75" customHeight="1">
      <c r="A3728" s="2" t="s">
        <v>3728</v>
      </c>
      <c r="B3728" s="2" t="str">
        <f>IFERROR(__xludf.DUMMYFUNCTION("GOOGLETRANSLATE(A3728, ""en"", ""mt"")"),"23 ta ’Ġunju 2005")</f>
        <v>23 ta ’Ġunju 2005</v>
      </c>
    </row>
    <row r="3729" ht="15.75" customHeight="1">
      <c r="A3729" s="2" t="s">
        <v>3729</v>
      </c>
      <c r="B3729" s="2" t="str">
        <f>IFERROR(__xludf.DUMMYFUNCTION("GOOGLETRANSLATE(A3729, ""en"", ""mt"")"),"Lombardi")</f>
        <v>Lombardi</v>
      </c>
    </row>
    <row r="3730" ht="15.75" customHeight="1">
      <c r="A3730" s="2" t="s">
        <v>3730</v>
      </c>
      <c r="B3730" s="2" t="str">
        <f>IFERROR(__xludf.DUMMYFUNCTION("GOOGLETRANSLATE(A3730, ""en"", ""mt"")"),"L-A1 (Gateshead Newcastle Western Bypass)")</f>
        <v>L-A1 (Gateshead Newcastle Western Bypass)</v>
      </c>
    </row>
    <row r="3731" ht="15.75" customHeight="1">
      <c r="A3731" s="2" t="s">
        <v>3731</v>
      </c>
      <c r="B3731" s="2" t="str">
        <f>IFERROR(__xludf.DUMMYFUNCTION("GOOGLETRANSLATE(A3731, ""en"", ""mt"")"),"Min fumbled il-ballun meta ttrattat minn Darian Stewart?")</f>
        <v>Min fumbled il-ballun meta ttrattat minn Darian Stewart?</v>
      </c>
    </row>
    <row r="3732" ht="15.75" customHeight="1">
      <c r="A3732" s="2" t="s">
        <v>3732</v>
      </c>
      <c r="B3732" s="2" t="str">
        <f>IFERROR(__xludf.DUMMYFUNCTION("GOOGLETRANSLATE(A3732, ""en"", ""mt"")"),"Ħafna skart")</f>
        <v>Ħafna skart</v>
      </c>
    </row>
    <row r="3733" ht="15.75" customHeight="1">
      <c r="A3733" s="2" t="s">
        <v>3733</v>
      </c>
      <c r="B3733" s="2" t="str">
        <f>IFERROR(__xludf.DUMMYFUNCTION("GOOGLETRANSLATE(A3733, ""en"", ""mt"")"),"Kemm rebħet il-premjijiet tat-TV BAFTA?")</f>
        <v>Kemm rebħet il-premjijiet tat-TV BAFTA?</v>
      </c>
    </row>
    <row r="3734" ht="15.75" customHeight="1">
      <c r="A3734" s="2" t="s">
        <v>3734</v>
      </c>
      <c r="B3734" s="2" t="str">
        <f>IFERROR(__xludf.DUMMYFUNCTION("GOOGLETRANSLATE(A3734, ""en"", ""mt"")"),"Meta l-BBC reġgħet ħarġet mill-ġdid l-ewwel episodju ta 'Doctor Who?")</f>
        <v>Meta l-BBC reġgħet ħarġet mill-ġdid l-ewwel episodju ta 'Doctor Who?</v>
      </c>
    </row>
    <row r="3735" ht="15.75" customHeight="1">
      <c r="A3735" s="2" t="s">
        <v>3735</v>
      </c>
      <c r="B3735" s="2" t="str">
        <f>IFERROR(__xludf.DUMMYFUNCTION("GOOGLETRANSLATE(A3735, ""en"", ""mt"")"),"AD 0–1250")</f>
        <v>AD 0–1250</v>
      </c>
    </row>
    <row r="3736" ht="15.75" customHeight="1">
      <c r="A3736" s="2" t="s">
        <v>3736</v>
      </c>
      <c r="B3736" s="2" t="str">
        <f>IFERROR(__xludf.DUMMYFUNCTION("GOOGLETRANSLATE(A3736, ""en"", ""mt"")"),"Forza nukleari.")</f>
        <v>Forza nukleari.</v>
      </c>
    </row>
    <row r="3737" ht="15.75" customHeight="1">
      <c r="A3737" s="2" t="s">
        <v>3737</v>
      </c>
      <c r="B3737" s="2" t="str">
        <f>IFERROR(__xludf.DUMMYFUNCTION("GOOGLETRANSLATE(A3737, ""en"", ""mt"")"),"Kemm hemm livelli fil-forma ta 'tagħlim Awstraljan?")</f>
        <v>Kemm hemm livelli fil-forma ta 'tagħlim Awstraljan?</v>
      </c>
    </row>
    <row r="3738" ht="15.75" customHeight="1">
      <c r="A3738" s="2" t="s">
        <v>3738</v>
      </c>
      <c r="B3738" s="2" t="str">
        <f>IFERROR(__xludf.DUMMYFUNCTION("GOOGLETRANSLATE(A3738, ""en"", ""mt"")"),"P mhix daqs np")</f>
        <v>P mhix daqs np</v>
      </c>
    </row>
    <row r="3739" ht="15.75" customHeight="1">
      <c r="A3739" s="2" t="s">
        <v>3739</v>
      </c>
      <c r="B3739" s="2" t="str">
        <f>IFERROR(__xludf.DUMMYFUNCTION("GOOGLETRANSLATE(A3739, ""en"", ""mt"")"),"Liema sena ntwera l-invażjoni oriġinarjament?")</f>
        <v>Liema sena ntwera l-invażjoni oriġinarjament?</v>
      </c>
    </row>
    <row r="3740" ht="15.75" customHeight="1">
      <c r="A3740" s="2" t="s">
        <v>3740</v>
      </c>
      <c r="B3740" s="2" t="str">
        <f>IFERROR(__xludf.DUMMYFUNCTION("GOOGLETRANSLATE(A3740, ""en"", ""mt"")"),"il-kamin tal-qfil tal-metall")</f>
        <v>il-kamin tal-qfil tal-metall</v>
      </c>
    </row>
    <row r="3741" ht="15.75" customHeight="1">
      <c r="A3741" s="2" t="s">
        <v>3741</v>
      </c>
      <c r="B3741" s="2" t="str">
        <f>IFERROR(__xludf.DUMMYFUNCTION("GOOGLETRANSLATE(A3741, ""en"", ""mt"")"),"Meta twaqqfet il-Librerija tal-Università?")</f>
        <v>Meta twaqqfet il-Librerija tal-Università?</v>
      </c>
    </row>
    <row r="3742" ht="15.75" customHeight="1">
      <c r="A3742" s="2" t="s">
        <v>3742</v>
      </c>
      <c r="B3742" s="2" t="str">
        <f>IFERROR(__xludf.DUMMYFUNCTION("GOOGLETRANSLATE(A3742, ""en"", ""mt"")"),"Liema funzjoni hija r-rwol ta 'għalliem simili għal?")</f>
        <v>Liema funzjoni hija r-rwol ta 'għalliem simili għal?</v>
      </c>
    </row>
    <row r="3743" ht="15.75" customHeight="1">
      <c r="A3743" s="2" t="s">
        <v>3743</v>
      </c>
      <c r="B3743" s="2" t="str">
        <f>IFERROR(__xludf.DUMMYFUNCTION("GOOGLETRANSLATE(A3743, ""en"", ""mt"")"),"Meta daħlet il-projbizzjoni fuq ir-reklamar tas-sigaretti għan-netwerks tat-televiżjoni?")</f>
        <v>Meta daħlet il-projbizzjoni fuq ir-reklamar tas-sigaretti għan-netwerks tat-televiżjoni?</v>
      </c>
    </row>
    <row r="3744" ht="15.75" customHeight="1">
      <c r="A3744" s="2" t="s">
        <v>3744</v>
      </c>
      <c r="B3744" s="2" t="str">
        <f>IFERROR(__xludf.DUMMYFUNCTION("GOOGLETRANSLATE(A3744, ""en"", ""mt"")"),"37.8")</f>
        <v>37.8</v>
      </c>
    </row>
    <row r="3745" ht="15.75" customHeight="1">
      <c r="A3745" s="2" t="s">
        <v>3745</v>
      </c>
      <c r="B3745" s="2" t="str">
        <f>IFERROR(__xludf.DUMMYFUNCTION("GOOGLETRANSLATE(A3745, ""en"", ""mt"")"),"Kemm nies jgħixu fiż-żona metropolitana akbar?")</f>
        <v>Kemm nies jgħixu fiż-żona metropolitana akbar?</v>
      </c>
    </row>
    <row r="3746" ht="15.75" customHeight="1">
      <c r="A3746" s="2" t="s">
        <v>3746</v>
      </c>
      <c r="B3746" s="2" t="str">
        <f>IFERROR(__xludf.DUMMYFUNCTION("GOOGLETRANSLATE(A3746, ""en"", ""mt"")"),"0.3 sa 0.6 ° C")</f>
        <v>0.3 sa 0.6 ° C</v>
      </c>
    </row>
    <row r="3747" ht="15.75" customHeight="1">
      <c r="A3747" s="2" t="s">
        <v>3747</v>
      </c>
      <c r="B3747" s="2" t="str">
        <f>IFERROR(__xludf.DUMMYFUNCTION("GOOGLETRANSLATE(A3747, ""en"", ""mt"")"),"Liema belt hija qrib statwa ewlenija ta 'Genghis Khan?")</f>
        <v>Liema belt hija qrib statwa ewlenija ta 'Genghis Khan?</v>
      </c>
    </row>
    <row r="3748" ht="15.75" customHeight="1">
      <c r="A3748" s="2" t="s">
        <v>3748</v>
      </c>
      <c r="B3748" s="2" t="str">
        <f>IFERROR(__xludf.DUMMYFUNCTION("GOOGLETRANSLATE(A3748, ""en"", ""mt"")"),"L-Università ta ’Chicago hija rregolata minn bord ta’ trustees. Il-Bord tal-Fiduċjarji jissorvelja l-iżvilupp u l-pjanijiet fit-tul tal-università u jimmaniġġja l-isforzi tal-ġbir ta 'fondi, u huwa magħmul minn 50 membru inkluż il-president tal-università"&amp;". Direttament taħt il-president hemm il-provost, erbatax-il viċi presidenti (inkluż l-uffiċjal finanzjarju kap, uffiċjal kap tal-investiment, u dekan tal-istudenti tal-università), id-diretturi tal-Laboratorju Nazzjonali Argonne u Fermilab, is-Segretarju "&amp;"tal-Università, u l-Istudenti Ombudsperson - Minn Awwissu 2009 [aġġornament], il-president tal-Bord tal-Fiduċjarji huwa Andrew Alper, u l-president tal-università huwa Robert Zimmer. F'Diċembru 2013 ġie mħabbar li d-direttur tal-Laboratorju Nazzjonali ta "&amp;"'Argonne, Eric Isaacs, se jsir provost. Isaacs ġie sostitwit bħala Provost f'Marzu 2016 minn Daniel Diermeier.")</f>
        <v>L-Università ta ’Chicago hija rregolata minn bord ta’ trustees. Il-Bord tal-Fiduċjarji jissorvelja l-iżvilupp u l-pjanijiet fit-tul tal-università u jimmaniġġja l-isforzi tal-ġbir ta 'fondi, u huwa magħmul minn 50 membru inkluż il-president tal-università. Direttament taħt il-president hemm il-provost, erbatax-il viċi presidenti (inkluż l-uffiċjal finanzjarju kap, uffiċjal kap tal-investiment, u dekan tal-istudenti tal-università), id-diretturi tal-Laboratorju Nazzjonali Argonne u Fermilab, is-Segretarju tal-Università, u l-Istudenti Ombudsperson - Minn Awwissu 2009 [aġġornament], il-president tal-Bord tal-Fiduċjarji huwa Andrew Alper, u l-president tal-università huwa Robert Zimmer. F'Diċembru 2013 ġie mħabbar li d-direttur tal-Laboratorju Nazzjonali ta 'Argonne, Eric Isaacs, se jsir provost. Isaacs ġie sostitwit bħala Provost f'Marzu 2016 minn Daniel Diermeier.</v>
      </c>
    </row>
    <row r="3749" ht="15.75" customHeight="1">
      <c r="A3749" s="2" t="s">
        <v>3749</v>
      </c>
      <c r="B3749" s="2" t="str">
        <f>IFERROR(__xludf.DUMMYFUNCTION("GOOGLETRANSLATE(A3749, ""en"", ""mt"")"),"Kif tissejjaħ il-ġelatina?")</f>
        <v>Kif tissejjaħ il-ġelatina?</v>
      </c>
    </row>
    <row r="3750" ht="15.75" customHeight="1">
      <c r="A3750" s="2" t="s">
        <v>3750</v>
      </c>
      <c r="B3750" s="2" t="str">
        <f>IFERROR(__xludf.DUMMYFUNCTION("GOOGLETRANSLATE(A3750, ""en"", ""mt"")"),"Ghazan Khan")</f>
        <v>Ghazan Khan</v>
      </c>
    </row>
    <row r="3751" ht="15.75" customHeight="1">
      <c r="A3751" s="2" t="s">
        <v>3751</v>
      </c>
      <c r="B3751" s="2" t="str">
        <f>IFERROR(__xludf.DUMMYFUNCTION("GOOGLETRANSLATE(A3751, ""en"", ""mt"")"),"Biżgħat li jiġu ttikkettjati pedofili jew hebephile")</f>
        <v>Biżgħat li jiġu ttikkettjati pedofili jew hebephile</v>
      </c>
    </row>
    <row r="3752" ht="15.75" customHeight="1">
      <c r="A3752" s="2" t="s">
        <v>3752</v>
      </c>
      <c r="B3752" s="2" t="str">
        <f>IFERROR(__xludf.DUMMYFUNCTION("GOOGLETRANSLATE(A3752, ""en"", ""mt"")"),"Liema organizzazzjoni tmexxi l-iskejjel pubbliċi fir-Rabat?")</f>
        <v>Liema organizzazzjoni tmexxi l-iskejjel pubbliċi fir-Rabat?</v>
      </c>
    </row>
    <row r="3753" ht="15.75" customHeight="1">
      <c r="A3753" s="2" t="s">
        <v>3753</v>
      </c>
      <c r="B3753" s="2" t="str">
        <f>IFERROR(__xludf.DUMMYFUNCTION("GOOGLETRANSLATE(A3753, ""en"", ""mt"")"),"Min Disney biegħ l-erba 'gazzetti li ABC ikkontrollaw?")</f>
        <v>Min Disney biegħ l-erba 'gazzetti li ABC ikkontrollaw?</v>
      </c>
    </row>
    <row r="3754" ht="15.75" customHeight="1">
      <c r="A3754" s="2" t="s">
        <v>3754</v>
      </c>
      <c r="B3754" s="2" t="str">
        <f>IFERROR(__xludf.DUMMYFUNCTION("GOOGLETRANSLATE(A3754, ""en"", ""mt"")"),"Wieħed mill-aktar oġġetti rari fil-kollezzjoni huwa l-gandlier Gloucester għoli ta '58 cm, datat għal C1110, magħmul mill-bronż gilt; B'fergħat li jgħaqqdu ħafna elaborati u kkomplikati li fihom figuri u iskrizzjonijiet żgħar, hija tour de force tal-ikkas"&amp;"tjar tal-bronż. Huwa wkoll ta 'importanza li l-Becket Casket datat C1180 biex ikun fih fdalijiet ta' San Tumas Becket, magħmul mir-ram gilt, bi xeni enameled tal-martirju tal-qaddis. Il-qofol ieħor huwa l-1351 Reichenau Crozier. Il-Burghley Nef, melħ tal-"&amp;"melħ, Franċiż, datat 1527-28, juża qoxra ta 'Nautilus biex jifforma l-buq ta' bastiment, li jistrieħ fuq id-denb ta 'sirena ta' parcelgilt, li tistrieħ fuq plinth tal-gilt eżagonali fuq sitt claw-u -Ball saqajn. Iż-żewġ arbli għandhom main u l-aqwa sails,"&amp;" u l-ġlied tat-tops tal-battalja huma magħmula mid-deheb. Dawn l-oġġetti huma murija fil-galleriji l-ġodda medjevali u tar-Rinaxximent.")</f>
        <v>Wieħed mill-aktar oġġetti rari fil-kollezzjoni huwa l-gandlier Gloucester għoli ta '58 cm, datat għal C1110, magħmul mill-bronż gilt; B'fergħat li jgħaqqdu ħafna elaborati u kkomplikati li fihom figuri u iskrizzjonijiet żgħar, hija tour de force tal-ikkastjar tal-bronż. Huwa wkoll ta 'importanza li l-Becket Casket datat C1180 biex ikun fih fdalijiet ta' San Tumas Becket, magħmul mir-ram gilt, bi xeni enameled tal-martirju tal-qaddis. Il-qofol ieħor huwa l-1351 Reichenau Crozier. Il-Burghley Nef, melħ tal-melħ, Franċiż, datat 1527-28, juża qoxra ta 'Nautilus biex jifforma l-buq ta' bastiment, li jistrieħ fuq id-denb ta 'sirena ta' parcelgilt, li tistrieħ fuq plinth tal-gilt eżagonali fuq sitt claw-u -Ball saqajn. Iż-żewġ arbli għandhom main u l-aqwa sails, u l-ġlied tat-tops tal-battalja huma magħmula mid-deheb. Dawn l-oġġetti huma murija fil-galleriji l-ġodda medjevali u tar-Rinaxximent.</v>
      </c>
    </row>
    <row r="3755" ht="15.75" customHeight="1">
      <c r="A3755" s="2" t="s">
        <v>3755</v>
      </c>
      <c r="B3755" s="2" t="str">
        <f>IFERROR(__xludf.DUMMYFUNCTION("GOOGLETRANSLATE(A3755, ""en"", ""mt"")"),"Università ta ’Wittenberg")</f>
        <v>Università ta ’Wittenberg</v>
      </c>
    </row>
    <row r="3756" ht="15.75" customHeight="1">
      <c r="A3756" s="2" t="s">
        <v>3756</v>
      </c>
      <c r="B3756" s="2" t="str">
        <f>IFERROR(__xludf.DUMMYFUNCTION("GOOGLETRANSLATE(A3756, ""en"", ""mt"")"),"Axioms tal-kumplessità tal-blum")</f>
        <v>Axioms tal-kumplessità tal-blum</v>
      </c>
    </row>
    <row r="3757" ht="15.75" customHeight="1">
      <c r="A3757" s="2" t="s">
        <v>3757</v>
      </c>
      <c r="B3757" s="2" t="str">
        <f>IFERROR(__xludf.DUMMYFUNCTION("GOOGLETRANSLATE(A3757, ""en"", ""mt"")"),"Liema kumpanija tal-kejbil neħħiet l-istazzjonijiet ABC mis-sistemi tagħha f'ċerti swieq f'April 2000?")</f>
        <v>Liema kumpanija tal-kejbil neħħiet l-istazzjonijiet ABC mis-sistemi tagħha f'ċerti swieq f'April 2000?</v>
      </c>
    </row>
    <row r="3758" ht="15.75" customHeight="1">
      <c r="A3758" s="2" t="s">
        <v>3758</v>
      </c>
      <c r="B3758" s="2" t="str">
        <f>IFERROR(__xludf.DUMMYFUNCTION("GOOGLETRANSLATE(A3758, ""en"", ""mt"")"),"Kif huma kkunsidrati l-komposti li fihom l-ossiġnu fil-kummerċ?")</f>
        <v>Kif huma kkunsidrati l-komposti li fihom l-ossiġnu fil-kummerċ?</v>
      </c>
    </row>
    <row r="3759" ht="15.75" customHeight="1">
      <c r="A3759" s="2" t="s">
        <v>3759</v>
      </c>
      <c r="B3759" s="2" t="str">
        <f>IFERROR(__xludf.DUMMYFUNCTION("GOOGLETRANSLATE(A3759, ""en"", ""mt"")"),"Radikalment antisemitiku")</f>
        <v>Radikalment antisemitiku</v>
      </c>
    </row>
    <row r="3760" ht="15.75" customHeight="1">
      <c r="A3760" s="2" t="s">
        <v>3760</v>
      </c>
      <c r="B3760" s="2" t="str">
        <f>IFERROR(__xludf.DUMMYFUNCTION("GOOGLETRANSLATE(A3760, ""en"", ""mt"")"),"Liema tliet fuħħar Brittaniku famuż huma rrappreżentati l-kollezzjoni taċ-ċeramika V&amp;A?")</f>
        <v>Liema tliet fuħħar Brittaniku famuż huma rrappreżentati l-kollezzjoni taċ-ċeramika V&amp;A?</v>
      </c>
    </row>
    <row r="3761" ht="15.75" customHeight="1">
      <c r="A3761" s="2" t="s">
        <v>3761</v>
      </c>
      <c r="B3761" s="2" t="str">
        <f>IFERROR(__xludf.DUMMYFUNCTION("GOOGLETRANSLATE(A3761, ""en"", ""mt"")"),"tirrifletti ""sfida akbar għas-sistema legali li tippermetti li jittieħdu dawk id-deċiżjonijiet")</f>
        <v>tirrifletti "sfida akbar għas-sistema legali li tippermetti li jittieħdu dawk id-deċiżjonijiet</v>
      </c>
    </row>
    <row r="3762" ht="15.75" customHeight="1">
      <c r="A3762" s="2" t="s">
        <v>3762</v>
      </c>
      <c r="B3762" s="2" t="str">
        <f>IFERROR(__xludf.DUMMYFUNCTION("GOOGLETRANSLATE(A3762, ""en"", ""mt"")"),"Meqrud b'suċċess Fort Frontenac")</f>
        <v>Meqrud b'suċċess Fort Frontenac</v>
      </c>
    </row>
    <row r="3763" ht="15.75" customHeight="1">
      <c r="A3763" s="2" t="s">
        <v>3763</v>
      </c>
      <c r="B3763" s="2" t="str">
        <f>IFERROR(__xludf.DUMMYFUNCTION("GOOGLETRANSLATE(A3763, ""en"", ""mt"")"),"li d-dinja kellha frekwenza reżonanti.")</f>
        <v>li d-dinja kellha frekwenza reżonanti.</v>
      </c>
    </row>
    <row r="3764" ht="15.75" customHeight="1">
      <c r="A3764" s="2" t="s">
        <v>3764</v>
      </c>
      <c r="B3764" s="2" t="str">
        <f>IFERROR(__xludf.DUMMYFUNCTION("GOOGLETRANSLATE(A3764, ""en"", ""mt"")"),"Università ta ’Aberdeen")</f>
        <v>Università ta ’Aberdeen</v>
      </c>
    </row>
    <row r="3765" ht="15.75" customHeight="1">
      <c r="A3765" s="2" t="s">
        <v>3765</v>
      </c>
      <c r="B3765" s="2" t="str">
        <f>IFERROR(__xludf.DUMMYFUNCTION("GOOGLETRANSLATE(A3765, ""en"", ""mt"")"),"Kemm tunnellata ta 'trab jibqa' fl-arja?")</f>
        <v>Kemm tunnellata ta 'trab jibqa' fl-arja?</v>
      </c>
    </row>
    <row r="3766" ht="15.75" customHeight="1">
      <c r="A3766" s="2" t="s">
        <v>3766</v>
      </c>
      <c r="B3766" s="2" t="str">
        <f>IFERROR(__xludf.DUMMYFUNCTION("GOOGLETRANSLATE(A3766, ""en"", ""mt"")"),"X'inhu l-pajjiż l-ieħor li r-Renu jifred l-Isvizzera?")</f>
        <v>X'inhu l-pajjiż l-ieħor li r-Renu jifred l-Isvizzera?</v>
      </c>
    </row>
    <row r="3767" ht="15.75" customHeight="1">
      <c r="A3767" s="2" t="s">
        <v>3767</v>
      </c>
      <c r="B3767" s="2" t="str">
        <f>IFERROR(__xludf.DUMMYFUNCTION("GOOGLETRANSLATE(A3767, ""en"", ""mt"")"),"mill-bogħod")</f>
        <v>mill-bogħod</v>
      </c>
    </row>
    <row r="3768" ht="15.75" customHeight="1">
      <c r="A3768" s="2" t="s">
        <v>3768</v>
      </c>
      <c r="B3768" s="2" t="str">
        <f>IFERROR(__xludf.DUMMYFUNCTION("GOOGLETRANSLATE(A3768, ""en"", ""mt"")"),"Liema parti ta 'Londra kienet id-dar ta' Sir Paul Pindar, li l-faċċata tiegħu issa tirrisjedi fil-kollezzjoni V&amp;A?")</f>
        <v>Liema parti ta 'Londra kienet id-dar ta' Sir Paul Pindar, li l-faċċata tiegħu issa tirrisjedi fil-kollezzjoni V&amp;A?</v>
      </c>
    </row>
    <row r="3769" ht="15.75" customHeight="1">
      <c r="A3769" s="2" t="s">
        <v>3769</v>
      </c>
      <c r="B3769" s="2" t="str">
        <f>IFERROR(__xludf.DUMMYFUNCTION("GOOGLETRANSLATE(A3769, ""en"", ""mt"")"),"Liema kumpanija rebħet reklam b'xejn minħabba l-konkors QuickBooks?")</f>
        <v>Liema kumpanija rebħet reklam b'xejn minħabba l-konkors QuickBooks?</v>
      </c>
    </row>
    <row r="3770" ht="15.75" customHeight="1">
      <c r="A3770" s="2" t="s">
        <v>3770</v>
      </c>
      <c r="B3770" s="2" t="str">
        <f>IFERROR(__xludf.DUMMYFUNCTION("GOOGLETRANSLATE(A3770, ""en"", ""mt"")"),"Minbarra l-pajjiżi ta 'oriġini u d-data tal-produzzjoni, kif huma kklassifikati t-tessuti?")</f>
        <v>Minbarra l-pajjiżi ta 'oriġini u d-data tal-produzzjoni, kif huma kklassifikati t-tessuti?</v>
      </c>
    </row>
    <row r="3771" ht="15.75" customHeight="1">
      <c r="A3771" s="2" t="s">
        <v>3771</v>
      </c>
      <c r="B3771" s="2" t="str">
        <f>IFERROR(__xludf.DUMMYFUNCTION("GOOGLETRANSLATE(A3771, ""en"", ""mt"")"),"X'inhu l-iktar rivali intens ta 'Harvard?")</f>
        <v>X'inhu l-iktar rivali intens ta 'Harvard?</v>
      </c>
    </row>
    <row r="3772" ht="15.75" customHeight="1">
      <c r="A3772" s="2" t="s">
        <v>3772</v>
      </c>
      <c r="B3772" s="2" t="str">
        <f>IFERROR(__xludf.DUMMYFUNCTION("GOOGLETRANSLATE(A3772, ""en"", ""mt"")"),"Liema task force tiddikjara li l-pornografija hija ta 'ħsara?")</f>
        <v>Liema task force tiddikjara li l-pornografija hija ta 'ħsara?</v>
      </c>
    </row>
    <row r="3773" ht="15.75" customHeight="1">
      <c r="A3773" s="2" t="s">
        <v>3773</v>
      </c>
      <c r="B3773" s="2" t="str">
        <f>IFERROR(__xludf.DUMMYFUNCTION("GOOGLETRANSLATE(A3773, ""en"", ""mt"")"),"Jannar 1982")</f>
        <v>Jannar 1982</v>
      </c>
    </row>
    <row r="3774" ht="15.75" customHeight="1">
      <c r="A3774" s="2" t="s">
        <v>3774</v>
      </c>
      <c r="B3774" s="2" t="str">
        <f>IFERROR(__xludf.DUMMYFUNCTION("GOOGLETRANSLATE(A3774, ""en"", ""mt"")"),"X’għamlu lilu l-investituri ta ’Tesla?")</f>
        <v>X’għamlu lilu l-investituri ta ’Tesla?</v>
      </c>
    </row>
    <row r="3775" ht="15.75" customHeight="1">
      <c r="A3775" s="2" t="s">
        <v>3775</v>
      </c>
      <c r="B3775" s="2" t="str">
        <f>IFERROR(__xludf.DUMMYFUNCTION("GOOGLETRANSLATE(A3775, ""en"", ""mt"")"),"Problemi tal-komputazzjoni")</f>
        <v>Problemi tal-komputazzjoni</v>
      </c>
    </row>
    <row r="3776" ht="15.75" customHeight="1">
      <c r="A3776" s="2" t="s">
        <v>3776</v>
      </c>
      <c r="B3776" s="2" t="str">
        <f>IFERROR(__xludf.DUMMYFUNCTION("GOOGLETRANSLATE(A3776, ""en"", ""mt"")"),"Fejn kienet Tesla bit-tama li tattendi l-klassijiet fi Praga?")</f>
        <v>Fejn kienet Tesla bit-tama li tattendi l-klassijiet fi Praga?</v>
      </c>
    </row>
    <row r="3777" ht="15.75" customHeight="1">
      <c r="A3777" s="2" t="s">
        <v>3777</v>
      </c>
      <c r="B3777" s="2" t="str">
        <f>IFERROR(__xludf.DUMMYFUNCTION("GOOGLETRANSLATE(A3777, ""en"", ""mt"")"),"L-A1")</f>
        <v>L-A1</v>
      </c>
    </row>
    <row r="3778" ht="15.75" customHeight="1">
      <c r="A3778" s="2" t="s">
        <v>3778</v>
      </c>
      <c r="B3778" s="2" t="str">
        <f>IFERROR(__xludf.DUMMYFUNCTION("GOOGLETRANSLATE(A3778, ""en"", ""mt"")"),"Drittijiet Fundamentali rikonoxxuti u protetti fil-Kostituzzjonijiet ta 'l-Istati Membri")</f>
        <v>Drittijiet Fundamentali rikonoxxuti u protetti fil-Kostituzzjonijiet ta 'l-Istati Membri</v>
      </c>
    </row>
    <row r="3779" ht="15.75" customHeight="1">
      <c r="A3779" s="2" t="s">
        <v>3779</v>
      </c>
      <c r="B3779" s="2" t="str">
        <f>IFERROR(__xludf.DUMMYFUNCTION("GOOGLETRANSLATE(A3779, ""en"", ""mt"")"),"Neckar")</f>
        <v>Neckar</v>
      </c>
    </row>
    <row r="3780" ht="15.75" customHeight="1">
      <c r="A3780" s="2" t="s">
        <v>3780</v>
      </c>
      <c r="B3780" s="2" t="str">
        <f>IFERROR(__xludf.DUMMYFUNCTION("GOOGLETRANSLATE(A3780, ""en"", ""mt"")"),"Fuq liema servizz kienu t-tfal kollha tiegħi u ħajja waħda li ngħixu mill-ġdid għal staġun wieħed?")</f>
        <v>Fuq liema servizz kienu t-tfal kollha tiegħi u ħajja waħda li ngħixu mill-ġdid għal staġun wieħed?</v>
      </c>
    </row>
    <row r="3781" ht="15.75" customHeight="1">
      <c r="A3781" s="2" t="s">
        <v>3781</v>
      </c>
      <c r="B3781" s="2" t="str">
        <f>IFERROR(__xludf.DUMMYFUNCTION("GOOGLETRANSLATE(A3781, ""en"", ""mt"")"),"Liema netwerk ixandar il-logħba bl-Ispanjol?")</f>
        <v>Liema netwerk ixandar il-logħba bl-Ispanjol?</v>
      </c>
    </row>
    <row r="3782" ht="15.75" customHeight="1">
      <c r="A3782" s="2" t="s">
        <v>3782</v>
      </c>
      <c r="B3782" s="2" t="str">
        <f>IFERROR(__xludf.DUMMYFUNCTION("GOOGLETRANSLATE(A3782, ""en"", ""mt"")"),"Mongke Khan meta sar Khan kbir?")</f>
        <v>Mongke Khan meta sar Khan kbir?</v>
      </c>
    </row>
    <row r="3783" ht="15.75" customHeight="1">
      <c r="A3783" s="2" t="s">
        <v>3783</v>
      </c>
      <c r="B3783" s="2" t="str">
        <f>IFERROR(__xludf.DUMMYFUNCTION("GOOGLETRANSLATE(A3783, ""en"", ""mt"")"),"Marconi")</f>
        <v>Marconi</v>
      </c>
    </row>
    <row r="3784" ht="15.75" customHeight="1">
      <c r="A3784" s="2" t="s">
        <v>3784</v>
      </c>
      <c r="B3784" s="2" t="str">
        <f>IFERROR(__xludf.DUMMYFUNCTION("GOOGLETRANSLATE(A3784, ""en"", ""mt"")"),"Ġeneral Maġġur Louis-Joseph de Montcalm")</f>
        <v>Ġeneral Maġġur Louis-Joseph de Montcalm</v>
      </c>
    </row>
    <row r="3785" ht="15.75" customHeight="1">
      <c r="A3785" s="2" t="s">
        <v>3785</v>
      </c>
      <c r="B3785" s="2" t="str">
        <f>IFERROR(__xludf.DUMMYFUNCTION("GOOGLETRANSLATE(A3785, ""en"", ""mt"")"),"Effettiv")</f>
        <v>Effettiv</v>
      </c>
    </row>
    <row r="3786" ht="15.75" customHeight="1">
      <c r="A3786" s="2" t="s">
        <v>3786</v>
      </c>
      <c r="B3786" s="2" t="str">
        <f>IFERROR(__xludf.DUMMYFUNCTION("GOOGLETRANSLATE(A3786, ""en"", ""mt"")"),"Liema servizz ta 'ABC tnieda f'Mejju 2013?")</f>
        <v>Liema servizz ta 'ABC tnieda f'Mejju 2013?</v>
      </c>
    </row>
    <row r="3787" ht="15.75" customHeight="1">
      <c r="A3787" s="2" t="s">
        <v>3787</v>
      </c>
      <c r="B3787" s="2" t="str">
        <f>IFERROR(__xludf.DUMMYFUNCTION("GOOGLETRANSLATE(A3787, ""en"", ""mt"")"),"individwalment, xi kultant jirriżultaw fi mogħdijiet differenti u kunsinna barra mill-ordni")</f>
        <v>individwalment, xi kultant jirriżultaw fi mogħdijiet differenti u kunsinna barra mill-ordni</v>
      </c>
    </row>
    <row r="3788" ht="15.75" customHeight="1">
      <c r="A3788" s="2" t="s">
        <v>3788</v>
      </c>
      <c r="B3788" s="2" t="str">
        <f>IFERROR(__xludf.DUMMYFUNCTION("GOOGLETRANSLATE(A3788, ""en"", ""mt"")"),"X’qal Luther lill-legat dwar il-papat?")</f>
        <v>X’qal Luther lill-legat dwar il-papat?</v>
      </c>
    </row>
    <row r="3789" ht="15.75" customHeight="1">
      <c r="A3789" s="2" t="s">
        <v>3789</v>
      </c>
      <c r="B3789" s="2" t="str">
        <f>IFERROR(__xludf.DUMMYFUNCTION("GOOGLETRANSLATE(A3789, ""en"", ""mt"")"),"Evita l- ""inkonvenjent"" li żżur tabib jew li tikseb mediċini li t-tobba tagħhom ma riedux jippreskrivu")</f>
        <v>Evita l- "inkonvenjent" li żżur tabib jew li tikseb mediċini li t-tobba tagħhom ma riedux jippreskrivu</v>
      </c>
    </row>
    <row r="3790" ht="15.75" customHeight="1">
      <c r="A3790" s="2" t="s">
        <v>3790</v>
      </c>
      <c r="B3790" s="2" t="str">
        <f>IFERROR(__xludf.DUMMYFUNCTION("GOOGLETRANSLATE(A3790, ""en"", ""mt"")"),"Liupanshan")</f>
        <v>Liupanshan</v>
      </c>
    </row>
    <row r="3791" ht="15.75" customHeight="1">
      <c r="A3791" s="2" t="s">
        <v>3791</v>
      </c>
      <c r="B3791" s="2" t="str">
        <f>IFERROR(__xludf.DUMMYFUNCTION("GOOGLETRANSLATE(A3791, ""en"", ""mt"")"),"parti tard")</f>
        <v>parti tard</v>
      </c>
    </row>
    <row r="3792" ht="15.75" customHeight="1">
      <c r="A3792" s="2" t="s">
        <v>3792</v>
      </c>
      <c r="B3792" s="2" t="str">
        <f>IFERROR(__xludf.DUMMYFUNCTION("GOOGLETRANSLATE(A3792, ""en"", ""mt"")"),"1926")</f>
        <v>1926</v>
      </c>
    </row>
    <row r="3793" ht="15.75" customHeight="1">
      <c r="A3793" s="2" t="s">
        <v>3793</v>
      </c>
      <c r="B3793" s="2" t="str">
        <f>IFERROR(__xludf.DUMMYFUNCTION("GOOGLETRANSLATE(A3793, ""en"", ""mt"")"),"Irbaħ il-ħelsien u evita l-ħabs")</f>
        <v>Irbaħ il-ħelsien u evita l-ħabs</v>
      </c>
    </row>
    <row r="3794" ht="15.75" customHeight="1">
      <c r="A3794" s="2" t="s">
        <v>3794</v>
      </c>
      <c r="B3794" s="2" t="str">
        <f>IFERROR(__xludf.DUMMYFUNCTION("GOOGLETRANSLATE(A3794, ""en"", ""mt"")"),"Wenzong")</f>
        <v>Wenzong</v>
      </c>
    </row>
    <row r="3795" ht="15.75" customHeight="1">
      <c r="A3795" s="2" t="s">
        <v>3795</v>
      </c>
      <c r="B3795" s="2" t="str">
        <f>IFERROR(__xludf.DUMMYFUNCTION("GOOGLETRANSLATE(A3795, ""en"", ""mt"")"),"tropikali niedja")</f>
        <v>tropikali niedja</v>
      </c>
    </row>
    <row r="3796" ht="15.75" customHeight="1">
      <c r="A3796" s="2" t="s">
        <v>3796</v>
      </c>
      <c r="B3796" s="2" t="str">
        <f>IFERROR(__xludf.DUMMYFUNCTION("GOOGLETRANSLATE(A3796, ""en"", ""mt"")"),"40,000")</f>
        <v>40,000</v>
      </c>
    </row>
    <row r="3797" ht="15.75" customHeight="1">
      <c r="A3797" s="2" t="s">
        <v>3797</v>
      </c>
      <c r="B3797" s="2" t="str">
        <f>IFERROR(__xludf.DUMMYFUNCTION("GOOGLETRANSLATE(A3797, ""en"", ""mt"")"),"1893")</f>
        <v>1893</v>
      </c>
    </row>
    <row r="3798" ht="15.75" customHeight="1">
      <c r="A3798" s="2" t="s">
        <v>3798</v>
      </c>
      <c r="B3798" s="2" t="str">
        <f>IFERROR(__xludf.DUMMYFUNCTION("GOOGLETRANSLATE(A3798, ""en"", ""mt"")"),"Meta ġie ppubblikat it-tielet rapport ta 'valutazzjoni?")</f>
        <v>Meta ġie ppubblikat it-tielet rapport ta 'valutazzjoni?</v>
      </c>
    </row>
    <row r="3799" ht="15.75" customHeight="1">
      <c r="A3799" s="2" t="s">
        <v>3799</v>
      </c>
      <c r="B3799" s="2" t="str">
        <f>IFERROR(__xludf.DUMMYFUNCTION("GOOGLETRANSLATE(A3799, ""en"", ""mt"")"),"biex ifakkar lit-tabib tad- ""dmir morali"" tiegħu")</f>
        <v>biex ifakkar lit-tabib tad- "dmir morali" tiegħu</v>
      </c>
    </row>
    <row r="3800" ht="15.75" customHeight="1">
      <c r="A3800" s="2" t="s">
        <v>3800</v>
      </c>
      <c r="B3800" s="2" t="str">
        <f>IFERROR(__xludf.DUMMYFUNCTION("GOOGLETRANSLATE(A3800, ""en"", ""mt"")"),"Liema sena indika Thompsons Mt Kenya?")</f>
        <v>Liema sena indika Thompsons Mt Kenya?</v>
      </c>
    </row>
    <row r="3801" ht="15.75" customHeight="1">
      <c r="A3801" s="2" t="s">
        <v>3801</v>
      </c>
      <c r="B3801" s="2" t="str">
        <f>IFERROR(__xludf.DUMMYFUNCTION("GOOGLETRANSLATE(A3801, ""en"", ""mt"")"),"Pubblikazzjonijiet bil-lingwa Ġermaniża")</f>
        <v>Pubblikazzjonijiet bil-lingwa Ġermaniża</v>
      </c>
    </row>
    <row r="3802" ht="15.75" customHeight="1">
      <c r="A3802" s="2" t="s">
        <v>3802</v>
      </c>
      <c r="B3802" s="2" t="str">
        <f>IFERROR(__xludf.DUMMYFUNCTION("GOOGLETRANSLATE(A3802, ""en"", ""mt"")"),"X'kienu suppost dawn l-indulġenzi li jagħtu lil min jagħti?")</f>
        <v>X'kienu suppost dawn l-indulġenzi li jagħtu lil min jagħti?</v>
      </c>
    </row>
    <row r="3803" ht="15.75" customHeight="1">
      <c r="A3803" s="2" t="s">
        <v>3803</v>
      </c>
      <c r="B3803" s="2" t="str">
        <f>IFERROR(__xludf.DUMMYFUNCTION("GOOGLETRANSLATE(A3803, ""en"", ""mt"")"),"Stratigrafiku")</f>
        <v>Stratigrafiku</v>
      </c>
    </row>
    <row r="3804" ht="15.75" customHeight="1">
      <c r="A3804" s="2" t="s">
        <v>3804</v>
      </c>
      <c r="B3804" s="2" t="str">
        <f>IFERROR(__xludf.DUMMYFUNCTION("GOOGLETRANSLATE(A3804, ""en"", ""mt"")"),"Min kien influwenti fil-promozzjoni tal-użu ta 'komposti kimiċi bħala mediċini?")</f>
        <v>Min kien influwenti fil-promozzjoni tal-użu ta 'komposti kimiċi bħala mediċini?</v>
      </c>
    </row>
    <row r="3805" ht="15.75" customHeight="1">
      <c r="A3805" s="2" t="s">
        <v>3805</v>
      </c>
      <c r="B3805" s="2" t="str">
        <f>IFERROR(__xludf.DUMMYFUNCTION("GOOGLETRANSLATE(A3805, ""en"", ""mt"")"),"Liema sitcom temm il-ġirja tax-xandir tagħha għal ABC fl-1983?")</f>
        <v>Liema sitcom temm il-ġirja tax-xandir tagħha għal ABC fl-1983?</v>
      </c>
    </row>
    <row r="3806" ht="15.75" customHeight="1">
      <c r="A3806" s="2" t="s">
        <v>3806</v>
      </c>
      <c r="B3806" s="2" t="str">
        <f>IFERROR(__xludf.DUMMYFUNCTION("GOOGLETRANSLATE(A3806, ""en"", ""mt"")"),"420,000")</f>
        <v>420,000</v>
      </c>
    </row>
    <row r="3807" ht="15.75" customHeight="1">
      <c r="A3807" s="2" t="s">
        <v>3807</v>
      </c>
      <c r="B3807" s="2" t="str">
        <f>IFERROR(__xludf.DUMMYFUNCTION("GOOGLETRANSLATE(A3807, ""en"", ""mt"")"),"X'inhu akkużat talli kkawża l-qatra qawwija fil-qabdiet tal-ħut fil-Baħar l-Iswed u fil-Baħar ta 'Azov?")</f>
        <v>X'inhu akkużat talli kkawża l-qatra qawwija fil-qabdiet tal-ħut fil-Baħar l-Iswed u fil-Baħar ta 'Azov?</v>
      </c>
    </row>
    <row r="3808" ht="15.75" customHeight="1">
      <c r="A3808" s="2" t="s">
        <v>3808</v>
      </c>
      <c r="B3808" s="2" t="str">
        <f>IFERROR(__xludf.DUMMYFUNCTION("GOOGLETRANSLATE(A3808, ""en"", ""mt"")"),"Silas B. Cobb")</f>
        <v>Silas B. Cobb</v>
      </c>
    </row>
    <row r="3809" ht="15.75" customHeight="1">
      <c r="A3809" s="2" t="s">
        <v>3809</v>
      </c>
      <c r="B3809" s="2" t="str">
        <f>IFERROR(__xludf.DUMMYFUNCTION("GOOGLETRANSLATE(A3809, ""en"", ""mt"")"),"Is-Segretarjat Ċentrali")</f>
        <v>Is-Segretarjat Ċentrali</v>
      </c>
    </row>
    <row r="3810" ht="15.75" customHeight="1">
      <c r="A3810" s="2" t="s">
        <v>3810</v>
      </c>
      <c r="B3810" s="2" t="str">
        <f>IFERROR(__xludf.DUMMYFUNCTION("GOOGLETRANSLATE(A3810, ""en"", ""mt"")"),"Kastelli")</f>
        <v>Kastelli</v>
      </c>
    </row>
    <row r="3811" ht="15.75" customHeight="1">
      <c r="A3811" s="2" t="s">
        <v>3811</v>
      </c>
      <c r="B3811" s="2" t="str">
        <f>IFERROR(__xludf.DUMMYFUNCTION("GOOGLETRANSLATE(A3811, ""en"", ""mt"")"),"Ministeru tal-Gwerra")</f>
        <v>Ministeru tal-Gwerra</v>
      </c>
    </row>
    <row r="3812" ht="15.75" customHeight="1">
      <c r="A3812" s="2" t="s">
        <v>3812</v>
      </c>
      <c r="B3812" s="2" t="str">
        <f>IFERROR(__xludf.DUMMYFUNCTION("GOOGLETRANSLATE(A3812, ""en"", ""mt"")"),"Xi 30% tal-belt")</f>
        <v>Xi 30% tal-belt</v>
      </c>
    </row>
    <row r="3813" ht="15.75" customHeight="1">
      <c r="A3813" s="2" t="s">
        <v>3813</v>
      </c>
      <c r="B3813" s="2" t="str">
        <f>IFERROR(__xludf.DUMMYFUNCTION("GOOGLETRANSLATE(A3813, ""en"", ""mt"")"),"Min hu kkreditat li jsib evidenza ta 'insedjamenti kbar fil-foresta tal-Amażonja?")</f>
        <v>Min hu kkreditat li jsib evidenza ta 'insedjamenti kbar fil-foresta tal-Amażonja?</v>
      </c>
    </row>
    <row r="3814" ht="15.75" customHeight="1">
      <c r="A3814" s="2" t="s">
        <v>3814</v>
      </c>
      <c r="B3814" s="2" t="str">
        <f>IFERROR(__xludf.DUMMYFUNCTION("GOOGLETRANSLATE(A3814, ""en"", ""mt"")"),"Film taċ-ċinema ta '8 mm")</f>
        <v>Film taċ-ċinema ta '8 mm</v>
      </c>
    </row>
    <row r="3815" ht="15.75" customHeight="1">
      <c r="A3815" s="2" t="s">
        <v>3815</v>
      </c>
      <c r="B3815" s="2" t="str">
        <f>IFERROR(__xludf.DUMMYFUNCTION("GOOGLETRANSLATE(A3815, ""en"", ""mt"")"),"Il-fwar jaħrab")</f>
        <v>Il-fwar jaħrab</v>
      </c>
    </row>
    <row r="3816" ht="15.75" customHeight="1">
      <c r="A3816" s="2" t="s">
        <v>3816</v>
      </c>
      <c r="B3816" s="2" t="str">
        <f>IFERROR(__xludf.DUMMYFUNCTION("GOOGLETRANSLATE(A3816, ""en"", ""mt"")"),"Beryl")</f>
        <v>Beryl</v>
      </c>
    </row>
    <row r="3817" ht="15.75" customHeight="1">
      <c r="A3817" s="2" t="s">
        <v>3817</v>
      </c>
      <c r="B3817" s="2" t="str">
        <f>IFERROR(__xludf.DUMMYFUNCTION("GOOGLETRANSLATE(A3817, ""en"", ""mt"")"),"tħeġġeġ")</f>
        <v>tħeġġeġ</v>
      </c>
    </row>
    <row r="3818" ht="15.75" customHeight="1">
      <c r="A3818" s="2" t="s">
        <v>3818</v>
      </c>
      <c r="B3818" s="2" t="str">
        <f>IFERROR(__xludf.DUMMYFUNCTION("GOOGLETRANSLATE(A3818, ""en"", ""mt"")"),"Analiżi mikroskopika ta 'sezzjonijiet irqaq orjentati")</f>
        <v>Analiżi mikroskopika ta 'sezzjonijiet irqaq orjentati</v>
      </c>
    </row>
    <row r="3819" ht="15.75" customHeight="1">
      <c r="A3819" s="2" t="s">
        <v>3819</v>
      </c>
      <c r="B3819" s="2" t="str">
        <f>IFERROR(__xludf.DUMMYFUNCTION("GOOGLETRANSLATE(A3819, ""en"", ""mt"")"),"irqad")</f>
        <v>irqad</v>
      </c>
    </row>
    <row r="3820" ht="15.75" customHeight="1">
      <c r="A3820" s="2" t="s">
        <v>3820</v>
      </c>
      <c r="B3820" s="2" t="str">
        <f>IFERROR(__xludf.DUMMYFUNCTION("GOOGLETRANSLATE(A3820, ""en"", ""mt"")"),"Is-Sala tal-Eroj ta 'FM Classic")</f>
        <v>Is-Sala tal-Eroj ta 'FM Classic</v>
      </c>
    </row>
    <row r="3821" ht="15.75" customHeight="1">
      <c r="A3821" s="2" t="s">
        <v>3821</v>
      </c>
      <c r="B3821" s="2" t="str">
        <f>IFERROR(__xludf.DUMMYFUNCTION("GOOGLETRANSLATE(A3821, ""en"", ""mt"")"),"Problemi ta 'deċiżjoni li kapaċi jiġu solvuti permezz ta' magna tat-Turing deterministika filwaqt li żżomm l-aderenza ma 'ħin polinomjali jappartjenu għal liema klassi?")</f>
        <v>Problemi ta 'deċiżjoni li kapaċi jiġu solvuti permezz ta' magna tat-Turing deterministika filwaqt li żżomm l-aderenza ma 'ħin polinomjali jappartjenu għal liema klassi?</v>
      </c>
    </row>
    <row r="3822" ht="15.75" customHeight="1">
      <c r="A3822" s="2" t="s">
        <v>3822</v>
      </c>
      <c r="B3822" s="2" t="str">
        <f>IFERROR(__xludf.DUMMYFUNCTION("GOOGLETRANSLATE(A3822, ""en"", ""mt"")"),"L-ebda indikazzjoni")</f>
        <v>L-ebda indikazzjoni</v>
      </c>
    </row>
    <row r="3823" ht="15.75" customHeight="1">
      <c r="A3823" s="2" t="s">
        <v>3823</v>
      </c>
      <c r="B3823" s="2" t="str">
        <f>IFERROR(__xludf.DUMMYFUNCTION("GOOGLETRANSLATE(A3823, ""en"", ""mt"")"),"Reneged")</f>
        <v>Reneged</v>
      </c>
    </row>
    <row r="3824" ht="15.75" customHeight="1">
      <c r="A3824" s="2" t="s">
        <v>3824</v>
      </c>
      <c r="B3824" s="2" t="str">
        <f>IFERROR(__xludf.DUMMYFUNCTION("GOOGLETRANSLATE(A3824, ""en"", ""mt"")"),"Fort Beauséjour")</f>
        <v>Fort Beauséjour</v>
      </c>
    </row>
    <row r="3825" ht="15.75" customHeight="1">
      <c r="A3825" s="2" t="s">
        <v>3825</v>
      </c>
      <c r="B3825" s="2" t="str">
        <f>IFERROR(__xludf.DUMMYFUNCTION("GOOGLETRANSLATE(A3825, ""en"", ""mt"")"),"Wieħed mill-ewwel esperimenti magħrufa dwar ir-relazzjoni bejn il-kombustjoni u l-arja sar mill-kittieb Grieg tat-2 seklu BCE fuq il-mekkanika, Philo of Bizantium. Fix-xogħol tiegħu pneumatica, Philo osserva li tbiddel bastiment fuq xemgħa li tinħaraq u l"&amp;"i jdawwar l-għonq tal-bastiment bl-ilma rriżulta f'xi ilma li jitla 'fl-għonq. Philo sssumi b'mod żbaljat li partijiet ta 'l-arja fil-bastiment ġew konvertiti fin-nar tal-element klassiku u b'hekk setgħu jaħarbu minn pori fil-ħġieġ. Ħafna sekli wara Leona"&amp;"rdo da Vinci bena fuq ix-xogħol ta 'Philo billi osserva li porzjon ta' l-arja jiġi kkunsmat waqt il-kombustjoni u r-respirazzjoni.")</f>
        <v>Wieħed mill-ewwel esperimenti magħrufa dwar ir-relazzjoni bejn il-kombustjoni u l-arja sar mill-kittieb Grieg tat-2 seklu BCE fuq il-mekkanika, Philo of Bizantium. Fix-xogħol tiegħu pneumatica, Philo osserva li tbiddel bastiment fuq xemgħa li tinħaraq u li jdawwar l-għonq tal-bastiment bl-ilma rriżulta f'xi ilma li jitla 'fl-għonq. Philo sssumi b'mod żbaljat li partijiet ta 'l-arja fil-bastiment ġew konvertiti fin-nar tal-element klassiku u b'hekk setgħu jaħarbu minn pori fil-ħġieġ. Ħafna sekli wara Leonardo da Vinci bena fuq ix-xogħol ta 'Philo billi osserva li porzjon ta' l-arja jiġi kkunsmat waqt il-kombustjoni u r-respirazzjoni.</v>
      </c>
    </row>
    <row r="3826" ht="15.75" customHeight="1">
      <c r="A3826" s="2" t="s">
        <v>3826</v>
      </c>
      <c r="B3826" s="2" t="str">
        <f>IFERROR(__xludf.DUMMYFUNCTION("GOOGLETRANSLATE(A3826, ""en"", ""mt"")"),"werqa tal-irmied")</f>
        <v>werqa tal-irmied</v>
      </c>
    </row>
    <row r="3827" ht="15.75" customHeight="1">
      <c r="A3827" s="2" t="s">
        <v>3827</v>
      </c>
      <c r="B3827" s="2" t="str">
        <f>IFERROR(__xludf.DUMMYFUNCTION("GOOGLETRANSLATE(A3827, ""en"", ""mt"")"),"Il-blat fil-Grand Canyon ilhom fis-seħħ minn meta?")</f>
        <v>Il-blat fil-Grand Canyon ilhom fis-seħħ minn meta?</v>
      </c>
    </row>
    <row r="3828" ht="15.75" customHeight="1">
      <c r="A3828" s="2" t="s">
        <v>3828</v>
      </c>
      <c r="B3828" s="2" t="str">
        <f>IFERROR(__xludf.DUMMYFUNCTION("GOOGLETRANSLATE(A3828, ""en"", ""mt"")"),"Min esprima diżgwid għall-kanoniċità ta 'stejjer ta' Doctor Who minn midja oħra?")</f>
        <v>Min esprima diżgwid għall-kanoniċità ta 'stejjer ta' Doctor Who minn midja oħra?</v>
      </c>
    </row>
    <row r="3829" ht="15.75" customHeight="1">
      <c r="A3829" s="2" t="s">
        <v>3829</v>
      </c>
      <c r="B3829" s="2" t="str">
        <f>IFERROR(__xludf.DUMMYFUNCTION("GOOGLETRANSLATE(A3829, ""en"", ""mt"")"),"Vivienne Westwood")</f>
        <v>Vivienne Westwood</v>
      </c>
    </row>
    <row r="3830" ht="15.75" customHeight="1">
      <c r="A3830" s="2" t="s">
        <v>3830</v>
      </c>
      <c r="B3830" s="2" t="str">
        <f>IFERROR(__xludf.DUMMYFUNCTION("GOOGLETRANSLATE(A3830, ""en"", ""mt"")"),"Kartelli tal-Art")</f>
        <v>Kartelli tal-Art</v>
      </c>
    </row>
    <row r="3831" ht="15.75" customHeight="1">
      <c r="A3831" s="2" t="s">
        <v>3831</v>
      </c>
      <c r="B3831" s="2" t="str">
        <f>IFERROR(__xludf.DUMMYFUNCTION("GOOGLETRANSLATE(A3831, ""en"", ""mt"")"),"pagi tal-ħaddiema")</f>
        <v>pagi tal-ħaddiema</v>
      </c>
    </row>
    <row r="3832" ht="15.75" customHeight="1">
      <c r="A3832" s="2" t="s">
        <v>3832</v>
      </c>
      <c r="B3832" s="2" t="str">
        <f>IFERROR(__xludf.DUMMYFUNCTION("GOOGLETRANSLATE(A3832, ""en"", ""mt"")"),"Eġizzjani")</f>
        <v>Eġizzjani</v>
      </c>
    </row>
    <row r="3833" ht="15.75" customHeight="1">
      <c r="A3833" s="2" t="s">
        <v>3833</v>
      </c>
      <c r="B3833" s="2" t="str">
        <f>IFERROR(__xludf.DUMMYFUNCTION("GOOGLETRANSLATE(A3833, ""en"", ""mt"")"),"Xi tfisser il-fatturizzazzjoni tal-ideali ewlenin?")</f>
        <v>Xi tfisser il-fatturizzazzjoni tal-ideali ewlenin?</v>
      </c>
    </row>
    <row r="3834" ht="15.75" customHeight="1">
      <c r="A3834" s="2" t="s">
        <v>3834</v>
      </c>
      <c r="B3834" s="2" t="str">
        <f>IFERROR(__xludf.DUMMYFUNCTION("GOOGLETRANSLATE(A3834, ""en"", ""mt"")"),"Ir-Renu jifforma l-fruntiera bejn l-Awstrija u liema pajjiż ieħor?")</f>
        <v>Ir-Renu jifforma l-fruntiera bejn l-Awstrija u liema pajjiż ieħor?</v>
      </c>
    </row>
    <row r="3835" ht="15.75" customHeight="1">
      <c r="A3835" s="2" t="s">
        <v>3835</v>
      </c>
      <c r="B3835" s="2" t="str">
        <f>IFERROR(__xludf.DUMMYFUNCTION("GOOGLETRANSLATE(A3835, ""en"", ""mt"")"),"Standard u fqir")</f>
        <v>Standard u fqir</v>
      </c>
    </row>
    <row r="3836" ht="15.75" customHeight="1">
      <c r="A3836" s="2" t="s">
        <v>3836</v>
      </c>
      <c r="B3836" s="2" t="str">
        <f>IFERROR(__xludf.DUMMYFUNCTION("GOOGLETRANSLATE(A3836, ""en"", ""mt"")"),"X'inhu eżempju ta 'artiklu ta' ħwejjeġ uniformi tipikament preżenti fl-iskejjel privati ​​Awstraljani?")</f>
        <v>X'inhu eżempju ta 'artiklu ta' ħwejjeġ uniformi tipikament preżenti fl-iskejjel privati ​​Awstraljani?</v>
      </c>
    </row>
    <row r="3837" ht="15.75" customHeight="1">
      <c r="A3837" s="2" t="s">
        <v>3837</v>
      </c>
      <c r="B3837" s="2" t="str">
        <f>IFERROR(__xludf.DUMMYFUNCTION("GOOGLETRANSLATE(A3837, ""en"", ""mt"")"),"Ħdejn Chur, liema direzzjoni jdur ir-Rhine?")</f>
        <v>Ħdejn Chur, liema direzzjoni jdur ir-Rhine?</v>
      </c>
    </row>
    <row r="3838" ht="15.75" customHeight="1">
      <c r="A3838" s="2" t="s">
        <v>3838</v>
      </c>
      <c r="B3838" s="2" t="str">
        <f>IFERROR(__xludf.DUMMYFUNCTION("GOOGLETRANSLATE(A3838, ""en"", ""mt"")"),"Knisja tal-Kastell f'Wittenberg,")</f>
        <v>Knisja tal-Kastell f'Wittenberg,</v>
      </c>
    </row>
    <row r="3839" ht="15.75" customHeight="1">
      <c r="A3839" s="2" t="s">
        <v>3839</v>
      </c>
      <c r="B3839" s="2" t="str">
        <f>IFERROR(__xludf.DUMMYFUNCTION("GOOGLETRANSLATE(A3839, ""en"", ""mt"")"),"Studji riċenti jemmnu li Ctenophores huma n-nisel ta 'xi ħadd?")</f>
        <v>Studji riċenti jemmnu li Ctenophores huma n-nisel ta 'xi ħadd?</v>
      </c>
    </row>
    <row r="3840" ht="15.75" customHeight="1">
      <c r="A3840" s="2" t="s">
        <v>3840</v>
      </c>
      <c r="B3840" s="2" t="str">
        <f>IFERROR(__xludf.DUMMYFUNCTION("GOOGLETRANSLATE(A3840, ""en"", ""mt"")"),"Ċitru")</f>
        <v>Ċitru</v>
      </c>
    </row>
    <row r="3841" ht="15.75" customHeight="1">
      <c r="A3841" s="2" t="s">
        <v>3841</v>
      </c>
      <c r="B3841" s="2" t="str">
        <f>IFERROR(__xludf.DUMMYFUNCTION("GOOGLETRANSLATE(A3841, ""en"", ""mt"")"),"Il-Writers Guild of America jolqtu li waqqfu l-produzzjoni ta ’programmi tan-netwerk għal ħafna mill-istaġun 2007–08 affettwaw in-netwerk fl-2007–08 u l-2008–09, hekk kif diversi ABC juri li premiered fl-2007, bħal flus sexy maħmuġin, li jimbuttaw id-dais"&amp;"ies, Eli Stone u Samantha min?, Ma għexxux biex jaraw it-tielet staġun; Serje oħra bħal Boston Legal u l-Verżjoni tal-Ħajja ta 'l-Istati Uniti fuq Mars sofrew minn telespettazzjoni baxxa, minkejja l-ewwel, spin off tal-prattika, li kienet serje ta' tbegħi"&amp;"d li darba kienet għolja meta ddebutta fl-2005. Waħda mill-isostru tal-istrajk tan-netwerk Il-programmi matul dak iż-żmien kien il-logħob tal-ispettaklu tal-logħob, li ħareġ f'Diċembru 2007. Il-programm sar suċċess minuri għan-netwerk matul il-ġirja inizj"&amp;"ali tiegħu ta 'sitt episodji, li wassal lil ABC biex iġġedded lil Duel bħala serje regolari li tibda f'April 2008. Madankollu , Duel sofra minn telespettatur baxx matul il-ġirja tiegħu bħala serje regolari, u ABC ikkanċella l-programm wara sittax-il episo"&amp;"dju. Fil-15 ta 'Awwissu, 2008, Disney ċaħdet xnigħat li bdew minn Caris &amp; Co. li kienet se tbigħ l-għaxar stazzjonijiet ta' proprjetà u mħaddma ABC.")</f>
        <v>Il-Writers Guild of America jolqtu li waqqfu l-produzzjoni ta ’programmi tan-netwerk għal ħafna mill-istaġun 2007–08 affettwaw in-netwerk fl-2007–08 u l-2008–09, hekk kif diversi ABC juri li premiered fl-2007, bħal flus sexy maħmuġin, li jimbuttaw id-daisies, Eli Stone u Samantha min?, Ma għexxux biex jaraw it-tielet staġun; Serje oħra bħal Boston Legal u l-Verżjoni tal-Ħajja ta 'l-Istati Uniti fuq Mars sofrew minn telespettazzjoni baxxa, minkejja l-ewwel, spin off tal-prattika, li kienet serje ta' tbegħid li darba kienet għolja meta ddebutta fl-2005. Waħda mill-isostru tal-istrajk tan-netwerk Il-programmi matul dak iż-żmien kien il-logħob tal-ispettaklu tal-logħob, li ħareġ f'Diċembru 2007. Il-programm sar suċċess minuri għan-netwerk matul il-ġirja inizjali tiegħu ta 'sitt episodji, li wassal lil ABC biex iġġedded lil Duel bħala serje regolari li tibda f'April 2008. Madankollu , Duel sofra minn telespettatur baxx matul il-ġirja tiegħu bħala serje regolari, u ABC ikkanċella l-programm wara sittax-il episodju. Fil-15 ta 'Awwissu, 2008, Disney ċaħdet xnigħat li bdew minn Caris &amp; Co. li kienet se tbigħ l-għaxar stazzjonijiet ta' proprjetà u mħaddma ABC.</v>
      </c>
    </row>
    <row r="3842" ht="15.75" customHeight="1">
      <c r="A3842" s="2" t="s">
        <v>3842</v>
      </c>
      <c r="B3842" s="2" t="str">
        <f>IFERROR(__xludf.DUMMYFUNCTION("GOOGLETRANSLATE(A3842, ""en"", ""mt"")"),"paraboliċi")</f>
        <v>paraboliċi</v>
      </c>
    </row>
    <row r="3843" ht="15.75" customHeight="1">
      <c r="A3843" s="2" t="s">
        <v>3843</v>
      </c>
      <c r="B3843" s="2" t="str">
        <f>IFERROR(__xludf.DUMMYFUNCTION("GOOGLETRANSLATE(A3843, ""en"", ""mt"")"),"Kemm art agrikola Vittorjana hija mrobbija fil-ħbub?")</f>
        <v>Kemm art agrikola Vittorjana hija mrobbija fil-ħbub?</v>
      </c>
    </row>
    <row r="3844" ht="15.75" customHeight="1">
      <c r="A3844" s="2" t="s">
        <v>3844</v>
      </c>
      <c r="B3844" s="2" t="str">
        <f>IFERROR(__xludf.DUMMYFUNCTION("GOOGLETRANSLATE(A3844, ""en"", ""mt"")"),"Min skopra dan u minn fejn ġew?")</f>
        <v>Min skopra dan u minn fejn ġew?</v>
      </c>
    </row>
    <row r="3845" ht="15.75" customHeight="1">
      <c r="A3845" s="2" t="s">
        <v>3845</v>
      </c>
      <c r="B3845" s="2" t="str">
        <f>IFERROR(__xludf.DUMMYFUNCTION("GOOGLETRANSLATE(A3845, ""en"", ""mt"")"),"X'ġara mill-finanzjament ta 'Tesla ladarba bdiet il-gwerra?")</f>
        <v>X'ġara mill-finanzjament ta 'Tesla ladarba bdiet il-gwerra?</v>
      </c>
    </row>
    <row r="3846" ht="15.75" customHeight="1">
      <c r="A3846" s="2" t="s">
        <v>3846</v>
      </c>
      <c r="B3846" s="2" t="str">
        <f>IFERROR(__xludf.DUMMYFUNCTION("GOOGLETRANSLATE(A3846, ""en"", ""mt"")"),"Il-korp akkademiku tal-università huwa magħmul minn kemm hemm skejjel professjonali?")</f>
        <v>Il-korp akkademiku tal-università huwa magħmul minn kemm hemm skejjel professjonali?</v>
      </c>
    </row>
    <row r="3847" ht="15.75" customHeight="1">
      <c r="A3847" s="2" t="s">
        <v>3847</v>
      </c>
      <c r="B3847" s="2" t="str">
        <f>IFERROR(__xludf.DUMMYFUNCTION("GOOGLETRANSLATE(A3847, ""en"", ""mt"")"),"1,345,596")</f>
        <v>1,345,596</v>
      </c>
    </row>
    <row r="3848" ht="15.75" customHeight="1">
      <c r="A3848" s="2" t="s">
        <v>3848</v>
      </c>
      <c r="B3848" s="2" t="str">
        <f>IFERROR(__xludf.DUMMYFUNCTION("GOOGLETRANSLATE(A3848, ""en"", ""mt"")"),"Alġebra polinomjali")</f>
        <v>Alġebra polinomjali</v>
      </c>
    </row>
    <row r="3849" ht="15.75" customHeight="1">
      <c r="A3849" s="2" t="s">
        <v>3849</v>
      </c>
      <c r="B3849" s="2" t="str">
        <f>IFERROR(__xludf.DUMMYFUNCTION("GOOGLETRANSLATE(A3849, ""en"", ""mt"")"),"Il-komunikazzjoni tal-modalità tal-pakketti tista 'tiġi implimentata bi jew mingħajr nodi ta' trasferiment intermedju (swiċċijiet tal-pakketti jew routers). Il-pakketti normalment jintbagħtu minn nodi intermedji tan-netwerk b'mod sinkroniku bl-użu ta 'l-e"&amp;"wwel, l-ewwel buffering, iżda jistgħu jintbagħtu skond xi dixxiplina ta' skedar għal kju ġust, iffurmar tat-traffiku, jew għal kwalità ta 'servizz differenzjata jew garantita, bħalma huma l-kju ġust barmil li jnixxi. F'każ ta 'mezz fiżiku maqsum (bħal rad"&amp;"ju jew 10Base5), il-pakketti jistgħu jitwasslu skond skema ta' aċċess multipli.")</f>
        <v>Il-komunikazzjoni tal-modalità tal-pakketti tista 'tiġi implimentata bi jew mingħajr nodi ta' trasferiment intermedju (swiċċijiet tal-pakketti jew routers). Il-pakketti normalment jintbagħtu minn nodi intermedji tan-netwerk b'mod sinkroniku bl-użu ta 'l-ewwel, l-ewwel buffering, iżda jistgħu jintbagħtu skond xi dixxiplina ta' skedar għal kju ġust, iffurmar tat-traffiku, jew għal kwalità ta 'servizz differenzjata jew garantita, bħalma huma l-kju ġust barmil li jnixxi. F'każ ta 'mezz fiżiku maqsum (bħal radju jew 10Base5), il-pakketti jistgħu jitwasslu skond skema ta' aċċess multipli.</v>
      </c>
    </row>
    <row r="3850" ht="15.75" customHeight="1">
      <c r="A3850" s="2" t="s">
        <v>3850</v>
      </c>
      <c r="B3850" s="2" t="str">
        <f>IFERROR(__xludf.DUMMYFUNCTION("GOOGLETRANSLATE(A3850, ""en"", ""mt"")"),"X'għandek ippreżentat problemi lill-ekonomija ta 'l-Istati Uniti aktar minn nazzjonijiet oħra?")</f>
        <v>X'għandek ippreżentat problemi lill-ekonomija ta 'l-Istati Uniti aktar minn nazzjonijiet oħra?</v>
      </c>
    </row>
    <row r="3851" ht="15.75" customHeight="1">
      <c r="A3851" s="2" t="s">
        <v>3851</v>
      </c>
      <c r="B3851" s="2" t="str">
        <f>IFERROR(__xludf.DUMMYFUNCTION("GOOGLETRANSLATE(A3851, ""en"", ""mt"")"),"Kemm tunnellata metrika ta 'karbonju huma maħsuba li huma maħżuna fil-foresta tal-Amażonja?")</f>
        <v>Kemm tunnellata metrika ta 'karbonju huma maħsuba li huma maħżuna fil-foresta tal-Amażonja?</v>
      </c>
    </row>
    <row r="3852" ht="15.75" customHeight="1">
      <c r="A3852" s="2" t="s">
        <v>3852</v>
      </c>
      <c r="B3852" s="2" t="str">
        <f>IFERROR(__xludf.DUMMYFUNCTION("GOOGLETRANSLATE(A3852, ""en"", ""mt"")"),"Fit-30 ta 'April 2000, bħala riżultat ta' tilwima dwar il-ġarr ma 'ABC, Time Warner Cable neħħa stazzjonijiet ta' proprjetà ta 'ABC u operati mis-sistemi tal-fornitur tal-kejbil f'erba' swieq (WABC-TV fi New York City, KABC-TV f'Los Angeles , Ktrk fi Hous"&amp;"ton u WTVD f'Raleigh-Durham). In-netwerk qabel kien laħaq ftehim ta 'ħdax-il siegħa biex iġedded il-ftehim ta' ġarr tiegħu mal-fornitur fil-31 ta 'Diċembru, 1999. ABC ippreżenta petizzjoni ta' emerġenza lill-Kummissjoni Federali tal-Komunikazzjonijiet fl-"&amp;"1 ta 'Mejju biex iġġiegħel lil TWC jerġa' jġib l-istazzjonijiet affettwati; L-FCC iddeċidiet favur l-ABC, billi tordna Time Warner Cable biex terġa 'tinkiseb l-istazzjonijiet, billi għamlet hekk wara nofsinhar ta' Mejju 2. ABC temm l-istaġun 2000-01 bħala"&amp;" n-netwerk l-iktar li jidher, qabel l-NBC.")</f>
        <v>Fit-30 ta 'April 2000, bħala riżultat ta' tilwima dwar il-ġarr ma 'ABC, Time Warner Cable neħħa stazzjonijiet ta' proprjetà ta 'ABC u operati mis-sistemi tal-fornitur tal-kejbil f'erba' swieq (WABC-TV fi New York City, KABC-TV f'Los Angeles , Ktrk fi Houston u WTVD f'Raleigh-Durham). In-netwerk qabel kien laħaq ftehim ta 'ħdax-il siegħa biex iġedded il-ftehim ta' ġarr tiegħu mal-fornitur fil-31 ta 'Diċembru, 1999. ABC ippreżenta petizzjoni ta' emerġenza lill-Kummissjoni Federali tal-Komunikazzjonijiet fl-1 ta 'Mejju biex iġġiegħel lil TWC jerġa' jġib l-istazzjonijiet affettwati; L-FCC iddeċidiet favur l-ABC, billi tordna Time Warner Cable biex terġa 'tinkiseb l-istazzjonijiet, billi għamlet hekk wara nofsinhar ta' Mejju 2. ABC temm l-istaġun 2000-01 bħala n-netwerk l-iktar li jidher, qabel l-NBC.</v>
      </c>
    </row>
    <row r="3853" ht="15.75" customHeight="1">
      <c r="A3853" s="2" t="s">
        <v>3853</v>
      </c>
      <c r="B3853" s="2" t="str">
        <f>IFERROR(__xludf.DUMMYFUNCTION("GOOGLETRANSLATE(A3853, ""en"", ""mt"")"),"X'toffri Edison Tesla wara li temm il-proġett?")</f>
        <v>X'toffri Edison Tesla wara li temm il-proġett?</v>
      </c>
    </row>
    <row r="3854" ht="15.75" customHeight="1">
      <c r="A3854" s="2" t="s">
        <v>3854</v>
      </c>
      <c r="B3854" s="2" t="str">
        <f>IFERROR(__xludf.DUMMYFUNCTION("GOOGLETRANSLATE(A3854, ""en"", ""mt"")"),"X'tip ta 'annimal iddikjara li l-ispettaturi kien qed jiskoraġġixxi d-dgħajsa?")</f>
        <v>X'tip ta 'annimal iddikjara li l-ispettaturi kien qed jiskoraġġixxi d-dgħajsa?</v>
      </c>
    </row>
    <row r="3855" ht="15.75" customHeight="1">
      <c r="A3855" s="2" t="s">
        <v>3855</v>
      </c>
      <c r="B3855" s="2" t="str">
        <f>IFERROR(__xludf.DUMMYFUNCTION("GOOGLETRANSLATE(A3855, ""en"", ""mt"")"),"Oahu")</f>
        <v>Oahu</v>
      </c>
    </row>
    <row r="3856" ht="15.75" customHeight="1">
      <c r="A3856" s="2" t="s">
        <v>3856</v>
      </c>
      <c r="B3856" s="2" t="str">
        <f>IFERROR(__xludf.DUMMYFUNCTION("GOOGLETRANSLATE(A3856, ""en"", ""mt"")"),"Meta twettaq tabib li promettenti?")</f>
        <v>Meta twettaq tabib li promettenti?</v>
      </c>
    </row>
    <row r="3857" ht="15.75" customHeight="1">
      <c r="A3857" s="2" t="s">
        <v>3857</v>
      </c>
      <c r="B3857" s="2" t="str">
        <f>IFERROR(__xludf.DUMMYFUNCTION("GOOGLETRANSLATE(A3857, ""en"", ""mt"")"),"Għal xiex huwa magħruf il-Pedanius Dioscorides?")</f>
        <v>Għal xiex huwa magħruf il-Pedanius Dioscorides?</v>
      </c>
    </row>
    <row r="3858" ht="15.75" customHeight="1">
      <c r="A3858" s="2" t="s">
        <v>3858</v>
      </c>
      <c r="B3858" s="2" t="str">
        <f>IFERROR(__xludf.DUMMYFUNCTION("GOOGLETRANSLATE(A3858, ""en"", ""mt"")"),"Liema raġunijiet jikkawżaw falliment tad-diżubbidjenza mal-awtoritajiet?")</f>
        <v>Liema raġunijiet jikkawżaw falliment tad-diżubbidjenza mal-awtoritajiet?</v>
      </c>
    </row>
    <row r="3859" ht="15.75" customHeight="1">
      <c r="A3859" s="2" t="s">
        <v>3859</v>
      </c>
      <c r="B3859" s="2" t="str">
        <f>IFERROR(__xludf.DUMMYFUNCTION("GOOGLETRANSLATE(A3859, ""en"", ""mt"")"),"Sitt reġimenti għal Franza Ġdida")</f>
        <v>Sitt reġimenti għal Franza Ġdida</v>
      </c>
    </row>
    <row r="3860" ht="15.75" customHeight="1">
      <c r="A3860" s="2" t="s">
        <v>3860</v>
      </c>
      <c r="B3860" s="2" t="str">
        <f>IFERROR(__xludf.DUMMYFUNCTION("GOOGLETRANSLATE(A3860, ""en"", ""mt"")"),"ħafna drabi ħafna drabi")</f>
        <v>ħafna drabi ħafna drabi</v>
      </c>
    </row>
    <row r="3861" ht="15.75" customHeight="1">
      <c r="A3861" s="2" t="s">
        <v>3861</v>
      </c>
      <c r="B3861" s="2" t="str">
        <f>IFERROR(__xludf.DUMMYFUNCTION("GOOGLETRANSLATE(A3861, ""en"", ""mt"")"),"Meta Hitler ordna l-annihilazzjoni tal-ghetto ta 'Varsavja?")</f>
        <v>Meta Hitler ordna l-annihilazzjoni tal-ghetto ta 'Varsavja?</v>
      </c>
    </row>
    <row r="3862" ht="15.75" customHeight="1">
      <c r="A3862" s="2" t="s">
        <v>3862</v>
      </c>
      <c r="B3862" s="2" t="str">
        <f>IFERROR(__xludf.DUMMYFUNCTION("GOOGLETRANSLATE(A3862, ""en"", ""mt"")"),"AS-205/208")</f>
        <v>AS-205/208</v>
      </c>
    </row>
    <row r="3863" ht="15.75" customHeight="1">
      <c r="A3863" s="2" t="s">
        <v>3863</v>
      </c>
      <c r="B3863" s="2" t="str">
        <f>IFERROR(__xludf.DUMMYFUNCTION("GOOGLETRANSLATE(A3863, ""en"", ""mt"")"),"Liema forzi barranin spiss imdendlin fix-xena politika Mongoljana?")</f>
        <v>Liema forzi barranin spiss imdendlin fix-xena politika Mongoljana?</v>
      </c>
    </row>
    <row r="3864" ht="15.75" customHeight="1">
      <c r="A3864" s="2" t="s">
        <v>3864</v>
      </c>
      <c r="B3864" s="2" t="str">
        <f>IFERROR(__xludf.DUMMYFUNCTION("GOOGLETRANSLATE(A3864, ""en"", ""mt"")"),"laboratorju")</f>
        <v>laboratorju</v>
      </c>
    </row>
    <row r="3865" ht="15.75" customHeight="1">
      <c r="A3865" s="2" t="s">
        <v>3865</v>
      </c>
      <c r="B3865" s="2" t="str">
        <f>IFERROR(__xludf.DUMMYFUNCTION("GOOGLETRANSLATE(A3865, ""en"", ""mt"")"),"skola uffiċjali")</f>
        <v>skola uffiċjali</v>
      </c>
    </row>
    <row r="3866" ht="15.75" customHeight="1">
      <c r="A3866" s="2" t="s">
        <v>3866</v>
      </c>
      <c r="B3866" s="2" t="str">
        <f>IFERROR(__xludf.DUMMYFUNCTION("GOOGLETRANSLATE(A3866, ""en"", ""mt"")"),"Mikroorganiżmi jew tossini li jidħlu b'suċċess f'organiżmu jiltaqgħu maċ-ċelloli u l-mekkaniżmi tas-sistema immuni innata. Ir-rispons intrinsiku ġeneralment jiġi kkawżat meta l-mikrobi jiġu identifikati minn riċetturi ta 'rikonoxximent tal-mudelli, li jir"&amp;"rikonoxxu komponenti li huma kkonservati fost gruppi wesgħin ta' mikro-organiżmi, jew meta ċelloli bil-ħsara, imweġġa 'jew stressati jibagħtu sinjali ta' allarm, li ħafna minnhom (iżda mhux kollha) huma rikonoxxuti Mill-istess riċetturi bħal dawk li jirri"&amp;"konoxxu l-patoġeni. Id-difiżi immuni innati mhumiex speċifiċi, u jfisser li dawn is-sistemi jirrispondu għal patoġeni b'mod ġeneriku. Din is-sistema ma tagħtix immunità dejjiema kontra patoġen. Is-sistema immuni innata hija s-sistema dominanti tad-difiża "&amp;"ospitanti fil-biċċa l-kbira tal-organiżmi.")</f>
        <v>Mikroorganiżmi jew tossini li jidħlu b'suċċess f'organiżmu jiltaqgħu maċ-ċelloli u l-mekkaniżmi tas-sistema immuni innata. Ir-rispons intrinsiku ġeneralment jiġi kkawżat meta l-mikrobi jiġu identifikati minn riċetturi ta 'rikonoxximent tal-mudelli, li jirrikonoxxu komponenti li huma kkonservati fost gruppi wesgħin ta' mikro-organiżmi, jew meta ċelloli bil-ħsara, imweġġa 'jew stressati jibagħtu sinjali ta' allarm, li ħafna minnhom (iżda mhux kollha) huma rikonoxxuti Mill-istess riċetturi bħal dawk li jirrikonoxxu l-patoġeni. Id-difiżi immuni innati mhumiex speċifiċi, u jfisser li dawn is-sistemi jirrispondu għal patoġeni b'mod ġeneriku. Din is-sistema ma tagħtix immunità dejjiema kontra patoġen. Is-sistema immuni innata hija s-sistema dominanti tad-difiża ospitanti fil-biċċa l-kbira tal-organiżmi.</v>
      </c>
    </row>
    <row r="3867" ht="15.75" customHeight="1">
      <c r="A3867" s="2" t="s">
        <v>3867</v>
      </c>
      <c r="B3867" s="2" t="str">
        <f>IFERROR(__xludf.DUMMYFUNCTION("GOOGLETRANSLATE(A3867, ""en"", ""mt"")"),"jibnu n-netwerks iddedikati tagħhom stess")</f>
        <v>jibnu n-netwerks iddedikati tagħhom stess</v>
      </c>
    </row>
    <row r="3868" ht="15.75" customHeight="1">
      <c r="A3868" s="2" t="s">
        <v>3868</v>
      </c>
      <c r="B3868" s="2" t="str">
        <f>IFERROR(__xludf.DUMMYFUNCTION("GOOGLETRANSLATE(A3868, ""en"", ""mt"")"),"Fl-arti viżwali, in-Normanni ma kellhomx it-tradizzjonijiet sinjuri u distintivi tal-kulturi li ħakmu. Madankollu, fil-bidu tas-seklu 11 id-Dukes bdew programm ta 'riforma tal-knisja, li ħeġġew ir-riforma cluniac tal-monasteri u patronizzaw l-attivitajiet"&amp;" intellettwali, speċjalment il-proliferazzjoni ta' Scriptoria u r-rikostituzzjoni ta 'kumpilazzjoni ta' manuskritti mdawlin mitlufa. Il-knisja kienet użata mid-Dukes bħala forza li tgħaqqad għall-dukat differenti tagħhom. Il-monasteri ewlenin li qed jieħd"&amp;"u sehem f'dan ir- ""Rinaxximent"" ta 'l-arti Norman u l-borża ta' studju kienu Mont-Saint-Michel, Fécamp, Jumièges, Bec, Saint-Ouen, Saint-Evroul, u Saint-Wandrille. Dawn iċ-ċentri kienu f'kuntatt mal-hekk imsejħa ""Winchester School"", li biddlu tradizzj"&amp;"oni artistika Karolingjana pura għan-Normandija. Fl-aħħar għaxar snin tal-11 u l-ewwel tas-seklu 12, in-Normandija esperjenzat età tad-deheb ta 'manuskritti illustrati, iżda kienet qasira u l-iscriporia ewlenija tan-Normandija ma baqgħetx tiffunzjona wara"&amp;" l-punt tan-nofs tas-seklu.")</f>
        <v>Fl-arti viżwali, in-Normanni ma kellhomx it-tradizzjonijiet sinjuri u distintivi tal-kulturi li ħakmu. Madankollu, fil-bidu tas-seklu 11 id-Dukes bdew programm ta 'riforma tal-knisja, li ħeġġew ir-riforma cluniac tal-monasteri u patronizzaw l-attivitajiet intellettwali, speċjalment il-proliferazzjoni ta' Scriptoria u r-rikostituzzjoni ta 'kumpilazzjoni ta' manuskritti mdawlin mitlufa. Il-knisja kienet użata mid-Dukes bħala forza li tgħaqqad għall-dukat differenti tagħhom. Il-monasteri ewlenin li qed jieħdu sehem f'dan ir- "Rinaxximent" ta 'l-arti Norman u l-borża ta' studju kienu Mont-Saint-Michel, Fécamp, Jumièges, Bec, Saint-Ouen, Saint-Evroul, u Saint-Wandrille. Dawn iċ-ċentri kienu f'kuntatt mal-hekk imsejħa "Winchester School", li biddlu tradizzjoni artistika Karolingjana pura għan-Normandija. Fl-aħħar għaxar snin tal-11 u l-ewwel tas-seklu 12, in-Normandija esperjenzat età tad-deheb ta 'manuskritti illustrati, iżda kienet qasira u l-iscriporia ewlenija tan-Normandija ma baqgħetx tiffunzjona wara l-punt tan-nofs tas-seklu.</v>
      </c>
    </row>
    <row r="3869" ht="15.75" customHeight="1">
      <c r="A3869" s="2" t="s">
        <v>3869</v>
      </c>
      <c r="B3869" s="2" t="str">
        <f>IFERROR(__xludf.DUMMYFUNCTION("GOOGLETRANSLATE(A3869, ""en"", ""mt"")"),"Verizon")</f>
        <v>Verizon</v>
      </c>
    </row>
    <row r="3870" ht="15.75" customHeight="1">
      <c r="A3870" s="2" t="s">
        <v>3870</v>
      </c>
      <c r="B3870" s="2" t="str">
        <f>IFERROR(__xludf.DUMMYFUNCTION("GOOGLETRANSLATE(A3870, ""en"", ""mt"")"),"X'kien l-isem tal-programm tal-kunċett tad-data għomja debutt minn ABC fl-1966?")</f>
        <v>X'kien l-isem tal-programm tal-kunċett tad-data għomja debutt minn ABC fl-1966?</v>
      </c>
    </row>
    <row r="3871" ht="15.75" customHeight="1">
      <c r="A3871" s="2" t="s">
        <v>3871</v>
      </c>
      <c r="B3871" s="2" t="str">
        <f>IFERROR(__xludf.DUMMYFUNCTION("GOOGLETRANSLATE(A3871, ""en"", ""mt"")"),"F’liema reġjuni b’mod partikolari għamlu l-armati ċivili tal-massakru ta ’Genghis Khan?")</f>
        <v>F’liema reġjuni b’mod partikolari għamlu l-armati ċivili tal-massakru ta ’Genghis Khan?</v>
      </c>
    </row>
    <row r="3872" ht="15.75" customHeight="1">
      <c r="A3872" s="2" t="s">
        <v>3872</v>
      </c>
      <c r="B3872" s="2" t="str">
        <f>IFERROR(__xludf.DUMMYFUNCTION("GOOGLETRANSLATE(A3872, ""en"", ""mt"")"),"Kunsill tal-Kapijiet tal-Mongolja")</f>
        <v>Kunsill tal-Kapijiet tal-Mongolja</v>
      </c>
    </row>
    <row r="3873" ht="15.75" customHeight="1">
      <c r="A3873" s="2" t="s">
        <v>3873</v>
      </c>
      <c r="B3873" s="2" t="str">
        <f>IFERROR(__xludf.DUMMYFUNCTION("GOOGLETRANSLATE(A3873, ""en"", ""mt"")"),"X'tip ta 'kurrikuli huwa li jista' jsegwi għalliem?")</f>
        <v>X'tip ta 'kurrikuli huwa li jista' jsegwi għalliem?</v>
      </c>
    </row>
    <row r="3874" ht="15.75" customHeight="1">
      <c r="A3874" s="2" t="s">
        <v>3874</v>
      </c>
      <c r="B3874" s="2" t="str">
        <f>IFERROR(__xludf.DUMMYFUNCTION("GOOGLETRANSLATE(A3874, ""en"", ""mt"")"),"Post-Klassiku")</f>
        <v>Post-Klassiku</v>
      </c>
    </row>
    <row r="3875" ht="15.75" customHeight="1">
      <c r="A3875" s="2" t="s">
        <v>3875</v>
      </c>
      <c r="B3875" s="2" t="str">
        <f>IFERROR(__xludf.DUMMYFUNCTION("GOOGLETRANSLATE(A3875, ""en"", ""mt"")"),"F’liema sena SAVERY brevett il-pompa tal-fwar tiegħu?")</f>
        <v>F’liema sena SAVERY brevett il-pompa tal-fwar tiegħu?</v>
      </c>
    </row>
    <row r="3876" ht="15.75" customHeight="1">
      <c r="A3876" s="2" t="s">
        <v>3876</v>
      </c>
      <c r="B3876" s="2" t="str">
        <f>IFERROR(__xludf.DUMMYFUNCTION("GOOGLETRANSLATE(A3876, ""en"", ""mt"")"),"xogħol tal-magna")</f>
        <v>xogħol tal-magna</v>
      </c>
    </row>
    <row r="3877" ht="15.75" customHeight="1">
      <c r="A3877" s="2" t="s">
        <v>3877</v>
      </c>
      <c r="B3877" s="2" t="str">
        <f>IFERROR(__xludf.DUMMYFUNCTION("GOOGLETRANSLATE(A3877, ""en"", ""mt"")"),"il-prosperità tal-belt")</f>
        <v>il-prosperità tal-belt</v>
      </c>
    </row>
    <row r="3878" ht="15.75" customHeight="1">
      <c r="A3878" s="2" t="s">
        <v>3878</v>
      </c>
      <c r="B3878" s="2" t="str">
        <f>IFERROR(__xludf.DUMMYFUNCTION("GOOGLETRANSLATE(A3878, ""en"", ""mt"")"),"Ħames indirizzi solo")</f>
        <v>Ħames indirizzi solo</v>
      </c>
    </row>
    <row r="3879" ht="15.75" customHeight="1">
      <c r="A3879" s="2" t="s">
        <v>3879</v>
      </c>
      <c r="B3879" s="2" t="str">
        <f>IFERROR(__xludf.DUMMYFUNCTION("GOOGLETRANSLATE(A3879, ""en"", ""mt"")"),"Kemm nies Amerikani Nattivi kienu joqogħdu fi Fresno fl-2010?")</f>
        <v>Kemm nies Amerikani Nattivi kienu joqogħdu fi Fresno fl-2010?</v>
      </c>
    </row>
    <row r="3880" ht="15.75" customHeight="1">
      <c r="A3880" s="2" t="s">
        <v>3880</v>
      </c>
      <c r="B3880" s="2" t="str">
        <f>IFERROR(__xludf.DUMMYFUNCTION("GOOGLETRANSLATE(A3880, ""en"", ""mt"")"),"id-direzzjoni li fiha l-ħalq qed jipponta")</f>
        <v>id-direzzjoni li fiha l-ħalq qed jipponta</v>
      </c>
    </row>
    <row r="3881" ht="15.75" customHeight="1">
      <c r="A3881" s="2" t="s">
        <v>3881</v>
      </c>
      <c r="B3881" s="2" t="str">
        <f>IFERROR(__xludf.DUMMYFUNCTION("GOOGLETRANSLATE(A3881, ""en"", ""mt"")"),"Theodor Fontane")</f>
        <v>Theodor Fontane</v>
      </c>
    </row>
    <row r="3882" ht="15.75" customHeight="1">
      <c r="A3882" s="2" t="s">
        <v>3882</v>
      </c>
      <c r="B3882" s="2" t="str">
        <f>IFERROR(__xludf.DUMMYFUNCTION("GOOGLETRANSLATE(A3882, ""en"", ""mt"")"),"ABC kompla t-tradizzjoni ta 'NBC Blue ta' xiex?")</f>
        <v>ABC kompla t-tradizzjoni ta 'NBC Blue ta' xiex?</v>
      </c>
    </row>
    <row r="3883" ht="15.75" customHeight="1">
      <c r="A3883" s="2" t="s">
        <v>3883</v>
      </c>
      <c r="B3883" s="2" t="str">
        <f>IFERROR(__xludf.DUMMYFUNCTION("GOOGLETRANSLATE(A3883, ""en"", ""mt"")"),"Alta California")</f>
        <v>Alta California</v>
      </c>
    </row>
    <row r="3884" ht="15.75" customHeight="1">
      <c r="A3884" s="2" t="s">
        <v>3884</v>
      </c>
      <c r="B3884" s="2" t="str">
        <f>IFERROR(__xludf.DUMMYFUNCTION("GOOGLETRANSLATE(A3884, ""en"", ""mt"")"),"Elementi ta 'Euclid")</f>
        <v>Elementi ta 'Euclid</v>
      </c>
    </row>
    <row r="3885" ht="15.75" customHeight="1">
      <c r="A3885" s="2" t="s">
        <v>3885</v>
      </c>
      <c r="B3885" s="2" t="str">
        <f>IFERROR(__xludf.DUMMYFUNCTION("GOOGLETRANSLATE(A3885, ""en"", ""mt"")"),"Gwerra Franċiża u Indjana")</f>
        <v>Gwerra Franċiża u Indjana</v>
      </c>
    </row>
    <row r="3886" ht="15.75" customHeight="1">
      <c r="A3886" s="2" t="s">
        <v>3886</v>
      </c>
      <c r="B3886" s="2" t="str">
        <f>IFERROR(__xludf.DUMMYFUNCTION("GOOGLETRANSLATE(A3886, ""en"", ""mt"")"),"1961 sal-1972")</f>
        <v>1961 sal-1972</v>
      </c>
    </row>
    <row r="3887" ht="15.75" customHeight="1">
      <c r="A3887" s="2" t="s">
        <v>3887</v>
      </c>
      <c r="B3887" s="2" t="str">
        <f>IFERROR(__xludf.DUMMYFUNCTION("GOOGLETRANSLATE(A3887, ""en"", ""mt"")"),"Tappoġġja attivament u tadotta kultura Ċiniża mainstream")</f>
        <v>Tappoġġja attivament u tadotta kultura Ċiniża mainstream</v>
      </c>
    </row>
    <row r="3888" ht="15.75" customHeight="1">
      <c r="A3888" s="2" t="s">
        <v>3888</v>
      </c>
      <c r="B3888" s="2" t="str">
        <f>IFERROR(__xludf.DUMMYFUNCTION("GOOGLETRANSLATE(A3888, ""en"", ""mt"")"),"X'inhu l-isem ta 'tip wieħed ta' metodu ta 'komputazzjoni li jintuża biex issib numri ewlenin?")</f>
        <v>X'inhu l-isem ta 'tip wieħed ta' metodu ta 'komputazzjoni li jintuża biex issib numri ewlenin?</v>
      </c>
    </row>
    <row r="3889" ht="15.75" customHeight="1">
      <c r="A3889" s="2" t="s">
        <v>3889</v>
      </c>
      <c r="B3889" s="2" t="str">
        <f>IFERROR(__xludf.DUMMYFUNCTION("GOOGLETRANSLATE(A3889, ""en"", ""mt"")"),"Asinkronikament billi tuża l-ewwel-in, l-ewwel buffering, imma tista 'tintbagħat skond xi dixxiplina ta' skedar għal kju ġust")</f>
        <v>Asinkronikament billi tuża l-ewwel-in, l-ewwel buffering, imma tista 'tintbagħat skond xi dixxiplina ta' skedar għal kju ġust</v>
      </c>
    </row>
    <row r="3890" ht="15.75" customHeight="1">
      <c r="A3890" s="2" t="s">
        <v>3890</v>
      </c>
      <c r="B3890" s="2" t="str">
        <f>IFERROR(__xludf.DUMMYFUNCTION("GOOGLETRANSLATE(A3890, ""en"", ""mt"")"),"biex ma tkellimx ma 'uffiċjali tal-pulizija")</f>
        <v>biex ma tkellimx ma 'uffiċjali tal-pulizija</v>
      </c>
    </row>
    <row r="3891" ht="15.75" customHeight="1">
      <c r="A3891" s="2" t="s">
        <v>3891</v>
      </c>
      <c r="B3891" s="2" t="str">
        <f>IFERROR(__xludf.DUMMYFUNCTION("GOOGLETRANSLATE(A3891, ""en"", ""mt"")"),"l-iżgħar subfield")</f>
        <v>l-iżgħar subfield</v>
      </c>
    </row>
    <row r="3892" ht="15.75" customHeight="1">
      <c r="A3892" s="2" t="s">
        <v>3892</v>
      </c>
      <c r="B3892" s="2" t="str">
        <f>IFERROR(__xludf.DUMMYFUNCTION("GOOGLETRANSLATE(A3892, ""en"", ""mt"")"),"Liema ġeokimista żviluppa l-metodu ta 'dating taċ-ċomb uranju fid-dating taċ-ċomb?")</f>
        <v>Liema ġeokimista żviluppa l-metodu ta 'dating taċ-ċomb uranju fid-dating taċ-ċomb?</v>
      </c>
    </row>
    <row r="3893" ht="15.75" customHeight="1">
      <c r="A3893" s="2" t="s">
        <v>3893</v>
      </c>
      <c r="B3893" s="2" t="str">
        <f>IFERROR(__xludf.DUMMYFUNCTION("GOOGLETRANSLATE(A3893, ""en"", ""mt"")"),"34–19")</f>
        <v>34–19</v>
      </c>
    </row>
    <row r="3894" ht="15.75" customHeight="1">
      <c r="A3894" s="2" t="s">
        <v>3894</v>
      </c>
      <c r="B3894" s="2" t="str">
        <f>IFERROR(__xludf.DUMMYFUNCTION("GOOGLETRANSLATE(A3894, ""en"", ""mt"")"),"Għal xiex kien magħruf Tugh Temur?")</f>
        <v>Għal xiex kien magħruf Tugh Temur?</v>
      </c>
    </row>
    <row r="3895" ht="15.75" customHeight="1">
      <c r="A3895" s="2" t="s">
        <v>3895</v>
      </c>
      <c r="B3895" s="2" t="str">
        <f>IFERROR(__xludf.DUMMYFUNCTION("GOOGLETRANSLATE(A3895, ""en"", ""mt"")"),"F’liema sena ngħatat il-Karta għal Harvard Corporation?")</f>
        <v>F’liema sena ngħatat il-Karta għal Harvard Corporation?</v>
      </c>
    </row>
    <row r="3896" ht="15.75" customHeight="1">
      <c r="A3896" s="2" t="s">
        <v>3896</v>
      </c>
      <c r="B3896" s="2" t="str">
        <f>IFERROR(__xludf.DUMMYFUNCTION("GOOGLETRANSLATE(A3896, ""en"", ""mt"")"),"megħjuna")</f>
        <v>megħjuna</v>
      </c>
    </row>
    <row r="3897" ht="15.75" customHeight="1">
      <c r="A3897" s="2" t="s">
        <v>3897</v>
      </c>
      <c r="B3897" s="2" t="str">
        <f>IFERROR(__xludf.DUMMYFUNCTION("GOOGLETRANSLATE(A3897, ""en"", ""mt"")"),"manwalment irażżan in-nar")</f>
        <v>manwalment irażżan in-nar</v>
      </c>
    </row>
    <row r="3898" ht="15.75" customHeight="1">
      <c r="A3898" s="2" t="s">
        <v>3898</v>
      </c>
      <c r="B3898" s="2" t="str">
        <f>IFERROR(__xludf.DUMMYFUNCTION("GOOGLETRANSLATE(A3898, ""en"", ""mt"")"),"statwa ta 'fama")</f>
        <v>statwa ta 'fama</v>
      </c>
    </row>
    <row r="3899" ht="15.75" customHeight="1">
      <c r="A3899" s="2" t="s">
        <v>3899</v>
      </c>
      <c r="B3899" s="2" t="str">
        <f>IFERROR(__xludf.DUMMYFUNCTION("GOOGLETRANSLATE(A3899, ""en"", ""mt"")"),"Matul is-snin sebgħin")</f>
        <v>Matul is-snin sebgħin</v>
      </c>
    </row>
    <row r="3900" ht="15.75" customHeight="1">
      <c r="A3900" s="2" t="s">
        <v>3900</v>
      </c>
      <c r="B3900" s="2" t="str">
        <f>IFERROR(__xludf.DUMMYFUNCTION("GOOGLETRANSLATE(A3900, ""en"", ""mt"")"),"Min kien il-fundatur tal-Oracle Corporation?")</f>
        <v>Min kien il-fundatur tal-Oracle Corporation?</v>
      </c>
    </row>
    <row r="3901" ht="15.75" customHeight="1">
      <c r="A3901" s="2" t="s">
        <v>3901</v>
      </c>
      <c r="B3901" s="2" t="str">
        <f>IFERROR(__xludf.DUMMYFUNCTION("GOOGLETRANSLATE(A3901, ""en"", ""mt"")"),"Minbarra ħafna ġranet xemxija, liema karatteristika hija tipika għall-klima fi Souther California?")</f>
        <v>Minbarra ħafna ġranet xemxija, liema karatteristika hija tipika għall-klima fi Souther California?</v>
      </c>
    </row>
    <row r="3902" ht="15.75" customHeight="1">
      <c r="A3902" s="2" t="s">
        <v>3902</v>
      </c>
      <c r="B3902" s="2" t="str">
        <f>IFERROR(__xludf.DUMMYFUNCTION("GOOGLETRANSLATE(A3902, ""en"", ""mt"")"),"Terapija bl-ossiġnu")</f>
        <v>Terapija bl-ossiġnu</v>
      </c>
    </row>
    <row r="3903" ht="15.75" customHeight="1">
      <c r="A3903" s="2" t="s">
        <v>3903</v>
      </c>
      <c r="B3903" s="2" t="str">
        <f>IFERROR(__xludf.DUMMYFUNCTION("GOOGLETRANSLATE(A3903, ""en"", ""mt"")"),"Meta Manning qabad # 1 fl-Abbozz tal-NFL?")</f>
        <v>Meta Manning qabad # 1 fl-Abbozz tal-NFL?</v>
      </c>
    </row>
    <row r="3904" ht="15.75" customHeight="1">
      <c r="A3904" s="2" t="s">
        <v>3904</v>
      </c>
      <c r="B3904" s="2" t="str">
        <f>IFERROR(__xludf.DUMMYFUNCTION("GOOGLETRANSLATE(A3904, ""en"", ""mt"")"),"Frontex")</f>
        <v>Frontex</v>
      </c>
    </row>
    <row r="3905" ht="15.75" customHeight="1">
      <c r="A3905" s="2" t="s">
        <v>3905</v>
      </c>
      <c r="B3905" s="2" t="str">
        <f>IFERROR(__xludf.DUMMYFUNCTION("GOOGLETRANSLATE(A3905, ""en"", ""mt"")"),"F'konċentrazzjonijiet għoljin ta 'ossiġnu, Rubisco jibda aċċidentalment iżid ossiġnu mal-prekursuri taz-zokkor")</f>
        <v>F'konċentrazzjonijiet għoljin ta 'ossiġnu, Rubisco jibda aċċidentalment iżid ossiġnu mal-prekursuri taz-zokkor</v>
      </c>
    </row>
    <row r="3906" ht="15.75" customHeight="1">
      <c r="A3906" s="2" t="s">
        <v>3906</v>
      </c>
      <c r="B3906" s="2" t="str">
        <f>IFERROR(__xludf.DUMMYFUNCTION("GOOGLETRANSLATE(A3906, ""en"", ""mt"")"),"Min għandu l-awtorità ta 'ragħaj biss fil-kuntest u matul il-ħin tal-ħatra?")</f>
        <v>Min għandu l-awtorità ta 'ragħaj biss fil-kuntest u matul il-ħin tal-ħatra?</v>
      </c>
    </row>
    <row r="3907" ht="15.75" customHeight="1">
      <c r="A3907" s="2" t="s">
        <v>3907</v>
      </c>
      <c r="B3907" s="2" t="str">
        <f>IFERROR(__xludf.DUMMYFUNCTION("GOOGLETRANSLATE(A3907, ""en"", ""mt"")"),"ABC Sunday Night Movie")</f>
        <v>ABC Sunday Night Movie</v>
      </c>
    </row>
    <row r="3908" ht="15.75" customHeight="1">
      <c r="A3908" s="2" t="s">
        <v>3908</v>
      </c>
      <c r="B3908" s="2" t="str">
        <f>IFERROR(__xludf.DUMMYFUNCTION("GOOGLETRANSLATE(A3908, ""en"", ""mt"")"),"Kif tissejjaħ il-liwja tar-Renu f'Basel?")</f>
        <v>Kif tissejjaħ il-liwja tar-Renu f'Basel?</v>
      </c>
    </row>
    <row r="3909" ht="15.75" customHeight="1">
      <c r="A3909" s="2" t="s">
        <v>3909</v>
      </c>
      <c r="B3909" s="2" t="str">
        <f>IFERROR(__xludf.DUMMYFUNCTION("GOOGLETRANSLATE(A3909, ""en"", ""mt"")"),"Għal xiex il-petroloġisti jużaw mikroprobi elettroniċi fil-laboratorju?")</f>
        <v>Għal xiex il-petroloġisti jużaw mikroprobi elettroniċi fil-laboratorju?</v>
      </c>
    </row>
    <row r="3910" ht="15.75" customHeight="1">
      <c r="A3910" s="2" t="s">
        <v>3910</v>
      </c>
      <c r="B3910" s="2" t="str">
        <f>IFERROR(__xludf.DUMMYFUNCTION("GOOGLETRANSLATE(A3910, ""en"", ""mt"")"),"New York City")</f>
        <v>New York City</v>
      </c>
    </row>
    <row r="3911" ht="15.75" customHeight="1">
      <c r="A3911" s="2" t="s">
        <v>3911</v>
      </c>
      <c r="B3911" s="2" t="str">
        <f>IFERROR(__xludf.DUMMYFUNCTION("GOOGLETRANSLATE(A3911, ""en"", ""mt"")"),"Liema riforma kienet attentata wara t-trattat sabiħ?")</f>
        <v>Liema riforma kienet attentata wara t-trattat sabiħ?</v>
      </c>
    </row>
    <row r="3912" ht="15.75" customHeight="1">
      <c r="A3912" s="2" t="s">
        <v>3912</v>
      </c>
      <c r="B3912" s="2" t="str">
        <f>IFERROR(__xludf.DUMMYFUNCTION("GOOGLETRANSLATE(A3912, ""en"", ""mt"")"),"X'intuża biex tħaffef il-pritkuni tat-tungstenu?")</f>
        <v>X'intuża biex tħaffef il-pritkuni tat-tungstenu?</v>
      </c>
    </row>
    <row r="3913" ht="15.75" customHeight="1">
      <c r="A3913" s="2" t="s">
        <v>3913</v>
      </c>
      <c r="B3913" s="2" t="str">
        <f>IFERROR(__xludf.DUMMYFUNCTION("GOOGLETRANSLATE(A3913, ""en"", ""mt"")"),"X'tip ta 'korrelazzjoni kienet użata qabel biex tgħin lill-formazzjonijiet tal-blat tad-data?")</f>
        <v>X'tip ta 'korrelazzjoni kienet użata qabel biex tgħin lill-formazzjonijiet tal-blat tad-data?</v>
      </c>
    </row>
    <row r="3914" ht="15.75" customHeight="1">
      <c r="A3914" s="2" t="s">
        <v>3914</v>
      </c>
      <c r="B3914" s="2" t="str">
        <f>IFERROR(__xludf.DUMMYFUNCTION("GOOGLETRANSLATE(A3914, ""en"", ""mt"")"),"Papin")</f>
        <v>Papin</v>
      </c>
    </row>
    <row r="3915" ht="15.75" customHeight="1">
      <c r="A3915" s="2" t="s">
        <v>3915</v>
      </c>
      <c r="B3915" s="2" t="str">
        <f>IFERROR(__xludf.DUMMYFUNCTION("GOOGLETRANSLATE(A3915, ""en"", ""mt"")"),"Sugarfoot")</f>
        <v>Sugarfoot</v>
      </c>
    </row>
    <row r="3916" ht="15.75" customHeight="1">
      <c r="A3916" s="2" t="s">
        <v>3916</v>
      </c>
      <c r="B3916" s="2" t="str">
        <f>IFERROR(__xludf.DUMMYFUNCTION("GOOGLETRANSLATE(A3916, ""en"", ""mt"")"),"X'kienu t-tliet partijiet tal-gvern ta 'Kublai?")</f>
        <v>X'kienu t-tliet partijiet tal-gvern ta 'Kublai?</v>
      </c>
    </row>
    <row r="3917" ht="15.75" customHeight="1">
      <c r="A3917" s="2" t="s">
        <v>3917</v>
      </c>
      <c r="B3917" s="2" t="str">
        <f>IFERROR(__xludf.DUMMYFUNCTION("GOOGLETRANSLATE(A3917, ""en"", ""mt"")"),"Jacksonville sofra inqas ħsara mill-uragani mill-biċċa l-kbira tal-bliet l-oħra tal-Kosta tal-Lvant, għalkemm it-theddida teżisti għal suċċess dirett minn uragan ewlieni. Il-belt irċeviet biss suċċess dirett minn uragan mill-1871; Madankollu, Jacksonville"&amp;" esperjenza kundizzjonijiet ta 'uragan jew kważi-uragan aktar minn tużżana darbiet minħabba maltempati li jaqsmu l-istat mill-Golf tal-Messiku lejn l-Oċean Atlantiku, jew li għaddiet lejn it-tramuntana jew fin-nofsinhar fl-Atlantiku u tfarfar iż-żona. L-i"&amp;"ktar effett qawwi fuq Jacksonville kien mill-Uragan Dora fl-1964, l-unika maltempata rreġistrata li laqat l-ewwel kosta bl-irjiħat tal-forza tal-uragan sostnuti. L-għajn qasmet lil Santu Wistin bi rjieħ li kienu għadhom kemm naqas għal 110 mph (180 km / h"&amp;"), u dan jagħmilha kategorija qawwija 2 fuq l-iskala Saffir-Simpson. Jacksonville sofra wkoll ħsara mill-maltempata tropikali tal-2008 li qabdet l-istat, u ġabet partijiet minn Jacksonville taħt id-dlam għal erbat ijiem. Bl-istess mod, erba 'snin qabel da"&amp;"n, Jacksonville ġie mgħarbel mill-Uragan Frances u l-Uragan Jeanne, li għamlu l-art fin-nofsinhar taż-żona. Dawn iċ-ċikloni tropikali kienu l-aktar spejjeż indiretti għal Jacksonville. L-Uragan Floyd fl-1999 ikkawża ħsara prinċipalment lil Jacksonville Be"&amp;"ach. Matul Floyd, il-moll tal-bajja ta 'Jacksonville kien bil-ħsara kbira, u aktar tard imwaqqa'. Il-moll mibni mill-ġdid aktar tard ġie bil-ħsara minn Fay, iżda mhux meqrud. Storm Tropikali Bonnie jikkawża ħsara minuri fl-2004, li jġib tornado minuri fil"&amp;"-proċess. Fit-28 ta 'Mejju, 2012, Jacksonville intlaqat minn Tropical Storm Beryl, li jippakkja rjiħat sa 70 mil fis-siegħa (113 km / h) li għamel l-art qrib Jacksonville Beach.")</f>
        <v>Jacksonville sofra inqas ħsara mill-uragani mill-biċċa l-kbira tal-bliet l-oħra tal-Kosta tal-Lvant, għalkemm it-theddida teżisti għal suċċess dirett minn uragan ewlieni. Il-belt irċeviet biss suċċess dirett minn uragan mill-1871; Madankollu, Jacksonville esperjenza kundizzjonijiet ta 'uragan jew kważi-uragan aktar minn tużżana darbiet minħabba maltempati li jaqsmu l-istat mill-Golf tal-Messiku lejn l-Oċean Atlantiku, jew li għaddiet lejn it-tramuntana jew fin-nofsinhar fl-Atlantiku u tfarfar iż-żona. L-iktar effett qawwi fuq Jacksonville kien mill-Uragan Dora fl-1964, l-unika maltempata rreġistrata li laqat l-ewwel kosta bl-irjiħat tal-forza tal-uragan sostnuti. L-għajn qasmet lil Santu Wistin bi rjieħ li kienu għadhom kemm naqas għal 110 mph (180 km / h), u dan jagħmilha kategorija qawwija 2 fuq l-iskala Saffir-Simpson. Jacksonville sofra wkoll ħsara mill-maltempata tropikali tal-2008 li qabdet l-istat, u ġabet partijiet minn Jacksonville taħt id-dlam għal erbat ijiem. Bl-istess mod, erba 'snin qabel dan, Jacksonville ġie mgħarbel mill-Uragan Frances u l-Uragan Jeanne, li għamlu l-art fin-nofsinhar taż-żona. Dawn iċ-ċikloni tropikali kienu l-aktar spejjeż indiretti għal Jacksonville. L-Uragan Floyd fl-1999 ikkawża ħsara prinċipalment lil Jacksonville Beach. Matul Floyd, il-moll tal-bajja ta 'Jacksonville kien bil-ħsara kbira, u aktar tard imwaqqa'. Il-moll mibni mill-ġdid aktar tard ġie bil-ħsara minn Fay, iżda mhux meqrud. Storm Tropikali Bonnie jikkawża ħsara minuri fl-2004, li jġib tornado minuri fil-proċess. Fit-28 ta 'Mejju, 2012, Jacksonville intlaqat minn Tropical Storm Beryl, li jippakkja rjiħat sa 70 mil fis-siegħa (113 km / h) li għamel l-art qrib Jacksonville Beach.</v>
      </c>
    </row>
    <row r="3918" ht="15.75" customHeight="1">
      <c r="A3918" s="2" t="s">
        <v>3918</v>
      </c>
      <c r="B3918" s="2" t="str">
        <f>IFERROR(__xludf.DUMMYFUNCTION("GOOGLETRANSLATE(A3918, ""en"", ""mt"")"),"Liema sena sar it-Torri tal-Lantern ta 'San Nikola?")</f>
        <v>Liema sena sar it-Torri tal-Lantern ta 'San Nikola?</v>
      </c>
    </row>
    <row r="3919" ht="15.75" customHeight="1">
      <c r="A3919" s="2" t="s">
        <v>3919</v>
      </c>
      <c r="B3919" s="2" t="str">
        <f>IFERROR(__xludf.DUMMYFUNCTION("GOOGLETRANSLATE(A3919, ""en"", ""mt"")"),"Liema stazzjon tar-radju t-tema tat-Tabib Min laħaq il-mapep fl-2011?")</f>
        <v>Liema stazzjon tar-radju t-tema tat-Tabib Min laħaq il-mapep fl-2011?</v>
      </c>
    </row>
    <row r="3920" ht="15.75" customHeight="1">
      <c r="A3920" s="2" t="s">
        <v>3920</v>
      </c>
      <c r="B3920" s="2" t="str">
        <f>IFERROR(__xludf.DUMMYFUNCTION("GOOGLETRANSLATE(A3920, ""en"", ""mt"")"),"Edukazzjoni tat-Tfal bħala Kattoliċi")</f>
        <v>Edukazzjoni tat-Tfal bħala Kattoliċi</v>
      </c>
    </row>
    <row r="3921" ht="15.75" customHeight="1">
      <c r="A3921" s="2" t="s">
        <v>3921</v>
      </c>
      <c r="B3921" s="2" t="str">
        <f>IFERROR(__xludf.DUMMYFUNCTION("GOOGLETRANSLATE(A3921, ""en"", ""mt"")"),"Żona ġeografika li tkopri kif ukoll il-frekwenza tal-laqgħa")</f>
        <v>Żona ġeografika li tkopri kif ukoll il-frekwenza tal-laqgħa</v>
      </c>
    </row>
    <row r="3922" ht="15.75" customHeight="1">
      <c r="A3922" s="2" t="s">
        <v>3922</v>
      </c>
      <c r="B3922" s="2" t="str">
        <f>IFERROR(__xludf.DUMMYFUNCTION("GOOGLETRANSLATE(A3922, ""en"", ""mt"")"),"kejl kinematiku")</f>
        <v>kejl kinematiku</v>
      </c>
    </row>
    <row r="3923" ht="15.75" customHeight="1">
      <c r="A3923" s="2" t="s">
        <v>3923</v>
      </c>
      <c r="B3923" s="2" t="str">
        <f>IFERROR(__xludf.DUMMYFUNCTION("GOOGLETRANSLATE(A3923, ""en"", ""mt"")"),"Beirut")</f>
        <v>Beirut</v>
      </c>
    </row>
    <row r="3924" ht="15.75" customHeight="1">
      <c r="A3924" s="2" t="s">
        <v>3924</v>
      </c>
      <c r="B3924" s="2" t="str">
        <f>IFERROR(__xludf.DUMMYFUNCTION("GOOGLETRANSLATE(A3924, ""en"", ""mt"")"),"PTT Telecom Olandiż")</f>
        <v>PTT Telecom Olandiż</v>
      </c>
    </row>
    <row r="3925" ht="15.75" customHeight="1">
      <c r="A3925" s="2" t="s">
        <v>3925</v>
      </c>
      <c r="B3925" s="2" t="str">
        <f>IFERROR(__xludf.DUMMYFUNCTION("GOOGLETRANSLATE(A3925, ""en"", ""mt"")"),"Premju Mind fil-Mind Mentali Health Media Awards tal-2010")</f>
        <v>Premju Mind fil-Mind Mentali Health Media Awards tal-2010</v>
      </c>
    </row>
    <row r="3926" ht="15.75" customHeight="1">
      <c r="A3926" s="2" t="s">
        <v>3926</v>
      </c>
      <c r="B3926" s="2" t="str">
        <f>IFERROR(__xludf.DUMMYFUNCTION("GOOGLETRANSLATE(A3926, ""en"", ""mt"")"),"X'kien l-uniku reġjun fl-Ewropa li ma ħasibx mit-tribujiet Ġermaniċi?")</f>
        <v>X'kien l-uniku reġjun fl-Ewropa li ma ħasibx mit-tribujiet Ġermaniċi?</v>
      </c>
    </row>
    <row r="3927" ht="15.75" customHeight="1">
      <c r="A3927" s="2" t="s">
        <v>3927</v>
      </c>
      <c r="B3927" s="2" t="str">
        <f>IFERROR(__xludf.DUMMYFUNCTION("GOOGLETRANSLATE(A3927, ""en"", ""mt"")"),"ossiġnu likwidu")</f>
        <v>ossiġnu likwidu</v>
      </c>
    </row>
    <row r="3928" ht="15.75" customHeight="1">
      <c r="A3928" s="2" t="s">
        <v>3928</v>
      </c>
      <c r="B3928" s="2" t="str">
        <f>IFERROR(__xludf.DUMMYFUNCTION("GOOGLETRANSLATE(A3928, ""en"", ""mt"")"),"Kif huma rranġati l-plastoglobuli ta 'kloroplasti ħodor?")</f>
        <v>Kif huma rranġati l-plastoglobuli ta 'kloroplasti ħodor?</v>
      </c>
    </row>
    <row r="3929" ht="15.75" customHeight="1">
      <c r="A3929" s="2" t="s">
        <v>3929</v>
      </c>
      <c r="B3929" s="2" t="str">
        <f>IFERROR(__xludf.DUMMYFUNCTION("GOOGLETRANSLATE(A3929, ""en"", ""mt"")"),"kopertura mnaqqsa tal-veġetazzjoni tropikali niedja mnaqqsa")</f>
        <v>kopertura mnaqqsa tal-veġetazzjoni tropikali niedja mnaqqsa</v>
      </c>
    </row>
    <row r="3930" ht="15.75" customHeight="1">
      <c r="A3930" s="2" t="s">
        <v>3930</v>
      </c>
      <c r="B3930" s="2" t="str">
        <f>IFERROR(__xludf.DUMMYFUNCTION("GOOGLETRANSLATE(A3930, ""en"", ""mt"")"),"fl-1879")</f>
        <v>fl-1879</v>
      </c>
    </row>
    <row r="3931" ht="15.75" customHeight="1">
      <c r="A3931" s="2" t="s">
        <v>3931</v>
      </c>
      <c r="B3931" s="2" t="str">
        <f>IFERROR(__xludf.DUMMYFUNCTION("GOOGLETRANSLATE(A3931, ""en"", ""mt"")"),"X'inhu l-piż medju tal-bijomassa għal kull ettaru fl-Amażonja?")</f>
        <v>X'inhu l-piż medju tal-bijomassa għal kull ettaru fl-Amażonja?</v>
      </c>
    </row>
    <row r="3932" ht="15.75" customHeight="1">
      <c r="A3932" s="2" t="s">
        <v>3932</v>
      </c>
      <c r="B3932" s="2" t="str">
        <f>IFERROR(__xludf.DUMMYFUNCTION("GOOGLETRANSLATE(A3932, ""en"", ""mt"")"),"X'inhi n-nazzjonalità ta 'William Rankine?")</f>
        <v>X'inhi n-nazzjonalità ta 'William Rankine?</v>
      </c>
    </row>
    <row r="3933" ht="15.75" customHeight="1">
      <c r="A3933" s="2" t="s">
        <v>3933</v>
      </c>
      <c r="B3933" s="2" t="str">
        <f>IFERROR(__xludf.DUMMYFUNCTION("GOOGLETRANSLATE(A3933, ""en"", ""mt"")"),"Kemm il-Premju Grammy's it-test jgħid li rebħet Lady Gaga?")</f>
        <v>Kemm il-Premju Grammy's it-test jgħid li rebħet Lady Gaga?</v>
      </c>
    </row>
    <row r="3934" ht="15.75" customHeight="1">
      <c r="A3934" s="2" t="s">
        <v>3934</v>
      </c>
      <c r="B3934" s="2" t="str">
        <f>IFERROR(__xludf.DUMMYFUNCTION("GOOGLETRANSLATE(A3934, ""en"", ""mt"")"),"Għal liema tip ta 'teknoloġija li ħadem fuq Tesla rreferiet it-titolu?")</f>
        <v>Għal liema tip ta 'teknoloġija li ħadem fuq Tesla rreferiet it-titolu?</v>
      </c>
    </row>
    <row r="3935" ht="15.75" customHeight="1">
      <c r="A3935" s="2" t="s">
        <v>3935</v>
      </c>
      <c r="B3935" s="2" t="str">
        <f>IFERROR(__xludf.DUMMYFUNCTION("GOOGLETRANSLATE(A3935, ""en"", ""mt"")"),"1,294")</f>
        <v>1,294</v>
      </c>
    </row>
    <row r="3936" ht="15.75" customHeight="1">
      <c r="A3936" s="2" t="s">
        <v>3936</v>
      </c>
      <c r="B3936" s="2" t="str">
        <f>IFERROR(__xludf.DUMMYFUNCTION("GOOGLETRANSLATE(A3936, ""en"", ""mt"")"),"Ippjanar, [ċitazzjoni meħtieġa] disinn, u finanzjament")</f>
        <v>Ippjanar, [ċitazzjoni meħtieġa] disinn, u finanzjament</v>
      </c>
    </row>
    <row r="3937" ht="15.75" customHeight="1">
      <c r="A3937" s="2" t="s">
        <v>3937</v>
      </c>
      <c r="B3937" s="2" t="str">
        <f>IFERROR(__xludf.DUMMYFUNCTION("GOOGLETRANSLATE(A3937, ""en"", ""mt"")"),"Hija estensjoni loġika tal-magna kompost (deskritta hawn fuq) biex taqsam l-espansjoni fi stadji għadhom aktar biex tiżdied l-effiċjenza. Ir-riżultat huwa l-magna ta 'espansjoni multipla. Magni bħal dawn jużaw jew tlieta jew erba 'stadji ta' espansjoni u "&amp;"huma magħrufa bħala magni ta 'espansjoni tripla u quadruple rispettivament. Dawn il-magni jużaw serje ta 'ċilindri ta' dijametru li qed jiżdied progressivament. Dawn iċ-ċilindri huma ddisinjati biex jaqsmu x-xogħol f'ishma ugwali għal kull stadju ta 'espa"&amp;"nsjoni. Bħal fil-każ tal-magna ta 'espansjoni doppja, jekk l-ispazju jkun premium, allura żewġ ċilindri iżgħar jistgħu jintużaw għall-istadju ta' pressjoni baxxa. Magni ta 'espansjoni multipli tipikament kellhom iċ-ċilindri rranġati inline, iżda ġew użati"&amp;" diversi formazzjonijiet oħra. Fl-aħħar tas-seklu 19, is-sistema ta 'ibbilanċjar ta' Yarrow-Schlick-Tweedy intuża fuq xi magni ta 'espansjoni tripla tal-baħar. Il-magni Y-S-T qasmu l-istadji ta 'espansjoni ta' pressjoni baxxa bejn żewġ ċilindri, wieħed f'"&amp;"kull tarf tal-magna. Dan ippermetta li l-manovella tkun ibbilanċjata aħjar, li tirriżulta f'magna lixxa u li tirrispondi aktar malajr li dam b'inqas vibrazzjoni. Dan għamel il-magna ta '4 ċilindri ta' espansjoni tripla popolari ma 'inforor kbar tal-passiġ"&amp;"ġieri (bħall-klassi Olimpika), iżda dan ġie sostitwit fl-aħħar mill-magna tat-turbina kważi bla vibrazzjonijiet. [Ċitazzjoni meħtieġa]")</f>
        <v>Hija estensjoni loġika tal-magna kompost (deskritta hawn fuq) biex taqsam l-espansjoni fi stadji għadhom aktar biex tiżdied l-effiċjenza. Ir-riżultat huwa l-magna ta 'espansjoni multipla. Magni bħal dawn jużaw jew tlieta jew erba 'stadji ta' espansjoni u huma magħrufa bħala magni ta 'espansjoni tripla u quadruple rispettivament. Dawn il-magni jużaw serje ta 'ċilindri ta' dijametru li qed jiżdied progressivament. Dawn iċ-ċilindri huma ddisinjati biex jaqsmu x-xogħol f'ishma ugwali għal kull stadju ta 'espansjoni. Bħal fil-każ tal-magna ta 'espansjoni doppja, jekk l-ispazju jkun premium, allura żewġ ċilindri iżgħar jistgħu jintużaw għall-istadju ta' pressjoni baxxa. Magni ta 'espansjoni multipli tipikament kellhom iċ-ċilindri rranġati inline, iżda ġew użati diversi formazzjonijiet oħra. Fl-aħħar tas-seklu 19, is-sistema ta 'ibbilanċjar ta' Yarrow-Schlick-Tweedy intuża fuq xi magni ta 'espansjoni tripla tal-baħar. Il-magni Y-S-T qasmu l-istadji ta 'espansjoni ta' pressjoni baxxa bejn żewġ ċilindri, wieħed f'kull tarf tal-magna. Dan ippermetta li l-manovella tkun ibbilanċjata aħjar, li tirriżulta f'magna lixxa u li tirrispondi aktar malajr li dam b'inqas vibrazzjoni. Dan għamel il-magna ta '4 ċilindri ta' espansjoni tripla popolari ma 'inforor kbar tal-passiġġieri (bħall-klassi Olimpika), iżda dan ġie sostitwit fl-aħħar mill-magna tat-turbina kważi bla vibrazzjonijiet. [Ċitazzjoni meħtieġa]</v>
      </c>
    </row>
    <row r="3938" ht="15.75" customHeight="1">
      <c r="A3938" s="2" t="s">
        <v>3938</v>
      </c>
      <c r="B3938" s="2" t="str">
        <f>IFERROR(__xludf.DUMMYFUNCTION("GOOGLETRANSLATE(A3938, ""en"", ""mt"")"),"Esperimenti ta 'l-enerġija")</f>
        <v>Esperimenti ta 'l-enerġija</v>
      </c>
    </row>
    <row r="3939" ht="15.75" customHeight="1">
      <c r="A3939" s="2" t="s">
        <v>3939</v>
      </c>
      <c r="B3939" s="2" t="str">
        <f>IFERROR(__xludf.DUMMYFUNCTION("GOOGLETRANSLATE(A3939, ""en"", ""mt"")"),"1708")</f>
        <v>1708</v>
      </c>
    </row>
    <row r="3940" ht="15.75" customHeight="1">
      <c r="A3940" s="2" t="s">
        <v>3940</v>
      </c>
      <c r="B3940" s="2" t="str">
        <f>IFERROR(__xludf.DUMMYFUNCTION("GOOGLETRANSLATE(A3940, ""en"", ""mt"")"),"Dak li pprovda ħafna mill-bażi għall-istruttura tal-Parlament fl-1995?")</f>
        <v>Dak li pprovda ħafna mill-bażi għall-istruttura tal-Parlament fl-1995?</v>
      </c>
    </row>
    <row r="3941" ht="15.75" customHeight="1">
      <c r="A3941" s="2" t="s">
        <v>3941</v>
      </c>
      <c r="B3941" s="2" t="str">
        <f>IFERROR(__xludf.DUMMYFUNCTION("GOOGLETRANSLATE(A3941, ""en"", ""mt"")"),"X'jista 'jaħdem anki d-distribuzzjoni tal-ġid?")</f>
        <v>X'jista 'jaħdem anki d-distribuzzjoni tal-ġid?</v>
      </c>
    </row>
    <row r="3942" ht="15.75" customHeight="1">
      <c r="A3942" s="2" t="s">
        <v>3942</v>
      </c>
      <c r="B3942" s="2" t="str">
        <f>IFERROR(__xludf.DUMMYFUNCTION("GOOGLETRANSLATE(A3942, ""en"", ""mt"")"),"Artisti Pollakki u Internazzjonali a")</f>
        <v>Artisti Pollakki u Internazzjonali a</v>
      </c>
    </row>
    <row r="3943" ht="15.75" customHeight="1">
      <c r="A3943" s="2" t="s">
        <v>3943</v>
      </c>
      <c r="B3943" s="2" t="str">
        <f>IFERROR(__xludf.DUMMYFUNCTION("GOOGLETRANSLATE(A3943, ""en"", ""mt"")"),"X'distrett ta 'negozju ieħor jagħmel il-Kontea ta' Orange barra mill-belt ta 'Santa Ana u ċ-Ċentru ta' Newport?")</f>
        <v>X'distrett ta 'negozju ieħor jagħmel il-Kontea ta' Orange barra mill-belt ta 'Santa Ana u ċ-Ċentru ta' Newport?</v>
      </c>
    </row>
    <row r="3944" ht="15.75" customHeight="1">
      <c r="A3944" s="2" t="s">
        <v>3944</v>
      </c>
      <c r="B3944" s="2" t="str">
        <f>IFERROR(__xludf.DUMMYFUNCTION("GOOGLETRANSLATE(A3944, ""en"", ""mt"")"),"Ma 'liema kumpanija l-kumpanija ewlenija tan-Netwerk ABC ingħaqdet fis-snin 1980?")</f>
        <v>Ma 'liema kumpanija l-kumpanija ewlenija tan-Netwerk ABC ingħaqdet fis-snin 1980?</v>
      </c>
    </row>
    <row r="3945" ht="15.75" customHeight="1">
      <c r="A3945" s="2" t="s">
        <v>3945</v>
      </c>
      <c r="B3945" s="2" t="str">
        <f>IFERROR(__xludf.DUMMYFUNCTION("GOOGLETRANSLATE(A3945, ""en"", ""mt"")"),"L-uffiċċju l-ġdid tal-PM se jkollu l-poter u l-awtorità li jikkoordina u jissorvelja l-funzjonijiet tal-gvern u se jkun okkupat minn membru parlamentari elett li se jkun il-mexxej tal-partit jew tal-koalizzjoni ma 'membri tal-maġġoranza fil-parlament. Id-"&amp;"dinja rat lil Annan u l-bord tiegħu appoġġjat min-NU u l-president tal-Unjoni Afrikana Jakaya Kikwete hekk kif ġabru l-ex rivali għaċ-ċerimonja tal-iffirmar, beaming live fuq it-TV nazzjonali mill-passi tad-dar Harambee ta 'Nairobi. Fid-29 ta 'Frar 2008, "&amp;"rappreżentanti tal-PNU u ODM bdew jaħdmu fuq id-dettalji ifjen tal-ftehim ta' qsim ta 'enerġija. Il-leġislaturi Kenjani approvaw unanimament ftehim ta 'qsim ta' enerġija fit-18 ta 'Marzu 2008, immirat biex isalva pajjiż ġeneralment meqjus bħala wieħed mil"&amp;"l-aktar stabbli u sinjuri fl-Afrika. Il-ftehim ġab l-ODM tal-PNU u Odinga ta 'Kibaki flimkien u ħabbru l-formazzjoni tal-Koalizzjoni Grand, li fiha ż-żewġ partiti politiċi jaqsmu l-poter bl-istess mod.")</f>
        <v>L-uffiċċju l-ġdid tal-PM se jkollu l-poter u l-awtorità li jikkoordina u jissorvelja l-funzjonijiet tal-gvern u se jkun okkupat minn membru parlamentari elett li se jkun il-mexxej tal-partit jew tal-koalizzjoni ma 'membri tal-maġġoranza fil-parlament. Id-dinja rat lil Annan u l-bord tiegħu appoġġjat min-NU u l-president tal-Unjoni Afrikana Jakaya Kikwete hekk kif ġabru l-ex rivali għaċ-ċerimonja tal-iffirmar, beaming live fuq it-TV nazzjonali mill-passi tad-dar Harambee ta 'Nairobi. Fid-29 ta 'Frar 2008, rappreżentanti tal-PNU u ODM bdew jaħdmu fuq id-dettalji ifjen tal-ftehim ta' qsim ta 'enerġija. Il-leġislaturi Kenjani approvaw unanimament ftehim ta 'qsim ta' enerġija fit-18 ta 'Marzu 2008, immirat biex isalva pajjiż ġeneralment meqjus bħala wieħed mill-aktar stabbli u sinjuri fl-Afrika. Il-ftehim ġab l-ODM tal-PNU u Odinga ta 'Kibaki flimkien u ħabbru l-formazzjoni tal-Koalizzjoni Grand, li fiha ż-żewġ partiti politiċi jaqsmu l-poter bl-istess mod.</v>
      </c>
    </row>
    <row r="3946" ht="15.75" customHeight="1">
      <c r="A3946" s="2" t="s">
        <v>3946</v>
      </c>
      <c r="B3946" s="2" t="str">
        <f>IFERROR(__xludf.DUMMYFUNCTION("GOOGLETRANSLATE(A3946, ""en"", ""mt"")"),"proġetti ta 'kanalizzazzjoni")</f>
        <v>proġetti ta 'kanalizzazzjoni</v>
      </c>
    </row>
    <row r="3947" ht="15.75" customHeight="1">
      <c r="A3947" s="2" t="s">
        <v>3947</v>
      </c>
      <c r="B3947" s="2" t="str">
        <f>IFERROR(__xludf.DUMMYFUNCTION("GOOGLETRANSLATE(A3947, ""en"", ""mt"")"),"Kappillan Ortodoss Serb")</f>
        <v>Kappillan Ortodoss Serb</v>
      </c>
    </row>
    <row r="3948" ht="15.75" customHeight="1">
      <c r="A3948" s="2" t="s">
        <v>3948</v>
      </c>
      <c r="B3948" s="2" t="str">
        <f>IFERROR(__xludf.DUMMYFUNCTION("GOOGLETRANSLATE(A3948, ""en"", ""mt"")"),"Iċ-Ċentru tal-Quddiesa")</f>
        <v>Iċ-Ċentru tal-Quddiesa</v>
      </c>
    </row>
    <row r="3949" ht="15.75" customHeight="1">
      <c r="A3949" s="2" t="s">
        <v>3949</v>
      </c>
      <c r="B3949" s="2" t="str">
        <f>IFERROR(__xludf.DUMMYFUNCTION("GOOGLETRANSLATE(A3949, ""en"", ""mt"")"),"pittura, poeżija, u kaligrafija")</f>
        <v>pittura, poeżija, u kaligrafija</v>
      </c>
    </row>
    <row r="3950" ht="15.75" customHeight="1">
      <c r="A3950" s="2" t="s">
        <v>3950</v>
      </c>
      <c r="B3950" s="2" t="str">
        <f>IFERROR(__xludf.DUMMYFUNCTION("GOOGLETRANSLATE(A3950, ""en"", ""mt"")"),"Liema parti tal-mużew irċeviet l-ewwel xogħol ewlieni ta 'wara l-gwerra?")</f>
        <v>Liema parti tal-mużew irċeviet l-ewwel xogħol ewlieni ta 'wara l-gwerra?</v>
      </c>
    </row>
    <row r="3951" ht="15.75" customHeight="1">
      <c r="A3951" s="2" t="s">
        <v>3951</v>
      </c>
      <c r="B3951" s="2" t="str">
        <f>IFERROR(__xludf.DUMMYFUNCTION("GOOGLETRANSLATE(A3951, ""en"", ""mt"")"),"X'jiġġeneraw fortuni akbar?")</f>
        <v>X'jiġġeneraw fortuni akbar?</v>
      </c>
    </row>
    <row r="3952" ht="15.75" customHeight="1">
      <c r="A3952" s="2" t="s">
        <v>3952</v>
      </c>
      <c r="B3952" s="2" t="str">
        <f>IFERROR(__xludf.DUMMYFUNCTION("GOOGLETRANSLATE(A3952, ""en"", ""mt"")"),"Kemm kontestanti oħra l-kumpanija, li kienet murija r-riklam tagħhom b'xejn, għelbu?")</f>
        <v>Kemm kontestanti oħra l-kumpanija, li kienet murija r-riklam tagħhom b'xejn, għelbu?</v>
      </c>
    </row>
    <row r="3953" ht="15.75" customHeight="1">
      <c r="A3953" s="2" t="s">
        <v>3953</v>
      </c>
      <c r="B3953" s="2" t="str">
        <f>IFERROR(__xludf.DUMMYFUNCTION("GOOGLETRANSLATE(A3953, ""en"", ""mt"")"),"1849")</f>
        <v>1849</v>
      </c>
    </row>
    <row r="3954" ht="15.75" customHeight="1">
      <c r="A3954" s="2" t="s">
        <v>3954</v>
      </c>
      <c r="B3954" s="2" t="str">
        <f>IFERROR(__xludf.DUMMYFUNCTION("GOOGLETRANSLATE(A3954, ""en"", ""mt"")"),"Fejn kien rilokat ċinema waqt li kienu għaddejjin it-tiswijiet?")</f>
        <v>Fejn kien rilokat ċinema waqt li kienu għaddejjin it-tiswijiet?</v>
      </c>
    </row>
    <row r="3955" ht="15.75" customHeight="1">
      <c r="A3955" s="2" t="s">
        <v>3955</v>
      </c>
      <c r="B3955" s="2" t="str">
        <f>IFERROR(__xludf.DUMMYFUNCTION("GOOGLETRANSLATE(A3955, ""en"", ""mt"")"),"Integers Gaussjani")</f>
        <v>Integers Gaussjani</v>
      </c>
    </row>
    <row r="3956" ht="15.75" customHeight="1">
      <c r="A3956" s="2" t="s">
        <v>3956</v>
      </c>
      <c r="B3956" s="2" t="str">
        <f>IFERROR(__xludf.DUMMYFUNCTION("GOOGLETRANSLATE(A3956, ""en"", ""mt"")"),"kwalifiki")</f>
        <v>kwalifiki</v>
      </c>
    </row>
    <row r="3957" ht="15.75" customHeight="1">
      <c r="A3957" s="2" t="s">
        <v>3957</v>
      </c>
      <c r="B3957" s="2" t="str">
        <f>IFERROR(__xludf.DUMMYFUNCTION("GOOGLETRANSLATE(A3957, ""en"", ""mt"")"),"Għal liema tip ta 'organiżmi huwa tossiku bl-ossiġnu?")</f>
        <v>Għal liema tip ta 'organiżmi huwa tossiku bl-ossiġnu?</v>
      </c>
    </row>
    <row r="3958" ht="15.75" customHeight="1">
      <c r="A3958" s="2" t="s">
        <v>3958</v>
      </c>
      <c r="B3958" s="2" t="str">
        <f>IFERROR(__xludf.DUMMYFUNCTION("GOOGLETRANSLATE(A3958, ""en"", ""mt"")"),"Kemm btieħi Jordan Norwood irritorna punt biex jistabbilixxi r-rekord tas-Super Bowl?")</f>
        <v>Kemm btieħi Jordan Norwood irritorna punt biex jistabbilixxi r-rekord tas-Super Bowl?</v>
      </c>
    </row>
    <row r="3959" ht="15.75" customHeight="1">
      <c r="A3959" s="2" t="s">
        <v>3959</v>
      </c>
      <c r="B3959" s="2" t="str">
        <f>IFERROR(__xludf.DUMMYFUNCTION("GOOGLETRANSLATE(A3959, ""en"", ""mt"")"),"Standard tal-Kura Pastorali u l-Edukazzjoni Nisranija")</f>
        <v>Standard tal-Kura Pastorali u l-Edukazzjoni Nisranija</v>
      </c>
    </row>
    <row r="3960" ht="15.75" customHeight="1">
      <c r="A3960" s="2" t="s">
        <v>3960</v>
      </c>
      <c r="B3960" s="2" t="str">
        <f>IFERROR(__xludf.DUMMYFUNCTION("GOOGLETRANSLATE(A3960, ""en"", ""mt"")"),"ippeżat invers għad-daqs tal-istat membru")</f>
        <v>ippeżat invers għad-daqs tal-istat membru</v>
      </c>
    </row>
    <row r="3961" ht="15.75" customHeight="1">
      <c r="A3961" s="2" t="s">
        <v>3961</v>
      </c>
      <c r="B3961" s="2" t="str">
        <f>IFERROR(__xludf.DUMMYFUNCTION("GOOGLETRANSLATE(A3961, ""en"", ""mt"")"),"Fl-1872, il-Ferrovija Ċentrali tal-Paċifiku stabbilixxiet stazzjon qrib l-Easterby - minn issa razzett tal-qamħ immensament produttiv - għal-linja l-ġdida tagħha tan-Nofsinhar tal-Paċifiku. Hekk kien hemm maħżen madwar l-istazzjon u l-maħżen kiber il-belt"&amp;" ta 'Fresno Station, aktar tard imsejjaħ Fresno. Ħafna residenti ta 'Millerton, imfassla mill-konvenjenza tal-ferrovija u inkwetati dwar l-għargħar, marru jgħixu fil-komunità l-ġdida. Fresno sar belt inkorporata fl-1885. Sal-1931 il-Kumpanija ta 'Trazzjon"&amp;"i Fresno operat 47 streetcars fuq 49 mil ta' korsa.")</f>
        <v>Fl-1872, il-Ferrovija Ċentrali tal-Paċifiku stabbilixxiet stazzjon qrib l-Easterby - minn issa razzett tal-qamħ immensament produttiv - għal-linja l-ġdida tagħha tan-Nofsinhar tal-Paċifiku. Hekk kien hemm maħżen madwar l-istazzjon u l-maħżen kiber il-belt ta 'Fresno Station, aktar tard imsejjaħ Fresno. Ħafna residenti ta 'Millerton, imfassla mill-konvenjenza tal-ferrovija u inkwetati dwar l-għargħar, marru jgħixu fil-komunità l-ġdida. Fresno sar belt inkorporata fl-1885. Sal-1931 il-Kumpanija ta 'Trazzjoni Fresno operat 47 streetcars fuq 49 mil ta' korsa.</v>
      </c>
    </row>
    <row r="3962" ht="15.75" customHeight="1">
      <c r="A3962" s="2" t="s">
        <v>3962</v>
      </c>
      <c r="B3962" s="2" t="str">
        <f>IFERROR(__xludf.DUMMYFUNCTION("GOOGLETRANSLATE(A3962, ""en"", ""mt"")"),"Kemm kien għoli l-ħajt tal-ġebel mibni madwar Newcastle fis-seklu 13?")</f>
        <v>Kemm kien għoli l-ħajt tal-ġebel mibni madwar Newcastle fis-seklu 13?</v>
      </c>
    </row>
    <row r="3963" ht="15.75" customHeight="1">
      <c r="A3963" s="2" t="s">
        <v>3963</v>
      </c>
      <c r="B3963" s="2" t="str">
        <f>IFERROR(__xludf.DUMMYFUNCTION("GOOGLETRANSLATE(A3963, ""en"", ""mt"")"),"ir-relazzjoni tan-numru mal-valur korrispondenti tagħha tal-funzjoni totjenti ta 'Euler")</f>
        <v>ir-relazzjoni tan-numru mal-valur korrispondenti tagħha tal-funzjoni totjenti ta 'Euler</v>
      </c>
    </row>
    <row r="3964" ht="15.75" customHeight="1">
      <c r="A3964" s="2" t="s">
        <v>3964</v>
      </c>
      <c r="B3964" s="2" t="str">
        <f>IFERROR(__xludf.DUMMYFUNCTION("GOOGLETRANSLATE(A3964, ""en"", ""mt"")"),"folji helicoid")</f>
        <v>folji helicoid</v>
      </c>
    </row>
    <row r="3965" ht="15.75" customHeight="1">
      <c r="A3965" s="2" t="s">
        <v>3965</v>
      </c>
      <c r="B3965" s="2" t="str">
        <f>IFERROR(__xludf.DUMMYFUNCTION("GOOGLETRANSLATE(A3965, ""en"", ""mt"")"),"Dik iż-żieda kienet l-istess bħall-piż tal-arja li ġrew lura")</f>
        <v>Dik iż-żieda kienet l-istess bħall-piż tal-arja li ġrew lura</v>
      </c>
    </row>
    <row r="3966" ht="15.75" customHeight="1">
      <c r="A3966" s="2" t="s">
        <v>3966</v>
      </c>
      <c r="B3966" s="2" t="str">
        <f>IFERROR(__xludf.DUMMYFUNCTION("GOOGLETRANSLATE(A3966, ""en"", ""mt"")"),"jonqos")</f>
        <v>jonqos</v>
      </c>
    </row>
    <row r="3967" ht="15.75" customHeight="1">
      <c r="A3967" s="2" t="s">
        <v>3967</v>
      </c>
      <c r="B3967" s="2" t="str">
        <f>IFERROR(__xludf.DUMMYFUNCTION("GOOGLETRANSLATE(A3967, ""en"", ""mt"")"),"kikkra")</f>
        <v>kikkra</v>
      </c>
    </row>
    <row r="3968" ht="15.75" customHeight="1">
      <c r="A3968" s="2" t="s">
        <v>3968</v>
      </c>
      <c r="B3968" s="2" t="str">
        <f>IFERROR(__xludf.DUMMYFUNCTION("GOOGLETRANSLATE(A3968, ""en"", ""mt"")"),"Imblokka l-portijiet Franċiżi")</f>
        <v>Imblokka l-portijiet Franċiżi</v>
      </c>
    </row>
    <row r="3969" ht="15.75" customHeight="1">
      <c r="A3969" s="2" t="s">
        <v>3969</v>
      </c>
      <c r="B3969" s="2" t="str">
        <f>IFERROR(__xludf.DUMMYFUNCTION("GOOGLETRANSLATE(A3969, ""en"", ""mt"")"),"Il-proġett għandu jaderixxi mar-rekwiżiti tal-kodiċi taż-żona u tal-bini. Il-kostruzzjoni ta 'proġett li tonqos milli taderixxi mal-kodiċi ma tibbenefikax lis-sid. Xi ħtiġijiet legali jiġu minn malum f'kunsiderazzjonijiet SE, jew ix-xewqa li jiġu evitati "&amp;"affarijiet li huma indiskutibbli - il-pont jiġġarraf jew l-isplużjonijiet. Rekwiżiti legali oħra ġejjin minn konsiderazzjonijiet ta 'malum projbim, jew affarijiet li huma kwistjoni ta' drawwa jew aspettattiva, bħalma huma l-iżolament ta 'negozji għal dist"&amp;"rett ta' negozju u residenzi għal distrett residenzjali. Avukat jista 'jfittex bidliet jew eżenzjonijiet fil-liġi li jirregola l-art fejn se jinbena l-bini, jew billi jargumenta li regola mhix applikabbli (id-disinn tal-pont ma jikkawżax kollass), jew li "&amp;"d-drawwa m'għadhiex meħtieġa (aċċettazzjoni Spazji ta 'xogħol ħaj kiber fil-komunità).")</f>
        <v>Il-proġett għandu jaderixxi mar-rekwiżiti tal-kodiċi taż-żona u tal-bini. Il-kostruzzjoni ta 'proġett li tonqos milli taderixxi mal-kodiċi ma tibbenefikax lis-sid. Xi ħtiġijiet legali jiġu minn malum f'kunsiderazzjonijiet SE, jew ix-xewqa li jiġu evitati affarijiet li huma indiskutibbli - il-pont jiġġarraf jew l-isplużjonijiet. Rekwiżiti legali oħra ġejjin minn konsiderazzjonijiet ta 'malum projbim, jew affarijiet li huma kwistjoni ta' drawwa jew aspettattiva, bħalma huma l-iżolament ta 'negozji għal distrett ta' negozju u residenzi għal distrett residenzjali. Avukat jista 'jfittex bidliet jew eżenzjonijiet fil-liġi li jirregola l-art fejn se jinbena l-bini, jew billi jargumenta li regola mhix applikabbli (id-disinn tal-pont ma jikkawżax kollass), jew li d-drawwa m'għadhiex meħtieġa (aċċettazzjoni Spazji ta 'xogħol ħaj kiber fil-komunità).</v>
      </c>
    </row>
    <row r="3970" ht="15.75" customHeight="1">
      <c r="A3970" s="2" t="s">
        <v>3970</v>
      </c>
      <c r="B3970" s="2" t="str">
        <f>IFERROR(__xludf.DUMMYFUNCTION("GOOGLETRANSLATE(A3970, ""en"", ""mt"")"),"Min kellu l-aħjar rekord fl-NFC?")</f>
        <v>Min kellu l-aħjar rekord fl-NFC?</v>
      </c>
    </row>
    <row r="3971" ht="15.75" customHeight="1">
      <c r="A3971" s="2" t="s">
        <v>3971</v>
      </c>
      <c r="B3971" s="2" t="str">
        <f>IFERROR(__xludf.DUMMYFUNCTION("GOOGLETRANSLATE(A3971, ""en"", ""mt"")"),"Min kien l-ESPN Deportes Sideline kummentatur għas-Super Bowl 50?")</f>
        <v>Min kien l-ESPN Deportes Sideline kummentatur għas-Super Bowl 50?</v>
      </c>
    </row>
    <row r="3972" ht="15.75" customHeight="1">
      <c r="A3972" s="2" t="s">
        <v>3972</v>
      </c>
      <c r="B3972" s="2" t="str">
        <f>IFERROR(__xludf.DUMMYFUNCTION("GOOGLETRANSLATE(A3972, ""en"", ""mt"")"),"F’ħafna pajjiżi, hemm differenza fil-pagi bejn is-sessi favur l-irġiel fis-suq tax-xogħol. Diversi fatturi għajr diskriminazzjoni jistgħu jikkontribwixxu għal dan id-distakk. Bħala medja, in-nisa huma aktar probabbli mill-irġiel li jikkunsidraw fatturi oħ"&amp;"ra milli jħallsu meta jkunu qed ifittxu xogħol, u jistgħu jkunu inqas lesti li jivvjaġġaw jew jirrilokaw. Thomas Sowell, fl-għarfien u d-deċiżjonijiet tal-ktieb tiegħu, jiddikjara li din id-differenza hija dovuta għal nisa li ma jieħdu xogħol minħabba żwi"&amp;"eġ jew tqala, iżda studji dwar id-dħul juru li dan ma jispjegax id-differenza kollha. Ir-rapport ta 'ċensiment ta' l-Istati Uniti ddikjara li fl-Istati Uniti ladarba fatturi oħra huma kkontabilizzati għad hemm differenza fil-qligħ bejn in-nisa u l-irġiel."&amp;" Id-differenza fid-dħul f'pajjiżi oħra tvarja minn 53% fil-Botswana għal -40% fil-Baħrejn.")</f>
        <v>F’ħafna pajjiżi, hemm differenza fil-pagi bejn is-sessi favur l-irġiel fis-suq tax-xogħol. Diversi fatturi għajr diskriminazzjoni jistgħu jikkontribwixxu għal dan id-distakk. Bħala medja, in-nisa huma aktar probabbli mill-irġiel li jikkunsidraw fatturi oħra milli jħallsu meta jkunu qed ifittxu xogħol, u jistgħu jkunu inqas lesti li jivvjaġġaw jew jirrilokaw. Thomas Sowell, fl-għarfien u d-deċiżjonijiet tal-ktieb tiegħu, jiddikjara li din id-differenza hija dovuta għal nisa li ma jieħdu xogħol minħabba żwieġ jew tqala, iżda studji dwar id-dħul juru li dan ma jispjegax id-differenza kollha. Ir-rapport ta 'ċensiment ta' l-Istati Uniti ddikjara li fl-Istati Uniti ladarba fatturi oħra huma kkontabilizzati għad hemm differenza fil-qligħ bejn in-nisa u l-irġiel. Id-differenza fid-dħul f'pajjiżi oħra tvarja minn 53% fil-Botswana għal -40% fil-Baħrejn.</v>
      </c>
    </row>
    <row r="3973" ht="15.75" customHeight="1">
      <c r="A3973" s="2" t="s">
        <v>3973</v>
      </c>
      <c r="B3973" s="2" t="str">
        <f>IFERROR(__xludf.DUMMYFUNCTION("GOOGLETRANSLATE(A3973, ""en"", ""mt"")"),"Kif tawh it-tuturi ta 'Luther biex jittestja dak li tgħallem?")</f>
        <v>Kif tawh it-tuturi ta 'Luther biex jittestja dak li tgħallem?</v>
      </c>
    </row>
    <row r="3974" ht="15.75" customHeight="1">
      <c r="A3974" s="2" t="s">
        <v>3974</v>
      </c>
      <c r="B3974" s="2" t="str">
        <f>IFERROR(__xludf.DUMMYFUNCTION("GOOGLETRANSLATE(A3974, ""en"", ""mt"")"),"Meta kienu l-Gwerer tar-Reliġjon Franċiżi?")</f>
        <v>Meta kienu l-Gwerer tar-Reliġjon Franċiżi?</v>
      </c>
    </row>
    <row r="3975" ht="15.75" customHeight="1">
      <c r="A3975" s="2" t="s">
        <v>3975</v>
      </c>
      <c r="B3975" s="2" t="str">
        <f>IFERROR(__xludf.DUMMYFUNCTION("GOOGLETRANSLATE(A3975, ""en"", ""mt"")"),"Tekniki Musique Concrète")</f>
        <v>Tekniki Musique Concrète</v>
      </c>
    </row>
    <row r="3976" ht="15.75" customHeight="1">
      <c r="A3976" s="2" t="s">
        <v>3976</v>
      </c>
      <c r="B3976" s="2" t="str">
        <f>IFERROR(__xludf.DUMMYFUNCTION("GOOGLETRANSLATE(A3976, ""en"", ""mt"")"),"Projbizzjonijiet fuq kultura popolari barranija, kontroll tal-internet u platti tas-satellita mhux awtorizzati")</f>
        <v>Projbizzjonijiet fuq kultura popolari barranija, kontroll tal-internet u platti tas-satellita mhux awtorizzati</v>
      </c>
    </row>
    <row r="3977" ht="15.75" customHeight="1">
      <c r="A3977" s="2" t="s">
        <v>3977</v>
      </c>
      <c r="B3977" s="2" t="str">
        <f>IFERROR(__xludf.DUMMYFUNCTION("GOOGLETRANSLATE(A3977, ""en"", ""mt"")"),"Grazzja Prevenjenti Allows lil dawk imċappas minn X'għandek Tagħmel Għażla Li Taċċetta jew Tirrifjuta s-Salvazzjoni ta 'Alla fi Kristu?")</f>
        <v>Grazzja Prevenjenti Allows lil dawk imċappas minn X'għandek Tagħmel Għażla Li Taċċetta jew Tirrifjuta s-Salvazzjoni ta 'Alla fi Kristu?</v>
      </c>
    </row>
    <row r="3978" ht="15.75" customHeight="1">
      <c r="A3978" s="2" t="s">
        <v>3978</v>
      </c>
      <c r="B3978" s="2" t="str">
        <f>IFERROR(__xludf.DUMMYFUNCTION("GOOGLETRANSLATE(A3978, ""en"", ""mt"")"),"Kif hija miktuba l-kumplessità tal-ħin tal-agħar każ bħala espressjoni?")</f>
        <v>Kif hija miktuba l-kumplessità tal-ħin tal-agħar każ bħala espressjoni?</v>
      </c>
    </row>
    <row r="3979" ht="15.75" customHeight="1">
      <c r="A3979" s="2" t="s">
        <v>3979</v>
      </c>
      <c r="B3979" s="2" t="str">
        <f>IFERROR(__xludf.DUMMYFUNCTION("GOOGLETRANSLATE(A3979, ""en"", ""mt"")"),"tard wara nofsinhar")</f>
        <v>tard wara nofsinhar</v>
      </c>
    </row>
    <row r="3980" ht="15.75" customHeight="1">
      <c r="A3980" s="2" t="s">
        <v>3980</v>
      </c>
      <c r="B3980" s="2" t="str">
        <f>IFERROR(__xludf.DUMMYFUNCTION("GOOGLETRANSLATE(A3980, ""en"", ""mt"")"),"X'kienet id-differenza fl-età bejn Newton u Manning fis-Super Bowl 50?")</f>
        <v>X'kienet id-differenza fl-età bejn Newton u Manning fis-Super Bowl 50?</v>
      </c>
    </row>
    <row r="3981" ht="15.75" customHeight="1">
      <c r="A3981" s="2" t="s">
        <v>3981</v>
      </c>
      <c r="B3981" s="2" t="str">
        <f>IFERROR(__xludf.DUMMYFUNCTION("GOOGLETRANSLATE(A3981, ""en"", ""mt"")"),"il-fratellanza")</f>
        <v>il-fratellanza</v>
      </c>
    </row>
    <row r="3982" ht="15.75" customHeight="1">
      <c r="A3982" s="2" t="s">
        <v>3982</v>
      </c>
      <c r="B3982" s="2" t="str">
        <f>IFERROR(__xludf.DUMMYFUNCTION("GOOGLETRANSLATE(A3982, ""en"", ""mt"")"),"Kien hemm żewġ tipi ta 'netwerks X.25. Uħud bħal Datapac u Transpac")</f>
        <v>Kien hemm żewġ tipi ta 'netwerks X.25. Uħud bħal Datapac u Transpac</v>
      </c>
    </row>
    <row r="3983" ht="15.75" customHeight="1">
      <c r="A3983" s="2" t="s">
        <v>3983</v>
      </c>
      <c r="B3983" s="2" t="str">
        <f>IFERROR(__xludf.DUMMYFUNCTION("GOOGLETRANSLATE(A3983, ""en"", ""mt"")"),"Il-Port ta ’Marsilja Madwar Novembru 1347")</f>
        <v>Il-Port ta ’Marsilja Madwar Novembru 1347</v>
      </c>
    </row>
    <row r="3984" ht="15.75" customHeight="1">
      <c r="A3984" s="2" t="s">
        <v>3984</v>
      </c>
      <c r="B3984" s="2" t="str">
        <f>IFERROR(__xludf.DUMMYFUNCTION("GOOGLETRANSLATE(A3984, ""en"", ""mt"")"),"L-arkitettura Gotika hija rrappreżentata fil-knejjes maestużi iżda wkoll fid-djar u l-fortifikazzjonijiet tal-burgher. L-iktar bini sinifikanti huma l-Katidral ta ’San Ġwann (seklu 14), it-tempju huwa eżempju tipiku tal-hekk imsejħa stil Gotiku Masovjan, "&amp;"Santa Marija tal-Knisja (1411), dar tal-belt tal-familja Burbach (seklu 14), Gunpowder Tower (wara l-1379) u r-Royal Castle Curia Maior (1407-1410). L-iktar eżempji notevoli ta 'arkitettura ta' Rinaxximent fil-belt huma l-familja merkantili tad-dar ta 'Ba"&amp;"ryczko (1562), bini msejjaħ ""in-negro"" (seklu 17 kmieni) u l-fond ta' Salwator (1632). L-iktar eżempji interessanti ta 'arkitettura ta' manjerista huma l-Kastell Irjali (1596-1619) u l-Knisja tal-Ġiżwiti (1609-1626) fil-Belt il-Qadima. Fost l-ewwel stru"&amp;"tturi tal-Barokk bikri l-iktar importanti huma l-Knisja ta ’San Ġjaċint (1603-1639) u l-kolonna ta’ Sigismund (1644).")</f>
        <v>L-arkitettura Gotika hija rrappreżentata fil-knejjes maestużi iżda wkoll fid-djar u l-fortifikazzjonijiet tal-burgher. L-iktar bini sinifikanti huma l-Katidral ta ’San Ġwann (seklu 14), it-tempju huwa eżempju tipiku tal-hekk imsejħa stil Gotiku Masovjan, Santa Marija tal-Knisja (1411), dar tal-belt tal-familja Burbach (seklu 14), Gunpowder Tower (wara l-1379) u r-Royal Castle Curia Maior (1407-1410). L-iktar eżempji notevoli ta 'arkitettura ta' Rinaxximent fil-belt huma l-familja merkantili tad-dar ta 'Baryczko (1562), bini msejjaħ "in-negro" (seklu 17 kmieni) u l-fond ta' Salwator (1632). L-iktar eżempji interessanti ta 'arkitettura ta' manjerista huma l-Kastell Irjali (1596-1619) u l-Knisja tal-Ġiżwiti (1609-1626) fil-Belt il-Qadima. Fost l-ewwel strutturi tal-Barokk bikri l-iktar importanti huma l-Knisja ta ’San Ġjaċint (1603-1639) u l-kolonna ta’ Sigismund (1644).</v>
      </c>
    </row>
    <row r="3985" ht="15.75" customHeight="1">
      <c r="A3985" s="2" t="s">
        <v>3985</v>
      </c>
      <c r="B3985" s="2" t="str">
        <f>IFERROR(__xludf.DUMMYFUNCTION("GOOGLETRANSLATE(A3985, ""en"", ""mt"")"),"Frederick William")</f>
        <v>Frederick William</v>
      </c>
    </row>
    <row r="3986" ht="15.75" customHeight="1">
      <c r="A3986" s="2" t="s">
        <v>3986</v>
      </c>
      <c r="B3986" s="2" t="str">
        <f>IFERROR(__xludf.DUMMYFUNCTION("GOOGLETRANSLATE(A3986, ""en"", ""mt"")"),"F'liema sena BankAmericard biddel isimha?")</f>
        <v>F'liema sena BankAmericard biddel isimha?</v>
      </c>
    </row>
    <row r="3987" ht="15.75" customHeight="1">
      <c r="A3987" s="2" t="s">
        <v>3987</v>
      </c>
      <c r="B3987" s="2" t="str">
        <f>IFERROR(__xludf.DUMMYFUNCTION("GOOGLETRANSLATE(A3987, ""en"", ""mt"")"),"Il-Midalja Rumford")</f>
        <v>Il-Midalja Rumford</v>
      </c>
    </row>
    <row r="3988" ht="15.75" customHeight="1">
      <c r="A3988" s="2" t="s">
        <v>3988</v>
      </c>
      <c r="B3988" s="2" t="str">
        <f>IFERROR(__xludf.DUMMYFUNCTION("GOOGLETRANSLATE(A3988, ""en"", ""mt"")"),"1 ta 'Awwissu")</f>
        <v>1 ta 'Awwissu</v>
      </c>
    </row>
    <row r="3989" ht="15.75" customHeight="1">
      <c r="A3989" s="2" t="s">
        <v>3989</v>
      </c>
      <c r="B3989" s="2" t="str">
        <f>IFERROR(__xludf.DUMMYFUNCTION("GOOGLETRANSLATE(A3989, ""en"", ""mt"")"),"X'inhu l-isem tat-trofew li r-rebbieħa kollha tas-Super Bowl jirċievu?")</f>
        <v>X'inhu l-isem tat-trofew li r-rebbieħa kollha tas-Super Bowl jirċievu?</v>
      </c>
    </row>
    <row r="3990" ht="15.75" customHeight="1">
      <c r="A3990" s="2" t="s">
        <v>3990</v>
      </c>
      <c r="B3990" s="2" t="str">
        <f>IFERROR(__xludf.DUMMYFUNCTION("GOOGLETRANSLATE(A3990, ""en"", ""mt"")"),"Wang Khan")</f>
        <v>Wang Khan</v>
      </c>
    </row>
    <row r="3991" ht="15.75" customHeight="1">
      <c r="A3991" s="2" t="s">
        <v>3991</v>
      </c>
      <c r="B3991" s="2" t="str">
        <f>IFERROR(__xludf.DUMMYFUNCTION("GOOGLETRANSLATE(A3991, ""en"", ""mt"")"),"1273")</f>
        <v>1273</v>
      </c>
    </row>
    <row r="3992" ht="15.75" customHeight="1">
      <c r="A3992" s="2" t="s">
        <v>3992</v>
      </c>
      <c r="B3992" s="2" t="str">
        <f>IFERROR(__xludf.DUMMYFUNCTION("GOOGLETRANSLATE(A3992, ""en"", ""mt"")"),"Min ittratta lil Mike Tolbert u kkawża fumble?")</f>
        <v>Min ittratta lil Mike Tolbert u kkawża fumble?</v>
      </c>
    </row>
    <row r="3993" ht="15.75" customHeight="1">
      <c r="A3993" s="2" t="s">
        <v>3993</v>
      </c>
      <c r="B3993" s="2" t="str">
        <f>IFERROR(__xludf.DUMMYFUNCTION("GOOGLETRANSLATE(A3993, ""en"", ""mt"")"),"Fl-1968, ABC ħadet vantaġġ minn regolamenti ġodda ta 'sjieda tal-FCC li ppermettew lill-kumpaniji tax-xandir ikollhom massimu ta' seba 'stazzjonijiet tar-radju fuq livell nazzjonali sabiex jixtru l-istazzjonijiet tar-radju Houston KXYZ u KXYZ-FM għal $ 1 "&amp;"miljun f'ishma u $ 1.5 miljun f'bonds. Dik is-sena, Roone Arledge ġie msemmi president ta 'ABC Sports; Il-kumpanija waqqfet ukoll ABC Pictures, kumpanija tal-produzzjoni tal-films li ħarġet l-ewwel stampa tagħha dik is-sena, ir-Ralph Nelson-diretta Charly"&amp;". Ġie msejjaħ ABC Motion Pictures fl-1979; L-unità ġiet maħlula fl-1985. L-istudjo opera wkoll żewġ sussidjarji, Palomar Pictures International u Selmur Pictures. F'Lulju 1968, ABC kompla l-akkwisti tiegħu fis-settur tal-parks tad-divertiment bil-ftuħ ta "&amp;"'ABC Marine World f'Redwood City, California; Dak il-park inbiegħ fl-1972 u twaqqa 'fl-1986, bl-art li okkupat il-park aktar tard saret id-dar għall-kwartieri ġenerali ta' Oracle Corporation.")</f>
        <v>Fl-1968, ABC ħadet vantaġġ minn regolamenti ġodda ta 'sjieda tal-FCC li ppermettew lill-kumpaniji tax-xandir ikollhom massimu ta' seba 'stazzjonijiet tar-radju fuq livell nazzjonali sabiex jixtru l-istazzjonijiet tar-radju Houston KXYZ u KXYZ-FM għal $ 1 miljun f'ishma u $ 1.5 miljun f'bonds. Dik is-sena, Roone Arledge ġie msemmi president ta 'ABC Sports; Il-kumpanija waqqfet ukoll ABC Pictures, kumpanija tal-produzzjoni tal-films li ħarġet l-ewwel stampa tagħha dik is-sena, ir-Ralph Nelson-diretta Charly. Ġie msejjaħ ABC Motion Pictures fl-1979; L-unità ġiet maħlula fl-1985. L-istudjo opera wkoll żewġ sussidjarji, Palomar Pictures International u Selmur Pictures. F'Lulju 1968, ABC kompla l-akkwisti tiegħu fis-settur tal-parks tad-divertiment bil-ftuħ ta 'ABC Marine World f'Redwood City, California; Dak il-park inbiegħ fl-1972 u twaqqa 'fl-1986, bl-art li okkupat il-park aktar tard saret id-dar għall-kwartieri ġenerali ta' Oracle Corporation.</v>
      </c>
    </row>
    <row r="3994" ht="15.75" customHeight="1">
      <c r="A3994" s="2" t="s">
        <v>3994</v>
      </c>
      <c r="B3994" s="2" t="str">
        <f>IFERROR(__xludf.DUMMYFUNCTION("GOOGLETRANSLATE(A3994, ""en"", ""mt"")"),"Liema servizz huwa riċevitur tal-vidjow tar-Renju Unit iddedikat għad-decrypt?")</f>
        <v>Liema servizz huwa riċevitur tal-vidjow tar-Renju Unit iddedikat għad-decrypt?</v>
      </c>
    </row>
    <row r="3995" ht="15.75" customHeight="1">
      <c r="A3995" s="2" t="s">
        <v>3995</v>
      </c>
      <c r="B3995" s="2" t="str">
        <f>IFERROR(__xludf.DUMMYFUNCTION("GOOGLETRANSLATE(A3995, ""en"", ""mt"")"),"Disa 'staġuni")</f>
        <v>Disa 'staġuni</v>
      </c>
    </row>
    <row r="3996" ht="15.75" customHeight="1">
      <c r="A3996" s="2" t="s">
        <v>3996</v>
      </c>
      <c r="B3996" s="2" t="str">
        <f>IFERROR(__xludf.DUMMYFUNCTION("GOOGLETRANSLATE(A3996, ""en"", ""mt"")"),"UNEP")</f>
        <v>UNEP</v>
      </c>
    </row>
    <row r="3997" ht="15.75" customHeight="1">
      <c r="A3997" s="2" t="s">
        <v>3997</v>
      </c>
      <c r="B3997" s="2" t="str">
        <f>IFERROR(__xludf.DUMMYFUNCTION("GOOGLETRANSLATE(A3997, ""en"", ""mt"")"),"Surveyor 3")</f>
        <v>Surveyor 3</v>
      </c>
    </row>
    <row r="3998" ht="15.75" customHeight="1">
      <c r="A3998" s="2" t="s">
        <v>3998</v>
      </c>
      <c r="B3998" s="2" t="str">
        <f>IFERROR(__xludf.DUMMYFUNCTION("GOOGLETRANSLATE(A3998, ""en"", ""mt"")"),"X'inhuma l-iskejjel pubbliċi fir-Rabat?")</f>
        <v>X'inhuma l-iskejjel pubbliċi fir-Rabat?</v>
      </c>
    </row>
    <row r="3999" ht="15.75" customHeight="1">
      <c r="A3999" s="2" t="s">
        <v>3999</v>
      </c>
      <c r="B3999" s="2" t="str">
        <f>IFERROR(__xludf.DUMMYFUNCTION("GOOGLETRANSLATE(A3999, ""en"", ""mt"")"),"Feudaliżmu patrimonial")</f>
        <v>Feudaliżmu patrimonial</v>
      </c>
    </row>
    <row r="4000" ht="15.75" customHeight="1">
      <c r="A4000" s="2" t="s">
        <v>4000</v>
      </c>
      <c r="B4000" s="2" t="str">
        <f>IFERROR(__xludf.DUMMYFUNCTION("GOOGLETRANSLATE(A4000, ""en"", ""mt"")"),"ordnijiet reliġjużi")</f>
        <v>ordnijiet reliġjużi</v>
      </c>
    </row>
    <row r="4001" ht="15.75" customHeight="1">
      <c r="A4001" s="2" t="s">
        <v>4001</v>
      </c>
      <c r="B4001" s="2" t="str">
        <f>IFERROR(__xludf.DUMMYFUNCTION("GOOGLETRANSLATE(A4001, ""en"", ""mt"")"),"Linja ta '50 tarzna.")</f>
        <v>Linja ta '50 tarzna.</v>
      </c>
    </row>
    <row r="4002" ht="15.75" customHeight="1">
      <c r="A4002" s="2" t="s">
        <v>4002</v>
      </c>
      <c r="B4002" s="2" t="str">
        <f>IFERROR(__xludf.DUMMYFUNCTION("GOOGLETRANSLATE(A4002, ""en"", ""mt"")"),"X'inhuma xi ikel normali tal-kolazzjon?")</f>
        <v>X'inhuma xi ikel normali tal-kolazzjon?</v>
      </c>
    </row>
    <row r="4003" ht="15.75" customHeight="1">
      <c r="A4003" s="2" t="s">
        <v>4003</v>
      </c>
      <c r="B4003" s="2" t="str">
        <f>IFERROR(__xludf.DUMMYFUNCTION("GOOGLETRANSLATE(A4003, ""en"", ""mt"")"),"L-Oude Maas")</f>
        <v>L-Oude Maas</v>
      </c>
    </row>
    <row r="4004" ht="15.75" customHeight="1">
      <c r="A4004" s="2" t="s">
        <v>4004</v>
      </c>
      <c r="B4004" s="2" t="str">
        <f>IFERROR(__xludf.DUMMYFUNCTION("GOOGLETRANSLATE(A4004, ""en"", ""mt"")"),"Meta l-Ħamas issuq il-PLO barra minn Gaża?")</f>
        <v>Meta l-Ħamas issuq il-PLO barra minn Gaża?</v>
      </c>
    </row>
    <row r="4005" ht="15.75" customHeight="1">
      <c r="A4005" s="2" t="s">
        <v>4005</v>
      </c>
      <c r="B4005" s="2" t="str">
        <f>IFERROR(__xludf.DUMMYFUNCTION("GOOGLETRANSLATE(A4005, ""en"", ""mt"")"),"Flimkien ma 'Stephenson u Walschaerts, x'inhu eżempju ta' mozzjoni sempliċi?")</f>
        <v>Flimkien ma 'Stephenson u Walschaerts, x'inhu eżempju ta' mozzjoni sempliċi?</v>
      </c>
    </row>
    <row r="4006" ht="15.75" customHeight="1">
      <c r="A4006" s="2" t="s">
        <v>4006</v>
      </c>
      <c r="B4006" s="2" t="str">
        <f>IFERROR(__xludf.DUMMYFUNCTION("GOOGLETRANSLATE(A4006, ""en"", ""mt"")"),"diski statiċi)")</f>
        <v>diski statiċi)</v>
      </c>
    </row>
    <row r="4007" ht="15.75" customHeight="1">
      <c r="A4007" s="2" t="s">
        <v>4007</v>
      </c>
      <c r="B4007" s="2" t="str">
        <f>IFERROR(__xludf.DUMMYFUNCTION("GOOGLETRANSLATE(A4007, ""en"", ""mt"")"),"Chagatai")</f>
        <v>Chagatai</v>
      </c>
    </row>
    <row r="4008" ht="15.75" customHeight="1">
      <c r="A4008" s="2" t="s">
        <v>4008</v>
      </c>
      <c r="B4008" s="2" t="str">
        <f>IFERROR(__xludf.DUMMYFUNCTION("GOOGLETRANSLATE(A4008, ""en"", ""mt"")"),"Żwieġ bejn Han u Jurchen")</f>
        <v>Żwieġ bejn Han u Jurchen</v>
      </c>
    </row>
    <row r="4009" ht="15.75" customHeight="1">
      <c r="A4009" s="2" t="s">
        <v>4009</v>
      </c>
      <c r="B4009" s="2" t="str">
        <f>IFERROR(__xludf.DUMMYFUNCTION("GOOGLETRANSLATE(A4009, ""en"", ""mt"")"),"Il-maġġoranza tista 'tkun b'saħħitha imma mhux neċessarjament")</f>
        <v>Il-maġġoranza tista 'tkun b'saħħitha imma mhux neċessarjament</v>
      </c>
    </row>
    <row r="4010" ht="15.75" customHeight="1">
      <c r="A4010" s="2" t="s">
        <v>4010</v>
      </c>
      <c r="B4010" s="2" t="str">
        <f>IFERROR(__xludf.DUMMYFUNCTION("GOOGLETRANSLATE(A4010, ""en"", ""mt"")"),"Min ħa post Abercrombie bħala kmandant fil-kap?")</f>
        <v>Min ħa post Abercrombie bħala kmandant fil-kap?</v>
      </c>
    </row>
    <row r="4011" ht="15.75" customHeight="1">
      <c r="A4011" s="2" t="s">
        <v>4011</v>
      </c>
      <c r="B4011" s="2" t="str">
        <f>IFERROR(__xludf.DUMMYFUNCTION("GOOGLETRANSLATE(A4011, ""en"", ""mt"")"),"f’moħħu")</f>
        <v>f’moħħu</v>
      </c>
    </row>
    <row r="4012" ht="15.75" customHeight="1">
      <c r="A4012" s="2" t="s">
        <v>4012</v>
      </c>
      <c r="B4012" s="2" t="str">
        <f>IFERROR(__xludf.DUMMYFUNCTION("GOOGLETRANSLATE(A4012, ""en"", ""mt"")"),"Sa liema sena kien ibiegħ it-tfal fi skjavitù komuni fost il-Mongoli?")</f>
        <v>Sa liema sena kien ibiegħ it-tfal fi skjavitù komuni fost il-Mongoli?</v>
      </c>
    </row>
    <row r="4013" ht="15.75" customHeight="1">
      <c r="A4013" s="2" t="s">
        <v>4013</v>
      </c>
      <c r="B4013" s="2" t="str">
        <f>IFERROR(__xludf.DUMMYFUNCTION("GOOGLETRANSLATE(A4013, ""en"", ""mt"")"),"Deċiżjoni meħuda minn liema entità rrestawrat il-privattivi ta 'Tesla?")</f>
        <v>Deċiżjoni meħuda minn liema entità rrestawrat il-privattivi ta 'Tesla?</v>
      </c>
    </row>
    <row r="4014" ht="15.75" customHeight="1">
      <c r="A4014" s="2" t="s">
        <v>4014</v>
      </c>
      <c r="B4014" s="2" t="str">
        <f>IFERROR(__xludf.DUMMYFUNCTION("GOOGLETRANSLATE(A4014, ""en"", ""mt"")"),"Kemm affiljat primarju kellu ABC fl-1954?")</f>
        <v>Kemm affiljat primarju kellu ABC fl-1954?</v>
      </c>
    </row>
    <row r="4015" ht="15.75" customHeight="1">
      <c r="A4015" s="2" t="s">
        <v>4015</v>
      </c>
      <c r="B4015" s="2" t="str">
        <f>IFERROR(__xludf.DUMMYFUNCTION("GOOGLETRANSLATE(A4015, ""en"", ""mt"")"),"Magħmudija")</f>
        <v>Magħmudija</v>
      </c>
    </row>
    <row r="4016" ht="15.75" customHeight="1">
      <c r="A4016" s="2" t="s">
        <v>4016</v>
      </c>
      <c r="B4016" s="2" t="str">
        <f>IFERROR(__xludf.DUMMYFUNCTION("GOOGLETRANSLATE(A4016, ""en"", ""mt"")"),"bla piż")</f>
        <v>bla piż</v>
      </c>
    </row>
    <row r="4017" ht="15.75" customHeight="1">
      <c r="A4017" s="2" t="s">
        <v>4017</v>
      </c>
      <c r="B4017" s="2" t="str">
        <f>IFERROR(__xludf.DUMMYFUNCTION("GOOGLETRANSLATE(A4017, ""en"", ""mt"")"),"L-antikorpi jiġu trasferiti fl-imsaren tat-tarbija permezz ta 'xi tfisser?")</f>
        <v>L-antikorpi jiġu trasferiti fl-imsaren tat-tarbija permezz ta 'xi tfisser?</v>
      </c>
    </row>
    <row r="4018" ht="15.75" customHeight="1">
      <c r="A4018" s="2" t="s">
        <v>4018</v>
      </c>
      <c r="B4018" s="2" t="str">
        <f>IFERROR(__xludf.DUMMYFUNCTION("GOOGLETRANSLATE(A4018, ""en"", ""mt"")"),"Meta ġie ffirmat l-Att Nazzjonali tal-Awtostrada Nazzjonali?")</f>
        <v>Meta ġie ffirmat l-Att Nazzjonali tal-Awtostrada Nazzjonali?</v>
      </c>
    </row>
    <row r="4019" ht="15.75" customHeight="1">
      <c r="A4019" s="2" t="s">
        <v>4019</v>
      </c>
      <c r="B4019" s="2" t="str">
        <f>IFERROR(__xludf.DUMMYFUNCTION("GOOGLETRANSLATE(A4019, ""en"", ""mt"")"),"Tnejn miż-zijiet ta ’Tesla")</f>
        <v>Tnejn miż-zijiet ta ’Tesla</v>
      </c>
    </row>
    <row r="4020" ht="15.75" customHeight="1">
      <c r="A4020" s="2" t="s">
        <v>4020</v>
      </c>
      <c r="B4020" s="2" t="str">
        <f>IFERROR(__xludf.DUMMYFUNCTION("GOOGLETRANSLATE(A4020, ""en"", ""mt"")"),"Xi tfisser 'Pax Mongolica'?")</f>
        <v>Xi tfisser 'Pax Mongolica'?</v>
      </c>
    </row>
    <row r="4021" ht="15.75" customHeight="1">
      <c r="A4021" s="2" t="s">
        <v>4021</v>
      </c>
      <c r="B4021" s="2" t="str">
        <f>IFERROR(__xludf.DUMMYFUNCTION("GOOGLETRANSLATE(A4021, ""en"", ""mt"")"),"Stati u territorji individwali")</f>
        <v>Stati u territorji individwali</v>
      </c>
    </row>
    <row r="4022" ht="15.75" customHeight="1">
      <c r="A4022" s="2" t="s">
        <v>4022</v>
      </c>
      <c r="B4022" s="2" t="str">
        <f>IFERROR(__xludf.DUMMYFUNCTION("GOOGLETRANSLATE(A4022, ""en"", ""mt"")"),"Prezzijiet għoljin tal-fjuwil u kompetizzjoni ġdida")</f>
        <v>Prezzijiet għoljin tal-fjuwil u kompetizzjoni ġdida</v>
      </c>
    </row>
    <row r="4023" ht="15.75" customHeight="1">
      <c r="A4023" s="2" t="s">
        <v>4023</v>
      </c>
      <c r="B4023" s="2" t="str">
        <f>IFERROR(__xludf.DUMMYFUNCTION("GOOGLETRANSLATE(A4023, ""en"", ""mt"")"),"Mahmud Fami Naqrashi")</f>
        <v>Mahmud Fami Naqrashi</v>
      </c>
    </row>
    <row r="4024" ht="15.75" customHeight="1">
      <c r="A4024" s="2" t="s">
        <v>4024</v>
      </c>
      <c r="B4024" s="2" t="str">
        <f>IFERROR(__xludf.DUMMYFUNCTION("GOOGLETRANSLATE(A4024, ""en"", ""mt"")"),"24 sena")</f>
        <v>24 sena</v>
      </c>
    </row>
    <row r="4025" ht="15.75" customHeight="1">
      <c r="A4025" s="2" t="s">
        <v>4025</v>
      </c>
      <c r="B4025" s="2" t="str">
        <f>IFERROR(__xludf.DUMMYFUNCTION("GOOGLETRANSLATE(A4025, ""en"", ""mt"")"),"Ħin polinomjali")</f>
        <v>Ħin polinomjali</v>
      </c>
    </row>
    <row r="4026" ht="15.75" customHeight="1">
      <c r="A4026" s="2" t="s">
        <v>4026</v>
      </c>
      <c r="B4026" s="2" t="str">
        <f>IFERROR(__xludf.DUMMYFUNCTION("GOOGLETRANSLATE(A4026, ""en"", ""mt"")"),"Is-sistema tal-librerija tal-Università ta ’Chicago għandha kemm-il libreriji b’kollox?")</f>
        <v>Is-sistema tal-librerija tal-Università ta ’Chicago għandha kemm-il libreriji b’kollox?</v>
      </c>
    </row>
    <row r="4027" ht="15.75" customHeight="1">
      <c r="A4027" s="2" t="s">
        <v>4027</v>
      </c>
      <c r="B4027" s="2" t="str">
        <f>IFERROR(__xludf.DUMMYFUNCTION("GOOGLETRANSLATE(A4027, ""en"", ""mt"")"),"Fir-rigward tat-taħrika li tibgħatli biex nirtira, ma naħsibx lili nnifsi obbligat li nobdiha.")</f>
        <v>Fir-rigward tat-taħrika li tibgħatli biex nirtira, ma naħsibx lili nnifsi obbligat li nobdiha.</v>
      </c>
    </row>
    <row r="4028" ht="15.75" customHeight="1">
      <c r="A4028" s="2" t="s">
        <v>4028</v>
      </c>
      <c r="B4028" s="2" t="str">
        <f>IFERROR(__xludf.DUMMYFUNCTION("GOOGLETRANSLATE(A4028, ""en"", ""mt"")"),"melanomas")</f>
        <v>melanomas</v>
      </c>
    </row>
    <row r="4029" ht="15.75" customHeight="1">
      <c r="A4029" s="2" t="s">
        <v>4029</v>
      </c>
      <c r="B4029" s="2" t="str">
        <f>IFERROR(__xludf.DUMMYFUNCTION("GOOGLETRANSLATE(A4029, ""en"", ""mt"")"),"Abercrombie ġie mfakkar u mibdul")</f>
        <v>Abercrombie ġie mfakkar u mibdul</v>
      </c>
    </row>
    <row r="4030" ht="15.75" customHeight="1">
      <c r="A4030" s="2" t="s">
        <v>4030</v>
      </c>
      <c r="B4030" s="2" t="str">
        <f>IFERROR(__xludf.DUMMYFUNCTION("GOOGLETRANSLATE(A4030, ""en"", ""mt"")"),"Il-Ġnien Ċentrali mfassal mill-ġdid infetaħ fl-2005 b'liema moniker ġdid?")</f>
        <v>Il-Ġnien Ċentrali mfassal mill-ġdid infetaħ fl-2005 b'liema moniker ġdid?</v>
      </c>
    </row>
    <row r="4031" ht="15.75" customHeight="1">
      <c r="A4031" s="2" t="s">
        <v>4031</v>
      </c>
      <c r="B4031" s="2" t="str">
        <f>IFERROR(__xludf.DUMMYFUNCTION("GOOGLETRANSLATE(A4031, ""en"", ""mt"")"),"Fuq xiex konċentrat il-midja Virgin minflok toffri kanali lineari?")</f>
        <v>Fuq xiex konċentrat il-midja Virgin minflok toffri kanali lineari?</v>
      </c>
    </row>
    <row r="4032" ht="15.75" customHeight="1">
      <c r="A4032" s="2" t="s">
        <v>4032</v>
      </c>
      <c r="B4032" s="2" t="str">
        <f>IFERROR(__xludf.DUMMYFUNCTION("GOOGLETRANSLATE(A4032, ""en"", ""mt"")"),"Diffikultà inerenti")</f>
        <v>Diffikultà inerenti</v>
      </c>
    </row>
    <row r="4033" ht="15.75" customHeight="1">
      <c r="A4033" s="2" t="s">
        <v>4033</v>
      </c>
      <c r="B4033" s="2" t="str">
        <f>IFERROR(__xludf.DUMMYFUNCTION("GOOGLETRANSLATE(A4033, ""en"", ""mt"")"),"Wesleyan Qdusija Konsorzju")</f>
        <v>Wesleyan Qdusija Konsorzju</v>
      </c>
    </row>
    <row r="4034" ht="15.75" customHeight="1">
      <c r="A4034" s="2" t="s">
        <v>4034</v>
      </c>
      <c r="B4034" s="2" t="str">
        <f>IFERROR(__xludf.DUMMYFUNCTION("GOOGLETRANSLATE(A4034, ""en"", ""mt"")"),"Qrar u assoluzzjoni privata")</f>
        <v>Qrar u assoluzzjoni privata</v>
      </c>
    </row>
    <row r="4035" ht="15.75" customHeight="1">
      <c r="A4035" s="2" t="s">
        <v>4035</v>
      </c>
      <c r="B4035" s="2" t="str">
        <f>IFERROR(__xludf.DUMMYFUNCTION("GOOGLETRANSLATE(A4035, ""en"", ""mt"")"),"Kemm żejt importat ġie mill-Lvant Nofsani?")</f>
        <v>Kemm żejt importat ġie mill-Lvant Nofsani?</v>
      </c>
    </row>
    <row r="4036" ht="15.75" customHeight="1">
      <c r="A4036" s="2" t="s">
        <v>4036</v>
      </c>
      <c r="B4036" s="2" t="str">
        <f>IFERROR(__xludf.DUMMYFUNCTION("GOOGLETRANSLATE(A4036, ""en"", ""mt"")"),"2.8%")</f>
        <v>2.8%</v>
      </c>
    </row>
    <row r="4037" ht="15.75" customHeight="1">
      <c r="A4037" s="2" t="s">
        <v>4037</v>
      </c>
      <c r="B4037" s="2" t="str">
        <f>IFERROR(__xludf.DUMMYFUNCTION("GOOGLETRANSLATE(A4037, ""en"", ""mt"")"),"Min kien Filippu I?")</f>
        <v>Min kien Filippu I?</v>
      </c>
    </row>
    <row r="4038" ht="15.75" customHeight="1">
      <c r="A4038" s="2" t="s">
        <v>4038</v>
      </c>
      <c r="B4038" s="2" t="str">
        <f>IFERROR(__xludf.DUMMYFUNCTION("GOOGLETRANSLATE(A4038, ""en"", ""mt"")"),"Liema park huwa d-dar għaż-Żoo Fresno Chafffee?")</f>
        <v>Liema park huwa d-dar għaż-Żoo Fresno Chafffee?</v>
      </c>
    </row>
    <row r="4039" ht="15.75" customHeight="1">
      <c r="A4039" s="2" t="s">
        <v>4039</v>
      </c>
      <c r="B4039" s="2" t="str">
        <f>IFERROR(__xludf.DUMMYFUNCTION("GOOGLETRANSLATE(A4039, ""en"", ""mt"")"),"Grazzja prevenjenti")</f>
        <v>Grazzja prevenjenti</v>
      </c>
    </row>
    <row r="4040" ht="15.75" customHeight="1">
      <c r="A4040" s="2" t="s">
        <v>4040</v>
      </c>
      <c r="B4040" s="2" t="str">
        <f>IFERROR(__xludf.DUMMYFUNCTION("GOOGLETRANSLATE(A4040, ""en"", ""mt"")"),"15 ° C (59 ° F)")</f>
        <v>15 ° C (59 ° F)</v>
      </c>
    </row>
    <row r="4041" ht="15.75" customHeight="1">
      <c r="A4041" s="2" t="s">
        <v>4041</v>
      </c>
      <c r="B4041" s="2" t="str">
        <f>IFERROR(__xludf.DUMMYFUNCTION("GOOGLETRANSLATE(A4041, ""en"", ""mt"")"),"Burnout fuq il-post tax-xogħol")</f>
        <v>Burnout fuq il-post tax-xogħol</v>
      </c>
    </row>
    <row r="4042" ht="15.75" customHeight="1">
      <c r="A4042" s="2" t="s">
        <v>4042</v>
      </c>
      <c r="B4042" s="2" t="str">
        <f>IFERROR(__xludf.DUMMYFUNCTION("GOOGLETRANSLATE(A4042, ""en"", ""mt"")"),"Min fumbled il-ballun fit-3 u d-9?")</f>
        <v>Min fumbled il-ballun fit-3 u d-9?</v>
      </c>
    </row>
    <row r="4043" ht="15.75" customHeight="1">
      <c r="A4043" s="2" t="s">
        <v>4043</v>
      </c>
      <c r="B4043" s="2" t="str">
        <f>IFERROR(__xludf.DUMMYFUNCTION("GOOGLETRANSLATE(A4043, ""en"", ""mt"")"),"Xxxvii")</f>
        <v>Xxxvii</v>
      </c>
    </row>
    <row r="4044" ht="15.75" customHeight="1">
      <c r="A4044" s="2" t="s">
        <v>4044</v>
      </c>
      <c r="B4044" s="2" t="str">
        <f>IFERROR(__xludf.DUMMYFUNCTION("GOOGLETRANSLATE(A4044, ""en"", ""mt"")"),"Iżrael")</f>
        <v>Iżrael</v>
      </c>
    </row>
    <row r="4045" ht="15.75" customHeight="1">
      <c r="A4045" s="2" t="s">
        <v>4045</v>
      </c>
      <c r="B4045" s="2" t="str">
        <f>IFERROR(__xludf.DUMMYFUNCTION("GOOGLETRANSLATE(A4045, ""en"", ""mt"")"),"Metro jħarreġ Melbourne")</f>
        <v>Metro jħarreġ Melbourne</v>
      </c>
    </row>
    <row r="4046" ht="15.75" customHeight="1">
      <c r="A4046" s="2" t="s">
        <v>4046</v>
      </c>
      <c r="B4046" s="2" t="str">
        <f>IFERROR(__xludf.DUMMYFUNCTION("GOOGLETRANSLATE(A4046, ""en"", ""mt"")"),"Liema avveniment neħħa l-abilità tad-diskors tiegħu?")</f>
        <v>Liema avveniment neħħa l-abilità tad-diskors tiegħu?</v>
      </c>
    </row>
    <row r="4047" ht="15.75" customHeight="1">
      <c r="A4047" s="2" t="s">
        <v>4047</v>
      </c>
      <c r="B4047" s="2" t="str">
        <f>IFERROR(__xludf.DUMMYFUNCTION("GOOGLETRANSLATE(A4047, ""en"", ""mt"")"),"Fundatur ta 'knejjes Protestanti ġodda f'reġjuni kkontrollati mill-Kattoliċi")</f>
        <v>Fundatur ta 'knejjes Protestanti ġodda f'reġjuni kkontrollati mill-Kattoliċi</v>
      </c>
    </row>
    <row r="4048" ht="15.75" customHeight="1">
      <c r="A4048" s="2" t="s">
        <v>4048</v>
      </c>
      <c r="B4048" s="2" t="str">
        <f>IFERROR(__xludf.DUMMYFUNCTION("GOOGLETRANSLATE(A4048, ""en"", ""mt"")"),"tibda leġislazzjoni kontra x-xewqat tal-kummissjoni")</f>
        <v>tibda leġislazzjoni kontra x-xewqat tal-kummissjoni</v>
      </c>
    </row>
    <row r="4049" ht="15.75" customHeight="1">
      <c r="A4049" s="2" t="s">
        <v>4049</v>
      </c>
      <c r="B4049" s="2" t="str">
        <f>IFERROR(__xludf.DUMMYFUNCTION("GOOGLETRANSLATE(A4049, ""en"", ""mt"")"),"Flimkien mal-Istitut Amerikan tal-Inġiniera Elettriċi liema istitut ieħor eventwalment sar l-IEEE?")</f>
        <v>Flimkien mal-Istitut Amerikan tal-Inġiniera Elettriċi liema istitut ieħor eventwalment sar l-IEEE?</v>
      </c>
    </row>
    <row r="4050" ht="15.75" customHeight="1">
      <c r="A4050" s="2" t="s">
        <v>4050</v>
      </c>
      <c r="B4050" s="2" t="str">
        <f>IFERROR(__xludf.DUMMYFUNCTION("GOOGLETRANSLATE(A4050, ""en"", ""mt"")"),"X'inhi t-tifsira ewlenija tal-kolonjaliżmu?")</f>
        <v>X'inhi t-tifsira ewlenija tal-kolonjaliżmu?</v>
      </c>
    </row>
    <row r="4051" ht="15.75" customHeight="1">
      <c r="A4051" s="2" t="s">
        <v>4051</v>
      </c>
      <c r="B4051" s="2" t="str">
        <f>IFERROR(__xludf.DUMMYFUNCTION("GOOGLETRANSLATE(A4051, ""en"", ""mt"")"),"Madwar biljun sena ilu")</f>
        <v>Madwar biljun sena ilu</v>
      </c>
    </row>
    <row r="4052" ht="15.75" customHeight="1">
      <c r="A4052" s="2" t="s">
        <v>4052</v>
      </c>
      <c r="B4052" s="2" t="str">
        <f>IFERROR(__xludf.DUMMYFUNCTION("GOOGLETRANSLATE(A4052, ""en"", ""mt"")"),"il-mantell")</f>
        <v>il-mantell</v>
      </c>
    </row>
    <row r="4053" ht="15.75" customHeight="1">
      <c r="A4053" s="2" t="s">
        <v>4053</v>
      </c>
      <c r="B4053" s="2" t="str">
        <f>IFERROR(__xludf.DUMMYFUNCTION("GOOGLETRANSLATE(A4053, ""en"", ""mt"")"),"It-terminu ""Southern"" California ġeneralment jirreferi għal kemm mill-iktar kontej tan-Nofsinhar tal-istat?")</f>
        <v>It-terminu "Southern" California ġeneralment jirreferi għal kemm mill-iktar kontej tan-Nofsinhar tal-istat?</v>
      </c>
    </row>
    <row r="4054" ht="15.75" customHeight="1">
      <c r="A4054" s="2" t="s">
        <v>4054</v>
      </c>
      <c r="B4054" s="2" t="str">
        <f>IFERROR(__xludf.DUMMYFUNCTION("GOOGLETRANSLATE(A4054, ""en"", ""mt"")"),"is-seklu 17")</f>
        <v>is-seklu 17</v>
      </c>
    </row>
    <row r="4055" ht="15.75" customHeight="1">
      <c r="A4055" s="2" t="s">
        <v>4055</v>
      </c>
      <c r="B4055" s="2" t="str">
        <f>IFERROR(__xludf.DUMMYFUNCTION("GOOGLETRANSLATE(A4055, ""en"", ""mt"")"),"Waqgħa fil-livelli tad-demm ta 'kortisol u epinefrina tirriżulta f'żieda fil-livelli ta' liema ormoni?")</f>
        <v>Waqgħa fil-livelli tad-demm ta 'kortisol u epinefrina tirriżulta f'żieda fil-livelli ta' liema ormoni?</v>
      </c>
    </row>
    <row r="4056" ht="15.75" customHeight="1">
      <c r="A4056" s="2" t="s">
        <v>4056</v>
      </c>
      <c r="B4056" s="2" t="str">
        <f>IFERROR(__xludf.DUMMYFUNCTION("GOOGLETRANSLATE(A4056, ""en"", ""mt"")"),"Fl-oqbra tagħhom u fis-sema")</f>
        <v>Fl-oqbra tagħhom u fis-sema</v>
      </c>
    </row>
    <row r="4057" ht="15.75" customHeight="1">
      <c r="A4057" s="2" t="s">
        <v>4057</v>
      </c>
      <c r="B4057" s="2" t="str">
        <f>IFERROR(__xludf.DUMMYFUNCTION("GOOGLETRANSLATE(A4057, ""en"", ""mt"")"),"Von den juden und ihren lügen")</f>
        <v>Von den juden und ihren lügen</v>
      </c>
    </row>
    <row r="4058" ht="15.75" customHeight="1">
      <c r="A4058" s="2" t="s">
        <v>4058</v>
      </c>
      <c r="B4058" s="2" t="str">
        <f>IFERROR(__xludf.DUMMYFUNCTION("GOOGLETRANSLATE(A4058, ""en"", ""mt"")"),"Direttur tal-Programm Apollo")</f>
        <v>Direttur tal-Programm Apollo</v>
      </c>
    </row>
    <row r="4059" ht="15.75" customHeight="1">
      <c r="A4059" s="2" t="s">
        <v>4059</v>
      </c>
      <c r="B4059" s="2" t="str">
        <f>IFERROR(__xludf.DUMMYFUNCTION("GOOGLETRANSLATE(A4059, ""en"", ""mt"")"),"Kitbiet fil-volumi")</f>
        <v>Kitbiet fil-volumi</v>
      </c>
    </row>
    <row r="4060" ht="15.75" customHeight="1">
      <c r="A4060" s="2" t="s">
        <v>4060</v>
      </c>
      <c r="B4060" s="2" t="str">
        <f>IFERROR(__xludf.DUMMYFUNCTION("GOOGLETRANSLATE(A4060, ""en"", ""mt"")"),"nofs")</f>
        <v>nofs</v>
      </c>
    </row>
    <row r="4061" ht="15.75" customHeight="1">
      <c r="A4061" s="2" t="s">
        <v>4061</v>
      </c>
      <c r="B4061" s="2" t="str">
        <f>IFERROR(__xludf.DUMMYFUNCTION("GOOGLETRANSLATE(A4061, ""en"", ""mt"")"),"Liema ġeneru tal-mużika huwa kklassifikat bħala Lindisfarne?")</f>
        <v>Liema ġeneru tal-mużika huwa kklassifikat bħala Lindisfarne?</v>
      </c>
    </row>
    <row r="4062" ht="15.75" customHeight="1">
      <c r="A4062" s="2" t="s">
        <v>4062</v>
      </c>
      <c r="B4062" s="2" t="str">
        <f>IFERROR(__xludf.DUMMYFUNCTION("GOOGLETRANSLATE(A4062, ""en"", ""mt"")"),"Il-prinċipju ta 'inklużjonijiet u komponenti jiddikjara li, bi blat sedimentarji, jekk inklużjonijiet (jew clasts) jinstabu f'formazzjoni, allura l-inklużjonijiet għandhom ikunu eqdem mill-formazzjoni li fiha. Pereżempju, fil-blat sedimentarji, huwa komun"&amp;"i għal żrar minn formazzjoni anzjana li għandha tinqata 'u tkun inkluża f'saff aktar ġdid. Sitwazzjoni simili bi blat igneous isseħħ meta jinstabu xenoliti. Dawn il-korpi barranin jinġabru bħala flussi tal-magma jew tal-lava, u huma inkorporati, aktar tar"&amp;"d biex jiksħu fil-matriċi. Bħala riżultat, il-ksenoliti huma eqdem mill-blat li fih.")</f>
        <v>Il-prinċipju ta 'inklużjonijiet u komponenti jiddikjara li, bi blat sedimentarji, jekk inklużjonijiet (jew clasts) jinstabu f'formazzjoni, allura l-inklużjonijiet għandhom ikunu eqdem mill-formazzjoni li fiha. Pereżempju, fil-blat sedimentarji, huwa komuni għal żrar minn formazzjoni anzjana li għandha tinqata 'u tkun inkluża f'saff aktar ġdid. Sitwazzjoni simili bi blat igneous isseħħ meta jinstabu xenoliti. Dawn il-korpi barranin jinġabru bħala flussi tal-magma jew tal-lava, u huma inkorporati, aktar tard biex jiksħu fil-matriċi. Bħala riżultat, il-ksenoliti huma eqdem mill-blat li fih.</v>
      </c>
    </row>
    <row r="4063" ht="15.75" customHeight="1">
      <c r="A4063" s="2" t="s">
        <v>4063</v>
      </c>
      <c r="B4063" s="2" t="str">
        <f>IFERROR(__xludf.DUMMYFUNCTION("GOOGLETRANSLATE(A4063, ""en"", ""mt"")"),"ugwaljanza")</f>
        <v>ugwaljanza</v>
      </c>
    </row>
    <row r="4064" ht="15.75" customHeight="1">
      <c r="A4064" s="2" t="s">
        <v>4064</v>
      </c>
      <c r="B4064" s="2" t="str">
        <f>IFERROR(__xludf.DUMMYFUNCTION("GOOGLETRANSLATE(A4064, ""en"", ""mt"")"),"Liema moniker ieħor kien magħruf minn Jebe Ġenerali ta 'Genghis Khan?")</f>
        <v>Liema moniker ieħor kien magħruf minn Jebe Ġenerali ta 'Genghis Khan?</v>
      </c>
    </row>
    <row r="4065" ht="15.75" customHeight="1">
      <c r="A4065" s="2" t="s">
        <v>4065</v>
      </c>
      <c r="B4065" s="2" t="str">
        <f>IFERROR(__xludf.DUMMYFUNCTION("GOOGLETRANSLATE(A4065, ""en"", ""mt"")"),"tolleranza tad-diżubbidjenza ċivili")</f>
        <v>tolleranza tad-diżubbidjenza ċivili</v>
      </c>
    </row>
    <row r="4066" ht="15.75" customHeight="1">
      <c r="A4066" s="2" t="s">
        <v>4066</v>
      </c>
      <c r="B4066" s="2" t="str">
        <f>IFERROR(__xludf.DUMMYFUNCTION("GOOGLETRANSLATE(A4066, ""en"", ""mt"")"),"mgħallem")</f>
        <v>mgħallem</v>
      </c>
    </row>
    <row r="4067" ht="15.75" customHeight="1">
      <c r="A4067" s="2" t="s">
        <v>4067</v>
      </c>
      <c r="B4067" s="2" t="str">
        <f>IFERROR(__xludf.DUMMYFUNCTION("GOOGLETRANSLATE(A4067, ""en"", ""mt"")"),"it-Timucua")</f>
        <v>it-Timucua</v>
      </c>
    </row>
    <row r="4068" ht="15.75" customHeight="1">
      <c r="A4068" s="2" t="s">
        <v>4068</v>
      </c>
      <c r="B4068" s="2" t="str">
        <f>IFERROR(__xludf.DUMMYFUNCTION("GOOGLETRANSLATE(A4068, ""en"", ""mt"")"),"teknoloġiji u ideat")</f>
        <v>teknoloġiji u ideat</v>
      </c>
    </row>
    <row r="4069" ht="15.75" customHeight="1">
      <c r="A4069" s="2" t="s">
        <v>4069</v>
      </c>
      <c r="B4069" s="2" t="str">
        <f>IFERROR(__xludf.DUMMYFUNCTION("GOOGLETRANSLATE(A4069, ""en"", ""mt"")"),"Elway")</f>
        <v>Elway</v>
      </c>
    </row>
    <row r="4070" ht="15.75" customHeight="1">
      <c r="A4070" s="2" t="s">
        <v>4070</v>
      </c>
      <c r="B4070" s="2" t="str">
        <f>IFERROR(__xludf.DUMMYFUNCTION("GOOGLETRANSLATE(A4070, ""en"", ""mt"")"),"batterji")</f>
        <v>batterji</v>
      </c>
    </row>
    <row r="4071" ht="15.75" customHeight="1">
      <c r="A4071" s="2" t="s">
        <v>4071</v>
      </c>
      <c r="B4071" s="2" t="str">
        <f>IFERROR(__xludf.DUMMYFUNCTION("GOOGLETRANSLATE(A4071, ""en"", ""mt"")"),"Stroke apoplectic ċaħadlu mid-diskors tiegħu, u miet ftit wara fis-2.45 a.m. fit-18 ta 'Frar 1546, ta '62 sena, f'Eisleben, il-belt tat-twelid tiegħu. Huwa ndifen fil-Knisja tal-Kastell f'Wittenberg, taħt il-pulptu. Il-funeral kien miżmum mill-ħbieb tiegħ"&amp;"u Johannes Bugenhagen u Philipp Melanchthon. Sena wara, truppi tal-avversarju ta ’Luther Charles V, Imperatur Imqaddes Ruman daħlu fil-belt, iżda ġew ordnati minn Charles biex ma jiddisturbawx il-qabar.")</f>
        <v>Stroke apoplectic ċaħadlu mid-diskors tiegħu, u miet ftit wara fis-2.45 a.m. fit-18 ta 'Frar 1546, ta '62 sena, f'Eisleben, il-belt tat-twelid tiegħu. Huwa ndifen fil-Knisja tal-Kastell f'Wittenberg, taħt il-pulptu. Il-funeral kien miżmum mill-ħbieb tiegħu Johannes Bugenhagen u Philipp Melanchthon. Sena wara, truppi tal-avversarju ta ’Luther Charles V, Imperatur Imqaddes Ruman daħlu fil-belt, iżda ġew ordnati minn Charles biex ma jiddisturbawx il-qabar.</v>
      </c>
    </row>
    <row r="4072" ht="15.75" customHeight="1">
      <c r="A4072" s="2" t="s">
        <v>4072</v>
      </c>
      <c r="B4072" s="2" t="str">
        <f>IFERROR(__xludf.DUMMYFUNCTION("GOOGLETRANSLATE(A4072, ""en"", ""mt"")"),"X'inhu l-isem tal-operazzjoni tar-Renju Unit għal BSKYB?")</f>
        <v>X'inhu l-isem tal-operazzjoni tar-Renju Unit għal BSKYB?</v>
      </c>
    </row>
    <row r="4073" ht="15.75" customHeight="1">
      <c r="A4073" s="2" t="s">
        <v>4073</v>
      </c>
      <c r="B4073" s="2" t="str">
        <f>IFERROR(__xludf.DUMMYFUNCTION("GOOGLETRANSLATE(A4073, ""en"", ""mt"")"),"X'tip ta 'memorja kienet maħsuba li għandha Tesla?")</f>
        <v>X'tip ta 'memorja kienet maħsuba li għandha Tesla?</v>
      </c>
    </row>
    <row r="4074" ht="15.75" customHeight="1">
      <c r="A4074" s="2" t="s">
        <v>4074</v>
      </c>
      <c r="B4074" s="2" t="str">
        <f>IFERROR(__xludf.DUMMYFUNCTION("GOOGLETRANSLATE(A4074, ""en"", ""mt"")"),"Fl-1970, l-FCC ivvota biex tgħaddi r-regoli tal-interess finanzjarju u s-sindikazzjoni, sett ta 'regolamenti mmirati biex jipprevjenu n-netwerks ewlenin milli jimmonopolizzaw il-pajsaġġ tax-xandir billi jwaqqfuhom milli jippossjedu kwalunkwe programmazzjo"&amp;"ni tal-ħin ewlieni li xxandru. Fl-1972, ir-regoli l-ġodda rriżultaw fid-deċiżjoni tal-kumpanija li taqsam il-films ABC f'żewġ kumpaniji separati: il-WorldVision Enterprises eżistenti, li jipproduċu u jqassmu programmazzjoni għas-sindikazzjoni tal-Istati U"&amp;"niti, u ABC Circle Films bħala unità ta 'produzzjoni. WorldVision inbiegħ lil konsorzju ta ’eżekuttivi ta’ ABC għal kważi $ 10 miljun.")</f>
        <v>Fl-1970, l-FCC ivvota biex tgħaddi r-regoli tal-interess finanzjarju u s-sindikazzjoni, sett ta 'regolamenti mmirati biex jipprevjenu n-netwerks ewlenin milli jimmonopolizzaw il-pajsaġġ tax-xandir billi jwaqqfuhom milli jippossjedu kwalunkwe programmazzjoni tal-ħin ewlieni li xxandru. Fl-1972, ir-regoli l-ġodda rriżultaw fid-deċiżjoni tal-kumpanija li taqsam il-films ABC f'żewġ kumpaniji separati: il-WorldVision Enterprises eżistenti, li jipproduċu u jqassmu programmazzjoni għas-sindikazzjoni tal-Istati Uniti, u ABC Circle Films bħala unità ta 'produzzjoni. WorldVision inbiegħ lil konsorzju ta ’eżekuttivi ta’ ABC għal kważi $ 10 miljun.</v>
      </c>
    </row>
    <row r="4075" ht="15.75" customHeight="1">
      <c r="A4075" s="2" t="s">
        <v>4075</v>
      </c>
      <c r="B4075" s="2" t="str">
        <f>IFERROR(__xludf.DUMMYFUNCTION("GOOGLETRANSLATE(A4075, ""en"", ""mt"")"),"molekuli mhux awto")</f>
        <v>molekuli mhux awto</v>
      </c>
    </row>
    <row r="4076" ht="15.75" customHeight="1">
      <c r="A4076" s="2" t="s">
        <v>4076</v>
      </c>
      <c r="B4076" s="2" t="str">
        <f>IFERROR(__xludf.DUMMYFUNCTION("GOOGLETRANSLATE(A4076, ""en"", ""mt"")"),"Il-Qorti tal-Ġustizzja tal-Unjoni Ewropea (CJEU)")</f>
        <v>Il-Qorti tal-Ġustizzja tal-Unjoni Ewropea (CJEU)</v>
      </c>
    </row>
    <row r="4077" ht="15.75" customHeight="1">
      <c r="A4077" s="2" t="s">
        <v>4077</v>
      </c>
      <c r="B4077" s="2" t="str">
        <f>IFERROR(__xludf.DUMMYFUNCTION("GOOGLETRANSLATE(A4077, ""en"", ""mt"")"),"Quadrangles ewlenin")</f>
        <v>Quadrangles ewlenin</v>
      </c>
    </row>
    <row r="4078" ht="15.75" customHeight="1">
      <c r="A4078" s="2" t="s">
        <v>4078</v>
      </c>
      <c r="B4078" s="2" t="str">
        <f>IFERROR(__xludf.DUMMYFUNCTION("GOOGLETRANSLATE(A4078, ""en"", ""mt"")"),"Mill-1421 sal-1904")</f>
        <v>Mill-1421 sal-1904</v>
      </c>
    </row>
    <row r="4079" ht="15.75" customHeight="1">
      <c r="A4079" s="2" t="s">
        <v>4079</v>
      </c>
      <c r="B4079" s="2" t="str">
        <f>IFERROR(__xludf.DUMMYFUNCTION("GOOGLETRANSLATE(A4079, ""en"", ""mt"")"),"1947")</f>
        <v>1947</v>
      </c>
    </row>
    <row r="4080" ht="15.75" customHeight="1">
      <c r="A4080" s="2" t="s">
        <v>4080</v>
      </c>
      <c r="B4080" s="2" t="str">
        <f>IFERROR(__xludf.DUMMYFUNCTION("GOOGLETRANSLATE(A4080, ""en"", ""mt"")"),"L-użu tal-flus")</f>
        <v>L-użu tal-flus</v>
      </c>
    </row>
    <row r="4081" ht="15.75" customHeight="1">
      <c r="A4081" s="2" t="s">
        <v>4081</v>
      </c>
      <c r="B4081" s="2" t="str">
        <f>IFERROR(__xludf.DUMMYFUNCTION("GOOGLETRANSLATE(A4081, ""en"", ""mt"")"),"Paleoproterozoic")</f>
        <v>Paleoproterozoic</v>
      </c>
    </row>
    <row r="4082" ht="15.75" customHeight="1">
      <c r="A4082" s="2" t="s">
        <v>4082</v>
      </c>
      <c r="B4082" s="2" t="str">
        <f>IFERROR(__xludf.DUMMYFUNCTION("GOOGLETRANSLATE(A4082, ""en"", ""mt"")"),"Il-partit li ngħata siġġu huwa dak bl-ogħla x'inhu?")</f>
        <v>Il-partit li ngħata siġġu huwa dak bl-ogħla x'inhu?</v>
      </c>
    </row>
    <row r="4083" ht="15.75" customHeight="1">
      <c r="A4083" s="2" t="s">
        <v>4083</v>
      </c>
      <c r="B4083" s="2" t="str">
        <f>IFERROR(__xludf.DUMMYFUNCTION("GOOGLETRANSLATE(A4083, ""en"", ""mt"")"),"kittieb tal-innu")</f>
        <v>kittieb tal-innu</v>
      </c>
    </row>
    <row r="4084" ht="15.75" customHeight="1">
      <c r="A4084" s="2" t="s">
        <v>4084</v>
      </c>
      <c r="B4084" s="2" t="str">
        <f>IFERROR(__xludf.DUMMYFUNCTION("GOOGLETRANSLATE(A4084, ""en"", ""mt"")"),"il-Mail Daily")</f>
        <v>il-Mail Daily</v>
      </c>
    </row>
    <row r="4085" ht="15.75" customHeight="1">
      <c r="A4085" s="2" t="s">
        <v>4085</v>
      </c>
      <c r="B4085" s="2" t="str">
        <f>IFERROR(__xludf.DUMMYFUNCTION("GOOGLETRANSLATE(A4085, ""en"", ""mt"")"),"Mandatorju")</f>
        <v>Mandatorju</v>
      </c>
    </row>
    <row r="4086" ht="15.75" customHeight="1">
      <c r="A4086" s="2" t="s">
        <v>4086</v>
      </c>
      <c r="B4086" s="2" t="str">
        <f>IFERROR(__xludf.DUMMYFUNCTION("GOOGLETRANSLATE(A4086, ""en"", ""mt"")"),"Fl-1968, min mexxa lit-tim liema duttrina denominazzjonali sistematizzata?")</f>
        <v>Fl-1968, min mexxa lit-tim liema duttrina denominazzjonali sistematizzata?</v>
      </c>
    </row>
    <row r="4087" ht="15.75" customHeight="1">
      <c r="A4087" s="2" t="s">
        <v>4087</v>
      </c>
      <c r="B4087" s="2" t="str">
        <f>IFERROR(__xludf.DUMMYFUNCTION("GOOGLETRANSLATE(A4087, ""en"", ""mt"")"),"Musique Concrète")</f>
        <v>Musique Concrète</v>
      </c>
    </row>
    <row r="4088" ht="15.75" customHeight="1">
      <c r="A4088" s="2" t="s">
        <v>4088</v>
      </c>
      <c r="B4088" s="2" t="str">
        <f>IFERROR(__xludf.DUMMYFUNCTION("GOOGLETRANSLATE(A4088, ""en"", ""mt"")"),"2 millimetri")</f>
        <v>2 millimetri</v>
      </c>
    </row>
    <row r="4089" ht="15.75" customHeight="1">
      <c r="A4089" s="2" t="s">
        <v>4089</v>
      </c>
      <c r="B4089" s="2" t="str">
        <f>IFERROR(__xludf.DUMMYFUNCTION("GOOGLETRANSLATE(A4089, ""en"", ""mt"")"),"Liberaliżmu Ewropew")</f>
        <v>Liberaliżmu Ewropew</v>
      </c>
    </row>
    <row r="4090" ht="15.75" customHeight="1">
      <c r="A4090" s="2" t="s">
        <v>4090</v>
      </c>
      <c r="B4090" s="2" t="str">
        <f>IFERROR(__xludf.DUMMYFUNCTION("GOOGLETRANSLATE(A4090, ""en"", ""mt"")"),"Kemm kienet l-infiq akkwistat tan-NASA fuq il-proġett Apollo stmat li kien fl-2005 wara l-inflazzjoni?")</f>
        <v>Kemm kienet l-infiq akkwistat tan-NASA fuq il-proġett Apollo stmat li kien fl-2005 wara l-inflazzjoni?</v>
      </c>
    </row>
    <row r="4091" ht="15.75" customHeight="1">
      <c r="A4091" s="2" t="s">
        <v>4091</v>
      </c>
      <c r="B4091" s="2" t="str">
        <f>IFERROR(__xludf.DUMMYFUNCTION("GOOGLETRANSLATE(A4091, ""en"", ""mt"")"),"Hemm fruntiera approssimattiva bejn l-Isvizzera u liema pajjiż ieħor iffurmat mir-Renu?")</f>
        <v>Hemm fruntiera approssimattiva bejn l-Isvizzera u liema pajjiż ieħor iffurmat mir-Renu?</v>
      </c>
    </row>
    <row r="4092" ht="15.75" customHeight="1">
      <c r="A4092" s="2" t="s">
        <v>4092</v>
      </c>
      <c r="B4092" s="2" t="str">
        <f>IFERROR(__xludf.DUMMYFUNCTION("GOOGLETRANSLATE(A4092, ""en"", ""mt"")"),"Liema klassifikazzjoni għandha l-ispettaklu tas-Super Bowl 50 f'ħin il-mistrieħ fil-lista tax-xandiriet tat-TV l-iktar osservati?")</f>
        <v>Liema klassifikazzjoni għandha l-ispettaklu tas-Super Bowl 50 f'ħin il-mistrieħ fil-lista tax-xandiriet tat-TV l-iktar osservati?</v>
      </c>
    </row>
    <row r="4093" ht="15.75" customHeight="1">
      <c r="A4093" s="2" t="s">
        <v>4093</v>
      </c>
      <c r="B4093" s="2" t="str">
        <f>IFERROR(__xludf.DUMMYFUNCTION("GOOGLETRANSLATE(A4093, ""en"", ""mt"")"),"Mercedes-Benz Superdome,")</f>
        <v>Mercedes-Benz Superdome,</v>
      </c>
    </row>
    <row r="4094" ht="15.75" customHeight="1">
      <c r="A4094" s="2" t="s">
        <v>4094</v>
      </c>
      <c r="B4094" s="2" t="str">
        <f>IFERROR(__xludf.DUMMYFUNCTION("GOOGLETRANSLATE(A4094, ""en"", ""mt"")"),"32 ° C.")</f>
        <v>32 ° C.</v>
      </c>
    </row>
    <row r="4095" ht="15.75" customHeight="1">
      <c r="A4095" s="2" t="s">
        <v>4095</v>
      </c>
      <c r="B4095" s="2" t="str">
        <f>IFERROR(__xludf.DUMMYFUNCTION("GOOGLETRANSLATE(A4095, ""en"", ""mt"")"),"Liema ex-referi serva bħala analista għal CBS?")</f>
        <v>Liema ex-referi serva bħala analista għal CBS?</v>
      </c>
    </row>
    <row r="4096" ht="15.75" customHeight="1">
      <c r="A4096" s="2" t="s">
        <v>4096</v>
      </c>
      <c r="B4096" s="2" t="str">
        <f>IFERROR(__xludf.DUMMYFUNCTION("GOOGLETRANSLATE(A4096, ""en"", ""mt"")"),"F'liema sena Benjamin Lamme kiseb suċċess u għamel il-mutur aktar effiċjenti?")</f>
        <v>F'liema sena Benjamin Lamme kiseb suċċess u għamel il-mutur aktar effiċjenti?</v>
      </c>
    </row>
    <row r="4097" ht="15.75" customHeight="1">
      <c r="A4097" s="2" t="s">
        <v>4097</v>
      </c>
      <c r="B4097" s="2" t="str">
        <f>IFERROR(__xludf.DUMMYFUNCTION("GOOGLETRANSLATE(A4097, ""en"", ""mt"")"),"BSKYB iġorr xi kontroll fuq il-kwalità tal-istampa ta 'kanal?")</f>
        <v>BSKYB iġorr xi kontroll fuq il-kwalità tal-istampa ta 'kanal?</v>
      </c>
    </row>
    <row r="4098" ht="15.75" customHeight="1">
      <c r="A4098" s="2" t="s">
        <v>4098</v>
      </c>
      <c r="B4098" s="2" t="str">
        <f>IFERROR(__xludf.DUMMYFUNCTION("GOOGLETRANSLATE(A4098, ""en"", ""mt"")"),"X'hemm bżonn li jkun ikbar biex l-istess xogħol joħroġ minn fwar ta 'pressjoni aktar baxxa?")</f>
        <v>X'hemm bżonn li jkun ikbar biex l-istess xogħol joħroġ minn fwar ta 'pressjoni aktar baxxa?</v>
      </c>
    </row>
    <row r="4099" ht="15.75" customHeight="1">
      <c r="A4099" s="2" t="s">
        <v>4099</v>
      </c>
      <c r="B4099" s="2" t="str">
        <f>IFERROR(__xludf.DUMMYFUNCTION("GOOGLETRANSLATE(A4099, ""en"", ""mt"")"),"ex re ta 'Tebes")</f>
        <v>ex re ta 'Tebes</v>
      </c>
    </row>
    <row r="4100" ht="15.75" customHeight="1">
      <c r="A4100" s="2" t="s">
        <v>4100</v>
      </c>
      <c r="B4100" s="2" t="str">
        <f>IFERROR(__xludf.DUMMYFUNCTION("GOOGLETRANSLATE(A4100, ""en"", ""mt"")"),"Min qassam id-dmirijiet tal-ġenb ma 'Evan Washburn?")</f>
        <v>Min qassam id-dmirijiet tal-ġenb ma 'Evan Washburn?</v>
      </c>
    </row>
    <row r="4101" ht="15.75" customHeight="1">
      <c r="A4101" s="2" t="s">
        <v>4101</v>
      </c>
      <c r="B4101" s="2" t="str">
        <f>IFERROR(__xludf.DUMMYFUNCTION("GOOGLETRANSLATE(A4101, ""en"", ""mt"")"),"Id-Dinja trid tkun ferm eqdem milli suppost kien suppost")</f>
        <v>Id-Dinja trid tkun ferm eqdem milli suppost kien suppost</v>
      </c>
    </row>
    <row r="4102" ht="15.75" customHeight="1">
      <c r="A4102" s="2" t="s">
        <v>4102</v>
      </c>
      <c r="B4102" s="2" t="str">
        <f>IFERROR(__xludf.DUMMYFUNCTION("GOOGLETRANSLATE(A4102, ""en"", ""mt"")"),"Għaliex Tesla rritornat għand Gospic?")</f>
        <v>Għaliex Tesla rritornat għand Gospic?</v>
      </c>
    </row>
    <row r="4103" ht="15.75" customHeight="1">
      <c r="A4103" s="2" t="s">
        <v>4103</v>
      </c>
      <c r="B4103" s="2" t="str">
        <f>IFERROR(__xludf.DUMMYFUNCTION("GOOGLETRANSLATE(A4103, ""en"", ""mt"")"),"F'liema sena Fresno esperjenza l-iktar xita?")</f>
        <v>F'liema sena Fresno esperjenza l-iktar xita?</v>
      </c>
    </row>
    <row r="4104" ht="15.75" customHeight="1">
      <c r="A4104" s="2" t="s">
        <v>4104</v>
      </c>
      <c r="B4104" s="2" t="str">
        <f>IFERROR(__xludf.DUMMYFUNCTION("GOOGLETRANSLATE(A4104, ""en"", ""mt"")"),"Is-suċċess tal-ewwel żewġ inżul ippermetta li l-missjonijiet li fadal jiġu ekwipaġġ ma 'veteran wieħed bħala kmandant, b'żewġ rookies. Apollo 13 nedew Lovell, Jack Swigert, u Fred Haise f'April 1970, intitolati għall-Formazzjoni Fra Mauro. Imma jumejn bar"&amp;"ra, sploda tank tal-ossiġnu likwidu, diżattiva l-modulu tas-servizz u ġiegħel lill-ekwipaġġ juża l-LM bħala ""dgħajsa tal-ħajja"" biex tirritorna fid-Dinja. Bord ieħor ta 'reviżjoni tan-NASA ġie mlaqqa' biex jiddetermina l-kawża, li rriżulta li kienet taħ"&amp;"lita ta 'ħsara tat-tank fil-fabbrika, u sottokuntrattur li ma jagħmilx komponent tat-tank skont l-ispeċifikazzjonijiet tad-disinn aġġornati. Apollo reġa 'ġie ertjat, għall-bqija tal-1970 waqt li t-tank tal-ossiġnu ġie mfassal mill-ġdid u ġie miżjud żejjed"&amp;".")</f>
        <v>Is-suċċess tal-ewwel żewġ inżul ippermetta li l-missjonijiet li fadal jiġu ekwipaġġ ma 'veteran wieħed bħala kmandant, b'żewġ rookies. Apollo 13 nedew Lovell, Jack Swigert, u Fred Haise f'April 1970, intitolati għall-Formazzjoni Fra Mauro. Imma jumejn barra, sploda tank tal-ossiġnu likwidu, diżattiva l-modulu tas-servizz u ġiegħel lill-ekwipaġġ juża l-LM bħala "dgħajsa tal-ħajja" biex tirritorna fid-Dinja. Bord ieħor ta 'reviżjoni tan-NASA ġie mlaqqa' biex jiddetermina l-kawża, li rriżulta li kienet taħlita ta 'ħsara tat-tank fil-fabbrika, u sottokuntrattur li ma jagħmilx komponent tat-tank skont l-ispeċifikazzjonijiet tad-disinn aġġornati. Apollo reġa 'ġie ertjat, għall-bqija tal-1970 waqt li t-tank tal-ossiġnu ġie mfassal mill-ġdid u ġie miżjud żejjed.</v>
      </c>
    </row>
    <row r="4105" ht="15.75" customHeight="1">
      <c r="A4105" s="2" t="s">
        <v>4105</v>
      </c>
      <c r="B4105" s="2" t="str">
        <f>IFERROR(__xludf.DUMMYFUNCTION("GOOGLETRANSLATE(A4105, ""en"", ""mt"")"),"Fejn kienu l-irvellijiet ċatti tal-lambing?")</f>
        <v>Fejn kienu l-irvellijiet ċatti tal-lambing?</v>
      </c>
    </row>
    <row r="4106" ht="15.75" customHeight="1">
      <c r="A4106" s="2" t="s">
        <v>4106</v>
      </c>
      <c r="B4106" s="2" t="str">
        <f>IFERROR(__xludf.DUMMYFUNCTION("GOOGLETRANSLATE(A4106, ""en"", ""mt"")"),"ABC iddomina l-pajsaġġ tat-televiżjoni Amerikan matul is-snin sebgħin u l-bidu tas-snin 1980 (sal-1980, it-tliet netwerks ewlenin kienu jirrappreżentaw 90% tat-televiżjoni tat-televiżjoni ewlenin kollha fl-Istati Uniti). Bosta serje ewlenin iddebuttaw fuq"&amp;" in-netwerk matul dan iż-żmien fosthom Dynasty, drama opulenti minn Aaron Spelling li saret suċċess meta premiered bħala serje ta 'nofs it-tiswija fl-1981, ħames xhur qabel l-ABC l-oħra ta' Spelling li laqat Charlie Angels temm il-ġirja tiegħu. In-netwerk"&amp;" ġie mmexxi wkoll matul il-bidu tas-snin 1980 mis-suċċessi kontinwi ta 'Happy Days, il-kumpanija Three, Laverne &amp; Shirley u Fantasy Island, u kiseb suċċessi ġodda fil-viċin wisq għall-kumdità, SOAP Spinoff Benson u Happy Days Spinoff Mork &amp; Mindy. Fl-1981"&amp;", ABC (permezz tad-Diviżjoni tas-Servizzi tal-Vidjow ABC tagħha) nediet is-Servizz tat-Televiżjoni Repertorju Alpha (ARTS), kanal tal-kejbil imħaddem bħala impriża konġunta mal-Hearst Corporation li toffri programmazzjoni kulturali u tal-arti, li xxandar "&amp;"bħala servizz bil-lejl fuq l-ispazju tal-kanali ta 'Nickelodeon.")</f>
        <v>ABC iddomina l-pajsaġġ tat-televiżjoni Amerikan matul is-snin sebgħin u l-bidu tas-snin 1980 (sal-1980, it-tliet netwerks ewlenin kienu jirrappreżentaw 90% tat-televiżjoni tat-televiżjoni ewlenin kollha fl-Istati Uniti). Bosta serje ewlenin iddebuttaw fuq in-netwerk matul dan iż-żmien fosthom Dynasty, drama opulenti minn Aaron Spelling li saret suċċess meta premiered bħala serje ta 'nofs it-tiswija fl-1981, ħames xhur qabel l-ABC l-oħra ta' Spelling li laqat Charlie Angels temm il-ġirja tiegħu. In-netwerk ġie mmexxi wkoll matul il-bidu tas-snin 1980 mis-suċċessi kontinwi ta 'Happy Days, il-kumpanija Three, Laverne &amp; Shirley u Fantasy Island, u kiseb suċċessi ġodda fil-viċin wisq għall-kumdità, SOAP Spinoff Benson u Happy Days Spinoff Mork &amp; Mindy. Fl-1981, ABC (permezz tad-Diviżjoni tas-Servizzi tal-Vidjow ABC tagħha) nediet is-Servizz tat-Televiżjoni Repertorju Alpha (ARTS), kanal tal-kejbil imħaddem bħala impriża konġunta mal-Hearst Corporation li toffri programmazzjoni kulturali u tal-arti, li xxandar bħala servizz bil-lejl fuq l-ispazju tal-kanali ta 'Nickelodeon.</v>
      </c>
    </row>
    <row r="4107" ht="15.75" customHeight="1">
      <c r="A4107" s="2" t="s">
        <v>4107</v>
      </c>
      <c r="B4107" s="2" t="str">
        <f>IFERROR(__xludf.DUMMYFUNCTION("GOOGLETRANSLATE(A4107, ""en"", ""mt"")"),"1774")</f>
        <v>1774</v>
      </c>
    </row>
    <row r="4108" ht="15.75" customHeight="1">
      <c r="A4108" s="2" t="s">
        <v>4108</v>
      </c>
      <c r="B4108" s="2" t="str">
        <f>IFERROR(__xludf.DUMMYFUNCTION("GOOGLETRANSLATE(A4108, ""en"", ""mt"")"),"Għaliex illum l-eżempji tal-arkitettura Bouregois mhumiex viżibbli?")</f>
        <v>Għaliex illum l-eżempji tal-arkitettura Bouregois mhumiex viżibbli?</v>
      </c>
    </row>
    <row r="4109" ht="15.75" customHeight="1">
      <c r="A4109" s="2" t="s">
        <v>4109</v>
      </c>
      <c r="B4109" s="2" t="str">
        <f>IFERROR(__xludf.DUMMYFUNCTION("GOOGLETRANSLATE(A4109, ""en"", ""mt"")"),"ħolm")</f>
        <v>ħolm</v>
      </c>
    </row>
    <row r="4110" ht="15.75" customHeight="1">
      <c r="A4110" s="2" t="s">
        <v>4110</v>
      </c>
      <c r="B4110" s="2" t="str">
        <f>IFERROR(__xludf.DUMMYFUNCTION("GOOGLETRANSLATE(A4110, ""en"", ""mt"")"),"id-deżert tad-distrett ta 'Maine")</f>
        <v>id-deżert tad-distrett ta 'Maine</v>
      </c>
    </row>
    <row r="4111" ht="15.75" customHeight="1">
      <c r="A4111" s="2" t="s">
        <v>4111</v>
      </c>
      <c r="B4111" s="2" t="str">
        <f>IFERROR(__xludf.DUMMYFUNCTION("GOOGLETRANSLATE(A4111, ""en"", ""mt"")"),"Livelli ta 'liema affarijiet jintużaw biex jiddeterminaw il-fatturi ta' emissjoni?")</f>
        <v>Livelli ta 'liema affarijiet jintużaw biex jiddeterminaw il-fatturi ta' emissjoni?</v>
      </c>
    </row>
    <row r="4112" ht="15.75" customHeight="1">
      <c r="A4112" s="2" t="s">
        <v>4112</v>
      </c>
      <c r="B4112" s="2" t="str">
        <f>IFERROR(__xludf.DUMMYFUNCTION("GOOGLETRANSLATE(A4112, ""en"", ""mt"")"),"Liema ko-riċettur fuq iċ-ċellula T jgħin fir-rikonoxximent tal-kumpless MHC-antigen?")</f>
        <v>Liema ko-riċettur fuq iċ-ċellula T jgħin fir-rikonoxximent tal-kumpless MHC-antigen?</v>
      </c>
    </row>
    <row r="4113" ht="15.75" customHeight="1">
      <c r="A4113" s="2" t="s">
        <v>4113</v>
      </c>
      <c r="B4113" s="2" t="str">
        <f>IFERROR(__xludf.DUMMYFUNCTION("GOOGLETRANSLATE(A4113, ""en"", ""mt"")"),"Liema huwa aktar sofistikat, mudell numeriċi jew mudelli analogi ta 'kunjardi orogeniċi?")</f>
        <v>Liema huwa aktar sofistikat, mudell numeriċi jew mudelli analogi ta 'kunjardi orogeniċi?</v>
      </c>
    </row>
    <row r="4114" ht="15.75" customHeight="1">
      <c r="A4114" s="2" t="s">
        <v>4114</v>
      </c>
      <c r="B4114" s="2" t="str">
        <f>IFERROR(__xludf.DUMMYFUNCTION("GOOGLETRANSLATE(A4114, ""en"", ""mt"")"),"Il-Los Angeles Times")</f>
        <v>Il-Los Angeles Times</v>
      </c>
    </row>
    <row r="4115" ht="15.75" customHeight="1">
      <c r="A4115" s="2" t="s">
        <v>4115</v>
      </c>
      <c r="B4115" s="2" t="str">
        <f>IFERROR(__xludf.DUMMYFUNCTION("GOOGLETRANSLATE(A4115, ""en"", ""mt"")"),"Stromatoveris")</f>
        <v>Stromatoveris</v>
      </c>
    </row>
    <row r="4116" ht="15.75" customHeight="1">
      <c r="A4116" s="2" t="s">
        <v>4116</v>
      </c>
      <c r="B4116" s="2" t="str">
        <f>IFERROR(__xludf.DUMMYFUNCTION("GOOGLETRANSLATE(A4116, ""en"", ""mt"")"),"Il-magni tal-fwar huma magni ta 'kombustjoni esterna, fejn il-fluwidu tax-xogħol huwa separat mill-prodotti tal-kombustjoni. Sorsi ta 'sħana mhux kombustjoni bħal enerġija solari, enerġija nukleari jew enerġija ġeotermali jistgħu jintużaw. Iċ-ċiklu termod"&amp;"inamiku ideali użat biex janalizza dan il-proċess jissejjaħ iċ-ċiklu Rankine. Fiċ-ċiklu, l-ilma jissaħħan u jittrasforma fi fwar ġewwa bojler li jaħdem bi pressjoni għolja. Meta jitwessa 'permezz ta' pistuni jew turbini, isir xogħol mekkaniku. Il-fwar bi "&amp;"pressjoni mnaqqsa huwa mbagħad ikkondensat u ppumpjat lura fil-bojler.")</f>
        <v>Il-magni tal-fwar huma magni ta 'kombustjoni esterna, fejn il-fluwidu tax-xogħol huwa separat mill-prodotti tal-kombustjoni. Sorsi ta 'sħana mhux kombustjoni bħal enerġija solari, enerġija nukleari jew enerġija ġeotermali jistgħu jintużaw. Iċ-ċiklu termodinamiku ideali użat biex janalizza dan il-proċess jissejjaħ iċ-ċiklu Rankine. Fiċ-ċiklu, l-ilma jissaħħan u jittrasforma fi fwar ġewwa bojler li jaħdem bi pressjoni għolja. Meta jitwessa 'permezz ta' pistuni jew turbini, isir xogħol mekkaniku. Il-fwar bi pressjoni mnaqqsa huwa mbagħad ikkondensat u ppumpjat lura fil-bojler.</v>
      </c>
    </row>
    <row r="4117" ht="15.75" customHeight="1">
      <c r="A4117" s="2" t="s">
        <v>4117</v>
      </c>
      <c r="B4117" s="2" t="str">
        <f>IFERROR(__xludf.DUMMYFUNCTION("GOOGLETRANSLATE(A4117, ""en"", ""mt"")"),"Il-parti tan-nofsinhar tal-foresta tal-Amażonja kellha impatt prinċipalment min-nixfa f'liema sena?")</f>
        <v>Il-parti tan-nofsinhar tal-foresta tal-Amażonja kellha impatt prinċipalment min-nixfa f'liema sena?</v>
      </c>
    </row>
    <row r="4118" ht="15.75" customHeight="1">
      <c r="A4118" s="2" t="s">
        <v>4118</v>
      </c>
      <c r="B4118" s="2" t="str">
        <f>IFERROR(__xludf.DUMMYFUNCTION("GOOGLETRANSLATE(A4118, ""en"", ""mt"")"),"Min għamel kejl sperimentali fuq magna tal-fwar tal-mudell?")</f>
        <v>Min għamel kejl sperimentali fuq magna tal-fwar tal-mudell?</v>
      </c>
    </row>
    <row r="4119" ht="15.75" customHeight="1">
      <c r="A4119" s="2" t="s">
        <v>4119</v>
      </c>
      <c r="B4119" s="2" t="str">
        <f>IFERROR(__xludf.DUMMYFUNCTION("GOOGLETRANSLATE(A4119, ""en"", ""mt"")"),"Kemm hemm klassijiet ta 'sensittività eċċessiva immuni?")</f>
        <v>Kemm hemm klassijiet ta 'sensittività eċċessiva immuni?</v>
      </c>
    </row>
    <row r="4120" ht="15.75" customHeight="1">
      <c r="A4120" s="2" t="s">
        <v>4120</v>
      </c>
      <c r="B4120" s="2" t="str">
        <f>IFERROR(__xludf.DUMMYFUNCTION("GOOGLETRANSLATE(A4120, ""en"", ""mt"")"),"Eżenzjonijiet mit-taxxa")</f>
        <v>Eżenzjonijiet mit-taxxa</v>
      </c>
    </row>
    <row r="4121" ht="15.75" customHeight="1">
      <c r="A4121" s="2" t="s">
        <v>4121</v>
      </c>
      <c r="B4121" s="2" t="str">
        <f>IFERROR(__xludf.DUMMYFUNCTION("GOOGLETRANSLATE(A4121, ""en"", ""mt"")"),"Tama għall-kampanji fuq il-Lag Ontario, u pperikolat il-garnizon ta 'Oswego")</f>
        <v>Tama għall-kampanji fuq il-Lag Ontario, u pperikolat il-garnizon ta 'Oswego</v>
      </c>
    </row>
    <row r="4122" ht="15.75" customHeight="1">
      <c r="A4122" s="2" t="s">
        <v>4122</v>
      </c>
      <c r="B4122" s="2" t="str">
        <f>IFERROR(__xludf.DUMMYFUNCTION("GOOGLETRANSLATE(A4122, ""en"", ""mt"")"),"reġjuni l-aktar sħan")</f>
        <v>reġjuni l-aktar sħan</v>
      </c>
    </row>
    <row r="4123" ht="15.75" customHeight="1">
      <c r="A4123" s="2" t="s">
        <v>4123</v>
      </c>
      <c r="B4123" s="2" t="str">
        <f>IFERROR(__xludf.DUMMYFUNCTION("GOOGLETRANSLATE(A4123, ""en"", ""mt"")"),"Għajnuna tistabbilizza l-kumplament tal-ġenoma tal-kloroplast")</f>
        <v>Għajnuna tistabbilizza l-kumplament tal-ġenoma tal-kloroplast</v>
      </c>
    </row>
    <row r="4124" ht="15.75" customHeight="1">
      <c r="A4124" s="2" t="s">
        <v>4124</v>
      </c>
      <c r="B4124" s="2" t="str">
        <f>IFERROR(__xludf.DUMMYFUNCTION("GOOGLETRANSLATE(A4124, ""en"", ""mt"")"),"Meta byantu jerġa 'jibda jittestja impjegati potenzjali tal-gvern?")</f>
        <v>Meta byantu jerġa 'jibda jittestja impjegati potenzjali tal-gvern?</v>
      </c>
    </row>
    <row r="4125" ht="15.75" customHeight="1">
      <c r="A4125" s="2" t="s">
        <v>4125</v>
      </c>
      <c r="B4125" s="2" t="str">
        <f>IFERROR(__xludf.DUMMYFUNCTION("GOOGLETRANSLATE(A4125, ""en"", ""mt"")"),"""Ġeneralment bla bażi u marġinali wkoll għall-valutazzjoni""")</f>
        <v>"Ġeneralment bla bażi u marġinali wkoll għall-valutazzjoni"</v>
      </c>
    </row>
    <row r="4126" ht="15.75" customHeight="1">
      <c r="A4126" s="2" t="s">
        <v>4126</v>
      </c>
      <c r="B4126" s="2" t="str">
        <f>IFERROR(__xludf.DUMMYFUNCTION("GOOGLETRANSLATE(A4126, ""en"", ""mt"")"),"Min kien it-tielet rivali maġġuri ta 'ABC fl-1949?")</f>
        <v>Min kien it-tielet rivali maġġuri ta 'ABC fl-1949?</v>
      </c>
    </row>
    <row r="4127" ht="15.75" customHeight="1">
      <c r="A4127" s="2" t="s">
        <v>4127</v>
      </c>
      <c r="B4127" s="2" t="str">
        <f>IFERROR(__xludf.DUMMYFUNCTION("GOOGLETRANSLATE(A4127, ""en"", ""mt"")"),"Dtime (f (n)).")</f>
        <v>Dtime (f (n)).</v>
      </c>
    </row>
    <row r="4128" ht="15.75" customHeight="1">
      <c r="A4128" s="2" t="s">
        <v>4128</v>
      </c>
      <c r="B4128" s="2" t="str">
        <f>IFERROR(__xludf.DUMMYFUNCTION("GOOGLETRANSLATE(A4128, ""en"", ""mt"")"),"1977")</f>
        <v>1977</v>
      </c>
    </row>
    <row r="4129" ht="15.75" customHeight="1">
      <c r="A4129" s="2" t="s">
        <v>4129</v>
      </c>
      <c r="B4129" s="2" t="str">
        <f>IFERROR(__xludf.DUMMYFUNCTION("GOOGLETRANSLATE(A4129, ""en"", ""mt"")"),"Fil-kloroplasti tal-pjanti C4,")</f>
        <v>Fil-kloroplasti tal-pjanti C4,</v>
      </c>
    </row>
    <row r="4130" ht="15.75" customHeight="1">
      <c r="A4130" s="2" t="s">
        <v>4130</v>
      </c>
      <c r="B4130" s="2" t="str">
        <f>IFERROR(__xludf.DUMMYFUNCTION("GOOGLETRANSLATE(A4130, ""en"", ""mt"")"),"Spazji ħodor oħra fil-belt jinkludu l-Ġnien Botaniku u l-Ġnien tal-Librerija tal-Università. Huma għandhom ġabra botanika estensiva ta 'pjanti domestiċi u barranin rari, filwaqt li dar tal-palm fl-oranġerija l-ġdida turi pjanti ta' subtropiċi mid-dinja ko"&amp;"llha. Barra minn hekk, fil-fruntieri tal-belt, hemm ukoll: Pole Mokotowskie (park kbir fil-Mokotów tat-Tramuntana, fejn kien l-ewwel korsa taż-żwiemel u mbagħad l-ajruport), Park Ujazdowski (viċin it-Triq SEJM u John Lennon), Park tal-Kultura), Park tal-K"&amp;"ultura u mistrieħ f'Powsin, mill-fruntiera tan-Nofsinhar tal-Belt, Park Skaryszewski mill-Vistula Bank tal-lemin, fi Praga. L-eqdem park fi Praga, il-Park Praga, ġie stabbilit fl-1865-1871 u ddisinjat minn Jan Dobrowolski. Fl-1927 ġie stabbilit ġnien żool"&amp;"oġiku (Ogród Zoologiczny) fuq il-bażi tal-park, u fl-1952 ġirja tal-ors, għadha miftuħa sal-lum.")</f>
        <v>Spazji ħodor oħra fil-belt jinkludu l-Ġnien Botaniku u l-Ġnien tal-Librerija tal-Università. Huma għandhom ġabra botanika estensiva ta 'pjanti domestiċi u barranin rari, filwaqt li dar tal-palm fl-oranġerija l-ġdida turi pjanti ta' subtropiċi mid-dinja kollha. Barra minn hekk, fil-fruntieri tal-belt, hemm ukoll: Pole Mokotowskie (park kbir fil-Mokotów tat-Tramuntana, fejn kien l-ewwel korsa taż-żwiemel u mbagħad l-ajruport), Park Ujazdowski (viċin it-Triq SEJM u John Lennon), Park tal-Kultura), Park tal-Kultura u mistrieħ f'Powsin, mill-fruntiera tan-Nofsinhar tal-Belt, Park Skaryszewski mill-Vistula Bank tal-lemin, fi Praga. L-eqdem park fi Praga, il-Park Praga, ġie stabbilit fl-1865-1871 u ddisinjat minn Jan Dobrowolski. Fl-1927 ġie stabbilit ġnien żooloġiku (Ogród Zoologiczny) fuq il-bażi tal-park, u fl-1952 ġirja tal-ors, għadha miftuħa sal-lum.</v>
      </c>
    </row>
    <row r="4131" ht="15.75" customHeight="1">
      <c r="A4131" s="2" t="s">
        <v>4131</v>
      </c>
      <c r="B4131" s="2" t="str">
        <f>IFERROR(__xludf.DUMMYFUNCTION("GOOGLETRANSLATE(A4131, ""en"", ""mt"")"),"Kemm żied id-dħul tar-reklamar għal ABC bejn l-1953 u l-1958?")</f>
        <v>Kemm żied id-dħul tar-reklamar għal ABC bejn l-1953 u l-1958?</v>
      </c>
    </row>
    <row r="4132" ht="15.75" customHeight="1">
      <c r="A4132" s="2" t="s">
        <v>4132</v>
      </c>
      <c r="B4132" s="2" t="str">
        <f>IFERROR(__xludf.DUMMYFUNCTION("GOOGLETRANSLATE(A4132, ""en"", ""mt"")"),"l-animosità tagħhom lejn xulxin")</f>
        <v>l-animosità tagħhom lejn xulxin</v>
      </c>
    </row>
    <row r="4133" ht="15.75" customHeight="1">
      <c r="A4133" s="2" t="s">
        <v>4133</v>
      </c>
      <c r="B4133" s="2" t="str">
        <f>IFERROR(__xludf.DUMMYFUNCTION("GOOGLETRANSLATE(A4133, ""en"", ""mt"")"),"aċċessjonijiet")</f>
        <v>aċċessjonijiet</v>
      </c>
    </row>
    <row r="4134" ht="15.75" customHeight="1">
      <c r="A4134" s="2" t="s">
        <v>4134</v>
      </c>
      <c r="B4134" s="2" t="str">
        <f>IFERROR(__xludf.DUMMYFUNCTION("GOOGLETRANSLATE(A4134, ""en"", ""mt"")"),"Lista kompluta ta 'primes sa hija magħrufa")</f>
        <v>Lista kompluta ta 'primes sa hija magħrufa</v>
      </c>
    </row>
    <row r="4135" ht="15.75" customHeight="1">
      <c r="A4135" s="2" t="s">
        <v>4135</v>
      </c>
      <c r="B4135" s="2" t="str">
        <f>IFERROR(__xludf.DUMMYFUNCTION("GOOGLETRANSLATE(A4135, ""en"", ""mt"")"),"Artijiet fil-punent tal-Muntanji Appalaċi")</f>
        <v>Artijiet fil-punent tal-Muntanji Appalaċi</v>
      </c>
    </row>
    <row r="4136" ht="15.75" customHeight="1">
      <c r="A4136" s="2" t="s">
        <v>4136</v>
      </c>
      <c r="B4136" s="2" t="str">
        <f>IFERROR(__xludf.DUMMYFUNCTION("GOOGLETRANSLATE(A4136, ""en"", ""mt"")"),"X’sejħilna Smedley Butler Politika Barranija?")</f>
        <v>X’sejħilna Smedley Butler Politika Barranija?</v>
      </c>
    </row>
    <row r="4137" ht="15.75" customHeight="1">
      <c r="A4137" s="2" t="s">
        <v>4137</v>
      </c>
      <c r="B4137" s="2" t="str">
        <f>IFERROR(__xludf.DUMMYFUNCTION("GOOGLETRANSLATE(A4137, ""en"", ""mt"")"),"F’liema sena individwu wieħed issuġġerixxa li tikklassifika s-siġar tal-Amażonja f’erba ’kategoriji?")</f>
        <v>F’liema sena individwu wieħed issuġġerixxa li tikklassifika s-siġar tal-Amażonja f’erba ’kategoriji?</v>
      </c>
    </row>
    <row r="4138" ht="15.75" customHeight="1">
      <c r="A4138" s="2" t="s">
        <v>4138</v>
      </c>
      <c r="B4138" s="2" t="str">
        <f>IFERROR(__xludf.DUMMYFUNCTION("GOOGLETRANSLATE(A4138, ""en"", ""mt"")"),"8.5 mi")</f>
        <v>8.5 mi</v>
      </c>
    </row>
    <row r="4139" ht="15.75" customHeight="1">
      <c r="A4139" s="2" t="s">
        <v>4139</v>
      </c>
      <c r="B4139" s="2" t="str">
        <f>IFERROR(__xludf.DUMMYFUNCTION("GOOGLETRANSLATE(A4139, ""en"", ""mt"")"),"Eżodu")</f>
        <v>Eżodu</v>
      </c>
    </row>
    <row r="4140" ht="15.75" customHeight="1">
      <c r="A4140" s="2" t="s">
        <v>4140</v>
      </c>
      <c r="B4140" s="2" t="str">
        <f>IFERROR(__xludf.DUMMYFUNCTION("GOOGLETRANSLATE(A4140, ""en"", ""mt"")"),"Fejn tnixxi l-fergħa IJSSEL?")</f>
        <v>Fejn tnixxi l-fergħa IJSSEL?</v>
      </c>
    </row>
    <row r="4141" ht="15.75" customHeight="1">
      <c r="A4141" s="2" t="s">
        <v>4141</v>
      </c>
      <c r="B4141" s="2" t="str">
        <f>IFERROR(__xludf.DUMMYFUNCTION("GOOGLETRANSLATE(A4141, ""en"", ""mt"")"),"Il-gwerra fl-Amerika ta ’Fuq intemmet uffiċjalment bl-iffirmar tat-Trattat ta’ Pariġi fl-10 ta ’Frar 1763, u l-Gwerra fit-Teatru Ewropew tas-Seba’ Snin tal-Gwerra ġiet solvuta bit-Trattat ta ’Hubertusburg fil-15 ta’ Frar 1763. ta 'ċediment jew il-possedim"&amp;"enti kontinentali tagħha ta' l-Amerika ta 'Fuq fil-lvant tal-Mississippi jew il-gżejjer tal-Karibew ta' Guadeloupe u Martinique, li kienu okkupati mill-Ingliżi. Franza għażlet li ċediet l-ewwel, iżda kienet kapaċi tinnegozja ż-żamma ta ’San Pierre u Mique"&amp;"lon, żewġ gżejjer żgħar fil-Golf ta’ San Lawrenz, flimkien mad-drittijiet tas-sajd fiż-żona. Huma jaraw il-valur ekonomiku tal-kannamieli tal-gżejjer tal-Karibew biex ikun ikbar u aktar faċli biex jiddefendi mill-pil mill-kontinent. Il-filosfu Franċiż kon"&amp;"temporanju Voltaire irrefera għall-Kanada b’mod qawwi bħala xejn aktar minn ftit acres ta ’borra. Il-Brittaniċi, min-naħa tagħhom, kienu kuntenti li jieħdu Franza ġdida, billi d-difiża tal-kolonji tal-Amerika ta ’Fuq ma tibqax kwistjoni u wkoll minħabba l"&amp;"i diġà kellhom postijiet abbundanti minn fejn jista’ jikseb iz-zokkor. Spanja, li nnegozjat Florida lill-Gran Brittanja biex terġa 'tikseb Kuba, kisbet ukoll Louisiana, inkluż New Orleans, minn Franza bħala kumpens għat-telf tagħha. Il-Gran Brittanja u Sp"&amp;"anja qablu wkoll li n-navigazzjoni fuq ix-Xmara Mississippi kellha tkun miftuħa għal bastimenti tan-nazzjonijiet kollha.")</f>
        <v>Il-gwerra fl-Amerika ta ’Fuq intemmet uffiċjalment bl-iffirmar tat-Trattat ta’ Pariġi fl-10 ta ’Frar 1763, u l-Gwerra fit-Teatru Ewropew tas-Seba’ Snin tal-Gwerra ġiet solvuta bit-Trattat ta ’Hubertusburg fil-15 ta’ Frar 1763. ta 'ċediment jew il-possedimenti kontinentali tagħha ta' l-Amerika ta 'Fuq fil-lvant tal-Mississippi jew il-gżejjer tal-Karibew ta' Guadeloupe u Martinique, li kienu okkupati mill-Ingliżi. Franza għażlet li ċediet l-ewwel, iżda kienet kapaċi tinnegozja ż-żamma ta ’San Pierre u Miquelon, żewġ gżejjer żgħar fil-Golf ta’ San Lawrenz, flimkien mad-drittijiet tas-sajd fiż-żona. Huma jaraw il-valur ekonomiku tal-kannamieli tal-gżejjer tal-Karibew biex ikun ikbar u aktar faċli biex jiddefendi mill-pil mill-kontinent. Il-filosfu Franċiż kontemporanju Voltaire irrefera għall-Kanada b’mod qawwi bħala xejn aktar minn ftit acres ta ’borra. Il-Brittaniċi, min-naħa tagħhom, kienu kuntenti li jieħdu Franza ġdida, billi d-difiża tal-kolonji tal-Amerika ta ’Fuq ma tibqax kwistjoni u wkoll minħabba li diġà kellhom postijiet abbundanti minn fejn jista’ jikseb iz-zokkor. Spanja, li nnegozjat Florida lill-Gran Brittanja biex terġa 'tikseb Kuba, kisbet ukoll Louisiana, inkluż New Orleans, minn Franza bħala kumpens għat-telf tagħha. Il-Gran Brittanja u Spanja qablu wkoll li n-navigazzjoni fuq ix-Xmara Mississippi kellha tkun miftuħa għal bastimenti tan-nazzjonijiet kollha.</v>
      </c>
    </row>
    <row r="4142" ht="15.75" customHeight="1">
      <c r="A4142" s="2" t="s">
        <v>4142</v>
      </c>
      <c r="B4142" s="2" t="str">
        <f>IFERROR(__xludf.DUMMYFUNCTION("GOOGLETRANSLATE(A4142, ""en"", ""mt"")"),"is-seba 'tabib")</f>
        <v>is-seba 'tabib</v>
      </c>
    </row>
    <row r="4143" ht="15.75" customHeight="1">
      <c r="A4143" s="2" t="s">
        <v>4143</v>
      </c>
      <c r="B4143" s="2" t="str">
        <f>IFERROR(__xludf.DUMMYFUNCTION("GOOGLETRANSLATE(A4143, ""en"", ""mt"")"),"Liema lingwa studjat Tesla waqt l-iskola?")</f>
        <v>Liema lingwa studjat Tesla waqt l-iskola?</v>
      </c>
    </row>
    <row r="4144" ht="15.75" customHeight="1">
      <c r="A4144" s="2" t="s">
        <v>4144</v>
      </c>
      <c r="B4144" s="2" t="str">
        <f>IFERROR(__xludf.DUMMYFUNCTION("GOOGLETRANSLATE(A4144, ""en"", ""mt"")"),"L-ispettaklu tard tard ma 'James Corden.")</f>
        <v>L-ispettaklu tard tard ma 'James Corden.</v>
      </c>
    </row>
    <row r="4145" ht="15.75" customHeight="1">
      <c r="A4145" s="2" t="s">
        <v>4145</v>
      </c>
      <c r="B4145" s="2" t="str">
        <f>IFERROR(__xludf.DUMMYFUNCTION("GOOGLETRANSLATE(A4145, ""en"", ""mt"")"),"X'għandek tagħmel probationer biex taqla 'aktar flus, wara 6 snin?")</f>
        <v>X'għandek tagħmel probationer biex taqla 'aktar flus, wara 6 snin?</v>
      </c>
    </row>
    <row r="4146" ht="15.75" customHeight="1">
      <c r="A4146" s="2" t="s">
        <v>4146</v>
      </c>
      <c r="B4146" s="2" t="str">
        <f>IFERROR(__xludf.DUMMYFUNCTION("GOOGLETRANSLATE(A4146, ""en"", ""mt"")"),"X'kien Galileo Ferraris?")</f>
        <v>X'kien Galileo Ferraris?</v>
      </c>
    </row>
    <row r="4147" ht="15.75" customHeight="1">
      <c r="A4147" s="2" t="s">
        <v>4147</v>
      </c>
      <c r="B4147" s="2" t="str">
        <f>IFERROR(__xludf.DUMMYFUNCTION("GOOGLETRANSLATE(A4147, ""en"", ""mt"")"),"Bord tal-Edukazzjoni tal-Istat")</f>
        <v>Bord tal-Edukazzjoni tal-Istat</v>
      </c>
    </row>
    <row r="4148" ht="15.75" customHeight="1">
      <c r="A4148" s="2" t="s">
        <v>4148</v>
      </c>
      <c r="B4148" s="2" t="str">
        <f>IFERROR(__xludf.DUMMYFUNCTION("GOOGLETRANSLATE(A4148, ""en"", ""mt"")"),"Meta se jagħlqu l-pjanti tal-manifattura ta 'Ford?")</f>
        <v>Meta se jagħlqu l-pjanti tal-manifattura ta 'Ford?</v>
      </c>
    </row>
    <row r="4149" ht="15.75" customHeight="1">
      <c r="A4149" s="2" t="s">
        <v>4149</v>
      </c>
      <c r="B4149" s="2" t="str">
        <f>IFERROR(__xludf.DUMMYFUNCTION("GOOGLETRANSLATE(A4149, ""en"", ""mt"")"),"Liema komponent ġdid instab f'ċerti blat mill-qamar?")</f>
        <v>Liema komponent ġdid instab f'ċerti blat mill-qamar?</v>
      </c>
    </row>
    <row r="4150" ht="15.75" customHeight="1">
      <c r="A4150" s="2" t="s">
        <v>4150</v>
      </c>
      <c r="B4150" s="2" t="str">
        <f>IFERROR(__xludf.DUMMYFUNCTION("GOOGLETRANSLATE(A4150, ""en"", ""mt"")"),"X'kienet il-forma li faget iddisinjat għall-modulu tal-kmand Apollo?")</f>
        <v>X'kienet il-forma li faget iddisinjat għall-modulu tal-kmand Apollo?</v>
      </c>
    </row>
    <row r="4151" ht="15.75" customHeight="1">
      <c r="A4151" s="2" t="s">
        <v>4151</v>
      </c>
      <c r="B4151" s="2" t="str">
        <f>IFERROR(__xludf.DUMMYFUNCTION("GOOGLETRANSLATE(A4151, ""en"", ""mt"")"),"orjentat lejn il-kisba")</f>
        <v>orjentat lejn il-kisba</v>
      </c>
    </row>
    <row r="4152" ht="15.75" customHeight="1">
      <c r="A4152" s="2" t="s">
        <v>4152</v>
      </c>
      <c r="B4152" s="2" t="str">
        <f>IFERROR(__xludf.DUMMYFUNCTION("GOOGLETRANSLATE(A4152, ""en"", ""mt"")"),"Liema mija tal-bniet huma fil-prostituzzjoni fiż-żoni kostali tal-Kenja?")</f>
        <v>Liema mija tal-bniet huma fil-prostituzzjoni fiż-żoni kostali tal-Kenja?</v>
      </c>
    </row>
    <row r="4153" ht="15.75" customHeight="1">
      <c r="A4153" s="2" t="s">
        <v>4153</v>
      </c>
      <c r="B4153" s="2" t="str">
        <f>IFERROR(__xludf.DUMMYFUNCTION("GOOGLETRANSLATE(A4153, ""en"", ""mt"")"),"ottimizzazzjoni ta 'trattament ta' mediċina għal individwu")</f>
        <v>ottimizzazzjoni ta 'trattament ta' mediċina għal individwu</v>
      </c>
    </row>
    <row r="4154" ht="15.75" customHeight="1">
      <c r="A4154" s="2" t="s">
        <v>4154</v>
      </c>
      <c r="B4154" s="2" t="str">
        <f>IFERROR(__xludf.DUMMYFUNCTION("GOOGLETRANSLATE(A4154, ""en"", ""mt"")"),"Trioxygen")</f>
        <v>Trioxygen</v>
      </c>
    </row>
    <row r="4155" ht="15.75" customHeight="1">
      <c r="A4155" s="2" t="s">
        <v>4155</v>
      </c>
      <c r="B4155" s="2" t="str">
        <f>IFERROR(__xludf.DUMMYFUNCTION("GOOGLETRANSLATE(A4155, ""en"", ""mt"")"),"Ix-xejra tal-gwerra, segwita minn perjodi qosra ta ’paċi, kompliet għal kważi kwart ta’ seklu ieħor. Il-gwerra ġiet definittivament imqabbda fl-1598, meta Henry ta 'Navarra, wara li rnexxielu t-tron Franċiż bħala Henry IV, u wara li reġa' ħa l-Protestanti"&amp;"żmu favur il-Kattoliċiżmu Ruman, ħareġ l-editt ta 'Nantes. L-editt afferma mill-ġdid il-Kattoliċiżmu bħala r-reliġjon tal-istat ta ’Franza, iżda ta lill-Protestanti ugwaljanza mal-Kattoliċi taħt it-tron u grad ta’ libertà reliġjuża u politika fl-oqsma tag"&amp;"ħhom. L-editt protett fl-istess ħin l-interessi Kattoliċi billi jiskoraġġixxi l-fondazzjoni ta 'knejjes Protestanti ġodda f'reġjuni kkontrollati mill-Kattoliċi. [Ċitazzjoni meħtieġa]")</f>
        <v>Ix-xejra tal-gwerra, segwita minn perjodi qosra ta ’paċi, kompliet għal kważi kwart ta’ seklu ieħor. Il-gwerra ġiet definittivament imqabbda fl-1598, meta Henry ta 'Navarra, wara li rnexxielu t-tron Franċiż bħala Henry IV, u wara li reġa' ħa l-Protestantiżmu favur il-Kattoliċiżmu Ruman, ħareġ l-editt ta 'Nantes. L-editt afferma mill-ġdid il-Kattoliċiżmu bħala r-reliġjon tal-istat ta ’Franza, iżda ta lill-Protestanti ugwaljanza mal-Kattoliċi taħt it-tron u grad ta’ libertà reliġjuża u politika fl-oqsma tagħhom. L-editt protett fl-istess ħin l-interessi Kattoliċi billi jiskoraġġixxi l-fondazzjoni ta 'knejjes Protestanti ġodda f'reġjuni kkontrollati mill-Kattoliċi. [Ċitazzjoni meħtieġa]</v>
      </c>
    </row>
    <row r="4156" ht="15.75" customHeight="1">
      <c r="A4156" s="2" t="s">
        <v>4156</v>
      </c>
      <c r="B4156" s="2" t="str">
        <f>IFERROR(__xludf.DUMMYFUNCTION("GOOGLETRANSLATE(A4156, ""en"", ""mt"")"),"minnhom")</f>
        <v>minnhom</v>
      </c>
    </row>
    <row r="4157" ht="15.75" customHeight="1">
      <c r="A4157" s="2" t="s">
        <v>4157</v>
      </c>
      <c r="B4157" s="2" t="str">
        <f>IFERROR(__xludf.DUMMYFUNCTION("GOOGLETRANSLATE(A4157, ""en"", ""mt"")"),"L-għaqda bejn l-ABC u l-Bliet Kapitali rċeviet l-approvazzjoni federali fil-5 ta 'Settembru, 1985. Wara li l-għaqda ABC / Capital Cities ġiet iffinalizzata fit-3 ta' Jannar, 1986, il-kumpanija kkombinata - li saret magħrufa bħala Capital Cities / ABC, Inc"&amp;". - żiedet erba 'televiżjoni Stazzjonijiet (WPVI-TV / Philadelphia, KTRK-TV / Houston, KFSN-TV / Fresno u WTVD / Raleigh) u diversi stazzjonijiet tar-radju għall-portafoll tax-xandir tal-ABC, u inkludew ukoll pubblikazzjonijiet Fairchild u erba 'gazzetti "&amp;"(inklużi l-Kansas City Star u Fort Wort Star-Telegram). Beda wkoll diversi bidliet fil-ġestjoni tiegħu: Frederick S. Pierce ġie msemmi president tad-Diviżjoni tax-Xandir ta 'ABC; Michael P. Milladi sar viċi president ta 'ABC Broadcasting, u l-President ta"&amp;"' ABC proprjetà ta 'Stazzjonijiet u ABC Video Enterprises; John B. Sias inħatar President tan-Netwerk tat-Televiżjoni ABC; Brandon Stoddard sar president ta 'ABC Entertainment (pożizzjoni li kien inħatar f'Novembru 1985); U Roone Arledge sar president ta "&amp;"'ABC News u ABC Sports. Fi Frar tal-1986, Thomas S. Murphy, li kien ilu jservi bħala CEO tal-Bliet Kapitali mill-1964, inħatar President u CEO Emeritus ta ’ABC. Jim Duffy niżel bħala president tat-televiżjoni ABC għal pożizzjoni ta 'tmexxija f'ABC Communi"&amp;"cations, sussidjarja li speċjalizzata fl-ipprogrammar tas-servizz tal-komunità, inklużi wirjiet relatati mal-edukazzjoni letterarja.")</f>
        <v>L-għaqda bejn l-ABC u l-Bliet Kapitali rċeviet l-approvazzjoni federali fil-5 ta 'Settembru, 1985. Wara li l-għaqda ABC / Capital Cities ġiet iffinalizzata fit-3 ta' Jannar, 1986, il-kumpanija kkombinata - li saret magħrufa bħala Capital Cities / ABC, Inc. - żiedet erba 'televiżjoni Stazzjonijiet (WPVI-TV / Philadelphia, KTRK-TV / Houston, KFSN-TV / Fresno u WTVD / Raleigh) u diversi stazzjonijiet tar-radju għall-portafoll tax-xandir tal-ABC, u inkludew ukoll pubblikazzjonijiet Fairchild u erba 'gazzetti (inklużi l-Kansas City Star u Fort Wort Star-Telegram). Beda wkoll diversi bidliet fil-ġestjoni tiegħu: Frederick S. Pierce ġie msemmi president tad-Diviżjoni tax-Xandir ta 'ABC; Michael P. Milladi sar viċi president ta 'ABC Broadcasting, u l-President ta' ABC proprjetà ta 'Stazzjonijiet u ABC Video Enterprises; John B. Sias inħatar President tan-Netwerk tat-Televiżjoni ABC; Brandon Stoddard sar president ta 'ABC Entertainment (pożizzjoni li kien inħatar f'Novembru 1985); U Roone Arledge sar president ta 'ABC News u ABC Sports. Fi Frar tal-1986, Thomas S. Murphy, li kien ilu jservi bħala CEO tal-Bliet Kapitali mill-1964, inħatar President u CEO Emeritus ta ’ABC. Jim Duffy niżel bħala president tat-televiżjoni ABC għal pożizzjoni ta 'tmexxija f'ABC Communications, sussidjarja li speċjalizzata fl-ipprogrammar tas-servizz tal-komunità, inklużi wirjiet relatati mal-edukazzjoni letterarja.</v>
      </c>
    </row>
    <row r="4158" ht="15.75" customHeight="1">
      <c r="A4158" s="2" t="s">
        <v>4158</v>
      </c>
      <c r="B4158" s="2" t="str">
        <f>IFERROR(__xludf.DUMMYFUNCTION("GOOGLETRANSLATE(A4158, ""en"", ""mt"")"),"Liema simboli ta 'rebħa bnew il-Mongoli fuq il-pjanuri barra Samarkand?")</f>
        <v>Liema simboli ta 'rebħa bnew il-Mongoli fuq il-pjanuri barra Samarkand?</v>
      </c>
    </row>
    <row r="4159" ht="15.75" customHeight="1">
      <c r="A4159" s="2" t="s">
        <v>4159</v>
      </c>
      <c r="B4159" s="2" t="str">
        <f>IFERROR(__xludf.DUMMYFUNCTION("GOOGLETRANSLATE(A4159, ""en"", ""mt"")"),"$ 50,000")</f>
        <v>$ 50,000</v>
      </c>
    </row>
    <row r="4160" ht="15.75" customHeight="1">
      <c r="A4160" s="2" t="s">
        <v>4160</v>
      </c>
      <c r="B4160" s="2" t="str">
        <f>IFERROR(__xludf.DUMMYFUNCTION("GOOGLETRANSLATE(A4160, ""en"", ""mt"")"),"Għaliex xi rġiel evitaw li jsiru għalliema?")</f>
        <v>Għaliex xi rġiel evitaw li jsiru għalliema?</v>
      </c>
    </row>
    <row r="4161" ht="15.75" customHeight="1">
      <c r="A4161" s="2" t="s">
        <v>4161</v>
      </c>
      <c r="B4161" s="2" t="str">
        <f>IFERROR(__xludf.DUMMYFUNCTION("GOOGLETRANSLATE(A4161, ""en"", ""mt"")"),"Meta ġew involuti Luther u l-għarusa prospettiva tiegħu?")</f>
        <v>Meta ġew involuti Luther u l-għarusa prospettiva tiegħu?</v>
      </c>
    </row>
    <row r="4162" ht="15.75" customHeight="1">
      <c r="A4162" s="2" t="s">
        <v>4162</v>
      </c>
      <c r="B4162" s="2" t="str">
        <f>IFERROR(__xludf.DUMMYFUNCTION("GOOGLETRANSLATE(A4162, ""en"", ""mt"")"),"Fejn ċediet Von Lettow?")</f>
        <v>Fejn ċediet Von Lettow?</v>
      </c>
    </row>
    <row r="4163" ht="15.75" customHeight="1">
      <c r="A4163" s="2" t="s">
        <v>4163</v>
      </c>
      <c r="B4163" s="2" t="str">
        <f>IFERROR(__xludf.DUMMYFUNCTION("GOOGLETRANSLATE(A4163, ""en"", ""mt"")"),"Id-dar ta ’Sir Paul Pindar baqgħet ħajja f’liema diżastru tas-seklu 17?")</f>
        <v>Id-dar ta ’Sir Paul Pindar baqgħet ħajja f’liema diżastru tas-seklu 17?</v>
      </c>
    </row>
    <row r="4164" ht="15.75" customHeight="1">
      <c r="A4164" s="2" t="s">
        <v>4164</v>
      </c>
      <c r="B4164" s="2" t="str">
        <f>IFERROR(__xludf.DUMMYFUNCTION("GOOGLETRANSLATE(A4164, ""en"", ""mt"")"),"Bejn wieħed u ieħor kemm xogħlijiet minn Rodin huma parti mill-kollezzjoni tal-mużew?")</f>
        <v>Bejn wieħed u ieħor kemm xogħlijiet minn Rodin huma parti mill-kollezzjoni tal-mużew?</v>
      </c>
    </row>
    <row r="4165" ht="15.75" customHeight="1">
      <c r="A4165" s="2" t="s">
        <v>4165</v>
      </c>
      <c r="B4165" s="2" t="str">
        <f>IFERROR(__xludf.DUMMYFUNCTION("GOOGLETRANSLATE(A4165, ""en"", ""mt"")"),"orbita l-qamar")</f>
        <v>orbita l-qamar</v>
      </c>
    </row>
    <row r="4166" ht="15.75" customHeight="1">
      <c r="A4166" s="2" t="s">
        <v>4166</v>
      </c>
      <c r="B4166" s="2" t="str">
        <f>IFERROR(__xludf.DUMMYFUNCTION("GOOGLETRANSLATE(A4166, ""en"", ""mt"")"),"flus mitlufa")</f>
        <v>flus mitlufa</v>
      </c>
    </row>
    <row r="4167" ht="15.75" customHeight="1">
      <c r="A4167" s="2" t="s">
        <v>4167</v>
      </c>
      <c r="B4167" s="2" t="str">
        <f>IFERROR(__xludf.DUMMYFUNCTION("GOOGLETRANSLATE(A4167, ""en"", ""mt"")"),"Dinwiddie")</f>
        <v>Dinwiddie</v>
      </c>
    </row>
    <row r="4168" ht="15.75" customHeight="1">
      <c r="A4168" s="2" t="s">
        <v>4168</v>
      </c>
      <c r="B4168" s="2" t="str">
        <f>IFERROR(__xludf.DUMMYFUNCTION("GOOGLETRANSLATE(A4168, ""en"", ""mt"")"),"effett")</f>
        <v>effett</v>
      </c>
    </row>
    <row r="4169" ht="15.75" customHeight="1">
      <c r="A4169" s="2" t="s">
        <v>4169</v>
      </c>
      <c r="B4169" s="2" t="str">
        <f>IFERROR(__xludf.DUMMYFUNCTION("GOOGLETRANSLATE(A4169, ""en"", ""mt"")"),"Skrivan tal-vot")</f>
        <v>Skrivan tal-vot</v>
      </c>
    </row>
    <row r="4170" ht="15.75" customHeight="1">
      <c r="A4170" s="2" t="s">
        <v>4170</v>
      </c>
      <c r="B4170" s="2" t="str">
        <f>IFERROR(__xludf.DUMMYFUNCTION("GOOGLETRANSLATE(A4170, ""en"", ""mt"")"),"X'inhu isem ieħor għal Exoteric?")</f>
        <v>X'inhu isem ieħor għal Exoteric?</v>
      </c>
    </row>
    <row r="4171" ht="15.75" customHeight="1">
      <c r="A4171" s="2" t="s">
        <v>4171</v>
      </c>
      <c r="B4171" s="2" t="str">
        <f>IFERROR(__xludf.DUMMYFUNCTION("GOOGLETRANSLATE(A4171, ""en"", ""mt"")"),"Liema persentaġġ ta 'studenti ta' New Zealand attendew skejjel privati ​​f'April 2014?")</f>
        <v>Liema persentaġġ ta 'studenti ta' New Zealand attendew skejjel privati ​​f'April 2014?</v>
      </c>
    </row>
    <row r="4172" ht="15.75" customHeight="1">
      <c r="A4172" s="2" t="s">
        <v>4172</v>
      </c>
      <c r="B4172" s="2" t="str">
        <f>IFERROR(__xludf.DUMMYFUNCTION("GOOGLETRANSLATE(A4172, ""en"", ""mt"")"),"Kemm Kenjani mhumiex reliġjużi?")</f>
        <v>Kemm Kenjani mhumiex reliġjużi?</v>
      </c>
    </row>
    <row r="4173" ht="15.75" customHeight="1">
      <c r="A4173" s="2" t="s">
        <v>4173</v>
      </c>
      <c r="B4173" s="2" t="str">
        <f>IFERROR(__xludf.DUMMYFUNCTION("GOOGLETRANSLATE(A4173, ""en"", ""mt"")"),"Min mexxa l-ballun darbtejn għal 20 jarda fuq din is-sewqan?")</f>
        <v>Min mexxa l-ballun darbtejn għal 20 jarda fuq din is-sewqan?</v>
      </c>
    </row>
    <row r="4174" ht="15.75" customHeight="1">
      <c r="A4174" s="2" t="s">
        <v>4174</v>
      </c>
      <c r="B4174" s="2" t="str">
        <f>IFERROR(__xludf.DUMMYFUNCTION("GOOGLETRANSLATE(A4174, ""en"", ""mt"")"),"il-camisards")</f>
        <v>il-camisards</v>
      </c>
    </row>
    <row r="4175" ht="15.75" customHeight="1">
      <c r="A4175" s="2" t="s">
        <v>4175</v>
      </c>
      <c r="B4175" s="2" t="str">
        <f>IFERROR(__xludf.DUMMYFUNCTION("GOOGLETRANSLATE(A4175, ""en"", ""mt"")"),"Xi tfisser rhodophyte?")</f>
        <v>Xi tfisser rhodophyte?</v>
      </c>
    </row>
    <row r="4176" ht="15.75" customHeight="1">
      <c r="A4176" s="2" t="s">
        <v>4176</v>
      </c>
      <c r="B4176" s="2" t="str">
        <f>IFERROR(__xludf.DUMMYFUNCTION("GOOGLETRANSLATE(A4176, ""en"", ""mt"")"),"Il-Gvernatur Vaudreuil, li ġab l-ambizzjonijiet biex isir il-kmandant Franċiż fil-kap (minbarra r-rwol tiegħu bħala gvernatur), aġixxa matul ix-xitwa tal-1756 qabel ma waslu dawk ir-rinforzi. L-iscouts kienu rrappurtaw id-dgħjufija tal-katina tal-provvist"&amp;"a Ingliża, u għalhekk huwa ordna attakk kontra l-fortizzi li Shirley kien tella 'fil-ġarr ta' Oneida. Fil-battalja ta ’Marzu ta’ Fort Bull, il-forzi Franċiżi qerdu l-forti u kwantitajiet kbar ta ’provvisti, inklużi 45,000 lira ta’ porvli. Huma waqqfu kwal"&amp;"unkwe tama Ingliża għal kampanji fuq il-Lag Ontario, u pperikolaw il-garrison ta 'Oswego, diġà qosra fuq il-provvisti. Il-forzi Franċiżi fil-Wied ta 'Ohio komplew ukoll intriċċi ma' Indjani fiż-żona kollha, u ħeġġiġhom biex jitilgħu l-insedjamenti tal-fru"&amp;"ntiera. Dan wassal għal allarmi kontinwi tul il-fruntieri tal-punent, bi flussi ta 'refuġjati li jirritornaw lejn il-lvant biex jitbiegħdu mill-azzjoni.")</f>
        <v>Il-Gvernatur Vaudreuil, li ġab l-ambizzjonijiet biex isir il-kmandant Franċiż fil-kap (minbarra r-rwol tiegħu bħala gvernatur), aġixxa matul ix-xitwa tal-1756 qabel ma waslu dawk ir-rinforzi. L-iscouts kienu rrappurtaw id-dgħjufija tal-katina tal-provvista Ingliża, u għalhekk huwa ordna attakk kontra l-fortizzi li Shirley kien tella 'fil-ġarr ta' Oneida. Fil-battalja ta ’Marzu ta’ Fort Bull, il-forzi Franċiżi qerdu l-forti u kwantitajiet kbar ta ’provvisti, inklużi 45,000 lira ta’ porvli. Huma waqqfu kwalunkwe tama Ingliża għal kampanji fuq il-Lag Ontario, u pperikolaw il-garrison ta 'Oswego, diġà qosra fuq il-provvisti. Il-forzi Franċiżi fil-Wied ta 'Ohio komplew ukoll intriċċi ma' Indjani fiż-żona kollha, u ħeġġiġhom biex jitilgħu l-insedjamenti tal-fruntiera. Dan wassal għal allarmi kontinwi tul il-fruntieri tal-punent, bi flussi ta 'refuġjati li jirritornaw lejn il-lvant biex jitbiegħdu mill-azzjoni.</v>
      </c>
    </row>
    <row r="4177" ht="15.75" customHeight="1">
      <c r="A4177" s="2" t="s">
        <v>4177</v>
      </c>
      <c r="B4177" s="2" t="str">
        <f>IFERROR(__xludf.DUMMYFUNCTION("GOOGLETRANSLATE(A4177, ""en"", ""mt"")"),"X'ġara bil-livell ta 'l-ilma ta' taħt l-art bil-programm ta 'l-iddrittar tar-Rhine?")</f>
        <v>X'ġara bil-livell ta 'l-ilma ta' taħt l-art bil-programm ta 'l-iddrittar tar-Rhine?</v>
      </c>
    </row>
    <row r="4178" ht="15.75" customHeight="1">
      <c r="A4178" s="2" t="s">
        <v>4178</v>
      </c>
      <c r="B4178" s="2" t="str">
        <f>IFERROR(__xludf.DUMMYFUNCTION("GOOGLETRANSLATE(A4178, ""en"", ""mt"")"),"Radjatur tal-karozzi")</f>
        <v>Radjatur tal-karozzi</v>
      </c>
    </row>
    <row r="4179" ht="15.75" customHeight="1">
      <c r="A4179" s="2" t="s">
        <v>4179</v>
      </c>
      <c r="B4179" s="2" t="str">
        <f>IFERROR(__xludf.DUMMYFUNCTION("GOOGLETRANSLATE(A4179, ""en"", ""mt"")"),"Il-Papat kien l-Antikrist")</f>
        <v>Il-Papat kien l-Antikrist</v>
      </c>
    </row>
    <row r="4180" ht="15.75" customHeight="1">
      <c r="A4180" s="2" t="s">
        <v>4180</v>
      </c>
      <c r="B4180" s="2" t="str">
        <f>IFERROR(__xludf.DUMMYFUNCTION("GOOGLETRANSLATE(A4180, ""en"", ""mt"")"),"Meta twaqqaf l-ewwel borża ta 'Varsavja?")</f>
        <v>Meta twaqqaf l-ewwel borża ta 'Varsavja?</v>
      </c>
    </row>
    <row r="4181" ht="15.75" customHeight="1">
      <c r="A4181" s="2" t="s">
        <v>4181</v>
      </c>
      <c r="B4181" s="2" t="str">
        <f>IFERROR(__xludf.DUMMYFUNCTION("GOOGLETRANSLATE(A4181, ""en"", ""mt"")"),"joffru paga ogħla l-aħjar ta 'xogħolhom")</f>
        <v>joffru paga ogħla l-aħjar ta 'xogħolhom</v>
      </c>
    </row>
    <row r="4182" ht="15.75" customHeight="1">
      <c r="A4182" s="2" t="s">
        <v>4182</v>
      </c>
      <c r="B4182" s="2" t="str">
        <f>IFERROR(__xludf.DUMMYFUNCTION("GOOGLETRANSLATE(A4182, ""en"", ""mt"")"),"Kastell ta ’Wartburg")</f>
        <v>Kastell ta ’Wartburg</v>
      </c>
    </row>
    <row r="4183" ht="15.75" customHeight="1">
      <c r="A4183" s="2" t="s">
        <v>4183</v>
      </c>
      <c r="B4183" s="2" t="str">
        <f>IFERROR(__xludf.DUMMYFUNCTION("GOOGLETRANSLATE(A4183, ""en"", ""mt"")"),"L-ipersensittività hija rispons immuni li jagħmel ħsara lit-tessuti tal-ġisem stess. Huma maqsuma f'erba 'klassijiet (Tip I - IV) ibbażati fuq il-mekkaniżmi involuti u l-kors tal-ħin tar-reazzjoni ipersensittiva. L-ipersensittività tat-Tip I hija reazzjon"&amp;"i immedjata jew anafilattika, ħafna drabi assoċjata ma 'allerġija. Is-sintomi jistgħu jvarjaw minn skumdità ħafifa sal-mewt. L-ipersensittività tat-Tip I hija medjata minn IgE, li tikkawża d-degranulazzjoni ta 'ċelloli mast u basophils meta tkun marbuta m"&amp;"ill-antiġen. Ipersensittività tat-Tip II isseħħ meta l-antikorpi jorbtu ma 'antiġeni fuq iċ-ċelloli tal-pazjent stess, li jimmarkawhom għall-qerda. Dan jissejjaħ ukoll sensittività eċċessiva (jew ċitotossika) li jiddependi mill-antikorpi, u huwa medjat mi"&amp;"nn antikorpi IgG u IgM. Kumplessi immuni (aggregazzjonijiet ta 'antiġeni, proteini li jikkumplimentaw, u antikorpi IgG u IgM) depożitati f'diversi tessuti li jqanqlu reazzjonijiet ta' sensittività eċċessiva tat-tip III. Ipersensittività tat-Tip IV (magħru"&amp;"fa wkoll bħala sensittività eċċessiva medjata miċ-ċelloli jew ittardjata) ġeneralment tieħu bejn jumejn u tlett ijiem biex tiżviluppa. Reazzjonijiet tat-tip IV huma involuti f'ħafna mard awtoimmuni u infettiv, iżda jistgħu jinvolvu wkoll dermatite ta 'kun"&amp;"tatt (velenu Ivy). Dawn ir-reazzjonijiet huma medjati minn ċelloli T, monokiti, u makrofaġi.")</f>
        <v>L-ipersensittività hija rispons immuni li jagħmel ħsara lit-tessuti tal-ġisem stess. Huma maqsuma f'erba 'klassijiet (Tip I - IV) ibbażati fuq il-mekkaniżmi involuti u l-kors tal-ħin tar-reazzjoni ipersensittiva. L-ipersensittività tat-Tip I hija reazzjoni immedjata jew anafilattika, ħafna drabi assoċjata ma 'allerġija. Is-sintomi jistgħu jvarjaw minn skumdità ħafifa sal-mewt. L-ipersensittività tat-Tip I hija medjata minn IgE, li tikkawża d-degranulazzjoni ta 'ċelloli mast u basophils meta tkun marbuta mill-antiġen. Ipersensittività tat-Tip II isseħħ meta l-antikorpi jorbtu ma 'antiġeni fuq iċ-ċelloli tal-pazjent stess, li jimmarkawhom għall-qerda. Dan jissejjaħ ukoll sensittività eċċessiva (jew ċitotossika) li jiddependi mill-antikorpi, u huwa medjat minn antikorpi IgG u IgM. Kumplessi immuni (aggregazzjonijiet ta 'antiġeni, proteini li jikkumplimentaw, u antikorpi IgG u IgM) depożitati f'diversi tessuti li jqanqlu reazzjonijiet ta' sensittività eċċessiva tat-tip III. Ipersensittività tat-Tip IV (magħrufa wkoll bħala sensittività eċċessiva medjata miċ-ċelloli jew ittardjata) ġeneralment tieħu bejn jumejn u tlett ijiem biex tiżviluppa. Reazzjonijiet tat-tip IV huma involuti f'ħafna mard awtoimmuni u infettiv, iżda jistgħu jinvolvu wkoll dermatite ta 'kuntatt (velenu Ivy). Dawn ir-reazzjonijiet huma medjati minn ċelloli T, monokiti, u makrofaġi.</v>
      </c>
    </row>
    <row r="4184" ht="15.75" customHeight="1">
      <c r="A4184" s="2" t="s">
        <v>4184</v>
      </c>
      <c r="B4184" s="2" t="str">
        <f>IFERROR(__xludf.DUMMYFUNCTION("GOOGLETRANSLATE(A4184, ""en"", ""mt"")"),"Kemm hemm presidenti tal-Istati Uniti tal-iskola?")</f>
        <v>Kemm hemm presidenti tal-Istati Uniti tal-iskola?</v>
      </c>
    </row>
    <row r="4185" ht="15.75" customHeight="1">
      <c r="A4185" s="2" t="s">
        <v>4185</v>
      </c>
      <c r="B4185" s="2" t="str">
        <f>IFERROR(__xludf.DUMMYFUNCTION("GOOGLETRANSLATE(A4185, ""en"", ""mt"")"),"Komunità Filippina")</f>
        <v>Komunità Filippina</v>
      </c>
    </row>
    <row r="4186" ht="15.75" customHeight="1">
      <c r="A4186" s="2" t="s">
        <v>4186</v>
      </c>
      <c r="B4186" s="2" t="str">
        <f>IFERROR(__xludf.DUMMYFUNCTION("GOOGLETRANSLATE(A4186, ""en"", ""mt"")"),"""Blue Harvest"" u ""420""")</f>
        <v>"Blue Harvest" u "420"</v>
      </c>
    </row>
    <row r="4187" ht="15.75" customHeight="1">
      <c r="A4187" s="2" t="s">
        <v>4187</v>
      </c>
      <c r="B4187" s="2" t="str">
        <f>IFERROR(__xludf.DUMMYFUNCTION("GOOGLETRANSLATE(A4187, ""en"", ""mt"")"),"Meta ġie elett Iqbal President tal-Lega Musulmana?")</f>
        <v>Meta ġie elett Iqbal President tal-Lega Musulmana?</v>
      </c>
    </row>
    <row r="4188" ht="15.75" customHeight="1">
      <c r="A4188" s="2" t="s">
        <v>4188</v>
      </c>
      <c r="B4188" s="2" t="str">
        <f>IFERROR(__xludf.DUMMYFUNCTION("GOOGLETRANSLATE(A4188, ""en"", ""mt"")"),"Skond l-ekonomisti David Castells-Quintana u Vicente Royuela, l-inugwaljanza dejjem tiżdied tagħmel ħsara lit-tkabbir ekonomiku. Qgħad għoli u persistenti, li fih l-inugwaljanza tiżdied, għandu effett negattiv fuq tkabbir ekonomiku sussegwenti fit-tul. Il"&amp;"-qgħad jista 'jagħmel ħsara lit-tkabbir mhux biss minħabba li huwa ħela ta' riżorsi, iżda wkoll minħabba li jiġġenera pressjonijiet ridistributtivi u distorsjonijiet sussegwenti, imexxi lin-nies għall-faqar, jillimita l-likwidità li tillimita l-mobilità t"&amp;"ax-xogħol, u tnaqqas l-istima personali li tippromwovi d-diżlokazzjoni soċjali, l-inkwiet u l-kunflitt. Il-politiki li jimmiraw biex jikkontrollaw il-qgħad u b'mod partikolari biex inaqqsu l-effetti assoċjati mal-inugwaljanza tiegħu jappoġġjaw it-tkabbir "&amp;"ekonomiku.")</f>
        <v>Skond l-ekonomisti David Castells-Quintana u Vicente Royuela,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4189" ht="15.75" customHeight="1">
      <c r="A4189" s="2" t="s">
        <v>4189</v>
      </c>
      <c r="B4189" s="2" t="str">
        <f>IFERROR(__xludf.DUMMYFUNCTION("GOOGLETRANSLATE(A4189, ""en"", ""mt"")"),"Dak li kien Austpac")</f>
        <v>Dak li kien Austpac</v>
      </c>
    </row>
    <row r="4190" ht="15.75" customHeight="1">
      <c r="A4190" s="2" t="s">
        <v>4190</v>
      </c>
      <c r="B4190" s="2" t="str">
        <f>IFERROR(__xludf.DUMMYFUNCTION("GOOGLETRANSLATE(A4190, ""en"", ""mt"")"),"Għaliex ir-Rhine ġie rregolat?")</f>
        <v>Għaliex ir-Rhine ġie rregolat?</v>
      </c>
    </row>
    <row r="4191" ht="15.75" customHeight="1">
      <c r="A4191" s="2" t="s">
        <v>4191</v>
      </c>
      <c r="B4191" s="2" t="str">
        <f>IFERROR(__xludf.DUMMYFUNCTION("GOOGLETRANSLATE(A4191, ""en"", ""mt"")"),"X’spiċċa tagħmel it-tieni stadju f’The Saturn V?")</f>
        <v>X’spiċċa tagħmel it-tieni stadju f’The Saturn V?</v>
      </c>
    </row>
    <row r="4192" ht="15.75" customHeight="1">
      <c r="A4192" s="2" t="s">
        <v>4192</v>
      </c>
      <c r="B4192" s="2" t="str">
        <f>IFERROR(__xludf.DUMMYFUNCTION("GOOGLETRANSLATE(A4192, ""en"", ""mt"")"),"Id-Dornbirner Ach")</f>
        <v>Id-Dornbirner Ach</v>
      </c>
    </row>
    <row r="4193" ht="15.75" customHeight="1">
      <c r="A4193" s="2" t="s">
        <v>4193</v>
      </c>
      <c r="B4193" s="2" t="str">
        <f>IFERROR(__xludf.DUMMYFUNCTION("GOOGLETRANSLATE(A4193, ""en"", ""mt"")"),"ossiġenu molekulari u idroġenu")</f>
        <v>ossiġenu molekulari u idroġenu</v>
      </c>
    </row>
    <row r="4194" ht="15.75" customHeight="1">
      <c r="A4194" s="2" t="s">
        <v>4194</v>
      </c>
      <c r="B4194" s="2" t="str">
        <f>IFERROR(__xludf.DUMMYFUNCTION("GOOGLETRANSLATE(A4194, ""en"", ""mt"")"),"X'konkluda Lavoisier ġie kkunsmat mill-kombustjoni fl-esperimenti tiegħu?")</f>
        <v>X'konkluda Lavoisier ġie kkunsmat mill-kombustjoni fl-esperimenti tiegħu?</v>
      </c>
    </row>
    <row r="4195" ht="15.75" customHeight="1">
      <c r="A4195" s="2" t="s">
        <v>4195</v>
      </c>
      <c r="B4195" s="2" t="str">
        <f>IFERROR(__xludf.DUMMYFUNCTION("GOOGLETRANSLATE(A4195, ""en"", ""mt"")"),"Xi jfisser kittieb għall-grupp ta 'kriżi internazzjonali li l-kunċett ta' l-Islam politiku huwa ħolqien ta '?")</f>
        <v>Xi jfisser kittieb għall-grupp ta 'kriżi internazzjonali li l-kunċett ta' l-Islam politiku huwa ħolqien ta '?</v>
      </c>
    </row>
    <row r="4196" ht="15.75" customHeight="1">
      <c r="A4196" s="2" t="s">
        <v>4196</v>
      </c>
      <c r="B4196" s="2" t="str">
        <f>IFERROR(__xludf.DUMMYFUNCTION("GOOGLETRANSLATE(A4196, ""en"", ""mt"")"),"1885")</f>
        <v>1885</v>
      </c>
    </row>
    <row r="4197" ht="15.75" customHeight="1">
      <c r="A4197" s="2" t="s">
        <v>4197</v>
      </c>
      <c r="B4197" s="2" t="str">
        <f>IFERROR(__xludf.DUMMYFUNCTION("GOOGLETRANSLATE(A4197, ""en"", ""mt"")"),"Firxa ta 'diviżjoni kbira")</f>
        <v>Firxa ta 'diviżjoni kbira</v>
      </c>
    </row>
    <row r="4198" ht="15.75" customHeight="1">
      <c r="A4198" s="2" t="s">
        <v>4198</v>
      </c>
      <c r="B4198" s="2" t="str">
        <f>IFERROR(__xludf.DUMMYFUNCTION("GOOGLETRANSLATE(A4198, ""en"", ""mt"")"),"insegwiment bla skop")</f>
        <v>insegwiment bla skop</v>
      </c>
    </row>
    <row r="4199" ht="15.75" customHeight="1">
      <c r="A4199" s="2" t="s">
        <v>4199</v>
      </c>
      <c r="B4199" s="2" t="str">
        <f>IFERROR(__xludf.DUMMYFUNCTION("GOOGLETRANSLATE(A4199, ""en"", ""mt"")"),"Liema belt Żvizzera kienet iċ-ċentru tal-moviment kalvinista?")</f>
        <v>Liema belt Żvizzera kienet iċ-ċentru tal-moviment kalvinista?</v>
      </c>
    </row>
    <row r="4200" ht="15.75" customHeight="1">
      <c r="A4200" s="2" t="s">
        <v>4200</v>
      </c>
      <c r="B4200" s="2" t="str">
        <f>IFERROR(__xludf.DUMMYFUNCTION("GOOGLETRANSLATE(A4200, ""en"", ""mt"")"),"1965")</f>
        <v>1965</v>
      </c>
    </row>
    <row r="4201" ht="15.75" customHeight="1">
      <c r="A4201" s="2" t="s">
        <v>4201</v>
      </c>
      <c r="B4201" s="2" t="str">
        <f>IFERROR(__xludf.DUMMYFUNCTION("GOOGLETRANSLATE(A4201, ""en"", ""mt"")"),"William Hanna u Joseph Barbera")</f>
        <v>William Hanna u Joseph Barbera</v>
      </c>
    </row>
    <row r="4202" ht="15.75" customHeight="1">
      <c r="A4202" s="2" t="s">
        <v>4202</v>
      </c>
      <c r="B4202" s="2" t="str">
        <f>IFERROR(__xludf.DUMMYFUNCTION("GOOGLETRANSLATE(A4202, ""en"", ""mt"")"),"kostruzzjoni ta 'xogħlijiet ta' delta")</f>
        <v>kostruzzjoni ta 'xogħlijiet ta' delta</v>
      </c>
    </row>
    <row r="4203" ht="15.75" customHeight="1">
      <c r="A4203" s="2" t="s">
        <v>4203</v>
      </c>
      <c r="B4203" s="2" t="str">
        <f>IFERROR(__xludf.DUMMYFUNCTION("GOOGLETRANSLATE(A4203, ""en"", ""mt"")"),"Forts Shirley kien tella 'fil-Carry Oneida")</f>
        <v>Forts Shirley kien tella 'fil-Carry Oneida</v>
      </c>
    </row>
    <row r="4204" ht="15.75" customHeight="1">
      <c r="A4204" s="2" t="s">
        <v>4204</v>
      </c>
      <c r="B4204" s="2" t="str">
        <f>IFERROR(__xludf.DUMMYFUNCTION("GOOGLETRANSLATE(A4204, ""en"", ""mt"")"),"Kemm ikel jiekol ctenophora kuljum?")</f>
        <v>Kemm ikel jiekol ctenophora kuljum?</v>
      </c>
    </row>
    <row r="4205" ht="15.75" customHeight="1">
      <c r="A4205" s="2" t="s">
        <v>4205</v>
      </c>
      <c r="B4205" s="2" t="str">
        <f>IFERROR(__xludf.DUMMYFUNCTION("GOOGLETRANSLATE(A4205, ""en"", ""mt"")"),"Sittin fil-mija")</f>
        <v>Sittin fil-mija</v>
      </c>
    </row>
    <row r="4206" ht="15.75" customHeight="1">
      <c r="A4206" s="2" t="s">
        <v>4206</v>
      </c>
      <c r="B4206" s="2" t="str">
        <f>IFERROR(__xludf.DUMMYFUNCTION("GOOGLETRANSLATE(A4206, ""en"", ""mt"")"),"Moviment tat-Temperanza.")</f>
        <v>Moviment tat-Temperanza.</v>
      </c>
    </row>
    <row r="4207" ht="15.75" customHeight="1">
      <c r="A4207" s="2" t="s">
        <v>4207</v>
      </c>
      <c r="B4207" s="2" t="str">
        <f>IFERROR(__xludf.DUMMYFUNCTION("GOOGLETRANSLATE(A4207, ""en"", ""mt"")"),"Fl-1517 min kien l-isqof ta 'Luther?")</f>
        <v>Fl-1517 min kien l-isqof ta 'Luther?</v>
      </c>
    </row>
    <row r="4208" ht="15.75" customHeight="1">
      <c r="A4208" s="2" t="s">
        <v>4208</v>
      </c>
      <c r="B4208" s="2" t="str">
        <f>IFERROR(__xludf.DUMMYFUNCTION("GOOGLETRANSLATE(A4208, ""en"", ""mt"")"),"Il-Mużew tat-Teatru")</f>
        <v>Il-Mużew tat-Teatru</v>
      </c>
    </row>
    <row r="4209" ht="15.75" customHeight="1">
      <c r="A4209" s="2" t="s">
        <v>4209</v>
      </c>
      <c r="B4209" s="2" t="str">
        <f>IFERROR(__xludf.DUMMYFUNCTION("GOOGLETRANSLATE(A4209, ""en"", ""mt"")"),"X’dajer fir-Renu minħabba t-tneħħija tal-art fiż-żoni tal-art?")</f>
        <v>X’dajer fir-Renu minħabba t-tneħħija tal-art fiż-żoni tal-art?</v>
      </c>
    </row>
    <row r="4210" ht="15.75" customHeight="1">
      <c r="A4210" s="2" t="s">
        <v>4210</v>
      </c>
      <c r="B4210" s="2" t="str">
        <f>IFERROR(__xludf.DUMMYFUNCTION("GOOGLETRANSLATE(A4210, ""en"", ""mt"")"),"Il-kuntrattur medju mikri kemm impjegati?")</f>
        <v>Il-kuntrattur medju mikri kemm impjegati?</v>
      </c>
    </row>
    <row r="4211" ht="15.75" customHeight="1">
      <c r="A4211" s="2" t="s">
        <v>4211</v>
      </c>
      <c r="B4211" s="2" t="str">
        <f>IFERROR(__xludf.DUMMYFUNCTION("GOOGLETRANSLATE(A4211, ""en"", ""mt"")"),"Liema xmara tmur flimkien ma 'Jacksonville?")</f>
        <v>Liema xmara tmur flimkien ma 'Jacksonville?</v>
      </c>
    </row>
    <row r="4212" ht="15.75" customHeight="1">
      <c r="A4212" s="2" t="s">
        <v>4212</v>
      </c>
      <c r="B4212" s="2" t="str">
        <f>IFERROR(__xludf.DUMMYFUNCTION("GOOGLETRANSLATE(A4212, ""en"", ""mt"")"),"X'jikkommemora l-istorja erojka ta 'Varsavja?")</f>
        <v>X'jikkommemora l-istorja erojka ta 'Varsavja?</v>
      </c>
    </row>
    <row r="4213" ht="15.75" customHeight="1">
      <c r="A4213" s="2" t="s">
        <v>4213</v>
      </c>
      <c r="B4213" s="2" t="str">
        <f>IFERROR(__xludf.DUMMYFUNCTION("GOOGLETRANSLATE(A4213, ""en"", ""mt"")"),"X’wassal għall-ħtieġa għal trattati prinċipali li spiċċaw jiffurmaw l-UE?")</f>
        <v>X’wassal għall-ħtieġa għal trattati prinċipali li spiċċaw jiffurmaw l-UE?</v>
      </c>
    </row>
    <row r="4214" ht="15.75" customHeight="1">
      <c r="A4214" s="2" t="s">
        <v>4214</v>
      </c>
      <c r="B4214" s="2" t="str">
        <f>IFERROR(__xludf.DUMMYFUNCTION("GOOGLETRANSLATE(A4214, ""en"", ""mt"")"),"Liema par ta 'wlied Genghis Khan kienu l-iktar rivali?")</f>
        <v>Liema par ta 'wlied Genghis Khan kienu l-iktar rivali?</v>
      </c>
    </row>
    <row r="4215" ht="15.75" customHeight="1">
      <c r="A4215" s="2" t="s">
        <v>4215</v>
      </c>
      <c r="B4215" s="2" t="str">
        <f>IFERROR(__xludf.DUMMYFUNCTION("GOOGLETRANSLATE(A4215, ""en"", ""mt"")"),"Min skopra l-virus tad-deni isfar?")</f>
        <v>Min skopra l-virus tad-deni isfar?</v>
      </c>
    </row>
    <row r="4216" ht="15.75" customHeight="1">
      <c r="A4216" s="2" t="s">
        <v>4216</v>
      </c>
      <c r="B4216" s="2" t="str">
        <f>IFERROR(__xludf.DUMMYFUNCTION("GOOGLETRANSLATE(A4216, ""en"", ""mt"")"),"Grazzi t-tjubija Huwa umoristiku")</f>
        <v>Grazzi t-tjubija Huwa umoristiku</v>
      </c>
    </row>
    <row r="4217" ht="15.75" customHeight="1">
      <c r="A4217" s="2" t="s">
        <v>4217</v>
      </c>
      <c r="B4217" s="2" t="str">
        <f>IFERROR(__xludf.DUMMYFUNCTION("GOOGLETRANSLATE(A4217, ""en"", ""mt"")"),"1844")</f>
        <v>1844</v>
      </c>
    </row>
    <row r="4218" ht="15.75" customHeight="1">
      <c r="A4218" s="2" t="s">
        <v>4218</v>
      </c>
      <c r="B4218" s="2" t="str">
        <f>IFERROR(__xludf.DUMMYFUNCTION("GOOGLETRANSLATE(A4218, ""en"", ""mt"")"),"Li tillimita l-ħin u l-ispazju jew kejl simili ħafna drabi jintużaw minn algoritmi biex jiddefinixxu x'inhu?")</f>
        <v>Li tillimita l-ħin u l-ispazju jew kejl simili ħafna drabi jintużaw minn algoritmi biex jiddefinixxu x'inhu?</v>
      </c>
    </row>
    <row r="4219" ht="15.75" customHeight="1">
      <c r="A4219" s="2" t="s">
        <v>4219</v>
      </c>
      <c r="B4219" s="2" t="str">
        <f>IFERROR(__xludf.DUMMYFUNCTION("GOOGLETRANSLATE(A4219, ""en"", ""mt"")"),"Kap tal-Istat u Kap tal-Gvern")</f>
        <v>Kap tal-Istat u Kap tal-Gvern</v>
      </c>
    </row>
    <row r="4220" ht="15.75" customHeight="1">
      <c r="A4220" s="2" t="s">
        <v>4220</v>
      </c>
      <c r="B4220" s="2" t="str">
        <f>IFERROR(__xludf.DUMMYFUNCTION("GOOGLETRANSLATE(A4220, ""en"", ""mt"")"),"Min hu magħruf bħala l-ewwel Keeper of Fine Art Collection fil-V &amp; A?")</f>
        <v>Min hu magħruf bħala l-ewwel Keeper of Fine Art Collection fil-V &amp; A?</v>
      </c>
    </row>
    <row r="4221" ht="15.75" customHeight="1">
      <c r="A4221" s="2" t="s">
        <v>4221</v>
      </c>
      <c r="B4221" s="2" t="str">
        <f>IFERROR(__xludf.DUMMYFUNCTION("GOOGLETRANSLATE(A4221, ""en"", ""mt"")"),"Saturn V għal")</f>
        <v>Saturn V għal</v>
      </c>
    </row>
    <row r="4222" ht="15.75" customHeight="1">
      <c r="A4222" s="2" t="s">
        <v>4222</v>
      </c>
      <c r="B4222" s="2" t="str">
        <f>IFERROR(__xludf.DUMMYFUNCTION("GOOGLETRANSLATE(A4222, ""en"", ""mt"")"),"Eleutherian Gunpowder Mills.")</f>
        <v>Eleutherian Gunpowder Mills.</v>
      </c>
    </row>
    <row r="4223" ht="15.75" customHeight="1">
      <c r="A4223" s="2" t="s">
        <v>4223</v>
      </c>
      <c r="B4223" s="2" t="str">
        <f>IFERROR(__xludf.DUMMYFUNCTION("GOOGLETRANSLATE(A4223, ""en"", ""mt"")"),"Is-snin sebgħin u 1980 raw il-ħolqien ta 'bosta pakketti ta' immaġini grafiċi għan-netwerk li fih ibbażat l-issettjar tal-logo prinċipalment fuq effetti speċjali tad-dawl imbagħad taħt żvilupp inklużi bojod, blu, roża, neon tal-qawsalla u linji bit-tikek "&amp;"glittering. Fost il-ħafna varjanti tal-logo ""ABC Circle"" kien hemm sekwenza ta 'l-ID tal-1977 li kienet tidher bużżieqa fuq sfond iswed li jirrappreżenta ċ-ċirku b'ittri tleqq tad-deheb, u bħala tali, kienet l-ewwel karta ta' identifikazzjoni ABC li kel"&amp;"lha dehra tridimensjonali.")</f>
        <v>Is-snin sebgħin u 1980 raw il-ħolqien ta 'bosta pakketti ta' immaġini grafiċi għan-netwerk li fih ibbażat l-issettjar tal-logo prinċipalment fuq effetti speċjali tad-dawl imbagħad taħt żvilupp inklużi bojod, blu, roża, neon tal-qawsalla u linji bit-tikek glittering. Fost il-ħafna varjanti tal-logo "ABC Circle" kien hemm sekwenza ta 'l-ID tal-1977 li kienet tidher bużżieqa fuq sfond iswed li jirrappreżenta ċ-ċirku b'ittri tleqq tad-deheb, u bħala tali, kienet l-ewwel karta ta' identifikazzjoni ABC li kellha dehra tridimensjonali.</v>
      </c>
    </row>
    <row r="4224" ht="15.75" customHeight="1">
      <c r="A4224" s="2" t="s">
        <v>4224</v>
      </c>
      <c r="B4224" s="2" t="str">
        <f>IFERROR(__xludf.DUMMYFUNCTION("GOOGLETRANSLATE(A4224, ""en"", ""mt"")"),"Qorti Suprema ta 'l-Istati Uniti")</f>
        <v>Qorti Suprema ta 'l-Istati Uniti</v>
      </c>
    </row>
    <row r="4225" ht="15.75" customHeight="1">
      <c r="A4225" s="2" t="s">
        <v>4225</v>
      </c>
      <c r="B4225" s="2" t="str">
        <f>IFERROR(__xludf.DUMMYFUNCTION("GOOGLETRANSLATE(A4225, ""en"", ""mt"")"),"Denver Broncos")</f>
        <v>Denver Broncos</v>
      </c>
    </row>
    <row r="4226" ht="15.75" customHeight="1">
      <c r="A4226" s="2" t="s">
        <v>4226</v>
      </c>
      <c r="B4226" s="2" t="str">
        <f>IFERROR(__xludf.DUMMYFUNCTION("GOOGLETRANSLATE(A4226, ""en"", ""mt"")"),"evidenza ta 'effetti tal-proċess ta' impatt")</f>
        <v>evidenza ta 'effetti tal-proċess ta' impatt</v>
      </c>
    </row>
    <row r="4227" ht="15.75" customHeight="1">
      <c r="A4227" s="2" t="s">
        <v>4227</v>
      </c>
      <c r="B4227" s="2" t="str">
        <f>IFERROR(__xludf.DUMMYFUNCTION("GOOGLETRANSLATE(A4227, ""en"", ""mt"")"),"1542")</f>
        <v>1542</v>
      </c>
    </row>
    <row r="4228" ht="15.75" customHeight="1">
      <c r="A4228" s="2" t="s">
        <v>4228</v>
      </c>
      <c r="B4228" s="2" t="str">
        <f>IFERROR(__xludf.DUMMYFUNCTION("GOOGLETRANSLATE(A4228, ""en"", ""mt"")"),"Liema studju wera d-doppju tar-rata ta 'ansjetà?")</f>
        <v>Liema studju wera d-doppju tar-rata ta 'ansjetà?</v>
      </c>
    </row>
    <row r="4229" ht="15.75" customHeight="1">
      <c r="A4229" s="2" t="s">
        <v>4229</v>
      </c>
      <c r="B4229" s="2" t="str">
        <f>IFERROR(__xludf.DUMMYFUNCTION("GOOGLETRANSLATE(A4229, ""en"", ""mt"")"),"X'għandu jagħmel Lama?")</f>
        <v>X'għandu jagħmel Lama?</v>
      </c>
    </row>
    <row r="4230" ht="15.75" customHeight="1">
      <c r="A4230" s="2" t="s">
        <v>4230</v>
      </c>
      <c r="B4230" s="2" t="str">
        <f>IFERROR(__xludf.DUMMYFUNCTION("GOOGLETRANSLATE(A4230, ""en"", ""mt"")"),"Kemm żdiedet il-popolazzjoni ta 'Victoria f'għaxar snin wara l-iskoperta tad-deheb?")</f>
        <v>Kemm żdiedet il-popolazzjoni ta 'Victoria f'għaxar snin wara l-iskoperta tad-deheb?</v>
      </c>
    </row>
    <row r="4231" ht="15.75" customHeight="1">
      <c r="A4231" s="2" t="s">
        <v>4231</v>
      </c>
      <c r="B4231" s="2" t="str">
        <f>IFERROR(__xludf.DUMMYFUNCTION("GOOGLETRANSLATE(A4231, ""en"", ""mt"")"),"Marzu 1974")</f>
        <v>Marzu 1974</v>
      </c>
    </row>
    <row r="4232" ht="15.75" customHeight="1">
      <c r="A4232" s="2" t="s">
        <v>4232</v>
      </c>
      <c r="B4232" s="2" t="str">
        <f>IFERROR(__xludf.DUMMYFUNCTION("GOOGLETRANSLATE(A4232, ""en"", ""mt"")"),"ir-rieda tal-politiċi elite")</f>
        <v>ir-rieda tal-politiċi elite</v>
      </c>
    </row>
    <row r="4233" ht="15.75" customHeight="1">
      <c r="A4233" s="2" t="s">
        <v>4233</v>
      </c>
      <c r="B4233" s="2" t="str">
        <f>IFERROR(__xludf.DUMMYFUNCTION("GOOGLETRANSLATE(A4233, ""en"", ""mt"")"),"Kemm interċezzjonijiet AQIB Talib kellu għall-istaġun regolari?")</f>
        <v>Kemm interċezzjonijiet AQIB Talib kellu għall-istaġun regolari?</v>
      </c>
    </row>
    <row r="4234" ht="15.75" customHeight="1">
      <c r="A4234" s="2" t="s">
        <v>4234</v>
      </c>
      <c r="B4234" s="2" t="str">
        <f>IFERROR(__xludf.DUMMYFUNCTION("GOOGLETRANSLATE(A4234, ""en"", ""mt"")"),"Pjan ta 'tliet snin")</f>
        <v>Pjan ta 'tliet snin</v>
      </c>
    </row>
    <row r="4235" ht="15.75" customHeight="1">
      <c r="A4235" s="2" t="s">
        <v>4235</v>
      </c>
      <c r="B4235" s="2" t="str">
        <f>IFERROR(__xludf.DUMMYFUNCTION("GOOGLETRANSLATE(A4235, ""en"", ""mt"")"),"huma ċedew")</f>
        <v>huma ċedew</v>
      </c>
    </row>
    <row r="4236" ht="15.75" customHeight="1">
      <c r="A4236" s="2" t="s">
        <v>4236</v>
      </c>
      <c r="B4236" s="2" t="str">
        <f>IFERROR(__xludf.DUMMYFUNCTION("GOOGLETRANSLATE(A4236, ""en"", ""mt"")"),"Workshop ta 'John Vanderbank")</f>
        <v>Workshop ta 'John Vanderbank</v>
      </c>
    </row>
    <row r="4237" ht="15.75" customHeight="1">
      <c r="A4237" s="2" t="s">
        <v>4237</v>
      </c>
      <c r="B4237" s="2" t="str">
        <f>IFERROR(__xludf.DUMMYFUNCTION("GOOGLETRANSLATE(A4237, ""en"", ""mt"")"),"Stat")</f>
        <v>Stat</v>
      </c>
    </row>
    <row r="4238" ht="15.75" customHeight="1">
      <c r="A4238" s="2" t="s">
        <v>4238</v>
      </c>
      <c r="B4238" s="2" t="str">
        <f>IFERROR(__xludf.DUMMYFUNCTION("GOOGLETRANSLATE(A4238, ""en"", ""mt"")"),"Liema organizzazzjoni argumentat li n-nixfa, fost effetti oħra, tista 'tikkawża li l-Forest Amazon jilħaq ""punt li jbaxxi?""")</f>
        <v>Liema organizzazzjoni argumentat li n-nixfa, fost effetti oħra, tista 'tikkawża li l-Forest Amazon jilħaq "punt li jbaxxi?"</v>
      </c>
    </row>
    <row r="4239" ht="15.75" customHeight="1">
      <c r="A4239" s="2" t="s">
        <v>4239</v>
      </c>
      <c r="B4239" s="2" t="str">
        <f>IFERROR(__xludf.DUMMYFUNCTION("GOOGLETRANSLATE(A4239, ""en"", ""mt"")"),"2005 u 2010")</f>
        <v>2005 u 2010</v>
      </c>
    </row>
    <row r="4240" ht="15.75" customHeight="1">
      <c r="A4240" s="2" t="s">
        <v>4240</v>
      </c>
      <c r="B4240" s="2" t="str">
        <f>IFERROR(__xludf.DUMMYFUNCTION("GOOGLETRANSLATE(A4240, ""en"", ""mt"")"),"X'inhu eżempju ta 'komponent tal-pompa?")</f>
        <v>X'inhu eżempju ta 'komponent tal-pompa?</v>
      </c>
    </row>
    <row r="4241" ht="15.75" customHeight="1">
      <c r="A4241" s="2" t="s">
        <v>4241</v>
      </c>
      <c r="B4241" s="2" t="str">
        <f>IFERROR(__xludf.DUMMYFUNCTION("GOOGLETRANSLATE(A4241, ""en"", ""mt"")"),"16,000 sa 35,000")</f>
        <v>16,000 sa 35,000</v>
      </c>
    </row>
    <row r="4242" ht="15.75" customHeight="1">
      <c r="A4242" s="2" t="s">
        <v>4242</v>
      </c>
      <c r="B4242" s="2" t="str">
        <f>IFERROR(__xludf.DUMMYFUNCTION("GOOGLETRANSLATE(A4242, ""en"", ""mt"")"),"Tim ta 'disinn formali jista' jkun immuntat biex jagħmel xiex?")</f>
        <v>Tim ta 'disinn formali jista' jkun immuntat biex jagħmel xiex?</v>
      </c>
    </row>
    <row r="4243" ht="15.75" customHeight="1">
      <c r="A4243" s="2" t="s">
        <v>4243</v>
      </c>
      <c r="B4243" s="2" t="str">
        <f>IFERROR(__xludf.DUMMYFUNCTION("GOOGLETRANSLATE(A4243, ""en"", ""mt"")"),"Liema kollezzjoni għandha l-galleriji tat-Teatru u l-Prestazzjoni V&amp;A?")</f>
        <v>Liema kollezzjoni għandha l-galleriji tat-Teatru u l-Prestazzjoni V&amp;A?</v>
      </c>
    </row>
    <row r="4244" ht="15.75" customHeight="1">
      <c r="A4244" s="2" t="s">
        <v>4244</v>
      </c>
      <c r="B4244" s="2" t="str">
        <f>IFERROR(__xludf.DUMMYFUNCTION("GOOGLETRANSLATE(A4244, ""en"", ""mt"")"),"Liema miżura għandha tiġi adottata meta jkun hemm għażla bejn bosta?")</f>
        <v>Liema miżura għandha tiġi adottata meta jkun hemm għażla bejn bosta?</v>
      </c>
    </row>
    <row r="4245" ht="15.75" customHeight="1">
      <c r="A4245" s="2" t="s">
        <v>4245</v>
      </c>
      <c r="B4245" s="2" t="str">
        <f>IFERROR(__xludf.DUMMYFUNCTION("GOOGLETRANSLATE(A4245, ""en"", ""mt"")"),"Islam politiku")</f>
        <v>Islam politiku</v>
      </c>
    </row>
    <row r="4246" ht="15.75" customHeight="1">
      <c r="A4246" s="2" t="s">
        <v>4246</v>
      </c>
      <c r="B4246" s="2" t="str">
        <f>IFERROR(__xludf.DUMMYFUNCTION("GOOGLETRANSLATE(A4246, ""en"", ""mt"")"),"Għaliex CBS waqqa 'l-grawnd għall-UNTACHABLES?")</f>
        <v>Għaliex CBS waqqa 'l-grawnd għall-UNTACHABLES?</v>
      </c>
    </row>
    <row r="4247" ht="15.75" customHeight="1">
      <c r="A4247" s="2" t="s">
        <v>4247</v>
      </c>
      <c r="B4247" s="2" t="str">
        <f>IFERROR(__xludf.DUMMYFUNCTION("GOOGLETRANSLATE(A4247, ""en"", ""mt"")"),"Samuel Webber")</f>
        <v>Samuel Webber</v>
      </c>
    </row>
    <row r="4248" ht="15.75" customHeight="1">
      <c r="A4248" s="2" t="s">
        <v>4248</v>
      </c>
      <c r="B4248" s="2" t="str">
        <f>IFERROR(__xludf.DUMMYFUNCTION("GOOGLETRANSLATE(A4248, ""en"", ""mt"")"),"X'inhi s-sistema immunitarja ta 'l-imħuħ magħrufa bħala?")</f>
        <v>X'inhi s-sistema immunitarja ta 'l-imħuħ magħrufa bħala?</v>
      </c>
    </row>
    <row r="4249" ht="15.75" customHeight="1">
      <c r="A4249" s="2" t="s">
        <v>4249</v>
      </c>
      <c r="B4249" s="2" t="str">
        <f>IFERROR(__xludf.DUMMYFUNCTION("GOOGLETRANSLATE(A4249, ""en"", ""mt"")"),"Luther għamel id-dikjarazzjonijiet tiegħu minn Wartburg fil-kuntest ta 'żviluppi rapidi f'Wittenberg, li minnu nżamm kompletament infurmat. Andreas Karlstadt, appoġġjat mill-ex-Augustinian Gabriel Zwilling, imbarka fuq programm radikali ta 'riforma hemmhe"&amp;"kk f'Ġunju 1521, li jaqbeż kull ħaġa maħsuba minn Luther. Ir-riformi pprovokaw disturbi, inkluż rewwixta mill-Patrijiet Agostinjani kontra l-preċedenti tagħhom, it-taħwid ta 'statwi u immaġini fil-knejjes, u d-denunzji tal-maġistratura. Wara li żaret b'mo"&amp;"d sigriet Wittenberg fil-bidu ta 'Diċembru 1521, Luther kiteb ammonizzjoni sinċiera minn Martin Luther lill-insara kollha biex iħarsu kontra l-insurrezzjoni u r-ribelljoni. Wittenberg sar saħansitra aktar volatili wara l-Milied meta faxxa ta ’żelu viżjona"&amp;"rju, l-hekk imsejħa profeti Zwickau, waslu, jippriedkaw duttrini rivoluzzjonarji bħall-ugwaljanza tal-bniedem, il-magħmudija għall-adulti, u r-ritorn imminenti ta’ Kristu. Meta l-kunsill tal-belt talab lil Luther biex jirritorna, huwa ddeċieda li kien id-"&amp;"dmir tiegħu li jaġixxi.")</f>
        <v>Luther għamel id-dikjarazzjonijiet tiegħu minn Wartburg fil-kuntest ta 'żviluppi rapidi f'Wittenberg, li minnu nżamm kompletament infurmat. Andreas Karlstadt, appoġġjat mill-ex-Augustinian Gabriel Zwilling, imbarka fuq programm radikali ta 'riforma hemmhekk f'Ġunju 1521, li jaqbeż kull ħaġa maħsuba minn Luther. Ir-riformi pprovokaw disturbi, inkluż rewwixta mill-Patrijiet Agostinjani kontra l-preċedenti tagħhom, it-taħwid ta 'statwi u immaġini fil-knejjes, u d-denunzji tal-maġistratura. Wara li żaret b'mod sigriet Wittenberg fil-bidu ta 'Diċembru 1521, Luther kiteb ammonizzjoni sinċiera minn Martin Luther lill-insara kollha biex iħarsu kontra l-insurrezzjoni u r-ribelljoni. Wittenberg sar saħansitra aktar volatili wara l-Milied meta faxxa ta ’żelu viżjonarju, l-hekk imsejħa profeti Zwickau, waslu, jippriedkaw duttrini rivoluzzjonarji bħall-ugwaljanza tal-bniedem, il-magħmudija għall-adulti, u r-ritorn imminenti ta’ Kristu. Meta l-kunsill tal-belt talab lil Luther biex jirritorna, huwa ddeċieda li kien id-dmir tiegħu li jaġixxi.</v>
      </c>
    </row>
    <row r="4250" ht="15.75" customHeight="1">
      <c r="A4250" s="2" t="s">
        <v>4250</v>
      </c>
      <c r="B4250" s="2" t="str">
        <f>IFERROR(__xludf.DUMMYFUNCTION("GOOGLETRANSLATE(A4250, ""en"", ""mt"")"),"Il-korp leġiżlattiv, il-kunsill, huwa magħmul minn liema tip ta 'individwi?")</f>
        <v>Il-korp leġiżlattiv, il-kunsill, huwa magħmul minn liema tip ta 'individwi?</v>
      </c>
    </row>
    <row r="4251" ht="15.75" customHeight="1">
      <c r="A4251" s="2" t="s">
        <v>4251</v>
      </c>
      <c r="B4251" s="2" t="str">
        <f>IFERROR(__xludf.DUMMYFUNCTION("GOOGLETRANSLATE(A4251, ""en"", ""mt"")"),"Meta bdiet il-Gwerra Ċivili Sirjana?")</f>
        <v>Meta bdiet il-Gwerra Ċivili Sirjana?</v>
      </c>
    </row>
    <row r="4252" ht="15.75" customHeight="1">
      <c r="A4252" s="2" t="s">
        <v>4252</v>
      </c>
      <c r="B4252" s="2" t="str">
        <f>IFERROR(__xludf.DUMMYFUNCTION("GOOGLETRANSLATE(A4252, ""en"", ""mt"")"),"Il-klassifikazzjonijiet ikrah ta 'Betty waqgħu b'mod drammatiku wara l-film tas-serje għal liema lejl?")</f>
        <v>Il-klassifikazzjonijiet ikrah ta 'Betty waqgħu b'mod drammatiku wara l-film tas-serje għal liema lejl?</v>
      </c>
    </row>
    <row r="4253" ht="15.75" customHeight="1">
      <c r="A4253" s="2" t="s">
        <v>4253</v>
      </c>
      <c r="B4253" s="2" t="str">
        <f>IFERROR(__xludf.DUMMYFUNCTION("GOOGLETRANSLATE(A4253, ""en"", ""mt"")"),"bla tagħlim")</f>
        <v>bla tagħlim</v>
      </c>
    </row>
    <row r="4254" ht="15.75" customHeight="1">
      <c r="A4254" s="2" t="s">
        <v>4254</v>
      </c>
      <c r="B4254" s="2" t="str">
        <f>IFERROR(__xludf.DUMMYFUNCTION("GOOGLETRANSLATE(A4254, ""en"", ""mt"")"),"Fejn jistgħu jiltaqgħu l-kumitati barra mill-Parlament?")</f>
        <v>Fejn jistgħu jiltaqgħu l-kumitati barra mill-Parlament?</v>
      </c>
    </row>
    <row r="4255" ht="15.75" customHeight="1">
      <c r="A4255" s="2" t="s">
        <v>4255</v>
      </c>
      <c r="B4255" s="2" t="str">
        <f>IFERROR(__xludf.DUMMYFUNCTION("GOOGLETRANSLATE(A4255, ""en"", ""mt"")"),"Il-pjanti għandhom żewġ risponsi immuni ewlenin - ir-rispons ipersensittiv, li fih iċ-ċelloli infettati jissiġillaw lilhom infushom u jgħaddu mill-mewt ipprogrammata taċ-ċelloli, u reżistenza akkwistata sistemika, fejn iċ-ċelloli infettati jirrilaxxaw sin"&amp;"jali li jwissu l-kumplament tal-impjant tal-preżenza tal-patoġen. Il-kloroplasti jistimulaw iż-żewġ tweġibiet billi jagħmlu ħsara apposta s-sistema fotosintetika tagħhom, u jipproduċu speċi ta 'ossiġnu reattiv. Livelli għoljin ta 'speċi reattivi ta' ossiġ"&amp;"enu jikkawżaw rispons ipersensittiv. L-ispeċi reattivi ta 'ossiġnu joqtlu wkoll direttament kwalunkwe patoġeni fiċ-ċellula. Livelli aktar baxxi ta 'speċi reattivi ta' ossiġenu jibdew reżistenza sistemika akkwistata, li jikkawżaw produzzjoni ta 'molekula t"&amp;"a' difiża fil-bqija tal-impjant.")</f>
        <v>Il-pjanti għandhom żewġ risponsi immuni ewlenin - ir-rispons ipersensittiv, li fih iċ-ċelloli infettati jissiġillaw lilhom infushom u jgħaddu mill-mewt ipprogrammata taċ-ċelloli, u reżistenza akkwistata sistemika, fejn iċ-ċelloli infettati jirrilaxxaw sinjali li jwissu l-kumplament tal-impjant tal-preżenza tal-patoġen. Il-kloroplasti jistimulaw iż-żewġ tweġibiet billi jagħmlu ħsara apposta s-sistema fotosintetika tagħhom, u jipproduċu speċi ta 'ossiġnu reattiv. Livelli għoljin ta 'speċi reattivi ta' ossiġenu jikkawżaw rispons ipersensittiv. L-ispeċi reattivi ta 'ossiġnu joqtlu wkoll direttament kwalunkwe patoġeni fiċ-ċellula. Livelli aktar baxxi ta 'speċi reattivi ta' ossiġenu jibdew reżistenza sistemika akkwistata, li jikkawżaw produzzjoni ta 'molekula ta' difiża fil-bqija tal-impjant.</v>
      </c>
    </row>
    <row r="4256" ht="15.75" customHeight="1">
      <c r="A4256" s="2" t="s">
        <v>4256</v>
      </c>
      <c r="B4256" s="2" t="str">
        <f>IFERROR(__xludf.DUMMYFUNCTION("GOOGLETRANSLATE(A4256, ""en"", ""mt"")"),"Fejn saret il-famuż protesta famuża?")</f>
        <v>Fejn saret il-famuż protesta famuża?</v>
      </c>
    </row>
    <row r="4257" ht="15.75" customHeight="1">
      <c r="A4257" s="2" t="s">
        <v>4257</v>
      </c>
      <c r="B4257" s="2" t="str">
        <f>IFERROR(__xludf.DUMMYFUNCTION("GOOGLETRANSLATE(A4257, ""en"", ""mt"")"),"Ksee")</f>
        <v>Ksee</v>
      </c>
    </row>
    <row r="4258" ht="15.75" customHeight="1">
      <c r="A4258" s="2" t="s">
        <v>4258</v>
      </c>
      <c r="B4258" s="2" t="str">
        <f>IFERROR(__xludf.DUMMYFUNCTION("GOOGLETRANSLATE(A4258, ""en"", ""mt"")"),"2,900 kilometru (1,802 mi)")</f>
        <v>2,900 kilometru (1,802 mi)</v>
      </c>
    </row>
    <row r="4259" ht="15.75" customHeight="1">
      <c r="A4259" s="2" t="s">
        <v>4259</v>
      </c>
      <c r="B4259" s="2" t="str">
        <f>IFERROR(__xludf.DUMMYFUNCTION("GOOGLETRANSLATE(A4259, ""en"", ""mt"")"),"Meta wieħed jikkunsidra magni tat-Turing u varjabbli alternattivi, liema kejl ħalla mhux affettwat mill-konverżjoni bejn mudelli tal-magni?")</f>
        <v>Meta wieħed jikkunsidra magni tat-Turing u varjabbli alternattivi, liema kejl ħalla mhux affettwat mill-konverżjoni bejn mudelli tal-magni?</v>
      </c>
    </row>
    <row r="4260" ht="15.75" customHeight="1">
      <c r="A4260" s="2" t="s">
        <v>4260</v>
      </c>
      <c r="B4260" s="2" t="str">
        <f>IFERROR(__xludf.DUMMYFUNCTION("GOOGLETRANSLATE(A4260, ""en"", ""mt"")"),"Liema persuna targumenta li d-diżubbidjenza ċivili tintuża biex tiddeskrivi kollox?")</f>
        <v>Liema persuna targumenta li d-diżubbidjenza ċivili tintuża biex tiddeskrivi kollox?</v>
      </c>
    </row>
    <row r="4261" ht="15.75" customHeight="1">
      <c r="A4261" s="2" t="s">
        <v>4261</v>
      </c>
      <c r="B4261" s="2" t="str">
        <f>IFERROR(__xludf.DUMMYFUNCTION("GOOGLETRANSLATE(A4261, ""en"", ""mt"")"),"ir-repulsjoni ta 'piżijiet simili taħt l-influwenza tal-forza elettromanjetika")</f>
        <v>ir-repulsjoni ta 'piżijiet simili taħt l-influwenza tal-forza elettromanjetika</v>
      </c>
    </row>
    <row r="4262" ht="15.75" customHeight="1">
      <c r="A4262" s="2" t="s">
        <v>4262</v>
      </c>
      <c r="B4262" s="2" t="str">
        <f>IFERROR(__xludf.DUMMYFUNCTION("GOOGLETRANSLATE(A4262, ""en"", ""mt"")"),"Lucas Horenbout")</f>
        <v>Lucas Horenbout</v>
      </c>
    </row>
    <row r="4263" ht="15.75" customHeight="1">
      <c r="A4263" s="2" t="s">
        <v>4263</v>
      </c>
      <c r="B4263" s="2" t="str">
        <f>IFERROR(__xludf.DUMMYFUNCTION("GOOGLETRANSLATE(A4263, ""en"", ""mt"")"),"Fost l-MSPs eletti")</f>
        <v>Fost l-MSPs eletti</v>
      </c>
    </row>
    <row r="4264" ht="15.75" customHeight="1">
      <c r="A4264" s="2" t="s">
        <v>4264</v>
      </c>
      <c r="B4264" s="2" t="str">
        <f>IFERROR(__xludf.DUMMYFUNCTION("GOOGLETRANSLATE(A4264, ""en"", ""mt"")"),"Barra mit-Tramuntana ta 'San Diego, liema reġjun ieħor fih distretti ta' negozju?")</f>
        <v>Barra mit-Tramuntana ta 'San Diego, liema reġjun ieħor fih distretti ta' negozju?</v>
      </c>
    </row>
    <row r="4265" ht="15.75" customHeight="1">
      <c r="A4265" s="2" t="s">
        <v>4265</v>
      </c>
      <c r="B4265" s="2" t="str">
        <f>IFERROR(__xludf.DUMMYFUNCTION("GOOGLETRANSLATE(A4265, ""en"", ""mt"")"),"Tesla kienet ir-raba ’minn ħamest itfal. Kellu ħuh akbar jismu Dane u tliet sorijiet, Milka, Angelina u Marica. Dane nqatel f'inċident ta 'rkib taż-żwiemel meta Nikola kellu ħames snin. Fl-1861, Tesla attendiet l-iskola ""baxxa"" jew ""primarja"" fi Smilj"&amp;"an fejn studja l-Ġermaniż, l-aritmetika, u r-reliġjon. Fl-1862, il-familja Tesla marret tgħix Gospic, Imperu Awstrijak, fejn missier Tesla ħadem bħala ragħaj. Nikola temm l-iskola ""aktar baxxa"" jew ""primarja"", segwita mill- ""ġinnasju reali baxx"" jew"&amp;" ""skola normali.""")</f>
        <v>Tesla kienet ir-raba ’minn ħamest itfal. Kellu ħuh akbar jismu Dane u tliet sorijiet, Milka, Angelina u Marica. Dane nqatel f'inċident ta 'rkib taż-żwiemel meta Nikola kellu ħames snin. Fl-1861, Tesla attendiet l-iskola "baxxa" jew "primarja" fi Smiljan fejn studja l-Ġermaniż, l-aritmetika, u r-reliġjon. Fl-1862, il-familja Tesla marret tgħix Gospic, Imperu Awstrijak, fejn missier Tesla ħadem bħala ragħaj. Nikola temm l-iskola "aktar baxxa" jew "primarja", segwita mill- "ġinnasju reali baxx" jew "skola normali."</v>
      </c>
    </row>
    <row r="4266" ht="15.75" customHeight="1">
      <c r="A4266" s="2" t="s">
        <v>4266</v>
      </c>
      <c r="B4266" s="2" t="str">
        <f>IFERROR(__xludf.DUMMYFUNCTION("GOOGLETRANSLATE(A4266, ""en"", ""mt"")"),"ammont ta 'ħin li għalih huma permessi jitkellmu")</f>
        <v>ammont ta 'ħin li għalih huma permessi jitkellmu</v>
      </c>
    </row>
    <row r="4267" ht="15.75" customHeight="1">
      <c r="A4267" s="2" t="s">
        <v>4267</v>
      </c>
      <c r="B4267" s="2" t="str">
        <f>IFERROR(__xludf.DUMMYFUNCTION("GOOGLETRANSLATE(A4267, ""en"", ""mt"")"),"Prim Ministru")</f>
        <v>Prim Ministru</v>
      </c>
    </row>
    <row r="4268" ht="15.75" customHeight="1">
      <c r="A4268" s="2" t="s">
        <v>4268</v>
      </c>
      <c r="B4268" s="2" t="str">
        <f>IFERROR(__xludf.DUMMYFUNCTION("GOOGLETRANSLATE(A4268, ""en"", ""mt"")"),"antropoloġiku")</f>
        <v>antropoloġiku</v>
      </c>
    </row>
    <row r="4269" ht="15.75" customHeight="1">
      <c r="A4269" s="2" t="s">
        <v>4269</v>
      </c>
      <c r="B4269" s="2" t="str">
        <f>IFERROR(__xludf.DUMMYFUNCTION("GOOGLETRANSLATE(A4269, ""en"", ""mt"")"),"Partit Liberali tal-Awstralja")</f>
        <v>Partit Liberali tal-Awstralja</v>
      </c>
    </row>
    <row r="4270" ht="15.75" customHeight="1">
      <c r="A4270" s="2" t="s">
        <v>4270</v>
      </c>
      <c r="B4270" s="2" t="str">
        <f>IFERROR(__xludf.DUMMYFUNCTION("GOOGLETRANSLATE(A4270, ""en"", ""mt"")"),"Ctenophores jiffurmaw phylum ta 'annimali li huwa aktar kumpless minn sponoż, madwar kumpless daqs cnidarians (bram, anemoni tal-baħar, eċċ.), U inqas kumplessi minn bilaterjani (li jinkludu kważi l-annimali l-oħra kollha). B'differenza mill-isponoż, kemm"&amp;" ctenophores kif ukoll cnidarians għandhom: ċelloli marbuta permezz ta 'konnessjonijiet bejn iċ-ċelloli u membrani tal-kantina simili għat-twapet; muskoli; sistemi nervużi; U xi wħud għandhom organi sensorji. Ctenophores huma distinti mill-annimali l-oħra"&amp;" kollha billi għandhom kolloblasti, li huma twaħħal u jaderixxu mal-priża, għalkemm ftit speċi ta 'ctenophore m'għandhomxhom.")</f>
        <v>Ctenophores jiffurmaw phylum ta 'annimali li huwa aktar kumpless minn sponoż, madwar kumpless daqs cnidarians (bram, anemoni tal-baħar, eċċ.), U inqas kumplessi minn bilaterjani (li jinkludu kważi l-annimali l-oħra kollha). B'differenza mill-isponoż, kemm ctenophores kif ukoll cnidarians għandhom: ċelloli marbuta permezz ta 'konnessjonijiet bejn iċ-ċelloli u membrani tal-kantina simili għat-twapet; muskoli; sistemi nervużi; U xi wħud għandhom organi sensorji. Ctenophores huma distinti mill-annimali l-oħra kollha billi għandhom kolloblasti, li huma twaħħal u jaderixxu mal-priża, għalkemm ftit speċi ta 'ctenophore m'għandhomxhom.</v>
      </c>
    </row>
    <row r="4271" ht="15.75" customHeight="1">
      <c r="A4271" s="2" t="s">
        <v>4271</v>
      </c>
      <c r="B4271" s="2" t="str">
        <f>IFERROR(__xludf.DUMMYFUNCTION("GOOGLETRANSLATE(A4271, ""en"", ""mt"")"),"Fred Silverman")</f>
        <v>Fred Silverman</v>
      </c>
    </row>
    <row r="4272" ht="15.75" customHeight="1">
      <c r="A4272" s="2" t="s">
        <v>4272</v>
      </c>
      <c r="B4272" s="2" t="str">
        <f>IFERROR(__xludf.DUMMYFUNCTION("GOOGLETRANSLATE(A4272, ""en"", ""mt"")"),"għall-bajjiet popolari tagħha")</f>
        <v>għall-bajjiet popolari tagħha</v>
      </c>
    </row>
    <row r="4273" ht="15.75" customHeight="1">
      <c r="A4273" s="2" t="s">
        <v>4273</v>
      </c>
      <c r="B4273" s="2" t="str">
        <f>IFERROR(__xludf.DUMMYFUNCTION("GOOGLETRANSLATE(A4273, ""en"", ""mt"")"),"X'inhu l-isem tal-istadium fejn intlagħab Super Bowl 50?")</f>
        <v>X'inhu l-isem tal-istadium fejn intlagħab Super Bowl 50?</v>
      </c>
    </row>
    <row r="4274" ht="15.75" customHeight="1">
      <c r="A4274" s="2" t="s">
        <v>4274</v>
      </c>
      <c r="B4274" s="2" t="str">
        <f>IFERROR(__xludf.DUMMYFUNCTION("GOOGLETRANSLATE(A4274, ""en"", ""mt"")"),"Liema grupp m'għandux appendiċi ta 'l-għalf?")</f>
        <v>Liema grupp m'għandux appendiċi ta 'l-għalf?</v>
      </c>
    </row>
    <row r="4275" ht="15.75" customHeight="1">
      <c r="A4275" s="2" t="s">
        <v>4275</v>
      </c>
      <c r="B4275" s="2" t="str">
        <f>IFERROR(__xludf.DUMMYFUNCTION("GOOGLETRANSLATE(A4275, ""en"", ""mt"")"),"Jon Pertwee")</f>
        <v>Jon Pertwee</v>
      </c>
    </row>
    <row r="4276" ht="15.75" customHeight="1">
      <c r="A4276" s="2" t="s">
        <v>4276</v>
      </c>
      <c r="B4276" s="2" t="str">
        <f>IFERROR(__xludf.DUMMYFUNCTION("GOOGLETRANSLATE(A4276, ""en"", ""mt"")"),"23,300 kg")</f>
        <v>23,300 kg</v>
      </c>
    </row>
    <row r="4277" ht="15.75" customHeight="1">
      <c r="A4277" s="2" t="s">
        <v>4277</v>
      </c>
      <c r="B4277" s="2" t="str">
        <f>IFERROR(__xludf.DUMMYFUNCTION("GOOGLETRANSLATE(A4277, ""en"", ""mt"")"),"Manning temm is-sena bi klassifikazzjoni tal-passer 67.9 baxxa fil-karriera, jitfa 'għal 2,249 tarzni u disa' touchdowns, bi 17-il interċezzjoni. B'kuntrast, Osweiler xeħet għal 1,967 tarzni, 10 touchdowns u sitt interċezzjonijiet għal klassifikazzjoni ta"&amp;" '86.4. Riċevitur Veteran Demaryius Thomas mexxa lit-tim b'105 riċevimenti għal 1,304 tarzni u sitt touchdowns, filwaqt li Emmanuel Sanders qabad 76 pass għal 1,135 tarzni u sitt punteġġi, filwaqt li żied 106 tarzni oħra li jirritornaw punti. Tmiem issikk"&amp;"at Owen Daniels kien ukoll element kbir tal-logħba li tgħaddi b'46 riċeviment għal 517 tarzni. It-tmexxija lura C. J. Anderson kienet it-tim li jwassal rusher 863 tarzni u seba 'touchdowns, filwaqt li qabad ukoll 25 pass għal 183 tarzni. It-tmexxija lura "&amp;"ta ’Ronnie Hillman ukoll għamlet impatt kbir b’720 tarzna, ħames touchdowns, 24 riċeviment, u 4.7 tarzni għal kull medja tal-ġarr. B'mod ġenerali, ir-reat ikklassifika d-19-il sena meta skorja b'355 punt u ma kellu l-ebda selezzjoni ta 'Pro Bowl.")</f>
        <v>Manning temm is-sena bi klassifikazzjoni tal-passer 67.9 baxxa fil-karriera, jitfa 'għal 2,249 tarzni u disa' touchdowns, bi 17-il interċezzjoni. B'kuntrast, Osweiler xeħet għal 1,967 tarzni, 10 touchdowns u sitt interċezzjonijiet għal klassifikazzjoni ta '86.4. Riċevitur Veteran Demaryius Thomas mexxa lit-tim b'105 riċevimenti għal 1,304 tarzni u sitt touchdowns, filwaqt li Emmanuel Sanders qabad 76 pass għal 1,135 tarzni u sitt punteġġi, filwaqt li żied 106 tarzni oħra li jirritornaw punti. Tmiem issikkat Owen Daniels kien ukoll element kbir tal-logħba li tgħaddi b'46 riċeviment għal 517 tarzni. It-tmexxija lura C. J. Anderson kienet it-tim li jwassal rusher 863 tarzni u seba 'touchdowns, filwaqt li qabad ukoll 25 pass għal 183 tarzni. It-tmexxija lura ta ’Ronnie Hillman ukoll għamlet impatt kbir b’720 tarzna, ħames touchdowns, 24 riċeviment, u 4.7 tarzni għal kull medja tal-ġarr. B'mod ġenerali, ir-reat ikklassifika d-19-il sena meta skorja b'355 punt u ma kellu l-ebda selezzjoni ta 'Pro Bowl.</v>
      </c>
    </row>
    <row r="4278" ht="15.75" customHeight="1">
      <c r="A4278" s="2" t="s">
        <v>4278</v>
      </c>
      <c r="B4278" s="2" t="str">
        <f>IFERROR(__xludf.DUMMYFUNCTION("GOOGLETRANSLATE(A4278, ""en"", ""mt"")"),"kemm il-gvern kif ukoll l-Assemblea Nazzjonali u s-Senat")</f>
        <v>kemm il-gvern kif ukoll l-Assemblea Nazzjonali u s-Senat</v>
      </c>
    </row>
    <row r="4279" ht="15.75" customHeight="1">
      <c r="A4279" s="2" t="s">
        <v>4279</v>
      </c>
      <c r="B4279" s="2" t="str">
        <f>IFERROR(__xludf.DUMMYFUNCTION("GOOGLETRANSLATE(A4279, ""en"", ""mt"")"),"Chagatai u Jochi)")</f>
        <v>Chagatai u Jochi)</v>
      </c>
    </row>
    <row r="4280" ht="15.75" customHeight="1">
      <c r="A4280" s="2" t="s">
        <v>4280</v>
      </c>
      <c r="B4280" s="2" t="str">
        <f>IFERROR(__xludf.DUMMYFUNCTION("GOOGLETRANSLATE(A4280, ""en"", ""mt"")"),"X'inhuma xi eżempji ta 'territorji fejn stat membru huwa responsabbli għar-relazzjonijiet esterni?")</f>
        <v>X'inhuma xi eżempji ta 'territorji fejn stat membru huwa responsabbli għar-relazzjonijiet esterni?</v>
      </c>
    </row>
    <row r="4281" ht="15.75" customHeight="1">
      <c r="A4281" s="2" t="s">
        <v>4281</v>
      </c>
      <c r="B4281" s="2" t="str">
        <f>IFERROR(__xludf.DUMMYFUNCTION("GOOGLETRANSLATE(A4281, ""en"", ""mt"")"),"inferjuri")</f>
        <v>inferjuri</v>
      </c>
    </row>
    <row r="4282" ht="15.75" customHeight="1">
      <c r="A4282" s="2" t="s">
        <v>4282</v>
      </c>
      <c r="B4282" s="2" t="str">
        <f>IFERROR(__xludf.DUMMYFUNCTION("GOOGLETRANSLATE(A4282, ""en"", ""mt"")"),"Chester, South Carolina")</f>
        <v>Chester, South Carolina</v>
      </c>
    </row>
    <row r="4283" ht="15.75" customHeight="1">
      <c r="A4283" s="2" t="s">
        <v>4283</v>
      </c>
      <c r="B4283" s="2" t="str">
        <f>IFERROR(__xludf.DUMMYFUNCTION("GOOGLETRANSLATE(A4283, ""en"", ""mt"")"),"aktar minn 10,000 m2")</f>
        <v>aktar minn 10,000 m2</v>
      </c>
    </row>
    <row r="4284" ht="15.75" customHeight="1">
      <c r="A4284" s="2" t="s">
        <v>4284</v>
      </c>
      <c r="B4284" s="2" t="str">
        <f>IFERROR(__xludf.DUMMYFUNCTION("GOOGLETRANSLATE(A4284, ""en"", ""mt"")"),"żdied")</f>
        <v>żdied</v>
      </c>
    </row>
    <row r="4285" ht="15.75" customHeight="1">
      <c r="A4285" s="2" t="s">
        <v>4285</v>
      </c>
      <c r="B4285" s="2" t="str">
        <f>IFERROR(__xludf.DUMMYFUNCTION("GOOGLETRANSLATE(A4285, ""en"", ""mt"")"),"Lag Baikal")</f>
        <v>Lag Baikal</v>
      </c>
    </row>
    <row r="4286" ht="15.75" customHeight="1">
      <c r="A4286" s="2" t="s">
        <v>4286</v>
      </c>
      <c r="B4286" s="2" t="str">
        <f>IFERROR(__xludf.DUMMYFUNCTION("GOOGLETRANSLATE(A4286, ""en"", ""mt"")"),"Il-paleoklimatologi jkejlu l-proporzjon ta 'ossiġenu-18 u ossiġenu-16 fil-qxur u skeletri ta' organiżmi tal-baħar biex jiddeterminaw liema kienet il-klima bħal miljuni ta 'snin ilu (ara ċ-ċiklu tal-proporzjon tal-iżotopi tal-ossiġnu). Molekuli tal-ilma ba"&amp;"ħar li fihom l-iżotopi eħfef, ossiġenu-16, jevaporaw b'rata kemmxejn aktar mgħaġġla minn molekuli tal-ilma li fihom it-12% itqal ossiġenu-18; Din id-disparità tiżdied f'temperaturi aktar baxxi. Matul perjodi ta 'temperaturi globali aktar baxxi, il-borra u"&amp;" x-xita minn dak l-ilma evaporat għandu tendenza li jkun ogħla fl-ossiġnu-16, u l-ilma baħar li jibqa' warajh għandu tendenza li jkun ogħla fl-ossiġnu-18. L-organiżmi tal-baħar imbagħad jinkorporaw aktar ossiġenu-18 fl-iskeletri u l-qxur tagħhom milli kie"&amp;"nu fi klima aktar sħuna. Il-paleoklimatoloġi wkoll ikejlu direttament dan il-proporzjon fil-molekuli tal-ilma ta 'kampjuni tal-qalba tas-silġ li għandhom sa bosta mijiet ta' eluf ta 'snin.")</f>
        <v>Il-paleoklimatologi jkejlu l-proporzjon ta 'ossiġenu-18 u ossiġenu-16 fil-qxur u skeletri ta' organiżmi tal-baħar biex jiddeterminaw liema kienet il-klima bħal miljuni ta 'snin ilu (ara ċ-ċiklu tal-proporzjon tal-iżotopi tal-ossiġnu). Molekuli tal-ilma baħar li fihom l-iżotopi eħfef, ossiġenu-16, jevaporaw b'rata kemmxejn aktar mgħaġġla minn molekuli tal-ilma li fihom it-12% itqal ossiġenu-18; Din id-disparità tiżdied f'temperaturi aktar baxxi. Matul perjodi ta 'temperaturi globali aktar baxxi, il-borra u x-xita minn dak l-ilma evaporat għandu tendenza li jkun ogħla fl-ossiġnu-16, u l-ilma baħar li jibqa' warajh għandu tendenza li jkun ogħla fl-ossiġnu-18. L-organiżmi tal-baħar imbagħad jinkorporaw aktar ossiġenu-18 fl-iskeletri u l-qxur tagħhom milli kienu fi klima aktar sħuna. Il-paleoklimatoloġi wkoll ikejlu direttament dan il-proporzjon fil-molekuli tal-ilma ta 'kampjuni tal-qalba tas-silġ li għandhom sa bosta mijiet ta' eluf ta 'snin.</v>
      </c>
    </row>
    <row r="4287" ht="15.75" customHeight="1">
      <c r="A4287" s="2" t="s">
        <v>4287</v>
      </c>
      <c r="B4287" s="2" t="str">
        <f>IFERROR(__xludf.DUMMYFUNCTION("GOOGLETRANSLATE(A4287, ""en"", ""mt"")"),"Afganistan")</f>
        <v>Afganistan</v>
      </c>
    </row>
    <row r="4288" ht="15.75" customHeight="1">
      <c r="A4288" s="2" t="s">
        <v>4288</v>
      </c>
      <c r="B4288" s="2" t="str">
        <f>IFERROR(__xludf.DUMMYFUNCTION("GOOGLETRANSLATE(A4288, ""en"", ""mt"")"),"fin-Nofsinhar")</f>
        <v>fin-Nofsinhar</v>
      </c>
    </row>
    <row r="4289" ht="15.75" customHeight="1">
      <c r="A4289" s="2" t="s">
        <v>4289</v>
      </c>
      <c r="B4289" s="2" t="str">
        <f>IFERROR(__xludf.DUMMYFUNCTION("GOOGLETRANSLATE(A4289, ""en"", ""mt"")"),"Iċ-Ċiklu Rankine")</f>
        <v>Iċ-Ċiklu Rankine</v>
      </c>
    </row>
    <row r="4290" ht="15.75" customHeight="1">
      <c r="A4290" s="2" t="s">
        <v>4290</v>
      </c>
      <c r="B4290" s="2" t="str">
        <f>IFERROR(__xludf.DUMMYFUNCTION("GOOGLETRANSLATE(A4290, ""en"", ""mt"")"),"Il-preżenza ta 'min hu probabbli ħafna anke fi proġetti żgħar?")</f>
        <v>Il-preżenza ta 'min hu probabbli ħafna anke fi proġetti żgħar?</v>
      </c>
    </row>
    <row r="4291" ht="15.75" customHeight="1">
      <c r="A4291" s="2" t="s">
        <v>4291</v>
      </c>
      <c r="B4291" s="2" t="str">
        <f>IFERROR(__xludf.DUMMYFUNCTION("GOOGLETRANSLATE(A4291, ""en"", ""mt"")"),"27")</f>
        <v>27</v>
      </c>
    </row>
    <row r="4292" ht="15.75" customHeight="1">
      <c r="A4292" s="2" t="s">
        <v>4292</v>
      </c>
      <c r="B4292" s="2" t="str">
        <f>IFERROR(__xludf.DUMMYFUNCTION("GOOGLETRANSLATE(A4292, ""en"", ""mt"")"),"X'inhu avveniment multikulturali annwali ta 'jumejn li sar fi Newcastle fl-aħħar ta' Awwissu?")</f>
        <v>X'inhu avveniment multikulturali annwali ta 'jumejn li sar fi Newcastle fl-aħħar ta' Awwissu?</v>
      </c>
    </row>
    <row r="4293" ht="15.75" customHeight="1">
      <c r="A4293" s="2" t="s">
        <v>4293</v>
      </c>
      <c r="B4293" s="2" t="str">
        <f>IFERROR(__xludf.DUMMYFUNCTION("GOOGLETRANSLATE(A4293, ""en"", ""mt"")"),"Min reġa 'beda t-tabib li fl-2005?")</f>
        <v>Min reġa 'beda t-tabib li fl-2005?</v>
      </c>
    </row>
    <row r="4294" ht="15.75" customHeight="1">
      <c r="A4294" s="2" t="s">
        <v>4294</v>
      </c>
      <c r="B4294" s="2" t="str">
        <f>IFERROR(__xludf.DUMMYFUNCTION("GOOGLETRANSLATE(A4294, ""en"", ""mt"")"),"L-esperjenza annwali tal-NFL")</f>
        <v>L-esperjenza annwali tal-NFL</v>
      </c>
    </row>
    <row r="4295" ht="15.75" customHeight="1">
      <c r="A4295" s="2" t="s">
        <v>4295</v>
      </c>
      <c r="B4295" s="2" t="str">
        <f>IFERROR(__xludf.DUMMYFUNCTION("GOOGLETRANSLATE(A4295, ""en"", ""mt"")"),"Meta ġie ċċelebrat il-banquet tat-tieġ?")</f>
        <v>Meta ġie ċċelebrat il-banquet tat-tieġ?</v>
      </c>
    </row>
    <row r="4296" ht="15.75" customHeight="1">
      <c r="A4296" s="2" t="s">
        <v>4296</v>
      </c>
      <c r="B4296" s="2" t="str">
        <f>IFERROR(__xludf.DUMMYFUNCTION("GOOGLETRANSLATE(A4296, ""en"", ""mt"")"),"X'qed jiġi deskritt meta s-sempliċità tal-forom ġeometriċi jingħaqdu ma 'ispirazzjoni mill-perjodu Ruman?")</f>
        <v>X'qed jiġi deskritt meta s-sempliċità tal-forom ġeometriċi jingħaqdu ma 'ispirazzjoni mill-perjodu Ruman?</v>
      </c>
    </row>
    <row r="4297" ht="15.75" customHeight="1">
      <c r="A4297" s="2" t="s">
        <v>4297</v>
      </c>
      <c r="B4297" s="2" t="str">
        <f>IFERROR(__xludf.DUMMYFUNCTION("GOOGLETRANSLATE(A4297, ""en"", ""mt"")"),"Sir Edwin Lutyens")</f>
        <v>Sir Edwin Lutyens</v>
      </c>
    </row>
    <row r="4298" ht="15.75" customHeight="1">
      <c r="A4298" s="2" t="s">
        <v>4298</v>
      </c>
      <c r="B4298" s="2" t="str">
        <f>IFERROR(__xludf.DUMMYFUNCTION("GOOGLETRANSLATE(A4298, ""en"", ""mt"")"),"ABC ħoloq liema kumpanija bħala distributur ta 'sindikazzjoni b'reazzjoni għar-regoli Fin-Syn tal-FCC?")</f>
        <v>ABC ħoloq liema kumpanija bħala distributur ta 'sindikazzjoni b'reazzjoni għar-regoli Fin-Syn tal-FCC?</v>
      </c>
    </row>
    <row r="4299" ht="15.75" customHeight="1">
      <c r="A4299" s="2" t="s">
        <v>4299</v>
      </c>
      <c r="B4299" s="2" t="str">
        <f>IFERROR(__xludf.DUMMYFUNCTION("GOOGLETRANSLATE(A4299, ""en"", ""mt"")"),"X'inhu s-salarju medju tal-kostruzzjoni fil-Lvant Nofsani?")</f>
        <v>X'inhu s-salarju medju tal-kostruzzjoni fil-Lvant Nofsani?</v>
      </c>
    </row>
    <row r="4300" ht="15.75" customHeight="1">
      <c r="A4300" s="2" t="s">
        <v>4300</v>
      </c>
      <c r="B4300" s="2" t="str">
        <f>IFERROR(__xludf.DUMMYFUNCTION("GOOGLETRANSLATE(A4300, ""en"", ""mt"")"),"Iżakk")</f>
        <v>Iżakk</v>
      </c>
    </row>
    <row r="4301" ht="15.75" customHeight="1">
      <c r="A4301" s="2" t="s">
        <v>4301</v>
      </c>
      <c r="B4301" s="2" t="str">
        <f>IFERROR(__xludf.DUMMYFUNCTION("GOOGLETRANSLATE(A4301, ""en"", ""mt"")"),"Is-Servizz tan-Netwerk tas-sinsla ta 'veloċità għolja ħafna (VBNS) ġie onlajn f'April 1995 bħala parti minn proġett sponsorjat tal-Fondazzjoni Nazzjonali tax-Xjenza (NSF) biex jipprovdi interkonnessjoni ta' veloċità għolja bejn ċentri ta 'superkompjuters "&amp;"sponsorjati mill-NSF u punti ta' aċċess magħżula fl-Istati Uniti. In-netwerk kien inġinerija u mħaddem minn telekomunikazzjonijiet MCI taħt ftehim kooperattiv mal-NSF. Sal-1998, il-VBNs kienu kibru biex jgħaqqdu aktar minn 100 università u istituzzjonijie"&amp;"t ta 'riċerka u inġinerija permezz ta '12 -il punt nazzjonali ta' preżenza ma 'DS-3 (45 mbit / s), OC-3C (155 mbit / s), u OC-12C ( 622 Mbit / s) links fuq is-sinsla kollha tal-OC-12C, proeza sostanzjali ta 'inġinerija għal dak iż-żmien. Il-VBNs installaw"&amp;" waħda mill-ewwel produzzjoni ta ’links IP OC-48C (2.5 GBIT / S) fi Frar 1999 u kompliet taġġorna s-sinsla kollha għal OC-48C.")</f>
        <v>Is-Servizz tan-Netwerk tas-sinsla ta 'veloċità għolja ħafna (VBNS) ġie onlajn f'April 1995 bħala parti minn proġett sponsorjat tal-Fondazzjoni Nazzjonali tax-Xjenza (NSF) biex jipprovdi interkonnessjoni ta' veloċità għolja bejn ċentri ta 'superkompjuters sponsorjati mill-NSF u punti ta' aċċess magħżula fl-Istati Uniti. In-netwerk kien inġinerija u mħaddem minn telekomunikazzjonijiet MCI taħt ftehim kooperattiv mal-NSF. Sal-1998, il-VBNs kienu kibru biex jgħaqqdu aktar minn 100 università u istituzzjonijiet ta 'riċerka u inġinerija permezz ta '12 -il punt nazzjonali ta' preżenza ma 'DS-3 (45 mbit / s), OC-3C (155 mbit / s), u OC-12C ( 622 Mbit / s) links fuq is-sinsla kollha tal-OC-12C, proeza sostanzjali ta 'inġinerija għal dak iż-żmien. Il-VBNs installaw waħda mill-ewwel produzzjoni ta ’links IP OC-48C (2.5 GBIT / S) fi Frar 1999 u kompliet taġġorna s-sinsla kollha għal OC-48C.</v>
      </c>
    </row>
    <row r="4302" ht="15.75" customHeight="1">
      <c r="A4302" s="2" t="s">
        <v>4302</v>
      </c>
      <c r="B4302" s="2" t="str">
        <f>IFERROR(__xludf.DUMMYFUNCTION("GOOGLETRANSLATE(A4302, ""en"", ""mt"")"),"X’tagħmel il-massa l-ġdida fir-rigward taċ-ċerimonja?")</f>
        <v>X’tagħmel il-massa l-ġdida fir-rigward taċ-ċerimonja?</v>
      </c>
    </row>
    <row r="4303" ht="15.75" customHeight="1">
      <c r="A4303" s="2" t="s">
        <v>4303</v>
      </c>
      <c r="B4303" s="2" t="str">
        <f>IFERROR(__xludf.DUMMYFUNCTION("GOOGLETRANSLATE(A4303, ""en"", ""mt"")"),"aktar pożittiv")</f>
        <v>aktar pożittiv</v>
      </c>
    </row>
    <row r="4304" ht="15.75" customHeight="1">
      <c r="A4304" s="2" t="s">
        <v>4304</v>
      </c>
      <c r="B4304" s="2" t="str">
        <f>IFERROR(__xludf.DUMMYFUNCTION("GOOGLETRANSLATE(A4304, ""en"", ""mt"")"),"L-indiema vera ma tinvolvix penitenzi u pieni li jinfetħu lilhom infushom iżda pjuttost bidla fil-qalb.")</f>
        <v>L-indiema vera ma tinvolvix penitenzi u pieni li jinfetħu lilhom infushom iżda pjuttost bidla fil-qalb.</v>
      </c>
    </row>
    <row r="4305" ht="15.75" customHeight="1">
      <c r="A4305" s="2" t="s">
        <v>4305</v>
      </c>
      <c r="B4305" s="2" t="str">
        <f>IFERROR(__xludf.DUMMYFUNCTION("GOOGLETRANSLATE(A4305, ""en"", ""mt"")"),"Id-disponibbiltà frekwenti ta 'liema sustanza ppermettiet li l-magni tal-fwar ibbażati fuq l-art jeżawrixxu ħafna fwar?")</f>
        <v>Id-disponibbiltà frekwenti ta 'liema sustanza ppermettiet li l-magni tal-fwar ibbażati fuq l-art jeżawrixxu ħafna fwar?</v>
      </c>
    </row>
    <row r="4306" ht="15.75" customHeight="1">
      <c r="A4306" s="2" t="s">
        <v>4306</v>
      </c>
      <c r="B4306" s="2" t="str">
        <f>IFERROR(__xludf.DUMMYFUNCTION("GOOGLETRANSLATE(A4306, ""en"", ""mt"")"),"X'ġara fl-1901?")</f>
        <v>X'ġara fl-1901?</v>
      </c>
    </row>
    <row r="4307" ht="15.75" customHeight="1">
      <c r="A4307" s="2" t="s">
        <v>4307</v>
      </c>
      <c r="B4307" s="2" t="str">
        <f>IFERROR(__xludf.DUMMYFUNCTION("GOOGLETRANSLATE(A4307, ""en"", ""mt"")"),"X'tip ta 'reġjun jista' jinstab fiż-żona urbana tan-Nofsinhar ta 'California?")</f>
        <v>X'tip ta 'reġjun jista' jinstab fiż-żona urbana tan-Nofsinhar ta 'California?</v>
      </c>
    </row>
    <row r="4308" ht="15.75" customHeight="1">
      <c r="A4308" s="2" t="s">
        <v>4308</v>
      </c>
      <c r="B4308" s="2" t="str">
        <f>IFERROR(__xludf.DUMMYFUNCTION("GOOGLETRANSLATE(A4308, ""en"", ""mt"")"),"is-sistema immuni adatta")</f>
        <v>is-sistema immuni adatta</v>
      </c>
    </row>
    <row r="4309" ht="15.75" customHeight="1">
      <c r="A4309" s="2" t="s">
        <v>4309</v>
      </c>
      <c r="B4309" s="2" t="str">
        <f>IFERROR(__xludf.DUMMYFUNCTION("GOOGLETRANSLATE(A4309, ""en"", ""mt"")"),"Baden-Württemberg")</f>
        <v>Baden-Württemberg</v>
      </c>
    </row>
    <row r="4310" ht="15.75" customHeight="1">
      <c r="A4310" s="2" t="s">
        <v>4310</v>
      </c>
      <c r="B4310" s="2" t="str">
        <f>IFERROR(__xludf.DUMMYFUNCTION("GOOGLETRANSLATE(A4310, ""en"", ""mt"")"),"suq")</f>
        <v>suq</v>
      </c>
    </row>
    <row r="4311" ht="15.75" customHeight="1">
      <c r="A4311" s="2" t="s">
        <v>4311</v>
      </c>
      <c r="B4311" s="2" t="str">
        <f>IFERROR(__xludf.DUMMYFUNCTION("GOOGLETRANSLATE(A4311, ""en"", ""mt"")"),"Għaliex il-parti dejqa tax-Xmara San Ġwann imsejħa Cowford?")</f>
        <v>Għaliex il-parti dejqa tax-Xmara San Ġwann imsejħa Cowford?</v>
      </c>
    </row>
    <row r="4312" ht="15.75" customHeight="1">
      <c r="A4312" s="2" t="s">
        <v>4312</v>
      </c>
      <c r="B4312" s="2" t="str">
        <f>IFERROR(__xludf.DUMMYFUNCTION("GOOGLETRANSLATE(A4312, ""en"", ""mt"")"),"ħames sa għaxar snin")</f>
        <v>ħames sa għaxar snin</v>
      </c>
    </row>
    <row r="4313" ht="15.75" customHeight="1">
      <c r="A4313" s="2" t="s">
        <v>4313</v>
      </c>
      <c r="B4313" s="2" t="str">
        <f>IFERROR(__xludf.DUMMYFUNCTION("GOOGLETRANSLATE(A4313, ""en"", ""mt"")"),"Kumitati")</f>
        <v>Kumitati</v>
      </c>
    </row>
    <row r="4314" ht="15.75" customHeight="1">
      <c r="A4314" s="2" t="s">
        <v>4314</v>
      </c>
      <c r="B4314" s="2" t="str">
        <f>IFERROR(__xludf.DUMMYFUNCTION("GOOGLETRANSLATE(A4314, ""en"", ""mt"")"),"Meta jsofru minn ċaħda ta 'l-irqad, tilqim attiv jista' jkollu effett imnaqqas u jista 'jirriżulta fi produzzjoni ta' antikorpi aktar baxxa, u rispons immuni aktar baxx, milli jkun innutat f'individwu ristrett. Barra minn hekk, proteini bħal NFIL3, li ntw"&amp;"erew li huma marbutin mill-qrib kemm mad-differenzjazzjoni taċ-ċelloli T kif ukoll ma 'ritmi ċirkadjani tagħna, jistgħu jiġu affettwati permezz tat-tfixkil tad-dawl naturali u ċikli skuri permezz ta' każijiet ta 'ċaħda ta' rqad, xogħol ta 'bidla, eċċ Riżu"&amp;"ltat, dawn it-tfixkil jistgħu jwasslu għal żieda fil-kundizzjonijiet kroniċi bħal mard tal-qalb, uġigħ kroniku, u ażma.")</f>
        <v>Meta jsofru minn ċaħda ta 'l-irqad, tilqim attiv jista' jkollu effett imnaqqas u jista 'jirriżulta fi produzzjoni ta' antikorpi aktar baxxa, u rispons immuni aktar baxx, milli jkun innutat f'individwu ristrett. Barra minn hekk, proteini bħal NFIL3, li ntwerew li huma marbutin mill-qrib kemm mad-differenzjazzjoni taċ-ċelloli T kif ukoll ma 'ritmi ċirkadjani tagħna, jistgħu jiġu affettwati permezz tat-tfixkil tad-dawl naturali u ċikli skuri permezz ta' każijiet ta 'ċaħda ta' rqad, xogħol ta 'bidla, eċċ Riżultat, dawn it-tfixkil jistgħu jwasslu għal żieda fil-kundizzjonijiet kroniċi bħal mard tal-qalb, uġigħ kroniku, u ażma.</v>
      </c>
    </row>
    <row r="4315" ht="15.75" customHeight="1">
      <c r="A4315" s="2" t="s">
        <v>4315</v>
      </c>
      <c r="B4315" s="2" t="str">
        <f>IFERROR(__xludf.DUMMYFUNCTION("GOOGLETRANSLATE(A4315, ""en"", ""mt"")"),"Ftit mijiet ta 'piedi")</f>
        <v>Ftit mijiet ta 'piedi</v>
      </c>
    </row>
    <row r="4316" ht="15.75" customHeight="1">
      <c r="A4316" s="2" t="s">
        <v>4316</v>
      </c>
      <c r="B4316" s="2" t="str">
        <f>IFERROR(__xludf.DUMMYFUNCTION("GOOGLETRANSLATE(A4316, ""en"", ""mt"")"),"X'kienet Ban Ki-moon is-Segretarju Ġenerali ta '?")</f>
        <v>X'kienet Ban Ki-moon is-Segretarju Ġenerali ta '?</v>
      </c>
    </row>
    <row r="4317" ht="15.75" customHeight="1">
      <c r="A4317" s="2" t="s">
        <v>4317</v>
      </c>
      <c r="B4317" s="2" t="str">
        <f>IFERROR(__xludf.DUMMYFUNCTION("GOOGLETRANSLATE(A4317, ""en"", ""mt"")"),"L-istudenti juru aktar interess fil-klassijiet mgħallma minn liema tip ta 'għalliema?")</f>
        <v>L-istudenti juru aktar interess fil-klassijiet mgħallma minn liema tip ta 'għalliema?</v>
      </c>
    </row>
    <row r="4318" ht="15.75" customHeight="1">
      <c r="A4318" s="2" t="s">
        <v>4318</v>
      </c>
      <c r="B4318" s="2" t="str">
        <f>IFERROR(__xludf.DUMMYFUNCTION("GOOGLETRANSLATE(A4318, ""en"", ""mt"")"),"Baċin Solimões")</f>
        <v>Baċin Solimões</v>
      </c>
    </row>
    <row r="4319" ht="15.75" customHeight="1">
      <c r="A4319" s="2" t="s">
        <v>4319</v>
      </c>
      <c r="B4319" s="2" t="str">
        <f>IFERROR(__xludf.DUMMYFUNCTION("GOOGLETRANSLATE(A4319, ""en"", ""mt"")"),"Il-Kunsill tal-Belt ta 'Edinburgu")</f>
        <v>Il-Kunsill tal-Belt ta 'Edinburgu</v>
      </c>
    </row>
    <row r="4320" ht="15.75" customHeight="1">
      <c r="A4320" s="2" t="s">
        <v>4320</v>
      </c>
      <c r="B4320" s="2" t="str">
        <f>IFERROR(__xludf.DUMMYFUNCTION("GOOGLETRANSLATE(A4320, ""en"", ""mt"")"),"Fejn kien ippriedka l-aħħar priedka ta 'Luther?")</f>
        <v>Fejn kien ippriedka l-aħħar priedka ta 'Luther?</v>
      </c>
    </row>
    <row r="4321" ht="15.75" customHeight="1">
      <c r="A4321" s="2" t="s">
        <v>4321</v>
      </c>
      <c r="B4321" s="2" t="str">
        <f>IFERROR(__xludf.DUMMYFUNCTION("GOOGLETRANSLATE(A4321, ""en"", ""mt"")"),"Meta l-Bord Ġenerali tal-Knisja u s-Soċjetà tal-UMC talab lill-Metodisti Magħquda kollha biex jastjenu mill-alkoħol għar-Randan?")</f>
        <v>Meta l-Bord Ġenerali tal-Knisja u s-Soċjetà tal-UMC talab lill-Metodisti Magħquda kollha biex jastjenu mill-alkoħol għar-Randan?</v>
      </c>
    </row>
    <row r="4322" ht="15.75" customHeight="1">
      <c r="A4322" s="2" t="s">
        <v>4322</v>
      </c>
      <c r="B4322" s="2" t="str">
        <f>IFERROR(__xludf.DUMMYFUNCTION("GOOGLETRANSLATE(A4322, ""en"", ""mt"")"),"taħt is-sovran temporali")</f>
        <v>taħt is-sovran temporali</v>
      </c>
    </row>
    <row r="4323" ht="15.75" customHeight="1">
      <c r="A4323" s="2" t="s">
        <v>4323</v>
      </c>
      <c r="B4323" s="2" t="str">
        <f>IFERROR(__xludf.DUMMYFUNCTION("GOOGLETRANSLATE(A4323, ""en"", ""mt"")"),"κτείς kteis 'comb' u φέρω pherō 'iġorru'")</f>
        <v>κτείς kteis 'comb' u φέρω pherō 'iġorru'</v>
      </c>
    </row>
    <row r="4324" ht="15.75" customHeight="1">
      <c r="A4324" s="2" t="s">
        <v>4324</v>
      </c>
      <c r="B4324" s="2" t="str">
        <f>IFERROR(__xludf.DUMMYFUNCTION("GOOGLETRANSLATE(A4324, ""en"", ""mt"")"),"""Negozju bħas-soltu"" (BAU)")</f>
        <v>"Negozju bħas-soltu" (BAU)</v>
      </c>
    </row>
    <row r="4325" ht="15.75" customHeight="1">
      <c r="A4325" s="2" t="s">
        <v>4325</v>
      </c>
      <c r="B4325" s="2" t="str">
        <f>IFERROR(__xludf.DUMMYFUNCTION("GOOGLETRANSLATE(A4325, ""en"", ""mt"")"),"Newcastle hija d-dar għal popolazzjoni kbira ta 'liema tip ta' persuna?")</f>
        <v>Newcastle hija d-dar għal popolazzjoni kbira ta 'liema tip ta' persuna?</v>
      </c>
    </row>
    <row r="4326" ht="15.75" customHeight="1">
      <c r="A4326" s="2" t="s">
        <v>4326</v>
      </c>
      <c r="B4326" s="2" t="str">
        <f>IFERROR(__xludf.DUMMYFUNCTION("GOOGLETRANSLATE(A4326, ""en"", ""mt"")"),"Kemm huma misjuba l-fossili li jirrappreżentaw ctenophhores?")</f>
        <v>Kemm huma misjuba l-fossili li jirrappreżentaw ctenophhores?</v>
      </c>
    </row>
    <row r="4327" ht="15.75" customHeight="1">
      <c r="A4327" s="2" t="s">
        <v>4327</v>
      </c>
      <c r="B4327" s="2" t="str">
        <f>IFERROR(__xludf.DUMMYFUNCTION("GOOGLETRANSLATE(A4327, ""en"", ""mt"")"),"F'liema sena seħħ in-nar tal-kabina Apollo 1?")</f>
        <v>F'liema sena seħħ in-nar tal-kabina Apollo 1?</v>
      </c>
    </row>
    <row r="4328" ht="15.75" customHeight="1">
      <c r="A4328" s="2" t="s">
        <v>4328</v>
      </c>
      <c r="B4328" s="2" t="str">
        <f>IFERROR(__xludf.DUMMYFUNCTION("GOOGLETRANSLATE(A4328, ""en"", ""mt"")"),"Minn liema perjodu ġew l-oġġetti fil-kollezzjoni Soulages?")</f>
        <v>Minn liema perjodu ġew l-oġġetti fil-kollezzjoni Soulages?</v>
      </c>
    </row>
    <row r="4329" ht="15.75" customHeight="1">
      <c r="A4329" s="2" t="s">
        <v>4329</v>
      </c>
      <c r="B4329" s="2" t="str">
        <f>IFERROR(__xludf.DUMMYFUNCTION("GOOGLETRANSLATE(A4329, ""en"", ""mt"")"),"Shi Tianze kien Ċiniż Han li kien jgħix fid-dinastija Jin. Iż-żwieġ interetniku bejn Han u Jurchen sar komuni f'dan il-ħin. Missieru kien Shi Bingzhi (史秉直, Shih Ping-Chih). Shi Bingzhi kien miżżewweġ lil mara Jurchen (kunjom na-ho) u mara Ċiniża Han (kunj"&amp;"om Chang); Mhux magħruf liema minnhom kienet omm Shi Tianze. Shi Tianze kien miżżewweġ ma 'żewġ nisa Jurchen, mara Ċiniża Han, u mara Koreana, u ibnu Shi Gang twieled f'waħda min-nisa Jurchen tiegħu. Il-kunjomijiet tan-nisa Jurchen tiegħu kienu Mo-Nien u "&amp;"Na-ho; Kunjom il-mara Koreana tiegħu kien Li; U l-kunjom tal-mara Ċiniża Han tiegħu kien Shi. Shi Tianze iddefetta lill-forzi tal-Mongol fuq l-invażjoni tagħhom tad-dinastija Jin. Ibnu Shi Gang iżżewweġ mara Kerait; Il-Kerait kienu nies Turkiċi Mongolifik"&amp;"ati u kienu meqjusa bħala parti min-nazzjon Mongoljan "". Shi Tianze (Shih T'ien-Tse), Zhang Rou (Chang Jou, 張柔), u Yan Shi (Yen Shih, 嚴實) u Ċiniż ieħor ta 'klassifikazzjoni għolja li servew fid-dinastija Jin u ddefendew mal-Mongoli għenu jibnu l-istruttu"&amp;"ra għall-amministrazzjoni tal-istat il-ġdid. Chagaan (Tsagaan) u Zhang Rou nedew flimkien attakk fuq id-dinastija tal-kanzunetta ordnata minn Töregene Khatun.")</f>
        <v>Shi Tianze kien Ċiniż Han li kien jgħix fid-dinastija Jin. Iż-żwieġ interetniku bejn Han u Jurchen sar komuni f'dan il-ħin. Missieru kien Shi Bingzhi (史秉直, Shih Ping-Chih). Shi Bingzhi kien miżżewweġ lil mara Jurchen (kunjom na-ho) u mara Ċiniża Han (kunjom Chang); Mhux magħruf liema minnhom kienet omm Shi Tianze. Shi Tianze kien miżżewweġ ma 'żewġ nisa Jurchen, mara Ċiniża Han, u mara Koreana, u ibnu Shi Gang twieled f'waħda min-nisa Jurchen tiegħu. Il-kunjomijiet tan-nisa Jurchen tiegħu kienu Mo-Nien u Na-ho; Kunjom il-mara Koreana tiegħu kien Li; U l-kunjom tal-mara Ċiniża Han tiegħu kien Shi. Shi Tianze iddefetta lill-forzi tal-Mongol fuq l-invażjoni tagħhom tad-dinastija Jin. Ibnu Shi Gang iżżewweġ mara Kerait; Il-Kerait kienu nies Turkiċi Mongolifikati u kienu meqjusa bħala parti min-nazzjon Mongoljan ". Shi Tianze (Shih T'ien-Tse), Zhang Rou (Chang Jou, 張柔), u Yan Shi (Yen Shih, 嚴實) u Ċiniż ieħor ta 'klassifikazzjoni għolja li servew fid-dinastija Jin u ddefendew mal-Mongoli għenu jibnu l-istruttura għall-amministrazzjoni tal-istat il-ġdid. Chagaan (Tsagaan) u Zhang Rou nedew flimkien attakk fuq id-dinastija tal-kanzunetta ordnata minn Töregene Khatun.</v>
      </c>
    </row>
    <row r="4330" ht="15.75" customHeight="1">
      <c r="A4330" s="2" t="s">
        <v>4330</v>
      </c>
      <c r="B4330" s="2" t="str">
        <f>IFERROR(__xludf.DUMMYFUNCTION("GOOGLETRANSLATE(A4330, ""en"", ""mt"")"),"Xi teħtieġ l-orjentazzjoni tal-konnessjoni")</f>
        <v>Xi teħtieġ l-orjentazzjoni tal-konnessjoni</v>
      </c>
    </row>
    <row r="4331" ht="15.75" customHeight="1">
      <c r="A4331" s="2" t="s">
        <v>4331</v>
      </c>
      <c r="B4331" s="2" t="str">
        <f>IFERROR(__xludf.DUMMYFUNCTION("GOOGLETRANSLATE(A4331, ""en"", ""mt"")"),"Ċelloli Killer Naturali Ċitotossiċi u CTLs")</f>
        <v>Ċelloli Killer Naturali Ċitotossiċi u CTLs</v>
      </c>
    </row>
    <row r="4332" ht="15.75" customHeight="1">
      <c r="A4332" s="2" t="s">
        <v>4332</v>
      </c>
      <c r="B4332" s="2" t="str">
        <f>IFERROR(__xludf.DUMMYFUNCTION("GOOGLETRANSLATE(A4332, ""en"", ""mt"")"),"fertilità")</f>
        <v>fertilità</v>
      </c>
    </row>
    <row r="4333" ht="15.75" customHeight="1">
      <c r="A4333" s="2" t="s">
        <v>4333</v>
      </c>
      <c r="B4333" s="2" t="str">
        <f>IFERROR(__xludf.DUMMYFUNCTION("GOOGLETRANSLATE(A4333, ""en"", ""mt"")"),"Fejn ipprattika l-Broncos għas-Super Bowl?")</f>
        <v>Fejn ipprattika l-Broncos għas-Super Bowl?</v>
      </c>
    </row>
    <row r="4334" ht="15.75" customHeight="1">
      <c r="A4334" s="2" t="s">
        <v>4334</v>
      </c>
      <c r="B4334" s="2" t="str">
        <f>IFERROR(__xludf.DUMMYFUNCTION("GOOGLETRANSLATE(A4334, ""en"", ""mt"")"),"X'kien l-isem tal-ewwel bini mibni fuq art tal-kampus?")</f>
        <v>X'kien l-isem tal-ewwel bini mibni fuq art tal-kampus?</v>
      </c>
    </row>
    <row r="4335" ht="15.75" customHeight="1">
      <c r="A4335" s="2" t="s">
        <v>4335</v>
      </c>
      <c r="B4335" s="2" t="str">
        <f>IFERROR(__xludf.DUMMYFUNCTION("GOOGLETRANSLATE(A4335, ""en"", ""mt"")"),"diżubbidjenza ċivili")</f>
        <v>diżubbidjenza ċivili</v>
      </c>
    </row>
    <row r="4336" ht="15.75" customHeight="1">
      <c r="A4336" s="2" t="s">
        <v>4336</v>
      </c>
      <c r="B4336" s="2" t="str">
        <f>IFERROR(__xludf.DUMMYFUNCTION("GOOGLETRANSLATE(A4336, ""en"", ""mt"")"),"Liema netwerk tar-radju NBC kien inkarigat bl-ittestjar ta 'programmi ġodda?")</f>
        <v>Liema netwerk tar-radju NBC kien inkarigat bl-ittestjar ta 'programmi ġodda?</v>
      </c>
    </row>
    <row r="4337" ht="15.75" customHeight="1">
      <c r="A4337" s="2" t="s">
        <v>4337</v>
      </c>
      <c r="B4337" s="2" t="str">
        <f>IFERROR(__xludf.DUMMYFUNCTION("GOOGLETRANSLATE(A4337, ""en"", ""mt"")"),"Sojja")</f>
        <v>Sojja</v>
      </c>
    </row>
    <row r="4338" ht="15.75" customHeight="1">
      <c r="A4338" s="2" t="s">
        <v>4338</v>
      </c>
      <c r="B4338" s="2" t="str">
        <f>IFERROR(__xludf.DUMMYFUNCTION("GOOGLETRANSLATE(A4338, ""en"", ""mt"")"),"Stampar tal-istampa")</f>
        <v>Stampar tal-istampa</v>
      </c>
    </row>
    <row r="4339" ht="15.75" customHeight="1">
      <c r="A4339" s="2" t="s">
        <v>4339</v>
      </c>
      <c r="B4339" s="2" t="str">
        <f>IFERROR(__xludf.DUMMYFUNCTION("GOOGLETRANSLATE(A4339, ""en"", ""mt"")"),"iż-żewġ djar tal-Kungress.")</f>
        <v>iż-żewġ djar tal-Kungress.</v>
      </c>
    </row>
    <row r="4340" ht="15.75" customHeight="1">
      <c r="A4340" s="2" t="s">
        <v>4340</v>
      </c>
      <c r="B4340" s="2" t="str">
        <f>IFERROR(__xludf.DUMMYFUNCTION("GOOGLETRANSLATE(A4340, ""en"", ""mt"")"),"Għal liema tip ta 'ħiliet is-suq joffri kumpens?")</f>
        <v>Għal liema tip ta 'ħiliet is-suq joffri kumpens?</v>
      </c>
    </row>
    <row r="4341" ht="15.75" customHeight="1">
      <c r="A4341" s="2" t="s">
        <v>4341</v>
      </c>
      <c r="B4341" s="2" t="str">
        <f>IFERROR(__xludf.DUMMYFUNCTION("GOOGLETRANSLATE(A4341, ""en"", ""mt"")"),"it-tmiem dojoq")</f>
        <v>it-tmiem dojoq</v>
      </c>
    </row>
    <row r="4342" ht="15.75" customHeight="1">
      <c r="A4342" s="2" t="s">
        <v>4342</v>
      </c>
      <c r="B4342" s="2" t="str">
        <f>IFERROR(__xludf.DUMMYFUNCTION("GOOGLETRANSLATE(A4342, ""en"", ""mt"")"),"X'inhu uniku dwar hermaphrodite?")</f>
        <v>X'inhu uniku dwar hermaphrodite?</v>
      </c>
    </row>
    <row r="4343" ht="15.75" customHeight="1">
      <c r="A4343" s="2" t="s">
        <v>4343</v>
      </c>
      <c r="B4343" s="2" t="str">
        <f>IFERROR(__xludf.DUMMYFUNCTION("GOOGLETRANSLATE(A4343, ""en"", ""mt"")"),"Il-kampus ewlieni ta 'Harvard 209-acre (85 ettaru) huwa ċċentrat fuq Harvard Yard f'Cambridge, madwar 3 mili (5 km) lejn il-punent-majjistral tad-dar tal-istat fiċ-ċentru ta' Boston, u jestendi fil-viċinat tal-Pjazza ta 'Harvard tal-madwar. Harvard Yard i"&amp;"nnifsu fih l-uffiċċji amministrattivi ċentrali u l-libreriji ewlenin tal-università, bini akkademiku inkluż Sever Hall u University Hall, Memorial Church, u l-maġġoranza tad-dormitorji ta 'l-ewwel sena. Sophomore, junior, u studenti anzjani jgħixu fi tnax"&amp;"-il djar residenzjali, li disgħa minnhom huma fin-Nofsinhar ta ’Harvard Yard tul jew ħdejn ix-Xmara Charles. It-tlieta l-oħra jinsabu fi viċinat residenzjali nofs mil fil-majjistral tat-tarzna fil-kwadrangle (komunement imsejjaħ il-quad), li qabel kien fi"&amp;"h studenti tal-Kulleġġ Radcliffe sakemm Radcliffe ingħaqdet is-sistema residenzjali tagħha ma 'Harvard. Kull dar residenzjali fiha kmamar għal dawk li għadhom ma ggradwawx, kaptani tad-djar, u tuturi residenti, kif ukoll sala tal-pranzu u librerija. Il-fa"&amp;"ċilitajiet saru possibbli permezz ta 'rigal mill-istudenti ta' Yale University Edward Harkness.")</f>
        <v>Il-kampus ewlieni ta 'Harvard 209-acre (85 ettaru) huwa ċċentrat fuq Harvard Yard f'Cambridge, madwar 3 mili (5 km) lejn il-punent-majjistral tad-dar tal-istat fiċ-ċentru ta' Boston, u jestendi fil-viċinat tal-Pjazza ta 'Harvard tal-madwar. Harvard Yard innifsu fih l-uffiċċji amministrattivi ċentrali u l-libreriji ewlenin tal-università, bini akkademiku inkluż Sever Hall u University Hall, Memorial Church, u l-maġġoranza tad-dormitorji ta 'l-ewwel sena. Sophomore, junior, u studenti anzjani jgħixu fi tnax-il djar residenzjali, li disgħa minnhom huma fin-Nofsinhar ta ’Harvard Yard tul jew ħdejn ix-Xmara Charles. It-tlieta l-oħra jinsabu fi viċinat residenzjali nofs mil fil-majjistral tat-tarzna fil-kwadrangle (komunement imsejjaħ il-quad), li qabel kien fih studenti tal-Kulleġġ Radcliffe sakemm Radcliffe ingħaqdet is-sistema residenzjali tagħha ma 'Harvard. Kull dar residenzjali fiha kmamar għal dawk li għadhom ma ggradwawx, kaptani tad-djar, u tuturi residenti, kif ukoll sala tal-pranzu u librerija. Il-faċilitajiet saru possibbli permezz ta 'rigal mill-istudenti ta' Yale University Edward Harkness.</v>
      </c>
    </row>
    <row r="4344" ht="15.75" customHeight="1">
      <c r="A4344" s="2" t="s">
        <v>4344</v>
      </c>
      <c r="B4344" s="2" t="str">
        <f>IFERROR(__xludf.DUMMYFUNCTION("GOOGLETRANSLATE(A4344, ""en"", ""mt"")"),"Boulton")</f>
        <v>Boulton</v>
      </c>
    </row>
    <row r="4345" ht="15.75" customHeight="1">
      <c r="A4345" s="2" t="s">
        <v>4345</v>
      </c>
      <c r="B4345" s="2" t="str">
        <f>IFERROR(__xludf.DUMMYFUNCTION("GOOGLETRANSLATE(A4345, ""en"", ""mt"")"),"tikkanċella t-tielet test mingħajr ekwipaġġ")</f>
        <v>tikkanċella t-tielet test mingħajr ekwipaġġ</v>
      </c>
    </row>
    <row r="4346" ht="15.75" customHeight="1">
      <c r="A4346" s="2" t="s">
        <v>4346</v>
      </c>
      <c r="B4346" s="2" t="str">
        <f>IFERROR(__xludf.DUMMYFUNCTION("GOOGLETRANSLATE(A4346, ""en"", ""mt"")"),"Min kien l-ekwipaġġ ewlieni ta 'Apollo 1, li huma semmew lilhom infushom?")</f>
        <v>Min kien l-ekwipaġġ ewlieni ta 'Apollo 1, li huma semmew lilhom infushom?</v>
      </c>
    </row>
    <row r="4347" ht="15.75" customHeight="1">
      <c r="A4347" s="2" t="s">
        <v>4347</v>
      </c>
      <c r="B4347" s="2" t="str">
        <f>IFERROR(__xludf.DUMMYFUNCTION("GOOGLETRANSLATE(A4347, ""en"", ""mt"")"),"X'inhu lustrar għal ""sirena""?")</f>
        <v>X'inhu lustrar għal "sirena"?</v>
      </c>
    </row>
    <row r="4348" ht="15.75" customHeight="1">
      <c r="A4348" s="2" t="s">
        <v>4348</v>
      </c>
      <c r="B4348" s="2" t="str">
        <f>IFERROR(__xludf.DUMMYFUNCTION("GOOGLETRANSLATE(A4348, ""en"", ""mt"")"),"$ 5 miljun.")</f>
        <v>$ 5 miljun.</v>
      </c>
    </row>
    <row r="4349" ht="15.75" customHeight="1">
      <c r="A4349" s="2" t="s">
        <v>4349</v>
      </c>
      <c r="B4349" s="2" t="str">
        <f>IFERROR(__xludf.DUMMYFUNCTION("GOOGLETRANSLATE(A4349, ""en"", ""mt"")"),"X'tip ta 'ċelloli T jgħinu kemm bl-immunità innnate kif ukoll adattattiva?")</f>
        <v>X'tip ta 'ċelloli T jgħinu kemm bl-immunità innnate kif ukoll adattattiva?</v>
      </c>
    </row>
    <row r="4350" ht="15.75" customHeight="1">
      <c r="A4350" s="2" t="s">
        <v>4350</v>
      </c>
      <c r="B4350" s="2" t="str">
        <f>IFERROR(__xludf.DUMMYFUNCTION("GOOGLETRANSLATE(A4350, ""en"", ""mt"")"),"Pjan Nazzjonali ta 'Azzjoni dwar it-Tibdil fil-Klima")</f>
        <v>Pjan Nazzjonali ta 'Azzjoni dwar it-Tibdil fil-Klima</v>
      </c>
    </row>
    <row r="4351" ht="15.75" customHeight="1">
      <c r="A4351" s="2" t="s">
        <v>4351</v>
      </c>
      <c r="B4351" s="2" t="str">
        <f>IFERROR(__xludf.DUMMYFUNCTION("GOOGLETRANSLATE(A4351, ""en"", ""mt"")"),"Xi jfissru xi sorsi li miet minn ħu Nikola?")</f>
        <v>Xi jfissru xi sorsi li miet minn ħu Nikola?</v>
      </c>
    </row>
    <row r="4352" ht="15.75" customHeight="1">
      <c r="A4352" s="2" t="s">
        <v>4352</v>
      </c>
      <c r="B4352" s="2" t="str">
        <f>IFERROR(__xludf.DUMMYFUNCTION("GOOGLETRANSLATE(A4352, ""en"", ""mt"")"),"12:00 sas-6.00 p.m. Ħin tal-Lvant")</f>
        <v>12:00 sas-6.00 p.m. Ħin tal-Lvant</v>
      </c>
    </row>
    <row r="4353" ht="15.75" customHeight="1">
      <c r="A4353" s="2" t="s">
        <v>4353</v>
      </c>
      <c r="B4353" s="2" t="str">
        <f>IFERROR(__xludf.DUMMYFUNCTION("GOOGLETRANSLATE(A4353, ""en"", ""mt"")"),"il-plastome")</f>
        <v>il-plastome</v>
      </c>
    </row>
    <row r="4354" ht="15.75" customHeight="1">
      <c r="A4354" s="2" t="s">
        <v>4354</v>
      </c>
      <c r="B4354" s="2" t="str">
        <f>IFERROR(__xludf.DUMMYFUNCTION("GOOGLETRANSLATE(A4354, ""en"", ""mt"")"),"X’kien ivvintat minn Savery?")</f>
        <v>X’kien ivvintat minn Savery?</v>
      </c>
    </row>
    <row r="4355" ht="15.75" customHeight="1">
      <c r="A4355" s="2" t="s">
        <v>4355</v>
      </c>
      <c r="B4355" s="2" t="str">
        <f>IFERROR(__xludf.DUMMYFUNCTION("GOOGLETRANSLATE(A4355, ""en"", ""mt"")"),"għandu problemi biex jaqsam il-membrani biex tasal fejn hemm bżonn")</f>
        <v>għandu problemi biex jaqsam il-membrani biex tasal fejn hemm bżonn</v>
      </c>
    </row>
    <row r="4356" ht="15.75" customHeight="1">
      <c r="A4356" s="2" t="s">
        <v>4356</v>
      </c>
      <c r="B4356" s="2" t="str">
        <f>IFERROR(__xludf.DUMMYFUNCTION("GOOGLETRANSLATE(A4356, ""en"", ""mt"")"),"Fl-1226, immedjatament wara li rritorna mill-punent, Genghis Khan beda attakk ta 'ritaljazzjoni fuq it-Tanguts. L-armati tiegħu malajr ħadu Heisui, Ganzhou, u Suzhou (mhux is-Suzhou fil-provinċja ta 'Jiangsu), u fil-ħarifa huwa ħa Xiliang-Fu [Disambiguati"&amp;"on meħtieġa]. Wieħed mill-ġenerali tat-Tangut ikkontesta lill-Mongoli għal battalja qrib il-Muntanji Helan iżda ġie megħlub. F'Novembru, Genghis waqqaf il-belt ta 'Tangut Lingzhou u qasmet ix-Xmara Isfar, għelbet l-armata ta' eżenzjoni ta 'Tangut. Skond i"&amp;"l-leġġenda, kien hawn li Genghis Khan allegatament ra linja ta 'ħames stilel irranġati fis-sema u interpretawha bħala omen tar-rebħa tiegħu.")</f>
        <v>Fl-1226, immedjatament wara li rritorna mill-punent, Genghis Khan beda attakk ta 'ritaljazzjoni fuq it-Tanguts. L-armati tiegħu malajr ħadu Heisui, Ganzhou, u Suzhou (mhux is-Suzhou fil-provinċja ta 'Jiangsu), u fil-ħarifa huwa ħa Xiliang-Fu [Disambiguation meħtieġa]. Wieħed mill-ġenerali tat-Tangut ikkontesta lill-Mongoli għal battalja qrib il-Muntanji Helan iżda ġie megħlub. F'Novembru, Genghis waqqaf il-belt ta 'Tangut Lingzhou u qasmet ix-Xmara Isfar, għelbet l-armata ta' eżenzjoni ta 'Tangut. Skond il-leġġenda, kien hawn li Genghis Khan allegatament ra linja ta 'ħames stilel irranġati fis-sema u interpretawha bħala omen tar-rebħa tiegħu.</v>
      </c>
    </row>
    <row r="4357" ht="15.75" customHeight="1">
      <c r="A4357" s="2" t="s">
        <v>4357</v>
      </c>
      <c r="B4357" s="2" t="str">
        <f>IFERROR(__xludf.DUMMYFUNCTION("GOOGLETRANSLATE(A4357, ""en"", ""mt"")"),"Il-politiki ta 'kiri ta' kampus barra mill-kampus tal-università")</f>
        <v>Il-politiki ta 'kiri ta' kampus barra mill-kampus tal-università</v>
      </c>
    </row>
    <row r="4358" ht="15.75" customHeight="1">
      <c r="A4358" s="2" t="s">
        <v>4358</v>
      </c>
      <c r="B4358" s="2" t="str">
        <f>IFERROR(__xludf.DUMMYFUNCTION("GOOGLETRANSLATE(A4358, ""en"", ""mt"")"),"Kummissjoni tal-Verità, il-Ġustizzja u r-Rikonċiljazzjoni")</f>
        <v>Kummissjoni tal-Verità, il-Ġustizzja u r-Rikonċiljazzjoni</v>
      </c>
    </row>
    <row r="4359" ht="15.75" customHeight="1">
      <c r="A4359" s="2" t="s">
        <v>4359</v>
      </c>
      <c r="B4359" s="2" t="str">
        <f>IFERROR(__xludf.DUMMYFUNCTION("GOOGLETRANSLATE(A4359, ""en"", ""mt"")"),"X'għandu jipprovdi l-iżvilupp ta 'din il-ħamrija fertili f'ambjent ostili?")</f>
        <v>X'għandu jipprovdi l-iżvilupp ta 'din il-ħamrija fertili f'ambjent ostili?</v>
      </c>
    </row>
    <row r="4360" ht="15.75" customHeight="1">
      <c r="A4360" s="2" t="s">
        <v>4360</v>
      </c>
      <c r="B4360" s="2" t="str">
        <f>IFERROR(__xludf.DUMMYFUNCTION("GOOGLETRANSLATE(A4360, ""en"", ""mt"")"),"Huwa ħadem bħala rapporteur")</f>
        <v>Huwa ħadem bħala rapporteur</v>
      </c>
    </row>
    <row r="4361" ht="15.75" customHeight="1">
      <c r="A4361" s="2" t="s">
        <v>4361</v>
      </c>
      <c r="B4361" s="2" t="str">
        <f>IFERROR(__xludf.DUMMYFUNCTION("GOOGLETRANSLATE(A4361, ""en"", ""mt"")"),"Liema netwerk reġa 'kiseb il-klassifikazzjonijiet taċ-ċomb fl-Amerika fl-1984?")</f>
        <v>Liema netwerk reġa 'kiseb il-klassifikazzjonijiet taċ-ċomb fl-Amerika fl-1984?</v>
      </c>
    </row>
    <row r="4362" ht="15.75" customHeight="1">
      <c r="A4362" s="2" t="s">
        <v>4362</v>
      </c>
      <c r="B4362" s="2" t="str">
        <f>IFERROR(__xludf.DUMMYFUNCTION("GOOGLETRANSLATE(A4362, ""en"", ""mt"")"),"President tal-IPCC")</f>
        <v>President tal-IPCC</v>
      </c>
    </row>
    <row r="4363" ht="15.75" customHeight="1">
      <c r="A4363" s="2" t="s">
        <v>4363</v>
      </c>
      <c r="B4363" s="2" t="str">
        <f>IFERROR(__xludf.DUMMYFUNCTION("GOOGLETRANSLATE(A4363, ""en"", ""mt"")"),"X'jagħmlu l-waal u n-Nederrijn-lek li jfasslu t-throguh?")</f>
        <v>X'jagħmlu l-waal u n-Nederrijn-lek li jfasslu t-throguh?</v>
      </c>
    </row>
    <row r="4364" ht="15.75" customHeight="1">
      <c r="A4364" s="2" t="s">
        <v>4364</v>
      </c>
      <c r="B4364" s="2" t="str">
        <f>IFERROR(__xludf.DUMMYFUNCTION("GOOGLETRANSLATE(A4364, ""en"", ""mt"")"),"Il-kastig ta ’Alla għad-dnub")</f>
        <v>Il-kastig ta ’Alla għad-dnub</v>
      </c>
    </row>
    <row r="4365" ht="15.75" customHeight="1">
      <c r="A4365" s="2" t="s">
        <v>4365</v>
      </c>
      <c r="B4365" s="2" t="str">
        <f>IFERROR(__xludf.DUMMYFUNCTION("GOOGLETRANSLATE(A4365, ""en"", ""mt"")"),"Kemm kolonisti Franċiżi nkisbu mill-Ingliżi?")</f>
        <v>Kemm kolonisti Franċiżi nkisbu mill-Ingliżi?</v>
      </c>
    </row>
    <row r="4366" ht="15.75" customHeight="1">
      <c r="A4366" s="2" t="s">
        <v>4366</v>
      </c>
      <c r="B4366" s="2" t="str">
        <f>IFERROR(__xludf.DUMMYFUNCTION("GOOGLETRANSLATE(A4366, ""en"", ""mt"")"),"Artikolu 49")</f>
        <v>Artikolu 49</v>
      </c>
    </row>
    <row r="4367" ht="15.75" customHeight="1">
      <c r="A4367" s="2" t="s">
        <v>4367</v>
      </c>
      <c r="B4367" s="2" t="str">
        <f>IFERROR(__xludf.DUMMYFUNCTION("GOOGLETRANSLATE(A4367, ""en"", ""mt"")"),"tvarja minn 53% fil-Botswana għal -40% fil-Baħrejn")</f>
        <v>tvarja minn 53% fil-Botswana għal -40% fil-Baħrejn</v>
      </c>
    </row>
    <row r="4368" ht="15.75" customHeight="1">
      <c r="A4368" s="2" t="s">
        <v>4368</v>
      </c>
      <c r="B4368" s="2" t="str">
        <f>IFERROR(__xludf.DUMMYFUNCTION("GOOGLETRANSLATE(A4368, ""en"", ""mt"")"),"inċertezza")</f>
        <v>inċertezza</v>
      </c>
    </row>
    <row r="4369" ht="15.75" customHeight="1">
      <c r="A4369" s="2" t="s">
        <v>4369</v>
      </c>
      <c r="B4369" s="2" t="str">
        <f>IFERROR(__xludf.DUMMYFUNCTION("GOOGLETRANSLATE(A4369, ""en"", ""mt"")"),"il-mezzi tiegħu biex jaħtfu")</f>
        <v>il-mezzi tiegħu biex jaħtfu</v>
      </c>
    </row>
    <row r="4370" ht="15.75" customHeight="1">
      <c r="A4370" s="2" t="s">
        <v>4370</v>
      </c>
      <c r="B4370" s="2" t="str">
        <f>IFERROR(__xludf.DUMMYFUNCTION("GOOGLETRANSLATE(A4370, ""en"", ""mt"")"),"Michelle Gomez")</f>
        <v>Michelle Gomez</v>
      </c>
    </row>
    <row r="4371" ht="15.75" customHeight="1">
      <c r="A4371" s="2" t="s">
        <v>4371</v>
      </c>
      <c r="B4371" s="2" t="str">
        <f>IFERROR(__xludf.DUMMYFUNCTION("GOOGLETRANSLATE(A4371, ""en"", ""mt"")"),"kumpless ġdid ta 'ġewwa")</f>
        <v>kumpless ġdid ta 'ġewwa</v>
      </c>
    </row>
    <row r="4372" ht="15.75" customHeight="1">
      <c r="A4372" s="2" t="s">
        <v>4372</v>
      </c>
      <c r="B4372" s="2" t="str">
        <f>IFERROR(__xludf.DUMMYFUNCTION("GOOGLETRANSLATE(A4372, ""en"", ""mt"")"),"Meta r-Rhine saret fruntieri ma 'Francia?")</f>
        <v>Meta r-Rhine saret fruntieri ma 'Francia?</v>
      </c>
    </row>
    <row r="4373" ht="15.75" customHeight="1">
      <c r="A4373" s="2" t="s">
        <v>4373</v>
      </c>
      <c r="B4373" s="2" t="str">
        <f>IFERROR(__xludf.DUMMYFUNCTION("GOOGLETRANSLATE(A4373, ""en"", ""mt"")"),"Kemm-il sekonda tħalliet fil-logħba meta l-Broncos interċettaw il-pass li rebaħ il-logħba?")</f>
        <v>Kemm-il sekonda tħalliet fil-logħba meta l-Broncos interċettaw il-pass li rebaħ il-logħba?</v>
      </c>
    </row>
    <row r="4374" ht="15.75" customHeight="1">
      <c r="A4374" s="2" t="s">
        <v>4374</v>
      </c>
      <c r="B4374" s="2" t="str">
        <f>IFERROR(__xludf.DUMMYFUNCTION("GOOGLETRANSLATE(A4374, ""en"", ""mt"")"),"X’għamel dan l-innu presage?")</f>
        <v>X’għamel dan l-innu presage?</v>
      </c>
    </row>
    <row r="4375" ht="15.75" customHeight="1">
      <c r="A4375" s="2" t="s">
        <v>4375</v>
      </c>
      <c r="B4375" s="2" t="str">
        <f>IFERROR(__xludf.DUMMYFUNCTION("GOOGLETRANSLATE(A4375, ""en"", ""mt"")"),"Annan u l-bord tiegħu appoġġjat min-NU u l-president tal-Unjoni Afrikana Jakaya Kikwete")</f>
        <v>Annan u l-bord tiegħu appoġġjat min-NU u l-president tal-Unjoni Afrikana Jakaya Kikwete</v>
      </c>
    </row>
    <row r="4376" ht="15.75" customHeight="1">
      <c r="A4376" s="2" t="s">
        <v>4376</v>
      </c>
      <c r="B4376" s="2" t="str">
        <f>IFERROR(__xludf.DUMMYFUNCTION("GOOGLETRANSLATE(A4376, ""en"", ""mt"")"),"400 m")</f>
        <v>400 m</v>
      </c>
    </row>
    <row r="4377" ht="15.75" customHeight="1">
      <c r="A4377" s="2" t="s">
        <v>4377</v>
      </c>
      <c r="B4377" s="2" t="str">
        <f>IFERROR(__xludf.DUMMYFUNCTION("GOOGLETRANSLATE(A4377, ""en"", ""mt"")"),"Nar kbir ta ’Londra")</f>
        <v>Nar kbir ta ’Londra</v>
      </c>
    </row>
    <row r="4378" ht="15.75" customHeight="1">
      <c r="A4378" s="2" t="s">
        <v>4378</v>
      </c>
      <c r="B4378" s="2" t="str">
        <f>IFERROR(__xludf.DUMMYFUNCTION("GOOGLETRANSLATE(A4378, ""en"", ""mt"")"),"1806")</f>
        <v>1806</v>
      </c>
    </row>
    <row r="4379" ht="15.75" customHeight="1">
      <c r="A4379" s="2" t="s">
        <v>4379</v>
      </c>
      <c r="B4379" s="2" t="str">
        <f>IFERROR(__xludf.DUMMYFUNCTION("GOOGLETRANSLATE(A4379, ""en"", ""mt"")"),"Fl-2001, 16-il Akkademja Nazzjonali tax-Xjenza ħarġu dikjarazzjoni konġunta dwar it-tibdil fil-klima. Id-dikjarazzjoni konġunta saret mill-Akkademja tax-Xjenza Awstraljana, l-Akkademja Irjali tal-Belġju għax-Xjenza u l-Arti, l-Akkademja tax-Xjenzi Brażilj"&amp;"ana, ir-Royal Society of Canada, l-Akkademja tax-Xjenzi tal-Karibew, l-Akkademja Ċiniża tax-Xjenzi, il-Franċiżi, il-Franċiżi Akkademja tax-Xjenzi, L-Akkademja Ġermaniża tax-Xjentisti Naturali Leopoldina, l-Akkademja Nazzjonali tax-Xjenza Indjana, l-Akkade"&amp;"mja tax-Xjenzi Indoneżjani, l-Akkademja Irlandiża Rjali, Akkademja Nazionale Dei Lincei (l-Italja), l-Akkademja tax-Xjenzi tal-Malasja, l-Akkademja tal-Kunsill tas-Soċjetà Rjali ta ’New Zealand, l-Akkademja tax-Xjenzi Irjali Żvediża, u r-Royal Society (ir"&amp;"-Renju Unit). L-istqarrija, ippubblikata wkoll bħala editorjal fil-ġurnal Science, iddikjarat ""Aħna nappoġġjaw il-konklużjoni [TAR] li hija tal-anqas 90% ċerta li t-temperaturi se jkomplu jiżdiedu, bil-medja tat-temperatura globali tal-wiċċ prevista li t"&amp;"iżdied b'2.4 u 5.8 ° C 'il fuq mil-livelli tal-1990 b'2100 "". Il-qatran ġie wkoll approvat mill-Fondazzjoni Kanadiża għax-Xjenzi dwar il-Klima u l-Atmosferiċi, is-Soċjetà Meteoroloġika u Oċeanografika Kanadiża, u l-Unjoni Ewropea tal-Geosciences (irrefer"&amp;"i għal ""approvazzjonijiet ta 'l-IPCC"").")</f>
        <v>Fl-2001, 16-il Akkademja Nazzjonali tax-Xjenza ħarġu dikjarazzjoni konġunta dwar it-tibdil fil-klima. Id-dikjarazzjoni konġunta saret mill-Akkademja tax-Xjenza Awstraljana, l-Akkademja Irjali tal-Belġju għax-Xjenza u l-Arti, l-Akkademja tax-Xjenzi Brażiljana, ir-Royal Society of Canada, l-Akkademja tax-Xjenzi tal-Karibew, l-Akkademja Ċiniża tax-Xjenzi, il-Franċiżi, il-Franċiżi Akkademja tax-Xjenzi, L-Akkademja Ġermaniża tax-Xjentisti Naturali Leopoldina, l-Akkademja Nazzjonali tax-Xjenza Indjana, l-Akkademja tax-Xjenzi Indoneżjani, l-Akkademja Irlandiża Rjali, Akkademja Nazionale Dei Lincei (l-Italja), l-Akkademja tax-Xjenzi tal-Malasja, l-Akkademja tal-Kunsill tas-Soċjetà Rjali ta ’New Zealand, l-Akkademja tax-Xjenzi Irjali Żvediża, u r-Royal Society (ir-Renju Unit). L-istqarrija, ippubblikata wkoll bħala editorjal fil-ġurnal Science, iddikjarat "Aħna nappoġġjaw il-konklużjoni [TAR] li hija tal-anqas 90% ċerta li t-temperaturi se jkomplu jiżdiedu, bil-medja tat-temperatura globali tal-wiċċ prevista li tiżdied b'2.4 u 5.8 ° C 'il fuq mil-livelli tal-1990 b'2100 ". Il-qatran ġie wkoll approvat mill-Fondazzjoni Kanadiża għax-Xjenzi dwar il-Klima u l-Atmosferiċi, is-Soċjetà Meteoroloġika u Oċeanografika Kanadiża, u l-Unjoni Ewropea tal-Geosciences (irreferi għal "approvazzjonijiet ta 'l-IPCC").</v>
      </c>
    </row>
    <row r="4380" ht="15.75" customHeight="1">
      <c r="A4380" s="2" t="s">
        <v>4380</v>
      </c>
      <c r="B4380" s="2" t="str">
        <f>IFERROR(__xludf.DUMMYFUNCTION("GOOGLETRANSLATE(A4380, ""en"", ""mt"")"),"Varsavja kienet okkupata mill-Ġermanja mill-4 ta ’Awwissu 1915 sa Novembru 1918. It-termini tal-Armistizju Alleati meħtieġa fl-Artikolu 12 li l-Ġermanja tirtira minn żoni kkontrollati mir-Russja fl-1914, li kienet tinkludi Varsavja. Il-Ġermanja għamlet he"&amp;"kk, u l-mexxej taħt l-art Piłsudski rritorna lejn Varsavja fil-11 ta 'Novembru u waqqaf dak li sar it-tieni repubblika Pollakka, bil-kapitali Varsavja. Matul il-Gwerra Pollakka-Bolxevika tal-1920, il-battalja enormi ta 'Varsavja ġiet miġġielda fil-perifer"&amp;"ija tal-Lvant tal-belt li fiha l-kapitali ġiet iddefendita b'suċċess u l-Armata l-Ħamra telfa. Il-Polonja waqfet minnha nnifisha l-piż sħiħ tal-Armata l-Ħamra u għelbet idea ta '""l-esportazzjoni tar-rivoluzzjoni"".")</f>
        <v>Varsavja kienet okkupata mill-Ġermanja mill-4 ta ’Awwissu 1915 sa Novembru 1918. It-termini tal-Armistizju Alleati meħtieġa fl-Artikolu 12 li l-Ġermanja tirtira minn żoni kkontrollati mir-Russja fl-1914, li kienet tinkludi Varsavja. Il-Ġermanja għamlet hekk, u l-mexxej taħt l-art Piłsudski rritorna lejn Varsavja fil-11 ta 'Novembru u waqqaf dak li sar it-tieni repubblika Pollakka, bil-kapitali Varsavja. Matul il-Gwerra Pollakka-Bolxevika tal-1920, il-battalja enormi ta 'Varsavja ġiet miġġielda fil-periferija tal-Lvant tal-belt li fiha l-kapitali ġiet iddefendita b'suċċess u l-Armata l-Ħamra telfa. Il-Polonja waqfet minnha nnifisha l-piż sħiħ tal-Armata l-Ħamra u għelbet idea ta '"l-esportazzjoni tar-rivoluzzjoni".</v>
      </c>
    </row>
    <row r="4381" ht="15.75" customHeight="1">
      <c r="A4381" s="2" t="s">
        <v>4381</v>
      </c>
      <c r="B4381" s="2" t="str">
        <f>IFERROR(__xludf.DUMMYFUNCTION("GOOGLETRANSLATE(A4381, ""en"", ""mt"")"),"Għaliex in-nazzjonijiet Ewropej u l-Ġappun isseparaw ruħhom mill-Istati Uniti waqt il-kriżi?")</f>
        <v>Għaliex in-nazzjonijiet Ewropej u l-Ġappun isseparaw ruħhom mill-Istati Uniti waqt il-kriżi?</v>
      </c>
    </row>
    <row r="4382" ht="15.75" customHeight="1">
      <c r="A4382" s="2" t="s">
        <v>4382</v>
      </c>
      <c r="B4382" s="2" t="str">
        <f>IFERROR(__xludf.DUMMYFUNCTION("GOOGLETRANSLATE(A4382, ""en"", ""mt"")"),"Legalment, trusts u soċjetajiet li ma jagħmlux profitt biss jistgħu jmexxu skejjel fl-Indja. Huma ser ikollhom jissodisfaw numru ta 'kriterji ta' infrastruttura u riżorsi umani biex jiksbu rikonoxximent (forma ta 'liċenzja) mill-gvern. Kritiċi ta 'din is-"&amp;"sistema jindikaw li dan iwassal għal korruzzjoni minn spetturi ta' l-iskejjel li jivverifikaw il-konformità u għal inqas skejjel f'pajjiż li għandu l-akbar popolazzjoni analfabet adulta fid-dinja. Filwaqt li d-dejta uffiċjali ma taqbadx il-firxa reali ta "&amp;"'skola privata fil-pajjiż, studji varji rrappurtaw nuqqas ta' popolarità ta 'skejjel tal-gvern u numru dejjem jiżdied ta' skejjel privati. Ir-Rapport Annwali tal-Istatus tal-Edukazzjoni (ASER), li jevalwa l-livelli ta ’tagħlim fl-Indja rurali, kien jirrap"&amp;"porta kisba akkademika ifqar fl-iskejjel tal-gvern milli fi skejjel privati. Differenza ewlenija bejn il-gvern u l-iskejjel privati ​​hija li l-mezz ta 'edukazzjoni fl-iskejjel privati ​​huwa l-Ingliż waqt li huwa l-lingwa lokali fl-iskejjel tal-gvern.")</f>
        <v>Legalment, trusts u soċjetajiet li ma jagħmlux profitt biss jistgħu jmexxu skejjel fl-Indja. Huma ser ikollhom jissodisfaw numru ta 'kriterji ta' infrastruttura u riżorsi umani biex jiksbu rikonoxximent (forma ta 'liċenzja) mill-gvern. Kritiċi ta 'din is-sistema jindikaw li dan iwassal għal korruzzjoni minn spetturi ta' l-iskejjel li jivverifikaw il-konformità u għal inqas skejjel f'pajjiż li għandu l-akbar popolazzjoni analfabet adulta fid-dinja. Filwaqt li d-dejta uffiċjali ma taqbadx il-firxa reali ta 'skola privata fil-pajjiż, studji varji rrappurtaw nuqqas ta' popolarità ta 'skejjel tal-gvern u numru dejjem jiżdied ta' skejjel privati. Ir-Rapport Annwali tal-Istatus tal-Edukazzjoni (ASER), li jevalwa l-livelli ta ’tagħlim fl-Indja rurali, kien jirrapporta kisba akkademika ifqar fl-iskejjel tal-gvern milli fi skejjel privati. Differenza ewlenija bejn il-gvern u l-iskejjel privati ​​hija li l-mezz ta 'edukazzjoni fl-iskejjel privati ​​huwa l-Ingliż waqt li huwa l-lingwa lokali fl-iskejjel tal-gvern.</v>
      </c>
    </row>
    <row r="4383" ht="15.75" customHeight="1">
      <c r="A4383" s="2" t="s">
        <v>4383</v>
      </c>
      <c r="B4383" s="2" t="str">
        <f>IFERROR(__xludf.DUMMYFUNCTION("GOOGLETRANSLATE(A4383, ""en"", ""mt"")"),"L-Unjoni tal-Knisja Metodista (l-Istati Uniti) u l-Knisja Evanġelika ta ’Ħutna Magħquda")</f>
        <v>L-Unjoni tal-Knisja Metodista (l-Istati Uniti) u l-Knisja Evanġelika ta ’Ħutna Magħquda</v>
      </c>
    </row>
    <row r="4384" ht="15.75" customHeight="1">
      <c r="A4384" s="2" t="s">
        <v>4384</v>
      </c>
      <c r="B4384" s="2" t="str">
        <f>IFERROR(__xludf.DUMMYFUNCTION("GOOGLETRANSLATE(A4384, ""en"", ""mt"")"),"Xi jfisser l-element tal-ħin fil-kostruzzjoni?")</f>
        <v>Xi jfisser l-element tal-ħin fil-kostruzzjoni?</v>
      </c>
    </row>
    <row r="4385" ht="15.75" customHeight="1">
      <c r="A4385" s="2" t="s">
        <v>4385</v>
      </c>
      <c r="B4385" s="2" t="str">
        <f>IFERROR(__xludf.DUMMYFUNCTION("GOOGLETRANSLATE(A4385, ""en"", ""mt"")"),"Turbina tal-fwar")</f>
        <v>Turbina tal-fwar</v>
      </c>
    </row>
    <row r="4386" ht="15.75" customHeight="1">
      <c r="A4386" s="2" t="s">
        <v>4386</v>
      </c>
      <c r="B4386" s="2" t="str">
        <f>IFERROR(__xludf.DUMMYFUNCTION("GOOGLETRANSLATE(A4386, ""en"", ""mt"")"),"Għaliex persuna għażlet id-diżubbidjenza ċivili kontra liġijiet speċifiċi?")</f>
        <v>Għaliex persuna għażlet id-diżubbidjenza ċivili kontra liġijiet speċifiċi?</v>
      </c>
    </row>
    <row r="4387" ht="15.75" customHeight="1">
      <c r="A4387" s="2" t="s">
        <v>4387</v>
      </c>
      <c r="B4387" s="2" t="str">
        <f>IFERROR(__xludf.DUMMYFUNCTION("GOOGLETRANSLATE(A4387, ""en"", ""mt"")"),"Whic Carolina Panthers li jmorru lura ġew irrinunzjati?")</f>
        <v>Whic Carolina Panthers li jmorru lura ġew irrinunzjati?</v>
      </c>
    </row>
    <row r="4388" ht="15.75" customHeight="1">
      <c r="A4388" s="2" t="s">
        <v>4388</v>
      </c>
      <c r="B4388" s="2" t="str">
        <f>IFERROR(__xludf.DUMMYFUNCTION("GOOGLETRANSLATE(A4388, ""en"", ""mt"")"),"tnaqqas l-ispejjeż u timmassimizza l-profitti")</f>
        <v>tnaqqas l-ispejjeż u timmassimizza l-profitti</v>
      </c>
    </row>
    <row r="4389" ht="15.75" customHeight="1">
      <c r="A4389" s="2" t="s">
        <v>4389</v>
      </c>
      <c r="B4389" s="2" t="str">
        <f>IFERROR(__xludf.DUMMYFUNCTION("GOOGLETRANSLATE(A4389, ""en"", ""mt"")"),"Bejn wieħed u ieħor kemm tessuti jinkludu l-kollezzjonijiet tal-mużew ta 'l-arti tal-Asja t'Isfel u tax-Xlokk?")</f>
        <v>Bejn wieħed u ieħor kemm tessuti jinkludu l-kollezzjonijiet tal-mużew ta 'l-arti tal-Asja t'Isfel u tax-Xlokk?</v>
      </c>
    </row>
    <row r="4390" ht="15.75" customHeight="1">
      <c r="A4390" s="2" t="s">
        <v>4390</v>
      </c>
      <c r="B4390" s="2" t="str">
        <f>IFERROR(__xludf.DUMMYFUNCTION("GOOGLETRANSLATE(A4390, ""en"", ""mt"")"),"X'inhu terminu ieħor għat-tqassir tal-avveniment tad-dħul?")</f>
        <v>X'inhu terminu ieħor għat-tqassir tal-avveniment tad-dħul?</v>
      </c>
    </row>
    <row r="4391" ht="15.75" customHeight="1">
      <c r="A4391" s="2" t="s">
        <v>4391</v>
      </c>
      <c r="B4391" s="2" t="str">
        <f>IFERROR(__xludf.DUMMYFUNCTION("GOOGLETRANSLATE(A4391, ""en"", ""mt"")"),"Kemm professuri tħaddem l-Università tat-Teknoloġija ta 'Varsavja?")</f>
        <v>Kemm professuri tħaddem l-Università tat-Teknoloġija ta 'Varsavja?</v>
      </c>
    </row>
    <row r="4392" ht="15.75" customHeight="1">
      <c r="A4392" s="2" t="s">
        <v>4392</v>
      </c>
      <c r="B4392" s="2" t="str">
        <f>IFERROR(__xludf.DUMMYFUNCTION("GOOGLETRANSLATE(A4392, ""en"", ""mt"")"),"Y. Pestis kien l-aġent kawżattiv tal-pesta epidemika li qered l-Ewropa matul il-Medju Evu")</f>
        <v>Y. Pestis kien l-aġent kawżattiv tal-pesta epidemika li qered l-Ewropa matul il-Medju Evu</v>
      </c>
    </row>
    <row r="4393" ht="15.75" customHeight="1">
      <c r="A4393" s="2" t="s">
        <v>4393</v>
      </c>
      <c r="B4393" s="2" t="str">
        <f>IFERROR(__xludf.DUMMYFUNCTION("GOOGLETRANSLATE(A4393, ""en"", ""mt"")"),"Min jippreżenta ideat differenti dwar kif jistgħu jintlaħqu l-għanijiet?")</f>
        <v>Min jippreżenta ideat differenti dwar kif jistgħu jintlaħqu l-għanijiet?</v>
      </c>
    </row>
    <row r="4394" ht="15.75" customHeight="1">
      <c r="A4394" s="2" t="s">
        <v>4394</v>
      </c>
      <c r="B4394" s="2" t="str">
        <f>IFERROR(__xludf.DUMMYFUNCTION("GOOGLETRANSLATE(A4394, ""en"", ""mt"")"),"Choctaw u l-qala")</f>
        <v>Choctaw u l-qala</v>
      </c>
    </row>
    <row r="4395" ht="15.75" customHeight="1">
      <c r="A4395" s="2" t="s">
        <v>4395</v>
      </c>
      <c r="B4395" s="2" t="str">
        <f>IFERROR(__xludf.DUMMYFUNCTION("GOOGLETRANSLATE(A4395, ""en"", ""mt"")"),"Il-Knisja Metodista ta ’San Ġorġ, li tinsab fil-kantuniera tar-4 u t-toroq ġodda, fil-viċinat tal-Belt il-Qadim ta’ Filadelfja, hija l-eqdem knisja Metodista f’użu kontinwu fl-Istati Uniti, li tibda fl-1769. Il-kongregazzjoni twaqqfet fl-1767, laqgħa Iniz"&amp;"jalment fil-qlugħ tal-qlugħ fi Triq Dock, u fl-1769 xtrat il-qoxra ta 'bini li kien inbena fl-1763 minn kongregazzjoni Riformata Ġermaniża. F'dan iż-żmien, il-Metodisti kienu għadhom ma nkissrux mill-Knisja Anglikana u l-Knisja Episkopali Metodista ma ġie"&amp;"tx imwaqqfa sal-1784.")</f>
        <v>Il-Knisja Metodista ta ’San Ġorġ, li tinsab fil-kantuniera tar-4 u t-toroq ġodda, fil-viċinat tal-Belt il-Qadim ta’ Filadelfja, hija l-eqdem knisja Metodista f’użu kontinwu fl-Istati Uniti, li tibda fl-1769. Il-kongregazzjoni twaqqfet fl-1767, laqgħa Inizjalment fil-qlugħ tal-qlugħ fi Triq Dock, u fl-1769 xtrat il-qoxra ta 'bini li kien inbena fl-1763 minn kongregazzjoni Riformata Ġermaniża. F'dan iż-żmien, il-Metodisti kienu għadhom ma nkissrux mill-Knisja Anglikana u l-Knisja Episkopali Metodista ma ġietx imwaqqfa sal-1784.</v>
      </c>
    </row>
    <row r="4396" ht="15.75" customHeight="1">
      <c r="A4396" s="2" t="s">
        <v>4396</v>
      </c>
      <c r="B4396" s="2" t="str">
        <f>IFERROR(__xludf.DUMMYFUNCTION("GOOGLETRANSLATE(A4396, ""en"", ""mt"")"),"X'jiġri l-pagi f'xogħol ma 'ħafna ħaddiema lesti li jaħdmu ħafna?")</f>
        <v>X'jiġri l-pagi f'xogħol ma 'ħafna ħaddiema lesti li jaħdmu ħafna?</v>
      </c>
    </row>
    <row r="4397" ht="15.75" customHeight="1">
      <c r="A4397" s="2" t="s">
        <v>4397</v>
      </c>
      <c r="B4397" s="2" t="str">
        <f>IFERROR(__xludf.DUMMYFUNCTION("GOOGLETRANSLATE(A4397, ""en"", ""mt"")"),"kważi 2,000 m")</f>
        <v>kważi 2,000 m</v>
      </c>
    </row>
    <row r="4398" ht="15.75" customHeight="1">
      <c r="A4398" s="2" t="s">
        <v>4398</v>
      </c>
      <c r="B4398" s="2" t="str">
        <f>IFERROR(__xludf.DUMMYFUNCTION("GOOGLETRANSLATE(A4398, ""en"", ""mt"")"),"Ftuħ tard bil-lejl")</f>
        <v>Ftuħ tard bil-lejl</v>
      </c>
    </row>
    <row r="4399" ht="15.75" customHeight="1">
      <c r="A4399" s="2" t="s">
        <v>4399</v>
      </c>
      <c r="B4399" s="2" t="str">
        <f>IFERROR(__xludf.DUMMYFUNCTION("GOOGLETRANSLATE(A4399, ""en"", ""mt"")"),"ċirku ta 'kommutattiv Noetherjan")</f>
        <v>ċirku ta 'kommutattiv Noetherjan</v>
      </c>
    </row>
    <row r="4400" ht="15.75" customHeight="1">
      <c r="A4400" s="2" t="s">
        <v>4400</v>
      </c>
      <c r="B4400" s="2" t="str">
        <f>IFERROR(__xludf.DUMMYFUNCTION("GOOGLETRANSLATE(A4400, ""en"", ""mt"")"),"X'inhuma t-talk shows ta 'bi nhar ta' ABC?")</f>
        <v>X'inhuma t-talk shows ta 'bi nhar ta' ABC?</v>
      </c>
    </row>
    <row r="4401" ht="15.75" customHeight="1">
      <c r="A4401" s="2" t="s">
        <v>4401</v>
      </c>
      <c r="B4401" s="2" t="str">
        <f>IFERROR(__xludf.DUMMYFUNCTION("GOOGLETRANSLATE(A4401, ""en"", ""mt"")"),"Liema għajnuna hija disponibbli għal studenti defavoriti li jfittxu li jattendu università privata?")</f>
        <v>Liema għajnuna hija disponibbli għal studenti defavoriti li jfittxu li jattendu università privata?</v>
      </c>
    </row>
    <row r="4402" ht="15.75" customHeight="1">
      <c r="A4402" s="2" t="s">
        <v>4402</v>
      </c>
      <c r="B4402" s="2" t="str">
        <f>IFERROR(__xludf.DUMMYFUNCTION("GOOGLETRANSLATE(A4402, ""en"", ""mt"")"),"Leo x")</f>
        <v>Leo x</v>
      </c>
    </row>
    <row r="4403" ht="15.75" customHeight="1">
      <c r="A4403" s="2" t="s">
        <v>4403</v>
      </c>
      <c r="B4403" s="2" t="str">
        <f>IFERROR(__xludf.DUMMYFUNCTION("GOOGLETRANSLATE(A4403, ""en"", ""mt"")"),"Madankollu, din id-definizzjoni hija kkontestata mill-filosofija politika ta 'Thoreau li pitching il-kuxjenza kontra l-kollettiv. L-individwu huwa l-imħallef finali ta 'dritt u ħażin. Aktar minn hekk, peress li l-individwi biss jaġixxu, individwi biss jis"&amp;"tgħu jaġixxu inġustament. Meta l-gvern iħabbat fuq il-bieb, huwa individwu fil-forma ta 'pustier jew kollettur tat-taxxa li l-idejn tiegħu jolqot l-injam. Qabel il-ħabs ta 'Thoreau, meta taxman konfuż kien staqsiet b'leħen għoli dwar kif jimmaniġġa r-rifj"&amp;"ut tiegħu li jħallas, Thoreau kien ta parir, ""jirriżenja."" Jekk raġel għażel li jkun aġent ta 'inġustizzja, allura Thoreau insista li jiffaċċjah bil-fatt li kien qed jagħmel għażla. Imma jekk il-gvern huwa ""l-vuċi tan-nies,"" kif spiss jissejjaħ, m'għa"&amp;"ndux ikun hemm il-vuċi? Thoreau jammetti li l-gvern jista 'jesprimi r-rieda tal-maġġoranza iżda jista' wkoll jesprimi xejn ħlief ir-rieda tal-politiċi elite. Anke forma tajba ta 'gvern hija ""suxxettibbli li tkun abbużata u pervertita qabel ma n-nies ikun"&amp;"u jistgħu jaġixxu minnha."" Barra minn hekk, anke jekk gvern esprima l-vuċi tan-nies, dan il-fatt ma jġiegħelx l-ubbidjenza ta 'individwi li ma jaqblux ma' dak li qed jingħad. Il-maġġoranza tista 'tkun b'saħħitha iżda mhux neċessarjament. X'inhi r-relazzj"&amp;"oni xierqa bejn l-individwu u l-gvern?")</f>
        <v>Madankollu, din id-definizzjoni hija kkontestata mill-filosofija politika ta 'Thoreau li pitching il-kuxjenza kontra l-kollettiv. L-individwu huwa l-imħallef finali ta 'dritt u ħażin. Aktar minn hekk, peress li l-individwi biss jaġixxu, individwi biss jistgħu jaġixxu inġustament. Meta l-gvern iħabbat fuq il-bieb, huwa individwu fil-forma ta 'pustier jew kollettur tat-taxxa li l-idejn tiegħu jolqot l-injam. Qabel il-ħabs ta 'Thoreau, meta taxman konfuż kien staqsiet b'leħen għoli dwar kif jimmaniġġa r-rifjut tiegħu li jħallas, Thoreau kien ta parir, "jirriżenja." Jekk raġel għażel li jkun aġent ta 'inġustizzja, allura Thoreau insista li jiffaċċjah bil-fatt li kien qed jagħmel għażla. Imma jekk il-gvern huwa "l-vuċi tan-nies," kif spiss jissejjaħ, m'għandux ikun hemm il-vuċi? Thoreau jammetti li l-gvern jista 'jesprimi r-rieda tal-maġġoranza iżda jista' wkoll jesprimi xejn ħlief ir-rieda tal-politiċi elite. Anke forma tajba ta 'gvern hija "suxxettibbli li tkun abbużata u pervertita qabel ma n-nies ikunu jistgħu jaġixxu minnha." Barra minn hekk, anke jekk gvern esprima l-vuċi tan-nies, dan il-fatt ma jġiegħelx l-ubbidjenza ta 'individwi li ma jaqblux ma' dak li qed jingħad. Il-maġġoranza tista 'tkun b'saħħitha iżda mhux neċessarjament. X'inhi r-relazzjoni xierqa bejn l-individwu u l-gvern?</v>
      </c>
    </row>
    <row r="4404" ht="15.75" customHeight="1">
      <c r="A4404" s="2" t="s">
        <v>4404</v>
      </c>
      <c r="B4404" s="2" t="str">
        <f>IFERROR(__xludf.DUMMYFUNCTION("GOOGLETRANSLATE(A4404, ""en"", ""mt"")"),"mewt u ġudizzju divin")</f>
        <v>mewt u ġudizzju divin</v>
      </c>
    </row>
    <row r="4405" ht="15.75" customHeight="1">
      <c r="A4405" s="2" t="s">
        <v>4405</v>
      </c>
      <c r="B4405" s="2" t="str">
        <f>IFERROR(__xludf.DUMMYFUNCTION("GOOGLETRANSLATE(A4405, ""en"", ""mt"")"),"Albert ta ’Mainz")</f>
        <v>Albert ta ’Mainz</v>
      </c>
    </row>
    <row r="4406" ht="15.75" customHeight="1">
      <c r="A4406" s="2" t="s">
        <v>4406</v>
      </c>
      <c r="B4406" s="2" t="str">
        <f>IFERROR(__xludf.DUMMYFUNCTION("GOOGLETRANSLATE(A4406, ""en"", ""mt"")"),"provvista u domanda")</f>
        <v>provvista u domanda</v>
      </c>
    </row>
    <row r="4407" ht="15.75" customHeight="1">
      <c r="A4407" s="2" t="s">
        <v>4407</v>
      </c>
      <c r="B4407" s="2" t="str">
        <f>IFERROR(__xludf.DUMMYFUNCTION("GOOGLETRANSLATE(A4407, ""en"", ""mt"")"),"organiku")</f>
        <v>organiku</v>
      </c>
    </row>
    <row r="4408" ht="15.75" customHeight="1">
      <c r="A4408" s="2" t="s">
        <v>4408</v>
      </c>
      <c r="B4408" s="2" t="str">
        <f>IFERROR(__xludf.DUMMYFUNCTION("GOOGLETRANSLATE(A4408, ""en"", ""mt"")"),"Gareth Hoskins kien responsabbli għal kontemporanju u arkitettura, Softroom, Lvant Nofsani Iżlamiku u l-kamra tal-membri, McInnes Usher McKnight Architects")</f>
        <v>Gareth Hoskins kien responsabbli għal kontemporanju u arkitettura, Softroom, Lvant Nofsani Iżlamiku u l-kamra tal-membri, McInnes Usher McKnight Architects</v>
      </c>
    </row>
    <row r="4409" ht="15.75" customHeight="1">
      <c r="A4409" s="2" t="s">
        <v>4409</v>
      </c>
      <c r="B4409" s="2" t="str">
        <f>IFERROR(__xludf.DUMMYFUNCTION("GOOGLETRANSLATE(A4409, ""en"", ""mt"")"),"ħdejn Shoreham, Long Island")</f>
        <v>ħdejn Shoreham, Long Island</v>
      </c>
    </row>
    <row r="4410" ht="15.75" customHeight="1">
      <c r="A4410" s="2" t="s">
        <v>4410</v>
      </c>
      <c r="B4410" s="2" t="str">
        <f>IFERROR(__xludf.DUMMYFUNCTION("GOOGLETRANSLATE(A4410, ""en"", ""mt"")"),"Anticlines u synclines")</f>
        <v>Anticlines u synclines</v>
      </c>
    </row>
    <row r="4411" ht="15.75" customHeight="1">
      <c r="A4411" s="2" t="s">
        <v>4411</v>
      </c>
      <c r="B4411" s="2" t="str">
        <f>IFERROR(__xludf.DUMMYFUNCTION("GOOGLETRANSLATE(A4411, ""en"", ""mt"")"),"kompetizzjoni bejn min iħaddem għall-impjegati")</f>
        <v>kompetizzjoni bejn min iħaddem għall-impjegati</v>
      </c>
    </row>
    <row r="4412" ht="15.75" customHeight="1">
      <c r="A4412" s="2" t="s">
        <v>4412</v>
      </c>
      <c r="B4412" s="2" t="str">
        <f>IFERROR(__xludf.DUMMYFUNCTION("GOOGLETRANSLATE(A4412, ""en"", ""mt"")"),"Halford Mackinder u Friedrich Ratzel fejn x'tip ta 'ġeografi?")</f>
        <v>Halford Mackinder u Friedrich Ratzel fejn x'tip ta 'ġeografi?</v>
      </c>
    </row>
    <row r="4413" ht="15.75" customHeight="1">
      <c r="A4413" s="2" t="s">
        <v>4413</v>
      </c>
      <c r="B4413" s="2" t="str">
        <f>IFERROR(__xludf.DUMMYFUNCTION("GOOGLETRANSLATE(A4413, ""en"", ""mt"")"),"31–24,")</f>
        <v>31–24,</v>
      </c>
    </row>
    <row r="4414" ht="15.75" customHeight="1">
      <c r="A4414" s="2" t="s">
        <v>4414</v>
      </c>
      <c r="B4414" s="2" t="str">
        <f>IFERROR(__xludf.DUMMYFUNCTION("GOOGLETRANSLATE(A4414, ""en"", ""mt"")"),"Fil-bidu tal-2012")</f>
        <v>Fil-bidu tal-2012</v>
      </c>
    </row>
    <row r="4415" ht="15.75" customHeight="1">
      <c r="A4415" s="2" t="s">
        <v>4415</v>
      </c>
      <c r="B4415" s="2" t="str">
        <f>IFERROR(__xludf.DUMMYFUNCTION("GOOGLETRANSLATE(A4415, ""en"", ""mt"")"),"8 ta ’Novembru 2010")</f>
        <v>8 ta ’Novembru 2010</v>
      </c>
    </row>
    <row r="4416" ht="15.75" customHeight="1">
      <c r="A4416" s="2" t="s">
        <v>4416</v>
      </c>
      <c r="B4416" s="2" t="str">
        <f>IFERROR(__xludf.DUMMYFUNCTION("GOOGLETRANSLATE(A4416, ""en"", ""mt"")"),"X'kien il-bini li qabel kien jokkupa s-sit preżenti tal-V &amp; A?")</f>
        <v>X'kien il-bini li qabel kien jokkupa s-sit preżenti tal-V &amp; A?</v>
      </c>
    </row>
    <row r="4417" ht="15.75" customHeight="1">
      <c r="A4417" s="2" t="s">
        <v>4417</v>
      </c>
      <c r="B4417" s="2" t="str">
        <f>IFERROR(__xludf.DUMMYFUNCTION("GOOGLETRANSLATE(A4417, ""en"", ""mt"")"),"taċċetta kastig")</f>
        <v>taċċetta kastig</v>
      </c>
    </row>
    <row r="4418" ht="15.75" customHeight="1">
      <c r="A4418" s="2" t="s">
        <v>4418</v>
      </c>
      <c r="B4418" s="2" t="str">
        <f>IFERROR(__xludf.DUMMYFUNCTION("GOOGLETRANSLATE(A4418, ""en"", ""mt"")"),"Biex tippromwovi l-aċċessibilità tax-xogħlijiet, x'neħħa Luther?")</f>
        <v>Biex tippromwovi l-aċċessibilità tax-xogħlijiet, x'neħħa Luther?</v>
      </c>
    </row>
    <row r="4419" ht="15.75" customHeight="1">
      <c r="A4419" s="2" t="s">
        <v>4419</v>
      </c>
      <c r="B4419" s="2" t="str">
        <f>IFERROR(__xludf.DUMMYFUNCTION("GOOGLETRANSLATE(A4419, ""en"", ""mt"")"),"Għal min kien imħasseb Luther dwar Mansfeld?")</f>
        <v>Għal min kien imħasseb Luther dwar Mansfeld?</v>
      </c>
    </row>
    <row r="4420" ht="15.75" customHeight="1">
      <c r="A4420" s="2" t="s">
        <v>4420</v>
      </c>
      <c r="B4420" s="2" t="str">
        <f>IFERROR(__xludf.DUMMYFUNCTION("GOOGLETRANSLATE(A4420, ""en"", ""mt"")"),"Kemm ilha r-rivista Doctor Who f'ċirkolazzjoni?")</f>
        <v>Kemm ilha r-rivista Doctor Who f'ċirkolazzjoni?</v>
      </c>
    </row>
    <row r="4421" ht="15.75" customHeight="1">
      <c r="A4421" s="2" t="s">
        <v>4421</v>
      </c>
      <c r="B4421" s="2" t="str">
        <f>IFERROR(__xludf.DUMMYFUNCTION("GOOGLETRANSLATE(A4421, ""en"", ""mt"")"),"Il-PM se jkollu s-setgħa u l-awtorità li jikkoordina u jissorvelja l-funzjonijiet tal-gvern")</f>
        <v>Il-PM se jkollu s-setgħa u l-awtorità li jikkoordina u jissorvelja l-funzjonijiet tal-gvern</v>
      </c>
    </row>
    <row r="4422" ht="15.75" customHeight="1">
      <c r="A4422" s="2" t="s">
        <v>4422</v>
      </c>
      <c r="B4422" s="2" t="str">
        <f>IFERROR(__xludf.DUMMYFUNCTION("GOOGLETRANSLATE(A4422, ""en"", ""mt"")"),"multiplikazzjoni")</f>
        <v>multiplikazzjoni</v>
      </c>
    </row>
    <row r="4423" ht="15.75" customHeight="1">
      <c r="A4423" s="2" t="s">
        <v>4423</v>
      </c>
      <c r="B4423" s="2" t="str">
        <f>IFERROR(__xludf.DUMMYFUNCTION("GOOGLETRANSLATE(A4423, ""en"", ""mt"")"),"Hekk kif Robert Michael x’qed jara l-lingwa vjolenti ta ’Luther lejn il-Lhud?")</f>
        <v>Hekk kif Robert Michael x’qed jara l-lingwa vjolenti ta ’Luther lejn il-Lhud?</v>
      </c>
    </row>
    <row r="4424" ht="15.75" customHeight="1">
      <c r="A4424" s="2" t="s">
        <v>4424</v>
      </c>
      <c r="B4424" s="2" t="str">
        <f>IFERROR(__xludf.DUMMYFUNCTION("GOOGLETRANSLATE(A4424, ""en"", ""mt"")"),"Kemm hija twila t-taqsima li ddur fit-tramuntana?")</f>
        <v>Kemm hija twila t-taqsima li ddur fit-tramuntana?</v>
      </c>
    </row>
    <row r="4425" ht="15.75" customHeight="1">
      <c r="A4425" s="2" t="s">
        <v>4425</v>
      </c>
      <c r="B4425" s="2" t="str">
        <f>IFERROR(__xludf.DUMMYFUNCTION("GOOGLETRANSLATE(A4425, ""en"", ""mt"")"),"Kotba antiki bir-riċetta u drogi antiki")</f>
        <v>Kotba antiki bir-riċetta u drogi antiki</v>
      </c>
    </row>
    <row r="4426" ht="15.75" customHeight="1">
      <c r="A4426" s="2" t="s">
        <v>4426</v>
      </c>
      <c r="B4426" s="2" t="str">
        <f>IFERROR(__xludf.DUMMYFUNCTION("GOOGLETRANSLATE(A4426, ""en"", ""mt"")"),"Aristokrazija Mongoljana tradizzjonali")</f>
        <v>Aristokrazija Mongoljana tradizzjonali</v>
      </c>
    </row>
    <row r="4427" ht="15.75" customHeight="1">
      <c r="A4427" s="2" t="s">
        <v>4427</v>
      </c>
      <c r="B4427" s="2" t="str">
        <f>IFERROR(__xludf.DUMMYFUNCTION("GOOGLETRANSLATE(A4427, ""en"", ""mt"")"),"il-punent")</f>
        <v>il-punent</v>
      </c>
    </row>
    <row r="4428" ht="15.75" customHeight="1">
      <c r="A4428" s="2" t="s">
        <v>4428</v>
      </c>
      <c r="B4428" s="2" t="str">
        <f>IFERROR(__xludf.DUMMYFUNCTION("GOOGLETRANSLATE(A4428, ""en"", ""mt"")"),"Għal liema skejjel tar-reliġjon jirreferu t-terminu 'skejjel parrokkjali' ġeneralment?")</f>
        <v>Għal liema skejjel tar-reliġjon jirreferu t-terminu 'skejjel parrokkjali' ġeneralment?</v>
      </c>
    </row>
    <row r="4429" ht="15.75" customHeight="1">
      <c r="A4429" s="2" t="s">
        <v>4429</v>
      </c>
      <c r="B4429" s="2" t="str">
        <f>IFERROR(__xludf.DUMMYFUNCTION("GOOGLETRANSLATE(A4429, ""en"", ""mt"")"),"F'liema porzjon ġeografiku ta 'Wales jinsab Abercynon?")</f>
        <v>F'liema porzjon ġeografiku ta 'Wales jinsab Abercynon?</v>
      </c>
    </row>
    <row r="4430" ht="15.75" customHeight="1">
      <c r="A4430" s="2" t="s">
        <v>4430</v>
      </c>
      <c r="B4430" s="2" t="str">
        <f>IFERROR(__xludf.DUMMYFUNCTION("GOOGLETRANSLATE(A4430, ""en"", ""mt"")"),"Mhux biss il-periti Brittaniċi ewlenin kollha tal-aħħar erba 'mitt sena huma rappreżentati, iżda ħafna tpinġijiet Ewropej (speċjalment Taljani) u tal-periti Amerikani huma miżmuma fil-kollezzjoni. L-azjendi ta 'RIBA ta' aktar minn 330 tpinġija minn Andrea"&amp;" Palladio huma l-ikbar fid-dinja, Ewropej oħra rappreżentati sew huma Jacques Gentilhatre u Antonio Visentini. Periti Brittaniċi li t-tpinġijiet tagħhom, u f'xi każijiet mudelli tal-bini tagħhom, fil-kollezzjoni, jinkludu: Inigo Jones, Sir Christopher Wre"&amp;"n, Sir John Vanbrugh, Nicholas Hawksmoor, William Kent, James Gibbs, Robert Adam, Sir William Chambers, James Wyatt, Henry Holland, John Nash, Sir John Soane, Sir Charles Barry, Charles Robert Cockerell, Augustus Welby Northmore Pugin, Sir George Gilbert "&amp;"Scott, John Loughborough Pearson, Triq George Edmund, Richard Norman Shaw, Alfred Waterhouse, Sir Edwin Lutyens, Charles Rennie Mackintosh , Charles Holden, Frank Hoar, Lord Richard Rogers, Lord Norman Foster, Sir Nicholas Grimshaw, Zaha Hadid u Alick Hor"&amp;"snell.")</f>
        <v>Mhux biss il-periti Brittaniċi ewlenin kollha tal-aħħar erba 'mitt sena huma rappreżentati, iżda ħafna tpinġijiet Ewropej (speċjalment Taljani) u tal-periti Amerikani huma miżmuma fil-kollezzjoni. L-azjendi ta 'RIBA ta' aktar minn 330 tpinġija minn Andrea Palladio huma l-ikbar fid-dinja, Ewropej oħra rappreżentati sew huma Jacques Gentilhatre u Antonio Visentini. Periti Brittaniċi li t-tpinġijiet tagħhom, u f'xi każijiet mudelli tal-bini tagħhom, fil-kollezzjoni, jinkludu: Inigo Jones, Sir Christopher Wren, Sir John Vanbrugh, Nicholas Hawksmoor, William Kent, James Gibbs, Robert Adam, Sir William Chambers, James Wyatt, Henry Holland, John Nash, Sir John Soane, Sir Charles Barry, Charles Robert Cockerell, Augustus Welby Northmore Pugin, Sir George Gilbert Scott, John Loughborough Pearson, Triq George Edmund, Richard Norman Shaw, Alfred Waterhouse, Sir Edwin Lutyens, Charles Rennie Mackintosh , Charles Holden, Frank Hoar, Lord Richard Rogers, Lord Norman Foster, Sir Nicholas Grimshaw, Zaha Hadid u Alick Horsnell.</v>
      </c>
    </row>
    <row r="4431" ht="15.75" customHeight="1">
      <c r="A4431" s="2" t="s">
        <v>4431</v>
      </c>
      <c r="B4431" s="2" t="str">
        <f>IFERROR(__xludf.DUMMYFUNCTION("GOOGLETRANSLATE(A4431, ""en"", ""mt"")"),"Min pitter l-irbit ta ’San Ġorġ li jinsab fil-kollezzjoni V&amp;A?")</f>
        <v>Min pitter l-irbit ta ’San Ġorġ li jinsab fil-kollezzjoni V&amp;A?</v>
      </c>
    </row>
    <row r="4432" ht="15.75" customHeight="1">
      <c r="A4432" s="2" t="s">
        <v>4432</v>
      </c>
      <c r="B4432" s="2" t="str">
        <f>IFERROR(__xludf.DUMMYFUNCTION("GOOGLETRANSLATE(A4432, ""en"", ""mt"")"),"Buddiżmu, speċjalment il-varjanti tat-Tibet")</f>
        <v>Buddiżmu, speċjalment il-varjanti tat-Tibet</v>
      </c>
    </row>
    <row r="4433" ht="15.75" customHeight="1">
      <c r="A4433" s="2" t="s">
        <v>4433</v>
      </c>
      <c r="B4433" s="2" t="str">
        <f>IFERROR(__xludf.DUMMYFUNCTION("GOOGLETRANSLATE(A4433, ""en"", ""mt"")"),"Ibda hawn")</f>
        <v>Ibda hawn</v>
      </c>
    </row>
    <row r="4434" ht="15.75" customHeight="1">
      <c r="A4434" s="2" t="s">
        <v>4434</v>
      </c>
      <c r="B4434" s="2" t="str">
        <f>IFERROR(__xludf.DUMMYFUNCTION("GOOGLETRANSLATE(A4434, ""en"", ""mt"")"),"Fejn il-biċċa l-kbira tal-pjanti għandhom kloroplasti?")</f>
        <v>Fejn il-biċċa l-kbira tal-pjanti għandhom kloroplasti?</v>
      </c>
    </row>
    <row r="4435" ht="15.75" customHeight="1">
      <c r="A4435" s="2" t="s">
        <v>4435</v>
      </c>
      <c r="B4435" s="2" t="str">
        <f>IFERROR(__xludf.DUMMYFUNCTION("GOOGLETRANSLATE(A4435, ""en"", ""mt"")"),"Kemm nies intilfu f'Alġers matul l-1620-21?")</f>
        <v>Kemm nies intilfu f'Alġers matul l-1620-21?</v>
      </c>
    </row>
    <row r="4436" ht="15.75" customHeight="1">
      <c r="A4436" s="2" t="s">
        <v>4436</v>
      </c>
      <c r="B4436" s="2" t="str">
        <f>IFERROR(__xludf.DUMMYFUNCTION("GOOGLETRANSLATE(A4436, ""en"", ""mt"")"),"il-pubbliku")</f>
        <v>il-pubbliku</v>
      </c>
    </row>
    <row r="4437" ht="15.75" customHeight="1">
      <c r="A4437" s="2" t="s">
        <v>4437</v>
      </c>
      <c r="B4437" s="2" t="str">
        <f>IFERROR(__xludf.DUMMYFUNCTION("GOOGLETRANSLATE(A4437, ""en"", ""mt"")"),"9–18.")</f>
        <v>9–18.</v>
      </c>
    </row>
    <row r="4438" ht="15.75" customHeight="1">
      <c r="A4438" s="2" t="s">
        <v>4438</v>
      </c>
      <c r="B4438" s="2" t="str">
        <f>IFERROR(__xludf.DUMMYFUNCTION("GOOGLETRANSLATE(A4438, ""en"", ""mt"")"),"Grazzi")</f>
        <v>Grazzi</v>
      </c>
    </row>
    <row r="4439" ht="15.75" customHeight="1">
      <c r="A4439" s="2" t="s">
        <v>4439</v>
      </c>
      <c r="B4439" s="2" t="str">
        <f>IFERROR(__xludf.DUMMYFUNCTION("GOOGLETRANSLATE(A4439, ""en"", ""mt"")"),"Bilanċ tal-partijiet madwar il-Parlament")</f>
        <v>Bilanċ tal-partijiet madwar il-Parlament</v>
      </c>
    </row>
    <row r="4440" ht="15.75" customHeight="1">
      <c r="A4440" s="2" t="s">
        <v>4440</v>
      </c>
      <c r="B4440" s="2" t="str">
        <f>IFERROR(__xludf.DUMMYFUNCTION("GOOGLETRANSLATE(A4440, ""en"", ""mt"")"),"Il-Knisja Metodista Magħquda mill-1985 ilha tesplora għaqda possibbli ma ’tliet denominazzjonijiet Metodisti Storikament Afrikani-Amerikani: il-Knisja Episkopali Metodista Afrikana, il-Knisja Episkopali ta’ Sion Episkopali Metodista Afrikana, u l-Knisja E"&amp;"piskopali Metodista Nisranija. Kummissjoni dwar il-Kooperazzjoni Metodista Pan u l-Unjoni ffurmata fl-2000 biex twettaq xogħol fuq tali għaqda. F’Mejju 2012, il-Knisja Metodista Magħquda daħlet f’komunjoni sħiħa mal-Knisja Episkopali Metodista Afrikana, i"&amp;"l-Knisja Episkopali ta ’Sion Afrikana, il-Knisja Protestanti tal-Unjoni Afrikana, il-Knisja Episkopali Metodista Kristjana, u l-Knisja Episkopali tal-Unjoni Metodista Amerikana, li fiha dawn il-knejjes qablu li” Agħraf il-knejjes ta 'xulxin, jaqsmu s-sagr"&amp;"amenti, u jaffermaw il-kleru u l-ministeri tagħhom. """)</f>
        <v>Il-Knisja Metodista Magħquda mill-1985 ilha tesplora għaqda possibbli ma ’tliet denominazzjonijiet Metodisti Storikament Afrikani-Amerikani: il-Knisja Episkopali Metodista Afrikana, il-Knisja Episkopali ta’ Sion Episkopali Metodista Afrikana, u l-Knisja Episkopali Metodista Nisranija. Kummissjoni dwar il-Kooperazzjoni Metodista Pan u l-Unjoni ffurmata fl-2000 biex twettaq xogħol fuq tali għaqda. F’Mejju 2012, il-Knisja Metodista Magħquda daħlet f’komunjoni sħiħa mal-Knisja Episkopali Metodista Afrikana, il-Knisja Episkopali ta ’Sion Afrikana, il-Knisja Protestanti tal-Unjoni Afrikana, il-Knisja Episkopali Metodista Kristjana, u l-Knisja Episkopali tal-Unjoni Metodista Amerikana, li fiha dawn il-knejjes qablu li” Agħraf il-knejjes ta 'xulxin, jaqsmu s-sagramenti, u jaffermaw il-kleru u l-ministeri tagħhom. "</v>
      </c>
    </row>
    <row r="4441" ht="15.75" customHeight="1">
      <c r="A4441" s="2" t="s">
        <v>4441</v>
      </c>
      <c r="B4441" s="2" t="str">
        <f>IFERROR(__xludf.DUMMYFUNCTION("GOOGLETRANSLATE(A4441, ""en"", ""mt"")"),"X'għandhom bżonn il-pjanti C4?")</f>
        <v>X'għandhom bżonn il-pjanti C4?</v>
      </c>
    </row>
    <row r="4442" ht="15.75" customHeight="1">
      <c r="A4442" s="2" t="s">
        <v>4442</v>
      </c>
      <c r="B4442" s="2" t="str">
        <f>IFERROR(__xludf.DUMMYFUNCTION("GOOGLETRANSLATE(A4442, ""en"", ""mt"")"),"Fresno (/ ˈfrɛznoʊ / Frez-Noh), is-sede tal-kontea tal-Kontea ta 'Fresno, hija belt fl-Istat ta' l-Istati Uniti ta 'California. Mill-2015, il-popolazzjoni tal-belt kienet ta '520,159, u għamilha l-ħames l-akbar belt f'Kalifornja, l-akbar belt interna f'Ka"&amp;"lifornja u l-34 l-akbar livell fin-nazzjon. Fresno jinsab fiċ-ċentru tal-Wied ta 'San Joaquin u huwa l-akbar belt fil-Wied Ċentrali, li fiha l-Wied ta' San Joaquin. Huwa madwar 220 mil (350 km) fil-majjistral ta 'Los Angeles, 170 mil (270 km) fin-nofsinha"&amp;"r tal-kapitali tal-istat, Sacramento, jew 185 mil (300 km) fin-nofsinhar ta' San Francisco. L-isem Fresno jfisser ""siġra tal-irmied"" bl-Ispanjol, u weraq tal-irmied jidher fuq il-bandiera tal-belt.")</f>
        <v>Fresno (/ ˈfrɛznoʊ / Frez-Noh), is-sede tal-kontea tal-Kontea ta 'Fresno, hija belt fl-Istat ta' l-Istati Uniti ta 'California. Mill-2015, il-popolazzjoni tal-belt kienet ta '520,159, u għamilha l-ħames l-akbar belt f'Kalifornja, l-akbar belt interna f'Kalifornja u l-34 l-akbar livell fin-nazzjon. Fresno jinsab fiċ-ċentru tal-Wied ta 'San Joaquin u huwa l-akbar belt fil-Wied Ċentrali, li fiha l-Wied ta' San Joaquin. Huwa madwar 220 mil (350 km) fil-majjistral ta 'Los Angeles, 170 mil (270 km) fin-nofsinhar tal-kapitali tal-istat, Sacramento, jew 185 mil (300 km) fin-nofsinhar ta' San Francisco. L-isem Fresno jfisser "siġra tal-irmied" bl-Ispanjol, u weraq tal-irmied jidher fuq il-bandiera tal-belt.</v>
      </c>
    </row>
    <row r="4443" ht="15.75" customHeight="1">
      <c r="A4443" s="2" t="s">
        <v>4443</v>
      </c>
      <c r="B4443" s="2" t="str">
        <f>IFERROR(__xludf.DUMMYFUNCTION("GOOGLETRANSLATE(A4443, ""en"", ""mt"")"),"Ħafna mill-ġeni tagħha ntilfu jew ġew trasferiti")</f>
        <v>Ħafna mill-ġeni tagħha ntilfu jew ġew trasferiti</v>
      </c>
    </row>
    <row r="4444" ht="15.75" customHeight="1">
      <c r="A4444" s="2" t="s">
        <v>4444</v>
      </c>
      <c r="B4444" s="2" t="str">
        <f>IFERROR(__xludf.DUMMYFUNCTION("GOOGLETRANSLATE(A4444, ""en"", ""mt"")"),"Prezzijiet għoljin tal-fjuwil u kompetizzjoni ġdida minn servizzi ta 'l-ajru bi prezz baxx")</f>
        <v>Prezzijiet għoljin tal-fjuwil u kompetizzjoni ġdida minn servizzi ta 'l-ajru bi prezz baxx</v>
      </c>
    </row>
    <row r="4445" ht="15.75" customHeight="1">
      <c r="A4445" s="2" t="s">
        <v>4445</v>
      </c>
      <c r="B4445" s="2" t="str">
        <f>IFERROR(__xludf.DUMMYFUNCTION("GOOGLETRANSLATE(A4445, ""en"", ""mt"")"),"0.5")</f>
        <v>0.5</v>
      </c>
    </row>
    <row r="4446" ht="15.75" customHeight="1">
      <c r="A4446" s="2" t="s">
        <v>4446</v>
      </c>
      <c r="B4446" s="2" t="str">
        <f>IFERROR(__xludf.DUMMYFUNCTION("GOOGLETRANSLATE(A4446, ""en"", ""mt"")"),"X'kien imdorri biex sod il-Levi's Stadium għal Super Bowl 50?")</f>
        <v>X'kien imdorri biex sod il-Levi's Stadium għal Super Bowl 50?</v>
      </c>
    </row>
    <row r="4447" ht="15.75" customHeight="1">
      <c r="A4447" s="2" t="s">
        <v>4447</v>
      </c>
      <c r="B4447" s="2" t="str">
        <f>IFERROR(__xludf.DUMMYFUNCTION("GOOGLETRANSLATE(A4447, ""en"", ""mt"")"),"oċean")</f>
        <v>oċean</v>
      </c>
    </row>
    <row r="4448" ht="15.75" customHeight="1">
      <c r="A4448" s="2" t="s">
        <v>4448</v>
      </c>
      <c r="B4448" s="2" t="str">
        <f>IFERROR(__xludf.DUMMYFUNCTION("GOOGLETRANSLATE(A4448, ""en"", ""mt"")"),"Konservazzjoni")</f>
        <v>Konservazzjoni</v>
      </c>
    </row>
    <row r="4449" ht="15.75" customHeight="1">
      <c r="A4449" s="2" t="s">
        <v>4449</v>
      </c>
      <c r="B4449" s="2" t="str">
        <f>IFERROR(__xludf.DUMMYFUNCTION("GOOGLETRANSLATE(A4449, ""en"", ""mt"")"),"Kampijiet PNU u ODM")</f>
        <v>Kampijiet PNU u ODM</v>
      </c>
    </row>
    <row r="4450" ht="15.75" customHeight="1">
      <c r="A4450" s="2" t="s">
        <v>4450</v>
      </c>
      <c r="B4450" s="2" t="str">
        <f>IFERROR(__xludf.DUMMYFUNCTION("GOOGLETRANSLATE(A4450, ""en"", ""mt"")"),"Dawn it-tipi ta 'programmi ppreżentaw lil ABC b'immaġni ta' ""filosofija ta 'kontprogrammazzjoni kontra l-kompetituri tagħha"", li joffru lineup qawwi ta' programmi li jikkuntrastaw ma 'dawk li dehru fuq in-netwerks rivali tagħha, li għenu lil Goldenson j"&amp;"agħti lin-netwerk kontinwu bejn il-film u t-televiżjoni. Is-serje tal-Punent tal-ABC (kif ukoll serje bħall-actioner Zorro) telgħu kontra u għelbu l-wirjiet tal-varjetà mxandra minn NBC u CBS fil-ħarifa tal-1957, u l-wirjiet tad-ditektif tagħha għamlu l-i"&amp;"stess fil-ħarifa tal-1959. Udjenzi, serje qasira ta '66 minuta kienu skedati nofs siegħa qabel il-kompetizzjoni tagħhom ta 'siegħa. F'Mejju 1961, il-ħajja kkritikat l-entużjażmu pubbliku u l-isponsorizzazzjoni għal dawn it-tipi ta 'wirjiet għad-detriment "&amp;"tal-ipprogrammar tal-aħbarijiet u ddenunzjat liġi mhux uffiċjali ""li tissostitwixxi l-programmi tajbin ma' dawk ħżiena"".")</f>
        <v>Dawn it-tipi ta 'programmi ppreżentaw lil ABC b'immaġni ta' "filosofija ta 'kontprogrammazzjoni kontra l-kompetituri tagħha", li joffru lineup qawwi ta' programmi li jikkuntrastaw ma 'dawk li dehru fuq in-netwerks rivali tagħha, li għenu lil Goldenson jagħti lin-netwerk kontinwu bejn il-film u t-televiżjoni. Is-serje tal-Punent tal-ABC (kif ukoll serje bħall-actioner Zorro) telgħu kontra u għelbu l-wirjiet tal-varjetà mxandra minn NBC u CBS fil-ħarifa tal-1957, u l-wirjiet tad-ditektif tagħha għamlu l-istess fil-ħarifa tal-1959. Udjenzi, serje qasira ta '66 minuta kienu skedati nofs siegħa qabel il-kompetizzjoni tagħhom ta 'siegħa. F'Mejju 1961, il-ħajja kkritikat l-entużjażmu pubbliku u l-isponsorizzazzjoni għal dawn it-tipi ta 'wirjiet għad-detriment tal-ipprogrammar tal-aħbarijiet u ddenunzjat liġi mhux uffiċjali "li tissostitwixxi l-programmi tajbin ma' dawk ħżiena".</v>
      </c>
    </row>
    <row r="4451" ht="15.75" customHeight="1">
      <c r="A4451" s="2" t="s">
        <v>4451</v>
      </c>
      <c r="B4451" s="2" t="str">
        <f>IFERROR(__xludf.DUMMYFUNCTION("GOOGLETRANSLATE(A4451, ""en"", ""mt"")"),"madwar nofs")</f>
        <v>madwar nofs</v>
      </c>
    </row>
    <row r="4452" ht="15.75" customHeight="1">
      <c r="A4452" s="2" t="s">
        <v>4452</v>
      </c>
      <c r="B4452" s="2" t="str">
        <f>IFERROR(__xludf.DUMMYFUNCTION("GOOGLETRANSLATE(A4452, ""en"", ""mt"")"),"psewdogeni mhux funzjonali")</f>
        <v>psewdogeni mhux funzjonali</v>
      </c>
    </row>
    <row r="4453" ht="15.75" customHeight="1">
      <c r="A4453" s="2" t="s">
        <v>4453</v>
      </c>
      <c r="B4453" s="2" t="str">
        <f>IFERROR(__xludf.DUMMYFUNCTION("GOOGLETRANSLATE(A4453, ""en"", ""mt"")"),"Unità SI ta 'densità tal-fluss manjetiku")</f>
        <v>Unità SI ta 'densità tal-fluss manjetiku</v>
      </c>
    </row>
    <row r="4454" ht="15.75" customHeight="1">
      <c r="A4454" s="2" t="s">
        <v>4454</v>
      </c>
      <c r="B4454" s="2" t="str">
        <f>IFERROR(__xludf.DUMMYFUNCTION("GOOGLETRANSLATE(A4454, ""en"", ""mt"")"),"Liema prattika Lhudija pprojbixxa l-wan?")</f>
        <v>Liema prattika Lhudija pprojbixxa l-wan?</v>
      </c>
    </row>
    <row r="4455" ht="15.75" customHeight="1">
      <c r="A4455" s="2" t="s">
        <v>4455</v>
      </c>
      <c r="B4455" s="2" t="str">
        <f>IFERROR(__xludf.DUMMYFUNCTION("GOOGLETRANSLATE(A4455, ""en"", ""mt"")"),"Ibbażat fuq il-popolazzjoni biss, x'inhi l-klassifika ta 'Jacksonville fl-Istati Uniti?")</f>
        <v>Ibbażat fuq il-popolazzjoni biss, x'inhi l-klassifika ta 'Jacksonville fl-Istati Uniti?</v>
      </c>
    </row>
    <row r="4456" ht="15.75" customHeight="1">
      <c r="A4456" s="2" t="s">
        <v>4456</v>
      </c>
      <c r="B4456" s="2" t="str">
        <f>IFERROR(__xludf.DUMMYFUNCTION("GOOGLETRANSLATE(A4456, ""en"", ""mt"")"),"L-Awstralja")</f>
        <v>L-Awstralja</v>
      </c>
    </row>
    <row r="4457" ht="15.75" customHeight="1">
      <c r="A4457" s="2" t="s">
        <v>4457</v>
      </c>
      <c r="B4457" s="2" t="str">
        <f>IFERROR(__xludf.DUMMYFUNCTION("GOOGLETRANSLATE(A4457, ""en"", ""mt"")"),"Il-grazzja li tiġġustifika")</f>
        <v>Il-grazzja li tiġġustifika</v>
      </c>
    </row>
    <row r="4458" ht="15.75" customHeight="1">
      <c r="A4458" s="2" t="s">
        <v>4458</v>
      </c>
      <c r="B4458" s="2" t="str">
        <f>IFERROR(__xludf.DUMMYFUNCTION("GOOGLETRANSLATE(A4458, ""en"", ""mt"")"),"Us")</f>
        <v>Us</v>
      </c>
    </row>
    <row r="4459" ht="15.75" customHeight="1">
      <c r="A4459" s="2" t="s">
        <v>4459</v>
      </c>
      <c r="B4459" s="2" t="str">
        <f>IFERROR(__xludf.DUMMYFUNCTION("GOOGLETRANSLATE(A4459, ""en"", ""mt"")"),"1,000 suldat Ingliż")</f>
        <v>1,000 suldat Ingliż</v>
      </c>
    </row>
    <row r="4460" ht="15.75" customHeight="1">
      <c r="A4460" s="2" t="s">
        <v>4460</v>
      </c>
      <c r="B4460" s="2" t="str">
        <f>IFERROR(__xludf.DUMMYFUNCTION("GOOGLETRANSLATE(A4460, ""en"", ""mt"")"),"Għal ħafna popolazzjonijiet indiġeni, l-eliminazzjoni tal-poter Franċiż fl-Amerika ta 'Fuq kienet tfisser l-għajbien ta' alleat qawwi u kontrapiż għall-espansjoni Ingliża, li twassal għad-disponiment aħħari tagħhom. Il-pajjiż ta 'Ohio kien partikolarment "&amp;"vulnerabbli għal soluzzjoni legali u illegali minħabba l-kostruzzjoni ta' toroq militari lejn iż-żona minn Braddock u Forbes. Għalkemm l-akkwist Spanjol tat-territorju ta 'Louisiana (li ma tlestiex sal-1769) kellu riperkussjonijiet modesti, l-akkwist Ingl"&amp;"iż ta' Florida Spanjola rriżulta fil-migrazzjoni lejn il-punent ta 'tribujiet li ma riedux jagħmlu negozju mal-Ingliżi, u żieda fl-Ingliżi, u żieda fl-Ingliżi, u żieda fit-tensjonijiet bejn Iċ-Choctaw u l-Creek, għedewwa storiċi li d-diviżjonijiet tagħhom"&amp;" il-Brittaniċi xi kultant sfruttaw. Il-bidla tal-kontroll fi Florida wasslet ukoll ħafna mill-popolazzjoni Kattolika Spanjola tagħha biex titlaq. Il-biċċa l-kbira marru Kuba, inklużi r-rekords governattivi kollha minn Santu Wistin, għalkemm xi Yamasee Chr"&amp;"istianze ġew risistemati lejn il-kosta tal-Messiku.")</f>
        <v>Għal ħafna popolazzjonijiet indiġeni, l-eliminazzjoni tal-poter Franċiż fl-Amerika ta 'Fuq kienet tfisser l-għajbien ta' alleat qawwi u kontrapiż għall-espansjoni Ingliża, li twassal għad-disponiment aħħari tagħhom. Il-pajjiż ta 'Ohio kien partikolarment vulnerabbli għal soluzzjoni legali u illegali minħabba l-kostruzzjoni ta' toroq militari lejn iż-żona minn Braddock u Forbes. Għalkemm l-akkwist Spanjol tat-territorju ta 'Louisiana (li ma tlestiex sal-1769) kellu riperkussjonijiet modesti, l-akkwist Ingliż ta' Florida Spanjola rriżulta fil-migrazzjoni lejn il-punent ta 'tribujiet li ma riedux jagħmlu negozju mal-Ingliżi, u żieda fl-Ingliżi, u żieda fl-Ingliżi, u żieda fit-tensjonijiet bejn Iċ-Choctaw u l-Creek, għedewwa storiċi li d-diviżjonijiet tagħhom il-Brittaniċi xi kultant sfruttaw. Il-bidla tal-kontroll fi Florida wasslet ukoll ħafna mill-popolazzjoni Kattolika Spanjola tagħha biex titlaq. Il-biċċa l-kbira marru Kuba, inklużi r-rekords governattivi kollha minn Santu Wistin, għalkemm xi Yamasee Christianze ġew risistemati lejn il-kosta tal-Messiku.</v>
      </c>
    </row>
    <row r="4461" ht="15.75" customHeight="1">
      <c r="A4461" s="2" t="s">
        <v>4461</v>
      </c>
      <c r="B4461" s="2" t="str">
        <f>IFERROR(__xludf.DUMMYFUNCTION("GOOGLETRANSLATE(A4461, ""en"", ""mt"")"),"1957")</f>
        <v>1957</v>
      </c>
    </row>
    <row r="4462" ht="15.75" customHeight="1">
      <c r="A4462" s="2" t="s">
        <v>4462</v>
      </c>
      <c r="B4462" s="2" t="str">
        <f>IFERROR(__xludf.DUMMYFUNCTION("GOOGLETRANSLATE(A4462, ""en"", ""mt"")"),"Liema kunċett ġie żviluppat minn Baran waqt ir-riċerka fuq Rand")</f>
        <v>Liema kunċett ġie żviluppat minn Baran waqt ir-riċerka fuq Rand</v>
      </c>
    </row>
    <row r="4463" ht="15.75" customHeight="1">
      <c r="A4463" s="2" t="s">
        <v>4463</v>
      </c>
      <c r="B4463" s="2" t="str">
        <f>IFERROR(__xludf.DUMMYFUNCTION("GOOGLETRANSLATE(A4463, ""en"", ""mt"")"),"għadam")</f>
        <v>għadam</v>
      </c>
    </row>
    <row r="4464" ht="15.75" customHeight="1">
      <c r="A4464" s="2" t="s">
        <v>4464</v>
      </c>
      <c r="B4464" s="2" t="str">
        <f>IFERROR(__xludf.DUMMYFUNCTION("GOOGLETRANSLATE(A4464, ""en"", ""mt"")"),"Liema plejer kellu l-aktar interċezzjonijiet għall-istaġun?")</f>
        <v>Liema plejer kellu l-aktar interċezzjonijiet għall-istaġun?</v>
      </c>
    </row>
    <row r="4465" ht="15.75" customHeight="1">
      <c r="A4465" s="2" t="s">
        <v>4465</v>
      </c>
      <c r="B4465" s="2" t="str">
        <f>IFERROR(__xludf.DUMMYFUNCTION("GOOGLETRANSLATE(A4465, ""en"", ""mt"")"),"mhux deterministiku")</f>
        <v>mhux deterministiku</v>
      </c>
    </row>
    <row r="4466" ht="15.75" customHeight="1">
      <c r="A4466" s="2" t="s">
        <v>4466</v>
      </c>
      <c r="B4466" s="2" t="str">
        <f>IFERROR(__xludf.DUMMYFUNCTION("GOOGLETRANSLATE(A4466, ""en"", ""mt"")"),"port addizzjonali")</f>
        <v>port addizzjonali</v>
      </c>
    </row>
    <row r="4467" ht="15.75" customHeight="1">
      <c r="A4467" s="2" t="s">
        <v>4467</v>
      </c>
      <c r="B4467" s="2" t="str">
        <f>IFERROR(__xludf.DUMMYFUNCTION("GOOGLETRANSLATE(A4467, ""en"", ""mt"")"),"Il-Kunsill Privat")</f>
        <v>Il-Kunsill Privat</v>
      </c>
    </row>
    <row r="4468" ht="15.75" customHeight="1">
      <c r="A4468" s="2" t="s">
        <v>4468</v>
      </c>
      <c r="B4468" s="2" t="str">
        <f>IFERROR(__xludf.DUMMYFUNCTION("GOOGLETRANSLATE(A4468, ""en"", ""mt"")"),"Mikrija")</f>
        <v>Mikrija</v>
      </c>
    </row>
    <row r="4469" ht="15.75" customHeight="1">
      <c r="A4469" s="2" t="s">
        <v>4469</v>
      </c>
      <c r="B4469" s="2" t="str">
        <f>IFERROR(__xludf.DUMMYFUNCTION("GOOGLETRANSLATE(A4469, ""en"", ""mt"")"),"Min hu l-Kummissarju tal-NFL?")</f>
        <v>Min hu l-Kummissarju tal-NFL?</v>
      </c>
    </row>
    <row r="4470" ht="15.75" customHeight="1">
      <c r="A4470" s="2" t="s">
        <v>4470</v>
      </c>
      <c r="B4470" s="2" t="str">
        <f>IFERROR(__xludf.DUMMYFUNCTION("GOOGLETRANSLATE(A4470, ""en"", ""mt"")"),"forma kbira ta 'dumbbell")</f>
        <v>forma kbira ta 'dumbbell</v>
      </c>
    </row>
    <row r="4471" ht="15.75" customHeight="1">
      <c r="A4471" s="2" t="s">
        <v>4471</v>
      </c>
      <c r="B4471" s="2" t="str">
        <f>IFERROR(__xludf.DUMMYFUNCTION("GOOGLETRANSLATE(A4471, ""en"", ""mt"")"),"L-Ingliżi")</f>
        <v>L-Ingliżi</v>
      </c>
    </row>
    <row r="4472" ht="15.75" customHeight="1">
      <c r="A4472" s="2" t="s">
        <v>4472</v>
      </c>
      <c r="B4472" s="2" t="str">
        <f>IFERROR(__xludf.DUMMYFUNCTION("GOOGLETRANSLATE(A4472, ""en"", ""mt"")"),"Garrisons")</f>
        <v>Garrisons</v>
      </c>
    </row>
    <row r="4473" ht="15.75" customHeight="1">
      <c r="A4473" s="2" t="s">
        <v>4473</v>
      </c>
      <c r="B4473" s="2" t="str">
        <f>IFERROR(__xludf.DUMMYFUNCTION("GOOGLETRANSLATE(A4473, ""en"", ""mt"")"),"tagħmel it-teknoloġija arpanet pubblika")</f>
        <v>tagħmel it-teknoloġija arpanet pubblika</v>
      </c>
    </row>
    <row r="4474" ht="15.75" customHeight="1">
      <c r="A4474" s="2" t="s">
        <v>4474</v>
      </c>
      <c r="B4474" s="2" t="str">
        <f>IFERROR(__xludf.DUMMYFUNCTION("GOOGLETRANSLATE(A4474, ""en"", ""mt"")"),"Evoluzzjoni ta 'liema parti tas-sistema immunitarja seħħet fl-antenat evoluzzjonarju tal-vertebrati tax-xedaq?")</f>
        <v>Evoluzzjoni ta 'liema parti tas-sistema immunitarja seħħet fl-antenat evoluzzjonarju tal-vertebrati tax-xedaq?</v>
      </c>
    </row>
    <row r="4475" ht="15.75" customHeight="1">
      <c r="A4475" s="2" t="s">
        <v>4475</v>
      </c>
      <c r="B4475" s="2" t="str">
        <f>IFERROR(__xludf.DUMMYFUNCTION("GOOGLETRANSLATE(A4475, ""en"", ""mt"")"),"X'inventa Charles Parsons?")</f>
        <v>X'inventa Charles Parsons?</v>
      </c>
    </row>
    <row r="4476" ht="15.75" customHeight="1">
      <c r="A4476" s="2" t="s">
        <v>4476</v>
      </c>
      <c r="B4476" s="2" t="str">
        <f>IFERROR(__xludf.DUMMYFUNCTION("GOOGLETRANSLATE(A4476, ""en"", ""mt"")"),"Liema protezzjoni kkawżat li r-riforma ta 'Luther tiffjorixxi?")</f>
        <v>Liema protezzjoni kkawżat li r-riforma ta 'Luther tiffjorixxi?</v>
      </c>
    </row>
    <row r="4477" ht="15.75" customHeight="1">
      <c r="A4477" s="2" t="s">
        <v>4477</v>
      </c>
      <c r="B4477" s="2" t="str">
        <f>IFERROR(__xludf.DUMMYFUNCTION("GOOGLETRANSLATE(A4477, ""en"", ""mt"")"),"Klabbs tal-karozzi AAA")</f>
        <v>Klabbs tal-karozzi AAA</v>
      </c>
    </row>
    <row r="4478" ht="15.75" customHeight="1">
      <c r="A4478" s="2" t="s">
        <v>4478</v>
      </c>
      <c r="B4478" s="2" t="str">
        <f>IFERROR(__xludf.DUMMYFUNCTION("GOOGLETRANSLATE(A4478, ""en"", ""mt"")"),"Liema parti hija l-iktar b'saħħitha fiż-żoni sinjuri ta 'Melbourne?")</f>
        <v>Liema parti hija l-iktar b'saħħitha fiż-żoni sinjuri ta 'Melbourne?</v>
      </c>
    </row>
    <row r="4479" ht="15.75" customHeight="1">
      <c r="A4479" s="2" t="s">
        <v>4479</v>
      </c>
      <c r="B4479" s="2" t="str">
        <f>IFERROR(__xludf.DUMMYFUNCTION("GOOGLETRANSLATE(A4479, ""en"", ""mt"")"),"Rankine")</f>
        <v>Rankine</v>
      </c>
    </row>
    <row r="4480" ht="15.75" customHeight="1">
      <c r="A4480" s="2" t="s">
        <v>4480</v>
      </c>
      <c r="B4480" s="2" t="str">
        <f>IFERROR(__xludf.DUMMYFUNCTION("GOOGLETRANSLATE(A4480, ""en"", ""mt"")"),"Meta miet Tugh Temur?")</f>
        <v>Meta miet Tugh Temur?</v>
      </c>
    </row>
    <row r="4481" ht="15.75" customHeight="1">
      <c r="A4481" s="2" t="s">
        <v>4481</v>
      </c>
      <c r="B4481" s="2" t="str">
        <f>IFERROR(__xludf.DUMMYFUNCTION("GOOGLETRANSLATE(A4481, ""en"", ""mt"")"),"Sena kull darba")</f>
        <v>Sena kull darba</v>
      </c>
    </row>
    <row r="4482" ht="15.75" customHeight="1">
      <c r="A4482" s="2" t="s">
        <v>4482</v>
      </c>
      <c r="B4482" s="2" t="str">
        <f>IFERROR(__xludf.DUMMYFUNCTION("GOOGLETRANSLATE(A4482, ""en"", ""mt"")"),"Liema pożizzjoni Fred Silverman ħalla lil ABC biex jieħu fl-1978?")</f>
        <v>Liema pożizzjoni Fred Silverman ħalla lil ABC biex jieħu fl-1978?</v>
      </c>
    </row>
    <row r="4483" ht="15.75" customHeight="1">
      <c r="A4483" s="2" t="s">
        <v>4483</v>
      </c>
      <c r="B4483" s="2" t="str">
        <f>IFERROR(__xludf.DUMMYFUNCTION("GOOGLETRANSLATE(A4483, ""en"", ""mt"")"),"Armata l-Ħamra")</f>
        <v>Armata l-Ħamra</v>
      </c>
    </row>
    <row r="4484" ht="15.75" customHeight="1">
      <c r="A4484" s="2" t="s">
        <v>4484</v>
      </c>
      <c r="B4484" s="2" t="str">
        <f>IFERROR(__xludf.DUMMYFUNCTION("GOOGLETRANSLATE(A4484, ""en"", ""mt"")"),"singulari, imwaħħal direttament mat-tilakoid ġenitur tagħhom")</f>
        <v>singulari, imwaħħal direttament mat-tilakoid ġenitur tagħhom</v>
      </c>
    </row>
    <row r="4485" ht="15.75" customHeight="1">
      <c r="A4485" s="2" t="s">
        <v>4485</v>
      </c>
      <c r="B4485" s="2" t="str">
        <f>IFERROR(__xludf.DUMMYFUNCTION("GOOGLETRANSLATE(A4485, ""en"", ""mt"")"),"Thomas Murphy")</f>
        <v>Thomas Murphy</v>
      </c>
    </row>
    <row r="4486" ht="15.75" customHeight="1">
      <c r="A4486" s="2" t="s">
        <v>4486</v>
      </c>
      <c r="B4486" s="2" t="str">
        <f>IFERROR(__xludf.DUMMYFUNCTION("GOOGLETRANSLATE(A4486, ""en"", ""mt"")"),"Min kien in-nannu Kublai Khan?")</f>
        <v>Min kien in-nannu Kublai Khan?</v>
      </c>
    </row>
    <row r="4487" ht="15.75" customHeight="1">
      <c r="A4487" s="2" t="s">
        <v>4487</v>
      </c>
      <c r="B4487" s="2" t="str">
        <f>IFERROR(__xludf.DUMMYFUNCTION("GOOGLETRANSLATE(A4487, ""en"", ""mt"")"),"Liema awtur ikkredita Tesla għall-irkupru tiegħu?")</f>
        <v>Liema awtur ikkredita Tesla għall-irkupru tiegħu?</v>
      </c>
    </row>
    <row r="4488" ht="15.75" customHeight="1">
      <c r="A4488" s="2" t="s">
        <v>4488</v>
      </c>
      <c r="B4488" s="2" t="str">
        <f>IFERROR(__xludf.DUMMYFUNCTION("GOOGLETRANSLATE(A4488, ""en"", ""mt"")"),"William Farel")</f>
        <v>William Farel</v>
      </c>
    </row>
    <row r="4489" ht="15.75" customHeight="1">
      <c r="A4489" s="2" t="s">
        <v>4489</v>
      </c>
      <c r="B4489" s="2" t="str">
        <f>IFERROR(__xludf.DUMMYFUNCTION("GOOGLETRANSLATE(A4489, ""en"", ""mt"")"),"X'inhu t-tim tal-MLS waħdu li jappartjeni għan-Nofsinhar ta 'California?")</f>
        <v>X'inhu t-tim tal-MLS waħdu li jappartjeni għan-Nofsinhar ta 'California?</v>
      </c>
    </row>
    <row r="4490" ht="15.75" customHeight="1">
      <c r="A4490" s="2" t="s">
        <v>4490</v>
      </c>
      <c r="B4490" s="2" t="str">
        <f>IFERROR(__xludf.DUMMYFUNCTION("GOOGLETRANSLATE(A4490, ""en"", ""mt"")"),"1534")</f>
        <v>1534</v>
      </c>
    </row>
    <row r="4491" ht="15.75" customHeight="1">
      <c r="A4491" s="2" t="s">
        <v>4491</v>
      </c>
      <c r="B4491" s="2" t="str">
        <f>IFERROR(__xludf.DUMMYFUNCTION("GOOGLETRANSLATE(A4491, ""en"", ""mt"")"),"Marzu")</f>
        <v>Marzu</v>
      </c>
    </row>
    <row r="4492" ht="15.75" customHeight="1">
      <c r="A4492" s="2" t="s">
        <v>4492</v>
      </c>
      <c r="B4492" s="2" t="str">
        <f>IFERROR(__xludf.DUMMYFUNCTION("GOOGLETRANSLATE(A4492, ""en"", ""mt"")"),"Kif tista 'titqies il-kelma apothecary minn kelliema Ingliżi kontemporanji?")</f>
        <v>Kif tista 'titqies il-kelma apothecary minn kelliema Ingliżi kontemporanji?</v>
      </c>
    </row>
    <row r="4493" ht="15.75" customHeight="1">
      <c r="A4493" s="2" t="s">
        <v>4493</v>
      </c>
      <c r="B4493" s="2" t="str">
        <f>IFERROR(__xludf.DUMMYFUNCTION("GOOGLETRANSLATE(A4493, ""en"", ""mt"")"),"fit-tramuntana")</f>
        <v>fit-tramuntana</v>
      </c>
    </row>
    <row r="4494" ht="15.75" customHeight="1">
      <c r="A4494" s="2" t="s">
        <v>4494</v>
      </c>
      <c r="B4494" s="2" t="str">
        <f>IFERROR(__xludf.DUMMYFUNCTION("GOOGLETRANSLATE(A4494, ""en"", ""mt"")"),"Luther x’sejjaħ dawn id-donazzjonijiet?")</f>
        <v>Luther x’sejjaħ dawn id-donazzjonijiet?</v>
      </c>
    </row>
    <row r="4495" ht="15.75" customHeight="1">
      <c r="A4495" s="2" t="s">
        <v>4495</v>
      </c>
      <c r="B4495" s="2" t="str">
        <f>IFERROR(__xludf.DUMMYFUNCTION("GOOGLETRANSLATE(A4495, ""en"", ""mt"")"),"Proġetti tal-Missili tal-Air Force")</f>
        <v>Proġetti tal-Missili tal-Air Force</v>
      </c>
    </row>
    <row r="4496" ht="15.75" customHeight="1">
      <c r="A4496" s="2" t="s">
        <v>4496</v>
      </c>
      <c r="B4496" s="2" t="str">
        <f>IFERROR(__xludf.DUMMYFUNCTION("GOOGLETRANSLATE(A4496, ""en"", ""mt"")"),"200,000 Krone Daniż")</f>
        <v>200,000 Krone Daniż</v>
      </c>
    </row>
    <row r="4497" ht="15.75" customHeight="1">
      <c r="A4497" s="2" t="s">
        <v>4497</v>
      </c>
      <c r="B4497" s="2" t="str">
        <f>IFERROR(__xludf.DUMMYFUNCTION("GOOGLETRANSLATE(A4497, ""en"", ""mt"")"),"Jekk żewġ terzi tar-Rhine jgħaddu mill-maas, fejn id-doe l-ieħor terz jgħaddi?")</f>
        <v>Jekk żewġ terzi tar-Rhine jgħaddu mill-maas, fejn id-doe l-ieħor terz jgħaddi?</v>
      </c>
    </row>
    <row r="4498" ht="15.75" customHeight="1">
      <c r="A4498" s="2" t="s">
        <v>4498</v>
      </c>
      <c r="B4498" s="2" t="str">
        <f>IFERROR(__xludf.DUMMYFUNCTION("GOOGLETRANSLATE(A4498, ""en"", ""mt"")"),"Fuq xiex kien maħsub l-innu biex jeżamina l-istudenti?")</f>
        <v>Fuq xiex kien maħsub l-innu biex jeżamina l-istudenti?</v>
      </c>
    </row>
    <row r="4499" ht="15.75" customHeight="1">
      <c r="A4499" s="2" t="s">
        <v>4499</v>
      </c>
      <c r="B4499" s="2" t="str">
        <f>IFERROR(__xludf.DUMMYFUNCTION("GOOGLETRANSLATE(A4499, ""en"", ""mt"")"),"F'liema sena Pierre de Fermat iddikjara t-teorema żgħira ta 'Fermat?")</f>
        <v>F'liema sena Pierre de Fermat iddikjara t-teorema żgħira ta 'Fermat?</v>
      </c>
    </row>
    <row r="4500" ht="15.75" customHeight="1">
      <c r="A4500" s="2" t="s">
        <v>4500</v>
      </c>
      <c r="B4500" s="2" t="str">
        <f>IFERROR(__xludf.DUMMYFUNCTION("GOOGLETRANSLATE(A4500, ""en"", ""mt"")"),"Hereford")</f>
        <v>Hereford</v>
      </c>
    </row>
    <row r="4501" ht="15.75" customHeight="1">
      <c r="A4501" s="2" t="s">
        <v>4501</v>
      </c>
      <c r="B4501" s="2" t="str">
        <f>IFERROR(__xludf.DUMMYFUNCTION("GOOGLETRANSLATE(A4501, ""en"", ""mt"")"),"movimenti dgħajfa tax-xogħol")</f>
        <v>movimenti dgħajfa tax-xogħol</v>
      </c>
    </row>
    <row r="4502" ht="15.75" customHeight="1">
      <c r="A4502" s="2" t="s">
        <v>4502</v>
      </c>
      <c r="B4502" s="2" t="str">
        <f>IFERROR(__xludf.DUMMYFUNCTION("GOOGLETRANSLATE(A4502, ""en"", ""mt"")"),"Meta huma stabbiliti kumitati tas-suġġetti?")</f>
        <v>Meta huma stabbiliti kumitati tas-suġġetti?</v>
      </c>
    </row>
    <row r="4503" ht="15.75" customHeight="1">
      <c r="A4503" s="2" t="s">
        <v>4503</v>
      </c>
      <c r="B4503" s="2" t="str">
        <f>IFERROR(__xludf.DUMMYFUNCTION("GOOGLETRANSLATE(A4503, ""en"", ""mt"")"),"Ġenitur")</f>
        <v>Ġenitur</v>
      </c>
    </row>
    <row r="4504" ht="15.75" customHeight="1">
      <c r="A4504" s="2" t="s">
        <v>4504</v>
      </c>
      <c r="B4504" s="2" t="str">
        <f>IFERROR(__xludf.DUMMYFUNCTION("GOOGLETRANSLATE(A4504, ""en"", ""mt"")"),"Enr")</f>
        <v>Enr</v>
      </c>
    </row>
    <row r="4505" ht="15.75" customHeight="1">
      <c r="A4505" s="2" t="s">
        <v>4505</v>
      </c>
      <c r="B4505" s="2" t="str">
        <f>IFERROR(__xludf.DUMMYFUNCTION("GOOGLETRANSLATE(A4505, ""en"", ""mt"")"),"aktar minn 100,000")</f>
        <v>aktar minn 100,000</v>
      </c>
    </row>
    <row r="4506" ht="15.75" customHeight="1">
      <c r="A4506" s="2" t="s">
        <v>4506</v>
      </c>
      <c r="B4506" s="2" t="str">
        <f>IFERROR(__xludf.DUMMYFUNCTION("GOOGLETRANSLATE(A4506, ""en"", ""mt"")"),"trasport")</f>
        <v>trasport</v>
      </c>
    </row>
    <row r="4507" ht="15.75" customHeight="1">
      <c r="A4507" s="2" t="s">
        <v>4507</v>
      </c>
      <c r="B4507" s="2" t="str">
        <f>IFERROR(__xludf.DUMMYFUNCTION("GOOGLETRANSLATE(A4507, ""en"", ""mt"")"),"Il-forza tat-tensjoni fuq tagħbija tista 'tiġi mmultiplikata")</f>
        <v>Il-forza tat-tensjoni fuq tagħbija tista 'tiġi mmultiplikata</v>
      </c>
    </row>
    <row r="4508" ht="15.75" customHeight="1">
      <c r="A4508" s="2" t="s">
        <v>4508</v>
      </c>
      <c r="B4508" s="2" t="str">
        <f>IFERROR(__xludf.DUMMYFUNCTION("GOOGLETRANSLATE(A4508, ""en"", ""mt"")"),"Filwaqt li l-kloroplasti primarji għandhom membrana doppja mill-antenat cyanobacterial tagħhom, il-kloroplasti sekondarji għandhom membrani addizzjonali barra mit-tnejn oriġinali, bħala riżultat tal-avveniment endosimbijotiku sekondarju, meta eukaryote mh"&amp;"ux fotosintetiku ħakem l-alga li fihom Iċ-Cyanobacterium fil-bidu ta 'din l-istorja. L-alka maħduma kienet maqsuma, u ħalliet biss il-kloroplast tagħha, u xi kultant il-membrana u n-nukleu taċ-ċellula tagħha, li jiffurmaw kloroplast bi tliet jew erba 'mem"&amp;"brani - iż-żewġ membrani ċjanobatteriċi, xi kultant il-membrana taċ-ċellula tal-alga li tittiekel, u l-vacuole phagogożomali miċ-ċellula tal-membrana taċ-ċellula ospitanti -")</f>
        <v>Filwaqt li l-kloroplasti primarji għandhom membrana doppja mill-antenat cyanobacterial tagħhom, il-kloroplasti sekondarji għandhom membrani addizzjonali barra mit-tnejn oriġinali, bħala riżultat tal-avveniment endosimbijotiku sekondarju, meta eukaryote mhux fotosintetiku ħakem l-alga li fihom Iċ-Cyanobacterium fil-bidu ta 'din l-istorja. L-alka maħduma kienet maqsuma, u ħalliet biss il-kloroplast tagħha, u xi kultant il-membrana u n-nukleu taċ-ċellula tagħha, li jiffurmaw kloroplast bi tliet jew erba 'membrani - iż-żewġ membrani ċjanobatteriċi, xi kultant il-membrana taċ-ċellula tal-alga li tittiekel, u l-vacuole phagogożomali miċ-ċellula tal-membrana taċ-ċellula ospitanti -</v>
      </c>
    </row>
    <row r="4509" ht="15.75" customHeight="1">
      <c r="A4509" s="2" t="s">
        <v>4509</v>
      </c>
      <c r="B4509" s="2" t="str">
        <f>IFERROR(__xludf.DUMMYFUNCTION("GOOGLETRANSLATE(A4509, ""en"", ""mt"")"),"Mill-qawmien mill-ġdid tal-2005, it-tabib ġeneralment jivvjaġġa ma 'ħbieb femminili primarju, li jokkupa rwol narrattiv akbar. Steven Moffat iddeskriva lill-ħbieb bħala l-karattru ewlieni tal-ispettaklu, hekk kif l-istorja tibda mill-ġdid ma 'kull ħbieb u"&amp;" hi tgħaddi minn aktar bidla milli t-tabib. Il-kumpanji primarji tad-disa 'u l-għaxar tobba kienu Rose Tyler (Billie Piper), Martha Jones (Freema Agyeman), u Donna Noble (Catherine Tate) ma' Mickey Smith (Noel Clarke) u Jack Harkness (John Barrowman) li j"&amp;"irrepetu ruħhom bħala figuri ta 'ħbieb sekondarji sekondarji - Il-Ħdax-il Tabib sar l-ewwel wieħed li jivvjaġġa ma ’koppja miżżewġa, Amy Pond (Karen Gillan) u Rory Williams (Arthur Darvill), waqt li l-laqgħat barra mis-sink. arki tal-istorja. L-għaxar ser"&amp;"je se tintroduċi Pearl Mackie bħala Bill, l-aktar ħbieb ta 'l-ivvjaġġar tat-Tabib.")</f>
        <v>Mill-qawmien mill-ġdid tal-2005, it-tabib ġeneralment jivvjaġġa ma 'ħbieb femminili primarju, li jokkupa rwol narrattiv akbar. Steven Moffat iddeskriva lill-ħbieb bħala l-karattru ewlieni tal-ispettaklu, hekk kif l-istorja tibda mill-ġdid ma 'kull ħbieb u hi tgħaddi minn aktar bidla milli t-tabib. Il-kumpanji primarji tad-disa 'u l-għaxar tobba kienu Rose Tyler (Billie Piper), Martha Jones (Freema Agyeman), u Donna Noble (Catherine Tate) ma' Mickey Smith (Noel Clarke) u Jack Harkness (John Barrowman) li jirrepetu ruħhom bħala figuri ta 'ħbieb sekondarji sekondarji - Il-Ħdax-il Tabib sar l-ewwel wieħed li jivvjaġġa ma ’koppja miżżewġa, Amy Pond (Karen Gillan) u Rory Williams (Arthur Darvill), waqt li l-laqgħat barra mis-sink. arki tal-istorja. L-għaxar serje se tintroduċi Pearl Mackie bħala Bill, l-aktar ħbieb ta 'l-ivvjaġġar tat-Tabib.</v>
      </c>
    </row>
    <row r="4510" ht="15.75" customHeight="1">
      <c r="A4510" s="2" t="s">
        <v>4510</v>
      </c>
      <c r="B4510" s="2" t="str">
        <f>IFERROR(__xludf.DUMMYFUNCTION("GOOGLETRANSLATE(A4510, ""en"", ""mt"")"),"Interleukins")</f>
        <v>Interleukins</v>
      </c>
    </row>
    <row r="4511" ht="15.75" customHeight="1">
      <c r="A4511" s="2" t="s">
        <v>4511</v>
      </c>
      <c r="B4511" s="2" t="str">
        <f>IFERROR(__xludf.DUMMYFUNCTION("GOOGLETRANSLATE(A4511, ""en"", ""mt"")"),"Marlee Matlin")</f>
        <v>Marlee Matlin</v>
      </c>
    </row>
    <row r="4512" ht="15.75" customHeight="1">
      <c r="A4512" s="2" t="s">
        <v>4512</v>
      </c>
      <c r="B4512" s="2" t="str">
        <f>IFERROR(__xludf.DUMMYFUNCTION("GOOGLETRANSLATE(A4512, ""en"", ""mt"")"),"Moxt bħal faxex ta 'ċili huma msejħa xiex?")</f>
        <v>Moxt bħal faxex ta 'ċili huma msejħa xiex?</v>
      </c>
    </row>
    <row r="4513" ht="15.75" customHeight="1">
      <c r="A4513" s="2" t="s">
        <v>4513</v>
      </c>
      <c r="B4513" s="2" t="str">
        <f>IFERROR(__xludf.DUMMYFUNCTION("GOOGLETRANSLATE(A4513, ""en"", ""mt"")"),"1220,")</f>
        <v>1220,</v>
      </c>
    </row>
    <row r="4514" ht="15.75" customHeight="1">
      <c r="A4514" s="2" t="s">
        <v>4514</v>
      </c>
      <c r="B4514" s="2" t="str">
        <f>IFERROR(__xludf.DUMMYFUNCTION("GOOGLETRANSLATE(A4514, ""en"", ""mt"")"),"programm leġiżlattiv għas-sena li ġejja")</f>
        <v>programm leġiżlattiv għas-sena li ġejja</v>
      </c>
    </row>
    <row r="4515" ht="15.75" customHeight="1">
      <c r="A4515" s="2" t="s">
        <v>4515</v>
      </c>
      <c r="B4515" s="2" t="str">
        <f>IFERROR(__xludf.DUMMYFUNCTION("GOOGLETRANSLATE(A4515, ""en"", ""mt"")"),"Sharia aktar milli l-bini ta 'istituzzjonijiet Iżlamiċi,")</f>
        <v>Sharia aktar milli l-bini ta 'istituzzjonijiet Iżlamiċi,</v>
      </c>
    </row>
    <row r="4516" ht="15.75" customHeight="1">
      <c r="A4516" s="2" t="s">
        <v>4516</v>
      </c>
      <c r="B4516" s="2" t="str">
        <f>IFERROR(__xludf.DUMMYFUNCTION("GOOGLETRANSLATE(A4516, ""en"", ""mt"")"),"Residenti ġodda lesti li jħallsu rata ogħla tas-suq")</f>
        <v>Residenti ġodda lesti li jħallsu rata ogħla tas-suq</v>
      </c>
    </row>
    <row r="4517" ht="15.75" customHeight="1">
      <c r="A4517" s="2" t="s">
        <v>4517</v>
      </c>
      <c r="B4517" s="2" t="str">
        <f>IFERROR(__xludf.DUMMYFUNCTION("GOOGLETRANSLATE(A4517, ""en"", ""mt"")"),"X'kien qed jiġri għan-numri tal-abbonati f'oqsma oħra tal-Ewropa?")</f>
        <v>X'kien qed jiġri għan-numri tal-abbonati f'oqsma oħra tal-Ewropa?</v>
      </c>
    </row>
    <row r="4518" ht="15.75" customHeight="1">
      <c r="A4518" s="2" t="s">
        <v>4518</v>
      </c>
      <c r="B4518" s="2" t="str">
        <f>IFERROR(__xludf.DUMMYFUNCTION("GOOGLETRANSLATE(A4518, ""en"", ""mt"")"),"mhux neċessarjament it-tajjeb")</f>
        <v>mhux neċessarjament it-tajjeb</v>
      </c>
    </row>
    <row r="4519" ht="15.75" customHeight="1">
      <c r="A4519" s="2" t="s">
        <v>4519</v>
      </c>
      <c r="B4519" s="2" t="str">
        <f>IFERROR(__xludf.DUMMYFUNCTION("GOOGLETRANSLATE(A4519, ""en"", ""mt"")"),"Liema Orbiter tan-NASA fotografat evidenza ta 'kull sit fuq il-qamar li seħħet inżul ta' missjoni Apollo bl-ekwipaġġ?")</f>
        <v>Liema Orbiter tan-NASA fotografat evidenza ta 'kull sit fuq il-qamar li seħħet inżul ta' missjoni Apollo bl-ekwipaġġ?</v>
      </c>
    </row>
    <row r="4520" ht="15.75" customHeight="1">
      <c r="A4520" s="2" t="s">
        <v>4520</v>
      </c>
      <c r="B4520" s="2" t="str">
        <f>IFERROR(__xludf.DUMMYFUNCTION("GOOGLETRANSLATE(A4520, ""en"", ""mt"")"),"X'inhuma t-tliet sorsi tal-liġi tal-Unjoni Ewropea?")</f>
        <v>X'inhuma t-tliet sorsi tal-liġi tal-Unjoni Ewropea?</v>
      </c>
    </row>
    <row r="4521" ht="15.75" customHeight="1">
      <c r="A4521" s="2" t="s">
        <v>4521</v>
      </c>
      <c r="B4521" s="2" t="str">
        <f>IFERROR(__xludf.DUMMYFUNCTION("GOOGLETRANSLATE(A4521, ""en"", ""mt"")"),"Kuviasungnerk / Kangeiko")</f>
        <v>Kuviasungnerk / Kangeiko</v>
      </c>
    </row>
    <row r="4522" ht="15.75" customHeight="1">
      <c r="A4522" s="2" t="s">
        <v>4522</v>
      </c>
      <c r="B4522" s="2" t="str">
        <f>IFERROR(__xludf.DUMMYFUNCTION("GOOGLETRANSLATE(A4522, ""en"", ""mt"")"),"li għandhom x'jaqsmu mar-relazzjoni taċ-ċittadin mal-istat u l-liġijiet tiegħu")</f>
        <v>li għandhom x'jaqsmu mar-relazzjoni taċ-ċittadin mal-istat u l-liġijiet tiegħu</v>
      </c>
    </row>
    <row r="4523" ht="15.75" customHeight="1">
      <c r="A4523" s="2" t="s">
        <v>4523</v>
      </c>
      <c r="B4523" s="2" t="str">
        <f>IFERROR(__xludf.DUMMYFUNCTION("GOOGLETRANSLATE(A4523, ""en"", ""mt"")"),"Xi jfisser l-Istat Iżlamiku mill-komunità internazzjonali?")</f>
        <v>Xi jfisser l-Istat Iżlamiku mill-komunità internazzjonali?</v>
      </c>
    </row>
    <row r="4524" ht="15.75" customHeight="1">
      <c r="A4524" s="2" t="s">
        <v>4524</v>
      </c>
      <c r="B4524" s="2" t="str">
        <f>IFERROR(__xludf.DUMMYFUNCTION("GOOGLETRANSLATE(A4524, ""en"", ""mt"")"),"Dak li kkawża d-dewmien matul l-iżvilupp tal-mutur AC.")</f>
        <v>Dak li kkawża d-dewmien matul l-iżvilupp tal-mutur AC.</v>
      </c>
    </row>
    <row r="4525" ht="15.75" customHeight="1">
      <c r="A4525" s="2" t="s">
        <v>4525</v>
      </c>
      <c r="B4525" s="2" t="str">
        <f>IFERROR(__xludf.DUMMYFUNCTION("GOOGLETRANSLATE(A4525, ""en"", ""mt"")"),"Meta Luther qajjem b'aktar uġigħ fis-sider?")</f>
        <v>Meta Luther qajjem b'aktar uġigħ fis-sider?</v>
      </c>
    </row>
    <row r="4526" ht="15.75" customHeight="1">
      <c r="A4526" s="2" t="s">
        <v>4526</v>
      </c>
      <c r="B4526" s="2" t="str">
        <f>IFERROR(__xludf.DUMMYFUNCTION("GOOGLETRANSLATE(A4526, ""en"", ""mt"")"),"output wieħed")</f>
        <v>output wieħed</v>
      </c>
    </row>
    <row r="4527" ht="15.75" customHeight="1">
      <c r="A4527" s="2" t="s">
        <v>4527</v>
      </c>
      <c r="B4527" s="2" t="str">
        <f>IFERROR(__xludf.DUMMYFUNCTION("GOOGLETRANSLATE(A4527, ""en"", ""mt"")"),"Minn liema sultan Franċiż possibilment jinżel l-isem Huguenot?")</f>
        <v>Minn liema sultan Franċiż possibilment jinżel l-isem Huguenot?</v>
      </c>
    </row>
    <row r="4528" ht="15.75" customHeight="1">
      <c r="A4528" s="2" t="s">
        <v>4528</v>
      </c>
      <c r="B4528" s="2" t="str">
        <f>IFERROR(__xludf.DUMMYFUNCTION("GOOGLETRANSLATE(A4528, ""en"", ""mt"")"),"Liema proporzjon tal-popolazzjoni ġenerali fiż-żona milli sar l-Iran Genghis Khan qatel?")</f>
        <v>Liema proporzjon tal-popolazzjoni ġenerali fiż-żona milli sar l-Iran Genghis Khan qatel?</v>
      </c>
    </row>
    <row r="4529" ht="15.75" customHeight="1">
      <c r="A4529" s="2" t="s">
        <v>4529</v>
      </c>
      <c r="B4529" s="2" t="str">
        <f>IFERROR(__xludf.DUMMYFUNCTION("GOOGLETRANSLATE(A4529, ""en"", ""mt"")"),"Il-gwerra reliġjuża mġedda fl-1620s ikkawżat li l-privileġġi politiċi u militari tal-Huguenots jiġu aboliti wara t-telfa tagħhom. Huma żammew id-dispożizzjonijiet reliġjużi tal-editt ta 'Nantes sakemm ir-regola ta' Louis XIV, li żiedet progressivament il-"&amp;"persekuzzjoni tagħhom sakemm ħareġ l-editt ta 'Fontainebleau (1685), li abolixxa r-rikonoxximent legali kollu tal-Protestantiżmu fi Franza, u ġiegħel lill-Huguenots biex jikkonvertu - Filwaqt li kważi tliet kwarti eventwalment inqatlu jew ġew sottomessi, "&amp;"bejn wieħed u ieħor 500,000 Huguenots ħarbu minn Franza sal-bidu tas-seklu 18 [ċitazzjoni meħtieġa].")</f>
        <v>Il-gwerra reliġjuża mġedda fl-1620s ikkawżat li l-privileġġi politiċi u militari tal-Huguenots jiġu aboliti wara t-telfa tagħhom. Huma żammew id-dispożizzjonijiet reliġjużi tal-editt ta 'Nantes sakemm ir-regola ta' Louis XIV, li żiedet progressivament il-persekuzzjoni tagħhom sakemm ħareġ l-editt ta 'Fontainebleau (1685), li abolixxa r-rikonoxximent legali kollu tal-Protestantiżmu fi Franza, u ġiegħel lill-Huguenots biex jikkonvertu - Filwaqt li kważi tliet kwarti eventwalment inqatlu jew ġew sottomessi, bejn wieħed u ieħor 500,000 Huguenots ħarbu minn Franza sal-bidu tas-seklu 18 [ċitazzjoni meħtieġa].</v>
      </c>
    </row>
    <row r="4530" ht="15.75" customHeight="1">
      <c r="A4530" s="2" t="s">
        <v>4530</v>
      </c>
      <c r="B4530" s="2" t="str">
        <f>IFERROR(__xludf.DUMMYFUNCTION("GOOGLETRANSLATE(A4530, ""en"", ""mt"")"),"livelli aktar baxxi ta 'inugwaljanza")</f>
        <v>livelli aktar baxxi ta 'inugwaljanza</v>
      </c>
    </row>
    <row r="4531" ht="15.75" customHeight="1">
      <c r="A4531" s="2" t="s">
        <v>4531</v>
      </c>
      <c r="B4531" s="2" t="str">
        <f>IFERROR(__xludf.DUMMYFUNCTION("GOOGLETRANSLATE(A4531, ""en"", ""mt"")"),"ċittadini")</f>
        <v>ċittadini</v>
      </c>
    </row>
    <row r="4532" ht="15.75" customHeight="1">
      <c r="A4532" s="2" t="s">
        <v>4532</v>
      </c>
      <c r="B4532" s="2" t="str">
        <f>IFERROR(__xludf.DUMMYFUNCTION("GOOGLETRANSLATE(A4532, ""en"", ""mt"")"),"Il-President Mahmoud Ahmadinejad")</f>
        <v>Il-President Mahmoud Ahmadinejad</v>
      </c>
    </row>
    <row r="4533" ht="15.75" customHeight="1">
      <c r="A4533" s="2" t="s">
        <v>4533</v>
      </c>
      <c r="B4533" s="2" t="str">
        <f>IFERROR(__xludf.DUMMYFUNCTION("GOOGLETRANSLATE(A4533, ""en"", ""mt"")"),"Steven Barkan jikteb li jekk l-imputati jinvokaw mhux ħatja, ""iridu jiddeċiedu jekk l-għan ewlieni tagħhom hux li jirbħu l-ħelsien u jevitaw ħabs jew multa, jew li jużaw il-proċeduri bħala forum biex jinfurmaw lill-ġurija u lill-pubbliku taċ-ċirkostanzi "&amp;"politiċi Madwar il-każ u r-raġunijiet tagħhom biex tinkiser il-liġi permezz ta 'diżubbidjenza ċivili. "" Difiża teknika tista 'ttejjeb iċ-ċansijiet ta' ħelsien iżda tagħmel aktar proċeduri ta 'dwejjaq u kopertura tal-istampa mnaqqsa. Matul l-era tal-Gwerr"&amp;"a tal-Vjetnam, it-Tmienja ta ’Chicago użaw difiża politika, filwaqt li Benjamin Spock uża difiża teknika. F'pajjiżi bħall-Istati Uniti li l-liġijiet tagħhom jiggarantixxu d-dritt għal proċess ta 'ġurija iżda ma jiskużawx il-liġi għal skopijiet politiċi, x"&amp;"i diżubbidjenti ċivili jfittxu n-nullifikazzjoni tal-ġurija. Matul is-snin, dan sar iktar diffiċli minn deċiżjonijiet tal-qorti bħal Sparf v. L-Istati Uniti, li ddeċidiet li l-imħallef m'għandux għalfejn jinforma lill-ġurati dwar il-prerogattiva tan-nulli"&amp;"fikazzjoni tagħhom, u l-Istati Uniti v. Dougherty, li ddeċidiet li l-imħallef m'għandux għalfejn jippermetti imputati biex ifittxu bil-miftuħ in-nullifikazzjoni tal-ġurija.")</f>
        <v>Steven Barkan jikteb li jekk l-imputati jinvokaw mhux ħatja, "iridu jiddeċiedu jekk l-għan ewlieni tagħhom hux li jirbħu l-ħelsien u jevitaw ħabs jew multa, jew li jużaw il-proċeduri bħala forum biex jinfurmaw lill-ġurija u lill-pubbliku taċ-ċirkostanzi politiċi Madwar il-każ u r-raġunijiet tagħhom biex tinkiser il-liġi permezz ta 'diżubbidjenza ċivili. " Difiża teknika tista 'ttejjeb iċ-ċansijiet ta' ħelsien iżda tagħmel aktar proċeduri ta 'dwejjaq u kopertura tal-istampa mnaqqsa. Matul l-era tal-Gwerra tal-Vjetnam, it-Tmienja ta ’Chicago użaw difiża politika, filwaqt li Benjamin Spock uża difiża teknika. F'pajjiżi bħall-Istati Uniti li l-liġijiet tagħhom jiggarantixxu d-dritt għal proċess ta 'ġurija iżda ma jiskużawx il-liġi għal skopijiet politiċi, xi diżubbidjenti ċivili jfittxu n-nullifikazzjoni tal-ġurija. Matul is-snin, dan sar iktar diffiċli minn deċiżjonijiet tal-qorti bħal Sparf v. L-Istati Uniti, li ddeċidiet li l-imħallef m'għandux għalfejn jinforma lill-ġurati dwar il-prerogattiva tan-nullifikazzjoni tagħhom, u l-Istati Uniti v. Dougherty, li ddeċidiet li l-imħallef m'għandux għalfejn jippermetti imputati biex ifittxu bil-miftuħ in-nullifikazzjoni tal-ġurija.</v>
      </c>
    </row>
    <row r="4534" ht="15.75" customHeight="1">
      <c r="A4534" s="2" t="s">
        <v>4534</v>
      </c>
      <c r="B4534" s="2" t="str">
        <f>IFERROR(__xludf.DUMMYFUNCTION("GOOGLETRANSLATE(A4534, ""en"", ""mt"")"),"Għaliex il-korruzzjoni ma kinitx fil-fehma pubblika?")</f>
        <v>Għaliex il-korruzzjoni ma kinitx fil-fehma pubblika?</v>
      </c>
    </row>
    <row r="4535" ht="15.75" customHeight="1">
      <c r="A4535" s="2" t="s">
        <v>4535</v>
      </c>
      <c r="B4535" s="2" t="str">
        <f>IFERROR(__xludf.DUMMYFUNCTION("GOOGLETRANSLATE(A4535, ""en"", ""mt"")"),"""Jacksonvillians""")</f>
        <v>"Jacksonvillians"</v>
      </c>
    </row>
    <row r="4536" ht="15.75" customHeight="1">
      <c r="A4536" s="2" t="s">
        <v>4536</v>
      </c>
      <c r="B4536" s="2" t="str">
        <f>IFERROR(__xludf.DUMMYFUNCTION("GOOGLETRANSLATE(A4536, ""en"", ""mt"")"),"il-kunċett ta 'swiċċjar ta' blokka ta 'messaġġi adattivi distribwiti")</f>
        <v>il-kunċett ta 'swiċċjar ta' blokka ta 'messaġġi adattivi distribwiti</v>
      </c>
    </row>
    <row r="4537" ht="15.75" customHeight="1">
      <c r="A4537" s="2" t="s">
        <v>4537</v>
      </c>
      <c r="B4537" s="2" t="str">
        <f>IFERROR(__xludf.DUMMYFUNCTION("GOOGLETRANSLATE(A4537, ""en"", ""mt"")"),"Min kiteb ""il-prosperità moħbija tal-foqra""?")</f>
        <v>Min kiteb "il-prosperità moħbija tal-foqra"?</v>
      </c>
    </row>
    <row r="4538" ht="15.75" customHeight="1">
      <c r="A4538" s="2" t="s">
        <v>4538</v>
      </c>
      <c r="B4538" s="2" t="str">
        <f>IFERROR(__xludf.DUMMYFUNCTION("GOOGLETRANSLATE(A4538, ""en"", ""mt"")"),"Il-BSKYB jista 'jivverifika l-preżenza ta' kanali fuq l-EPG tagħhom?")</f>
        <v>Il-BSKYB jista 'jivverifika l-preżenza ta' kanali fuq l-EPG tagħhom?</v>
      </c>
    </row>
    <row r="4539" ht="15.75" customHeight="1">
      <c r="A4539" s="2" t="s">
        <v>4539</v>
      </c>
      <c r="B4539" s="2" t="str">
        <f>IFERROR(__xludf.DUMMYFUNCTION("GOOGLETRANSLATE(A4539, ""en"", ""mt"")"),"Peress li din kienet il-50 waħda, x'kien il-kulur tat-tema għas-Super Bowl?")</f>
        <v>Peress li din kienet il-50 waħda, x'kien il-kulur tat-tema għas-Super Bowl?</v>
      </c>
    </row>
    <row r="4540" ht="15.75" customHeight="1">
      <c r="A4540" s="2" t="s">
        <v>4540</v>
      </c>
      <c r="B4540" s="2" t="str">
        <f>IFERROR(__xludf.DUMMYFUNCTION("GOOGLETRANSLATE(A4540, ""en"", ""mt"")"),"drummes")</f>
        <v>drummes</v>
      </c>
    </row>
    <row r="4541" ht="15.75" customHeight="1">
      <c r="A4541" s="2" t="s">
        <v>4541</v>
      </c>
      <c r="B4541" s="2" t="str">
        <f>IFERROR(__xludf.DUMMYFUNCTION("GOOGLETRANSLATE(A4541, ""en"", ""mt"")"),"Min ħaseb li s-sistema tal-klassi soċjali tal-wan m'għandhiex tissejjaħ klassijiet soċjali?")</f>
        <v>Min ħaseb li s-sistema tal-klassi soċjali tal-wan m'għandhiex tissejjaħ klassijiet soċjali?</v>
      </c>
    </row>
    <row r="4542" ht="15.75" customHeight="1">
      <c r="A4542" s="2" t="s">
        <v>4542</v>
      </c>
      <c r="B4542" s="2" t="str">
        <f>IFERROR(__xludf.DUMMYFUNCTION("GOOGLETRANSLATE(A4542, ""en"", ""mt"")"),"New York City O &amp; O WABC-TV u Philadelphia O &amp; O WPVI-TV")</f>
        <v>New York City O &amp; O WABC-TV u Philadelphia O &amp; O WPVI-TV</v>
      </c>
    </row>
    <row r="4543" ht="15.75" customHeight="1">
      <c r="A4543" s="2" t="s">
        <v>4543</v>
      </c>
      <c r="B4543" s="2" t="str">
        <f>IFERROR(__xludf.DUMMYFUNCTION("GOOGLETRANSLATE(A4543, ""en"", ""mt"")"),"X'kien in-numru ta 'klijenti li rrappurtat il-BBC kien għad irid jirċievi s-servizz minħabba kunsinni falluti?")</f>
        <v>X'kien in-numru ta 'klijenti li rrappurtat il-BBC kien għad irid jirċievi s-servizz minħabba kunsinni falluti?</v>
      </c>
    </row>
    <row r="4544" ht="15.75" customHeight="1">
      <c r="A4544" s="2" t="s">
        <v>4544</v>
      </c>
      <c r="B4544" s="2" t="str">
        <f>IFERROR(__xludf.DUMMYFUNCTION("GOOGLETRANSLATE(A4544, ""en"", ""mt"")"),"Il-vettura u kollox ġewwa fiha hemm mistrieħ:")</f>
        <v>Il-vettura u kollox ġewwa fiha hemm mistrieħ:</v>
      </c>
    </row>
    <row r="4545" ht="15.75" customHeight="1">
      <c r="A4545" s="2" t="s">
        <v>4545</v>
      </c>
      <c r="B4545" s="2" t="str">
        <f>IFERROR(__xludf.DUMMYFUNCTION("GOOGLETRANSLATE(A4545, ""en"", ""mt"")"),"X'kienet ir-riżoluzzjoni tal-kameras użati fis-sistema EyeVision 360?")</f>
        <v>X'kienet ir-riżoluzzjoni tal-kameras użati fis-sistema EyeVision 360?</v>
      </c>
    </row>
    <row r="4546" ht="15.75" customHeight="1">
      <c r="A4546" s="2" t="s">
        <v>4546</v>
      </c>
      <c r="B4546" s="2" t="str">
        <f>IFERROR(__xludf.DUMMYFUNCTION("GOOGLETRANSLATE(A4546, ""en"", ""mt"")"),"Bryan Davies")</f>
        <v>Bryan Davies</v>
      </c>
    </row>
    <row r="4547" ht="15.75" customHeight="1">
      <c r="A4547" s="2" t="s">
        <v>4547</v>
      </c>
      <c r="B4547" s="2" t="str">
        <f>IFERROR(__xludf.DUMMYFUNCTION("GOOGLETRANSLATE(A4547, ""en"", ""mt"")"),"Missy")</f>
        <v>Missy</v>
      </c>
    </row>
    <row r="4548" ht="15.75" customHeight="1">
      <c r="A4548" s="2" t="s">
        <v>4548</v>
      </c>
      <c r="B4548" s="2" t="str">
        <f>IFERROR(__xludf.DUMMYFUNCTION("GOOGLETRANSLATE(A4548, ""en"", ""mt"")"),"HIV")</f>
        <v>HIV</v>
      </c>
    </row>
    <row r="4549" ht="15.75" customHeight="1">
      <c r="A4549" s="2" t="s">
        <v>4549</v>
      </c>
      <c r="B4549" s="2" t="str">
        <f>IFERROR(__xludf.DUMMYFUNCTION("GOOGLETRANSLATE(A4549, ""en"", ""mt"")"),"$ 100,000")</f>
        <v>$ 100,000</v>
      </c>
    </row>
    <row r="4550" ht="15.75" customHeight="1">
      <c r="A4550" s="2" t="s">
        <v>4550</v>
      </c>
      <c r="B4550" s="2" t="str">
        <f>IFERROR(__xludf.DUMMYFUNCTION("GOOGLETRANSLATE(A4550, ""en"", ""mt"")"),"L-idea kienet li tinħoloq netwerk ta 'kanali kollha kemm huma u parzjalment, u affiljati biex jerġgħu jerġgħu jikkalmaw il-programmi tan-netwerk. Fl-1959, din l-attività mill-ġdid tlestiet bis-sindikazzjoni tal-programm, bil-films ABC ibigħu programmi lil"&amp;" netwerks mhux proprjetà ta 'ABC. Il-wasla tat-televiżjoni bis-satellita temmet il-ħtieġa li l-ABC iżomm interessi f'pajjiżi oħra; Bosta gvernijiet riedu wkoll iżidu l-indipendenza tagħhom u jsaħħu l-leġiżlazzjoni biex jillimitaw is-sjieda barranija tal-p"&amp;"roprjetajiet tax-xandir. Bħala riżultat, ABC ġie mġiegħel ibiegħ l-interessi kollha tiegħu f'netwerks internazzjonali, l-aktar fil-Ġappun u l-Amerika Latina, fis-snin sebgħin.")</f>
        <v>L-idea kienet li tinħoloq netwerk ta 'kanali kollha kemm huma u parzjalment, u affiljati biex jerġgħu jerġgħu jikkalmaw il-programmi tan-netwerk. Fl-1959, din l-attività mill-ġdid tlestiet bis-sindikazzjoni tal-programm, bil-films ABC ibigħu programmi lil netwerks mhux proprjetà ta 'ABC. Il-wasla tat-televiżjoni bis-satellita temmet il-ħtieġa li l-ABC iżomm interessi f'pajjiżi oħra; Bosta gvernijiet riedu wkoll iżidu l-indipendenza tagħhom u jsaħħu l-leġiżlazzjoni biex jillimitaw is-sjieda barranija tal-proprjetajiet tax-xandir. Bħala riżultat, ABC ġie mġiegħel ibiegħ l-interessi kollha tiegħu f'netwerks internazzjonali, l-aktar fil-Ġappun u l-Amerika Latina, fis-snin sebgħin.</v>
      </c>
    </row>
    <row r="4551" ht="15.75" customHeight="1">
      <c r="A4551" s="2" t="s">
        <v>4551</v>
      </c>
      <c r="B4551" s="2" t="str">
        <f>IFERROR(__xludf.DUMMYFUNCTION("GOOGLETRANSLATE(A4551, ""en"", ""mt"")"),"HARTHACNUT")</f>
        <v>HARTHACNUT</v>
      </c>
    </row>
    <row r="4552" ht="15.75" customHeight="1">
      <c r="A4552" s="2" t="s">
        <v>4552</v>
      </c>
      <c r="B4552" s="2" t="str">
        <f>IFERROR(__xludf.DUMMYFUNCTION("GOOGLETRANSLATE(A4552, ""en"", ""mt"")"),"Ingilterra")</f>
        <v>Ingilterra</v>
      </c>
    </row>
    <row r="4553" ht="15.75" customHeight="1">
      <c r="A4553" s="2" t="s">
        <v>4553</v>
      </c>
      <c r="B4553" s="2" t="str">
        <f>IFERROR(__xludf.DUMMYFUNCTION("GOOGLETRANSLATE(A4553, ""en"", ""mt"")"),"Avjazzjoni tal-Amerika ta ’Fuq")</f>
        <v>Avjazzjoni tal-Amerika ta ’Fuq</v>
      </c>
    </row>
    <row r="4554" ht="15.75" customHeight="1">
      <c r="A4554" s="2" t="s">
        <v>4554</v>
      </c>
      <c r="B4554" s="2" t="str">
        <f>IFERROR(__xludf.DUMMYFUNCTION("GOOGLETRANSLATE(A4554, ""en"", ""mt"")"),"It-Trattat tal-1997 ta ’Amsterdam")</f>
        <v>It-Trattat tal-1997 ta ’Amsterdam</v>
      </c>
    </row>
    <row r="4555" ht="15.75" customHeight="1">
      <c r="A4555" s="2" t="s">
        <v>4555</v>
      </c>
      <c r="B4555" s="2" t="str">
        <f>IFERROR(__xludf.DUMMYFUNCTION("GOOGLETRANSLATE(A4555, ""en"", ""mt"")"),"Is-San Jose Marriott")</f>
        <v>Is-San Jose Marriott</v>
      </c>
    </row>
    <row r="4556" ht="15.75" customHeight="1">
      <c r="A4556" s="2" t="s">
        <v>4556</v>
      </c>
      <c r="B4556" s="2" t="str">
        <f>IFERROR(__xludf.DUMMYFUNCTION("GOOGLETRANSLATE(A4556, ""en"", ""mt"")"),"NFIL3")</f>
        <v>NFIL3</v>
      </c>
    </row>
    <row r="4557" ht="15.75" customHeight="1">
      <c r="A4557" s="2" t="s">
        <v>4557</v>
      </c>
      <c r="B4557" s="2" t="str">
        <f>IFERROR(__xludf.DUMMYFUNCTION("GOOGLETRANSLATE(A4557, ""en"", ""mt"")"),"X'inhuma magħrufa ċ-ċelloli bojod tad-demm?")</f>
        <v>X'inhuma magħrufa ċ-ċelloli bojod tad-demm?</v>
      </c>
    </row>
    <row r="4558" ht="15.75" customHeight="1">
      <c r="A4558" s="2" t="s">
        <v>4558</v>
      </c>
      <c r="B4558" s="2" t="str">
        <f>IFERROR(__xludf.DUMMYFUNCTION("GOOGLETRANSLATE(A4558, ""en"", ""mt"")"),"Kemm għandu ċilindri l-magna energiprojekt ab?")</f>
        <v>Kemm għandu ċilindri l-magna energiprojekt ab?</v>
      </c>
    </row>
    <row r="4559" ht="15.75" customHeight="1">
      <c r="A4559" s="2" t="s">
        <v>4559</v>
      </c>
      <c r="B4559" s="2" t="str">
        <f>IFERROR(__xludf.DUMMYFUNCTION("GOOGLETRANSLATE(A4559, ""en"", ""mt"")"),"intilef")</f>
        <v>intilef</v>
      </c>
    </row>
    <row r="4560" ht="15.75" customHeight="1">
      <c r="A4560" s="2" t="s">
        <v>4560</v>
      </c>
      <c r="B4560" s="2" t="str">
        <f>IFERROR(__xludf.DUMMYFUNCTION("GOOGLETRANSLATE(A4560, ""en"", ""mt"")"),"Il-Protokoll ta 'Montreal")</f>
        <v>Il-Protokoll ta 'Montreal</v>
      </c>
    </row>
    <row r="4561" ht="15.75" customHeight="1">
      <c r="A4561" s="2" t="s">
        <v>4561</v>
      </c>
      <c r="B4561" s="2" t="str">
        <f>IFERROR(__xludf.DUMMYFUNCTION("GOOGLETRANSLATE(A4561, ""en"", ""mt"")"),"Kemm kmamar għandhom il-Mużew Storiku ta 'Varsavja?")</f>
        <v>Kemm kmamar għandhom il-Mużew Storiku ta 'Varsavja?</v>
      </c>
    </row>
    <row r="4562" ht="15.75" customHeight="1">
      <c r="A4562" s="2" t="s">
        <v>4562</v>
      </c>
      <c r="B4562" s="2" t="str">
        <f>IFERROR(__xludf.DUMMYFUNCTION("GOOGLETRANSLATE(A4562, ""en"", ""mt"")"),"Meta ġiet iffurmata Tesla Electric Company?")</f>
        <v>Meta ġiet iffurmata Tesla Electric Company?</v>
      </c>
    </row>
    <row r="4563" ht="15.75" customHeight="1">
      <c r="A4563" s="2" t="s">
        <v>4563</v>
      </c>
      <c r="B4563" s="2" t="str">
        <f>IFERROR(__xludf.DUMMYFUNCTION("GOOGLETRANSLATE(A4563, ""en"", ""mt"")"),"Min ħareġ bil-kunċett li l-oġġetti li jaqgħu waqgħu bl-istess veloċità irrispettivament mill-piż?")</f>
        <v>Min ħareġ bil-kunċett li l-oġġetti li jaqgħu waqgħu bl-istess veloċità irrispettivament mill-piż?</v>
      </c>
    </row>
    <row r="4564" ht="15.75" customHeight="1">
      <c r="A4564" s="2" t="s">
        <v>4564</v>
      </c>
      <c r="B4564" s="2" t="str">
        <f>IFERROR(__xludf.DUMMYFUNCTION("GOOGLETRANSLATE(A4564, ""en"", ""mt"")"),"Prodott ta 'primes li huwa uniku biex tordna")</f>
        <v>Prodott ta 'primes li huwa uniku biex tordna</v>
      </c>
    </row>
    <row r="4565" ht="15.75" customHeight="1">
      <c r="A4565" s="2" t="s">
        <v>4565</v>
      </c>
      <c r="B4565" s="2" t="str">
        <f>IFERROR(__xludf.DUMMYFUNCTION("GOOGLETRANSLATE(A4565, ""en"", ""mt"")"),"fil-lag")</f>
        <v>fil-lag</v>
      </c>
    </row>
    <row r="4566" ht="15.75" customHeight="1">
      <c r="A4566" s="2" t="s">
        <v>4566</v>
      </c>
      <c r="B4566" s="2" t="str">
        <f>IFERROR(__xludf.DUMMYFUNCTION("GOOGLETRANSLATE(A4566, ""en"", ""mt"")"),"Liema perċentwali ta 'assi globali għandu l-aktar sinjur 1% tan-nies?")</f>
        <v>Liema perċentwali ta 'assi globali għandu l-aktar sinjur 1% tan-nies?</v>
      </c>
    </row>
    <row r="4567" ht="15.75" customHeight="1">
      <c r="A4567" s="2" t="s">
        <v>4567</v>
      </c>
      <c r="B4567" s="2" t="str">
        <f>IFERROR(__xludf.DUMMYFUNCTION("GOOGLETRANSLATE(A4567, ""en"", ""mt"")"),"Fejn jqattgħu Jebe u Subutai wara x-xitwa wara l-qasma tal-armata Mongoljana?")</f>
        <v>Fejn jqattgħu Jebe u Subutai wara x-xitwa wara l-qasma tal-armata Mongoljana?</v>
      </c>
    </row>
    <row r="4568" ht="15.75" customHeight="1">
      <c r="A4568" s="2" t="s">
        <v>4568</v>
      </c>
      <c r="B4568" s="2" t="str">
        <f>IFERROR(__xludf.DUMMYFUNCTION("GOOGLETRANSLATE(A4568, ""en"", ""mt"")"),"diffiċli biex timla")</f>
        <v>diffiċli biex timla</v>
      </c>
    </row>
    <row r="4569" ht="15.75" customHeight="1">
      <c r="A4569" s="2" t="s">
        <v>4569</v>
      </c>
      <c r="B4569" s="2" t="str">
        <f>IFERROR(__xludf.DUMMYFUNCTION("GOOGLETRANSLATE(A4569, ""en"", ""mt"")"),"In-nuqqas tagħha li tikkonsulta u ""intransigenza notorja""")</f>
        <v>In-nuqqas tagħha li tikkonsulta u "intransigenza notorja"</v>
      </c>
    </row>
    <row r="4570" ht="15.75" customHeight="1">
      <c r="A4570" s="2" t="s">
        <v>4570</v>
      </c>
      <c r="B4570" s="2" t="str">
        <f>IFERROR(__xludf.DUMMYFUNCTION("GOOGLETRANSLATE(A4570, ""en"", ""mt"")"),"Saff ta 'ożonu ta' altitudni għolja")</f>
        <v>Saff ta 'ożonu ta' altitudni għolja</v>
      </c>
    </row>
    <row r="4571" ht="15.75" customHeight="1">
      <c r="A4571" s="2" t="s">
        <v>4571</v>
      </c>
      <c r="B4571" s="2" t="str">
        <f>IFERROR(__xludf.DUMMYFUNCTION("GOOGLETRANSLATE(A4571, ""en"", ""mt"")"),"ħadid banded")</f>
        <v>ħadid banded</v>
      </c>
    </row>
    <row r="4572" ht="15.75" customHeight="1">
      <c r="A4572" s="2" t="s">
        <v>4572</v>
      </c>
      <c r="B4572" s="2" t="str">
        <f>IFERROR(__xludf.DUMMYFUNCTION("GOOGLETRANSLATE(A4572, ""en"", ""mt"")"),"ħames siġġijiet jew aktar")</f>
        <v>ħames siġġijiet jew aktar</v>
      </c>
    </row>
    <row r="4573" ht="15.75" customHeight="1">
      <c r="A4573" s="2" t="s">
        <v>4573</v>
      </c>
      <c r="B4573" s="2" t="str">
        <f>IFERROR(__xludf.DUMMYFUNCTION("GOOGLETRANSLATE(A4573, ""en"", ""mt"")"),"Forom normali ta 'dixxiplina tal-ġenituri")</f>
        <v>Forom normali ta 'dixxiplina tal-ġenituri</v>
      </c>
    </row>
    <row r="4574" ht="15.75" customHeight="1">
      <c r="A4574" s="2" t="s">
        <v>4574</v>
      </c>
      <c r="B4574" s="2" t="str">
        <f>IFERROR(__xludf.DUMMYFUNCTION("GOOGLETRANSLATE(A4574, ""en"", ""mt"")")," X'jista 'kkawża li l-foresti tropikali jikbru madwar l-Amerika t'Isfel?")</f>
        <v> X'jista 'kkawża li l-foresti tropikali jikbru madwar l-Amerika t'Isfel?</v>
      </c>
    </row>
    <row r="4575" ht="15.75" customHeight="1">
      <c r="A4575" s="2" t="s">
        <v>4575</v>
      </c>
      <c r="B4575" s="2" t="str">
        <f>IFERROR(__xludf.DUMMYFUNCTION("GOOGLETRANSLATE(A4575, ""en"", ""mt"")"),"22-tarzna")</f>
        <v>22-tarzna</v>
      </c>
    </row>
    <row r="4576" ht="15.75" customHeight="1">
      <c r="A4576" s="2" t="s">
        <v>4576</v>
      </c>
      <c r="B4576" s="2" t="str">
        <f>IFERROR(__xludf.DUMMYFUNCTION("GOOGLETRANSLATE(A4576, ""en"", ""mt"")"),"Tanaghrisson")</f>
        <v>Tanaghrisson</v>
      </c>
    </row>
    <row r="4577" ht="15.75" customHeight="1">
      <c r="A4577" s="2" t="s">
        <v>4577</v>
      </c>
      <c r="B4577" s="2" t="str">
        <f>IFERROR(__xludf.DUMMYFUNCTION("GOOGLETRANSLATE(A4577, ""en"", ""mt"")"),"F'liema parti tas-seklu 19 ġew introdotti turbini tal-fwar?")</f>
        <v>F'liema parti tas-seklu 19 ġew introdotti turbini tal-fwar?</v>
      </c>
    </row>
    <row r="4578" ht="15.75" customHeight="1">
      <c r="A4578" s="2" t="s">
        <v>4578</v>
      </c>
      <c r="B4578" s="2" t="str">
        <f>IFERROR(__xludf.DUMMYFUNCTION("GOOGLETRANSLATE(A4578, ""en"", ""mt"")"),"Artikolu 101 (1)")</f>
        <v>Artikolu 101 (1)</v>
      </c>
    </row>
    <row r="4579" ht="15.75" customHeight="1">
      <c r="A4579" s="2" t="s">
        <v>4579</v>
      </c>
      <c r="B4579" s="2" t="str">
        <f>IFERROR(__xludf.DUMMYFUNCTION("GOOGLETRANSLATE(A4579, ""en"", ""mt"")"),"Walter Reed")</f>
        <v>Walter Reed</v>
      </c>
    </row>
    <row r="4580" ht="15.75" customHeight="1">
      <c r="A4580" s="2" t="s">
        <v>4580</v>
      </c>
      <c r="B4580" s="2" t="str">
        <f>IFERROR(__xludf.DUMMYFUNCTION("GOOGLETRANSLATE(A4580, ""en"", ""mt"")"),"Ir-residenti tal-belt ħarbu lejn it-tramuntana")</f>
        <v>Ir-residenti tal-belt ħarbu lejn it-tramuntana</v>
      </c>
    </row>
    <row r="4581" ht="15.75" customHeight="1">
      <c r="A4581" s="2" t="s">
        <v>4581</v>
      </c>
      <c r="B4581" s="2" t="str">
        <f>IFERROR(__xludf.DUMMYFUNCTION("GOOGLETRANSLATE(A4581, ""en"", ""mt"")"),"Ħsara lill-Ġilda")</f>
        <v>Ħsara lill-Ġilda</v>
      </c>
    </row>
    <row r="4582" ht="15.75" customHeight="1">
      <c r="A4582" s="2" t="s">
        <v>4582</v>
      </c>
      <c r="B4582" s="2" t="str">
        <f>IFERROR(__xludf.DUMMYFUNCTION("GOOGLETRANSLATE(A4582, ""en"", ""mt"")"),"Min ipplottja r-relazzjonijiet bejn livelli ta 'dħul u inugwaljanza?")</f>
        <v>Min ipplottja r-relazzjonijiet bejn livelli ta 'dħul u inugwaljanza?</v>
      </c>
    </row>
    <row r="4583" ht="15.75" customHeight="1">
      <c r="A4583" s="2" t="s">
        <v>4583</v>
      </c>
      <c r="B4583" s="2" t="str">
        <f>IFERROR(__xludf.DUMMYFUNCTION("GOOGLETRANSLATE(A4583, ""en"", ""mt"")"),"Meta Luther daħal fis-Senat tal-Fakultà tat-Teoloġija tal-Università ta 'Wittenberg?")</f>
        <v>Meta Luther daħal fis-Senat tal-Fakultà tat-Teoloġija tal-Università ta 'Wittenberg?</v>
      </c>
    </row>
    <row r="4584" ht="15.75" customHeight="1">
      <c r="A4584" s="2" t="s">
        <v>4584</v>
      </c>
      <c r="B4584" s="2" t="str">
        <f>IFERROR(__xludf.DUMMYFUNCTION("GOOGLETRANSLATE(A4584, ""en"", ""mt"")"),"Old Rhine Bridge f'Konstance")</f>
        <v>Old Rhine Bridge f'Konstance</v>
      </c>
    </row>
    <row r="4585" ht="15.75" customHeight="1">
      <c r="A4585" s="2" t="s">
        <v>4585</v>
      </c>
      <c r="B4585" s="2" t="str">
        <f>IFERROR(__xludf.DUMMYFUNCTION("GOOGLETRANSLATE(A4585, ""en"", ""mt"")"),"Slipback")</f>
        <v>Slipback</v>
      </c>
    </row>
    <row r="4586" ht="15.75" customHeight="1">
      <c r="A4586" s="2" t="s">
        <v>4586</v>
      </c>
      <c r="B4586" s="2" t="str">
        <f>IFERROR(__xludf.DUMMYFUNCTION("GOOGLETRANSLATE(A4586, ""en"", ""mt"")"),"biex tħeġġeġ l-investiment")</f>
        <v>biex tħeġġeġ l-investiment</v>
      </c>
    </row>
    <row r="4587" ht="15.75" customHeight="1">
      <c r="A4587" s="2" t="s">
        <v>4587</v>
      </c>
      <c r="B4587" s="2" t="str">
        <f>IFERROR(__xludf.DUMMYFUNCTION("GOOGLETRANSLATE(A4587, ""en"", ""mt"")"),"ħtieġa")</f>
        <v>ħtieġa</v>
      </c>
    </row>
    <row r="4588" ht="15.75" customHeight="1">
      <c r="A4588" s="2" t="s">
        <v>4588</v>
      </c>
      <c r="B4588" s="2" t="str">
        <f>IFERROR(__xludf.DUMMYFUNCTION("GOOGLETRANSLATE(A4588, ""en"", ""mt"")"),"fuq il-kwistjoni tal-lajċi li jkollok vuċi u tivvota fl-amministrazzjoni tal-knisja")</f>
        <v>fuq il-kwistjoni tal-lajċi li jkollok vuċi u tivvota fl-amministrazzjoni tal-knisja</v>
      </c>
    </row>
    <row r="4589" ht="15.75" customHeight="1">
      <c r="A4589" s="2" t="s">
        <v>4589</v>
      </c>
      <c r="B4589" s="2" t="str">
        <f>IFERROR(__xludf.DUMMYFUNCTION("GOOGLETRANSLATE(A4589, ""en"", ""mt"")"),"il-kunsill")</f>
        <v>il-kunsill</v>
      </c>
    </row>
    <row r="4590" ht="15.75" customHeight="1">
      <c r="A4590" s="2" t="s">
        <v>4590</v>
      </c>
      <c r="B4590" s="2" t="str">
        <f>IFERROR(__xludf.DUMMYFUNCTION("GOOGLETRANSLATE(A4590, ""en"", ""mt"")"),"X'inhuma l-peptidi antimikrobiċi li evolvew bħala difiża immuni fl-ewkarioti msejħa?")</f>
        <v>X'inhuma l-peptidi antimikrobiċi li evolvew bħala difiża immuni fl-ewkarioti msejħa?</v>
      </c>
    </row>
    <row r="4591" ht="15.75" customHeight="1">
      <c r="A4591" s="2" t="s">
        <v>4591</v>
      </c>
      <c r="B4591" s="2" t="str">
        <f>IFERROR(__xludf.DUMMYFUNCTION("GOOGLETRANSLATE(A4591, ""en"", ""mt"")"),"Id-dilemma ffaċċjata minn ċittadini Ġermaniżi meta l-pulizija sigrieta ta ’Hitler talbet biex tkun taf jekk kinux qed jaħbu Lhudi fid-dar tagħhom")</f>
        <v>Id-dilemma ffaċċjata minn ċittadini Ġermaniżi meta l-pulizija sigrieta ta ’Hitler talbet biex tkun taf jekk kinux qed jaħbu Lhudi fid-dar tagħhom</v>
      </c>
    </row>
    <row r="4592" ht="15.75" customHeight="1">
      <c r="A4592" s="2" t="s">
        <v>4592</v>
      </c>
      <c r="B4592" s="2" t="str">
        <f>IFERROR(__xludf.DUMMYFUNCTION("GOOGLETRANSLATE(A4592, ""en"", ""mt"")"),"Iż-żewġ partiti politiċi jaqsmu l-poter bl-istess mod")</f>
        <v>Iż-żewġ partiti politiċi jaqsmu l-poter bl-istess mod</v>
      </c>
    </row>
    <row r="4593" ht="15.75" customHeight="1">
      <c r="A4593" s="2" t="s">
        <v>4593</v>
      </c>
      <c r="B4593" s="2" t="str">
        <f>IFERROR(__xludf.DUMMYFUNCTION("GOOGLETRANSLATE(A4593, ""en"", ""mt"")"),"sat-tieni kwart tas-seklu 19")</f>
        <v>sat-tieni kwart tas-seklu 19</v>
      </c>
    </row>
    <row r="4594" ht="15.75" customHeight="1">
      <c r="A4594" s="2" t="s">
        <v>4594</v>
      </c>
      <c r="B4594" s="2" t="str">
        <f>IFERROR(__xludf.DUMMYFUNCTION("GOOGLETRANSLATE(A4594, ""en"", ""mt"")"),"iż-żona ġeografika li tkopri")</f>
        <v>iż-żona ġeografika li tkopri</v>
      </c>
    </row>
    <row r="4595" ht="15.75" customHeight="1">
      <c r="A4595" s="2" t="s">
        <v>4595</v>
      </c>
      <c r="B4595" s="2" t="str">
        <f>IFERROR(__xludf.DUMMYFUNCTION("GOOGLETRANSLATE(A4595, ""en"", ""mt"")"),"Qabel l-Ewwel Gwerra Dinjija,")</f>
        <v>Qabel l-Ewwel Gwerra Dinjija,</v>
      </c>
    </row>
    <row r="4596" ht="15.75" customHeight="1">
      <c r="A4596" s="2" t="s">
        <v>4596</v>
      </c>
      <c r="B4596" s="2" t="str">
        <f>IFERROR(__xludf.DUMMYFUNCTION("GOOGLETRANSLATE(A4596, ""en"", ""mt"")"),"jiffjorixxi fil-baħar l-aħmar")</f>
        <v>jiffjorixxi fil-baħar l-aħmar</v>
      </c>
    </row>
    <row r="4597" ht="15.75" customHeight="1">
      <c r="A4597" s="2" t="s">
        <v>4597</v>
      </c>
      <c r="B4597" s="2" t="str">
        <f>IFERROR(__xludf.DUMMYFUNCTION("GOOGLETRANSLATE(A4597, ""en"", ""mt"")"),"SAVERS TAL-ĦAJJA")</f>
        <v>SAVERS TAL-ĦAJJA</v>
      </c>
    </row>
    <row r="4598" ht="15.75" customHeight="1">
      <c r="A4598" s="2" t="s">
        <v>4598</v>
      </c>
      <c r="B4598" s="2" t="str">
        <f>IFERROR(__xludf.DUMMYFUNCTION("GOOGLETRANSLATE(A4598, ""en"", ""mt"")"),"Fall tal-1937")</f>
        <v>Fall tal-1937</v>
      </c>
    </row>
    <row r="4599" ht="15.75" customHeight="1">
      <c r="A4599" s="2" t="s">
        <v>4599</v>
      </c>
      <c r="B4599" s="2" t="str">
        <f>IFERROR(__xludf.DUMMYFUNCTION("GOOGLETRANSLATE(A4599, ""en"", ""mt"")"),"tmiem li jispira")</f>
        <v>tmiem li jispira</v>
      </c>
    </row>
    <row r="4600" ht="15.75" customHeight="1">
      <c r="A4600" s="2" t="s">
        <v>4600</v>
      </c>
      <c r="B4600" s="2" t="str">
        <f>IFERROR(__xludf.DUMMYFUNCTION("GOOGLETRANSLATE(A4600, ""en"", ""mt"")"),"Tqassim tat-Triq Medjevali.")</f>
        <v>Tqassim tat-Triq Medjevali.</v>
      </c>
    </row>
    <row r="4601" ht="15.75" customHeight="1">
      <c r="A4601" s="2" t="s">
        <v>4601</v>
      </c>
      <c r="B4601" s="2" t="str">
        <f>IFERROR(__xludf.DUMMYFUNCTION("GOOGLETRANSLATE(A4601, ""en"", ""mt"")"),"żdied b'mod sinifikanti")</f>
        <v>żdied b'mod sinifikanti</v>
      </c>
    </row>
    <row r="4602" ht="15.75" customHeight="1">
      <c r="A4602" s="2" t="s">
        <v>4602</v>
      </c>
      <c r="B4602" s="2" t="str">
        <f>IFERROR(__xludf.DUMMYFUNCTION("GOOGLETRANSLATE(A4602, ""en"", ""mt"")"),"Min hu l-uniku quarterback li jirbaħ Super Bowl b'żewġ timijiet?")</f>
        <v>Min hu l-uniku quarterback li jirbaħ Super Bowl b'żewġ timijiet?</v>
      </c>
    </row>
    <row r="4603" ht="15.75" customHeight="1">
      <c r="A4603" s="2" t="s">
        <v>4603</v>
      </c>
      <c r="B4603" s="2" t="str">
        <f>IFERROR(__xludf.DUMMYFUNCTION("GOOGLETRANSLATE(A4603, ""en"", ""mt"")"),"Semmi karozza ikbar li Toyota ħarġet hekk kif ix-xerrejja lmentaw il-kumpatti ta 'daqs żgħir?")</f>
        <v>Semmi karozza ikbar li Toyota ħarġet hekk kif ix-xerrejja lmentaw il-kumpatti ta 'daqs żgħir?</v>
      </c>
    </row>
    <row r="4604" ht="15.75" customHeight="1">
      <c r="A4604" s="2" t="s">
        <v>4604</v>
      </c>
      <c r="B4604" s="2" t="str">
        <f>IFERROR(__xludf.DUMMYFUNCTION("GOOGLETRANSLATE(A4604, ""en"", ""mt"")"),"Liema grupp speċifikament oppona l-Huguenots?")</f>
        <v>Liema grupp speċifikament oppona l-Huguenots?</v>
      </c>
    </row>
    <row r="4605" ht="15.75" customHeight="1">
      <c r="A4605" s="2" t="s">
        <v>4605</v>
      </c>
      <c r="B4605" s="2" t="str">
        <f>IFERROR(__xludf.DUMMYFUNCTION("GOOGLETRANSLATE(A4605, ""en"", ""mt"")"),"lute")</f>
        <v>lute</v>
      </c>
    </row>
    <row r="4606" ht="15.75" customHeight="1">
      <c r="A4606" s="2" t="s">
        <v>4606</v>
      </c>
      <c r="B4606" s="2" t="str">
        <f>IFERROR(__xludf.DUMMYFUNCTION("GOOGLETRANSLATE(A4606, ""en"", ""mt"")"),"Teatru tal-Lecture")</f>
        <v>Teatru tal-Lecture</v>
      </c>
    </row>
    <row r="4607" ht="15.75" customHeight="1">
      <c r="A4607" s="2" t="s">
        <v>4607</v>
      </c>
      <c r="B4607" s="2" t="str">
        <f>IFERROR(__xludf.DUMMYFUNCTION("GOOGLETRANSLATE(A4607, ""en"", ""mt"")"),"Hekk kif persuna tixjieħ, minn xiex tipproduċi l-ġilda inqas?")</f>
        <v>Hekk kif persuna tixjieħ, minn xiex tipproduċi l-ġilda inqas?</v>
      </c>
    </row>
    <row r="4608" ht="15.75" customHeight="1">
      <c r="A4608" s="2" t="s">
        <v>4608</v>
      </c>
      <c r="B4608" s="2" t="str">
        <f>IFERROR(__xludf.DUMMYFUNCTION("GOOGLETRANSLATE(A4608, ""en"", ""mt"")"),"X'inhu l-ogħla impatt fuq l-akkumulazzjoni tal-ġid u l-inugwaljanza tad-dħul li tirriżulta?")</f>
        <v>X'inhu l-ogħla impatt fuq l-akkumulazzjoni tal-ġid u l-inugwaljanza tad-dħul li tirriżulta?</v>
      </c>
    </row>
    <row r="4609" ht="15.75" customHeight="1">
      <c r="A4609" s="2" t="s">
        <v>4609</v>
      </c>
      <c r="B4609" s="2" t="str">
        <f>IFERROR(__xludf.DUMMYFUNCTION("GOOGLETRANSLATE(A4609, ""en"", ""mt"")"),"X'inhi raġuni waħda li pazjent jista 'jagħżel farmaċija fuq l-internet?")</f>
        <v>X'inhi raġuni waħda li pazjent jista 'jagħżel farmaċija fuq l-internet?</v>
      </c>
    </row>
    <row r="4610" ht="15.75" customHeight="1">
      <c r="A4610" s="2" t="s">
        <v>4610</v>
      </c>
      <c r="B4610" s="2" t="str">
        <f>IFERROR(__xludf.DUMMYFUNCTION("GOOGLETRANSLATE(A4610, ""en"", ""mt"")"),"it-test tal-primalità Fermat")</f>
        <v>it-test tal-primalità Fermat</v>
      </c>
    </row>
    <row r="4611" ht="15.75" customHeight="1">
      <c r="A4611" s="2" t="s">
        <v>4611</v>
      </c>
      <c r="B4611" s="2" t="str">
        <f>IFERROR(__xludf.DUMMYFUNCTION("GOOGLETRANSLATE(A4611, ""en"", ""mt"")"),"Liema kulur kien jidher fil-promozzjonijiet relatati mas-Super Bowl 50?")</f>
        <v>Liema kulur kien jidher fil-promozzjonijiet relatati mas-Super Bowl 50?</v>
      </c>
    </row>
    <row r="4612" ht="15.75" customHeight="1">
      <c r="A4612" s="2" t="s">
        <v>4612</v>
      </c>
      <c r="B4612" s="2" t="str">
        <f>IFERROR(__xludf.DUMMYFUNCTION("GOOGLETRANSLATE(A4612, ""en"", ""mt"")"),"X'inhu l-iktar port kummerċjali traffikuż tal-Istati Uniti?")</f>
        <v>X'inhu l-iktar port kummerċjali traffikuż tal-Istati Uniti?</v>
      </c>
    </row>
    <row r="4613" ht="15.75" customHeight="1">
      <c r="A4613" s="2" t="s">
        <v>4613</v>
      </c>
      <c r="B4613" s="2" t="str">
        <f>IFERROR(__xludf.DUMMYFUNCTION("GOOGLETRANSLATE(A4613, ""en"", ""mt"")"),"Ożonu")</f>
        <v>Ożonu</v>
      </c>
    </row>
    <row r="4614" ht="15.75" customHeight="1">
      <c r="A4614" s="2" t="s">
        <v>4614</v>
      </c>
      <c r="B4614" s="2" t="str">
        <f>IFERROR(__xludf.DUMMYFUNCTION("GOOGLETRANSLATE(A4614, ""en"", ""mt"")"),"Ċittadella Media")</f>
        <v>Ċittadella Media</v>
      </c>
    </row>
    <row r="4615" ht="15.75" customHeight="1">
      <c r="A4615" s="2" t="s">
        <v>4615</v>
      </c>
      <c r="B4615" s="2" t="str">
        <f>IFERROR(__xludf.DUMMYFUNCTION("GOOGLETRANSLATE(A4615, ""en"", ""mt"")"),"Liema karattru fid-dramm juri diżubbidjenza ċivili?")</f>
        <v>Liema karattru fid-dramm juri diżubbidjenza ċivili?</v>
      </c>
    </row>
    <row r="4616" ht="15.75" customHeight="1">
      <c r="A4616" s="2" t="s">
        <v>4616</v>
      </c>
      <c r="B4616" s="2" t="str">
        <f>IFERROR(__xludf.DUMMYFUNCTION("GOOGLETRANSLATE(A4616, ""en"", ""mt"")"),"Serje 1,")</f>
        <v>Serje 1,</v>
      </c>
    </row>
    <row r="4617" ht="15.75" customHeight="1">
      <c r="A4617" s="2" t="s">
        <v>4617</v>
      </c>
      <c r="B4617" s="2" t="str">
        <f>IFERROR(__xludf.DUMMYFUNCTION("GOOGLETRANSLATE(A4617, ""en"", ""mt"")"),"X'inhu miżmum barra s-sistema formali ta 'reġistrazzjoni ta' sjieda legali f'ħafna pajjiżi li qed jiżviluppaw?")</f>
        <v>X'inhu miżmum barra s-sistema formali ta 'reġistrazzjoni ta' sjieda legali f'ħafna pajjiżi li qed jiżviluppaw?</v>
      </c>
    </row>
    <row r="4618" ht="15.75" customHeight="1">
      <c r="A4618" s="2" t="s">
        <v>4618</v>
      </c>
      <c r="B4618" s="2" t="str">
        <f>IFERROR(__xludf.DUMMYFUNCTION("GOOGLETRANSLATE(A4618, ""en"", ""mt"")"),"Xi tfisser Chloroplastidan?")</f>
        <v>Xi tfisser Chloroplastidan?</v>
      </c>
    </row>
    <row r="4619" ht="15.75" customHeight="1">
      <c r="A4619" s="2" t="s">
        <v>4619</v>
      </c>
      <c r="B4619" s="2" t="str">
        <f>IFERROR(__xludf.DUMMYFUNCTION("GOOGLETRANSLATE(A4619, ""en"", ""mt"")"),"(""Lag ta 'Fuq""")</f>
        <v>("Lag ta 'Fuq"</v>
      </c>
    </row>
    <row r="4620" ht="15.75" customHeight="1">
      <c r="A4620" s="2" t="s">
        <v>4620</v>
      </c>
      <c r="B4620" s="2" t="str">
        <f>IFERROR(__xludf.DUMMYFUNCTION("GOOGLETRANSLATE(A4620, ""en"", ""mt"")"),"Kif jissejħu t-tliet manuskritti marbuta mal-parċmina tal-codex Forster?")</f>
        <v>Kif jissejħu t-tliet manuskritti marbuta mal-parċmina tal-codex Forster?</v>
      </c>
    </row>
    <row r="4621" ht="15.75" customHeight="1">
      <c r="A4621" s="2" t="s">
        <v>4621</v>
      </c>
      <c r="B4621" s="2" t="str">
        <f>IFERROR(__xludf.DUMMYFUNCTION("GOOGLETRANSLATE(A4621, ""en"", ""mt"")"),"L-attakk Amerikan fuq l-Iraq")</f>
        <v>L-attakk Amerikan fuq l-Iraq</v>
      </c>
    </row>
    <row r="4622" ht="15.75" customHeight="1">
      <c r="A4622" s="2" t="s">
        <v>4622</v>
      </c>
      <c r="B4622" s="2" t="str">
        <f>IFERROR(__xludf.DUMMYFUNCTION("GOOGLETRANSLATE(A4622, ""en"", ""mt"")"),"In-neputija tiegħu Susan Foreman")</f>
        <v>In-neputija tiegħu Susan Foreman</v>
      </c>
    </row>
    <row r="4623" ht="15.75" customHeight="1">
      <c r="A4623" s="2" t="s">
        <v>4623</v>
      </c>
      <c r="B4623" s="2" t="str">
        <f>IFERROR(__xludf.DUMMYFUNCTION("GOOGLETRANSLATE(A4623, ""en"", ""mt"")"),"Tlesti Q fir-rigward ta 'dak li se jipproduċi l-qasam tan-numri reali?")</f>
        <v>Tlesti Q fir-rigward ta 'dak li se jipproduċi l-qasam tan-numri reali?</v>
      </c>
    </row>
    <row r="4624" ht="15.75" customHeight="1">
      <c r="A4624" s="2" t="s">
        <v>4624</v>
      </c>
      <c r="B4624" s="2" t="str">
        <f>IFERROR(__xludf.DUMMYFUNCTION("GOOGLETRANSLATE(A4624, ""en"", ""mt"")"),"Liema varjazzjoni eponima ta 'aritmetika tippreżenta problema ta' deċiżjoni li ma ġietx evidenzjata f'P?")</f>
        <v>Liema varjazzjoni eponima ta 'aritmetika tippreżenta problema ta' deċiżjoni li ma ġietx evidenzjata f'P?</v>
      </c>
    </row>
    <row r="4625" ht="15.75" customHeight="1">
      <c r="A4625" s="2" t="s">
        <v>4625</v>
      </c>
      <c r="B4625" s="2" t="str">
        <f>IFERROR(__xludf.DUMMYFUNCTION("GOOGLETRANSLATE(A4625, ""en"", ""mt"")"),"Paċifiku")</f>
        <v>Paċifiku</v>
      </c>
    </row>
    <row r="4626" ht="15.75" customHeight="1">
      <c r="A4626" s="2" t="s">
        <v>4626</v>
      </c>
      <c r="B4626" s="2" t="str">
        <f>IFERROR(__xludf.DUMMYFUNCTION("GOOGLETRANSLATE(A4626, ""en"", ""mt"")"),"Mpeg-2")</f>
        <v>Mpeg-2</v>
      </c>
    </row>
    <row r="4627" ht="15.75" customHeight="1">
      <c r="A4627" s="2" t="s">
        <v>4627</v>
      </c>
      <c r="B4627" s="2" t="str">
        <f>IFERROR(__xludf.DUMMYFUNCTION("GOOGLETRANSLATE(A4627, ""en"", ""mt"")"),"X’wassal li d-dinamos jinħaraq?")</f>
        <v>X’wassal li d-dinamos jinħaraq?</v>
      </c>
    </row>
    <row r="4628" ht="15.75" customHeight="1">
      <c r="A4628" s="2" t="s">
        <v>4628</v>
      </c>
      <c r="B4628" s="2" t="str">
        <f>IFERROR(__xludf.DUMMYFUNCTION("GOOGLETRANSLATE(A4628, ""en"", ""mt"")"),"attività ekonomika")</f>
        <v>attività ekonomika</v>
      </c>
    </row>
    <row r="4629" ht="15.75" customHeight="1">
      <c r="A4629" s="2" t="s">
        <v>4629</v>
      </c>
      <c r="B4629" s="2" t="str">
        <f>IFERROR(__xludf.DUMMYFUNCTION("GOOGLETRANSLATE(A4629, ""en"", ""mt"")"),"Amerikana ta ’Fuq")</f>
        <v>Amerikana ta ’Fuq</v>
      </c>
    </row>
    <row r="4630" ht="15.75" customHeight="1">
      <c r="A4630" s="2" t="s">
        <v>4630</v>
      </c>
      <c r="B4630" s="2" t="str">
        <f>IFERROR(__xludf.DUMMYFUNCTION("GOOGLETRANSLATE(A4630, ""en"", ""mt"")"),"Elude Responses Immuni ospitanti")</f>
        <v>Elude Responses Immuni ospitanti</v>
      </c>
    </row>
    <row r="4631" ht="15.75" customHeight="1">
      <c r="A4631" s="2" t="s">
        <v>4631</v>
      </c>
      <c r="B4631" s="2" t="str">
        <f>IFERROR(__xludf.DUMMYFUNCTION("GOOGLETRANSLATE(A4631, ""en"", ""mt"")"),"216 + 1")</f>
        <v>216 + 1</v>
      </c>
    </row>
    <row r="4632" ht="15.75" customHeight="1">
      <c r="A4632" s="2" t="s">
        <v>4632</v>
      </c>
      <c r="B4632" s="2" t="str">
        <f>IFERROR(__xludf.DUMMYFUNCTION("GOOGLETRANSLATE(A4632, ""en"", ""mt"")"),"X'inhu l-iktar qasam li qed jikber malajr fl-industrija farmaċewtika?")</f>
        <v>X'inhu l-iktar qasam li qed jikber malajr fl-industrija farmaċewtika?</v>
      </c>
    </row>
    <row r="4633" ht="15.75" customHeight="1">
      <c r="A4633" s="2" t="s">
        <v>4633</v>
      </c>
      <c r="B4633" s="2" t="str">
        <f>IFERROR(__xludf.DUMMYFUNCTION("GOOGLETRANSLATE(A4633, ""en"", ""mt"")"),"X'inhuma ż-żewġ tweġibiet ta 'kliem sempliċi għal problema ta' deċiżjoni?")</f>
        <v>X'inhuma ż-żewġ tweġibiet ta 'kliem sempliċi għal problema ta' deċiżjoni?</v>
      </c>
    </row>
    <row r="4634" ht="15.75" customHeight="1">
      <c r="A4634" s="2" t="s">
        <v>4634</v>
      </c>
      <c r="B4634" s="2" t="str">
        <f>IFERROR(__xludf.DUMMYFUNCTION("GOOGLETRANSLATE(A4634, ""en"", ""mt"")"),"Liema pajjiż għandu problema bid-dixxiplina tal-klassi, minkejja li l-punteġġi fuq it-testijiet huma għoljin?")</f>
        <v>Liema pajjiż għandu problema bid-dixxiplina tal-klassi, minkejja li l-punteġġi fuq it-testijiet huma għoljin?</v>
      </c>
    </row>
    <row r="4635" ht="15.75" customHeight="1">
      <c r="A4635" s="2" t="s">
        <v>4635</v>
      </c>
      <c r="B4635" s="2" t="str">
        <f>IFERROR(__xludf.DUMMYFUNCTION("GOOGLETRANSLATE(A4635, ""en"", ""mt"")"),"vakwu")</f>
        <v>vakwu</v>
      </c>
    </row>
    <row r="4636" ht="15.75" customHeight="1">
      <c r="A4636" s="2" t="s">
        <v>4636</v>
      </c>
      <c r="B4636" s="2" t="str">
        <f>IFERROR(__xludf.DUMMYFUNCTION("GOOGLETRANSLATE(A4636, ""en"", ""mt"")"),"enżimi")</f>
        <v>enżimi</v>
      </c>
    </row>
    <row r="4637" ht="15.75" customHeight="1">
      <c r="A4637" s="2" t="s">
        <v>4637</v>
      </c>
      <c r="B4637" s="2" t="str">
        <f>IFERROR(__xludf.DUMMYFUNCTION("GOOGLETRANSLATE(A4637, ""en"", ""mt"")"),"Xi episodji ġew mibgħuta lura lill-BBC mill-arkivji ta 'pajjiżi oħra li xtraw stampi għax-xandir, jew minn individwi privati ​​li akkwistawhom b'diversi mezzi. Ir-reġistrazzjonijiet bil-kulur bikri tal-vidjow li saru barra mill-fannijiet ġew ukoll irkupra"&amp;"ti, kif ukoll siltiet iffilmjati mill-iskrin tat-televiżjoni fuq film ta '8 mm u klipps li ntwerew fuq programmi oħra. Verżjonijiet awdjo tal-episodji kollha mitlufa jeżistu mit-telespettaturi tad-dar li għamlu r-reġistrazzjonijiet tat-tejp tal-ispettaklu"&amp;". Klipps qosra minn kull storja bl-eċċezzjoni ta 'Marco Polo, ""Mission to the Mhux magħruf"" u l-massakru ta' Lejliet San Bartolomew jeżistu wkoll.")</f>
        <v>Xi episodji ġew mibgħuta lura lill-BBC mill-arkivji ta 'pajjiżi oħra li xtraw stampi għax-xandir, jew minn individwi privati ​​li akkwistawhom b'diversi mezzi. Ir-reġistrazzjonijiet bil-kulur bikri tal-vidjow li saru barra mill-fannijiet ġew ukoll irkuprati, kif ukoll siltiet iffilmjati mill-iskrin tat-televiżjoni fuq film ta '8 mm u klipps li ntwerew fuq programmi oħra. Verżjonijiet awdjo tal-episodji kollha mitlufa jeżistu mit-telespettaturi tad-dar li għamlu r-reġistrazzjonijiet tat-tejp tal-ispettaklu. Klipps qosra minn kull storja bl-eċċezzjoni ta 'Marco Polo, "Mission to the Mhux magħruf" u l-massakru ta' Lejliet San Bartolomew jeżistu wkoll.</v>
      </c>
    </row>
    <row r="4638" ht="15.75" customHeight="1">
      <c r="A4638" s="2" t="s">
        <v>4638</v>
      </c>
      <c r="B4638" s="2" t="str">
        <f>IFERROR(__xludf.DUMMYFUNCTION("GOOGLETRANSLATE(A4638, ""en"", ""mt"")"),"Kemm jista 'jkun hemm tkabbir ekonomiku potenzjali l-Istati Uniti jekk kulħadd jgħaddi minn aktar skola?")</f>
        <v>Kemm jista 'jkun hemm tkabbir ekonomiku potenzjali l-Istati Uniti jekk kulħadd jgħaddi minn aktar skola?</v>
      </c>
    </row>
    <row r="4639" ht="15.75" customHeight="1">
      <c r="A4639" s="2" t="s">
        <v>4639</v>
      </c>
      <c r="B4639" s="2" t="str">
        <f>IFERROR(__xludf.DUMMYFUNCTION("GOOGLETRANSLATE(A4639, ""en"", ""mt"")"),"livell tal-aqwa rata tat-taxxa")</f>
        <v>livell tal-aqwa rata tat-taxxa</v>
      </c>
    </row>
    <row r="4640" ht="15.75" customHeight="1">
      <c r="A4640" s="2" t="s">
        <v>4640</v>
      </c>
      <c r="B4640" s="2" t="str">
        <f>IFERROR(__xludf.DUMMYFUNCTION("GOOGLETRANSLATE(A4640, ""en"", ""mt"")"),"Kemm-il sena lagħab Thomas Davis fl-NFL?")</f>
        <v>Kemm-il sena lagħab Thomas Davis fl-NFL?</v>
      </c>
    </row>
    <row r="4641" ht="15.75" customHeight="1">
      <c r="A4641" s="2" t="s">
        <v>4641</v>
      </c>
      <c r="B4641" s="2" t="str">
        <f>IFERROR(__xludf.DUMMYFUNCTION("GOOGLETRANSLATE(A4641, ""en"", ""mt"")"),"Riċetturi ta 'rikonoxximent tal-mudelli")</f>
        <v>Riċetturi ta 'rikonoxximent tal-mudelli</v>
      </c>
    </row>
    <row r="4642" ht="15.75" customHeight="1">
      <c r="A4642" s="2" t="s">
        <v>4642</v>
      </c>
      <c r="B4642" s="2" t="str">
        <f>IFERROR(__xludf.DUMMYFUNCTION("GOOGLETRANSLATE(A4642, ""en"", ""mt"")"),"Disa 'Fatturi")</f>
        <v>Disa 'Fatturi</v>
      </c>
    </row>
    <row r="4643" ht="15.75" customHeight="1">
      <c r="A4643" s="2" t="s">
        <v>4643</v>
      </c>
      <c r="B4643" s="2" t="str">
        <f>IFERROR(__xludf.DUMMYFUNCTION("GOOGLETRANSLATE(A4643, ""en"", ""mt"")"),"X’jagħmel it-Tabib Min jagħmel meta ġismu jiġi bil-ħsara mortali?")</f>
        <v>X’jagħmel it-Tabib Min jagħmel meta ġismu jiġi bil-ħsara mortali?</v>
      </c>
    </row>
    <row r="4644" ht="15.75" customHeight="1">
      <c r="A4644" s="2" t="s">
        <v>4644</v>
      </c>
      <c r="B4644" s="2" t="str">
        <f>IFERROR(__xludf.DUMMYFUNCTION("GOOGLETRANSLATE(A4644, ""en"", ""mt"")"),"Knisja lokali u ċċertifikati huma żewġ tipi ta ’xiex?")</f>
        <v>Knisja lokali u ċċertifikati huma żewġ tipi ta ’xiex?</v>
      </c>
    </row>
    <row r="4645" ht="15.75" customHeight="1">
      <c r="A4645" s="2" t="s">
        <v>4645</v>
      </c>
      <c r="B4645" s="2" t="str">
        <f>IFERROR(__xludf.DUMMYFUNCTION("GOOGLETRANSLATE(A4645, ""en"", ""mt"")"),"Mard tal-faqar")</f>
        <v>Mard tal-faqar</v>
      </c>
    </row>
    <row r="4646" ht="15.75" customHeight="1">
      <c r="A4646" s="2" t="s">
        <v>4646</v>
      </c>
      <c r="B4646" s="2" t="str">
        <f>IFERROR(__xludf.DUMMYFUNCTION("GOOGLETRANSLATE(A4646, ""en"", ""mt"")"),"Għat-tielet staġun dritta, iż-żrieragħ numru wieħed miż-żewġ konferenzi ltaqgħu fis-Super Bowl. Il-Panthers ta ’Carolina saru wieħed mill-għaxar timijiet biss li temmew staġun regolari b’telf wieħed biss, u wieħed minn sitt timijiet biss li akkwista rekor"&amp;"d ta’ 15-1, filwaqt li d-Denver Broncos sar wieħed mill-erba ’timijiet li għamel tmien dehriet fi Is-Super Bowl. Il-Broncos għamlu t-tieni dehra tas-Super Bowl tagħhom fi tliet snin, wara li laħqu Super Bowl XLVIII, filwaqt li l-Panthers għamlu t-tieni de"&amp;"hra tas-Super Bowl tagħhom fl-istorja tal-franchise, id-dehra l-oħra tagħhom hija Super Bowl XXXVIII. Inzerta, iż-żewġ timijiet kienu kowċjati minn John Fox fl-aħħar dehra tagħhom ta 'Super Bowl qabel Super Bowl 50.")</f>
        <v>Għat-tielet staġun dritta, iż-żrieragħ numru wieħed miż-żewġ konferenzi ltaqgħu fis-Super Bowl. Il-Panthers ta ’Carolina saru wieħed mill-għaxar timijiet biss li temmew staġun regolari b’telf wieħed biss, u wieħed minn sitt timijiet biss li akkwista rekord ta’ 15-1, filwaqt li d-Denver Broncos sar wieħed mill-erba ’timijiet li għamel tmien dehriet fi Is-Super Bowl. Il-Broncos għamlu t-tieni dehra tas-Super Bowl tagħhom fi tliet snin, wara li laħqu Super Bowl XLVIII, filwaqt li l-Panthers għamlu t-tieni dehra tas-Super Bowl tagħhom fl-istorja tal-franchise, id-dehra l-oħra tagħhom hija Super Bowl XXXVIII. Inzerta, iż-żewġ timijiet kienu kowċjati minn John Fox fl-aħħar dehra tagħhom ta 'Super Bowl qabel Super Bowl 50.</v>
      </c>
    </row>
    <row r="4647" ht="15.75" customHeight="1">
      <c r="A4647" s="2" t="s">
        <v>4647</v>
      </c>
      <c r="B4647" s="2" t="str">
        <f>IFERROR(__xludf.DUMMYFUNCTION("GOOGLETRANSLATE(A4647, ""en"", ""mt"")"),"molekuli organiċi")</f>
        <v>molekuli organiċi</v>
      </c>
    </row>
    <row r="4648" ht="15.75" customHeight="1">
      <c r="A4648" s="2" t="s">
        <v>4648</v>
      </c>
      <c r="B4648" s="2" t="str">
        <f>IFERROR(__xludf.DUMMYFUNCTION("GOOGLETRANSLATE(A4648, ""en"", ""mt"")"),"Mantell tad-Dinja")</f>
        <v>Mantell tad-Dinja</v>
      </c>
    </row>
    <row r="4649" ht="15.75" customHeight="1">
      <c r="A4649" s="2" t="s">
        <v>4649</v>
      </c>
      <c r="B4649" s="2" t="str">
        <f>IFERROR(__xludf.DUMMYFUNCTION("GOOGLETRANSLATE(A4649, ""en"", ""mt"")"),"avorju")</f>
        <v>avorju</v>
      </c>
    </row>
    <row r="4650" ht="15.75" customHeight="1">
      <c r="A4650" s="2" t="s">
        <v>4650</v>
      </c>
      <c r="B4650" s="2" t="str">
        <f>IFERROR(__xludf.DUMMYFUNCTION("GOOGLETRANSLATE(A4650, ""en"", ""mt"")"),"Dak li fih kważi verbatim ta 'dibattiti parlamentari?")</f>
        <v>Dak li fih kważi verbatim ta 'dibattiti parlamentari?</v>
      </c>
    </row>
    <row r="4651" ht="15.75" customHeight="1">
      <c r="A4651" s="2" t="s">
        <v>4651</v>
      </c>
      <c r="B4651" s="2" t="str">
        <f>IFERROR(__xludf.DUMMYFUNCTION("GOOGLETRANSLATE(A4651, ""en"", ""mt"")"),"X'qed iqisu l-awtoritajiet tas-saħħa Olandiżi bħala bla bżonn fil-Geraets-Smits v Stichting Ziekenfonds?")</f>
        <v>X'qed iqisu l-awtoritajiet tas-saħħa Olandiżi bħala bla bżonn fil-Geraets-Smits v Stichting Ziekenfonds?</v>
      </c>
    </row>
    <row r="4652" ht="15.75" customHeight="1">
      <c r="A4652" s="2" t="s">
        <v>4652</v>
      </c>
      <c r="B4652" s="2" t="str">
        <f>IFERROR(__xludf.DUMMYFUNCTION("GOOGLETRANSLATE(A4652, ""en"", ""mt"")"),"Kif huma differenti l-iskejjel 'mhux megħjuna' minn skejjel 'megħjuna'?")</f>
        <v>Kif huma differenti l-iskejjel 'mhux megħjuna' minn skejjel 'megħjuna'?</v>
      </c>
    </row>
    <row r="4653" ht="15.75" customHeight="1">
      <c r="A4653" s="2" t="s">
        <v>4653</v>
      </c>
      <c r="B4653" s="2" t="str">
        <f>IFERROR(__xludf.DUMMYFUNCTION("GOOGLETRANSLATE(A4653, ""en"", ""mt"")"),"Basel, tħalli l-Isvizzera")</f>
        <v>Basel, tħalli l-Isvizzera</v>
      </c>
    </row>
    <row r="4654" ht="15.75" customHeight="1">
      <c r="A4654" s="2" t="s">
        <v>4654</v>
      </c>
      <c r="B4654" s="2" t="str">
        <f>IFERROR(__xludf.DUMMYFUNCTION("GOOGLETRANSLATE(A4654, ""en"", ""mt"")"),"mozzjoni naturali")</f>
        <v>mozzjoni naturali</v>
      </c>
    </row>
    <row r="4655" ht="15.75" customHeight="1">
      <c r="A4655" s="2" t="s">
        <v>4655</v>
      </c>
      <c r="B4655" s="2" t="str">
        <f>IFERROR(__xludf.DUMMYFUNCTION("GOOGLETRANSLATE(A4655, ""en"", ""mt"")"),"Madwar 1.7 biljun sena ilu")</f>
        <v>Madwar 1.7 biljun sena ilu</v>
      </c>
    </row>
    <row r="4656" ht="15.75" customHeight="1">
      <c r="A4656" s="2" t="s">
        <v>4656</v>
      </c>
      <c r="B4656" s="2" t="str">
        <f>IFERROR(__xludf.DUMMYFUNCTION("GOOGLETRANSLATE(A4656, ""en"", ""mt"")"),"Dimensjonijiet fil-ħin")</f>
        <v>Dimensjonijiet fil-ħin</v>
      </c>
    </row>
    <row r="4657" ht="15.75" customHeight="1">
      <c r="A4657" s="2" t="s">
        <v>4657</v>
      </c>
      <c r="B4657" s="2" t="str">
        <f>IFERROR(__xludf.DUMMYFUNCTION("GOOGLETRANSLATE(A4657, ""en"", ""mt"")"),"X'inhuma l-iktar passes li kellu Greg Olsen?")</f>
        <v>X'inhuma l-iktar passes li kellu Greg Olsen?</v>
      </c>
    </row>
    <row r="4658" ht="15.75" customHeight="1">
      <c r="A4658" s="2" t="s">
        <v>4658</v>
      </c>
      <c r="B4658" s="2" t="str">
        <f>IFERROR(__xludf.DUMMYFUNCTION("GOOGLETRANSLATE(A4658, ""en"", ""mt"")"),"Min ħoloq il-kodiċi li rregola l-imġieba militari u ċivili fl-imperu Mongoljan?")</f>
        <v>Min ħoloq il-kodiċi li rregola l-imġieba militari u ċivili fl-imperu Mongoljan?</v>
      </c>
    </row>
    <row r="4659" ht="15.75" customHeight="1">
      <c r="A4659" s="2" t="s">
        <v>4659</v>
      </c>
      <c r="B4659" s="2" t="str">
        <f>IFERROR(__xludf.DUMMYFUNCTION("GOOGLETRANSLATE(A4659, ""en"", ""mt"")"),"maqtula")</f>
        <v>maqtula</v>
      </c>
    </row>
    <row r="4660" ht="15.75" customHeight="1">
      <c r="A4660" s="2" t="s">
        <v>4660</v>
      </c>
      <c r="B4660" s="2" t="str">
        <f>IFERROR(__xludf.DUMMYFUNCTION("GOOGLETRANSLATE(A4660, ""en"", ""mt"")"),"billi jitilqu l-bibien")</f>
        <v>billi jitilqu l-bibien</v>
      </c>
    </row>
    <row r="4661" ht="15.75" customHeight="1">
      <c r="A4661" s="2" t="s">
        <v>4661</v>
      </c>
      <c r="B4661" s="2" t="str">
        <f>IFERROR(__xludf.DUMMYFUNCTION("GOOGLETRANSLATE(A4661, ""en"", ""mt"")"),"Min ħoloq magna bl-użu ta 'fwar ta' pressjoni għolja fl-1801?")</f>
        <v>Min ħoloq magna bl-użu ta 'fwar ta' pressjoni għolja fl-1801?</v>
      </c>
    </row>
    <row r="4662" ht="15.75" customHeight="1">
      <c r="A4662" s="2" t="s">
        <v>4662</v>
      </c>
      <c r="B4662" s="2" t="str">
        <f>IFERROR(__xludf.DUMMYFUNCTION("GOOGLETRANSLATE(A4662, ""en"", ""mt"")"),"statokist")</f>
        <v>statokist</v>
      </c>
    </row>
    <row r="4663" ht="15.75" customHeight="1">
      <c r="A4663" s="2" t="s">
        <v>4663</v>
      </c>
      <c r="B4663" s="2" t="str">
        <f>IFERROR(__xludf.DUMMYFUNCTION("GOOGLETRANSLATE(A4663, ""en"", ""mt"")"),"Liema tifel Genghis Khan kien jara bħala l-iktar wieħed affidabbli tiegħu?")</f>
        <v>Liema tifel Genghis Khan kien jara bħala l-iktar wieħed affidabbli tiegħu?</v>
      </c>
    </row>
    <row r="4664" ht="15.75" customHeight="1">
      <c r="A4664" s="2" t="s">
        <v>4664</v>
      </c>
      <c r="B4664" s="2" t="str">
        <f>IFERROR(__xludf.DUMMYFUNCTION("GOOGLETRANSLATE(A4664, ""en"", ""mt"")"),"bejn 10% u 18%")</f>
        <v>bejn 10% u 18%</v>
      </c>
    </row>
    <row r="4665" ht="15.75" customHeight="1">
      <c r="A4665" s="2" t="s">
        <v>4665</v>
      </c>
      <c r="B4665" s="2" t="str">
        <f>IFERROR(__xludf.DUMMYFUNCTION("GOOGLETRANSLATE(A4665, ""en"", ""mt"")"),"IL-MILIONE")</f>
        <v>IL-MILIONE</v>
      </c>
    </row>
    <row r="4666" ht="15.75" customHeight="1">
      <c r="A4666" s="2" t="s">
        <v>4666</v>
      </c>
      <c r="B4666" s="2" t="str">
        <f>IFERROR(__xludf.DUMMYFUNCTION("GOOGLETRANSLATE(A4666, ""en"", ""mt"")"),"Fil-Battalja ta ’Hastings")</f>
        <v>Fil-Battalja ta ’Hastings</v>
      </c>
    </row>
    <row r="4667" ht="15.75" customHeight="1">
      <c r="A4667" s="2" t="s">
        <v>4667</v>
      </c>
      <c r="B4667" s="2" t="str">
        <f>IFERROR(__xludf.DUMMYFUNCTION("GOOGLETRANSLATE(A4667, ""en"", ""mt"")"),"X'inhi l-iktar xanthophyll komuni?")</f>
        <v>X'inhi l-iktar xanthophyll komuni?</v>
      </c>
    </row>
    <row r="4668" ht="15.75" customHeight="1">
      <c r="A4668" s="2" t="s">
        <v>4668</v>
      </c>
      <c r="B4668" s="2" t="str">
        <f>IFERROR(__xludf.DUMMYFUNCTION("GOOGLETRANSLATE(A4668, ""en"", ""mt"")"),"Terminu użat oriġinarjament fid-derision, Huguenot għandu oriġini mhux ċari. Ġew promossi diversi ipoteżijiet. Il-laqam seta 'kien referenza kkombinata għall-politikant Żvizzeru Besançon Hugues (miet fl-1532) u n-natura reliġjuża f'kunflitt tar-repubblika"&amp;"niżmu Żvizzeru fi żmienu, bl-użu ta' pun derogatorju għaqlija fuq l-isem Hugues permezz tal-kelma Olandiża Huisgenoten (litteralment akkomodati) , li tirreferi għall-konnotazzjonijiet ta 'kelma kemmxejn relatata fl-eidgenosse Ġermaniża (konfederati bħal f"&amp;"' ""ċittadin ta 'wieħed mill-istati tal-Konfederazzjoni Żvizzera""). Ġinevra kien id-dar adottata ta 'John Calvin u ċ-ċentru tal-moviment kalvinista. F'Ġinevra, Hugues, għalkemm Kattoliku, kien mexxej tal- ""Partit Konfederat"", hekk imsejjaħ minħabba li "&amp;"kien iffavorixxa l-indipendenza mid-Duka ta 'Savoy permezz ta' alleanza bejn l-istat tal-belt ta 'Ġinevra u l-Konfederazzjoni Żvizzera. It-tikketta Huguenot kienet suppost applikata l-ewwel fi Franza għal dawk il-konspiraturi (kollha kemm huma membri aris"&amp;"tokratiċi tal-knisja Riformata) involuti fil-plott tal-Amboise tal-1560: tentattiv fuljett biex iwaqqaf il-poter fi Franza mill-Kamra Influwenti tal-Iskuża. Il-mossa kienet ikollha l-effett sekondarju li titrawwem ir-relazzjonijiet mal-Isvizzeri. Għalhekk"&amp;", Hugues flimkien ma 'Eidgenosse permezz ta' Huisgenoten suppost sar Huguenot, laqam li jassoċja l-kawża Protestanti mal-politika mhux popolari fi Franza. [Ċitazzjoni meħtieġa]")</f>
        <v>Terminu użat oriġinarjament fid-derision, Huguenot għandu oriġini mhux ċari. Ġew promossi diversi ipoteżijiet. Il-laqam seta 'kien referenza kkombinata għall-politikant Żvizzeru Besançon Hugues (miet fl-1532) u n-natura reliġjuża f'kunflitt tar-repubblikaniżmu Żvizzeru fi żmienu, bl-użu ta' pun derogatorju għaqlija fuq l-isem Hugues permezz tal-kelma Olandiża Huisgenoten (litteralment akkomodati) , li tirreferi għall-konnotazzjonijiet ta 'kelma kemmxejn relatata fl-eidgenosse Ġermaniża (konfederati bħal f' "ċittadin ta 'wieħed mill-istati tal-Konfederazzjoni Żvizzera"). Ġinevra kien id-dar adottata ta 'John Calvin u ċ-ċentru tal-moviment kalvinista. F'Ġinevra, Hugues, għalkemm Kattoliku, kien mexxej tal- "Partit Konfederat", hekk imsejjaħ minħabba li kien iffavorixxa l-indipendenza mid-Duka ta 'Savoy permezz ta' alleanza bejn l-istat tal-belt ta 'Ġinevra u l-Konfederazzjoni Żvizzera. It-tikketta Huguenot kienet suppost applikata l-ewwel fi Franza għal dawk il-konspiraturi (kollha kemm huma membri aristokratiċi tal-knisja Riformata) involuti fil-plott tal-Amboise tal-1560: tentattiv fuljett biex iwaqqaf il-poter fi Franza mill-Kamra Influwenti tal-Iskuża. Il-mossa kienet ikollha l-effett sekondarju li titrawwem ir-relazzjonijiet mal-Isvizzeri. Għalhekk, Hugues flimkien ma 'Eidgenosse permezz ta' Huisgenoten suppost sar Huguenot, laqam li jassoċja l-kawża Protestanti mal-politika mhux popolari fi Franza. [Ċitazzjoni meħtieġa]</v>
      </c>
    </row>
    <row r="4669" ht="15.75" customHeight="1">
      <c r="A4669" s="2" t="s">
        <v>4669</v>
      </c>
      <c r="B4669" s="2" t="str">
        <f>IFERROR(__xludf.DUMMYFUNCTION("GOOGLETRANSLATE(A4669, ""en"", ""mt"")"),"Malfunzjoni fiċ-ċirkwit tal-kamaleont")</f>
        <v>Malfunzjoni fiċ-ċirkwit tal-kamaleont</v>
      </c>
    </row>
    <row r="4670" ht="15.75" customHeight="1">
      <c r="A4670" s="2" t="s">
        <v>4670</v>
      </c>
      <c r="B4670" s="2" t="str">
        <f>IFERROR(__xludf.DUMMYFUNCTION("GOOGLETRANSLATE(A4670, ""en"", ""mt"")"),"Artikolu 30 TFEU")</f>
        <v>Artikolu 30 TFEU</v>
      </c>
    </row>
    <row r="4671" ht="15.75" customHeight="1">
      <c r="A4671" s="2" t="s">
        <v>4671</v>
      </c>
      <c r="B4671" s="2" t="str">
        <f>IFERROR(__xludf.DUMMYFUNCTION("GOOGLETRANSLATE(A4671, ""en"", ""mt"")"),"annimal wieħed jista 'jipproduċi kemm bajd kif ukoll sperma")</f>
        <v>annimal wieħed jista 'jipproduċi kemm bajd kif ukoll sperma</v>
      </c>
    </row>
    <row r="4672" ht="15.75" customHeight="1">
      <c r="A4672" s="2" t="s">
        <v>4672</v>
      </c>
      <c r="B4672" s="2" t="str">
        <f>IFERROR(__xludf.DUMMYFUNCTION("GOOGLETRANSLATE(A4672, ""en"", ""mt"")"),"Kemm estendiet il-punent l-imperu Mongoljan wara l-mewt ta 'Kuchlug?")</f>
        <v>Kemm estendiet il-punent l-imperu Mongoljan wara l-mewt ta 'Kuchlug?</v>
      </c>
    </row>
    <row r="4673" ht="15.75" customHeight="1">
      <c r="A4673" s="2" t="s">
        <v>4673</v>
      </c>
      <c r="B4673" s="2" t="str">
        <f>IFERROR(__xludf.DUMMYFUNCTION("GOOGLETRANSLATE(A4673, ""en"", ""mt"")"),"""Innu għal tmiem il-ġimgħa""")</f>
        <v>"Innu għal tmiem il-ġimgħa"</v>
      </c>
    </row>
    <row r="4674" ht="15.75" customHeight="1">
      <c r="A4674" s="2" t="s">
        <v>4674</v>
      </c>
      <c r="B4674" s="2" t="str">
        <f>IFERROR(__xludf.DUMMYFUNCTION("GOOGLETRANSLATE(A4674, ""en"", ""mt"")"),"Post ta 'Varsavja")</f>
        <v>Post ta 'Varsavja</v>
      </c>
    </row>
    <row r="4675" ht="15.75" customHeight="1">
      <c r="A4675" s="2" t="s">
        <v>4675</v>
      </c>
      <c r="B4675" s="2" t="str">
        <f>IFERROR(__xludf.DUMMYFUNCTION("GOOGLETRANSLATE(A4675, ""en"", ""mt"")"),"X'forma ż-żona metropolitana El Centro u l-forma taż-żona metropolitana ta 'San Diego-Carslbad-San Marcos?")</f>
        <v>X'forma ż-żona metropolitana El Centro u l-forma taż-żona metropolitana ta 'San Diego-Carslbad-San Marcos?</v>
      </c>
    </row>
    <row r="4676" ht="15.75" customHeight="1">
      <c r="A4676" s="2" t="s">
        <v>4676</v>
      </c>
      <c r="B4676" s="2" t="str">
        <f>IFERROR(__xludf.DUMMYFUNCTION("GOOGLETRANSLATE(A4676, ""en"", ""mt"")"),"aktar minn 6000")</f>
        <v>aktar minn 6000</v>
      </c>
    </row>
    <row r="4677" ht="15.75" customHeight="1">
      <c r="A4677" s="2" t="s">
        <v>4677</v>
      </c>
      <c r="B4677" s="2" t="str">
        <f>IFERROR(__xludf.DUMMYFUNCTION("GOOGLETRANSLATE(A4677, ""en"", ""mt"")"),"Min ordna l-attakk fuq il-karavana tan-negozjanti Genghis Khan jibgħat lil Khwarezmia?")</f>
        <v>Min ordna l-attakk fuq il-karavana tan-negozjanti Genghis Khan jibgħat lil Khwarezmia?</v>
      </c>
    </row>
    <row r="4678" ht="15.75" customHeight="1">
      <c r="A4678" s="2" t="s">
        <v>4678</v>
      </c>
      <c r="B4678" s="2" t="str">
        <f>IFERROR(__xludf.DUMMYFUNCTION("GOOGLETRANSLATE(A4678, ""en"", ""mt"")"),"Kemm huwa Varsavja mill-Baħar Baltiku?")</f>
        <v>Kemm huwa Varsavja mill-Baħar Baltiku?</v>
      </c>
    </row>
    <row r="4679" ht="15.75" customHeight="1">
      <c r="A4679" s="2" t="s">
        <v>4679</v>
      </c>
      <c r="B4679" s="2" t="str">
        <f>IFERROR(__xludf.DUMMYFUNCTION("GOOGLETRANSLATE(A4679, ""en"", ""mt"")"),"X'tip ta 'trasmissjoni ta' enerġija Tesla wriet fil-laboratorji tiegħu?")</f>
        <v>X'tip ta 'trasmissjoni ta' enerġija Tesla wriet fil-laboratorji tiegħu?</v>
      </c>
    </row>
    <row r="4680" ht="15.75" customHeight="1">
      <c r="A4680" s="2" t="s">
        <v>4680</v>
      </c>
      <c r="B4680" s="2" t="str">
        <f>IFERROR(__xludf.DUMMYFUNCTION("GOOGLETRANSLATE(A4680, ""en"", ""mt"")"),"15,000")</f>
        <v>15,000</v>
      </c>
    </row>
    <row r="4681" ht="15.75" customHeight="1">
      <c r="A4681" s="2" t="s">
        <v>4681</v>
      </c>
      <c r="B4681" s="2" t="str">
        <f>IFERROR(__xludf.DUMMYFUNCTION("GOOGLETRANSLATE(A4681, ""en"", ""mt"")"),"L-Avventuri ta ’Ozzie u Harriet")</f>
        <v>L-Avventuri ta ’Ozzie u Harriet</v>
      </c>
    </row>
    <row r="4682" ht="15.75" customHeight="1">
      <c r="A4682" s="2" t="s">
        <v>4682</v>
      </c>
      <c r="B4682" s="2" t="str">
        <f>IFERROR(__xludf.DUMMYFUNCTION("GOOGLETRANSLATE(A4682, ""en"", ""mt"")"),"Min kien l-NFL MVP tal-2015?")</f>
        <v>Min kien l-NFL MVP tal-2015?</v>
      </c>
    </row>
    <row r="4683" ht="15.75" customHeight="1">
      <c r="A4683" s="2" t="s">
        <v>4683</v>
      </c>
      <c r="B4683" s="2" t="str">
        <f>IFERROR(__xludf.DUMMYFUNCTION("GOOGLETRANSLATE(A4683, ""en"", ""mt"")"),"X'kienet Tesla tibża 'li xi ħadd kien qed jipprova jagħmel bl-invenzjoni tiegħu?")</f>
        <v>X'kienet Tesla tibża 'li xi ħadd kien qed jipprova jagħmel bl-invenzjoni tiegħu?</v>
      </c>
    </row>
    <row r="4684" ht="15.75" customHeight="1">
      <c r="A4684" s="2" t="s">
        <v>4684</v>
      </c>
      <c r="B4684" s="2" t="str">
        <f>IFERROR(__xludf.DUMMYFUNCTION("GOOGLETRANSLATE(A4684, ""en"", ""mt"")"),"1/6")</f>
        <v>1/6</v>
      </c>
    </row>
    <row r="4685" ht="15.75" customHeight="1">
      <c r="A4685" s="2" t="s">
        <v>4685</v>
      </c>
      <c r="B4685" s="2" t="str">
        <f>IFERROR(__xludf.DUMMYFUNCTION("GOOGLETRANSLATE(A4685, ""en"", ""mt"")"),"Liema fattur jista 'jagħmel ir-rwol ta' għalliem ivarja?")</f>
        <v>Liema fattur jista 'jagħmel ir-rwol ta' għalliem ivarja?</v>
      </c>
    </row>
    <row r="4686" ht="15.75" customHeight="1">
      <c r="A4686" s="2" t="s">
        <v>4686</v>
      </c>
      <c r="B4686" s="2" t="str">
        <f>IFERROR(__xludf.DUMMYFUNCTION("GOOGLETRANSLATE(A4686, ""en"", ""mt"")"),"Liema tliet grawnds iddeċidew l-NFL bejn il-logħba?")</f>
        <v>Liema tliet grawnds iddeċidew l-NFL bejn il-logħba?</v>
      </c>
    </row>
    <row r="4687" ht="15.75" customHeight="1">
      <c r="A4687" s="2" t="s">
        <v>4687</v>
      </c>
      <c r="B4687" s="2" t="str">
        <f>IFERROR(__xludf.DUMMYFUNCTION("GOOGLETRANSLATE(A4687, ""en"", ""mt"")"),"lejn il-lvant")</f>
        <v>lejn il-lvant</v>
      </c>
    </row>
    <row r="4688" ht="15.75" customHeight="1">
      <c r="A4688" s="2" t="s">
        <v>4688</v>
      </c>
      <c r="B4688" s="2" t="str">
        <f>IFERROR(__xludf.DUMMYFUNCTION("GOOGLETRANSLATE(A4688, ""en"", ""mt"")"),"kmieni fl-1960")</f>
        <v>kmieni fl-1960</v>
      </c>
    </row>
    <row r="4689" ht="15.75" customHeight="1">
      <c r="A4689" s="2" t="s">
        <v>4689</v>
      </c>
      <c r="B4689" s="2" t="str">
        <f>IFERROR(__xludf.DUMMYFUNCTION("GOOGLETRANSLATE(A4689, ""en"", ""mt"")"),"libertà")</f>
        <v>libertà</v>
      </c>
    </row>
    <row r="4690" ht="15.75" customHeight="1">
      <c r="A4690" s="2" t="s">
        <v>4690</v>
      </c>
      <c r="B4690" s="2" t="str">
        <f>IFERROR(__xludf.DUMMYFUNCTION("GOOGLETRANSLATE(A4690, ""en"", ""mt"")"),"Għaliex is-sedimentazzjoni naturali mir-Rhine kkumpensat it-trasgressjoni bby il-baħar?")</f>
        <v>Għaliex is-sedimentazzjoni naturali mir-Rhine kkumpensat it-trasgressjoni bby il-baħar?</v>
      </c>
    </row>
    <row r="4691" ht="15.75" customHeight="1">
      <c r="A4691" s="2" t="s">
        <v>4691</v>
      </c>
      <c r="B4691" s="2" t="str">
        <f>IFERROR(__xludf.DUMMYFUNCTION("GOOGLETRANSLATE(A4691, ""en"", ""mt"")"),"Liema fergħa tax-xjenza teoretika tal-kompjuter tittratta l-klassifikazzjoni ġeneralment ta 'problemi tal-komputazzjoni permezz ta' diffikultà u klassi ta 'relazzjoni?")</f>
        <v>Liema fergħa tax-xjenza teoretika tal-kompjuter tittratta l-klassifikazzjoni ġeneralment ta 'problemi tal-komputazzjoni permezz ta' diffikultà u klassi ta 'relazzjoni?</v>
      </c>
    </row>
    <row r="4692" ht="15.75" customHeight="1">
      <c r="A4692" s="2" t="s">
        <v>4692</v>
      </c>
      <c r="B4692" s="2" t="str">
        <f>IFERROR(__xludf.DUMMYFUNCTION("GOOGLETRANSLATE(A4692, ""en"", ""mt"")"),"Xokkijiet ekonomiċi u politiċi vjolenti")</f>
        <v>Xokkijiet ekonomiċi u politiċi vjolenti</v>
      </c>
    </row>
    <row r="4693" ht="15.75" customHeight="1">
      <c r="A4693" s="2" t="s">
        <v>4693</v>
      </c>
      <c r="B4693" s="2" t="str">
        <f>IFERROR(__xludf.DUMMYFUNCTION("GOOGLETRANSLATE(A4693, ""en"", ""mt"")"),"Kemm mill-ħmistax-il punt ta 'diskussjoni ġew miftiehma?")</f>
        <v>Kemm mill-ħmistax-il punt ta 'diskussjoni ġew miftiehma?</v>
      </c>
    </row>
    <row r="4694" ht="15.75" customHeight="1">
      <c r="A4694" s="2" t="s">
        <v>4694</v>
      </c>
      <c r="B4694" s="2" t="str">
        <f>IFERROR(__xludf.DUMMYFUNCTION("GOOGLETRANSLATE(A4694, ""en"", ""mt"")"),"Min wettaq kunċert ta 'benefiċċju għat-tfal tal-karità fil-bżonn?")</f>
        <v>Min wettaq kunċert ta 'benefiċċju għat-tfal tal-karità fil-bżonn?</v>
      </c>
    </row>
    <row r="4695" ht="15.75" customHeight="1">
      <c r="A4695" s="2" t="s">
        <v>4695</v>
      </c>
      <c r="B4695" s="2" t="str">
        <f>IFERROR(__xludf.DUMMYFUNCTION("GOOGLETRANSLATE(A4695, ""en"", ""mt"")"),"L-imħallef żied is-sentenza tagħha")</f>
        <v>L-imħallef żied is-sentenza tagħha</v>
      </c>
    </row>
    <row r="4696" ht="15.75" customHeight="1">
      <c r="A4696" s="2" t="s">
        <v>4696</v>
      </c>
      <c r="B4696" s="2" t="str">
        <f>IFERROR(__xludf.DUMMYFUNCTION("GOOGLETRANSLATE(A4696, ""en"", ""mt"")"),"Iċ-ċjanobatterji huma meqjusa bħala l-antenati tal-kloroplasti. Xi drabi jissejħu alka blu-aħdar minkejja li huma prokarioti. Huma phylum differenti ta 'batterji li kapaċi jwettqu fotosintesi, u huma gram-negattivi, li jfisser li għandhom żewġ membrani ta"&amp;"ċ-ċelluli. Iċ-ċjanobatterji fihom ukoll ħajt taċ-ċellula peptidoglycan, li huwa eħxen milli f'batterji gram-negattivi oħra, u li jinsab bejn iż-żewġ membrani taċ-ċelluli tagħhom. Bħall-kloroplasti, huma għandhom thylakoids ġewwa. Fuq il-membrani tat-tilko"&amp;"id hemm pigmenti fotosintetiċi, inkluż il-klorofilla a. Il-phycobilins huma wkoll pigmenti ċjanobatteriċi komuni, ġeneralment organizzati fi phycobilisomi emisferiċi mwaħħlin ma 'barra tal-membrani tat-tilkoid (il-phycobilins mhumiex maqsuma mal-kloroplas"&amp;"ti kollha għalkemm).")</f>
        <v>Iċ-ċjanobatterji huma meqjusa bħala l-antenati tal-kloroplasti. Xi drabi jissejħu alka blu-aħdar minkejja li huma prokarioti. Huma phylum differenti ta 'batterji li kapaċi jwettqu fotosintesi, u huma gram-negattivi, li jfisser li għandhom żewġ membrani taċ-ċelluli. Iċ-ċjanobatterji fihom ukoll ħajt taċ-ċellula peptidoglycan, li huwa eħxen milli f'batterji gram-negattivi oħra, u li jinsab bejn iż-żewġ membrani taċ-ċelluli tagħhom. Bħall-kloroplasti, huma għandhom thylakoids ġewwa. Fuq il-membrani tat-tilkoid hemm pigmenti fotosintetiċi, inkluż il-klorofilla a. Il-phycobilins huma wkoll pigmenti ċjanobatteriċi komuni, ġeneralment organizzati fi phycobilisomi emisferiċi mwaħħlin ma 'barra tal-membrani tat-tilkoid (il-phycobilins mhumiex maqsuma mal-kloroplasti kollha għalkemm).</v>
      </c>
    </row>
    <row r="4697" ht="15.75" customHeight="1">
      <c r="A4697" s="2" t="s">
        <v>4697</v>
      </c>
      <c r="B4697" s="2" t="str">
        <f>IFERROR(__xludf.DUMMYFUNCTION("GOOGLETRANSLATE(A4697, ""en"", ""mt"")"),"Pożizzjoni oħra fil-Knisja Metodista Magħquda hija dik tal-qaddej lajk. Għalkemm mhux meqjus kleru, il-kelliema lajċi spiss jippridkaw waqt is-servizzi tal-qima meta anzjan ordnat, ragħaj lokali, membru assoċjat jew djaknu mhuwiex disponibbli. Hemm żewġ k"&amp;"ategoriji ta 'qaddejja lajċi: qaddej tal-knisja lokali, li jservu u permezz tal-knejjes lokali tagħhom, u qaddejja lajċi ċċertifikati, li jservu fil-knejjes tagħhom stess, fi knejjes oħra, u permezz ta' proġetti u programmi distrettwali jew konferenza. Bi"&amp;"ex ikunu rikonoxxuti bħala qaddej tal-knisja lokali, dawn għandhom ikunu rrakkomandati mill-konferenza tar-ragħaj u tal-knisja tagħhom jew tal-konferenza tal-ħlas, u jlestu l-kors bażiku għal qaddej lajk. Kull sena għandhom jerġgħu japplikaw, jirrappurtaw"&amp;" kif servew u komplew jitgħallmu matul dik is-sena. Sabiex ikunu rikonoxxuti bħala impjegat lajk iċċertifikat, dawn għandhom ikunu rrakkomandati mill-konferenza tar-ragħaj u tal-knisja tagħhom jew konferenza tal-ħlas, imla l-kors bażiku u kors ta 'qaddej "&amp;"lajk wieħed, u jiġu intervistati mid-distrett jew il-kumitat tal-konferenza dwar it-taħdit tal-lajċi. Għandhom jirrappurtaw u jerġgħu japplikaw kull sena; U għandhom jimlew mill-inqas kors avvanzat kull tliet snin.")</f>
        <v>Pożizzjoni oħra fil-Knisja Metodista Magħquda hija dik tal-qaddej lajk. Għalkemm mhux meqjus kleru, il-kelliema lajċi spiss jippridkaw waqt is-servizzi tal-qima meta anzjan ordnat, ragħaj lokali, membru assoċjat jew djaknu mhuwiex disponibbli. Hemm żewġ kategoriji ta 'qaddejja lajċi: qaddej tal-knisja lokali, li jservu u permezz tal-knejjes lokali tagħhom, u qaddejja lajċi ċċertifikati, li jservu fil-knejjes tagħhom stess, fi knejjes oħra, u permezz ta' proġetti u programmi distrettwali jew konferenza. Biex ikunu rikonoxxuti bħala qaddej tal-knisja lokali, dawn għandhom ikunu rrakkomandati mill-konferenza tar-ragħaj u tal-knisja tagħhom jew tal-konferenza tal-ħlas, u jlestu l-kors bażiku għal qaddej lajk. Kull sena għandhom jerġgħu japplikaw, jirrappurtaw kif servew u komplew jitgħallmu matul dik is-sena. Sabiex ikunu rikonoxxuti bħala impjegat lajk iċċertifikat, dawn għandhom ikunu rrakkomandati mill-konferenza tar-ragħaj u tal-knisja tagħhom jew konferenza tal-ħlas, imla l-kors bażiku u kors ta 'qaddej lajk wieħed, u jiġu intervistati mid-distrett jew il-kumitat tal-konferenza dwar it-taħdit tal-lajċi. Għandhom jirrappurtaw u jerġgħu japplikaw kull sena; U għandhom jimlew mill-inqas kors avvanzat kull tliet snin.</v>
      </c>
    </row>
    <row r="4698" ht="15.75" customHeight="1">
      <c r="A4698" s="2" t="s">
        <v>4698</v>
      </c>
      <c r="B4698" s="2" t="str">
        <f>IFERROR(__xludf.DUMMYFUNCTION("GOOGLETRANSLATE(A4698, ""en"", ""mt"")"),"Il-fotorespirazzjoni tista 'sseħħ meta l-konċentrazzjoni ta' ossiġnu tkun għolja wisq. Rubisco ma jistax jiddistingwi bejn l-ossiġnu u d-dijossidu tal-karbonju tajjeb ħafna, u għalhekk jista 'aċċidentalment iżid O2 minflok CO2 ma' rumb. Dan il-proċess ina"&amp;"qqas l-effiċjenza tal-fotosintesi - jikkonsma l-ATP u l-ossiġnu, jirrilaxxa s-CO2, u ma jipproduċi l-ebda zokkor. Jista 'jaħli sa nofs il-karbonju ffissat miċ-ċiklu ta' Calvin. Bosta mekkaniżmi evolvew f'linji differenti li jgħollu l-konċentrazzjoni tad-d"&amp;"ijossidu tal-karbonju relattiva għall-ossiġenu fil-kloroplast, u żżid l-effiċjenza tal-fotosintesi. Dawn il-mekkaniżmi jissejħu mekkaniżmi ta 'konċentrazzjoni tad-dijossidu tal-karbonju, jew CCMs. Dawn jinkludu l-metaboliżmu tal-aċidu crassulacean, l-iffi"&amp;"ssar tal-karbonju C4, u l-pirenojdi. Il-kloroplasti fil-pjanti C4 huma notevoli peress li juru dimorfiżmu tal-kloroplast distint.")</f>
        <v>Il-fotorespirazzjoni tista 'sseħħ meta l-konċentrazzjoni ta' ossiġnu tkun għolja wisq. Rubisco ma jistax jiddistingwi bejn l-ossiġnu u d-dijossidu tal-karbonju tajjeb ħafna, u għalhekk jista 'aċċidentalment iżid O2 minflok CO2 ma' rumb. Dan il-proċess inaqqas l-effiċjenza tal-fotosintesi - jikkonsma l-ATP u l-ossiġnu, jirrilaxxa s-CO2, u ma jipproduċi l-ebda zokkor. Jista 'jaħli sa nofs il-karbonju ffissat miċ-ċiklu ta' Calvin. Bosta mekkaniżmi evolvew f'linji differenti li jgħollu l-konċentrazzjoni tad-dijossidu tal-karbonju relattiva għall-ossiġenu fil-kloroplast, u żżid l-effiċjenza tal-fotosintesi. Dawn il-mekkaniżmi jissejħu mekkaniżmi ta 'konċentrazzjoni tad-dijossidu tal-karbonju, jew CCMs. Dawn jinkludu l-metaboliżmu tal-aċidu crassulacean, l-iffissar tal-karbonju C4, u l-pirenojdi. Il-kloroplasti fil-pjanti C4 huma notevoli peress li juru dimorfiżmu tal-kloroplast distint.</v>
      </c>
    </row>
    <row r="4699" ht="15.75" customHeight="1">
      <c r="A4699" s="2" t="s">
        <v>4699</v>
      </c>
      <c r="B4699" s="2" t="str">
        <f>IFERROR(__xludf.DUMMYFUNCTION("GOOGLETRANSLATE(A4699, ""en"", ""mt"")"),"Ondigital")</f>
        <v>Ondigital</v>
      </c>
    </row>
    <row r="4700" ht="15.75" customHeight="1">
      <c r="A4700" s="2" t="s">
        <v>4700</v>
      </c>
      <c r="B4700" s="2" t="str">
        <f>IFERROR(__xludf.DUMMYFUNCTION("GOOGLETRANSLATE(A4700, ""en"", ""mt"")"),"Il-kapitolu soċjali huwa kapitolu tat-Trattat tal-1997 ta 'Amsterdam li jkopri kwistjonijiet ta' politika soċjali fil-liġi tal-Unjoni Ewropea. Il-bażi għall-kapitolu soċjali ġiet żviluppata fl-1989 mir-rappreżentanti tas- ""imsieħba soċjali"", jiġifieri l"&amp;"-Unice, il-Konfederazzjoni ta 'Min Iħaddem, il-Konfederazzjoni tat-Trejdjunjins Ewropej (ETUC) u Ceep, iċ-Ċentru Ewropew ta' l-Intrapriżi Pubbliċi. Verżjoni attenwata ġiet adottata bħala l-Karta Soċjali fil-Kunsill Ewropew ta 'Strasburgu tal-1989. Il-Kart"&amp;"a Soċjali tiddikjara 30 prinċipju ġenerali, inkluż fuq remunerazzjoni ġusta ta 'impjiegi, saħħa u sigurtà fuq ix-xogħol, drittijiet ta' persuni b'diżabilità u anzjani, id-drittijiet tal-ħaddiema, dwar taħriġ vokazzjonali u titjib tal-kundizzjonijiet tal-g"&amp;"ħajxien. Il-Karta Soċjali saret il-bażi għal-leġislazzjoni tal-Komunità Ewropea dwar dawn il-kwistjonijiet f'40 biċċa ta 'leġiżlazzjoni.")</f>
        <v>Il-kapitolu soċjali huwa kapitolu tat-Trattat tal-1997 ta 'Amsterdam li jkopri kwistjonijiet ta' politika soċjali fil-liġi tal-Unjoni Ewropea. Il-bażi għall-kapitolu soċjali ġiet żviluppata fl-1989 mir-rappreżentanti tas- "imsieħba soċjali", jiġifieri l-Unice, il-Konfederazzjoni ta 'Min Iħaddem, il-Konfederazzjoni tat-Trejdjunjins Ewropej (ETUC) u Ceep, iċ-Ċentru Ewropew ta' l-Intrapriżi Pubbliċi. Verżjoni attenwata ġiet adottata bħala l-Karta Soċjali fil-Kunsill Ewropew ta 'Strasburgu tal-1989. Il-Karta Soċjali tiddikjara 30 prinċipju ġenerali, inkluż fuq remunerazzjoni ġusta ta 'impjiegi, saħħa u sigurtà fuq ix-xogħol, drittijiet ta' persuni b'diżabilità u anzjani, id-drittijiet tal-ħaddiema, dwar taħriġ vokazzjonali u titjib tal-kundizzjonijiet tal-għajxien. Il-Karta Soċjali saret il-bażi għal-leġislazzjoni tal-Komunità Ewropea dwar dawn il-kwistjonijiet f'40 biċċa ta 'leġiżlazzjoni.</v>
      </c>
    </row>
    <row r="4701" ht="15.75" customHeight="1">
      <c r="A4701" s="2" t="s">
        <v>4701</v>
      </c>
      <c r="B4701" s="2" t="str">
        <f>IFERROR(__xludf.DUMMYFUNCTION("GOOGLETRANSLATE(A4701, ""en"", ""mt"")"),"proteini")</f>
        <v>proteini</v>
      </c>
    </row>
    <row r="4702" ht="15.75" customHeight="1">
      <c r="A4702" s="2" t="s">
        <v>4702</v>
      </c>
      <c r="B4702" s="2" t="str">
        <f>IFERROR(__xludf.DUMMYFUNCTION("GOOGLETRANSLATE(A4702, ""en"", ""mt"")"),"Dak li nstab li kien tort għan-nar fil-kabina fuq Apollo 1 rigward id-disinn tas-CM?")</f>
        <v>Dak li nstab li kien tort għan-nar fil-kabina fuq Apollo 1 rigward id-disinn tas-CM?</v>
      </c>
    </row>
    <row r="4703" ht="15.75" customHeight="1">
      <c r="A4703" s="2" t="s">
        <v>4703</v>
      </c>
      <c r="B4703" s="2" t="str">
        <f>IFERROR(__xludf.DUMMYFUNCTION("GOOGLETRANSLATE(A4703, ""en"", ""mt"")"),"il-headwaiter")</f>
        <v>il-headwaiter</v>
      </c>
    </row>
    <row r="4704" ht="15.75" customHeight="1">
      <c r="A4704" s="2" t="s">
        <v>4704</v>
      </c>
      <c r="B4704" s="2" t="str">
        <f>IFERROR(__xludf.DUMMYFUNCTION("GOOGLETRANSLATE(A4704, ""en"", ""mt"")"),"Premjijiet tal-Akkademja, Emmy Awards")</f>
        <v>Premjijiet tal-Akkademja, Emmy Awards</v>
      </c>
    </row>
    <row r="4705" ht="15.75" customHeight="1">
      <c r="A4705" s="2" t="s">
        <v>4705</v>
      </c>
      <c r="B4705" s="2" t="str">
        <f>IFERROR(__xludf.DUMMYFUNCTION("GOOGLETRANSLATE(A4705, ""en"", ""mt"")"),"Ir-Renu l-ewwel ifforma fruntiera bejn Gaul u x'iktar?")</f>
        <v>Ir-Renu l-ewwel ifforma fruntiera bejn Gaul u x'iktar?</v>
      </c>
    </row>
    <row r="4706" ht="15.75" customHeight="1">
      <c r="A4706" s="2" t="s">
        <v>4706</v>
      </c>
      <c r="B4706" s="2" t="str">
        <f>IFERROR(__xludf.DUMMYFUNCTION("GOOGLETRANSLATE(A4706, ""en"", ""mt"")"),"L-abitanti ta 'Varsavja fl-1901, liema perċentwali kien Kattoliku?")</f>
        <v>L-abitanti ta 'Varsavja fl-1901, liema perċentwali kien Kattoliku?</v>
      </c>
    </row>
    <row r="4707" ht="15.75" customHeight="1">
      <c r="A4707" s="2" t="s">
        <v>4707</v>
      </c>
      <c r="B4707" s="2" t="str">
        <f>IFERROR(__xludf.DUMMYFUNCTION("GOOGLETRANSLATE(A4707, ""en"", ""mt"")"),"Tesla kienet ta '6 piedi 2 pulzieri (1.88 m) tall u wiżen 142 libbra (64 kg), bi kważi l-ebda varjazzjoni tal-piż mill-1888 sa madwar 1926.:292 Huwa kien figura eleganti u stylish fi New York City, metikoluż fil-grooming tiegħu, Ħwejjeġ, u regimentati fl-"&amp;"attivitajiet ta 'kuljum tiegħu.")</f>
        <v>Tesla kienet ta '6 piedi 2 pulzieri (1.88 m) tall u wiżen 142 libbra (64 kg), bi kważi l-ebda varjazzjoni tal-piż mill-1888 sa madwar 1926.:292 Huwa kien figura eleganti u stylish fi New York City, metikoluż fil-grooming tiegħu, Ħwejjeġ, u regimentati fl-attivitajiet ta 'kuljum tiegħu.</v>
      </c>
    </row>
    <row r="4708" ht="15.75" customHeight="1">
      <c r="A4708" s="2" t="s">
        <v>4708</v>
      </c>
      <c r="B4708" s="2" t="str">
        <f>IFERROR(__xludf.DUMMYFUNCTION("GOOGLETRANSLATE(A4708, ""en"", ""mt"")"),"6 mili")</f>
        <v>6 mili</v>
      </c>
    </row>
    <row r="4709" ht="15.75" customHeight="1">
      <c r="A4709" s="2" t="s">
        <v>4709</v>
      </c>
      <c r="B4709" s="2" t="str">
        <f>IFERROR(__xludf.DUMMYFUNCTION("GOOGLETRANSLATE(A4709, ""en"", ""mt"")"),"Kif tevita problemi meta tiddetermina l-forzi involuti fuq oġġett minn żewġ sorsi jew aktar?")</f>
        <v>Kif tevita problemi meta tiddetermina l-forzi involuti fuq oġġett minn żewġ sorsi jew aktar?</v>
      </c>
    </row>
    <row r="4710" ht="15.75" customHeight="1">
      <c r="A4710" s="2" t="s">
        <v>4710</v>
      </c>
      <c r="B4710" s="2" t="str">
        <f>IFERROR(__xludf.DUMMYFUNCTION("GOOGLETRANSLATE(A4710, ""en"", ""mt"")"),"gass ​​diatomiku")</f>
        <v>gass ​​diatomiku</v>
      </c>
    </row>
    <row r="4711" ht="15.75" customHeight="1">
      <c r="A4711" s="2" t="s">
        <v>4711</v>
      </c>
      <c r="B4711" s="2" t="str">
        <f>IFERROR(__xludf.DUMMYFUNCTION("GOOGLETRANSLATE(A4711, ""en"", ""mt"")"),"Baldwin")</f>
        <v>Baldwin</v>
      </c>
    </row>
    <row r="4712" ht="15.75" customHeight="1">
      <c r="A4712" s="2" t="s">
        <v>4712</v>
      </c>
      <c r="B4712" s="2" t="str">
        <f>IFERROR(__xludf.DUMMYFUNCTION("GOOGLETRANSLATE(A4712, ""en"", ""mt"")"),"Varsavja, speċjalment iċ-ċentru tal-belt tagħha (Śródmieście), hija d-dar mhux biss għal ħafna istituzzjonijiet nazzjonali u aġenziji tal-gvern, iżda wkoll għal ħafna kumpaniji domestiċi u internazzjonali. Fl-2006, 304,016 kumpanija ġew irreġistrati fil-b"&amp;"elt. Il-komunità kummerċjali li dejjem qed tikber ta 'Varsavja ġiet innotata globalment, reġjonali u nazzjonalment. MasterCard Emerging Market Index innota s-saħħa ekonomika u ċ-ċentru kummerċjali ta 'Varsavja. Barra minn hekk, Varsavja kienet ikklassifik"&amp;"ata bħala s-7 l-ikbar suq emerġenti. Il-parteċipazzjoni finanzjarja tal-investituri barranin fl-iżvilupp tal-belt kienet stmata fl-2002 għal aktar minn 650 miljun euro. Varsavja tipproduċi 12% tad-dħul nazzjonali tal-Polonja, li fl-2008 kien 305.1% tal-me"&amp;"dja Pollakka, per capita (jew 160% tal-medja tal-Unjoni Ewropea). Il-PDG per capita f'Varsavja ammonta għal PLN 94 000 fl-2008 (c. EUR 23 800, USD 33 000). Il-PGD nominali totali tal-belt fl-2010 ammonta għal 191.766 biljun PLN, 111696 PLN per capita, li "&amp;"kien 301,1% tal-medja Pollakka. Varsavja tmexxi r-reġjun tal-Ewropa ċentrali tal-lvant fl-investiment barrani u fl-2006, it-tkabbir tal-PGD issodisfa l-aspettattivi b'livell ta '6.1%. Għandu wkoll waħda mill-ekonomiji li qed jikbru l-iktar malajr, bi tkab"&amp;"bir tal-PGD għal 6.5 fil-mija fl-2007 u 6.1 fil-mija fl-ewwel kwart tal-2008.")</f>
        <v>Varsavja, speċjalment iċ-ċentru tal-belt tagħha (Śródmieście), hija d-dar mhux biss għal ħafna istituzzjonijiet nazzjonali u aġenziji tal-gvern, iżda wkoll għal ħafna kumpaniji domestiċi u internazzjonali. Fl-2006, 304,016 kumpanija ġew irreġistrati fil-belt. Il-komunità kummerċjali li dejjem qed tikber ta 'Varsavja ġiet innotata globalment, reġjonali u nazzjonalment. MasterCard Emerging Market Index innota s-saħħa ekonomika u ċ-ċentru kummerċjali ta 'Varsavja. Barra minn hekk, Varsavja kienet ikklassifikata bħala s-7 l-ikbar suq emerġenti. Il-parteċipazzjoni finanzjarja tal-investituri barranin fl-iżvilupp tal-belt kienet stmata fl-2002 għal aktar minn 650 miljun euro. Varsavja tipproduċi 12% tad-dħul nazzjonali tal-Polonja, li fl-2008 kien 305.1% tal-medja Pollakka, per capita (jew 160% tal-medja tal-Unjoni Ewropea). Il-PDG per capita f'Varsavja ammonta għal PLN 94 000 fl-2008 (c. EUR 23 800, USD 33 000). Il-PGD nominali totali tal-belt fl-2010 ammonta għal 191.766 biljun PLN, 111696 PLN per capita, li kien 301,1% tal-medja Pollakka. Varsavja tmexxi r-reġjun tal-Ewropa ċentrali tal-lvant fl-investiment barrani u fl-2006, it-tkabbir tal-PGD issodisfa l-aspettattivi b'livell ta '6.1%. Għandu wkoll waħda mill-ekonomiji li qed jikbru l-iktar malajr, bi tkabbir tal-PGD għal 6.5 fil-mija fl-2007 u 6.1 fil-mija fl-ewwel kwart tal-2008.</v>
      </c>
    </row>
    <row r="4713" ht="15.75" customHeight="1">
      <c r="A4713" s="2" t="s">
        <v>4713</v>
      </c>
      <c r="B4713" s="2" t="str">
        <f>IFERROR(__xludf.DUMMYFUNCTION("GOOGLETRANSLATE(A4713, ""en"", ""mt"")"),"Schurf")</f>
        <v>Schurf</v>
      </c>
    </row>
    <row r="4714" ht="15.75" customHeight="1">
      <c r="A4714" s="2" t="s">
        <v>4714</v>
      </c>
      <c r="B4714" s="2" t="str">
        <f>IFERROR(__xludf.DUMMYFUNCTION("GOOGLETRANSLATE(A4714, ""en"", ""mt"")"),"Meta għamlet Torchwood Premier?")</f>
        <v>Meta għamlet Torchwood Premier?</v>
      </c>
    </row>
    <row r="4715" ht="15.75" customHeight="1">
      <c r="A4715" s="2" t="s">
        <v>4715</v>
      </c>
      <c r="B4715" s="2" t="str">
        <f>IFERROR(__xludf.DUMMYFUNCTION("GOOGLETRANSLATE(A4715, ""en"", ""mt"")"),"Għaliex il-Fratellanza Musulmana ffaċilitat ċerimonji rħas taż-żwieġ tal-massa?")</f>
        <v>Għaliex il-Fratellanza Musulmana ffaċilitat ċerimonji rħas taż-żwieġ tal-massa?</v>
      </c>
    </row>
    <row r="4716" ht="15.75" customHeight="1">
      <c r="A4716" s="2" t="s">
        <v>4716</v>
      </c>
      <c r="B4716" s="2" t="str">
        <f>IFERROR(__xludf.DUMMYFUNCTION("GOOGLETRANSLATE(A4716, ""en"", ""mt"")"),"Televiżjoni sewda u bajda")</f>
        <v>Televiżjoni sewda u bajda</v>
      </c>
    </row>
    <row r="4717" ht="15.75" customHeight="1">
      <c r="A4717" s="2" t="s">
        <v>4717</v>
      </c>
      <c r="B4717" s="2" t="str">
        <f>IFERROR(__xludf.DUMMYFUNCTION("GOOGLETRANSLATE(A4717, ""en"", ""mt"")"),"Fl-1942, kif kien imsejjaħ qabel it-Tramuntana ta 'Fresno?")</f>
        <v>Fl-1942, kif kien imsejjaħ qabel it-Tramuntana ta 'Fresno?</v>
      </c>
    </row>
    <row r="4718" ht="15.75" customHeight="1">
      <c r="A4718" s="2" t="s">
        <v>4718</v>
      </c>
      <c r="B4718" s="2" t="str">
        <f>IFERROR(__xludf.DUMMYFUNCTION("GOOGLETRANSLATE(A4718, ""en"", ""mt"")"),"Sainte Foy fil-Quebec")</f>
        <v>Sainte Foy fil-Quebec</v>
      </c>
    </row>
    <row r="4719" ht="15.75" customHeight="1">
      <c r="A4719" s="2" t="s">
        <v>4719</v>
      </c>
      <c r="B4719" s="2" t="str">
        <f>IFERROR(__xludf.DUMMYFUNCTION("GOOGLETRANSLATE(A4719, ""en"", ""mt"")"),"Iżlamiżmu")</f>
        <v>Iżlamiżmu</v>
      </c>
    </row>
    <row r="4720" ht="15.75" customHeight="1">
      <c r="A4720" s="2" t="s">
        <v>4720</v>
      </c>
      <c r="B4720" s="2" t="str">
        <f>IFERROR(__xludf.DUMMYFUNCTION("GOOGLETRANSLATE(A4720, ""en"", ""mt"")"),"Meta l-Wahhabi ħatfet il-moskea grandjuża f'Mekka?")</f>
        <v>Meta l-Wahhabi ħatfet il-moskea grandjuża f'Mekka?</v>
      </c>
    </row>
    <row r="4721" ht="15.75" customHeight="1">
      <c r="A4721" s="2" t="s">
        <v>4721</v>
      </c>
      <c r="B4721" s="2" t="str">
        <f>IFERROR(__xludf.DUMMYFUNCTION("GOOGLETRANSLATE(A4721, ""en"", ""mt"")"),"Meta kienu qed jintużaw immaġini biex jippromwovu t-tixrid tal-Luteraniżmu?")</f>
        <v>Meta kienu qed jintużaw immaġini biex jippromwovu t-tixrid tal-Luteraniżmu?</v>
      </c>
    </row>
    <row r="4722" ht="15.75" customHeight="1">
      <c r="A4722" s="2" t="s">
        <v>4722</v>
      </c>
      <c r="B4722" s="2" t="str">
        <f>IFERROR(__xludf.DUMMYFUNCTION("GOOGLETRANSLATE(A4722, ""en"", ""mt"")"),"1505")</f>
        <v>1505</v>
      </c>
    </row>
    <row r="4723" ht="15.75" customHeight="1">
      <c r="A4723" s="2" t="s">
        <v>4723</v>
      </c>
      <c r="B4723" s="2" t="str">
        <f>IFERROR(__xludf.DUMMYFUNCTION("GOOGLETRANSLATE(A4723, ""en"", ""mt"")"),"Il-pesta kif infiltrat Lixandra?")</f>
        <v>Il-pesta kif infiltrat Lixandra?</v>
      </c>
    </row>
    <row r="4724" ht="15.75" customHeight="1">
      <c r="A4724" s="2" t="s">
        <v>4724</v>
      </c>
      <c r="B4724" s="2" t="str">
        <f>IFERROR(__xludf.DUMMYFUNCTION("GOOGLETRANSLATE(A4724, ""en"", ""mt"")"),"Kemm segwaċi għandhom il-Knisja Presbiterjana tal-Afrika tal-Lvant?")</f>
        <v>Kemm segwaċi għandhom il-Knisja Presbiterjana tal-Afrika tal-Lvant?</v>
      </c>
    </row>
    <row r="4725" ht="15.75" customHeight="1">
      <c r="A4725" s="2" t="s">
        <v>4725</v>
      </c>
      <c r="B4725" s="2" t="str">
        <f>IFERROR(__xludf.DUMMYFUNCTION("GOOGLETRANSLATE(A4725, ""en"", ""mt"")"),"$ 7.5 miljun")</f>
        <v>$ 7.5 miljun</v>
      </c>
    </row>
    <row r="4726" ht="15.75" customHeight="1">
      <c r="A4726" s="2" t="s">
        <v>4726</v>
      </c>
      <c r="B4726" s="2" t="str">
        <f>IFERROR(__xludf.DUMMYFUNCTION("GOOGLETRANSLATE(A4726, ""en"", ""mt"")"),"X'inhi l-iskrizzjoni ta 'dawk li għadhom ma ggradwawx f'Harvard?")</f>
        <v>X'inhi l-iskrizzjoni ta 'dawk li għadhom ma ggradwawx f'Harvard?</v>
      </c>
    </row>
    <row r="4727" ht="15.75" customHeight="1">
      <c r="A4727" s="2" t="s">
        <v>4727</v>
      </c>
      <c r="B4727" s="2" t="str">
        <f>IFERROR(__xludf.DUMMYFUNCTION("GOOGLETRANSLATE(A4727, ""en"", ""mt"")"),"63")</f>
        <v>63</v>
      </c>
    </row>
    <row r="4728" ht="15.75" customHeight="1">
      <c r="A4728" s="2" t="s">
        <v>4728</v>
      </c>
      <c r="B4728" s="2" t="str">
        <f>IFERROR(__xludf.DUMMYFUNCTION("GOOGLETRANSLATE(A4728, ""en"", ""mt"")"),"X'inhu l-isem Olandiż għar-Rhine?")</f>
        <v>X'inhu l-isem Olandiż għar-Rhine?</v>
      </c>
    </row>
    <row r="4729" ht="15.75" customHeight="1">
      <c r="A4729" s="2" t="s">
        <v>4729</v>
      </c>
      <c r="B4729" s="2" t="str">
        <f>IFERROR(__xludf.DUMMYFUNCTION("GOOGLETRANSLATE(A4729, ""en"", ""mt"")"),"enżimi li jipproteġu kontra infezzjonijiet tal-batterjofagi")</f>
        <v>enżimi li jipproteġu kontra infezzjonijiet tal-batterjofagi</v>
      </c>
    </row>
    <row r="4730" ht="15.75" customHeight="1">
      <c r="A4730" s="2" t="s">
        <v>4730</v>
      </c>
      <c r="B4730" s="2" t="str">
        <f>IFERROR(__xludf.DUMMYFUNCTION("GOOGLETRANSLATE(A4730, ""en"", ""mt"")"),"Sensing mill-bogħod")</f>
        <v>Sensing mill-bogħod</v>
      </c>
    </row>
    <row r="4731" ht="15.75" customHeight="1">
      <c r="A4731" s="2" t="s">
        <v>4731</v>
      </c>
      <c r="B4731" s="2" t="str">
        <f>IFERROR(__xludf.DUMMYFUNCTION("GOOGLETRANSLATE(A4731, ""en"", ""mt"")"),"L-Assemblea Leġiżlattiva")</f>
        <v>L-Assemblea Leġiżlattiva</v>
      </c>
    </row>
    <row r="4732" ht="15.75" customHeight="1">
      <c r="A4732" s="2" t="s">
        <v>4732</v>
      </c>
      <c r="B4732" s="2" t="str">
        <f>IFERROR(__xludf.DUMMYFUNCTION("GOOGLETRANSLATE(A4732, ""en"", ""mt"")"),"prodotti sekondarji perikolużi")</f>
        <v>prodotti sekondarji perikolużi</v>
      </c>
    </row>
    <row r="4733" ht="15.75" customHeight="1">
      <c r="A4733" s="2" t="s">
        <v>4733</v>
      </c>
      <c r="B4733" s="2" t="str">
        <f>IFERROR(__xludf.DUMMYFUNCTION("GOOGLETRANSLATE(A4733, ""en"", ""mt"")"),"Segretarjat Wing")</f>
        <v>Segretarjat Wing</v>
      </c>
    </row>
    <row r="4734" ht="15.75" customHeight="1">
      <c r="A4734" s="2" t="s">
        <v>4734</v>
      </c>
      <c r="B4734" s="2" t="str">
        <f>IFERROR(__xludf.DUMMYFUNCTION("GOOGLETRANSLATE(A4734, ""en"", ""mt"")"),"Min kiteb il-ktieb ""Kapitali fis-Seklu Għoxrin""?")</f>
        <v>Min kiteb il-ktieb "Kapitali fis-Seklu Għoxrin"?</v>
      </c>
    </row>
    <row r="4735" ht="15.75" customHeight="1">
      <c r="A4735" s="2" t="s">
        <v>4735</v>
      </c>
      <c r="B4735" s="2" t="str">
        <f>IFERROR(__xludf.DUMMYFUNCTION("GOOGLETRANSLATE(A4735, ""en"", ""mt"")"),"Ingħaqad ma 'Politeknika jew kulleġġ tekniku ieħor u studja għal tliet snin jew ipproċedi direttament fl-università u studja għal erba' snin")</f>
        <v>Ingħaqad ma 'Politeknika jew kulleġġ tekniku ieħor u studja għal tliet snin jew ipproċedi direttament fl-università u studja għal erba' snin</v>
      </c>
    </row>
    <row r="4736" ht="15.75" customHeight="1">
      <c r="A4736" s="2" t="s">
        <v>4736</v>
      </c>
      <c r="B4736" s="2" t="str">
        <f>IFERROR(__xludf.DUMMYFUNCTION("GOOGLETRANSLATE(A4736, ""en"", ""mt"")"),"1886/1887")</f>
        <v>1886/1887</v>
      </c>
    </row>
    <row r="4737" ht="15.75" customHeight="1">
      <c r="A4737" s="2" t="s">
        <v>4737</v>
      </c>
      <c r="B4737" s="2" t="str">
        <f>IFERROR(__xludf.DUMMYFUNCTION("GOOGLETRANSLATE(A4737, ""en"", ""mt"")"),"382")</f>
        <v>382</v>
      </c>
    </row>
    <row r="4738" ht="15.75" customHeight="1">
      <c r="A4738" s="2" t="s">
        <v>4738</v>
      </c>
      <c r="B4738" s="2" t="str">
        <f>IFERROR(__xludf.DUMMYFUNCTION("GOOGLETRANSLATE(A4738, ""en"", ""mt"")"),"Wahhabi / Salafi Jihadist Extremist Militant")</f>
        <v>Wahhabi / Salafi Jihadist Extremist Militant</v>
      </c>
    </row>
    <row r="4739" ht="15.75" customHeight="1">
      <c r="A4739" s="2" t="s">
        <v>4739</v>
      </c>
      <c r="B4739" s="2" t="str">
        <f>IFERROR(__xludf.DUMMYFUNCTION("GOOGLETRANSLATE(A4739, ""en"", ""mt"")"),"radjali")</f>
        <v>radjali</v>
      </c>
    </row>
    <row r="4740" ht="15.75" customHeight="1">
      <c r="A4740" s="2" t="s">
        <v>4740</v>
      </c>
      <c r="B4740" s="2" t="str">
        <f>IFERROR(__xludf.DUMMYFUNCTION("GOOGLETRANSLATE(A4740, ""en"", ""mt"")"),"Kemm l-ewwel downs kellu Denver?")</f>
        <v>Kemm l-ewwel downs kellu Denver?</v>
      </c>
    </row>
    <row r="4741" ht="15.75" customHeight="1">
      <c r="A4741" s="2" t="s">
        <v>4741</v>
      </c>
      <c r="B4741" s="2" t="str">
        <f>IFERROR(__xludf.DUMMYFUNCTION("GOOGLETRANSLATE(A4741, ""en"", ""mt"")"),"F'liema intervall huma wħud mill-ikbar primes mingħajr forma distinta skoperta?")</f>
        <v>F'liema intervall huma wħud mill-ikbar primes mingħajr forma distinta skoperta?</v>
      </c>
    </row>
    <row r="4742" ht="15.75" customHeight="1">
      <c r="A4742" s="2" t="s">
        <v>4742</v>
      </c>
      <c r="B4742" s="2" t="str">
        <f>IFERROR(__xludf.DUMMYFUNCTION("GOOGLETRANSLATE(A4742, ""en"", ""mt"")"),"tobba u professjonisti oħra tal-kura tas-saħħa")</f>
        <v>tobba u professjonisti oħra tal-kura tas-saħħa</v>
      </c>
    </row>
    <row r="4743" ht="15.75" customHeight="1">
      <c r="A4743" s="2" t="s">
        <v>4743</v>
      </c>
      <c r="B4743" s="2" t="str">
        <f>IFERROR(__xludf.DUMMYFUNCTION("GOOGLETRANSLATE(A4743, ""en"", ""mt"")"),"X'kien l-isem tal-HD Channel l-ieħor Virgin Media jista 'jġorr fil-futur?")</f>
        <v>X'kien l-isem tal-HD Channel l-ieħor Virgin Media jista 'jġorr fil-futur?</v>
      </c>
    </row>
    <row r="4744" ht="15.75" customHeight="1">
      <c r="A4744" s="2" t="s">
        <v>4744</v>
      </c>
      <c r="B4744" s="2" t="str">
        <f>IFERROR(__xludf.DUMMYFUNCTION("GOOGLETRANSLATE(A4744, ""en"", ""mt"")"),"Dwar il-kumplessità tal-komputazzjoni tal-algoritmi")</f>
        <v>Dwar il-kumplessità tal-komputazzjoni tal-algoritmi</v>
      </c>
    </row>
    <row r="4745" ht="15.75" customHeight="1">
      <c r="A4745" s="2" t="s">
        <v>4745</v>
      </c>
      <c r="B4745" s="2" t="str">
        <f>IFERROR(__xludf.DUMMYFUNCTION("GOOGLETRANSLATE(A4745, ""en"", ""mt"")"),"Ċelloli qattiela naturali")</f>
        <v>Ċelloli qattiela naturali</v>
      </c>
    </row>
    <row r="4746" ht="15.75" customHeight="1">
      <c r="A4746" s="2" t="s">
        <v>4746</v>
      </c>
      <c r="B4746" s="2" t="str">
        <f>IFERROR(__xludf.DUMMYFUNCTION("GOOGLETRANSLATE(A4746, ""en"", ""mt"")"),"In-Netwerk Tradizzjonali tat-Tifel Qadim")</f>
        <v>In-Netwerk Tradizzjonali tat-Tifel Qadim</v>
      </c>
    </row>
    <row r="4747" ht="15.75" customHeight="1">
      <c r="A4747" s="2" t="s">
        <v>4747</v>
      </c>
      <c r="B4747" s="2" t="str">
        <f>IFERROR(__xludf.DUMMYFUNCTION("GOOGLETRANSLATE(A4747, ""en"", ""mt"")"),"Meta nbena t-teatru tat-torri?")</f>
        <v>Meta nbena t-teatru tat-torri?</v>
      </c>
    </row>
    <row r="4748" ht="15.75" customHeight="1">
      <c r="A4748" s="2" t="s">
        <v>4748</v>
      </c>
      <c r="B4748" s="2" t="str">
        <f>IFERROR(__xludf.DUMMYFUNCTION("GOOGLETRANSLATE(A4748, ""en"", ""mt"")"),"Liema Indjan famuż ipprattika d-diżubbidjenza ċivili?")</f>
        <v>Liema Indjan famuż ipprattika d-diżubbidjenza ċivili?</v>
      </c>
    </row>
    <row r="4749" ht="15.75" customHeight="1">
      <c r="A4749" s="2" t="s">
        <v>4749</v>
      </c>
      <c r="B4749" s="2" t="str">
        <f>IFERROR(__xludf.DUMMYFUNCTION("GOOGLETRANSLATE(A4749, ""en"", ""mt"")"),"Il-fwar jaħrab")</f>
        <v>Il-fwar jaħrab</v>
      </c>
    </row>
    <row r="4750" ht="15.75" customHeight="1">
      <c r="A4750" s="2" t="s">
        <v>4750</v>
      </c>
      <c r="B4750" s="2" t="str">
        <f>IFERROR(__xludf.DUMMYFUNCTION("GOOGLETRANSLATE(A4750, ""en"", ""mt"")"),"Bitħa li tmiss mal-Assemblea tas-Sala")</f>
        <v>Bitħa li tmiss mal-Assemblea tas-Sala</v>
      </c>
    </row>
    <row r="4751" ht="15.75" customHeight="1">
      <c r="A4751" s="2" t="s">
        <v>4751</v>
      </c>
      <c r="B4751" s="2" t="str">
        <f>IFERROR(__xludf.DUMMYFUNCTION("GOOGLETRANSLATE(A4751, ""en"", ""mt"")"),"malajr")</f>
        <v>malajr</v>
      </c>
    </row>
    <row r="4752" ht="15.75" customHeight="1">
      <c r="A4752" s="2" t="s">
        <v>4752</v>
      </c>
      <c r="B4752" s="2" t="str">
        <f>IFERROR(__xludf.DUMMYFUNCTION("GOOGLETRANSLATE(A4752, ""en"", ""mt"")"),"68,511")</f>
        <v>68,511</v>
      </c>
    </row>
    <row r="4753" ht="15.75" customHeight="1">
      <c r="A4753" s="2" t="s">
        <v>4753</v>
      </c>
      <c r="B4753" s="2" t="str">
        <f>IFERROR(__xludf.DUMMYFUNCTION("GOOGLETRANSLATE(A4753, ""en"", ""mt"")"),"Kemm stati Amerikani ma jipprattikaw il-kastig korporali?")</f>
        <v>Kemm stati Amerikani ma jipprattikaw il-kastig korporali?</v>
      </c>
    </row>
    <row r="4754" ht="15.75" customHeight="1">
      <c r="A4754" s="2" t="s">
        <v>4754</v>
      </c>
      <c r="B4754" s="2" t="str">
        <f>IFERROR(__xludf.DUMMYFUNCTION("GOOGLETRANSLATE(A4754, ""en"", ""mt"")"),"Robert Bork")</f>
        <v>Robert Bork</v>
      </c>
    </row>
    <row r="4755" ht="15.75" customHeight="1">
      <c r="A4755" s="2" t="s">
        <v>4755</v>
      </c>
      <c r="B4755" s="2" t="str">
        <f>IFERROR(__xludf.DUMMYFUNCTION("GOOGLETRANSLATE(A4755, ""en"", ""mt"")"),"Sintesi ta 'isopentenyl pyrophosphate")</f>
        <v>Sintesi ta 'isopentenyl pyrophosphate</v>
      </c>
    </row>
    <row r="4756" ht="15.75" customHeight="1">
      <c r="A4756" s="2" t="s">
        <v>4756</v>
      </c>
      <c r="B4756" s="2" t="str">
        <f>IFERROR(__xludf.DUMMYFUNCTION("GOOGLETRANSLATE(A4756, ""en"", ""mt"")"),"WTRF-TV")</f>
        <v>WTRF-TV</v>
      </c>
    </row>
    <row r="4757" ht="15.75" customHeight="1">
      <c r="A4757" s="2" t="s">
        <v>4757</v>
      </c>
      <c r="B4757" s="2" t="str">
        <f>IFERROR(__xludf.DUMMYFUNCTION("GOOGLETRANSLATE(A4757, ""en"", ""mt"")"),"twemmin reliġjuż")</f>
        <v>twemmin reliġjuż</v>
      </c>
    </row>
    <row r="4758" ht="15.75" customHeight="1">
      <c r="A4758" s="2" t="s">
        <v>4758</v>
      </c>
      <c r="B4758" s="2" t="str">
        <f>IFERROR(__xludf.DUMMYFUNCTION("GOOGLETRANSLATE(A4758, ""en"", ""mt"")"),"Tneħħi l-istat ta ’Iżrael")</f>
        <v>Tneħħi l-istat ta ’Iżrael</v>
      </c>
    </row>
    <row r="4759" ht="15.75" customHeight="1">
      <c r="A4759" s="2" t="s">
        <v>4759</v>
      </c>
      <c r="B4759" s="2" t="str">
        <f>IFERROR(__xludf.DUMMYFUNCTION("GOOGLETRANSLATE(A4759, ""en"", ""mt"")"),"Martin Luther")</f>
        <v>Martin Luther</v>
      </c>
    </row>
    <row r="4760" ht="15.75" customHeight="1">
      <c r="A4760" s="2" t="s">
        <v>4760</v>
      </c>
      <c r="B4760" s="2" t="str">
        <f>IFERROR(__xludf.DUMMYFUNCTION("GOOGLETRANSLATE(A4760, ""en"", ""mt"")"),"ċilindru")</f>
        <v>ċilindru</v>
      </c>
    </row>
    <row r="4761" ht="15.75" customHeight="1">
      <c r="A4761" s="2" t="s">
        <v>4761</v>
      </c>
      <c r="B4761" s="2" t="str">
        <f>IFERROR(__xludf.DUMMYFUNCTION("GOOGLETRANSLATE(A4761, ""en"", ""mt"")"),"Għal liema korp huma ċerti poteri speċifikati espliċitament bħala riservati?")</f>
        <v>Għal liema korp huma ċerti poteri speċifikati espliċitament bħala riservati?</v>
      </c>
    </row>
    <row r="4762" ht="15.75" customHeight="1">
      <c r="A4762" s="2" t="s">
        <v>4762</v>
      </c>
      <c r="B4762" s="2" t="str">
        <f>IFERROR(__xludf.DUMMYFUNCTION("GOOGLETRANSLATE(A4762, ""en"", ""mt"")"),"Kemm hemm viċi presidenti fuq il-bord tal-istudenti?")</f>
        <v>Kemm hemm viċi presidenti fuq il-bord tal-istudenti?</v>
      </c>
    </row>
    <row r="4763" ht="15.75" customHeight="1">
      <c r="A4763" s="2" t="s">
        <v>4763</v>
      </c>
      <c r="B4763" s="2" t="str">
        <f>IFERROR(__xludf.DUMMYFUNCTION("GOOGLETRANSLATE(A4763, ""en"", ""mt"")"),"ikkonċentrat fil-weraq")</f>
        <v>ikkonċentrat fil-weraq</v>
      </c>
    </row>
    <row r="4764" ht="15.75" customHeight="1">
      <c r="A4764" s="2" t="s">
        <v>4764</v>
      </c>
      <c r="B4764" s="2" t="str">
        <f>IFERROR(__xludf.DUMMYFUNCTION("GOOGLETRANSLATE(A4764, ""en"", ""mt"")"),"Jiddependi fuq is-saħħa ta 'kull parti fil-Parlament")</f>
        <v>Jiddependi fuq is-saħħa ta 'kull parti fil-Parlament</v>
      </c>
    </row>
    <row r="4765" ht="15.75" customHeight="1">
      <c r="A4765" s="2" t="s">
        <v>4765</v>
      </c>
      <c r="B4765" s="2" t="str">
        <f>IFERROR(__xludf.DUMMYFUNCTION("GOOGLETRANSLATE(A4765, ""en"", ""mt"")"),"Min hu l-kowċ ewlieni tal-Broncos?")</f>
        <v>Min hu l-kowċ ewlieni tal-Broncos?</v>
      </c>
    </row>
    <row r="4766" ht="15.75" customHeight="1">
      <c r="A4766" s="2" t="s">
        <v>4766</v>
      </c>
      <c r="B4766" s="2" t="str">
        <f>IFERROR(__xludf.DUMMYFUNCTION("GOOGLETRANSLATE(A4766, ""en"", ""mt"")"),"Meta ġie eżaminat Luther f'Augsburg mill-Lega Papali?")</f>
        <v>Meta ġie eżaminat Luther f'Augsburg mill-Lega Papali?</v>
      </c>
    </row>
    <row r="4767" ht="15.75" customHeight="1">
      <c r="A4767" s="2" t="s">
        <v>4767</v>
      </c>
      <c r="B4767" s="2" t="str">
        <f>IFERROR(__xludf.DUMMYFUNCTION("GOOGLETRANSLATE(A4767, ""en"", ""mt"")"),"Forza gravitazzjonali")</f>
        <v>Forza gravitazzjonali</v>
      </c>
    </row>
    <row r="4768" ht="15.75" customHeight="1">
      <c r="A4768" s="2" t="s">
        <v>4768</v>
      </c>
      <c r="B4768" s="2" t="str">
        <f>IFERROR(__xludf.DUMMYFUNCTION("GOOGLETRANSLATE(A4768, ""en"", ""mt"")"),"Ħamsa")</f>
        <v>Ħamsa</v>
      </c>
    </row>
    <row r="4769" ht="15.75" customHeight="1">
      <c r="A4769" s="2" t="s">
        <v>4769</v>
      </c>
      <c r="B4769" s="2" t="str">
        <f>IFERROR(__xludf.DUMMYFUNCTION("GOOGLETRANSLATE(A4769, ""en"", ""mt"")"),"Il-prinċipju tas-suċċessjoni faunali huwa bbażat fuq id-dehra tal-fossili fil-blat sedimentarji. Hekk kif jeżistu organiżmi fl-istess perjodu ta 'żmien madwar id-dinja, il-preżenza tagħhom jew (xi kultant) assenza tista' tintuża biex tipprovdi età relatti"&amp;"va tal-formazzjonijiet li fihom jinstabu. Ibbażat fuq prinċipji stipulati minn William Smith kważi mitt sena qabel il-pubblikazzjoni tat-teorija ta 'Charles Darwin dwar l-evoluzzjoni, il-prinċipji ta' suċċessjoni ġew żviluppati indipendentement mill-ħsieb"&amp;" evoluzzjonarju. Il-prinċipju jsir pjuttost kumpless, madankollu, minħabba l-inċertezzi tal-fossilizzazzjoni, il-lokalizzazzjoni ta 'tipi ta' fossili minħabba bidliet laterali fl-abitat (faces jinbidlu fl-istrati sedimentarji), u li mhux il-fossili kollha"&amp;" jistgħu jinstabu globalment fl-istess ħin.")</f>
        <v>Il-prinċipju tas-suċċessjoni faunali huwa bbażat fuq id-dehra tal-fossili fil-blat sedimentarji. Hekk kif jeżistu organiżmi fl-istess perjodu ta 'żmien madwar id-dinja, il-preżenza tagħhom jew (xi kultant) assenza tista' tintuża biex tipprovdi età relattiva tal-formazzjonijiet li fihom jinstabu. Ibbażat fuq prinċipji stipulati minn William Smith kważi mitt sena qabel il-pubblikazzjoni tat-teorija ta 'Charles Darwin dwar l-evoluzzjoni, il-prinċipji ta' suċċessjoni ġew żviluppati indipendentement mill-ħsieb evoluzzjonarju. Il-prinċipju jsir pjuttost kumpless, madankollu, minħabba l-inċertezzi tal-fossilizzazzjoni, il-lokalizzazzjoni ta 'tipi ta' fossili minħabba bidliet laterali fl-abitat (faces jinbidlu fl-istrati sedimentarji), u li mhux il-fossili kollha jistgħu jinstabu globalment fl-istess ħin.</v>
      </c>
    </row>
    <row r="4770" ht="15.75" customHeight="1">
      <c r="A4770" s="2" t="s">
        <v>4770</v>
      </c>
      <c r="B4770" s="2" t="str">
        <f>IFERROR(__xludf.DUMMYFUNCTION("GOOGLETRANSLATE(A4770, ""en"", ""mt"")"),"Superheaters")</f>
        <v>Superheaters</v>
      </c>
    </row>
    <row r="4771" ht="15.75" customHeight="1">
      <c r="A4771" s="2" t="s">
        <v>4771</v>
      </c>
      <c r="B4771" s="2" t="str">
        <f>IFERROR(__xludf.DUMMYFUNCTION("GOOGLETRANSLATE(A4771, ""en"", ""mt"")"),"X'inhu l-fluwidu tipiku tax-xogħol f'magna tal-fwar?")</f>
        <v>X'inhu l-fluwidu tipiku tax-xogħol f'magna tal-fwar?</v>
      </c>
    </row>
    <row r="4772" ht="15.75" customHeight="1">
      <c r="A4772" s="2" t="s">
        <v>4772</v>
      </c>
      <c r="B4772" s="2" t="str">
        <f>IFERROR(__xludf.DUMMYFUNCTION("GOOGLETRANSLATE(A4772, ""en"", ""mt"")"),"solidarjetà")</f>
        <v>solidarjetà</v>
      </c>
    </row>
    <row r="4773" ht="15.75" customHeight="1">
      <c r="A4773" s="2" t="s">
        <v>4773</v>
      </c>
      <c r="B4773" s="2" t="str">
        <f>IFERROR(__xludf.DUMMYFUNCTION("GOOGLETRANSLATE(A4773, ""en"", ""mt"")"),"2p - 1, bi P a prim")</f>
        <v>2p - 1, bi P a prim</v>
      </c>
    </row>
    <row r="4774" ht="15.75" customHeight="1">
      <c r="A4774" s="2" t="s">
        <v>4774</v>
      </c>
      <c r="B4774" s="2" t="str">
        <f>IFERROR(__xludf.DUMMYFUNCTION("GOOGLETRANSLATE(A4774, ""en"", ""mt"")"),"bini ta 'dħul ġdid")</f>
        <v>bini ta 'dħul ġdid</v>
      </c>
    </row>
    <row r="4775" ht="15.75" customHeight="1">
      <c r="A4775" s="2" t="s">
        <v>4775</v>
      </c>
      <c r="B4775" s="2" t="str">
        <f>IFERROR(__xludf.DUMMYFUNCTION("GOOGLETRANSLATE(A4775, ""en"", ""mt"")"),"Liema residenti ta 'Bukhara ġew meħlusa u mibgħuta lura lejn il-Mongolja?")</f>
        <v>Liema residenti ta 'Bukhara ġew meħlusa u mibgħuta lura lejn il-Mongolja?</v>
      </c>
    </row>
    <row r="4776" ht="15.75" customHeight="1">
      <c r="A4776" s="2" t="s">
        <v>4776</v>
      </c>
      <c r="B4776" s="2" t="str">
        <f>IFERROR(__xludf.DUMMYFUNCTION("GOOGLETRANSLATE(A4776, ""en"", ""mt"")"),"Qorti Suprema ta 'l-Istati Uniti")</f>
        <v>Qorti Suprema ta 'l-Istati Uniti</v>
      </c>
    </row>
    <row r="4777" ht="15.75" customHeight="1">
      <c r="A4777" s="2" t="s">
        <v>4777</v>
      </c>
      <c r="B4777" s="2" t="str">
        <f>IFERROR(__xludf.DUMMYFUNCTION("GOOGLETRANSLATE(A4777, ""en"", ""mt"")"),"Lewkoċiti (ċelloli bojod tad-demm) jaġixxu bħal organiżmi indipendenti b'ċelluli singoli u huma t-tieni fergħa tas-sistema immuni innata. Il-lewkoċiti innati jinkludu l-fagoċiti (makrofaġi, newtrofili, u ċelloli dendritiċi), ċelloli mast, eosinophils, bas"&amp;"ophils, u ċelloli qattiela naturali. Dawn iċ-ċelloli jidentifikaw u jeliminaw il-patoġeni, jew billi jattakkaw patoġeni akbar permezz ta 'kuntatt jew billi jinħadmu u mbagħad joqtlu mikro-organiżmi. Iċ-ċelloli innati huma wkoll medjaturi importanti fl-att"&amp;"ivazzjoni tas-sistema immunitarja adattiva.")</f>
        <v>Lewkoċiti (ċelloli bojod tad-demm) jaġixxu bħal organiżmi indipendenti b'ċelluli singoli u huma t-tieni fergħa tas-sistema immuni innata. Il-lewkoċiti innati jinkludu l-fagoċiti (makrofaġi, newtrofili, u ċelloli dendritiċi), ċelloli mast, eosinophils, basophils, u ċelloli qattiela naturali. Dawn iċ-ċelloli jidentifikaw u jeliminaw il-patoġeni, jew billi jattakkaw patoġeni akbar permezz ta 'kuntatt jew billi jinħadmu u mbagħad joqtlu mikro-organiżmi. Iċ-ċelloli innati huma wkoll medjaturi importanti fl-attivazzjoni tas-sistema immunitarja adattiva.</v>
      </c>
    </row>
    <row r="4778" ht="15.75" customHeight="1">
      <c r="A4778" s="2" t="s">
        <v>4778</v>
      </c>
      <c r="B4778" s="2" t="str">
        <f>IFERROR(__xludf.DUMMYFUNCTION("GOOGLETRANSLATE(A4778, ""en"", ""mt"")"),"tilwima fuq il-kontroll")</f>
        <v>tilwima fuq il-kontroll</v>
      </c>
    </row>
    <row r="4779" ht="15.75" customHeight="1">
      <c r="A4779" s="2" t="s">
        <v>4779</v>
      </c>
      <c r="B4779" s="2" t="str">
        <f>IFERROR(__xludf.DUMMYFUNCTION("GOOGLETRANSLATE(A4779, ""en"", ""mt"")"),"Meta sabet il-Qorti Għolja Ingliża li l-użu ta 'Microsoft tat-terminu ""SkyDrive"" kiser id-dritt ta' Sky?")</f>
        <v>Meta sabet il-Qorti Għolja Ingliża li l-użu ta 'Microsoft tat-terminu "SkyDrive" kiser id-dritt ta' Sky?</v>
      </c>
    </row>
    <row r="4780" ht="15.75" customHeight="1">
      <c r="A4780" s="2" t="s">
        <v>4780</v>
      </c>
      <c r="B4780" s="2" t="str">
        <f>IFERROR(__xludf.DUMMYFUNCTION("GOOGLETRANSLATE(A4780, ""en"", ""mt"")"),"Bażi tal-metodoloġija")</f>
        <v>Bażi tal-metodoloġija</v>
      </c>
    </row>
    <row r="4781" ht="15.75" customHeight="1">
      <c r="A4781" s="2" t="s">
        <v>4781</v>
      </c>
      <c r="B4781" s="2" t="str">
        <f>IFERROR(__xludf.DUMMYFUNCTION("GOOGLETRANSLATE(A4781, ""en"", ""mt"")"),"Kien hemm tentattiv biex tirriforma l-liġi kostituzzjonali tal-Unjoni Ewropea u tagħmilha aktar trasparenti")</f>
        <v>Kien hemm tentattiv biex tirriforma l-liġi kostituzzjonali tal-Unjoni Ewropea u tagħmilha aktar trasparenti</v>
      </c>
    </row>
    <row r="4782" ht="15.75" customHeight="1">
      <c r="A4782" s="2" t="s">
        <v>4782</v>
      </c>
      <c r="B4782" s="2" t="str">
        <f>IFERROR(__xludf.DUMMYFUNCTION("GOOGLETRANSLATE(A4782, ""en"", ""mt"")"),"""Ġurnata ta 'tagħlim tar-rote u ta' spiss li tbati eżerċizzji spiritwali.""")</f>
        <v>"Ġurnata ta 'tagħlim tar-rote u ta' spiss li tbati eżerċizzji spiritwali."</v>
      </c>
    </row>
    <row r="4783" ht="15.75" customHeight="1">
      <c r="A4783" s="2" t="s">
        <v>4783</v>
      </c>
      <c r="B4783" s="2" t="str">
        <f>IFERROR(__xludf.DUMMYFUNCTION("GOOGLETRANSLATE(A4783, ""en"", ""mt"")"),"3.7 miljun metru kubu")</f>
        <v>3.7 miljun metru kubu</v>
      </c>
    </row>
    <row r="4784" ht="15.75" customHeight="1">
      <c r="A4784" s="2" t="s">
        <v>4784</v>
      </c>
      <c r="B4784" s="2" t="str">
        <f>IFERROR(__xludf.DUMMYFUNCTION("GOOGLETRANSLATE(A4784, ""en"", ""mt"")"),"imqassam b'mod aktar ugwali")</f>
        <v>imqassam b'mod aktar ugwali</v>
      </c>
    </row>
    <row r="4785" ht="15.75" customHeight="1">
      <c r="A4785" s="2" t="s">
        <v>4785</v>
      </c>
      <c r="B4785" s="2" t="str">
        <f>IFERROR(__xludf.DUMMYFUNCTION("GOOGLETRANSLATE(A4785, ""en"", ""mt"")"),"Liema sena l-interess finanzjarju u r-regoli tas-sindikazzjoni rriżultaw fid-deċiżjoni ta 'ABC li jaqsmu l-films ABC f'żewġ kumpaniji?")</f>
        <v>Liema sena l-interess finanzjarju u r-regoli tas-sindikazzjoni rriżultaw fid-deċiżjoni ta 'ABC li jaqsmu l-films ABC f'żewġ kumpaniji?</v>
      </c>
    </row>
    <row r="4786" ht="15.75" customHeight="1">
      <c r="A4786" s="2" t="s">
        <v>4786</v>
      </c>
      <c r="B4786" s="2" t="str">
        <f>IFERROR(__xludf.DUMMYFUNCTION("GOOGLETRANSLATE(A4786, ""en"", ""mt"")"),"bżonn ta 'alleanzi")</f>
        <v>bżonn ta 'alleanzi</v>
      </c>
    </row>
    <row r="4787" ht="15.75" customHeight="1">
      <c r="A4787" s="2" t="s">
        <v>4787</v>
      </c>
      <c r="B4787" s="2" t="str">
        <f>IFERROR(__xludf.DUMMYFUNCTION("GOOGLETRANSLATE(A4787, ""en"", ""mt"")"),"Sptar Ġenerali")</f>
        <v>Sptar Ġenerali</v>
      </c>
    </row>
    <row r="4788" ht="15.75" customHeight="1">
      <c r="A4788" s="2" t="s">
        <v>4788</v>
      </c>
      <c r="B4788" s="2" t="str">
        <f>IFERROR(__xludf.DUMMYFUNCTION("GOOGLETRANSLATE(A4788, ""en"", ""mt"")"),"Meta waqfet il-prattika tat-tapes li timsaħ?")</f>
        <v>Meta waqfet il-prattika tat-tapes li timsaħ?</v>
      </c>
    </row>
    <row r="4789" ht="15.75" customHeight="1">
      <c r="A4789" s="2" t="s">
        <v>4789</v>
      </c>
      <c r="B4789" s="2" t="str">
        <f>IFERROR(__xludf.DUMMYFUNCTION("GOOGLETRANSLATE(A4789, ""en"", ""mt"")"),"Fil-kunsilli")</f>
        <v>Fil-kunsilli</v>
      </c>
    </row>
    <row r="4790" ht="15.75" customHeight="1">
      <c r="A4790" s="2" t="s">
        <v>4790</v>
      </c>
      <c r="B4790" s="2" t="str">
        <f>IFERROR(__xludf.DUMMYFUNCTION("GOOGLETRANSLATE(A4790, ""en"", ""mt"")"),"flotta kompletament ġdida ta 'ferroviji")</f>
        <v>flotta kompletament ġdida ta 'ferroviji</v>
      </c>
    </row>
    <row r="4791" ht="15.75" customHeight="1">
      <c r="A4791" s="2" t="s">
        <v>4791</v>
      </c>
      <c r="B4791" s="2" t="str">
        <f>IFERROR(__xludf.DUMMYFUNCTION("GOOGLETRANSLATE(A4791, ""en"", ""mt"")"),"Għandha problemi biex tiddistingwi bejn id-dijossidu tal-karbonju u l-ossiġnu")</f>
        <v>Għandha problemi biex tiddistingwi bejn id-dijossidu tal-karbonju u l-ossiġnu</v>
      </c>
    </row>
    <row r="4792" ht="15.75" customHeight="1">
      <c r="A4792" s="2" t="s">
        <v>4792</v>
      </c>
      <c r="B4792" s="2" t="str">
        <f>IFERROR(__xludf.DUMMYFUNCTION("GOOGLETRANSLATE(A4792, ""en"", ""mt"")"),"X'kienet l-affiljat primarju tal-ABC ta 'Tampa qabel l-1994?")</f>
        <v>X'kienet l-affiljat primarju tal-ABC ta 'Tampa qabel l-1994?</v>
      </c>
    </row>
    <row r="4793" ht="15.75" customHeight="1">
      <c r="A4793" s="2" t="s">
        <v>4793</v>
      </c>
      <c r="B4793" s="2" t="str">
        <f>IFERROR(__xludf.DUMMYFUNCTION("GOOGLETRANSLATE(A4793, ""en"", ""mt"")"),"ċelloli bojod tad-demm")</f>
        <v>ċelloli bojod tad-demm</v>
      </c>
    </row>
    <row r="4794" ht="15.75" customHeight="1">
      <c r="A4794" s="2" t="s">
        <v>4794</v>
      </c>
      <c r="B4794" s="2" t="str">
        <f>IFERROR(__xludf.DUMMYFUNCTION("GOOGLETRANSLATE(A4794, ""en"", ""mt"")"),"l-assiomi tal-kumplessità tal-blum")</f>
        <v>l-assiomi tal-kumplessità tal-blum</v>
      </c>
    </row>
    <row r="4795" ht="15.75" customHeight="1">
      <c r="A4795" s="2" t="s">
        <v>4795</v>
      </c>
      <c r="B4795" s="2" t="str">
        <f>IFERROR(__xludf.DUMMYFUNCTION("GOOGLETRANSLATE(A4795, ""en"", ""mt"")"),"X’għamel pubblikament l-SNP dwar id-dħul taż-żejt?")</f>
        <v>X’għamel pubblikament l-SNP dwar id-dħul taż-żejt?</v>
      </c>
    </row>
    <row r="4796" ht="15.75" customHeight="1">
      <c r="A4796" s="2" t="s">
        <v>4796</v>
      </c>
      <c r="B4796" s="2" t="str">
        <f>IFERROR(__xludf.DUMMYFUNCTION("GOOGLETRANSLATE(A4796, ""en"", ""mt"")"),"Gauge Bosons")</f>
        <v>Gauge Bosons</v>
      </c>
    </row>
    <row r="4797" ht="15.75" customHeight="1">
      <c r="A4797" s="2" t="s">
        <v>4797</v>
      </c>
      <c r="B4797" s="2" t="str">
        <f>IFERROR(__xludf.DUMMYFUNCTION("GOOGLETRANSLATE(A4797, ""en"", ""mt"")"),"Tekniku tal-ispiżerija fir-Renju Unit huwa meqjus bħala professjonist fil-kura tas-saħħa u ħafna drabi ma jaħdimx taħt is-superviżjoni diretta ta 'spiżjar (jekk impjegat fi spiżerija fl-isptar) iżda minflok huwa sorveljat u mmaniġġjat minn tekniċi anzjani"&amp;" oħra tal-ispiżerija. Fir-Renju Unit ir-rwol ta 'PHT kiber u r-responsabbiltà ġiet mgħoddija lilhom biex jimmaniġġjaw id-dipartiment tal-ispiżerija u oqsma speċjalizzati fil-prattika tal-ispiżerija li jippermettu lill-ispiżjara l-ħin li jispeċjalizzaw fil"&amp;"-qasam espert tagħhom bħala konsulenti tal-medikazzjoni li jqattgħu aktar ħin jaħdmu ma' pazjenti u fi riċerka. Tekniku tal-ispiżerija ladarba jkun ikkwalifikat għandu jirreġistra bħala professjonist fir-reġistru ġenerali tal-Kunsill Farmaċewtiku (GPHC). "&amp;"Il-GPHC huwa l-korp li jiggverna għall-professjonisti tal-kura tas-saħħa tal-ispiżerija u dan huwa min jirregola l-prattika tal-ispiżjara u t-tekniċi tal-ispiżerija.")</f>
        <v>Tekniku tal-ispiżerija fir-Renju Unit huwa meqjus bħala professjonist fil-kura tas-saħħa u ħafna drabi ma jaħdimx taħt is-superviżjoni diretta ta 'spiżjar (jekk impjegat fi spiżerija fl-isptar) iżda minflok huwa sorveljat u mmaniġġjat minn tekniċi anzjani oħra tal-ispiżerija. Fir-Renju Unit ir-rwol ta 'PHT kiber u r-responsabbiltà ġiet mgħoddija lilhom biex jimmaniġġjaw id-dipartiment tal-ispiżerija u oqsma speċjalizzati fil-prattika tal-ispiżerija li jippermettu lill-ispiżjara l-ħin li jispeċjalizzaw fil-qasam espert tagħhom bħala konsulenti tal-medikazzjoni li jqattgħu aktar ħin jaħdmu ma' pazjenti u fi riċerka. Tekniku tal-ispiżerija ladarba jkun ikkwalifikat għandu jirreġistra bħala professjonist fir-reġistru ġenerali tal-Kunsill Farmaċewtiku (GPHC). Il-GPHC huwa l-korp li jiggverna għall-professjonisti tal-kura tas-saħħa tal-ispiżerija u dan huwa min jirregola l-prattika tal-ispiżjara u t-tekniċi tal-ispiżerija.</v>
      </c>
    </row>
    <row r="4798" ht="15.75" customHeight="1">
      <c r="A4798" s="2" t="s">
        <v>4798</v>
      </c>
      <c r="B4798" s="2" t="str">
        <f>IFERROR(__xludf.DUMMYFUNCTION("GOOGLETRANSLATE(A4798, ""en"", ""mt"")"),"King Charles III")</f>
        <v>King Charles III</v>
      </c>
    </row>
    <row r="4799" ht="15.75" customHeight="1">
      <c r="A4799" s="2" t="s">
        <v>4799</v>
      </c>
      <c r="B4799" s="2" t="str">
        <f>IFERROR(__xludf.DUMMYFUNCTION("GOOGLETRANSLATE(A4799, ""en"", ""mt"")"),"Stephen Eilmann juri liġi moħbija li tkisser fil-Ġermanja Nażista. Iċ-ċittadin illegalment kien qed jagħmel xiex?")</f>
        <v>Stephen Eilmann juri liġi moħbija li tkisser fil-Ġermanja Nażista. Iċ-ċittadin illegalment kien qed jagħmel xiex?</v>
      </c>
    </row>
    <row r="4800" ht="15.75" customHeight="1">
      <c r="A4800" s="2" t="s">
        <v>4800</v>
      </c>
      <c r="B4800" s="2" t="str">
        <f>IFERROR(__xludf.DUMMYFUNCTION("GOOGLETRANSLATE(A4800, ""en"", ""mt"")"),"1910–1940")</f>
        <v>1910–1940</v>
      </c>
    </row>
    <row r="4801" ht="15.75" customHeight="1">
      <c r="A4801" s="2" t="s">
        <v>4801</v>
      </c>
      <c r="B4801" s="2" t="str">
        <f>IFERROR(__xludf.DUMMYFUNCTION("GOOGLETRANSLATE(A4801, ""en"", ""mt"")"),"ma ġewx restawrati")</f>
        <v>ma ġewx restawrati</v>
      </c>
    </row>
    <row r="4802" ht="15.75" customHeight="1">
      <c r="A4802" s="2" t="s">
        <v>4802</v>
      </c>
      <c r="B4802" s="2" t="str">
        <f>IFERROR(__xludf.DUMMYFUNCTION("GOOGLETRANSLATE(A4802, ""en"", ""mt"")"),"L-aħħar massimu glaċjali")</f>
        <v>L-aħħar massimu glaċjali</v>
      </c>
    </row>
    <row r="4803" ht="15.75" customHeight="1">
      <c r="A4803" s="2" t="s">
        <v>4803</v>
      </c>
      <c r="B4803" s="2" t="str">
        <f>IFERROR(__xludf.DUMMYFUNCTION("GOOGLETRANSLATE(A4803, ""en"", ""mt"")"),"De Materia Medica")</f>
        <v>De Materia Medica</v>
      </c>
    </row>
    <row r="4804" ht="15.75" customHeight="1">
      <c r="A4804" s="2" t="s">
        <v>4804</v>
      </c>
      <c r="B4804" s="2" t="str">
        <f>IFERROR(__xludf.DUMMYFUNCTION("GOOGLETRANSLATE(A4804, ""en"", ""mt"")"),"gwerra")</f>
        <v>gwerra</v>
      </c>
    </row>
    <row r="4805" ht="15.75" customHeight="1">
      <c r="A4805" s="2" t="s">
        <v>4805</v>
      </c>
      <c r="B4805" s="2" t="str">
        <f>IFERROR(__xludf.DUMMYFUNCTION("GOOGLETRANSLATE(A4805, ""en"", ""mt"")"),"Salarji relattivament baxxi")</f>
        <v>Salarji relattivament baxxi</v>
      </c>
    </row>
    <row r="4806" ht="15.75" customHeight="1">
      <c r="A4806" s="2" t="s">
        <v>4806</v>
      </c>
      <c r="B4806" s="2" t="str">
        <f>IFERROR(__xludf.DUMMYFUNCTION("GOOGLETRANSLATE(A4806, ""en"", ""mt"")"),"Speċifiċità naturali")</f>
        <v>Speċifiċità naturali</v>
      </c>
    </row>
    <row r="4807" ht="15.75" customHeight="1">
      <c r="A4807" s="2" t="s">
        <v>4807</v>
      </c>
      <c r="B4807" s="2" t="str">
        <f>IFERROR(__xludf.DUMMYFUNCTION("GOOGLETRANSLATE(A4807, ""en"", ""mt"")"),"Minbarra l-kombustjoni, għal liema azzjoni oħra Mayow wera lil Nitroaereus responsabbli?")</f>
        <v>Minbarra l-kombustjoni, għal liema azzjoni oħra Mayow wera lil Nitroaereus responsabbli?</v>
      </c>
    </row>
    <row r="4808" ht="15.75" customHeight="1">
      <c r="A4808" s="2" t="s">
        <v>4808</v>
      </c>
      <c r="B4808" s="2" t="str">
        <f>IFERROR(__xludf.DUMMYFUNCTION("GOOGLETRANSLATE(A4808, ""en"", ""mt"")"),"Liema pożizzjoni lagħab Justin Tucker?")</f>
        <v>Liema pożizzjoni lagħab Justin Tucker?</v>
      </c>
    </row>
    <row r="4809" ht="15.75" customHeight="1">
      <c r="A4809" s="2" t="s">
        <v>4809</v>
      </c>
      <c r="B4809" s="2" t="str">
        <f>IFERROR(__xludf.DUMMYFUNCTION("GOOGLETRANSLATE(A4809, ""en"", ""mt"")"),"Riskji Ambjentali")</f>
        <v>Riskji Ambjentali</v>
      </c>
    </row>
    <row r="4810" ht="15.75" customHeight="1">
      <c r="A4810" s="2" t="s">
        <v>4810</v>
      </c>
      <c r="B4810" s="2" t="str">
        <f>IFERROR(__xludf.DUMMYFUNCTION("GOOGLETRANSLATE(A4810, ""en"", ""mt"")"),"Antenna ta 'faxxa S ta' qligħ għoli")</f>
        <v>Antenna ta 'faxxa S ta' qligħ għoli</v>
      </c>
    </row>
    <row r="4811" ht="15.75" customHeight="1">
      <c r="A4811" s="2" t="s">
        <v>4811</v>
      </c>
      <c r="B4811" s="2" t="str">
        <f>IFERROR(__xludf.DUMMYFUNCTION("GOOGLETRANSLATE(A4811, ""en"", ""mt"")"),"CBS u NBC")</f>
        <v>CBS u NBC</v>
      </c>
    </row>
    <row r="4812" ht="15.75" customHeight="1">
      <c r="A4812" s="2" t="s">
        <v>4812</v>
      </c>
      <c r="B4812" s="2" t="str">
        <f>IFERROR(__xludf.DUMMYFUNCTION("GOOGLETRANSLATE(A4812, ""en"", ""mt"")"),"Ordnijiet ta 'bidla identifikati jew bidliet fil-proġett li żiedu l-ispejjeż")</f>
        <v>Ordnijiet ta 'bidla identifikati jew bidliet fil-proġett li żiedu l-ispejjeż</v>
      </c>
    </row>
    <row r="4813" ht="15.75" customHeight="1">
      <c r="A4813" s="2" t="s">
        <v>4813</v>
      </c>
      <c r="B4813" s="2" t="str">
        <f>IFERROR(__xludf.DUMMYFUNCTION("GOOGLETRANSLATE(A4813, ""en"", ""mt"")"),"Meta biddlu l-istazzjonijiet ewlenin ta 'New York ta' ABC?")</f>
        <v>Meta biddlu l-istazzjonijiet ewlenin ta 'New York ta' ABC?</v>
      </c>
    </row>
    <row r="4814" ht="15.75" customHeight="1">
      <c r="A4814" s="2" t="s">
        <v>4814</v>
      </c>
      <c r="B4814" s="2" t="str">
        <f>IFERROR(__xludf.DUMMYFUNCTION("GOOGLETRANSLATE(A4814, ""en"", ""mt"")"),"azzjoni militari")</f>
        <v>azzjoni militari</v>
      </c>
    </row>
    <row r="4815" ht="15.75" customHeight="1">
      <c r="A4815" s="2" t="s">
        <v>4815</v>
      </c>
      <c r="B4815" s="2" t="str">
        <f>IFERROR(__xludf.DUMMYFUNCTION("GOOGLETRANSLATE(A4815, ""en"", ""mt"")"),"Fir-rebbiegħa ta 'l-1975, Fred Pierce, il-president maħtur ġdid ta' ABC Television, ikkonvinċa lil Fred Silverman biex isir l-ewwel president u direttur tal-ipprogrammar tas-sussidjarja indipendenti tal-produzzjoni tat-televiżjoni ABC Entertainment, maħlu"&amp;"qa mid-diviżjoni tal-programmazzjoni tal-ismijiet tan-netwerk. Fl-1974, ABC premiered is-Serje Detective S.W.A.T. Dik l-istess sena, in-netwerk ħa d-deċiżjoni li jikkompeti mal-programm ta 'l-aħbarijiet ta' filgħodu tal-NBC illum. L-ewwel attentat tagħha "&amp;"għal kompetizzjoni bħal din kienet Am America; Madankollu, is-suċċess ta 'dak l-ispettaklu ma kienx sempliċi. Waħda mill-affiljati tagħha, WCVB-TV Premiered Morning Show Good Day!. L-ewwel premiering fl-1973 bħala Good Morning!, Kien innovattiv talli ġie "&amp;"prodott għal kollox fit-triq u xandir minn postijiet barra miż-żona ta 'Boston. Ukoll, fis-sajf tal-1975, ABC skopriet li l-affiljat tagħha ta 'Cleveland WEWS-TV kien qed jipproduċi l-programm ta' filgħodu tiegħu stess The Morning Exchange, li ddebutta fl"&amp;"-1972 u issa kien qed jipprevjeni lokalment AM America; Kien l-ewwel wirja ta 'filgħodu li tuża sett immudellat wara kamra tal-għixien, u stabbilixxa kunċett issa komuni fost il-wirjiet ta' filgħodu tan-netwerk li fihom l-aħbarijiet u l-aġġornamenti tat-t"&amp;"emp kienu jidhru fil-quċċata u fil-qiegħ ta 'kull siegħa. Meta skoprew li l-formati tagħhom dehru jappellaw lit-telespettaturi tagħhom, in-netwerk sar l-ewwel wieħed li adottahom għal spettaklu nazzjonali ġdid ta 'filgħodu, Good Morning America, li ddebut"&amp;"ta fit-3 ta' Novembru, 1975.")</f>
        <v>Fir-rebbiegħa ta 'l-1975, Fred Pierce, il-president maħtur ġdid ta' ABC Television, ikkonvinċa lil Fred Silverman biex isir l-ewwel president u direttur tal-ipprogrammar tas-sussidjarja indipendenti tal-produzzjoni tat-televiżjoni ABC Entertainment, maħluqa mid-diviżjoni tal-programmazzjoni tal-ismijiet tan-netwerk. Fl-1974, ABC premiered is-Serje Detective S.W.A.T. Dik l-istess sena, in-netwerk ħa d-deċiżjoni li jikkompeti mal-programm ta 'l-aħbarijiet ta' filgħodu tal-NBC illum. L-ewwel attentat tagħha għal kompetizzjoni bħal din kienet Am America; Madankollu, is-suċċess ta 'dak l-ispettaklu ma kienx sempliċi. Waħda mill-affiljati tagħha, WCVB-TV Premiered Morning Show Good Day!. L-ewwel premiering fl-1973 bħala Good Morning!, Kien innovattiv talli ġie prodott għal kollox fit-triq u xandir minn postijiet barra miż-żona ta 'Boston. Ukoll, fis-sajf tal-1975, ABC skopriet li l-affiljat tagħha ta 'Cleveland WEWS-TV kien qed jipproduċi l-programm ta' filgħodu tiegħu stess The Morning Exchange, li ddebutta fl-1972 u issa kien qed jipprevjeni lokalment AM America; Kien l-ewwel wirja ta 'filgħodu li tuża sett immudellat wara kamra tal-għixien, u stabbilixxa kunċett issa komuni fost il-wirjiet ta' filgħodu tan-netwerk li fihom l-aħbarijiet u l-aġġornamenti tat-temp kienu jidhru fil-quċċata u fil-qiegħ ta 'kull siegħa. Meta skoprew li l-formati tagħhom dehru jappellaw lit-telespettaturi tagħhom, in-netwerk sar l-ewwel wieħed li adottahom għal spettaklu nazzjonali ġdid ta 'filgħodu, Good Morning America, li ddebutta fit-3 ta' Novembru, 1975.</v>
      </c>
    </row>
    <row r="4816" ht="15.75" customHeight="1">
      <c r="A4816" s="2" t="s">
        <v>4816</v>
      </c>
      <c r="B4816" s="2" t="str">
        <f>IFERROR(__xludf.DUMMYFUNCTION("GOOGLETRANSLATE(A4816, ""en"", ""mt"")"),"Min hu l-ewwel amministratur tal-Uffiċċju Federali tal-Enerġija?")</f>
        <v>Min hu l-ewwel amministratur tal-Uffiċċju Federali tal-Enerġija?</v>
      </c>
    </row>
    <row r="4817" ht="15.75" customHeight="1">
      <c r="A4817" s="2" t="s">
        <v>4817</v>
      </c>
      <c r="B4817" s="2" t="str">
        <f>IFERROR(__xludf.DUMMYFUNCTION("GOOGLETRANSLATE(A4817, ""en"", ""mt"")"),"Liema studjużi legali prestiġjużi huma membri tal-fakultà f'Harvard?")</f>
        <v>Liema studjużi legali prestiġjużi huma membri tal-fakultà f'Harvard?</v>
      </c>
    </row>
    <row r="4818" ht="15.75" customHeight="1">
      <c r="A4818" s="2" t="s">
        <v>4818</v>
      </c>
      <c r="B4818" s="2" t="str">
        <f>IFERROR(__xludf.DUMMYFUNCTION("GOOGLETRANSLATE(A4818, ""en"", ""mt"")"),"Liema żewġ talk shows bħalissa jidhru waqt l-ipprogrammar ta 'bi nhar fuq ABC?")</f>
        <v>Liema żewġ talk shows bħalissa jidhru waqt l-ipprogrammar ta 'bi nhar fuq ABC?</v>
      </c>
    </row>
    <row r="4819" ht="15.75" customHeight="1">
      <c r="A4819" s="2" t="s">
        <v>4819</v>
      </c>
      <c r="B4819" s="2" t="str">
        <f>IFERROR(__xludf.DUMMYFUNCTION("GOOGLETRANSLATE(A4819, ""en"", ""mt"")"),"bejn wieħed u ieħor ħamsin fil-mija")</f>
        <v>bejn wieħed u ieħor ħamsin fil-mija</v>
      </c>
    </row>
    <row r="4820" ht="15.75" customHeight="1">
      <c r="A4820" s="2" t="s">
        <v>4820</v>
      </c>
      <c r="B4820" s="2" t="str">
        <f>IFERROR(__xludf.DUMMYFUNCTION("GOOGLETRANSLATE(A4820, ""en"", ""mt"")"),"Fejn hu l-Brażil ikklassifikat globalment fil-produzzjoni tas-sojja?")</f>
        <v>Fejn hu l-Brażil ikklassifikat globalment fil-produzzjoni tas-sojja?</v>
      </c>
    </row>
    <row r="4821" ht="15.75" customHeight="1">
      <c r="A4821" s="2" t="s">
        <v>4821</v>
      </c>
      <c r="B4821" s="2" t="str">
        <f>IFERROR(__xludf.DUMMYFUNCTION("GOOGLETRANSLATE(A4821, ""en"", ""mt"")"),"Spiżeriji tal-komunità tal-briks u l-mehrież li jservu lill-konsumaturi online u dawk li jimxu fil-bieb tagħhom")</f>
        <v>Spiżeriji tal-komunità tal-briks u l-mehrież li jservu lill-konsumaturi online u dawk li jimxu fil-bieb tagħhom</v>
      </c>
    </row>
    <row r="4822" ht="15.75" customHeight="1">
      <c r="A4822" s="2" t="s">
        <v>4822</v>
      </c>
      <c r="B4822" s="2" t="str">
        <f>IFERROR(__xludf.DUMMYFUNCTION("GOOGLETRANSLATE(A4822, ""en"", ""mt"")"),"il-massa tas-CSM u lm")</f>
        <v>il-massa tas-CSM u lm</v>
      </c>
    </row>
    <row r="4823" ht="15.75" customHeight="1">
      <c r="A4823" s="2" t="s">
        <v>4823</v>
      </c>
      <c r="B4823" s="2" t="str">
        <f>IFERROR(__xludf.DUMMYFUNCTION("GOOGLETRANSLATE(A4823, ""en"", ""mt"")"),"Liema teknoloġija ġdida ppermettiet lil ABC tirrekordja minn qabel l-ispettakli tagħha?")</f>
        <v>Liema teknoloġija ġdida ppermettiet lil ABC tirrekordja minn qabel l-ispettakli tagħha?</v>
      </c>
    </row>
    <row r="4824" ht="15.75" customHeight="1">
      <c r="A4824" s="2" t="s">
        <v>4824</v>
      </c>
      <c r="B4824" s="2" t="str">
        <f>IFERROR(__xludf.DUMMYFUNCTION("GOOGLETRANSLATE(A4824, ""en"", ""mt"")"),"deheb tleqq")</f>
        <v>deheb tleqq</v>
      </c>
    </row>
    <row r="4825" ht="15.75" customHeight="1">
      <c r="A4825" s="2" t="s">
        <v>4825</v>
      </c>
      <c r="B4825" s="2" t="str">
        <f>IFERROR(__xludf.DUMMYFUNCTION("GOOGLETRANSLATE(A4825, ""en"", ""mt"")"),"Il-passi tal-passi madwar l-ilma jistgħu jiġu msaffija għal dak li juża?")</f>
        <v>Il-passi tal-passi madwar l-ilma jistgħu jiġu msaffija għal dak li juża?</v>
      </c>
    </row>
    <row r="4826" ht="15.75" customHeight="1">
      <c r="A4826" s="2" t="s">
        <v>4826</v>
      </c>
      <c r="B4826" s="2" t="str">
        <f>IFERROR(__xludf.DUMMYFUNCTION("GOOGLETRANSLATE(A4826, ""en"", ""mt"")"),"Liema marka sponsorjat il-konkors ""Crash the Super Bowl""?")</f>
        <v>Liema marka sponsorjat il-konkors "Crash the Super Bowl"?</v>
      </c>
    </row>
    <row r="4827" ht="15.75" customHeight="1">
      <c r="A4827" s="2" t="s">
        <v>4827</v>
      </c>
      <c r="B4827" s="2" t="str">
        <f>IFERROR(__xludf.DUMMYFUNCTION("GOOGLETRANSLATE(A4827, ""en"", ""mt"")"),"Kemm kellhom uħud mill-eqdem kampjuni tal-blat misjuba fuq il-qamar?")</f>
        <v>Kemm kellhom uħud mill-eqdem kampjuni tal-blat misjuba fuq il-qamar?</v>
      </c>
    </row>
    <row r="4828" ht="15.75" customHeight="1">
      <c r="A4828" s="2" t="s">
        <v>4828</v>
      </c>
      <c r="B4828" s="2" t="str">
        <f>IFERROR(__xludf.DUMMYFUNCTION("GOOGLETRANSLATE(A4828, ""en"", ""mt"")"),"X'inhu simili għal taħriġ vokazzjonali?")</f>
        <v>X'inhu simili għal taħriġ vokazzjonali?</v>
      </c>
    </row>
    <row r="4829" ht="15.75" customHeight="1">
      <c r="A4829" s="2" t="s">
        <v>4829</v>
      </c>
      <c r="B4829" s="2" t="str">
        <f>IFERROR(__xludf.DUMMYFUNCTION("GOOGLETRANSLATE(A4829, ""en"", ""mt"")"),"Huwa żgura dħul għoli u l-etika medika kienu kompatibbli mal-virtujiet Confucian")</f>
        <v>Huwa żgura dħul għoli u l-etika medika kienu kompatibbli mal-virtujiet Confucian</v>
      </c>
    </row>
    <row r="4830" ht="15.75" customHeight="1">
      <c r="A4830" s="2" t="s">
        <v>4830</v>
      </c>
      <c r="B4830" s="2" t="str">
        <f>IFERROR(__xludf.DUMMYFUNCTION("GOOGLETRANSLATE(A4830, ""en"", ""mt"")"),"Notazzjoni Big O tipprovdi awtonomija għal-limiti ta 'fuq u t'isfel b'relazzjoni ma' xiex?")</f>
        <v>Notazzjoni Big O tipprovdi awtonomija għal-limiti ta 'fuq u t'isfel b'relazzjoni ma' xiex?</v>
      </c>
    </row>
    <row r="4831" ht="15.75" customHeight="1">
      <c r="A4831" s="2" t="s">
        <v>4831</v>
      </c>
      <c r="B4831" s="2" t="str">
        <f>IFERROR(__xludf.DUMMYFUNCTION("GOOGLETRANSLATE(A4831, ""en"", ""mt"")"),"sismiku")</f>
        <v>sismiku</v>
      </c>
    </row>
    <row r="4832" ht="15.75" customHeight="1">
      <c r="A4832" s="2" t="s">
        <v>4832</v>
      </c>
      <c r="B4832" s="2" t="str">
        <f>IFERROR(__xludf.DUMMYFUNCTION("GOOGLETRANSLATE(A4832, ""en"", ""mt"")"),"F'liema daqs u akbar il-mediċini jistgħu jġibu rispons immuni li jinnewtralizza?")</f>
        <v>F'liema daqs u akbar il-mediċini jistgħu jġibu rispons immuni li jinnewtralizza?</v>
      </c>
    </row>
    <row r="4833" ht="15.75" customHeight="1">
      <c r="A4833" s="2" t="s">
        <v>4833</v>
      </c>
      <c r="B4833" s="2" t="str">
        <f>IFERROR(__xludf.DUMMYFUNCTION("GOOGLETRANSLATE(A4833, ""en"", ""mt"")"),"Truppi Ingliżi")</f>
        <v>Truppi Ingliżi</v>
      </c>
    </row>
    <row r="4834" ht="15.75" customHeight="1">
      <c r="A4834" s="2" t="s">
        <v>4834</v>
      </c>
      <c r="B4834" s="2" t="str">
        <f>IFERROR(__xludf.DUMMYFUNCTION("GOOGLETRANSLATE(A4834, ""en"", ""mt"")"),"Grupp tad-Disinn Troika")</f>
        <v>Grupp tad-Disinn Troika</v>
      </c>
    </row>
    <row r="4835" ht="15.75" customHeight="1">
      <c r="A4835" s="2" t="s">
        <v>4835</v>
      </c>
      <c r="B4835" s="2" t="str">
        <f>IFERROR(__xludf.DUMMYFUNCTION("GOOGLETRANSLATE(A4835, ""en"", ""mt"")"),"Futurplan")</f>
        <v>Futurplan</v>
      </c>
    </row>
    <row r="4836" ht="15.75" customHeight="1">
      <c r="A4836" s="2" t="s">
        <v>4836</v>
      </c>
      <c r="B4836" s="2" t="str">
        <f>IFERROR(__xludf.DUMMYFUNCTION("GOOGLETRANSLATE(A4836, ""en"", ""mt"")"),"Musulman")</f>
        <v>Musulman</v>
      </c>
    </row>
    <row r="4837" ht="15.75" customHeight="1">
      <c r="A4837" s="2" t="s">
        <v>4837</v>
      </c>
      <c r="B4837" s="2" t="str">
        <f>IFERROR(__xludf.DUMMYFUNCTION("GOOGLETRANSLATE(A4837, ""en"", ""mt"")"),"Min għamel 19% tal-korp tal-istudenti fil-kwart tar-rebbiegħa tal-2012?")</f>
        <v>Min għamel 19% tal-korp tal-istudenti fil-kwart tar-rebbiegħa tal-2012?</v>
      </c>
    </row>
    <row r="4838" ht="15.75" customHeight="1">
      <c r="A4838" s="2" t="s">
        <v>4838</v>
      </c>
      <c r="B4838" s="2" t="str">
        <f>IFERROR(__xludf.DUMMYFUNCTION("GOOGLETRANSLATE(A4838, ""en"", ""mt"")"),"Kemm kien twil fis-sodda mill-kolera?")</f>
        <v>Kemm kien twil fis-sodda mill-kolera?</v>
      </c>
    </row>
    <row r="4839" ht="15.75" customHeight="1">
      <c r="A4839" s="2" t="s">
        <v>4839</v>
      </c>
      <c r="B4839" s="2" t="str">
        <f>IFERROR(__xludf.DUMMYFUNCTION("GOOGLETRANSLATE(A4839, ""en"", ""mt"")"),"F'liema belt seħħet l-aħħar Super Bowl f'Kalifornja?")</f>
        <v>F'liema belt seħħet l-aħħar Super Bowl f'Kalifornja?</v>
      </c>
    </row>
    <row r="4840" ht="15.75" customHeight="1">
      <c r="A4840" s="2" t="s">
        <v>4840</v>
      </c>
      <c r="B4840" s="2" t="str">
        <f>IFERROR(__xludf.DUMMYFUNCTION("GOOGLETRANSLATE(A4840, ""en"", ""mt"")"),"effett negattiv")</f>
        <v>effett negattiv</v>
      </c>
    </row>
    <row r="4841" ht="15.75" customHeight="1">
      <c r="A4841" s="2" t="s">
        <v>4841</v>
      </c>
      <c r="B4841" s="2" t="str">
        <f>IFERROR(__xludf.DUMMYFUNCTION("GOOGLETRANSLATE(A4841, ""en"", ""mt"")"),"(P - 1)! + 1")</f>
        <v>(P - 1)! + 1</v>
      </c>
    </row>
    <row r="4842" ht="15.75" customHeight="1">
      <c r="A4842" s="2" t="s">
        <v>4842</v>
      </c>
      <c r="B4842" s="2" t="str">
        <f>IFERROR(__xludf.DUMMYFUNCTION("GOOGLETRANSLATE(A4842, ""en"", ""mt"")"),"Flimkien ma 'muturi elettriċi, x'tip ta' magni ħadu post magni tal-fwar tal-pistuni?")</f>
        <v>Flimkien ma 'muturi elettriċi, x'tip ta' magni ħadu post magni tal-fwar tal-pistuni?</v>
      </c>
    </row>
    <row r="4843" ht="15.75" customHeight="1">
      <c r="A4843" s="2" t="s">
        <v>4843</v>
      </c>
      <c r="B4843" s="2" t="str">
        <f>IFERROR(__xludf.DUMMYFUNCTION("GOOGLETRANSLATE(A4843, ""en"", ""mt"")"),"Min qabad lil Cam Newton u sussegwentement fumbled il-ballun?")</f>
        <v>Min qabad lil Cam Newton u sussegwentement fumbled il-ballun?</v>
      </c>
    </row>
    <row r="4844" ht="15.75" customHeight="1">
      <c r="A4844" s="2" t="s">
        <v>4844</v>
      </c>
      <c r="B4844" s="2" t="str">
        <f>IFERROR(__xludf.DUMMYFUNCTION("GOOGLETRANSLATE(A4844, ""en"", ""mt"")"),"Pictet")</f>
        <v>Pictet</v>
      </c>
    </row>
    <row r="4845" ht="15.75" customHeight="1">
      <c r="A4845" s="2" t="s">
        <v>4845</v>
      </c>
      <c r="B4845" s="2" t="str">
        <f>IFERROR(__xludf.DUMMYFUNCTION("GOOGLETRANSLATE(A4845, ""en"", ""mt"")"),"X’wassal għat-turiżmu ta ’Jacksonville biex isir inqas mixtieq fl-aħħar nofs tas-seklu 19?")</f>
        <v>X’wassal għat-turiżmu ta ’Jacksonville biex isir inqas mixtieq fl-aħħar nofs tas-seklu 19?</v>
      </c>
    </row>
    <row r="4846" ht="15.75" customHeight="1">
      <c r="A4846" s="2" t="s">
        <v>4846</v>
      </c>
      <c r="B4846" s="2" t="str">
        <f>IFERROR(__xludf.DUMMYFUNCTION("GOOGLETRANSLATE(A4846, ""en"", ""mt"")"),"algoritmu ta 'għażla deterministika quicksort")</f>
        <v>algoritmu ta 'għażla deterministika quicksort</v>
      </c>
    </row>
    <row r="4847" ht="15.75" customHeight="1">
      <c r="A4847" s="2" t="s">
        <v>4847</v>
      </c>
      <c r="B4847" s="2" t="str">
        <f>IFERROR(__xludf.DUMMYFUNCTION("GOOGLETRANSLATE(A4847, ""en"", ""mt"")"),"Għaliex l-OPEC jimblokka l-kunsinni taż-żejt lill-Istati Uniti?")</f>
        <v>Għaliex l-OPEC jimblokka l-kunsinni taż-żejt lill-Istati Uniti?</v>
      </c>
    </row>
    <row r="4848" ht="15.75" customHeight="1">
      <c r="A4848" s="2" t="s">
        <v>4848</v>
      </c>
      <c r="B4848" s="2" t="str">
        <f>IFERROR(__xludf.DUMMYFUNCTION("GOOGLETRANSLATE(A4848, ""en"", ""mt"")"),"X'tagħmel l-għarbiel ta 'Eratosthenes?")</f>
        <v>X'tagħmel l-għarbiel ta 'Eratosthenes?</v>
      </c>
    </row>
    <row r="4849" ht="15.75" customHeight="1">
      <c r="A4849" s="2" t="s">
        <v>4849</v>
      </c>
      <c r="B4849" s="2" t="str">
        <f>IFERROR(__xludf.DUMMYFUNCTION("GOOGLETRANSLATE(A4849, ""en"", ""mt"")"),"X'jiddoqqlu l-imperi Ewropej biex ifornuhom b'riżorsi?")</f>
        <v>X'jiddoqqlu l-imperi Ewropej biex ifornuhom b'riżorsi?</v>
      </c>
    </row>
    <row r="4850" ht="15.75" customHeight="1">
      <c r="A4850" s="2" t="s">
        <v>4850</v>
      </c>
      <c r="B4850" s="2" t="str">
        <f>IFERROR(__xludf.DUMMYFUNCTION("GOOGLETRANSLATE(A4850, ""en"", ""mt"")"),"Forest Kabaty")</f>
        <v>Forest Kabaty</v>
      </c>
    </row>
    <row r="4851" ht="15.75" customHeight="1">
      <c r="A4851" s="2" t="s">
        <v>4851</v>
      </c>
      <c r="B4851" s="2" t="str">
        <f>IFERROR(__xludf.DUMMYFUNCTION("GOOGLETRANSLATE(A4851, ""en"", ""mt"")"),"Tesla kif iffinanzja x-xogħol tiegħu?")</f>
        <v>Tesla kif iffinanzja x-xogħol tiegħu?</v>
      </c>
    </row>
    <row r="4852" ht="15.75" customHeight="1">
      <c r="A4852" s="2" t="s">
        <v>4852</v>
      </c>
      <c r="B4852" s="2" t="str">
        <f>IFERROR(__xludf.DUMMYFUNCTION("GOOGLETRANSLATE(A4852, ""en"", ""mt"")"),"Akkademja tal-Padiljun tal-Istilla tal-Letteratura")</f>
        <v>Akkademja tal-Padiljun tal-Istilla tal-Letteratura</v>
      </c>
    </row>
    <row r="4853" ht="15.75" customHeight="1">
      <c r="A4853" s="2" t="s">
        <v>4853</v>
      </c>
      <c r="B4853" s="2" t="str">
        <f>IFERROR(__xludf.DUMMYFUNCTION("GOOGLETRANSLATE(A4853, ""en"", ""mt"")"),"Liema sport in-nisa Kenjani kienu forza dominata?")</f>
        <v>Liema sport in-nisa Kenjani kienu forza dominata?</v>
      </c>
    </row>
    <row r="4854" ht="15.75" customHeight="1">
      <c r="A4854" s="2" t="s">
        <v>4854</v>
      </c>
      <c r="B4854" s="2" t="str">
        <f>IFERROR(__xludf.DUMMYFUNCTION("GOOGLETRANSLATE(A4854, ""en"", ""mt"")"),"Nukleu tad-Dinophyte")</f>
        <v>Nukleu tad-Dinophyte</v>
      </c>
    </row>
    <row r="4855" ht="15.75" customHeight="1">
      <c r="A4855" s="2" t="s">
        <v>4855</v>
      </c>
      <c r="B4855" s="2" t="str">
        <f>IFERROR(__xludf.DUMMYFUNCTION("GOOGLETRANSLATE(A4855, ""en"", ""mt"")"),"X'kien it-titlu uffiċjali ta 'Phillips għan-NASA?")</f>
        <v>X'kien it-titlu uffiċjali ta 'Phillips għan-NASA?</v>
      </c>
    </row>
    <row r="4856" ht="15.75" customHeight="1">
      <c r="A4856" s="2" t="s">
        <v>4856</v>
      </c>
      <c r="B4856" s="2" t="str">
        <f>IFERROR(__xludf.DUMMYFUNCTION("GOOGLETRANSLATE(A4856, ""en"", ""mt"")"),"Möngke Khan")</f>
        <v>Möngke Khan</v>
      </c>
    </row>
    <row r="4857" ht="15.75" customHeight="1">
      <c r="A4857" s="2" t="s">
        <v>4857</v>
      </c>
      <c r="B4857" s="2" t="str">
        <f>IFERROR(__xludf.DUMMYFUNCTION("GOOGLETRANSLATE(A4857, ""en"", ""mt"")"),"il-fruntiera tal-punent")</f>
        <v>il-fruntiera tal-punent</v>
      </c>
    </row>
    <row r="4858" ht="15.75" customHeight="1">
      <c r="A4858" s="2" t="s">
        <v>4858</v>
      </c>
      <c r="B4858" s="2" t="str">
        <f>IFERROR(__xludf.DUMMYFUNCTION("GOOGLETRANSLATE(A4858, ""en"", ""mt"")"),"F'liema stat tinsab l-akbar soċjetà Huguenot?")</f>
        <v>F'liema stat tinsab l-akbar soċjetà Huguenot?</v>
      </c>
    </row>
    <row r="4859" ht="15.75" customHeight="1">
      <c r="A4859" s="2" t="s">
        <v>4859</v>
      </c>
      <c r="B4859" s="2" t="str">
        <f>IFERROR(__xludf.DUMMYFUNCTION("GOOGLETRANSLATE(A4859, ""en"", ""mt"")"),"Studji stabbli u radjuattivi tal-iżotopi jipprovdu ħarsa lejn xiex?")</f>
        <v>Studji stabbli u radjuattivi tal-iżotopi jipprovdu ħarsa lejn xiex?</v>
      </c>
    </row>
    <row r="4860" ht="15.75" customHeight="1">
      <c r="A4860" s="2" t="s">
        <v>4860</v>
      </c>
      <c r="B4860" s="2" t="str">
        <f>IFERROR(__xludf.DUMMYFUNCTION("GOOGLETRANSLATE(A4860, ""en"", ""mt"")"),"Paul Rand")</f>
        <v>Paul Rand</v>
      </c>
    </row>
    <row r="4861" ht="15.75" customHeight="1">
      <c r="A4861" s="2" t="s">
        <v>4861</v>
      </c>
      <c r="B4861" s="2" t="str">
        <f>IFERROR(__xludf.DUMMYFUNCTION("GOOGLETRANSLATE(A4861, ""en"", ""mt"")"),"X'għamel Tymnet")</f>
        <v>X'għamel Tymnet</v>
      </c>
    </row>
    <row r="4862" ht="15.75" customHeight="1">
      <c r="A4862" s="2" t="s">
        <v>4862</v>
      </c>
      <c r="B4862" s="2" t="str">
        <f>IFERROR(__xludf.DUMMYFUNCTION("GOOGLETRANSLATE(A4862, ""en"", ""mt"")"),"Marzu 2008")</f>
        <v>Marzu 2008</v>
      </c>
    </row>
    <row r="4863" ht="15.75" customHeight="1">
      <c r="A4863" s="2" t="s">
        <v>4863</v>
      </c>
      <c r="B4863" s="2" t="str">
        <f>IFERROR(__xludf.DUMMYFUNCTION("GOOGLETRANSLATE(A4863, ""en"", ""mt"")"),"imħabba, paċenzja, karità, u libertà")</f>
        <v>imħabba, paċenzja, karità, u libertà</v>
      </c>
    </row>
    <row r="4864" ht="15.75" customHeight="1">
      <c r="A4864" s="2" t="s">
        <v>4864</v>
      </c>
      <c r="B4864" s="2" t="str">
        <f>IFERROR(__xludf.DUMMYFUNCTION("GOOGLETRANSLATE(A4864, ""en"", ""mt"")"),"Minħabba li l-kelliema huma meħuda minn madwar l-Iskozja, xiex jirrappreżentaw il-bilanċ?")</f>
        <v>Minħabba li l-kelliema huma meħuda minn madwar l-Iskozja, xiex jirrappreżentaw il-bilanċ?</v>
      </c>
    </row>
    <row r="4865" ht="15.75" customHeight="1">
      <c r="A4865" s="2" t="s">
        <v>4865</v>
      </c>
      <c r="B4865" s="2" t="str">
        <f>IFERROR(__xludf.DUMMYFUNCTION("GOOGLETRANSLATE(A4865, ""en"", ""mt"")"),"It-test ta 'Lucas-Lehmer")</f>
        <v>It-test ta 'Lucas-Lehmer</v>
      </c>
    </row>
    <row r="4866" ht="15.75" customHeight="1">
      <c r="A4866" s="2" t="s">
        <v>4866</v>
      </c>
      <c r="B4866" s="2" t="str">
        <f>IFERROR(__xludf.DUMMYFUNCTION("GOOGLETRANSLATE(A4866, ""en"", ""mt"")"),"Xi elementi tal-fratellanza, għalkemm forsi kontra l-ordnijiet, kienu jinvolvu ruħhom fi vjolenza kontra l-gvern, u l-fundatur tiegħu Al-Banna ġie maqtul fl-1949 bħala ritaljazzjoni għall-qtil tal-premier tal-Eġittu Mahmud Fami Naqrashi tliet xhur qabel. "&amp;"Il-fratellanza sofriet repressjoni perjodika fl-Eġittu u ġiet ipprojbita diversi drabi, fl-1948 u bosta snin wara wara konfronti mal-president Eġizzjan Gamal Abdul Nasser, li ħabs eluf ta ’membri għal bosta snin.")</f>
        <v>Xi elementi tal-fratellanza, għalkemm forsi kontra l-ordnijiet, kienu jinvolvu ruħhom fi vjolenza kontra l-gvern, u l-fundatur tiegħu Al-Banna ġie maqtul fl-1949 bħala ritaljazzjoni għall-qtil tal-premier tal-Eġittu Mahmud Fami Naqrashi tliet xhur qabel. Il-fratellanza sofriet repressjoni perjodika fl-Eġittu u ġiet ipprojbita diversi drabi, fl-1948 u bosta snin wara wara konfronti mal-president Eġizzjan Gamal Abdul Nasser, li ħabs eluf ta ’membri għal bosta snin.</v>
      </c>
    </row>
    <row r="4867" ht="15.75" customHeight="1">
      <c r="A4867" s="2" t="s">
        <v>4867</v>
      </c>
      <c r="B4867" s="2" t="str">
        <f>IFERROR(__xludf.DUMMYFUNCTION("GOOGLETRANSLATE(A4867, ""en"", ""mt"")"),"F'intervista mal-editur tal-gazzetta Arthur Brisbane, Tesla qalet li ma emminx fit-telepatija, billi ddikjara, ""Ejja ngħidu li għamilt moħħi biex joqtolok,"" qal, ""Fit-tieni tkun tafha. Issa, mhux Dak mill-isbaħ? B'liema proċess il-moħħ jikseb dan kollu"&amp;"? "" Fl-istess intervista, Tesla qalet li huwa jemmen li l-liġijiet fundamentali kollha jistgħu jitnaqqsu għal waħda.")</f>
        <v>F'intervista mal-editur tal-gazzetta Arthur Brisbane, Tesla qalet li ma emminx fit-telepatija, billi ddikjara, "Ejja ngħidu li għamilt moħħi biex joqtolok," qal, "Fit-tieni tkun tafha. Issa, mhux Dak mill-isbaħ? B'liema proċess il-moħħ jikseb dan kollu? " Fl-istess intervista, Tesla qalet li huwa jemmen li l-liġijiet fundamentali kollha jistgħu jitnaqqsu għal waħda.</v>
      </c>
    </row>
    <row r="4868" ht="15.75" customHeight="1">
      <c r="A4868" s="2" t="s">
        <v>4868</v>
      </c>
      <c r="B4868" s="2" t="str">
        <f>IFERROR(__xludf.DUMMYFUNCTION("GOOGLETRANSLATE(A4868, ""en"", ""mt"")"),"Min hu l-maniġer ġenerali għall-Broncos?")</f>
        <v>Min hu l-maniġer ġenerali għall-Broncos?</v>
      </c>
    </row>
    <row r="4869" ht="15.75" customHeight="1">
      <c r="A4869" s="2" t="s">
        <v>4869</v>
      </c>
      <c r="B4869" s="2" t="str">
        <f>IFERROR(__xludf.DUMMYFUNCTION("GOOGLETRANSLATE(A4869, ""en"", ""mt"")"),"Mid-Atlantiku")</f>
        <v>Mid-Atlantiku</v>
      </c>
    </row>
    <row r="4870" ht="15.75" customHeight="1">
      <c r="A4870" s="2" t="s">
        <v>4870</v>
      </c>
      <c r="B4870" s="2" t="str">
        <f>IFERROR(__xludf.DUMMYFUNCTION("GOOGLETRANSLATE(A4870, ""en"", ""mt"")"),"X'kien l-isem mogħti tal-istadium ta 'Miami fil-ħin tas-Super Bowl 50?")</f>
        <v>X'kien l-isem mogħti tal-istadium ta 'Miami fil-ħin tas-Super Bowl 50?</v>
      </c>
    </row>
    <row r="4871" ht="15.75" customHeight="1">
      <c r="A4871" s="2" t="s">
        <v>4871</v>
      </c>
      <c r="B4871" s="2" t="str">
        <f>IFERROR(__xludf.DUMMYFUNCTION("GOOGLETRANSLATE(A4871, ""en"", ""mt"")"),"Meta twaqqfet il-Brewery Truman il-Qadima?")</f>
        <v>Meta twaqqfet il-Brewery Truman il-Qadima?</v>
      </c>
    </row>
    <row r="4872" ht="15.75" customHeight="1">
      <c r="A4872" s="2" t="s">
        <v>4872</v>
      </c>
      <c r="B4872" s="2" t="str">
        <f>IFERROR(__xludf.DUMMYFUNCTION("GOOGLETRANSLATE(A4872, ""en"", ""mt"")"),"proponent estern")</f>
        <v>proponent estern</v>
      </c>
    </row>
    <row r="4873" ht="15.75" customHeight="1">
      <c r="A4873" s="2" t="s">
        <v>4873</v>
      </c>
      <c r="B4873" s="2" t="str">
        <f>IFERROR(__xludf.DUMMYFUNCTION("GOOGLETRANSLATE(A4873, ""en"", ""mt"")"),"Min kien l-ewwel president elett demokratikament tal-Eġittu?")</f>
        <v>Min kien l-ewwel president elett demokratikament tal-Eġittu?</v>
      </c>
    </row>
    <row r="4874" ht="15.75" customHeight="1">
      <c r="A4874" s="2" t="s">
        <v>4874</v>
      </c>
      <c r="B4874" s="2" t="str">
        <f>IFERROR(__xludf.DUMMYFUNCTION("GOOGLETRANSLATE(A4874, ""en"", ""mt"")"),"Kif inħolqu xi inugwaljanzi ekonomiċi moderni?")</f>
        <v>Kif inħolqu xi inugwaljanzi ekonomiċi moderni?</v>
      </c>
    </row>
    <row r="4875" ht="15.75" customHeight="1">
      <c r="A4875" s="2" t="s">
        <v>4875</v>
      </c>
      <c r="B4875" s="2" t="str">
        <f>IFERROR(__xludf.DUMMYFUNCTION("GOOGLETRANSLATE(A4875, ""en"", ""mt"")"),"kant")</f>
        <v>kant</v>
      </c>
    </row>
    <row r="4876" ht="15.75" customHeight="1">
      <c r="A4876" s="2" t="s">
        <v>4876</v>
      </c>
      <c r="B4876" s="2" t="str">
        <f>IFERROR(__xludf.DUMMYFUNCTION("GOOGLETRANSLATE(A4876, ""en"", ""mt"")"),"it-tentazzjoni li tidħol fis-sit tat-test")</f>
        <v>it-tentazzjoni li tidħol fis-sit tat-test</v>
      </c>
    </row>
    <row r="4877" ht="15.75" customHeight="1">
      <c r="A4877" s="2" t="s">
        <v>4877</v>
      </c>
      <c r="B4877" s="2" t="str">
        <f>IFERROR(__xludf.DUMMYFUNCTION("GOOGLETRANSLATE(A4877, ""en"", ""mt"")"),"prestiġju")</f>
        <v>prestiġju</v>
      </c>
    </row>
    <row r="4878" ht="15.75" customHeight="1">
      <c r="A4878" s="2" t="s">
        <v>4878</v>
      </c>
      <c r="B4878" s="2" t="str">
        <f>IFERROR(__xludf.DUMMYFUNCTION("GOOGLETRANSLATE(A4878, ""en"", ""mt"")"),"Neħħi numri massivi ta 'tejps manjetiċi mill-arkivji nazzjonali u l-amministrazzjoni tar-rekords li għandhom jiġu rreġistrati")</f>
        <v>Neħħi numri massivi ta 'tejps manjetiċi mill-arkivji nazzjonali u l-amministrazzjoni tar-rekords li għandhom jiġu rreġistrati</v>
      </c>
    </row>
    <row r="4879" ht="15.75" customHeight="1">
      <c r="A4879" s="2" t="s">
        <v>4879</v>
      </c>
      <c r="B4879" s="2" t="str">
        <f>IFERROR(__xludf.DUMMYFUNCTION("GOOGLETRANSLATE(A4879, ""en"", ""mt"")"),"1110 am")</f>
        <v>1110 am</v>
      </c>
    </row>
    <row r="4880" ht="15.75" customHeight="1">
      <c r="A4880" s="2" t="s">
        <v>4880</v>
      </c>
      <c r="B4880" s="2" t="str">
        <f>IFERROR(__xludf.DUMMYFUNCTION("GOOGLETRANSLATE(A4880, ""en"", ""mt"")"),"X'kien l-isem ta 'ħu Walt Disney?")</f>
        <v>X'kien l-isem ta 'ħu Walt Disney?</v>
      </c>
    </row>
    <row r="4881" ht="15.75" customHeight="1">
      <c r="A4881" s="2" t="s">
        <v>4881</v>
      </c>
      <c r="B4881" s="2" t="str">
        <f>IFERROR(__xludf.DUMMYFUNCTION("GOOGLETRANSLATE(A4881, ""en"", ""mt"")"),"X'inhu mod wieħed kif tuża diskors pur biex tilħaq kemm jista 'jkun nies biex jipprotestaw?")</f>
        <v>X'inhu mod wieħed kif tuża diskors pur biex tilħaq kemm jista 'jkun nies biex jipprotestaw?</v>
      </c>
    </row>
    <row r="4882" ht="15.75" customHeight="1">
      <c r="A4882" s="2" t="s">
        <v>4882</v>
      </c>
      <c r="B4882" s="2" t="str">
        <f>IFERROR(__xludf.DUMMYFUNCTION("GOOGLETRANSLATE(A4882, ""en"", ""mt"")"),"X'inhu D-Loop?")</f>
        <v>X'inhu D-Loop?</v>
      </c>
    </row>
    <row r="4883" ht="15.75" customHeight="1">
      <c r="A4883" s="2" t="s">
        <v>4883</v>
      </c>
      <c r="B4883" s="2" t="str">
        <f>IFERROR(__xludf.DUMMYFUNCTION("GOOGLETRANSLATE(A4883, ""en"", ""mt"")"),"Min mexxa l-kostruzzjoni taċ-ċentru l-ġdid?")</f>
        <v>Min mexxa l-kostruzzjoni taċ-ċentru l-ġdid?</v>
      </c>
    </row>
    <row r="4884" ht="15.75" customHeight="1">
      <c r="A4884" s="2" t="s">
        <v>4884</v>
      </c>
      <c r="B4884" s="2" t="str">
        <f>IFERROR(__xludf.DUMMYFUNCTION("GOOGLETRANSLATE(A4884, ""en"", ""mt"")"),"Liema spiżjar wera li n-nar kellu bżonn biss parti mill-arja?")</f>
        <v>Liema spiżjar wera li n-nar kellu bżonn biss parti mill-arja?</v>
      </c>
    </row>
    <row r="4885" ht="15.75" customHeight="1">
      <c r="A4885" s="2" t="s">
        <v>4885</v>
      </c>
      <c r="B4885" s="2" t="str">
        <f>IFERROR(__xludf.DUMMYFUNCTION("GOOGLETRANSLATE(A4885, ""en"", ""mt"")"),"L-għalliem fl-istil tal-platoon huwa ġeneralment aktar _____?")</f>
        <v>L-għalliem fl-istil tal-platoon huwa ġeneralment aktar _____?</v>
      </c>
    </row>
    <row r="4886" ht="15.75" customHeight="1">
      <c r="A4886" s="2" t="s">
        <v>4886</v>
      </c>
      <c r="B4886" s="2" t="str">
        <f>IFERROR(__xludf.DUMMYFUNCTION("GOOGLETRANSLATE(A4886, ""en"", ""mt"")"),"Thomas Brock")</f>
        <v>Thomas Brock</v>
      </c>
    </row>
    <row r="4887" ht="15.75" customHeight="1">
      <c r="A4887" s="2" t="s">
        <v>4887</v>
      </c>
      <c r="B4887" s="2" t="str">
        <f>IFERROR(__xludf.DUMMYFUNCTION("GOOGLETRANSLATE(A4887, ""en"", ""mt"")"),"1,548")</f>
        <v>1,548</v>
      </c>
    </row>
    <row r="4888" ht="15.75" customHeight="1">
      <c r="A4888" s="2" t="s">
        <v>4888</v>
      </c>
      <c r="B4888" s="2" t="str">
        <f>IFERROR(__xludf.DUMMYFUNCTION("GOOGLETRANSLATE(A4888, ""en"", ""mt"")"),"Fejn Marin bena l-ewwel fort?")</f>
        <v>Fejn Marin bena l-ewwel fort?</v>
      </c>
    </row>
    <row r="4889" ht="15.75" customHeight="1">
      <c r="A4889" s="2" t="s">
        <v>4889</v>
      </c>
      <c r="B4889" s="2" t="str">
        <f>IFERROR(__xludf.DUMMYFUNCTION("GOOGLETRANSLATE(A4889, ""en"", ""mt"")"),"Kemm suldati bagħat Genghis Khan kontra Kuchlug u Qara Khitai?")</f>
        <v>Kemm suldati bagħat Genghis Khan kontra Kuchlug u Qara Khitai?</v>
      </c>
    </row>
    <row r="4890" ht="15.75" customHeight="1">
      <c r="A4890" s="2" t="s">
        <v>4890</v>
      </c>
      <c r="B4890" s="2" t="str">
        <f>IFERROR(__xludf.DUMMYFUNCTION("GOOGLETRANSLATE(A4890, ""en"", ""mt"")"),"Liema pajjiż kien qed jaħseb biex imur il-gwerra biex jieħu bil-forza l-għelieqi taż-żejt tal-Lvant Nofsani?")</f>
        <v>Liema pajjiż kien qed jaħseb biex imur il-gwerra biex jieħu bil-forza l-għelieqi taż-żejt tal-Lvant Nofsani?</v>
      </c>
    </row>
    <row r="4891" ht="15.75" customHeight="1">
      <c r="A4891" s="2" t="s">
        <v>4891</v>
      </c>
      <c r="B4891" s="2" t="str">
        <f>IFERROR(__xludf.DUMMYFUNCTION("GOOGLETRANSLATE(A4891, ""en"", ""mt"")"),"L-Istitut tal-Inġiniera tar-Radju")</f>
        <v>L-Istitut tal-Inġiniera tar-Radju</v>
      </c>
    </row>
    <row r="4892" ht="15.75" customHeight="1">
      <c r="A4892" s="2" t="s">
        <v>4892</v>
      </c>
      <c r="B4892" s="2" t="str">
        <f>IFERROR(__xludf.DUMMYFUNCTION("GOOGLETRANSLATE(A4892, ""en"", ""mt"")"),"X'kienu r-raġunijiet għaliex ir-residenti marru jgħixu fl-Istazzjon tal-Belt ta 'Fresno?")</f>
        <v>X'kienu r-raġunijiet għaliex ir-residenti marru jgħixu fl-Istazzjon tal-Belt ta 'Fresno?</v>
      </c>
    </row>
    <row r="4893" ht="15.75" customHeight="1">
      <c r="A4893" s="2" t="s">
        <v>4893</v>
      </c>
      <c r="B4893" s="2" t="str">
        <f>IFERROR(__xludf.DUMMYFUNCTION("GOOGLETRANSLATE(A4893, ""en"", ""mt"")"),"Perspettivi differenti u partiti politiċi")</f>
        <v>Perspettivi differenti u partiti politiċi</v>
      </c>
    </row>
    <row r="4894" ht="15.75" customHeight="1">
      <c r="A4894" s="2" t="s">
        <v>4894</v>
      </c>
      <c r="B4894" s="2" t="str">
        <f>IFERROR(__xludf.DUMMYFUNCTION("GOOGLETRANSLATE(A4894, ""en"", ""mt"")"),"Kostruzzjoni ta 'toroq militari lejn iż-żona minn Braddock u Forbes")</f>
        <v>Kostruzzjoni ta 'toroq militari lejn iż-żona minn Braddock u Forbes</v>
      </c>
    </row>
    <row r="4895" ht="15.75" customHeight="1">
      <c r="A4895" s="2" t="s">
        <v>4895</v>
      </c>
      <c r="B4895" s="2" t="str">
        <f>IFERROR(__xludf.DUMMYFUNCTION("GOOGLETRANSLATE(A4895, ""en"", ""mt"")"),"Ma 'ESPN u ABC iffirmaw ftehim ta' tmien snin fl-2005?")</f>
        <v>Ma 'ESPN u ABC iffirmaw ftehim ta' tmien snin fl-2005?</v>
      </c>
    </row>
    <row r="4896" ht="15.75" customHeight="1">
      <c r="A4896" s="2" t="s">
        <v>4896</v>
      </c>
      <c r="B4896" s="2" t="str">
        <f>IFERROR(__xludf.DUMMYFUNCTION("GOOGLETRANSLATE(A4896, ""en"", ""mt"")"),"Liema reġjun huwa rrappreżentat l-iktar fil-kollezzjoni tat-tessuti?")</f>
        <v>Liema reġjun huwa rrappreżentat l-iktar fil-kollezzjoni tat-tessuti?</v>
      </c>
    </row>
    <row r="4897" ht="15.75" customHeight="1">
      <c r="A4897" s="2" t="s">
        <v>4897</v>
      </c>
      <c r="B4897" s="2" t="str">
        <f>IFERROR(__xludf.DUMMYFUNCTION("GOOGLETRANSLATE(A4897, ""en"", ""mt"")"),"MCA Inc.")</f>
        <v>MCA Inc.</v>
      </c>
    </row>
    <row r="4898" ht="15.75" customHeight="1">
      <c r="A4898" s="2" t="s">
        <v>4898</v>
      </c>
      <c r="B4898" s="2" t="str">
        <f>IFERROR(__xludf.DUMMYFUNCTION("GOOGLETRANSLATE(A4898, ""en"", ""mt"")"),"F'liema data ħabbret l-ESPN il-ftehim tagħhom ma 'CBS u l-NFL?")</f>
        <v>F'liema data ħabbret l-ESPN il-ftehim tagħhom ma 'CBS u l-NFL?</v>
      </c>
    </row>
    <row r="4899" ht="15.75" customHeight="1">
      <c r="A4899" s="2" t="s">
        <v>4899</v>
      </c>
      <c r="B4899" s="2" t="str">
        <f>IFERROR(__xludf.DUMMYFUNCTION("GOOGLETRANSLATE(A4899, ""en"", ""mt"")"),"Bejn wieħed u ieħor kemm hemm oġġetti fil-kollezzjoni tat-tessuti tal-V &amp; A?")</f>
        <v>Bejn wieħed u ieħor kemm hemm oġġetti fil-kollezzjoni tat-tessuti tal-V &amp; A?</v>
      </c>
    </row>
    <row r="4900" ht="15.75" customHeight="1">
      <c r="A4900" s="2" t="s">
        <v>4900</v>
      </c>
      <c r="B4900" s="2" t="str">
        <f>IFERROR(__xludf.DUMMYFUNCTION("GOOGLETRANSLATE(A4900, ""en"", ""mt"")"),"It-tieni u t-tielet ġirja")</f>
        <v>It-tieni u t-tielet ġirja</v>
      </c>
    </row>
    <row r="4901" ht="15.75" customHeight="1">
      <c r="A4901" s="2" t="s">
        <v>4901</v>
      </c>
      <c r="B4901" s="2" t="str">
        <f>IFERROR(__xludf.DUMMYFUNCTION("GOOGLETRANSLATE(A4901, ""en"", ""mt"")"),"Ma Jianlong")</f>
        <v>Ma Jianlong</v>
      </c>
    </row>
    <row r="4902" ht="15.75" customHeight="1">
      <c r="A4902" s="2" t="s">
        <v>4902</v>
      </c>
      <c r="B4902" s="2" t="str">
        <f>IFERROR(__xludf.DUMMYFUNCTION("GOOGLETRANSLATE(A4902, ""en"", ""mt"")"),"il-prosperità tal-belt;")</f>
        <v>il-prosperità tal-belt;</v>
      </c>
    </row>
    <row r="4903" ht="15.75" customHeight="1">
      <c r="A4903" s="2" t="s">
        <v>4903</v>
      </c>
      <c r="B4903" s="2" t="str">
        <f>IFERROR(__xludf.DUMMYFUNCTION("GOOGLETRANSLATE(A4903, ""en"", ""mt"")"),"imqatta '")</f>
        <v>imqatta '</v>
      </c>
    </row>
    <row r="4904" ht="15.75" customHeight="1">
      <c r="A4904" s="2" t="s">
        <v>4904</v>
      </c>
      <c r="B4904" s="2" t="str">
        <f>IFERROR(__xludf.DUMMYFUNCTION("GOOGLETRANSLATE(A4904, ""en"", ""mt"")"),"ġimgħatejn")</f>
        <v>ġimgħatejn</v>
      </c>
    </row>
    <row r="4905" ht="15.75" customHeight="1">
      <c r="A4905" s="2" t="s">
        <v>4905</v>
      </c>
      <c r="B4905" s="2" t="str">
        <f>IFERROR(__xludf.DUMMYFUNCTION("GOOGLETRANSLATE(A4905, ""en"", ""mt"")"),"Fejn kienu ċċentrati l-popolazzjonijiet fil-kolonji?")</f>
        <v>Fejn kienu ċċentrati l-popolazzjonijiet fil-kolonji?</v>
      </c>
    </row>
    <row r="4906" ht="15.75" customHeight="1">
      <c r="A4906" s="2" t="s">
        <v>4906</v>
      </c>
      <c r="B4906" s="2" t="str">
        <f>IFERROR(__xludf.DUMMYFUNCTION("GOOGLETRANSLATE(A4906, ""en"", ""mt"")"),"Porzjonijiet tal-Punent tal-Lagi l-Kbar")</f>
        <v>Porzjonijiet tal-Punent tal-Lagi l-Kbar</v>
      </c>
    </row>
    <row r="4907" ht="15.75" customHeight="1">
      <c r="A4907" s="2" t="s">
        <v>4907</v>
      </c>
      <c r="B4907" s="2" t="str">
        <f>IFERROR(__xludf.DUMMYFUNCTION("GOOGLETRANSLATE(A4907, ""en"", ""mt"")"),"X'jiddikjara li t-teoloġija Metodista Magħquda hija f'daqqa ""Kattolika, Evanġelika u Riformata?""")</f>
        <v>X'jiddikjara li t-teoloġija Metodista Magħquda hija f'daqqa "Kattolika, Evanġelika u Riformata?"</v>
      </c>
    </row>
    <row r="4908" ht="15.75" customHeight="1">
      <c r="A4908" s="2" t="s">
        <v>4908</v>
      </c>
      <c r="B4908" s="2" t="str">
        <f>IFERROR(__xludf.DUMMYFUNCTION("GOOGLETRANSLATE(A4908, ""en"", ""mt"")"),"Björn Waldegård, Hannu Mikkola, Tommi Mäkinen, Shekhar Mehta, Carlos Sainz u Colin McRae")</f>
        <v>Björn Waldegård, Hannu Mikkola, Tommi Mäkinen, Shekhar Mehta, Carlos Sainz u Colin McRae</v>
      </c>
    </row>
    <row r="4909" ht="15.75" customHeight="1">
      <c r="A4909" s="2" t="s">
        <v>4909</v>
      </c>
      <c r="B4909" s="2" t="str">
        <f>IFERROR(__xludf.DUMMYFUNCTION("GOOGLETRANSLATE(A4909, ""en"", ""mt"")"),"27-30")</f>
        <v>27-30</v>
      </c>
    </row>
    <row r="4910" ht="15.75" customHeight="1">
      <c r="A4910" s="2" t="s">
        <v>4910</v>
      </c>
      <c r="B4910" s="2" t="str">
        <f>IFERROR(__xludf.DUMMYFUNCTION("GOOGLETRANSLATE(A4910, ""en"", ""mt"")"),"X'kien l-aħħar isem tad-disinjaturi tal-librerija ta 'Newcastle?")</f>
        <v>X'kien l-aħħar isem tad-disinjaturi tal-librerija ta 'Newcastle?</v>
      </c>
    </row>
    <row r="4911" ht="15.75" customHeight="1">
      <c r="A4911" s="2" t="s">
        <v>4911</v>
      </c>
      <c r="B4911" s="2" t="str">
        <f>IFERROR(__xludf.DUMMYFUNCTION("GOOGLETRANSLATE(A4911, ""en"", ""mt"")"),"Il-magni tal-fwar spiss ikollhom żewġ mekkaniżmi indipendenti biex jiżguraw li l-pressjoni fil-bojler ma tmurx għoli wisq; Wieħed jista 'jiġi aġġustat mill-utent, it-tieni huwa tipikament iddisinjat bħala falliment aħħari. Valvi ta 'sigurtà bħal dawn trad"&amp;"izzjonalment użaw lieva sempliċi biex trażżan valv tal-plagg fil-parti ta' fuq ta 'bojler. Tmiem tal-lieva wettaq piż jew molla li rażżan il-valv kontra l-pressjoni tal-fwar. Valvi bikrija jistgħu jiġu aġġustati minn sewwieqa tal-magna, li jwasslu għal ħa"&amp;"fna inċidenti meta xufier waħħal il-valv 'l isfel biex jippermetti pressjoni tal-fwar akbar u aktar qawwa mill-magna. It-tip aktar reċenti ta 'valv ta' sigurtà juża valv mgħobbi bir-rebbiegħa aġġustabbli, li huwa msakkra b'tali mod li l-operaturi ma jistg"&amp;"ħux ibatu l-aġġustament tiegħu sakemm siġill illegalment ikun miksur. Dan l-arranġament huwa konsiderevolment aktar sigur. [Ċitazzjoni meħtieġa]")</f>
        <v>Il-magni tal-fwar spiss ikollhom żewġ mekkaniżmi indipendenti biex jiżguraw li l-pressjoni fil-bojler ma tmurx għoli wisq; Wieħed jista 'jiġi aġġustat mill-utent, it-tieni huwa tipikament iddisinjat bħala falliment aħħari. Valvi ta 'sigurtà bħal dawn tradizzjonalment użaw lieva sempliċi biex trażżan valv tal-plagg fil-parti ta' fuq ta 'bojler. Tmiem tal-lieva wettaq piż jew molla li rażżan il-valv kontra l-pressjoni tal-fwar. Valvi bikrija jistgħu jiġu aġġustati minn sewwieqa tal-magna, li jwasslu għal ħafna inċidenti meta xufier waħħal il-valv 'l isfel biex jippermetti pressjoni tal-fwar akbar u aktar qawwa mill-magna. It-tip aktar reċenti ta 'valv ta' sigurtà juża valv mgħobbi bir-rebbiegħa aġġustabbli, li huwa msakkra b'tali mod li l-operaturi ma jistgħux ibatu l-aġġustament tiegħu sakemm siġill illegalment ikun miksur. Dan l-arranġament huwa konsiderevolment aktar sigur. [Ċitazzjoni meħtieġa]</v>
      </c>
    </row>
    <row r="4912" ht="15.75" customHeight="1">
      <c r="A4912" s="2" t="s">
        <v>4912</v>
      </c>
      <c r="B4912" s="2" t="str">
        <f>IFERROR(__xludf.DUMMYFUNCTION("GOOGLETRANSLATE(A4912, ""en"", ""mt"")"),"103 mil")</f>
        <v>103 mil</v>
      </c>
    </row>
    <row r="4913" ht="15.75" customHeight="1">
      <c r="A4913" s="2" t="s">
        <v>4913</v>
      </c>
      <c r="B4913" s="2" t="str">
        <f>IFERROR(__xludf.DUMMYFUNCTION("GOOGLETRANSLATE(A4913, ""en"", ""mt"")"),"It-telfa rapida u deċiżiva tat-truppi Għarab matul il-gwerra ta 'sitt ijiem mit-truppi Iżraeljani kienet tikkostitwixxi avveniment ċentrali fid-dinja Musulmana Għarbija. It-telfa flimkien ma 'staġnar ekonomiku fil-pajjiżi megħluba, ġiet akkużata fuq in-na"&amp;"zzjonaliżmu Għarbi sekulari tar-reġimi ta' tmexxija. Tnaqqis wieqaf u kostanti fil-popolarità u l-kredibilità tal-politika sekulari, soċjalista u nazzjonalista. Il-Ba'athism, is-soċjaliżmu Għarbi, u n-nazzjonaliżmu Għarbi sofrew, u movimenti Iżlamisti Dem"&amp;"okratiċi u anti-demokratiċi differenti ispirati minn Maududi u Sayyid Qutb kisbu art.")</f>
        <v>It-telfa rapida u deċiżiva tat-truppi Għarab matul il-gwerra ta 'sitt ijiem mit-truppi Iżraeljani kienet tikkostitwixxi avveniment ċentrali fid-dinja Musulmana Għarbija. It-telfa flimkien ma 'staġnar ekonomiku fil-pajjiżi megħluba, ġiet akkużata fuq in-nazzjonaliżmu Għarbi sekulari tar-reġimi ta' tmexxija. Tnaqqis wieqaf u kostanti fil-popolarità u l-kredibilità tal-politika sekulari, soċjalista u nazzjonalista. Il-Ba'athism, is-soċjaliżmu Għarbi, u n-nazzjonaliżmu Għarbi sofrew, u movimenti Iżlamisti Demokratiċi u anti-demokratiċi differenti ispirati minn Maududi u Sayyid Qutb kisbu art.</v>
      </c>
    </row>
    <row r="4914" ht="15.75" customHeight="1">
      <c r="A4914" s="2" t="s">
        <v>4914</v>
      </c>
      <c r="B4914" s="2" t="str">
        <f>IFERROR(__xludf.DUMMYFUNCTION("GOOGLETRANSLATE(A4914, ""en"", ""mt"")"),"F'liema ħin Tesla ħadet il-pranzu?")</f>
        <v>F'liema ħin Tesla ħadet il-pranzu?</v>
      </c>
    </row>
    <row r="4915" ht="15.75" customHeight="1">
      <c r="A4915" s="2" t="s">
        <v>4915</v>
      </c>
      <c r="B4915" s="2" t="str">
        <f>IFERROR(__xludf.DUMMYFUNCTION("GOOGLETRANSLATE(A4915, ""en"", ""mt"")"),"Meta Greenland iffirmat trattat li jagħtihom status speċjali?")</f>
        <v>Meta Greenland iffirmat trattat li jagħtihom status speċjali?</v>
      </c>
    </row>
    <row r="4916" ht="15.75" customHeight="1">
      <c r="A4916" s="2" t="s">
        <v>4916</v>
      </c>
      <c r="B4916" s="2" t="str">
        <f>IFERROR(__xludf.DUMMYFUNCTION("GOOGLETRANSLATE(A4916, ""en"", ""mt"")"),"persważjoni u negozjar")</f>
        <v>persważjoni u negozjar</v>
      </c>
    </row>
    <row r="4917" ht="15.75" customHeight="1">
      <c r="A4917" s="2" t="s">
        <v>4917</v>
      </c>
      <c r="B4917" s="2" t="str">
        <f>IFERROR(__xludf.DUMMYFUNCTION("GOOGLETRANSLATE(A4917, ""en"", ""mt"")"),"Xi jħoss Rajan ħoloq linji ta 'difetti finanzjarji profondi?")</f>
        <v>Xi jħoss Rajan ħoloq linji ta 'difetti finanzjarji profondi?</v>
      </c>
    </row>
    <row r="4918" ht="15.75" customHeight="1">
      <c r="A4918" s="2" t="s">
        <v>4918</v>
      </c>
      <c r="B4918" s="2" t="str">
        <f>IFERROR(__xludf.DUMMYFUNCTION("GOOGLETRANSLATE(A4918, ""en"", ""mt"")"),"81")</f>
        <v>81</v>
      </c>
    </row>
    <row r="4919" ht="15.75" customHeight="1">
      <c r="A4919" s="2" t="s">
        <v>4919</v>
      </c>
      <c r="B4919" s="2" t="str">
        <f>IFERROR(__xludf.DUMMYFUNCTION("GOOGLETRANSLATE(A4919, ""en"", ""mt"")"),"L-intonazzjoni ta 'Luther adottata")</f>
        <v>L-intonazzjoni ta 'Luther adottata</v>
      </c>
    </row>
    <row r="4920" ht="15.75" customHeight="1">
      <c r="A4920" s="2" t="s">
        <v>4920</v>
      </c>
      <c r="B4920" s="2" t="str">
        <f>IFERROR(__xludf.DUMMYFUNCTION("GOOGLETRANSLATE(A4920, ""en"", ""mt"")"),"Inżul Lunar")</f>
        <v>Inżul Lunar</v>
      </c>
    </row>
    <row r="4921" ht="15.75" customHeight="1">
      <c r="A4921" s="2" t="s">
        <v>4921</v>
      </c>
      <c r="B4921" s="2" t="str">
        <f>IFERROR(__xludf.DUMMYFUNCTION("GOOGLETRANSLATE(A4921, ""en"", ""mt"")"),"Il-grupp televiżiv Disney-ABC ingħaqad ma 'ABC Studios u liema entità oħra fl-2009?")</f>
        <v>Il-grupp televiżiv Disney-ABC ingħaqad ma 'ABC Studios u liema entità oħra fl-2009?</v>
      </c>
    </row>
    <row r="4922" ht="15.75" customHeight="1">
      <c r="A4922" s="2" t="s">
        <v>4922</v>
      </c>
      <c r="B4922" s="2" t="str">
        <f>IFERROR(__xludf.DUMMYFUNCTION("GOOGLETRANSLATE(A4922, ""en"", ""mt"")"),"Matul il-pesta ta 'Ateni fl-430 QK")</f>
        <v>Matul il-pesta ta 'Ateni fl-430 QK</v>
      </c>
    </row>
    <row r="4923" ht="15.75" customHeight="1">
      <c r="A4923" s="2" t="s">
        <v>4923</v>
      </c>
      <c r="B4923" s="2" t="str">
        <f>IFERROR(__xludf.DUMMYFUNCTION("GOOGLETRANSLATE(A4923, ""en"", ""mt"")"),"X'inhu eżempju ta 'mudell ta' magna li jiddevja minn magna b'ħafna tape aċċettata ġeneralment?")</f>
        <v>X'inhu eżempju ta 'mudell ta' magna li jiddevja minn magna b'ħafna tape aċċettata ġeneralment?</v>
      </c>
    </row>
    <row r="4924" ht="15.75" customHeight="1">
      <c r="A4924" s="2" t="s">
        <v>4924</v>
      </c>
      <c r="B4924" s="2" t="str">
        <f>IFERROR(__xludf.DUMMYFUNCTION("GOOGLETRANSLATE(A4924, ""en"", ""mt"")"),"X'inhi l-eqdem tapizzerija Ewropea li tibqa 'ħajja fil-kollezzjoni V &amp; A?")</f>
        <v>X'inhi l-eqdem tapizzerija Ewropea li tibqa 'ħajja fil-kollezzjoni V &amp; A?</v>
      </c>
    </row>
    <row r="4925" ht="15.75" customHeight="1">
      <c r="A4925" s="2" t="s">
        <v>4925</v>
      </c>
      <c r="B4925" s="2" t="str">
        <f>IFERROR(__xludf.DUMMYFUNCTION("GOOGLETRANSLATE(A4925, ""en"", ""mt"")"),"Fejn hi dar tal-palm bi pjanti subtropiċi mid-dinja kollha għall-wiri?")</f>
        <v>Fejn hi dar tal-palm bi pjanti subtropiċi mid-dinja kollha għall-wiri?</v>
      </c>
    </row>
    <row r="4926" ht="15.75" customHeight="1">
      <c r="A4926" s="2" t="s">
        <v>4926</v>
      </c>
      <c r="B4926" s="2" t="str">
        <f>IFERROR(__xludf.DUMMYFUNCTION("GOOGLETRANSLATE(A4926, ""en"", ""mt"")"),"F'liema direzzjoni joriġina l-biċċa l-kbira tar-riħ fi Fresno?")</f>
        <v>F'liema direzzjoni joriġina l-biċċa l-kbira tar-riħ fi Fresno?</v>
      </c>
    </row>
    <row r="4927" ht="15.75" customHeight="1">
      <c r="A4927" s="2" t="s">
        <v>4927</v>
      </c>
      <c r="B4927" s="2" t="str">
        <f>IFERROR(__xludf.DUMMYFUNCTION("GOOGLETRANSLATE(A4927, ""en"", ""mt"")"),"Ir-reġjuni ripetuti maqluba")</f>
        <v>Ir-reġjuni ripetuti maqluba</v>
      </c>
    </row>
    <row r="4928" ht="15.75" customHeight="1">
      <c r="A4928" s="2" t="s">
        <v>4928</v>
      </c>
      <c r="B4928" s="2" t="str">
        <f>IFERROR(__xludf.DUMMYFUNCTION("GOOGLETRANSLATE(A4928, ""en"", ""mt"")"),"B'Istanbul bħala l-kapital u l-kontroll tiegħu ta 'artijiet madwar il-baċin tal-Mediterran, l-Imperu Ottoman kien fiċ-ċentru ta' interazzjonijiet bejn id-dinjiet tal-Lvant u tal-Punent għal sitt sekli. Wara perjodu twil ta 'żvantaġġi militari kontra l-pot"&amp;"eri Ewropej, l-Imperu Ottoman naqas gradwalment fl-aħħar tas-seklu dsatax. L-Imperu alleat mal-Ġermanja fil-bidu tas-seklu 20, bl-ambizzjoni imperjali li tirkupra t-territorji mitlufa tagħha, iżda dan inħall wara l-Ewwel Gwerra Dinjija, li wassal għall-ħo"&amp;"lqien tal-istat il-ġdid tat-Turkija fil-qalba Anatoljana Ottomana, ukoll bħala l-ħolqien ta 'stati moderni tal-Balkani u tal-Lvant Nofsani, u b'hekk jintemmu l-ambizzjonijiet kolonjali Torok.")</f>
        <v>B'Istanbul bħala l-kapital u l-kontroll tiegħu ta 'artijiet madwar il-baċin tal-Mediterran, l-Imperu Ottoman kien fiċ-ċentru ta' interazzjonijiet bejn id-dinjiet tal-Lvant u tal-Punent għal sitt sekli. Wara perjodu twil ta 'żvantaġġi militari kontra l-poteri Ewropej, l-Imperu Ottoman naqas gradwalment fl-aħħar tas-seklu dsatax. L-Imperu alleat mal-Ġermanja fil-bidu tas-seklu 20, bl-ambizzjoni imperjali li tirkupra t-territorji mitlufa tagħha, iżda dan inħall wara l-Ewwel Gwerra Dinjija, li wassal għall-ħolqien tal-istat il-ġdid tat-Turkija fil-qalba Anatoljana Ottomana, ukoll bħala l-ħolqien ta 'stati moderni tal-Balkani u tal-Lvant Nofsani, u b'hekk jintemmu l-ambizzjonijiet kolonjali Torok.</v>
      </c>
    </row>
    <row r="4929" ht="15.75" customHeight="1">
      <c r="A4929" s="2" t="s">
        <v>4929</v>
      </c>
      <c r="B4929" s="2" t="str">
        <f>IFERROR(__xludf.DUMMYFUNCTION("GOOGLETRANSLATE(A4929, ""en"", ""mt"")"),"Min kien maħsub li qatel lil Tugh Temur?")</f>
        <v>Min kien maħsub li qatel lil Tugh Temur?</v>
      </c>
    </row>
    <row r="4930" ht="15.75" customHeight="1">
      <c r="A4930" s="2" t="s">
        <v>4930</v>
      </c>
      <c r="B4930" s="2" t="str">
        <f>IFERROR(__xludf.DUMMYFUNCTION("GOOGLETRANSLATE(A4930, ""en"", ""mt"")"),"f'distanzi akbar")</f>
        <v>f'distanzi akbar</v>
      </c>
    </row>
    <row r="4931" ht="15.75" customHeight="1">
      <c r="A4931" s="2" t="s">
        <v>4931</v>
      </c>
      <c r="B4931" s="2" t="str">
        <f>IFERROR(__xludf.DUMMYFUNCTION("GOOGLETRANSLATE(A4931, ""en"", ""mt"")"),"Iż-żieda attwali fit-temperatura kienet qrib it-tarf ta 'fuq tal-firxa mogħtija")</f>
        <v>Iż-żieda attwali fit-temperatura kienet qrib it-tarf ta 'fuq tal-firxa mogħtija</v>
      </c>
    </row>
    <row r="4932" ht="15.75" customHeight="1">
      <c r="A4932" s="2" t="s">
        <v>4932</v>
      </c>
      <c r="B4932" s="2" t="str">
        <f>IFERROR(__xludf.DUMMYFUNCTION("GOOGLETRANSLATE(A4932, ""en"", ""mt"")"),"wieħed mill-aktar movimenti influwenti")</f>
        <v>wieħed mill-aktar movimenti influwenti</v>
      </c>
    </row>
    <row r="4933" ht="15.75" customHeight="1">
      <c r="A4933" s="2" t="s">
        <v>4933</v>
      </c>
      <c r="B4933" s="2" t="str">
        <f>IFERROR(__xludf.DUMMYFUNCTION("GOOGLETRANSLATE(A4933, ""en"", ""mt"")"),"Wade Phillips")</f>
        <v>Wade Phillips</v>
      </c>
    </row>
    <row r="4934" ht="15.75" customHeight="1">
      <c r="A4934" s="2" t="s">
        <v>4934</v>
      </c>
      <c r="B4934" s="2" t="str">
        <f>IFERROR(__xludf.DUMMYFUNCTION("GOOGLETRANSLATE(A4934, ""en"", ""mt"")"),"Hu li jagħmel affarijiet kbar.")</f>
        <v>Hu li jagħmel affarijiet kbar.</v>
      </c>
    </row>
    <row r="4935" ht="15.75" customHeight="1">
      <c r="A4935" s="2" t="s">
        <v>4935</v>
      </c>
      <c r="B4935" s="2" t="str">
        <f>IFERROR(__xludf.DUMMYFUNCTION("GOOGLETRANSLATE(A4935, ""en"", ""mt"")"),"118")</f>
        <v>118</v>
      </c>
    </row>
    <row r="4936" ht="15.75" customHeight="1">
      <c r="A4936" s="2" t="s">
        <v>4936</v>
      </c>
      <c r="B4936" s="2" t="str">
        <f>IFERROR(__xludf.DUMMYFUNCTION("GOOGLETRANSLATE(A4936, ""en"", ""mt"")"),"Bejn Han u Jurchen")</f>
        <v>Bejn Han u Jurchen</v>
      </c>
    </row>
    <row r="4937" ht="15.75" customHeight="1">
      <c r="A4937" s="2" t="s">
        <v>4937</v>
      </c>
      <c r="B4937" s="2" t="str">
        <f>IFERROR(__xludf.DUMMYFUNCTION("GOOGLETRANSLATE(A4937, ""en"", ""mt"")"),"Min imur blat, preċiżament, fit-taqsima stratigrafika?")</f>
        <v>Min imur blat, preċiżament, fit-taqsima stratigrafika?</v>
      </c>
    </row>
    <row r="4938" ht="15.75" customHeight="1">
      <c r="A4938" s="2" t="s">
        <v>4938</v>
      </c>
      <c r="B4938" s="2" t="str">
        <f>IFERROR(__xludf.DUMMYFUNCTION("GOOGLETRANSLATE(A4938, ""en"", ""mt"")"),"qawwa")</f>
        <v>qawwa</v>
      </c>
    </row>
    <row r="4939" ht="15.75" customHeight="1">
      <c r="A4939" s="2" t="s">
        <v>4939</v>
      </c>
      <c r="B4939" s="2" t="str">
        <f>IFERROR(__xludf.DUMMYFUNCTION("GOOGLETRANSLATE(A4939, ""en"", ""mt"")"),"Liema konġettura ssostni li dejjem hemm minimu ta '4 primes bejn il-kwadri ta' primes konsekuttivi akbar minn 2?")</f>
        <v>Liema konġettura ssostni li dejjem hemm minimu ta '4 primes bejn il-kwadri ta' primes konsekuttivi akbar minn 2?</v>
      </c>
    </row>
    <row r="4940" ht="15.75" customHeight="1">
      <c r="A4940" s="2" t="s">
        <v>4940</v>
      </c>
      <c r="B4940" s="2" t="str">
        <f>IFERROR(__xludf.DUMMYFUNCTION("GOOGLETRANSLATE(A4940, ""en"", ""mt"")"),"Folji tas-silġ")</f>
        <v>Folji tas-silġ</v>
      </c>
    </row>
    <row r="4941" ht="15.75" customHeight="1">
      <c r="A4941" s="2" t="s">
        <v>4941</v>
      </c>
      <c r="B4941" s="2" t="str">
        <f>IFERROR(__xludf.DUMMYFUNCTION("GOOGLETRANSLATE(A4941, ""en"", ""mt"")"),"Bżonnijiet ta 'sopravivenza bħal dħul għall-ikel u kenn jimmotiva liema tip ta' intraprenditorija?")</f>
        <v>Bżonnijiet ta 'sopravivenza bħal dħul għall-ikel u kenn jimmotiva liema tip ta' intraprenditorija?</v>
      </c>
    </row>
    <row r="4942" ht="15.75" customHeight="1">
      <c r="A4942" s="2" t="s">
        <v>4942</v>
      </c>
      <c r="B4942" s="2" t="str">
        <f>IFERROR(__xludf.DUMMYFUNCTION("GOOGLETRANSLATE(A4942, ""en"", ""mt"")"),"Liema immaġni saret marbuta mat-tabib min?")</f>
        <v>Liema immaġni saret marbuta mat-tabib min?</v>
      </c>
    </row>
    <row r="4943" ht="15.75" customHeight="1">
      <c r="A4943" s="2" t="s">
        <v>4943</v>
      </c>
      <c r="B4943" s="2" t="str">
        <f>IFERROR(__xludf.DUMMYFUNCTION("GOOGLETRANSLATE(A4943, ""en"", ""mt"")"),"X’għamel il-bażi ta ’Bach għal kollox fuq Luther Chorales?")</f>
        <v>X’għamel il-bażi ta ’Bach għal kollox fuq Luther Chorales?</v>
      </c>
    </row>
    <row r="4944" ht="15.75" customHeight="1">
      <c r="A4944" s="2" t="s">
        <v>4944</v>
      </c>
      <c r="B4944" s="2" t="str">
        <f>IFERROR(__xludf.DUMMYFUNCTION("GOOGLETRANSLATE(A4944, ""en"", ""mt"")"),"ta 'l-ogħla' effiċjenza soċjali")</f>
        <v>ta 'l-ogħla' effiċjenza soċjali</v>
      </c>
    </row>
    <row r="4945" ht="15.75" customHeight="1">
      <c r="A4945" s="2" t="s">
        <v>4945</v>
      </c>
      <c r="B4945" s="2" t="str">
        <f>IFERROR(__xludf.DUMMYFUNCTION("GOOGLETRANSLATE(A4945, ""en"", ""mt"")"),"1517")</f>
        <v>1517</v>
      </c>
    </row>
    <row r="4946" ht="15.75" customHeight="1">
      <c r="A4946" s="2" t="s">
        <v>4946</v>
      </c>
      <c r="B4946" s="2" t="str">
        <f>IFERROR(__xludf.DUMMYFUNCTION("GOOGLETRANSLATE(A4946, ""en"", ""mt"")"),"nobbli")</f>
        <v>nobbli</v>
      </c>
    </row>
    <row r="4947" ht="15.75" customHeight="1">
      <c r="A4947" s="2" t="s">
        <v>4947</v>
      </c>
      <c r="B4947" s="2" t="str">
        <f>IFERROR(__xludf.DUMMYFUNCTION("GOOGLETRANSLATE(A4947, ""en"", ""mt"")"),"mistħija")</f>
        <v>mistħija</v>
      </c>
    </row>
    <row r="4948" ht="15.75" customHeight="1">
      <c r="A4948" s="2" t="s">
        <v>4948</v>
      </c>
      <c r="B4948" s="2" t="str">
        <f>IFERROR(__xludf.DUMMYFUNCTION("GOOGLETRANSLATE(A4948, ""en"", ""mt"")"),"Meta seħħet l-attività tal-bini fuq il-Knisja ta ’San Kazimierz?")</f>
        <v>Meta seħħet l-attività tal-bini fuq il-Knisja ta ’San Kazimierz?</v>
      </c>
    </row>
    <row r="4949" ht="15.75" customHeight="1">
      <c r="A4949" s="2" t="s">
        <v>4949</v>
      </c>
      <c r="B4949" s="2" t="str">
        <f>IFERROR(__xludf.DUMMYFUNCTION("GOOGLETRANSLATE(A4949, ""en"", ""mt"")"),"Robert ta 'Jumièges")</f>
        <v>Robert ta 'Jumièges</v>
      </c>
    </row>
    <row r="4950" ht="15.75" customHeight="1">
      <c r="A4950" s="2" t="s">
        <v>4950</v>
      </c>
      <c r="B4950" s="2" t="str">
        <f>IFERROR(__xludf.DUMMYFUNCTION("GOOGLETRANSLATE(A4950, ""en"", ""mt"")"),"Dħul mill-ħsad tal-kerrejja Ċiniżi tagħhom")</f>
        <v>Dħul mill-ħsad tal-kerrejja Ċiniżi tagħhom</v>
      </c>
    </row>
    <row r="4951" ht="15.75" customHeight="1">
      <c r="A4951" s="2" t="s">
        <v>4951</v>
      </c>
      <c r="B4951" s="2" t="str">
        <f>IFERROR(__xludf.DUMMYFUNCTION("GOOGLETRANSLATE(A4951, ""en"", ""mt"")"),"Fidi fi Kristu mingħajr l-ebda xogħol tal-liġi")</f>
        <v>Fidi fi Kristu mingħajr l-ebda xogħol tal-liġi</v>
      </c>
    </row>
    <row r="4952" ht="15.75" customHeight="1">
      <c r="A4952" s="2" t="s">
        <v>4952</v>
      </c>
      <c r="B4952" s="2" t="str">
        <f>IFERROR(__xludf.DUMMYFUNCTION("GOOGLETRANSLATE(A4952, ""en"", ""mt"")"),"Chester")</f>
        <v>Chester</v>
      </c>
    </row>
    <row r="4953" ht="15.75" customHeight="1">
      <c r="A4953" s="2" t="s">
        <v>4953</v>
      </c>
      <c r="B4953" s="2" t="str">
        <f>IFERROR(__xludf.DUMMYFUNCTION("GOOGLETRANSLATE(A4953, ""en"", ""mt"")"),"Il-Ferrovija tal-Kosta tal-Lvant tal-Florida")</f>
        <v>Il-Ferrovija tal-Kosta tal-Lvant tal-Florida</v>
      </c>
    </row>
    <row r="4954" ht="15.75" customHeight="1">
      <c r="A4954" s="2" t="s">
        <v>4954</v>
      </c>
      <c r="B4954" s="2" t="str">
        <f>IFERROR(__xludf.DUMMYFUNCTION("GOOGLETRANSLATE(A4954, ""en"", ""mt"")"),"Kif inhi l-klima ħdejn il-ħaxix tas-savanna?")</f>
        <v>Kif inhi l-klima ħdejn il-ħaxix tas-savanna?</v>
      </c>
    </row>
    <row r="4955" ht="15.75" customHeight="1">
      <c r="A4955" s="2" t="s">
        <v>4955</v>
      </c>
      <c r="B4955" s="2" t="str">
        <f>IFERROR(__xludf.DUMMYFUNCTION("GOOGLETRANSLATE(A4955, ""en"", ""mt"")"),"Saltniet")</f>
        <v>Saltniet</v>
      </c>
    </row>
    <row r="4956" ht="15.75" customHeight="1">
      <c r="A4956" s="2" t="s">
        <v>4956</v>
      </c>
      <c r="B4956" s="2" t="str">
        <f>IFERROR(__xludf.DUMMYFUNCTION("GOOGLETRANSLATE(A4956, ""en"", ""mt"")"),"Fl-1951, l-għajdut sostnew li ABC jista 'jinbiegħ lil liema netwerk?")</f>
        <v>Fl-1951, l-għajdut sostnew li ABC jista 'jinbiegħ lil liema netwerk?</v>
      </c>
    </row>
    <row r="4957" ht="15.75" customHeight="1">
      <c r="A4957" s="2" t="s">
        <v>4957</v>
      </c>
      <c r="B4957" s="2" t="str">
        <f>IFERROR(__xludf.DUMMYFUNCTION("GOOGLETRANSLATE(A4957, ""en"", ""mt"")"),"Imbotta t-Tylakoids, imma ħallihom intatti.")</f>
        <v>Imbotta t-Tylakoids, imma ħallihom intatti.</v>
      </c>
    </row>
    <row r="4958" ht="15.75" customHeight="1">
      <c r="A4958" s="2" t="s">
        <v>4958</v>
      </c>
      <c r="B4958" s="2" t="str">
        <f>IFERROR(__xludf.DUMMYFUNCTION("GOOGLETRANSLATE(A4958, ""en"", ""mt"")"),"Il-fatat ta 'Le Roi Huguet")</f>
        <v>Il-fatat ta 'Le Roi Huguet</v>
      </c>
    </row>
    <row r="4959" ht="15.75" customHeight="1">
      <c r="A4959" s="2" t="s">
        <v>4959</v>
      </c>
      <c r="B4959" s="2" t="str">
        <f>IFERROR(__xludf.DUMMYFUNCTION("GOOGLETRANSLATE(A4959, ""en"", ""mt"")"),"fil-Gateshead")</f>
        <v>fil-Gateshead</v>
      </c>
    </row>
    <row r="4960" ht="15.75" customHeight="1">
      <c r="A4960" s="2" t="s">
        <v>4960</v>
      </c>
      <c r="B4960" s="2" t="str">
        <f>IFERROR(__xludf.DUMMYFUNCTION("GOOGLETRANSLATE(A4960, ""en"", ""mt"")"),"metodu ewlieni")</f>
        <v>metodu ewlieni</v>
      </c>
    </row>
    <row r="4961" ht="15.75" customHeight="1">
      <c r="A4961" s="2" t="s">
        <v>4961</v>
      </c>
      <c r="B4961" s="2" t="str">
        <f>IFERROR(__xludf.DUMMYFUNCTION("GOOGLETRANSLATE(A4961, ""en"", ""mt"")"),"Biljetti intelliġenti.")</f>
        <v>Biljetti intelliġenti.</v>
      </c>
    </row>
    <row r="4962" ht="15.75" customHeight="1">
      <c r="A4962" s="2" t="s">
        <v>4962</v>
      </c>
      <c r="B4962" s="2" t="str">
        <f>IFERROR(__xludf.DUMMYFUNCTION("GOOGLETRANSLATE(A4962, ""en"", ""mt"")"),"McGann u Eccleston")</f>
        <v>McGann u Eccleston</v>
      </c>
    </row>
    <row r="4963" ht="15.75" customHeight="1">
      <c r="A4963" s="2" t="s">
        <v>4963</v>
      </c>
      <c r="B4963" s="2" t="str">
        <f>IFERROR(__xludf.DUMMYFUNCTION("GOOGLETRANSLATE(A4963, ""en"", ""mt"")"),"X'inhi varjabbli waħda li fuqha jista 'jkun il-ħin ta' tħaddim?")</f>
        <v>X'inhi varjabbli waħda li fuqha jista 'jkun il-ħin ta' tħaddim?</v>
      </c>
    </row>
    <row r="4964" ht="15.75" customHeight="1">
      <c r="A4964" s="2" t="s">
        <v>4964</v>
      </c>
      <c r="B4964" s="2" t="str">
        <f>IFERROR(__xludf.DUMMYFUNCTION("GOOGLETRANSLATE(A4964, ""en"", ""mt"")"),"Il-prestazzjoni tard tagħha tas-snin 1980 minn tlieta sa ħames miljun telespettatur")</f>
        <v>Il-prestazzjoni tard tagħha tas-snin 1980 minn tlieta sa ħames miljun telespettatur</v>
      </c>
    </row>
    <row r="4965" ht="15.75" customHeight="1">
      <c r="A4965" s="2" t="s">
        <v>4965</v>
      </c>
      <c r="B4965" s="2" t="str">
        <f>IFERROR(__xludf.DUMMYFUNCTION("GOOGLETRANSLATE(A4965, ""en"", ""mt"")"),"imnissel bħala kandidati tal-partit uffiċjali")</f>
        <v>imnissel bħala kandidati tal-partit uffiċjali</v>
      </c>
    </row>
    <row r="4966" ht="15.75" customHeight="1">
      <c r="A4966" s="2" t="s">
        <v>4966</v>
      </c>
      <c r="B4966" s="2" t="str">
        <f>IFERROR(__xludf.DUMMYFUNCTION("GOOGLETRANSLATE(A4966, ""en"", ""mt"")"),"Westchester")</f>
        <v>Westchester</v>
      </c>
    </row>
    <row r="4967" ht="15.75" customHeight="1">
      <c r="A4967" s="2" t="s">
        <v>4967</v>
      </c>
      <c r="B4967" s="2" t="str">
        <f>IFERROR(__xludf.DUMMYFUNCTION("GOOGLETRANSLATE(A4967, ""en"", ""mt"")"),"Ġie mmuntat il-Skylab fuq il-wiċċ tad-Dinja jew fl-ispazju?")</f>
        <v>Ġie mmuntat il-Skylab fuq il-wiċċ tad-Dinja jew fl-ispazju?</v>
      </c>
    </row>
    <row r="4968" ht="15.75" customHeight="1">
      <c r="A4968" s="2" t="s">
        <v>4968</v>
      </c>
      <c r="B4968" s="2" t="str">
        <f>IFERROR(__xludf.DUMMYFUNCTION("GOOGLETRANSLATE(A4968, ""en"", ""mt"")"),"Ingħaqad ma 'politeknika vokazzjonali taż-żgħażagħ / villaġġi jew agħmel l-arranġamenti tagħhom stess għal programm ta' apprendistat")</f>
        <v>Ingħaqad ma 'politeknika vokazzjonali taż-żgħażagħ / villaġġi jew agħmel l-arranġamenti tagħhom stess għal programm ta' apprendistat</v>
      </c>
    </row>
    <row r="4969" ht="15.75" customHeight="1">
      <c r="A4969" s="2" t="s">
        <v>4969</v>
      </c>
      <c r="B4969" s="2" t="str">
        <f>IFERROR(__xludf.DUMMYFUNCTION("GOOGLETRANSLATE(A4969, ""en"", ""mt"")"),"Liema persentaġġ ta 'ossiġnu ġeneralment jiġi fornut minn maskra medika?")</f>
        <v>Liema persentaġġ ta 'ossiġnu ġeneralment jiġi fornut minn maskra medika?</v>
      </c>
    </row>
    <row r="4970" ht="15.75" customHeight="1">
      <c r="A4970" s="2" t="s">
        <v>4970</v>
      </c>
      <c r="B4970" s="2" t="str">
        <f>IFERROR(__xludf.DUMMYFUNCTION("GOOGLETRANSLATE(A4970, ""en"", ""mt"")"),"il-ġlieda kontra l-apartheid")</f>
        <v>il-ġlieda kontra l-apartheid</v>
      </c>
    </row>
    <row r="4971" ht="15.75" customHeight="1">
      <c r="A4971" s="2" t="s">
        <v>4971</v>
      </c>
      <c r="B4971" s="2" t="str">
        <f>IFERROR(__xludf.DUMMYFUNCTION("GOOGLETRANSLATE(A4971, ""en"", ""mt"")"),"Qawwija")</f>
        <v>Qawwija</v>
      </c>
    </row>
    <row r="4972" ht="15.75" customHeight="1">
      <c r="A4972" s="2" t="s">
        <v>4972</v>
      </c>
      <c r="B4972" s="2" t="str">
        <f>IFERROR(__xludf.DUMMYFUNCTION("GOOGLETRANSLATE(A4972, ""en"", ""mt"")"),"Metro: Il-bidla kollha. '")</f>
        <v>Metro: Il-bidla kollha. '</v>
      </c>
    </row>
    <row r="4973" ht="15.75" customHeight="1">
      <c r="A4973" s="2" t="s">
        <v>4973</v>
      </c>
      <c r="B4973" s="2" t="str">
        <f>IFERROR(__xludf.DUMMYFUNCTION("GOOGLETRANSLATE(A4973, ""en"", ""mt"")"),"Kamera Speċjali tat-TV Apollo")</f>
        <v>Kamera Speċjali tat-TV Apollo</v>
      </c>
    </row>
    <row r="4974" ht="15.75" customHeight="1">
      <c r="A4974" s="2" t="s">
        <v>4974</v>
      </c>
      <c r="B4974" s="2" t="str">
        <f>IFERROR(__xludf.DUMMYFUNCTION("GOOGLETRANSLATE(A4974, ""en"", ""mt"")"),"Seine")</f>
        <v>Seine</v>
      </c>
    </row>
    <row r="4975" ht="15.75" customHeight="1">
      <c r="A4975" s="2" t="s">
        <v>4975</v>
      </c>
      <c r="B4975" s="2" t="str">
        <f>IFERROR(__xludf.DUMMYFUNCTION("GOOGLETRANSLATE(A4975, ""en"", ""mt"")"),"E It-tielet grupp ta 'pigmenti misjuba fiċ-ċjanobatterji")</f>
        <v>E It-tielet grupp ta 'pigmenti misjuba fiċ-ċjanobatterji</v>
      </c>
    </row>
    <row r="4976" ht="15.75" customHeight="1">
      <c r="A4976" s="2" t="s">
        <v>4976</v>
      </c>
      <c r="B4976" s="2" t="str">
        <f>IFERROR(__xludf.DUMMYFUNCTION("GOOGLETRANSLATE(A4976, ""en"", ""mt"")"),"sitta")</f>
        <v>sitta</v>
      </c>
    </row>
    <row r="4977" ht="15.75" customHeight="1">
      <c r="A4977" s="2" t="s">
        <v>4977</v>
      </c>
      <c r="B4977" s="2" t="str">
        <f>IFERROR(__xludf.DUMMYFUNCTION("GOOGLETRANSLATE(A4977, ""en"", ""mt"")"),"biex iwaqqfu fond ta 'assigurazzjoni għall-impjegati biex jitolbu pagi mhux imħallsa jekk min iħaddem ikun marret għall-insolventi, kif kienet meħtieġa d-direttiva tal-protezzjoni ta' l-insolvenza")</f>
        <v>biex iwaqqfu fond ta 'assigurazzjoni għall-impjegati biex jitolbu pagi mhux imħallsa jekk min iħaddem ikun marret għall-insolventi, kif kienet meħtieġa d-direttiva tal-protezzjoni ta' l-insolvenza</v>
      </c>
    </row>
    <row r="4978" ht="15.75" customHeight="1">
      <c r="A4978" s="2" t="s">
        <v>4978</v>
      </c>
      <c r="B4978" s="2" t="str">
        <f>IFERROR(__xludf.DUMMYFUNCTION("GOOGLETRANSLATE(A4978, ""en"", ""mt"")"),"L-iben il-kbir tiegħu, Zhenjin")</f>
        <v>L-iben il-kbir tiegħu, Zhenjin</v>
      </c>
    </row>
    <row r="4979" ht="15.75" customHeight="1">
      <c r="A4979" s="2" t="s">
        <v>4979</v>
      </c>
      <c r="B4979" s="2" t="str">
        <f>IFERROR(__xludf.DUMMYFUNCTION("GOOGLETRANSLATE(A4979, ""en"", ""mt"")"),"Liema persentaġġ ta 'art agrikola tikber il-qamħ?")</f>
        <v>Liema persentaġġ ta 'art agrikola tikber il-qamħ?</v>
      </c>
    </row>
    <row r="4980" ht="15.75" customHeight="1">
      <c r="A4980" s="2" t="s">
        <v>4980</v>
      </c>
      <c r="B4980" s="2" t="str">
        <f>IFERROR(__xludf.DUMMYFUNCTION("GOOGLETRANSLATE(A4980, ""en"", ""mt"")"),"ekwivalenti rotazzjonali għall-pożizzjoni")</f>
        <v>ekwivalenti rotazzjonali għall-pożizzjoni</v>
      </c>
    </row>
    <row r="4981" ht="15.75" customHeight="1">
      <c r="A4981" s="2" t="s">
        <v>4981</v>
      </c>
      <c r="B4981" s="2" t="str">
        <f>IFERROR(__xludf.DUMMYFUNCTION("GOOGLETRANSLATE(A4981, ""en"", ""mt"")"),"lill-istat u l-liġijiet tiegħu")</f>
        <v>lill-istat u l-liġijiet tiegħu</v>
      </c>
    </row>
    <row r="4982" ht="15.75" customHeight="1">
      <c r="A4982" s="2" t="s">
        <v>4982</v>
      </c>
      <c r="B4982" s="2" t="str">
        <f>IFERROR(__xludf.DUMMYFUNCTION("GOOGLETRANSLATE(A4982, ""en"", ""mt"")"),"Kemm korsijiet iridu jieħdu qaddej lokali?")</f>
        <v>Kemm korsijiet iridu jieħdu qaddej lokali?</v>
      </c>
    </row>
    <row r="4983" ht="15.75" customHeight="1">
      <c r="A4983" s="2" t="s">
        <v>4983</v>
      </c>
      <c r="B4983" s="2" t="str">
        <f>IFERROR(__xludf.DUMMYFUNCTION("GOOGLETRANSLATE(A4983, ""en"", ""mt"")"),"jottimizza l-użu tal-medikazzjoni u jippromwovi s-saħħa, il-benessri, u l-prevenzjoni tal-mard")</f>
        <v>jottimizza l-użu tal-medikazzjoni u jippromwovi s-saħħa, il-benessri, u l-prevenzjoni tal-mard</v>
      </c>
    </row>
    <row r="4984" ht="15.75" customHeight="1">
      <c r="A4984" s="2" t="s">
        <v>4984</v>
      </c>
      <c r="B4984" s="2" t="str">
        <f>IFERROR(__xludf.DUMMYFUNCTION("GOOGLETRANSLATE(A4984, ""en"", ""mt"")"),"Iddikjara l-liġi marzjali u bagħtet lill-milizja tal-istat biex iżżomm l-ordni")</f>
        <v>Iddikjara l-liġi marzjali u bagħtet lill-milizja tal-istat biex iżżomm l-ordni</v>
      </c>
    </row>
    <row r="4985" ht="15.75" customHeight="1">
      <c r="A4985" s="2" t="s">
        <v>4985</v>
      </c>
      <c r="B4985" s="2" t="str">
        <f>IFERROR(__xludf.DUMMYFUNCTION("GOOGLETRANSLATE(A4985, ""en"", ""mt"")"),"Ħafna xjenzati tal-Lvant Nofsani")</f>
        <v>Ħafna xjenzati tal-Lvant Nofsani</v>
      </c>
    </row>
    <row r="4986" ht="15.75" customHeight="1">
      <c r="A4986" s="2" t="s">
        <v>4986</v>
      </c>
      <c r="B4986" s="2" t="str">
        <f>IFERROR(__xludf.DUMMYFUNCTION("GOOGLETRANSLATE(A4986, ""en"", ""mt"")"),"X'tip ta 'post huwa t-Teatr Wielki?")</f>
        <v>X'tip ta 'post huwa t-Teatr Wielki?</v>
      </c>
    </row>
    <row r="4987" ht="15.75" customHeight="1">
      <c r="A4987" s="2" t="s">
        <v>4987</v>
      </c>
      <c r="B4987" s="2" t="str">
        <f>IFERROR(__xludf.DUMMYFUNCTION("GOOGLETRANSLATE(A4987, ""en"", ""mt"")"),"X'inhu stmat li madwar nofs il-varjazzjoni kollha fir-rati ta 'omiċidji tista' tiġi kkontabilizzata minnha?")</f>
        <v>X'inhu stmat li madwar nofs il-varjazzjoni kollha fir-rati ta 'omiċidji tista' tiġi kkontabilizzata minnha?</v>
      </c>
    </row>
    <row r="4988" ht="15.75" customHeight="1">
      <c r="A4988" s="2" t="s">
        <v>4988</v>
      </c>
      <c r="B4988" s="2" t="str">
        <f>IFERROR(__xludf.DUMMYFUNCTION("GOOGLETRANSLATE(A4988, ""en"", ""mt"")"),"l-istat")</f>
        <v>l-istat</v>
      </c>
    </row>
    <row r="4989" ht="15.75" customHeight="1">
      <c r="A4989" s="2" t="s">
        <v>4989</v>
      </c>
      <c r="B4989" s="2" t="str">
        <f>IFERROR(__xludf.DUMMYFUNCTION("GOOGLETRANSLATE(A4989, ""en"", ""mt"")"),"X'tip ta 'pagi jirriżultaw minn impjiegi fejn hemm provvista baxxa iżda domanda għolja?")</f>
        <v>X'tip ta 'pagi jirriżultaw minn impjiegi fejn hemm provvista baxxa iżda domanda għolja?</v>
      </c>
    </row>
    <row r="4990" ht="15.75" customHeight="1">
      <c r="A4990" s="2" t="s">
        <v>4990</v>
      </c>
      <c r="B4990" s="2" t="str">
        <f>IFERROR(__xludf.DUMMYFUNCTION("GOOGLETRANSLATE(A4990, ""en"", ""mt"")"),"Min ittratta lil Ronnie Hillman għal telf ta 'tarzna?")</f>
        <v>Min ittratta lil Ronnie Hillman għal telf ta 'tarzna?</v>
      </c>
    </row>
    <row r="4991" ht="15.75" customHeight="1">
      <c r="A4991" s="2" t="s">
        <v>4991</v>
      </c>
      <c r="B4991" s="2" t="str">
        <f>IFERROR(__xludf.DUMMYFUNCTION("GOOGLETRANSLATE(A4991, ""en"", ""mt"")"),"Liema kumpanija kienet din l-aħħar Super Bowl li kienu jħallu lill-klijenti jkollhom l-opportunità li jiksbu l-ideat kummerċjali tagħhom stess imxandra?")</f>
        <v>Liema kumpanija kienet din l-aħħar Super Bowl li kienu jħallu lill-klijenti jkollhom l-opportunità li jiksbu l-ideat kummerċjali tagħhom stess imxandra?</v>
      </c>
    </row>
    <row r="4992" ht="15.75" customHeight="1">
      <c r="A4992" s="2" t="s">
        <v>4992</v>
      </c>
      <c r="B4992" s="2" t="str">
        <f>IFERROR(__xludf.DUMMYFUNCTION("GOOGLETRANSLATE(A4992, ""en"", ""mt"")"),"Liema żerriegħa kienet id-Denver Broncos?")</f>
        <v>Liema żerriegħa kienet id-Denver Broncos?</v>
      </c>
    </row>
    <row r="4993" ht="15.75" customHeight="1">
      <c r="A4993" s="2" t="s">
        <v>4993</v>
      </c>
      <c r="B4993" s="2" t="str">
        <f>IFERROR(__xludf.DUMMYFUNCTION("GOOGLETRANSLATE(A4993, ""en"", ""mt"")"),"Il-perjodu Art Deco tax-Xogħlijiet tat-Tessuti huwa rrappreżentat minn liema artist Amerikan?")</f>
        <v>Il-perjodu Art Deco tax-Xogħlijiet tat-Tessuti huwa rrappreżentat minn liema artist Amerikan?</v>
      </c>
    </row>
    <row r="4994" ht="15.75" customHeight="1">
      <c r="A4994" s="2" t="s">
        <v>4994</v>
      </c>
      <c r="B4994" s="2" t="str">
        <f>IFERROR(__xludf.DUMMYFUNCTION("GOOGLETRANSLATE(A4994, ""en"", ""mt"")"),"trattament ħażin minn uffiċjali tal-gvern")</f>
        <v>trattament ħażin minn uffiċjali tal-gvern</v>
      </c>
    </row>
    <row r="4995" ht="15.75" customHeight="1">
      <c r="A4995" s="2" t="s">
        <v>4995</v>
      </c>
      <c r="B4995" s="2" t="str">
        <f>IFERROR(__xludf.DUMMYFUNCTION("GOOGLETRANSLATE(A4995, ""en"", ""mt"")"),"id-dinastiji Ċiniżi fin-nofsinhar")</f>
        <v>id-dinastiji Ċiniżi fin-nofsinhar</v>
      </c>
    </row>
    <row r="4996" ht="15.75" customHeight="1">
      <c r="A4996" s="2" t="s">
        <v>4996</v>
      </c>
      <c r="B4996" s="2" t="str">
        <f>IFERROR(__xludf.DUMMYFUNCTION("GOOGLETRANSLATE(A4996, ""en"", ""mt"")"),"Meta ġiet skoperta l-irqad REM?")</f>
        <v>Meta ġiet skoperta l-irqad REM?</v>
      </c>
    </row>
    <row r="4997" ht="15.75" customHeight="1">
      <c r="A4997" s="2" t="s">
        <v>4997</v>
      </c>
      <c r="B4997" s="2" t="str">
        <f>IFERROR(__xludf.DUMMYFUNCTION("GOOGLETRANSLATE(A4997, ""en"", ""mt"")"),"Sistemi immuni innati")</f>
        <v>Sistemi immuni innati</v>
      </c>
    </row>
    <row r="4998" ht="15.75" customHeight="1">
      <c r="A4998" s="2" t="s">
        <v>4998</v>
      </c>
      <c r="B4998" s="2" t="str">
        <f>IFERROR(__xludf.DUMMYFUNCTION("GOOGLETRANSLATE(A4998, ""en"", ""mt"")"),"Rivoluzzjoni Dinjija")</f>
        <v>Rivoluzzjoni Dinjija</v>
      </c>
    </row>
    <row r="4999" ht="15.75" customHeight="1">
      <c r="A4999" s="2" t="s">
        <v>4999</v>
      </c>
      <c r="B4999" s="2" t="str">
        <f>IFERROR(__xludf.DUMMYFUNCTION("GOOGLETRANSLATE(A4999, ""en"", ""mt"")"),"Pneumatica")</f>
        <v>Pneumatica</v>
      </c>
    </row>
    <row r="5000" ht="15.75" customHeight="1">
      <c r="A5000" s="2" t="s">
        <v>5000</v>
      </c>
      <c r="B5000" s="2" t="str">
        <f>IFERROR(__xludf.DUMMYFUNCTION("GOOGLETRANSLATE(A5000, ""en"", ""mt"")"),"Deskrizzjoni tal-arkivju kkodifikata")</f>
        <v>Deskrizzjoni tal-arkivju kkodifikata</v>
      </c>
    </row>
    <row r="5001" ht="15.75" customHeight="1">
      <c r="A5001" s="2" t="s">
        <v>5001</v>
      </c>
      <c r="B5001" s="2" t="str">
        <f>IFERROR(__xludf.DUMMYFUNCTION("GOOGLETRANSLATE(A5001, ""en"", ""mt"")"),"aġitazzjoni għar-riforma kostituzzjonali")</f>
        <v>aġitazzjoni għar-riforma kostituzzjonali</v>
      </c>
    </row>
    <row r="5002" ht="15.75" customHeight="1">
      <c r="A5002" s="2" t="s">
        <v>5002</v>
      </c>
      <c r="B5002" s="2" t="str">
        <f>IFERROR(__xludf.DUMMYFUNCTION("GOOGLETRANSLATE(A5002, ""en"", ""mt"")"),"Wara li l-operaturi jiġu mwissija bil-ħarba tal-fwar, x'jistgħu jagħmlu?")</f>
        <v>Wara li l-operaturi jiġu mwissija bil-ħarba tal-fwar, x'jistgħu jagħmlu?</v>
      </c>
    </row>
    <row r="5003" ht="15.75" customHeight="1">
      <c r="A5003" s="2" t="s">
        <v>5003</v>
      </c>
      <c r="B5003" s="2" t="str">
        <f>IFERROR(__xludf.DUMMYFUNCTION("GOOGLETRANSLATE(A5003, ""en"", ""mt"")"),"9–18")</f>
        <v>9–18</v>
      </c>
    </row>
    <row r="5004" ht="15.75" customHeight="1">
      <c r="A5004" s="2" t="s">
        <v>5004</v>
      </c>
      <c r="B5004" s="2" t="str">
        <f>IFERROR(__xludf.DUMMYFUNCTION("GOOGLETRANSLATE(A5004, ""en"", ""mt"")"),"żviluppa b'mod indipendenti l-istess metodoloġija ta 'rotta ta' messaġġi kif żviluppat minn baran")</f>
        <v>żviluppa b'mod indipendenti l-istess metodoloġija ta 'rotta ta' messaġġi kif żviluppat minn baran</v>
      </c>
    </row>
    <row r="5005" ht="15.75" customHeight="1">
      <c r="A5005" s="2" t="s">
        <v>5005</v>
      </c>
      <c r="B5005" s="2" t="str">
        <f>IFERROR(__xludf.DUMMYFUNCTION("GOOGLETRANSLATE(A5005, ""en"", ""mt"")"),"Kif jiġu trasmessi l-forzi nukleari?")</f>
        <v>Kif jiġu trasmessi l-forzi nukleari?</v>
      </c>
    </row>
    <row r="5006" ht="15.75" customHeight="1">
      <c r="A5006" s="2" t="s">
        <v>5006</v>
      </c>
      <c r="B5006" s="2" t="str">
        <f>IFERROR(__xludf.DUMMYFUNCTION("GOOGLETRANSLATE(A5006, ""en"", ""mt"")"),"Min irkupra l-fumble ta 'Manning?")</f>
        <v>Min irkupra l-fumble ta 'Manning?</v>
      </c>
    </row>
    <row r="5007" ht="15.75" customHeight="1">
      <c r="A5007" s="2" t="s">
        <v>5007</v>
      </c>
      <c r="B5007" s="2" t="str">
        <f>IFERROR(__xludf.DUMMYFUNCTION("GOOGLETRANSLATE(A5007, ""en"", ""mt"")"),"Apollo")</f>
        <v>Apollo</v>
      </c>
    </row>
    <row r="5008" ht="15.75" customHeight="1">
      <c r="A5008" s="2" t="s">
        <v>5008</v>
      </c>
      <c r="B5008" s="2" t="str">
        <f>IFERROR(__xludf.DUMMYFUNCTION("GOOGLETRANSLATE(A5008, ""en"", ""mt"")"),"maqtula permezz ta 'xogħol żejjed")</f>
        <v>maqtula permezz ta 'xogħol żejjed</v>
      </c>
    </row>
    <row r="5009" ht="15.75" customHeight="1">
      <c r="A5009" s="2" t="s">
        <v>5009</v>
      </c>
      <c r="B5009" s="2" t="str">
        <f>IFERROR(__xludf.DUMMYFUNCTION("GOOGLETRANSLATE(A5009, ""en"", ""mt"")"),"X'kienet il-klassifikazzjoni tal-passer għal Peyton Manning li huwa spiċċa għall-istaġun?")</f>
        <v>X'kienet il-klassifikazzjoni tal-passer għal Peyton Manning li huwa spiċċa għall-istaġun?</v>
      </c>
    </row>
    <row r="5010" ht="15.75" customHeight="1">
      <c r="A5010" s="2" t="s">
        <v>5010</v>
      </c>
      <c r="B5010" s="2" t="str">
        <f>IFERROR(__xludf.DUMMYFUNCTION("GOOGLETRANSLATE(A5010, ""en"", ""mt"")"),"Howley")</f>
        <v>Howley</v>
      </c>
    </row>
    <row r="5011" ht="15.75" customHeight="1">
      <c r="A5011" s="2" t="s">
        <v>5011</v>
      </c>
      <c r="B5011" s="2" t="str">
        <f>IFERROR(__xludf.DUMMYFUNCTION("GOOGLETRANSLATE(A5011, ""en"", ""mt"")"),"228")</f>
        <v>228</v>
      </c>
    </row>
    <row r="5012" ht="15.75" customHeight="1">
      <c r="A5012" s="2" t="s">
        <v>5012</v>
      </c>
      <c r="B5012" s="2" t="str">
        <f>IFERROR(__xludf.DUMMYFUNCTION("GOOGLETRANSLATE(A5012, ""en"", ""mt"")"),"Interi Gaussjani Z [i]")</f>
        <v>Interi Gaussjani Z [i]</v>
      </c>
    </row>
    <row r="5013" ht="15.75" customHeight="1">
      <c r="A5013" s="2" t="s">
        <v>5013</v>
      </c>
      <c r="B5013" s="2" t="str">
        <f>IFERROR(__xludf.DUMMYFUNCTION("GOOGLETRANSLATE(A5013, ""en"", ""mt"")"),"Liema avveniment kien l-agħar eżempju ta 'persekuzzjoni Huguenot?")</f>
        <v>Liema avveniment kien l-agħar eżempju ta 'persekuzzjoni Huguenot?</v>
      </c>
    </row>
    <row r="5014" ht="15.75" customHeight="1">
      <c r="A5014" s="2" t="s">
        <v>5014</v>
      </c>
      <c r="B5014" s="2" t="str">
        <f>IFERROR(__xludf.DUMMYFUNCTION("GOOGLETRANSLATE(A5014, ""en"", ""mt"")"),"Henry ta ’Navarra")</f>
        <v>Henry ta ’Navarra</v>
      </c>
    </row>
    <row r="5015" ht="15.75" customHeight="1">
      <c r="A5015" s="2" t="s">
        <v>5015</v>
      </c>
      <c r="B5015" s="2" t="str">
        <f>IFERROR(__xludf.DUMMYFUNCTION("GOOGLETRANSLATE(A5015, ""en"", ""mt"")"),"Ma 'liema mużew il-V &amp; A ko-proprjetarja ta' Canova's The Three Graces?")</f>
        <v>Ma 'liema mużew il-V &amp; A ko-proprjetarja ta' Canova's The Three Graces?</v>
      </c>
    </row>
    <row r="5016" ht="15.75" customHeight="1">
      <c r="A5016" s="2" t="s">
        <v>5016</v>
      </c>
      <c r="B5016" s="2" t="str">
        <f>IFERROR(__xludf.DUMMYFUNCTION("GOOGLETRANSLATE(A5016, ""en"", ""mt"")"),"Aħbarijiet tal-kejbil ABC")</f>
        <v>Aħbarijiet tal-kejbil ABC</v>
      </c>
    </row>
    <row r="5017" ht="15.75" customHeight="1">
      <c r="A5017" s="2" t="s">
        <v>5017</v>
      </c>
      <c r="B5017" s="2" t="str">
        <f>IFERROR(__xludf.DUMMYFUNCTION("GOOGLETRANSLATE(A5017, ""en"", ""mt"")"),"X'inhu l-iktar mudell komuni użat fit-teorija tal-kumplessità?")</f>
        <v>X'inhu l-iktar mudell komuni użat fit-teorija tal-kumplessità?</v>
      </c>
    </row>
    <row r="5018" ht="15.75" customHeight="1">
      <c r="A5018" s="2" t="s">
        <v>5018</v>
      </c>
      <c r="B5018" s="2" t="str">
        <f>IFERROR(__xludf.DUMMYFUNCTION("GOOGLETRANSLATE(A5018, ""en"", ""mt"")"),"X'kienet il-kapitali tad-dinastija tal-kanzunetta?")</f>
        <v>X'kienet il-kapitali tad-dinastija tal-kanzunetta?</v>
      </c>
    </row>
    <row r="5019" ht="15.75" customHeight="1">
      <c r="A5019" s="2" t="s">
        <v>5019</v>
      </c>
      <c r="B5019" s="2" t="str">
        <f>IFERROR(__xludf.DUMMYFUNCTION("GOOGLETRANSLATE(A5019, ""en"", ""mt"")"),"X'inhi l-kloroplast tad-dinofisi?")</f>
        <v>X'inhi l-kloroplast tad-dinofisi?</v>
      </c>
    </row>
    <row r="5020" ht="15.75" customHeight="1">
      <c r="A5020" s="2" t="s">
        <v>5020</v>
      </c>
      <c r="B5020" s="2" t="str">
        <f>IFERROR(__xludf.DUMMYFUNCTION("GOOGLETRANSLATE(A5020, ""en"", ""mt"")"),"Għal definizzjoni preċiża ta 'dak li jfisser li tissolva problema bl-użu ta' ammont ta 'ħin u spazju partikolari, jintuża mudell komputazzjonali bħall-magna deterministika tat-Turing. Il-ħin meħtieġ minn magna tat-turing deterministika M fuq l-input X huw"&amp;"a n-numru totali ta 'transizzjonijiet tal-istat, jew passi, il-magna tagħmel qabel ma tieqaf u toħroġ it-tweġiba (""iva"" jew ""le""). Magna tat-Turing M jingħad li topera fiż-żmien f (n), jekk il-ħin meħtieġ minn M fuq kull input ta 'tul n huwa l-aktar f"&amp;" (n). Problema ta 'deċiżjoni A tista' tissolva fil-ħin f (n) jekk teżisti magna tat-Turing li topera fil-ħin f (n) li ssolvi l-problema. Peress li t-teorija tal-kumplessità hija interessata fil-klassifikazzjoni ta 'problemi bbażati fuq id-diffikultà tagħh"&amp;"om, wieħed jiddefinixxi settijiet ta' problemi bbażati fuq xi kriterji. Pereżempju, is-sett ta 'problemi solvibbli fiż-żmien f (n) fuq magna tat-Turing deterministika huwa mbagħad innotat minn dtime (f (n)).")</f>
        <v>Għal definizzjoni preċiża ta 'dak li jfisser li tissolva problema bl-użu ta' ammont ta 'ħin u spazju partikolari, jintuża mudell komputazzjonali bħall-magna deterministika tat-Turing. Il-ħin meħtieġ minn magna tat-turing deterministika M fuq l-input X huwa n-numru totali ta 'transizzjonijiet tal-istat, jew passi, il-magna tagħmel qabel ma tieqaf u toħroġ it-tweġiba ("iva" jew "le"). Magna tat-Turing M jingħad li topera fiż-żmien f (n), jekk il-ħin meħtieġ minn M fuq kull input ta 'tul n huwa l-aktar f (n). Problema ta 'deċiżjoni A tista' tissolva fil-ħin f (n) jekk teżisti magna tat-Turing li topera fil-ħin f (n) li ssolvi l-problema. Peress li t-teorija tal-kumplessità hija interessata fil-klassifikazzjoni ta 'problemi bbażati fuq id-diffikultà tagħhom, wieħed jiddefinixxi settijiet ta' problemi bbażati fuq xi kriterji. Pereżempju, is-sett ta 'problemi solvibbli fiż-żmien f (n) fuq magna tat-Turing deterministika huwa mbagħad innotat minn dtime (f (n)).</v>
      </c>
    </row>
    <row r="5021" ht="15.75" customHeight="1">
      <c r="A5021" s="2" t="s">
        <v>5021</v>
      </c>
      <c r="B5021" s="2" t="str">
        <f>IFERROR(__xludf.DUMMYFUNCTION("GOOGLETRANSLATE(A5021, ""en"", ""mt"")"),"Jekk detenzjoni tirrikjedi li student joqgħod hemm, kif huma meħtieġa biex ipoġġu?")</f>
        <v>Jekk detenzjoni tirrikjedi li student joqgħod hemm, kif huma meħtieġa biex ipoġġu?</v>
      </c>
    </row>
    <row r="5022" ht="15.75" customHeight="1">
      <c r="A5022" s="2" t="s">
        <v>5022</v>
      </c>
      <c r="B5022" s="2" t="str">
        <f>IFERROR(__xludf.DUMMYFUNCTION("GOOGLETRANSLATE(A5022, ""en"", ""mt"")"),"Patriots")</f>
        <v>Patriots</v>
      </c>
    </row>
    <row r="5023" ht="15.75" customHeight="1">
      <c r="A5023" s="2" t="s">
        <v>5023</v>
      </c>
      <c r="B5023" s="2" t="str">
        <f>IFERROR(__xludf.DUMMYFUNCTION("GOOGLETRANSLATE(A5023, ""en"", ""mt"")"),"F'liema pajjiż jinsab in-Normandija?")</f>
        <v>F'liema pajjiż jinsab in-Normandija?</v>
      </c>
    </row>
    <row r="5024" ht="15.75" customHeight="1">
      <c r="A5024" s="2" t="s">
        <v>5024</v>
      </c>
      <c r="B5024" s="2" t="str">
        <f>IFERROR(__xludf.DUMMYFUNCTION("GOOGLETRANSLATE(A5024, ""en"", ""mt"")"),"Flimkien mal-knisja Anglikana u l-knisja li tgħaqqad, liema denominazzjoni reliġjuża topera skejjel privati ​​fl-Awstralja?")</f>
        <v>Flimkien mal-knisja Anglikana u l-knisja li tgħaqqad, liema denominazzjoni reliġjuża topera skejjel privati ​​fl-Awstralja?</v>
      </c>
    </row>
    <row r="5025" ht="15.75" customHeight="1">
      <c r="A5025" s="2" t="s">
        <v>5025</v>
      </c>
      <c r="B5025" s="2" t="str">
        <f>IFERROR(__xludf.DUMMYFUNCTION("GOOGLETRANSLATE(A5025, ""en"", ""mt"")"),"F’Settembru 1760 min innegozja kapitolazzjoni minn Montreal?")</f>
        <v>F’Settembru 1760 min innegozja kapitolazzjoni minn Montreal?</v>
      </c>
    </row>
    <row r="5026" ht="15.75" customHeight="1">
      <c r="A5026" s="2" t="s">
        <v>5026</v>
      </c>
      <c r="B5026" s="2" t="str">
        <f>IFERROR(__xludf.DUMMYFUNCTION("GOOGLETRANSLATE(A5026, ""en"", ""mt"")"),"Id-duttrina Monroe")</f>
        <v>Id-duttrina Monroe</v>
      </c>
    </row>
    <row r="5027" ht="15.75" customHeight="1">
      <c r="A5027" s="2" t="s">
        <v>5027</v>
      </c>
      <c r="B5027" s="2" t="str">
        <f>IFERROR(__xludf.DUMMYFUNCTION("GOOGLETRANSLATE(A5027, ""en"", ""mt"")"),"Ir-Repubblika Iżlamika")</f>
        <v>Ir-Repubblika Iżlamika</v>
      </c>
    </row>
    <row r="5028" ht="15.75" customHeight="1">
      <c r="A5028" s="2" t="s">
        <v>5028</v>
      </c>
      <c r="B5028" s="2" t="str">
        <f>IFERROR(__xludf.DUMMYFUNCTION("GOOGLETRANSLATE(A5028, ""en"", ""mt"")"),"Il-Kenyans ġeneralment ikollhom tliet ikliet kuljum - kolazzjon filgħodu (Kiamsha Kinywa), ikla ta ’wara nofsinhar (Chakula cha mchana) u l-ikla ta’ filgħaxija (Chakula cha jioni jew magħrufa sempliċement bħala ""chajio""). Bejniethom, huma għandhom it-te"&amp;" tal-10 ta 'nofsinhar (Chai ya saa nne) u t-4 pm tat-te (Chai ya saa kumi). Il-kolazzjon ġeneralment ikun te jew porridge bil-ħobż, chapati, mahamri, patata ħelwa mgħollija jew jams. Ugali bil-ħxejjex, ħalib qares, laħam, ħut jew kwalunkwe stew ieħor huwa"&amp;" ġeneralment jittiekel minn ħafna mill-popolazzjoni għall-ikel jew għall-pranzu. Varjazzjonijiet u platti reġjonali jeżistu wkoll.")</f>
        <v>Il-Kenyans ġeneralment ikollhom tliet ikliet kuljum - kolazzjon filgħodu (Kiamsha Kinywa), ikla ta ’wara nofsinhar (Chakula cha mchana) u l-ikla ta’ filgħaxija (Chakula cha jioni jew magħrufa sempliċement bħala "chajio"). Bejniethom, huma għandhom it-te tal-10 ta 'nofsinhar (Chai ya saa nne) u t-4 pm tat-te (Chai ya saa kumi). Il-kolazzjon ġeneralment ikun te jew porridge bil-ħobż, chapati, mahamri, patata ħelwa mgħollija jew jams. Ugali bil-ħxejjex, ħalib qares, laħam, ħut jew kwalunkwe stew ieħor huwa ġeneralment jittiekel minn ħafna mill-popolazzjoni għall-ikel jew għall-pranzu. Varjazzjonijiet u platti reġjonali jeżistu wkoll.</v>
      </c>
    </row>
    <row r="5029" ht="15.75" customHeight="1">
      <c r="A5029" s="2" t="s">
        <v>5029</v>
      </c>
      <c r="B5029" s="2" t="str">
        <f>IFERROR(__xludf.DUMMYFUNCTION("GOOGLETRANSLATE(A5029, ""en"", ""mt"")"),"Netwerk tal-kanali intern taħt ir-ringieli tal-moxt")</f>
        <v>Netwerk tal-kanali intern taħt ir-ringieli tal-moxt</v>
      </c>
    </row>
    <row r="5030" ht="15.75" customHeight="1">
      <c r="A5030" s="2" t="s">
        <v>5030</v>
      </c>
      <c r="B5030" s="2" t="str">
        <f>IFERROR(__xludf.DUMMYFUNCTION("GOOGLETRANSLATE(A5030, ""en"", ""mt"")"),"Liema premju rebaħ Marlee Matlin?")</f>
        <v>Liema premju rebaħ Marlee Matlin?</v>
      </c>
    </row>
    <row r="5031" ht="15.75" customHeight="1">
      <c r="A5031" s="2" t="s">
        <v>5031</v>
      </c>
      <c r="B5031" s="2" t="str">
        <f>IFERROR(__xludf.DUMMYFUNCTION("GOOGLETRANSLATE(A5031, ""en"", ""mt"")"),"Min ifforma t-teorija universali tal-gravitazzjoni?")</f>
        <v>Min ifforma t-teorija universali tal-gravitazzjoni?</v>
      </c>
    </row>
    <row r="5032" ht="15.75" customHeight="1">
      <c r="A5032" s="2" t="s">
        <v>5032</v>
      </c>
      <c r="B5032" s="2" t="str">
        <f>IFERROR(__xludf.DUMMYFUNCTION("GOOGLETRANSLATE(A5032, ""en"", ""mt"")"),"Ir-Rabat fih ħafna żoni topografikament, ġeoloġikament u klimatikament differenti, li jvarjaw mill-klima mxarrba u moderata tal-Gippsland fix-Xlokk saż-żoni Alpini Vittorjani miksija bil-borra li jogħlew għal kważi 2,000 m (6,600 ft), bil-Muntanja Bogong "&amp;"l-ogħla quċċata fi 1,986 m (6,516 ft). Hemm pjanuri estensivi semi-aridi lejn il-punent u l-majjistral. Hemm serje estensiva ta 'sistemi tax-xmajjar fir-Rabat. L-iktar notevoli hija s-sistema tax-Xmara Murray. Xmajjar oħra jinkludu: Xmara tal-Fran, Xmara "&amp;"Goulburn, River Patterson, River King, River Campaspe, River Loddon, River Wimmera, Elgin River, Barwon River, Thomson River, Snowy River, Latrobe River, Yarra River, Mabrarnong, River Mitta, Mitta River, Hopkins Xmara, Xmara Merri u Xmara Kiewa. Is-simbo"&amp;"li tal-istat jinkludu s-Saħħa Roża (Fjura tal-Istat), il-Possum ta 'Leadbeater (State Animal) u l-Honeyeater Elmuted (State Bird).")</f>
        <v>Ir-Rabat fih ħafna żoni topografikament, ġeoloġikament u klimatikament differenti, li jvarjaw mill-klima mxarrba u moderata tal-Gippsland fix-Xlokk saż-żoni Alpini Vittorjani miksija bil-borra li jogħlew għal kważi 2,000 m (6,600 ft), bil-Muntanja Bogong l-ogħla quċċata fi 1,986 m (6,516 ft). Hemm pjanuri estensivi semi-aridi lejn il-punent u l-majjistral. Hemm serje estensiva ta 'sistemi tax-xmajjar fir-Rabat. L-iktar notevoli hija s-sistema tax-Xmara Murray. Xmajjar oħra jinkludu: Xmara tal-Fran, Xmara Goulburn, River Patterson, River King, River Campaspe, River Loddon, River Wimmera, Elgin River, Barwon River, Thomson River, Snowy River, Latrobe River, Yarra River, Mabrarnong, River Mitta, Mitta River, Hopkins Xmara, Xmara Merri u Xmara Kiewa. Is-simboli tal-istat jinkludu s-Saħħa Roża (Fjura tal-Istat), il-Possum ta 'Leadbeater (State Animal) u l-Honeyeater Elmuted (State Bird).</v>
      </c>
    </row>
    <row r="5033" ht="15.75" customHeight="1">
      <c r="A5033" s="2" t="s">
        <v>5033</v>
      </c>
      <c r="B5033" s="2" t="str">
        <f>IFERROR(__xludf.DUMMYFUNCTION("GOOGLETRANSLATE(A5033, ""en"", ""mt"")"),"Liema pożizzjoni kellha Rivera fis-Super Bowl XX?")</f>
        <v>Liema pożizzjoni kellha Rivera fis-Super Bowl XX?</v>
      </c>
    </row>
    <row r="5034" ht="15.75" customHeight="1">
      <c r="A5034" s="2" t="s">
        <v>5034</v>
      </c>
      <c r="B5034" s="2" t="str">
        <f>IFERROR(__xludf.DUMMYFUNCTION("GOOGLETRANSLATE(A5034, ""en"", ""mt"")"),"mudelli")</f>
        <v>mudelli</v>
      </c>
    </row>
    <row r="5035" ht="15.75" customHeight="1">
      <c r="A5035" s="2" t="s">
        <v>5035</v>
      </c>
      <c r="B5035" s="2" t="str">
        <f>IFERROR(__xludf.DUMMYFUNCTION("GOOGLETRANSLATE(A5035, ""en"", ""mt"")"),"X'kienet l-immaġni ta 'Luther b'kuntrast mal-ħajja ta'?")</f>
        <v>X'kienet l-immaġni ta 'Luther b'kuntrast mal-ħajja ta'?</v>
      </c>
    </row>
    <row r="5036" ht="15.75" customHeight="1">
      <c r="A5036" s="2" t="s">
        <v>5036</v>
      </c>
      <c r="B5036" s="2" t="str">
        <f>IFERROR(__xludf.DUMMYFUNCTION("GOOGLETRANSLATE(A5036, ""en"", ""mt"")"),"X'inhi l-unika dinofita li għandha kloroplast mhux rhodoplast?")</f>
        <v>X'inhi l-unika dinofita li għandha kloroplast mhux rhodoplast?</v>
      </c>
    </row>
    <row r="5037" ht="15.75" customHeight="1">
      <c r="A5037" s="2" t="s">
        <v>5037</v>
      </c>
      <c r="B5037" s="2" t="str">
        <f>IFERROR(__xludf.DUMMYFUNCTION("GOOGLETRANSLATE(A5037, ""en"", ""mt"")"),"Iż-żewġ simboli l-aktar komunement assoċjati mal-ispiżerija f'pajjiżi li jitkellmu bl-Ingliż huma l-mehrież u l-lida u l-karattru ℞ (reċipjent), li ħafna drabi huwa miktub bħala ""rx"" fit-test ittajpjat. Il-globu tal-ispettaklu ntuża wkoll sal-bidu tas-s"&amp;"eklu 20. L-organizzazzjonijiet tal-ispiżerija spiss jużaw simboli oħra, bħall-iskutella ta 'l-iġeia li ħafna drabi tintuża fl-Olanda, miżuri koniċi, u kaduċewes fil-logos tagħhom. Simboli oħra huma komuni f'pajjiżi differenti: is-Salib Grieg aħdar fi Fran"&amp;"za, l-Arġentina, ir-Renju Unit, il-Belġju, l-Irlanda, l-Italja, Spanja, u l-Indja, il-Gaper dejjem aktar rari fl-Olanda, u ittra stilizzata ħamra A fil-Ġermanja u l-Awstrija (Minn Apotheke, il-kelma Ġermaniża għall-ispiżerija, mill-istess għerq Griega bħa"&amp;"ll-kelma Ingliża 'Apothecary').")</f>
        <v>Iż-żewġ simboli l-aktar komunement assoċjati mal-ispiżerija f'pajjiżi li jitkellmu bl-Ingliż huma l-mehrież u l-lida u l-karattru ℞ (reċipjent), li ħafna drabi huwa miktub bħala "rx" fit-test ittajpjat. Il-globu tal-ispettaklu ntuża wkoll sal-bidu tas-seklu 20. L-organizzazzjonijiet tal-ispiżerija spiss jużaw simboli oħra, bħall-iskutella ta 'l-iġeia li ħafna drabi tintuża fl-Olanda, miżuri koniċi, u kaduċewes fil-logos tagħhom. Simboli oħra huma komuni f'pajjiżi differenti: is-Salib Grieg aħdar fi Franza, l-Arġentina, ir-Renju Unit, il-Belġju, l-Irlanda, l-Italja, Spanja, u l-Indja, il-Gaper dejjem aktar rari fl-Olanda, u ittra stilizzata ħamra A fil-Ġermanja u l-Awstrija (Minn Apotheke, il-kelma Ġermaniża għall-ispiżerija, mill-istess għerq Griega bħall-kelma Ingliża 'Apothecary').</v>
      </c>
    </row>
    <row r="5038" ht="15.75" customHeight="1">
      <c r="A5038" s="2" t="s">
        <v>5038</v>
      </c>
      <c r="B5038" s="2" t="str">
        <f>IFERROR(__xludf.DUMMYFUNCTION("GOOGLETRANSLATE(A5038, ""en"", ""mt"")"),"Kemm iddum il-5 President tal-President?")</f>
        <v>Kemm iddum il-5 President tal-President?</v>
      </c>
    </row>
    <row r="5039" ht="15.75" customHeight="1">
      <c r="A5039" s="2" t="s">
        <v>5039</v>
      </c>
      <c r="B5039" s="2" t="str">
        <f>IFERROR(__xludf.DUMMYFUNCTION("GOOGLETRANSLATE(A5039, ""en"", ""mt"")"),"Il-programm Apollo kien maħsub matul l-Amministrazzjoni Eisenhower fil-bidu tal-1960, bħala segwitu għall-Proġett Merkurju. Filwaqt li l-kapsula tal-merkurju tista 'tappoġġja biss astronawt fuq missjoni orbitali tad-Dinja limitata, Apollo kien iġorr tliet"&amp;" astronawti. Missjonijiet possibbli kienu jinkludu l-ekwipaġġi li jbaħħru għal stazzjon spazjali, titjiriet ċirkonar, u ħatt l-art Lunar Eventwali. Il-programm ġie msemmi wara l-alla Grieg tad-Dawl, il-Mużika, u x-Xemx mill-maniġer tan-NASA Abe Silverstei"&amp;"n, li aktar tard qal li ""kont qed issemmi l-vettura spazjali bħalma kont insemmi t-tarbija tiegħi."" Silverstein għażel l-isem id-dar filgħaxija waħda, kmieni fl-1960, għax ħass li ""Apollo riekeb il-karru tiegħu madwar ix-xemx kien xieraq għall-iskala k"&amp;"bira tal-programm propost.""")</f>
        <v>Il-programm Apollo kien maħsub matul l-Amministrazzjoni Eisenhower fil-bidu tal-1960, bħala segwitu għall-Proġett Merkurju. Filwaqt li l-kapsula tal-merkurju tista 'tappoġġja biss astronawt fuq missjoni orbitali tad-Dinja limitata, Apollo kien iġorr tliet astronawti. Missjonijiet possibbli kienu jinkludu l-ekwipaġġi li jbaħħru għal stazzjon spazjali, titjiriet ċirkonar, u ħatt l-art Lunar Eventwali. Il-programm ġie msemmi wara l-alla Grieg tad-Dawl, il-Mużika, u x-Xemx mill-maniġer tan-NASA Abe Silverstein, li aktar tard qal li "kont qed issemmi l-vettura spazjali bħalma kont insemmi t-tarbija tiegħi." Silverstein għażel l-isem id-dar filgħaxija waħda, kmieni fl-1960, għax ħass li "Apollo riekeb il-karru tiegħu madwar ix-xemx kien xieraq għall-iskala kbira tal-programm propost."</v>
      </c>
    </row>
    <row r="5040" ht="15.75" customHeight="1">
      <c r="A5040" s="2" t="s">
        <v>5040</v>
      </c>
      <c r="B5040" s="2" t="str">
        <f>IFERROR(__xludf.DUMMYFUNCTION("GOOGLETRANSLATE(A5040, ""en"", ""mt"")"),"Għal liema jum inbidel Super Bowl 50 Media Day?")</f>
        <v>Għal liema jum inbidel Super Bowl 50 Media Day?</v>
      </c>
    </row>
    <row r="5041" ht="15.75" customHeight="1">
      <c r="A5041" s="2" t="s">
        <v>5041</v>
      </c>
      <c r="B5041" s="2" t="str">
        <f>IFERROR(__xludf.DUMMYFUNCTION("GOOGLETRANSLATE(A5041, ""en"", ""mt"")"),"L-Att tal-Kolonja tar-Rabat")</f>
        <v>L-Att tal-Kolonja tar-Rabat</v>
      </c>
    </row>
    <row r="5042" ht="15.75" customHeight="1">
      <c r="A5042" s="2" t="s">
        <v>5042</v>
      </c>
      <c r="B5042" s="2" t="str">
        <f>IFERROR(__xludf.DUMMYFUNCTION("GOOGLETRANSLATE(A5042, ""en"", ""mt"")"),"X'inhu parzjalment responsabbli għar-rispons immuni mdgħajjef f'individwi anzjani?")</f>
        <v>X'inhu parzjalment responsabbli għar-rispons immuni mdgħajjef f'individwi anzjani?</v>
      </c>
    </row>
    <row r="5043" ht="15.75" customHeight="1">
      <c r="A5043" s="2" t="s">
        <v>5043</v>
      </c>
      <c r="B5043" s="2" t="str">
        <f>IFERROR(__xludf.DUMMYFUNCTION("GOOGLETRANSLATE(A5043, ""en"", ""mt"")"),"Il-kloroplasti ma jintirtux mill-ġenitur maskili")</f>
        <v>Il-kloroplasti ma jintirtux mill-ġenitur maskili</v>
      </c>
    </row>
    <row r="5044" ht="15.75" customHeight="1">
      <c r="A5044" s="2" t="s">
        <v>5044</v>
      </c>
      <c r="B5044" s="2" t="str">
        <f>IFERROR(__xludf.DUMMYFUNCTION("GOOGLETRANSLATE(A5044, ""en"", ""mt"")"),"Ma 'xiex il-Mongoli għamlu lilhom infushom waqt li jattakkaw lil Samarkand?")</f>
        <v>Ma 'xiex il-Mongoli għamlu lilhom infushom waqt li jattakkaw lil Samarkand?</v>
      </c>
    </row>
    <row r="5045" ht="15.75" customHeight="1">
      <c r="A5045" s="2" t="s">
        <v>5045</v>
      </c>
      <c r="B5045" s="2" t="str">
        <f>IFERROR(__xludf.DUMMYFUNCTION("GOOGLETRANSLATE(A5045, ""en"", ""mt"")"),"Il-Mamluks tal-Eġittu")</f>
        <v>Il-Mamluks tal-Eġittu</v>
      </c>
    </row>
    <row r="5046" ht="15.75" customHeight="1">
      <c r="A5046" s="2" t="s">
        <v>5046</v>
      </c>
      <c r="B5046" s="2" t="str">
        <f>IFERROR(__xludf.DUMMYFUNCTION("GOOGLETRANSLATE(A5046, ""en"", ""mt"")"),"diskors sfidanti")</f>
        <v>diskors sfidanti</v>
      </c>
    </row>
    <row r="5047" ht="15.75" customHeight="1">
      <c r="A5047" s="2" t="s">
        <v>5047</v>
      </c>
      <c r="B5047" s="2" t="str">
        <f>IFERROR(__xludf.DUMMYFUNCTION("GOOGLETRANSLATE(A5047, ""en"", ""mt"")"),"1 ta 'Frar, 2016")</f>
        <v>1 ta 'Frar, 2016</v>
      </c>
    </row>
    <row r="5048" ht="15.75" customHeight="1">
      <c r="A5048" s="2" t="s">
        <v>5048</v>
      </c>
      <c r="B5048" s="2" t="str">
        <f>IFERROR(__xludf.DUMMYFUNCTION("GOOGLETRANSLATE(A5048, ""en"", ""mt"")"),"Lil dak li Tesla attribwixxiet is-sinjali mhux magħrufa li rċeviet ir-radju tiegħu?")</f>
        <v>Lil dak li Tesla attribwixxiet is-sinjali mhux magħrufa li rċeviet ir-radju tiegħu?</v>
      </c>
    </row>
    <row r="5049" ht="15.75" customHeight="1">
      <c r="A5049" s="2" t="s">
        <v>5049</v>
      </c>
      <c r="B5049" s="2" t="str">
        <f>IFERROR(__xludf.DUMMYFUNCTION("GOOGLETRANSLATE(A5049, ""en"", ""mt"")"),"Zhongtong. Ariq Böke")</f>
        <v>Zhongtong. Ariq Böke</v>
      </c>
    </row>
    <row r="5050" ht="15.75" customHeight="1">
      <c r="A5050" s="2" t="s">
        <v>5050</v>
      </c>
      <c r="B5050" s="2" t="str">
        <f>IFERROR(__xludf.DUMMYFUNCTION("GOOGLETRANSLATE(A5050, ""en"", ""mt"")"),"Liema esperjenzi ta 'aċċellerazzjoni meta forza esterna hija applikata għal sistema?")</f>
        <v>Liema esperjenzi ta 'aċċellerazzjoni meta forza esterna hija applikata għal sistema?</v>
      </c>
    </row>
    <row r="5051" ht="15.75" customHeight="1">
      <c r="A5051" s="2" t="s">
        <v>5051</v>
      </c>
      <c r="B5051" s="2" t="str">
        <f>IFERROR(__xludf.DUMMYFUNCTION("GOOGLETRANSLATE(A5051, ""en"", ""mt"")"),"Iswed u abjad")</f>
        <v>Iswed u abjad</v>
      </c>
    </row>
    <row r="5052" ht="15.75" customHeight="1">
      <c r="A5052" s="2" t="s">
        <v>5052</v>
      </c>
      <c r="B5052" s="2" t="str">
        <f>IFERROR(__xludf.DUMMYFUNCTION("GOOGLETRANSLATE(A5052, ""en"", ""mt"")"),"Islam mhux politiku")</f>
        <v>Islam mhux politiku</v>
      </c>
    </row>
    <row r="5053" ht="15.75" customHeight="1">
      <c r="A5053" s="2" t="s">
        <v>5053</v>
      </c>
      <c r="B5053" s="2" t="str">
        <f>IFERROR(__xludf.DUMMYFUNCTION("GOOGLETRANSLATE(A5053, ""en"", ""mt"")"),"Jekk kull problema f'C tista 'titnaqqas għal x")</f>
        <v>Jekk kull problema f'C tista 'titnaqqas għal x</v>
      </c>
    </row>
    <row r="5054" ht="15.75" customHeight="1">
      <c r="A5054" s="2" t="s">
        <v>5054</v>
      </c>
      <c r="B5054" s="2" t="str">
        <f>IFERROR(__xludf.DUMMYFUNCTION("GOOGLETRANSLATE(A5054, ""en"", ""mt"")"),"Liema persentaġġ ta 'flus miġbura ġie allokat għal kawżi fiż-żona ta' San Francisco?")</f>
        <v>Liema persentaġġ ta 'flus miġbura ġie allokat għal kawżi fiż-żona ta' San Francisco?</v>
      </c>
    </row>
    <row r="5055" ht="15.75" customHeight="1">
      <c r="A5055" s="2" t="s">
        <v>5055</v>
      </c>
      <c r="B5055" s="2" t="str">
        <f>IFERROR(__xludf.DUMMYFUNCTION("GOOGLETRANSLATE(A5055, ""en"", ""mt"")"),"Edukazzjoni formali")</f>
        <v>Edukazzjoni formali</v>
      </c>
    </row>
    <row r="5056" ht="15.75" customHeight="1">
      <c r="A5056" s="2" t="s">
        <v>5056</v>
      </c>
      <c r="B5056" s="2" t="str">
        <f>IFERROR(__xludf.DUMMYFUNCTION("GOOGLETRANSLATE(A5056, ""en"", ""mt"")"),"Min jista 'jkun imsemmi Temüjin?")</f>
        <v>Min jista 'jkun imsemmi Temüjin?</v>
      </c>
    </row>
    <row r="5057" ht="15.75" customHeight="1">
      <c r="A5057" s="2" t="s">
        <v>5057</v>
      </c>
      <c r="B5057" s="2" t="str">
        <f>IFERROR(__xludf.DUMMYFUNCTION("GOOGLETRANSLATE(A5057, ""en"", ""mt"")"),"Il-Knisja Metodista Magħquda (UMC) tipprattika l-magħmudija tat-trabi u l-adulti. Il-membri mgħammdin huma dawk li ġew mgħammdin bħala tarbija jew tifel, iżda li sussegwentement ma jistqarrux il-fidi tagħhom stess. Dawn il-membri mgħammdin isiru membri li"&amp;" jistqarru permezz tal-konferma u xi kultant il-professjoni tal-fidi. Individwi li qabel ma kinux mgħammdin huma mgħammdin bħala parti mill-professjoni ta 'fidi tagħhom u b'hekk isiru membri li jistqarru b'dan il-mod. L-individwi jistgħu wkoll isiru membr"&amp;"u li jistqarru permezz ta ’trasferiment minn denominazzjoni Nisranija oħra.")</f>
        <v>Il-Knisja Metodista Magħquda (UMC) tipprattika l-magħmudija tat-trabi u l-adulti. Il-membri mgħammdin huma dawk li ġew mgħammdin bħala tarbija jew tifel, iżda li sussegwentement ma jistqarrux il-fidi tagħhom stess. Dawn il-membri mgħammdin isiru membri li jistqarru permezz tal-konferma u xi kultant il-professjoni tal-fidi. Individwi li qabel ma kinux mgħammdin huma mgħammdin bħala parti mill-professjoni ta 'fidi tagħhom u b'hekk isiru membri li jistqarru b'dan il-mod. L-individwi jistgħu wkoll isiru membru li jistqarru permezz ta ’trasferiment minn denominazzjoni Nisranija oħra.</v>
      </c>
    </row>
    <row r="5058" ht="15.75" customHeight="1">
      <c r="A5058" s="2" t="s">
        <v>5058</v>
      </c>
      <c r="B5058" s="2" t="str">
        <f>IFERROR(__xludf.DUMMYFUNCTION("GOOGLETRANSLATE(A5058, ""en"", ""mt"")"),"X'inhuma xi kumpaniji kbar tal-ġestjoni tal-ispiżerija?")</f>
        <v>X'inhuma xi kumpaniji kbar tal-ġestjoni tal-ispiżerija?</v>
      </c>
    </row>
    <row r="5059" ht="15.75" customHeight="1">
      <c r="A5059" s="2" t="s">
        <v>5059</v>
      </c>
      <c r="B5059" s="2" t="str">
        <f>IFERROR(__xludf.DUMMYFUNCTION("GOOGLETRANSLATE(A5059, ""en"", ""mt"")"),"Li kien sar sinjur u prosperu qabel l-1 Gwerra Dinjija")</f>
        <v>Li kien sar sinjur u prosperu qabel l-1 Gwerra Dinjija</v>
      </c>
    </row>
    <row r="5060" ht="15.75" customHeight="1">
      <c r="A5060" s="2" t="s">
        <v>5060</v>
      </c>
      <c r="B5060" s="2" t="str">
        <f>IFERROR(__xludf.DUMMYFUNCTION("GOOGLETRANSLATE(A5060, ""en"", ""mt"")"),"paddle tal-injam")</f>
        <v>paddle tal-injam</v>
      </c>
    </row>
    <row r="5061" ht="15.75" customHeight="1">
      <c r="A5061" s="2" t="s">
        <v>5061</v>
      </c>
      <c r="B5061" s="2" t="str">
        <f>IFERROR(__xludf.DUMMYFUNCTION("GOOGLETRANSLATE(A5061, ""en"", ""mt"")"),"Meta Hulu beda joffri l-programmi ta 'ABC għall-istriming?")</f>
        <v>Meta Hulu beda joffri l-programmi ta 'ABC għall-istriming?</v>
      </c>
    </row>
    <row r="5062" ht="15.75" customHeight="1">
      <c r="A5062" s="2" t="s">
        <v>5062</v>
      </c>
      <c r="B5062" s="2" t="str">
        <f>IFERROR(__xludf.DUMMYFUNCTION("GOOGLETRANSLATE(A5062, ""en"", ""mt"")"),"Il-VA, is-Servizz tas-Saħħa Indjana, u NIH")</f>
        <v>Il-VA, is-Servizz tas-Saħħa Indjana, u NIH</v>
      </c>
    </row>
    <row r="5063" ht="15.75" customHeight="1">
      <c r="A5063" s="2" t="s">
        <v>5063</v>
      </c>
      <c r="B5063" s="2" t="str">
        <f>IFERROR(__xludf.DUMMYFUNCTION("GOOGLETRANSLATE(A5063, ""en"", ""mt"")"),"X'tip ta 'qerda tat-terremot tal-1994 ikkawża l-iktar fl-istorja tal-Istati Uniti?")</f>
        <v>X'tip ta 'qerda tat-terremot tal-1994 ikkawża l-iktar fl-istorja tal-Istati Uniti?</v>
      </c>
    </row>
    <row r="5064" ht="15.75" customHeight="1">
      <c r="A5064" s="2" t="s">
        <v>5064</v>
      </c>
      <c r="B5064" s="2" t="str">
        <f>IFERROR(__xludf.DUMMYFUNCTION("GOOGLETRANSLATE(A5064, ""en"", ""mt"")"),"Minn xiex issir il-Mace Parlamentari?")</f>
        <v>Minn xiex issir il-Mace Parlamentari?</v>
      </c>
    </row>
    <row r="5065" ht="15.75" customHeight="1">
      <c r="A5065" s="2" t="s">
        <v>5065</v>
      </c>
      <c r="B5065" s="2" t="str">
        <f>IFERROR(__xludf.DUMMYFUNCTION("GOOGLETRANSLATE(A5065, ""en"", ""mt"")"),"Pakkett ta 'strumenti xjentifiċi")</f>
        <v>Pakkett ta 'strumenti xjentifiċi</v>
      </c>
    </row>
    <row r="5066" ht="15.75" customHeight="1">
      <c r="A5066" s="2" t="s">
        <v>5066</v>
      </c>
      <c r="B5066" s="2" t="str">
        <f>IFERROR(__xludf.DUMMYFUNCTION("GOOGLETRANSLATE(A5066, ""en"", ""mt"")"),"Kemm nies fi Quzhou huma dixxendenti minn Confucius?")</f>
        <v>Kemm nies fi Quzhou huma dixxendenti minn Confucius?</v>
      </c>
    </row>
    <row r="5067" ht="15.75" customHeight="1">
      <c r="A5067" s="2" t="s">
        <v>5067</v>
      </c>
      <c r="B5067" s="2" t="str">
        <f>IFERROR(__xludf.DUMMYFUNCTION("GOOGLETRANSLATE(A5067, ""en"", ""mt"")"),"Il-kloroplasti ta 'xi hornworts u alka")</f>
        <v>Il-kloroplasti ta 'xi hornworts u alka</v>
      </c>
    </row>
    <row r="5068" ht="15.75" customHeight="1">
      <c r="A5068" s="2" t="s">
        <v>5068</v>
      </c>
      <c r="B5068" s="2" t="str">
        <f>IFERROR(__xludf.DUMMYFUNCTION("GOOGLETRANSLATE(A5068, ""en"", ""mt"")"),"X'inhu l-isem tal-fergħa l-qadima tat-Tramuntana tar-Renu?")</f>
        <v>X'inhu l-isem tal-fergħa l-qadima tat-Tramuntana tar-Renu?</v>
      </c>
    </row>
    <row r="5069" ht="15.75" customHeight="1">
      <c r="A5069" s="2" t="s">
        <v>5069</v>
      </c>
      <c r="B5069" s="2" t="str">
        <f>IFERROR(__xludf.DUMMYFUNCTION("GOOGLETRANSLATE(A5069, ""en"", ""mt"")"),"47%")</f>
        <v>47%</v>
      </c>
    </row>
    <row r="5070" ht="15.75" customHeight="1">
      <c r="A5070" s="2" t="s">
        <v>5070</v>
      </c>
      <c r="B5070" s="2" t="str">
        <f>IFERROR(__xludf.DUMMYFUNCTION("GOOGLETRANSLATE(A5070, ""en"", ""mt"")"),"Liema sate huma l-affarijiet ġewwa vettura li tiċċaqlaq kif jidher minn persuna ġewwa l-vettura?")</f>
        <v>Liema sate huma l-affarijiet ġewwa vettura li tiċċaqlaq kif jidher minn persuna ġewwa l-vettura?</v>
      </c>
    </row>
    <row r="5071" ht="15.75" customHeight="1">
      <c r="A5071" s="2" t="s">
        <v>5071</v>
      </c>
      <c r="B5071" s="2" t="str">
        <f>IFERROR(__xludf.DUMMYFUNCTION("GOOGLETRANSLATE(A5071, ""en"", ""mt"")"),"Liema sena mar il-każ quddiem il-Qorti Suprema?")</f>
        <v>Liema sena mar il-każ quddiem il-Qorti Suprema?</v>
      </c>
    </row>
    <row r="5072" ht="15.75" customHeight="1">
      <c r="A5072" s="2" t="s">
        <v>5072</v>
      </c>
      <c r="B5072" s="2" t="str">
        <f>IFERROR(__xludf.DUMMYFUNCTION("GOOGLETRANSLATE(A5072, ""en"", ""mt"")"),"Fejn ħadem Golovin qabel ma ngħaqad mal- ""pannell tal-vettura spazjali""?")</f>
        <v>Fejn ħadem Golovin qabel ma ngħaqad mal- "pannell tal-vettura spazjali"?</v>
      </c>
    </row>
    <row r="5073" ht="15.75" customHeight="1">
      <c r="A5073" s="2" t="s">
        <v>5073</v>
      </c>
      <c r="B5073" s="2" t="str">
        <f>IFERROR(__xludf.DUMMYFUNCTION("GOOGLETRANSLATE(A5073, ""en"", ""mt"")"),"X'jagħmlu aktar ħin l-għalliema ta 'appoġġ?")</f>
        <v>X'jagħmlu aktar ħin l-għalliema ta 'appoġġ?</v>
      </c>
    </row>
    <row r="5074" ht="15.75" customHeight="1">
      <c r="A5074" s="2" t="s">
        <v>5074</v>
      </c>
      <c r="B5074" s="2" t="str">
        <f>IFERROR(__xludf.DUMMYFUNCTION("GOOGLETRANSLATE(A5074, ""en"", ""mt"")"),"F’liema seklu Mayow u Boyle wettqu l-esperimenti tagħhom?")</f>
        <v>F’liema seklu Mayow u Boyle wettqu l-esperimenti tagħhom?</v>
      </c>
    </row>
    <row r="5075" ht="15.75" customHeight="1">
      <c r="A5075" s="2" t="s">
        <v>5075</v>
      </c>
      <c r="B5075" s="2" t="str">
        <f>IFERROR(__xludf.DUMMYFUNCTION("GOOGLETRANSLATE(A5075, ""en"", ""mt"")"),"Sussegwentement, iż-żewġ ċrieki li jaqsmu l-plastidi, jew ċrieki PD. Iċ-ċirku ta 'diviżjoni tal-plastidi ta' ġewwa jinsab fin-naħa ta 'ġewwa tal-membrana ta' ġewwa tal-kloroplast, u huwa ffurmat l-ewwel. Iċ-ċirku ta 'diviżjoni tal-plastidi ta' barra jinst"&amp;"ab imgeżwer madwar il-membrana tal-kloroplast ta 'barra. Tikkonsisti minn filamenti madwar 5 nanometri madwar, irranġati f'ringieli 6.4 nanometri 'l bogħod minn xulxin, u tiċkien biex tagħfas il-kloroplast. Dan meta tibda l-kostrizzjoni tal-kloroplast.
Fi"&amp;" ftit speċi bħal Cyanidioschyzon Merolæ, il-kloroplasti għandhom it-tielet ċirku li jaqsam il-plastidi li jinsab fl-ispazju intermembrane tal-kloroplast.")</f>
        <v>Sussegwentement, iż-żewġ ċrieki li jaqsmu l-plastidi, jew ċrieki PD. Iċ-ċirku ta 'diviżjoni tal-plastidi ta' ġewwa jinsab fin-naħa ta 'ġewwa tal-membrana ta' ġewwa tal-kloroplast, u huwa ffurmat l-ewwel. Iċ-ċirku ta 'diviżjoni tal-plastidi ta' barra jinstab imgeżwer madwar il-membrana tal-kloroplast ta 'barra. Tikkonsisti minn filamenti madwar 5 nanometri madwar, irranġati f'ringieli 6.4 nanometri 'l bogħod minn xulxin, u tiċkien biex tagħfas il-kloroplast. Dan meta tibda l-kostrizzjoni tal-kloroplast.
Fi ftit speċi bħal Cyanidioschyzon Merolæ, il-kloroplasti għandhom it-tielet ċirku li jaqsam il-plastidi li jinsab fl-ispazju intermembrane tal-kloroplast.</v>
      </c>
    </row>
    <row r="5076" ht="15.75" customHeight="1">
      <c r="A5076" s="2" t="s">
        <v>5076</v>
      </c>
      <c r="B5076" s="2" t="str">
        <f>IFERROR(__xludf.DUMMYFUNCTION("GOOGLETRANSLATE(A5076, ""en"", ""mt"")"),"L-aħħar missjoni")</f>
        <v>L-aħħar missjoni</v>
      </c>
    </row>
    <row r="5077" ht="15.75" customHeight="1">
      <c r="A5077" s="2" t="s">
        <v>5077</v>
      </c>
      <c r="B5077" s="2" t="str">
        <f>IFERROR(__xludf.DUMMYFUNCTION("GOOGLETRANSLATE(A5077, ""en"", ""mt"")"),"granuli fiċ-ċitoplasma tal-ospitanti tad-dinophyte")</f>
        <v>granuli fiċ-ċitoplasma tal-ospitanti tad-dinophyte</v>
      </c>
    </row>
    <row r="5078" ht="15.75" customHeight="1">
      <c r="A5078" s="2" t="s">
        <v>5078</v>
      </c>
      <c r="B5078" s="2" t="str">
        <f>IFERROR(__xludf.DUMMYFUNCTION("GOOGLETRANSLATE(A5078, ""en"", ""mt"")"),"Qabel it-Tieni Gwerra Dinjija, Fresno kellu ħafna kwartieri etniċi, inklużi Little Armenja, Belt Ġermaniża, Little Italja, u Chinatown. Fl-1940, l-Uffiċċju taċ-Ċensiment irrapporta l-popolazzjoni ta 'Fresno bħala 94.0% abjad, 3.3% iswed u 2.7% Asjatiku. ("&amp;"Inkongruż, Chinatown kien primarjament viċinat Ġappuniż u llum għadhom in-negozji Ġappuniżi-Amerikani). Matul l-1942, Pinedale, f’dak li issa hu North Fresno, kien is-sit taċ-Ċentru tal-Assemblea Pinedale, faċilità interim għar-rilokazzjoni taż-żona ta ’F"&amp;"resno Amerikani Ġappuniżi għal kampijiet ta’ internament. Il-fieri ta 'Fresno ġiet użata wkoll bħala ċentru ta' assemblaġġ.")</f>
        <v>Qabel it-Tieni Gwerra Dinjija, Fresno kellu ħafna kwartieri etniċi, inklużi Little Armenja, Belt Ġermaniża, Little Italja, u Chinatown. Fl-1940, l-Uffiċċju taċ-Ċensiment irrapporta l-popolazzjoni ta 'Fresno bħala 94.0% abjad, 3.3% iswed u 2.7% Asjatiku. (Inkongruż, Chinatown kien primarjament viċinat Ġappuniż u llum għadhom in-negozji Ġappuniżi-Amerikani). Matul l-1942, Pinedale, f’dak li issa hu North Fresno, kien is-sit taċ-Ċentru tal-Assemblea Pinedale, faċilità interim għar-rilokazzjoni taż-żona ta ’Fresno Amerikani Ġappuniżi għal kampijiet ta’ internament. Il-fieri ta 'Fresno ġiet użata wkoll bħala ċentru ta' assemblaġġ.</v>
      </c>
    </row>
    <row r="5079" ht="15.75" customHeight="1">
      <c r="A5079" s="2" t="s">
        <v>5079</v>
      </c>
      <c r="B5079" s="2" t="str">
        <f>IFERROR(__xludf.DUMMYFUNCTION("GOOGLETRANSLATE(A5079, ""en"", ""mt"")"),"Kienu esperimenti ta 'Tesla b'voltaġġ għoli jew vultaġġ baxx?")</f>
        <v>Kienu esperimenti ta 'Tesla b'voltaġġ għoli jew vultaġġ baxx?</v>
      </c>
    </row>
    <row r="5080" ht="15.75" customHeight="1">
      <c r="A5080" s="2" t="s">
        <v>5080</v>
      </c>
      <c r="B5080" s="2" t="str">
        <f>IFERROR(__xludf.DUMMYFUNCTION("GOOGLETRANSLATE(A5080, ""en"", ""mt"")"),"X'inhuma żewġ fatturi li għamluha diffiċli għall-kolonisti biex il-foresta tal-Amażonja tibqa 'ħajja?")</f>
        <v>X'inhuma żewġ fatturi li għamluha diffiċli għall-kolonisti biex il-foresta tal-Amażonja tibqa 'ħajja?</v>
      </c>
    </row>
    <row r="5081" ht="15.75" customHeight="1">
      <c r="A5081" s="2" t="s">
        <v>5081</v>
      </c>
      <c r="B5081" s="2" t="str">
        <f>IFERROR(__xludf.DUMMYFUNCTION("GOOGLETRANSLATE(A5081, ""en"", ""mt"")"),"Min kien il-mexxej tar-reġim Iżlamista fis-Sudan?")</f>
        <v>Min kien il-mexxej tar-reġim Iżlamista fis-Sudan?</v>
      </c>
    </row>
    <row r="5082" ht="15.75" customHeight="1">
      <c r="A5082" s="2" t="s">
        <v>5082</v>
      </c>
      <c r="B5082" s="2" t="str">
        <f>IFERROR(__xludf.DUMMYFUNCTION("GOOGLETRANSLATE(A5082, ""en"", ""mt"")"),"Xbox One")</f>
        <v>Xbox One</v>
      </c>
    </row>
    <row r="5083" ht="15.75" customHeight="1">
      <c r="A5083" s="2" t="s">
        <v>5083</v>
      </c>
      <c r="B5083" s="2" t="str">
        <f>IFERROR(__xludf.DUMMYFUNCTION("GOOGLETRANSLATE(A5083, ""en"", ""mt"")"),"L-ammont preżenti ta 'finanzjament ma jistax ikopri l-ispejjeż kurrenti għax-xogħol u l-materjali")</f>
        <v>L-ammont preżenti ta 'finanzjament ma jistax ikopri l-ispejjeż kurrenti għax-xogħol u l-materjali</v>
      </c>
    </row>
    <row r="5084" ht="15.75" customHeight="1">
      <c r="A5084" s="2" t="s">
        <v>5084</v>
      </c>
      <c r="B5084" s="2" t="str">
        <f>IFERROR(__xludf.DUMMYFUNCTION("GOOGLETRANSLATE(A5084, ""en"", ""mt"")"),"BSkyb")</f>
        <v>BSkyb</v>
      </c>
    </row>
    <row r="5085" ht="15.75" customHeight="1">
      <c r="A5085" s="2" t="s">
        <v>5085</v>
      </c>
      <c r="B5085" s="2" t="str">
        <f>IFERROR(__xludf.DUMMYFUNCTION("GOOGLETRANSLATE(A5085, ""en"", ""mt"")"),"Victoria")</f>
        <v>Victoria</v>
      </c>
    </row>
    <row r="5086" ht="15.75" customHeight="1">
      <c r="A5086" s="2" t="s">
        <v>5086</v>
      </c>
      <c r="B5086" s="2" t="str">
        <f>IFERROR(__xludf.DUMMYFUNCTION("GOOGLETRANSLATE(A5086, ""en"", ""mt"")"),"Maniġer tan-NASA Abe Silverstein")</f>
        <v>Maniġer tan-NASA Abe Silverstein</v>
      </c>
    </row>
    <row r="5087" ht="15.75" customHeight="1">
      <c r="A5087" s="2" t="s">
        <v>5087</v>
      </c>
      <c r="B5087" s="2" t="str">
        <f>IFERROR(__xludf.DUMMYFUNCTION("GOOGLETRANSLATE(A5087, ""en"", ""mt"")"),"Applikazzjonijiet ta 'appoġġ bħal imħatri onlajn, applikazzjonijiet finanzjarji")</f>
        <v>Applikazzjonijiet ta 'appoġġ bħal imħatri onlajn, applikazzjonijiet finanzjarji</v>
      </c>
    </row>
    <row r="5088" ht="15.75" customHeight="1">
      <c r="A5088" s="2" t="s">
        <v>5088</v>
      </c>
      <c r="B5088" s="2" t="str">
        <f>IFERROR(__xludf.DUMMYFUNCTION("GOOGLETRANSLATE(A5088, ""en"", ""mt"")"),"joqtlu")</f>
        <v>joqtlu</v>
      </c>
    </row>
    <row r="5089" ht="15.75" customHeight="1">
      <c r="A5089" s="2" t="s">
        <v>5089</v>
      </c>
      <c r="B5089" s="2" t="str">
        <f>IFERROR(__xludf.DUMMYFUNCTION("GOOGLETRANSLATE(A5089, ""en"", ""mt"")"),"Min kien il-gvernatur ta 'New France?")</f>
        <v>Min kien il-gvernatur ta 'New France?</v>
      </c>
    </row>
    <row r="5090" ht="15.75" customHeight="1">
      <c r="A5090" s="2" t="s">
        <v>5090</v>
      </c>
      <c r="B5090" s="2" t="str">
        <f>IFERROR(__xludf.DUMMYFUNCTION("GOOGLETRANSLATE(A5090, ""en"", ""mt"")"),"16 ta ’Ottubru, 2012")</f>
        <v>16 ta ’Ottubru, 2012</v>
      </c>
    </row>
    <row r="5091" ht="15.75" customHeight="1">
      <c r="A5091" s="2" t="s">
        <v>5091</v>
      </c>
      <c r="B5091" s="2" t="str">
        <f>IFERROR(__xludf.DUMMYFUNCTION("GOOGLETRANSLATE(A5091, ""en"", ""mt"")"),"Ögedei")</f>
        <v>Ögedei</v>
      </c>
    </row>
    <row r="5092" ht="15.75" customHeight="1">
      <c r="A5092" s="2" t="s">
        <v>5092</v>
      </c>
      <c r="B5092" s="2" t="str">
        <f>IFERROR(__xludf.DUMMYFUNCTION("GOOGLETRANSLATE(A5092, ""en"", ""mt"")"),"1910 sal-1940")</f>
        <v>1910 sal-1940</v>
      </c>
    </row>
    <row r="5093" ht="15.75" customHeight="1">
      <c r="A5093" s="2" t="s">
        <v>5093</v>
      </c>
      <c r="B5093" s="2" t="str">
        <f>IFERROR(__xludf.DUMMYFUNCTION("GOOGLETRANSLATE(A5093, ""en"", ""mt"")"),"30 sekonda")</f>
        <v>30 sekonda</v>
      </c>
    </row>
    <row r="5094" ht="15.75" customHeight="1">
      <c r="A5094" s="2" t="s">
        <v>5094</v>
      </c>
      <c r="B5094" s="2" t="str">
        <f>IFERROR(__xludf.DUMMYFUNCTION("GOOGLETRANSLATE(A5094, ""en"", ""mt"")"),"1994")</f>
        <v>1994</v>
      </c>
    </row>
    <row r="5095" ht="15.75" customHeight="1">
      <c r="A5095" s="2" t="s">
        <v>5095</v>
      </c>
      <c r="B5095" s="2" t="str">
        <f>IFERROR(__xludf.DUMMYFUNCTION("GOOGLETRANSLATE(A5095, ""en"", ""mt"")"),"Meta seħħet l-estinzjoni tal-paleogen Kretaċeju?")</f>
        <v>Meta seħħet l-estinzjoni tal-paleogen Kretaċeju?</v>
      </c>
    </row>
    <row r="5096" ht="15.75" customHeight="1">
      <c r="A5096" s="2" t="s">
        <v>5096</v>
      </c>
      <c r="B5096" s="2" t="str">
        <f>IFERROR(__xludf.DUMMYFUNCTION("GOOGLETRANSLATE(A5096, ""en"", ""mt"")"),"minuri")</f>
        <v>minuri</v>
      </c>
    </row>
    <row r="5097" ht="15.75" customHeight="1">
      <c r="A5097" s="2" t="s">
        <v>5097</v>
      </c>
      <c r="B5097" s="2" t="str">
        <f>IFERROR(__xludf.DUMMYFUNCTION("GOOGLETRANSLATE(A5097, ""en"", ""mt"")"),"Għaliex ħarab lis-segretarju?")</f>
        <v>Għaliex ħarab lis-segretarju?</v>
      </c>
    </row>
    <row r="5098" ht="15.75" customHeight="1">
      <c r="A5098" s="2" t="s">
        <v>5098</v>
      </c>
      <c r="B5098" s="2" t="str">
        <f>IFERROR(__xludf.DUMMYFUNCTION("GOOGLETRANSLATE(A5098, ""en"", ""mt"")"),"Skeċċ taż-żejt ta 'daqs sħiħ tal-1821 li fih ingħata pittura Ingliża famuża minn bint John Sheepshank fl-1888?")</f>
        <v>Skeċċ taż-żejt ta 'daqs sħiħ tal-1821 li fih ingħata pittura Ingliża famuża minn bint John Sheepshank fl-1888?</v>
      </c>
    </row>
    <row r="5099" ht="15.75" customHeight="1">
      <c r="A5099" s="2" t="s">
        <v>5099</v>
      </c>
      <c r="B5099" s="2" t="str">
        <f>IFERROR(__xludf.DUMMYFUNCTION("GOOGLETRANSLATE(A5099, ""en"", ""mt"")"),"forzi tas-suq")</f>
        <v>forzi tas-suq</v>
      </c>
    </row>
    <row r="5100" ht="15.75" customHeight="1">
      <c r="A5100" s="2" t="s">
        <v>5100</v>
      </c>
      <c r="B5100" s="2" t="str">
        <f>IFERROR(__xludf.DUMMYFUNCTION("GOOGLETRANSLATE(A5100, ""en"", ""mt"")"),"Meta twaqqfet it-tieni imperu Ġermaniż?")</f>
        <v>Meta twaqqfet it-tieni imperu Ġermaniż?</v>
      </c>
    </row>
    <row r="5101" ht="15.75" customHeight="1">
      <c r="A5101" s="2" t="s">
        <v>5101</v>
      </c>
      <c r="B5101" s="2" t="str">
        <f>IFERROR(__xludf.DUMMYFUNCTION("GOOGLETRANSLATE(A5101, ""en"", ""mt"")"),"X'kienet l-ewwel serje televiżiva li tidher karattru miftuħ omosesswali?")</f>
        <v>X'kienet l-ewwel serje televiżiva li tidher karattru miftuħ omosesswali?</v>
      </c>
    </row>
    <row r="5102" ht="15.75" customHeight="1">
      <c r="A5102" s="2" t="s">
        <v>5102</v>
      </c>
      <c r="B5102" s="2" t="str">
        <f>IFERROR(__xludf.DUMMYFUNCTION("GOOGLETRANSLATE(A5102, ""en"", ""mt"")"),"Huwa ż-żejt tal-Iskozja")</f>
        <v>Huwa ż-żejt tal-Iskozja</v>
      </c>
    </row>
    <row r="5103" ht="15.75" customHeight="1">
      <c r="A5103" s="2" t="s">
        <v>5103</v>
      </c>
      <c r="B5103" s="2" t="str">
        <f>IFERROR(__xludf.DUMMYFUNCTION("GOOGLETRANSLATE(A5103, ""en"", ""mt"")"),"X'tesla attribut il-ħsara fil-ġilda?")</f>
        <v>X'tesla attribut il-ħsara fil-ġilda?</v>
      </c>
    </row>
    <row r="5104" ht="15.75" customHeight="1">
      <c r="A5104" s="2" t="s">
        <v>5104</v>
      </c>
      <c r="B5104" s="2" t="str">
        <f>IFERROR(__xludf.DUMMYFUNCTION("GOOGLETRANSLATE(A5104, ""en"", ""mt"")"),"Prasinofita")</f>
        <v>Prasinofita</v>
      </c>
    </row>
    <row r="5105" ht="15.75" customHeight="1">
      <c r="A5105" s="2" t="s">
        <v>5105</v>
      </c>
      <c r="B5105" s="2" t="str">
        <f>IFERROR(__xludf.DUMMYFUNCTION("GOOGLETRANSLATE(A5105, ""en"", ""mt"")"),"persuna jew grupp ta 'nies")</f>
        <v>persuna jew grupp ta 'nies</v>
      </c>
    </row>
    <row r="5106" ht="15.75" customHeight="1">
      <c r="A5106" s="2" t="s">
        <v>5106</v>
      </c>
      <c r="B5106" s="2" t="str">
        <f>IFERROR(__xludf.DUMMYFUNCTION("GOOGLETRANSLATE(A5106, ""en"", ""mt"")"),"Impass kostituzzjonali")</f>
        <v>Impass kostituzzjonali</v>
      </c>
    </row>
    <row r="5107" ht="15.75" customHeight="1">
      <c r="A5107" s="2" t="s">
        <v>5107</v>
      </c>
      <c r="B5107" s="2" t="str">
        <f>IFERROR(__xludf.DUMMYFUNCTION("GOOGLETRANSLATE(A5107, ""en"", ""mt"")"),"A → G gradjenti ta 'deamination")</f>
        <v>A → G gradjenti ta 'deamination</v>
      </c>
    </row>
    <row r="5108" ht="15.75" customHeight="1">
      <c r="A5108" s="2" t="s">
        <v>5108</v>
      </c>
      <c r="B5108" s="2" t="str">
        <f>IFERROR(__xludf.DUMMYFUNCTION("GOOGLETRANSLATE(A5108, ""en"", ""mt"")"),"Steam jaħrab,")</f>
        <v>Steam jaħrab,</v>
      </c>
    </row>
    <row r="5109" ht="15.75" customHeight="1">
      <c r="A5109" s="2" t="s">
        <v>5109</v>
      </c>
      <c r="B5109" s="2" t="str">
        <f>IFERROR(__xludf.DUMMYFUNCTION("GOOGLETRANSLATE(A5109, ""en"", ""mt"")"),"Fejn kien qed jistudja Tesla meta beda jilgħab il-karti u l-biljard?")</f>
        <v>Fejn kien qed jistudja Tesla meta beda jilgħab il-karti u l-biljard?</v>
      </c>
    </row>
    <row r="5110" ht="15.75" customHeight="1">
      <c r="A5110" s="2" t="s">
        <v>5110</v>
      </c>
      <c r="B5110" s="2" t="str">
        <f>IFERROR(__xludf.DUMMYFUNCTION("GOOGLETRANSLATE(A5110, ""en"", ""mt"")"),"livell tal-baħar")</f>
        <v>livell tal-baħar</v>
      </c>
    </row>
    <row r="5111" ht="15.75" customHeight="1">
      <c r="A5111" s="2" t="s">
        <v>5111</v>
      </c>
      <c r="B5111" s="2" t="str">
        <f>IFERROR(__xludf.DUMMYFUNCTION("GOOGLETRANSLATE(A5111, ""en"", ""mt"")"),"Liema membru tat-tim ta 'Carolina Panthers inqabad bħala l-MVP tat-tim fl-2015?")</f>
        <v>Liema membru tat-tim ta 'Carolina Panthers inqabad bħala l-MVP tat-tim fl-2015?</v>
      </c>
    </row>
    <row r="5112" ht="15.75" customHeight="1">
      <c r="A5112" s="2" t="s">
        <v>5112</v>
      </c>
      <c r="B5112" s="2" t="str">
        <f>IFERROR(__xludf.DUMMYFUNCTION("GOOGLETRANSLATE(A5112, ""en"", ""mt"")"),"Min jissorvelja tekniku tal-ispiżerija fir-Renju Unit?")</f>
        <v>Min jissorvelja tekniku tal-ispiżerija fir-Renju Unit?</v>
      </c>
    </row>
    <row r="5113" ht="15.75" customHeight="1">
      <c r="A5113" s="2" t="s">
        <v>5113</v>
      </c>
      <c r="B5113" s="2" t="str">
        <f>IFERROR(__xludf.DUMMYFUNCTION("GOOGLETRANSLATE(A5113, ""en"", ""mt"")"),"F'liema l-Kunsill tal-Belt jinqasam fih innifsu?")</f>
        <v>F'liema l-Kunsill tal-Belt jinqasam fih innifsu?</v>
      </c>
    </row>
    <row r="5114" ht="15.75" customHeight="1">
      <c r="A5114" s="2" t="s">
        <v>5114</v>
      </c>
      <c r="B5114" s="2" t="str">
        <f>IFERROR(__xludf.DUMMYFUNCTION("GOOGLETRANSLATE(A5114, ""en"", ""mt"")"),"1-3 cm (0.39–1.18 in) kull seklu")</f>
        <v>1-3 cm (0.39–1.18 in) kull seklu</v>
      </c>
    </row>
    <row r="5115" ht="15.75" customHeight="1">
      <c r="A5115" s="2" t="s">
        <v>5115</v>
      </c>
      <c r="B5115" s="2" t="str">
        <f>IFERROR(__xludf.DUMMYFUNCTION("GOOGLETRANSLATE(A5115, ""en"", ""mt"")"),"Uffiċċju tal-Prinċipal")</f>
        <v>Uffiċċju tal-Prinċipal</v>
      </c>
    </row>
    <row r="5116" ht="15.75" customHeight="1">
      <c r="A5116" s="2" t="s">
        <v>5116</v>
      </c>
      <c r="B5116" s="2" t="str">
        <f>IFERROR(__xludf.DUMMYFUNCTION("GOOGLETRANSLATE(A5116, ""en"", ""mt"")"),"1508")</f>
        <v>1508</v>
      </c>
    </row>
    <row r="5117" ht="15.75" customHeight="1">
      <c r="A5117" s="2" t="s">
        <v>5117</v>
      </c>
      <c r="B5117" s="2" t="str">
        <f>IFERROR(__xludf.DUMMYFUNCTION("GOOGLETRANSLATE(A5117, ""en"", ""mt"")"),"X'inhu msemmi KMJ issa?")</f>
        <v>X'inhu msemmi KMJ issa?</v>
      </c>
    </row>
    <row r="5118" ht="15.75" customHeight="1">
      <c r="A5118" s="2" t="s">
        <v>5118</v>
      </c>
      <c r="B5118" s="2" t="str">
        <f>IFERROR(__xludf.DUMMYFUNCTION("GOOGLETRANSLATE(A5118, ""en"", ""mt"")"),"QuickBooks sponsorja konkors ta '""Logħba Kbira ta' Negozji Żgħar"", li fih Death Wish Coffee kellu 30 sekonda kummerċjali imxandra mingħajr ħlas b'korteżija ta 'QuickBooks. Death Wish Coffee tħabbat disa 'kontendenti oħra minn madwar l-Istati Uniti għar-"&amp;"riklam b'xejn.")</f>
        <v>QuickBooks sponsorja konkors ta '"Logħba Kbira ta' Negozji Żgħar", li fih Death Wish Coffee kellu 30 sekonda kummerċjali imxandra mingħajr ħlas b'korteżija ta 'QuickBooks. Death Wish Coffee tħabbat disa 'kontendenti oħra minn madwar l-Istati Uniti għar-riklam b'xejn.</v>
      </c>
    </row>
    <row r="5119" ht="15.75" customHeight="1">
      <c r="A5119" s="2" t="s">
        <v>5119</v>
      </c>
      <c r="B5119" s="2" t="str">
        <f>IFERROR(__xludf.DUMMYFUNCTION("GOOGLETRANSLATE(A5119, ""en"", ""mt"")"),"X'tip ta 'servizz huwa s-servizz SkyDrive?")</f>
        <v>X'tip ta 'servizz huwa s-servizz SkyDrive?</v>
      </c>
    </row>
    <row r="5120" ht="15.75" customHeight="1">
      <c r="A5120" s="2" t="s">
        <v>5120</v>
      </c>
      <c r="B5120" s="2" t="str">
        <f>IFERROR(__xludf.DUMMYFUNCTION("GOOGLETRANSLATE(A5120, ""en"", ""mt"")"),"ħafna staġuni ċċelebrati.")</f>
        <v>ħafna staġuni ċċelebrati.</v>
      </c>
    </row>
    <row r="5121" ht="15.75" customHeight="1">
      <c r="A5121" s="2" t="s">
        <v>5121</v>
      </c>
      <c r="B5121" s="2" t="str">
        <f>IFERROR(__xludf.DUMMYFUNCTION("GOOGLETRANSLATE(A5121, ""en"", ""mt"")"),"Fittex fil-kollezzjonijiet,")</f>
        <v>Fittex fil-kollezzjonijiet,</v>
      </c>
    </row>
    <row r="5122" ht="15.75" customHeight="1">
      <c r="A5122" s="2" t="s">
        <v>5122</v>
      </c>
      <c r="B5122" s="2" t="str">
        <f>IFERROR(__xludf.DUMMYFUNCTION("GOOGLETRANSLATE(A5122, ""en"", ""mt"")"),"Liema netwerk tar-radju ġarr is-Super Bowl?")</f>
        <v>Liema netwerk tar-radju ġarr is-Super Bowl?</v>
      </c>
    </row>
    <row r="5123" ht="15.75" customHeight="1">
      <c r="A5123" s="2" t="s">
        <v>5123</v>
      </c>
      <c r="B5123" s="2" t="str">
        <f>IFERROR(__xludf.DUMMYFUNCTION("GOOGLETRANSLATE(A5123, ""en"", ""mt"")"),"19 ta ’Ottubru 1512")</f>
        <v>19 ta ’Ottubru 1512</v>
      </c>
    </row>
    <row r="5124" ht="15.75" customHeight="1">
      <c r="A5124" s="2" t="s">
        <v>5124</v>
      </c>
      <c r="B5124" s="2" t="str">
        <f>IFERROR(__xludf.DUMMYFUNCTION("GOOGLETRANSLATE(A5124, ""en"", ""mt"")"),"Liema kliem biex jaħsbu li huma marbuta max-xogħol tal-Kenja?")</f>
        <v>Liema kliem biex jaħsbu li huma marbuta max-xogħol tal-Kenja?</v>
      </c>
    </row>
    <row r="5125" ht="15.75" customHeight="1">
      <c r="A5125" s="2" t="s">
        <v>5125</v>
      </c>
      <c r="B5125" s="2" t="str">
        <f>IFERROR(__xludf.DUMMYFUNCTION("GOOGLETRANSLATE(A5125, ""en"", ""mt"")"),"Liema parti mill-UMC titlob lill-isqfijiet tagħha biex iżommu l-oppożizzjoni għall-piena kapitali?")</f>
        <v>Liema parti mill-UMC titlob lill-isqfijiet tagħha biex iżommu l-oppożizzjoni għall-piena kapitali?</v>
      </c>
    </row>
    <row r="5126" ht="15.75" customHeight="1">
      <c r="A5126" s="2" t="s">
        <v>5126</v>
      </c>
      <c r="B5126" s="2" t="str">
        <f>IFERROR(__xludf.DUMMYFUNCTION("GOOGLETRANSLATE(A5126, ""en"", ""mt"")"),"il- ""Combs""")</f>
        <v>il- "Combs"</v>
      </c>
    </row>
    <row r="5127" ht="15.75" customHeight="1">
      <c r="A5127" s="2" t="s">
        <v>5127</v>
      </c>
      <c r="B5127" s="2" t="str">
        <f>IFERROR(__xludf.DUMMYFUNCTION("GOOGLETRANSLATE(A5127, ""en"", ""mt"")"),"F’liema sena fetħet il-galleriji tat-Teatru V&amp;A u tal-Prestazzjoni?")</f>
        <v>F’liema sena fetħet il-galleriji tat-Teatru V&amp;A u tal-Prestazzjoni?</v>
      </c>
    </row>
    <row r="5128" ht="15.75" customHeight="1">
      <c r="A5128" s="2" t="s">
        <v>5128</v>
      </c>
      <c r="B5128" s="2" t="str">
        <f>IFERROR(__xludf.DUMMYFUNCTION("GOOGLETRANSLATE(A5128, ""en"", ""mt"")"),"l-aħjar, l-agħar u l-medja tal-kumplessità tal-każ")</f>
        <v>l-aħjar, l-agħar u l-medja tal-kumplessità tal-każ</v>
      </c>
    </row>
    <row r="5129" ht="15.75" customHeight="1">
      <c r="A5129" s="2" t="s">
        <v>5129</v>
      </c>
      <c r="B5129" s="2" t="str">
        <f>IFERROR(__xludf.DUMMYFUNCTION("GOOGLETRANSLATE(A5129, ""en"", ""mt"")"),"aktar ġid")</f>
        <v>aktar ġid</v>
      </c>
    </row>
    <row r="5130" ht="15.75" customHeight="1">
      <c r="A5130" s="2" t="s">
        <v>5130</v>
      </c>
      <c r="B5130" s="2" t="str">
        <f>IFERROR(__xludf.DUMMYFUNCTION("GOOGLETRANSLATE(A5130, ""en"", ""mt"")"),"Kemm ilha tintuża x-xbihat tal-sirena minn Varsavja?")</f>
        <v>Kemm ilha tintuża x-xbihat tal-sirena minn Varsavja?</v>
      </c>
    </row>
    <row r="5131" ht="15.75" customHeight="1">
      <c r="A5131" s="2" t="s">
        <v>5131</v>
      </c>
      <c r="B5131" s="2" t="str">
        <f>IFERROR(__xludf.DUMMYFUNCTION("GOOGLETRANSLATE(A5131, ""en"", ""mt"")"),"Artrite rewmatojde")</f>
        <v>Artrite rewmatojde</v>
      </c>
    </row>
    <row r="5132" ht="15.75" customHeight="1">
      <c r="A5132" s="2" t="s">
        <v>5132</v>
      </c>
      <c r="B5132" s="2" t="str">
        <f>IFERROR(__xludf.DUMMYFUNCTION("GOOGLETRANSLATE(A5132, ""en"", ""mt"")"),"iswed")</f>
        <v>iswed</v>
      </c>
    </row>
    <row r="5133" ht="15.75" customHeight="1">
      <c r="A5133" s="2" t="s">
        <v>5133</v>
      </c>
      <c r="B5133" s="2" t="str">
        <f>IFERROR(__xludf.DUMMYFUNCTION("GOOGLETRANSLATE(A5133, ""en"", ""mt"")"),"Ir-Renu u liema xmara oħra ġew aċċettati bħala l-fruntiera Ġermanika?")</f>
        <v>Ir-Renu u liema xmara oħra ġew aċċettati bħala l-fruntiera Ġermanika?</v>
      </c>
    </row>
    <row r="5134" ht="15.75" customHeight="1">
      <c r="A5134" s="2" t="s">
        <v>5134</v>
      </c>
      <c r="B5134" s="2" t="str">
        <f>IFERROR(__xludf.DUMMYFUNCTION("GOOGLETRANSLATE(A5134, ""en"", ""mt"")"),"Fejn ikun jinsab iċ-Ċentru tal-Operazzjonijiet tat-Tnedija, peress li kien hemm bżonn ta 'aktar art għal rokit ikbar?")</f>
        <v>Fejn ikun jinsab iċ-Ċentru tal-Operazzjonijiet tat-Tnedija, peress li kien hemm bżonn ta 'aktar art għal rokit ikbar?</v>
      </c>
    </row>
    <row r="5135" ht="15.75" customHeight="1">
      <c r="A5135" s="2" t="s">
        <v>5135</v>
      </c>
      <c r="B5135" s="2" t="str">
        <f>IFERROR(__xludf.DUMMYFUNCTION("GOOGLETRANSLATE(A5135, ""en"", ""mt"")"),"ftit")</f>
        <v>ftit</v>
      </c>
    </row>
    <row r="5136" ht="15.75" customHeight="1">
      <c r="A5136" s="2" t="s">
        <v>5136</v>
      </c>
      <c r="B5136" s="2" t="str">
        <f>IFERROR(__xludf.DUMMYFUNCTION("GOOGLETRANSLATE(A5136, ""en"", ""mt"")"),"Fit-22 ta 'Mejju 2006")</f>
        <v>Fit-22 ta 'Mejju 2006</v>
      </c>
    </row>
    <row r="5137" ht="15.75" customHeight="1">
      <c r="A5137" s="2" t="s">
        <v>5137</v>
      </c>
      <c r="B5137" s="2" t="str">
        <f>IFERROR(__xludf.DUMMYFUNCTION("GOOGLETRANSLATE(A5137, ""en"", ""mt"")"),"USSR")</f>
        <v>USSR</v>
      </c>
    </row>
    <row r="5138" ht="15.75" customHeight="1">
      <c r="A5138" s="2" t="s">
        <v>5138</v>
      </c>
      <c r="B5138" s="2" t="str">
        <f>IFERROR(__xludf.DUMMYFUNCTION("GOOGLETRANSLATE(A5138, ""en"", ""mt"")"),"X'żieda f'Novembru 2011?")</f>
        <v>X'żieda f'Novembru 2011?</v>
      </c>
    </row>
    <row r="5139" ht="15.75" customHeight="1">
      <c r="A5139" s="2" t="s">
        <v>5139</v>
      </c>
      <c r="B5139" s="2" t="str">
        <f>IFERROR(__xludf.DUMMYFUNCTION("GOOGLETRANSLATE(A5139, ""en"", ""mt"")"),"sagrifiċċju")</f>
        <v>sagrifiċċju</v>
      </c>
    </row>
    <row r="5140" ht="15.75" customHeight="1">
      <c r="A5140" s="2" t="s">
        <v>5140</v>
      </c>
      <c r="B5140" s="2" t="str">
        <f>IFERROR(__xludf.DUMMYFUNCTION("GOOGLETRANSLATE(A5140, ""en"", ""mt"")"),"quċċata")</f>
        <v>quċċata</v>
      </c>
    </row>
    <row r="5141" ht="15.75" customHeight="1">
      <c r="A5141" s="2" t="s">
        <v>5141</v>
      </c>
      <c r="B5141" s="2" t="str">
        <f>IFERROR(__xludf.DUMMYFUNCTION("GOOGLETRANSLATE(A5141, ""en"", ""mt"")"),"Qabel it-taqsimiet ta 'dating iżotopiku tal-blat kellhom jiġu ddatati bl-użu ta' fossili u korrelazzjoni stratigrafika relattiva għal xiex?")</f>
        <v>Qabel it-taqsimiet ta 'dating iżotopiku tal-blat kellhom jiġu ddatati bl-użu ta' fossili u korrelazzjoni stratigrafika relattiva għal xiex?</v>
      </c>
    </row>
    <row r="5142" ht="15.75" customHeight="1">
      <c r="A5142" s="2" t="s">
        <v>5142</v>
      </c>
      <c r="B5142" s="2" t="str">
        <f>IFERROR(__xludf.DUMMYFUNCTION("GOOGLETRANSLATE(A5142, ""en"", ""mt"")"),"Morgan")</f>
        <v>Morgan</v>
      </c>
    </row>
    <row r="5143" ht="15.75" customHeight="1">
      <c r="A5143" s="2" t="s">
        <v>5143</v>
      </c>
      <c r="B5143" s="2" t="str">
        <f>IFERROR(__xludf.DUMMYFUNCTION("GOOGLETRANSLATE(A5143, ""en"", ""mt"")"),"378")</f>
        <v>378</v>
      </c>
    </row>
    <row r="5144" ht="15.75" customHeight="1">
      <c r="A5144" s="2" t="s">
        <v>5144</v>
      </c>
      <c r="B5144" s="2" t="str">
        <f>IFERROR(__xludf.DUMMYFUNCTION("GOOGLETRANSLATE(A5144, ""en"", ""mt"")"),"Muqali, Jebe u Subutai")</f>
        <v>Muqali, Jebe u Subutai</v>
      </c>
    </row>
    <row r="5145" ht="15.75" customHeight="1">
      <c r="A5145" s="2" t="s">
        <v>5145</v>
      </c>
      <c r="B5145" s="2" t="str">
        <f>IFERROR(__xludf.DUMMYFUNCTION("GOOGLETRANSLATE(A5145, ""en"", ""mt"")"),"Min minbarra Tesla Westinghouse ikkunsidra għall-privattivi?")</f>
        <v>Min minbarra Tesla Westinghouse ikkunsidra għall-privattivi?</v>
      </c>
    </row>
    <row r="5146" ht="15.75" customHeight="1">
      <c r="A5146" s="2" t="s">
        <v>5146</v>
      </c>
      <c r="B5146" s="2" t="str">
        <f>IFERROR(__xludf.DUMMYFUNCTION("GOOGLETRANSLATE(A5146, ""en"", ""mt"")"),"Meta Tesla bdiet taħdem fuq il-problema tal-enerġija u l-materja?")</f>
        <v>Meta Tesla bdiet taħdem fuq il-problema tal-enerġija u l-materja?</v>
      </c>
    </row>
    <row r="5147" ht="15.75" customHeight="1">
      <c r="A5147" s="2" t="s">
        <v>5147</v>
      </c>
      <c r="B5147" s="2" t="str">
        <f>IFERROR(__xludf.DUMMYFUNCTION("GOOGLETRANSLATE(A5147, ""en"", ""mt"")"),"Wijk Bij Duurstede")</f>
        <v>Wijk Bij Duurstede</v>
      </c>
    </row>
    <row r="5148" ht="15.75" customHeight="1">
      <c r="A5148" s="2" t="s">
        <v>5148</v>
      </c>
      <c r="B5148" s="2" t="str">
        <f>IFERROR(__xludf.DUMMYFUNCTION("GOOGLETRANSLATE(A5148, ""en"", ""mt"")"),"Il-kundizzjonijiet tas-sit, ir-regolamenti lokali, l-ekonomiji ta 'skala u d-disponibbiltà ta' negozjanti tas-sengħa kollha jaffettwaw x'inhuma?")</f>
        <v>Il-kundizzjonijiet tas-sit, ir-regolamenti lokali, l-ekonomiji ta 'skala u d-disponibbiltà ta' negozjanti tas-sengħa kollha jaffettwaw x'inhuma?</v>
      </c>
    </row>
    <row r="5149" ht="15.75" customHeight="1">
      <c r="A5149" s="2" t="s">
        <v>5149</v>
      </c>
      <c r="B5149" s="2" t="str">
        <f>IFERROR(__xludf.DUMMYFUNCTION("GOOGLETRANSLATE(A5149, ""en"", ""mt"")"),"l-ogħla 'effiċjenza soċjali'")</f>
        <v>l-ogħla 'effiċjenza soċjali'</v>
      </c>
    </row>
    <row r="5150" ht="15.75" customHeight="1">
      <c r="A5150" s="2" t="s">
        <v>5150</v>
      </c>
      <c r="B5150" s="2" t="str">
        <f>IFERROR(__xludf.DUMMYFUNCTION("GOOGLETRANSLATE(A5150, ""en"", ""mt"")"),"Id-differenzjazzjoni fil-plastid mhix permanenti, fil-fatt huma possibbli ħafna interkonversazzjonijiet. Il-kloroplasti jistgħu jiġu kkonvertiti għal kromoplasti, li huma plastidi mimlijin pigment responsabbli għall-kuluri brillanti li jidhru fil-fjuri u "&amp;"l-frott misjur. Il-ħażna tal-lamtu tal-amiloplasti jistgħu wkoll jiġu kkonvertiti għal kromoplasti, u huwa possibbli għal proplastidi li jiżviluppaw dritt fi kromoplasti. Il-kromoplasti u l-amiloplasti jistgħu wkoll isiru kloroplasti, bħal dak li jiġri me"&amp;"ta zunnarija jew patata tkun imdawla. Jekk impjant ikun imweġġa ', jew xi ħaġa oħra tikkawża li ċellola tal-pjanti terġa' tidħol għal stat meristematiku, il-kloroplasti u plastidi oħra jistgħu jibdlu lura fi proplastidi. Il-kloroplast, l-amiloplast, il-kr"&amp;"omoplast, il-proplast, eċċ., Mhumiex stati assoluti - forom intermedjati huma komuni.")</f>
        <v>Id-differenzjazzjoni fil-plastid mhix permanenti, fil-fatt huma possibbli ħafna interkonversazzjonijiet. Il-kloroplasti jistgħu jiġu kkonvertiti għal kromoplasti, li huma plastidi mimlijin pigment responsabbli għall-kuluri brillanti li jidhru fil-fjuri u l-frott misjur. Il-ħażna tal-lamtu tal-amiloplasti jistgħu wkoll jiġu kkonvertiti għal kromoplasti, u huwa possibbli għal proplastidi li jiżviluppaw dritt fi kromoplasti. Il-kromoplasti u l-amiloplasti jistgħu wkoll isiru kloroplasti, bħal dak li jiġri meta zunnarija jew patata tkun imdawla. Jekk impjant ikun imweġġa ', jew xi ħaġa oħra tikkawża li ċellola tal-pjanti terġa' tidħol għal stat meristematiku, il-kloroplasti u plastidi oħra jistgħu jibdlu lura fi proplastidi. Il-kloroplast, l-amiloplast, il-kromoplast, il-proplast, eċċ., Mhumiex stati assoluti - forom intermedjati huma komuni.</v>
      </c>
    </row>
    <row r="5151" ht="15.75" customHeight="1">
      <c r="A5151" s="2" t="s">
        <v>5151</v>
      </c>
      <c r="B5151" s="2" t="str">
        <f>IFERROR(__xludf.DUMMYFUNCTION("GOOGLETRANSLATE(A5151, ""en"", ""mt"")"),"oqsma mimlija (jew lokali)")</f>
        <v>oqsma mimlija (jew lokali)</v>
      </c>
    </row>
    <row r="5152" ht="15.75" customHeight="1">
      <c r="A5152" s="2" t="s">
        <v>5152</v>
      </c>
      <c r="B5152" s="2" t="str">
        <f>IFERROR(__xludf.DUMMYFUNCTION("GOOGLETRANSLATE(A5152, ""en"", ""mt"")"),"650")</f>
        <v>650</v>
      </c>
    </row>
    <row r="5153" ht="15.75" customHeight="1">
      <c r="A5153" s="2" t="s">
        <v>5153</v>
      </c>
      <c r="B5153" s="2" t="str">
        <f>IFERROR(__xludf.DUMMYFUNCTION("GOOGLETRANSLATE(A5153, ""en"", ""mt"")"),"Sa x-xokk taż-żejt")</f>
        <v>Sa x-xokk taż-żejt</v>
      </c>
    </row>
    <row r="5154" ht="15.75" customHeight="1">
      <c r="A5154" s="2" t="s">
        <v>5154</v>
      </c>
      <c r="B5154" s="2" t="str">
        <f>IFERROR(__xludf.DUMMYFUNCTION("GOOGLETRANSLATE(A5154, ""en"", ""mt"")"),"Min semma l-Missjonijiet Apollo?")</f>
        <v>Min semma l-Missjonijiet Apollo?</v>
      </c>
    </row>
    <row r="5155" ht="15.75" customHeight="1">
      <c r="A5155" s="2" t="s">
        <v>5155</v>
      </c>
      <c r="B5155" s="2" t="str">
        <f>IFERROR(__xludf.DUMMYFUNCTION("GOOGLETRANSLATE(A5155, ""en"", ""mt"")"),"Il-Kummissjoni Ewropea")</f>
        <v>Il-Kummissjoni Ewropea</v>
      </c>
    </row>
    <row r="5156" ht="15.75" customHeight="1">
      <c r="A5156" s="2" t="s">
        <v>5156</v>
      </c>
      <c r="B5156" s="2" t="str">
        <f>IFERROR(__xludf.DUMMYFUNCTION("GOOGLETRANSLATE(A5156, ""en"", ""mt"")"),"aktar minn $ 2,000")</f>
        <v>aktar minn $ 2,000</v>
      </c>
    </row>
    <row r="5157" ht="15.75" customHeight="1">
      <c r="A5157" s="2" t="s">
        <v>5157</v>
      </c>
      <c r="B5157" s="2" t="str">
        <f>IFERROR(__xludf.DUMMYFUNCTION("GOOGLETRANSLATE(A5157, ""en"", ""mt"")"),"l-istudju ta 'saffi sedimentarji")</f>
        <v>l-istudju ta 'saffi sedimentarji</v>
      </c>
    </row>
    <row r="5158" ht="15.75" customHeight="1">
      <c r="A5158" s="2" t="s">
        <v>5158</v>
      </c>
      <c r="B5158" s="2" t="str">
        <f>IFERROR(__xludf.DUMMYFUNCTION("GOOGLETRANSLATE(A5158, ""en"", ""mt"")"),"W. E. B. du Bois")</f>
        <v>W. E. B. du Bois</v>
      </c>
    </row>
    <row r="5159" ht="15.75" customHeight="1">
      <c r="A5159" s="2" t="s">
        <v>5159</v>
      </c>
      <c r="B5159" s="2" t="str">
        <f>IFERROR(__xludf.DUMMYFUNCTION("GOOGLETRANSLATE(A5159, ""en"", ""mt"")"),"Min immaniġġja play-by-play għas-Suq tar-Radju Denver?")</f>
        <v>Min immaniġġja play-by-play għas-Suq tar-Radju Denver?</v>
      </c>
    </row>
    <row r="5160" ht="15.75" customHeight="1">
      <c r="A5160" s="2" t="s">
        <v>5160</v>
      </c>
      <c r="B5160" s="2" t="str">
        <f>IFERROR(__xludf.DUMMYFUNCTION("GOOGLETRANSLATE(A5160, ""en"", ""mt"")"),"Liema plejer ġie kkritikat talli ma qabżx fil-munzell biex jirkupra l-ballun?")</f>
        <v>Liema plejer ġie kkritikat talli ma qabżx fil-munzell biex jirkupra l-ballun?</v>
      </c>
    </row>
    <row r="5161" ht="15.75" customHeight="1">
      <c r="A5161" s="2" t="s">
        <v>5161</v>
      </c>
      <c r="B5161" s="2" t="str">
        <f>IFERROR(__xludf.DUMMYFUNCTION("GOOGLETRANSLATE(A5161, ""en"", ""mt"")"),"Serje tal-Punent u tad-Ditektif")</f>
        <v>Serje tal-Punent u tad-Ditektif</v>
      </c>
    </row>
    <row r="5162" ht="15.75" customHeight="1">
      <c r="A5162" s="2" t="s">
        <v>5162</v>
      </c>
      <c r="B5162" s="2" t="str">
        <f>IFERROR(__xludf.DUMMYFUNCTION("GOOGLETRANSLATE(A5162, ""en"", ""mt"")"),"Friedrich Ratzel ħaseb x’kien hemm bżonn biex stat jgħix?")</f>
        <v>Friedrich Ratzel ħaseb x’kien hemm bżonn biex stat jgħix?</v>
      </c>
    </row>
    <row r="5163" ht="15.75" customHeight="1">
      <c r="A5163" s="2" t="s">
        <v>5163</v>
      </c>
      <c r="B5163" s="2" t="str">
        <f>IFERROR(__xludf.DUMMYFUNCTION("GOOGLETRANSLATE(A5163, ""en"", ""mt"")"),"biss ""essenzjali""")</f>
        <v>biss "essenzjali"</v>
      </c>
    </row>
    <row r="5164" ht="15.75" customHeight="1">
      <c r="A5164" s="2" t="s">
        <v>5164</v>
      </c>
      <c r="B5164" s="2" t="str">
        <f>IFERROR(__xludf.DUMMYFUNCTION("GOOGLETRANSLATE(A5164, ""en"", ""mt"")"),"priża planktonika")</f>
        <v>priża planktonika</v>
      </c>
    </row>
    <row r="5165" ht="15.75" customHeight="1">
      <c r="A5165" s="2" t="s">
        <v>5165</v>
      </c>
      <c r="B5165" s="2" t="str">
        <f>IFERROR(__xludf.DUMMYFUNCTION("GOOGLETRANSLATE(A5165, ""en"", ""mt"")"),"Dirett Diżobbidjenza Ċivili")</f>
        <v>Dirett Diżobbidjenza Ċivili</v>
      </c>
    </row>
    <row r="5166" ht="15.75" customHeight="1">
      <c r="A5166" s="2" t="s">
        <v>5166</v>
      </c>
      <c r="B5166" s="2" t="str">
        <f>IFERROR(__xludf.DUMMYFUNCTION("GOOGLETRANSLATE(A5166, ""en"", ""mt"")"),"Min mexxa l-proġett tax-Xjenza u l-Politika Ambjentali?")</f>
        <v>Min mexxa l-proġett tax-Xjenza u l-Politika Ambjentali?</v>
      </c>
    </row>
    <row r="5167" ht="15.75" customHeight="1">
      <c r="A5167" s="2" t="s">
        <v>5167</v>
      </c>
      <c r="B5167" s="2" t="str">
        <f>IFERROR(__xludf.DUMMYFUNCTION("GOOGLETRANSLATE(A5167, ""en"", ""mt"")"),"Min oriġinarjament ospita l-verżjoni sindikata ta 'min irid ikun miljunarju?")</f>
        <v>Min oriġinarjament ospita l-verżjoni sindikata ta 'min irid ikun miljunarju?</v>
      </c>
    </row>
    <row r="5168" ht="15.75" customHeight="1">
      <c r="A5168" s="2" t="s">
        <v>5168</v>
      </c>
      <c r="B5168" s="2" t="str">
        <f>IFERROR(__xludf.DUMMYFUNCTION("GOOGLETRANSLATE(A5168, ""en"", ""mt"")"),"Indjani Amerikani")</f>
        <v>Indjani Amerikani</v>
      </c>
    </row>
    <row r="5169" ht="15.75" customHeight="1">
      <c r="A5169" s="2" t="s">
        <v>5169</v>
      </c>
      <c r="B5169" s="2" t="str">
        <f>IFERROR(__xludf.DUMMYFUNCTION("GOOGLETRANSLATE(A5169, ""en"", ""mt"")"),"Biex tevita t-talbiet ta 'dota li jiswew ħafna flus")</f>
        <v>Biex tevita t-talbiet ta 'dota li jiswew ħafna flus</v>
      </c>
    </row>
    <row r="5170" ht="15.75" customHeight="1">
      <c r="A5170" s="2" t="s">
        <v>5170</v>
      </c>
      <c r="B5170" s="2" t="str">
        <f>IFERROR(__xludf.DUMMYFUNCTION("GOOGLETRANSLATE(A5170, ""en"", ""mt"")"),"X’tara Tesla waqt il-mard stramb tiegħu meta kien żgħir?")</f>
        <v>X’tara Tesla waqt il-mard stramb tiegħu meta kien żgħir?</v>
      </c>
    </row>
    <row r="5171" ht="15.75" customHeight="1">
      <c r="A5171" s="2" t="s">
        <v>5171</v>
      </c>
      <c r="B5171" s="2" t="str">
        <f>IFERROR(__xludf.DUMMYFUNCTION("GOOGLETRANSLATE(A5171, ""en"", ""mt"")"),"ewforika ħafifa")</f>
        <v>ewforika ħafifa</v>
      </c>
    </row>
    <row r="5172" ht="15.75" customHeight="1">
      <c r="A5172" s="2" t="s">
        <v>5172</v>
      </c>
      <c r="B5172" s="2" t="str">
        <f>IFERROR(__xludf.DUMMYFUNCTION("GOOGLETRANSLATE(A5172, ""en"", ""mt"")"),"Molekuli tal-klassi I MHC")</f>
        <v>Molekuli tal-klassi I MHC</v>
      </c>
    </row>
    <row r="5173" ht="15.75" customHeight="1">
      <c r="A5173" s="2" t="s">
        <v>5173</v>
      </c>
      <c r="B5173" s="2" t="str">
        <f>IFERROR(__xludf.DUMMYFUNCTION("GOOGLETRANSLATE(A5173, ""en"", ""mt"")"),"X'inhu isem ieħor għar-Rotta tal-Istat 168?")</f>
        <v>X'inhu isem ieħor għar-Rotta tal-Istat 168?</v>
      </c>
    </row>
    <row r="5174" ht="15.75" customHeight="1">
      <c r="A5174" s="2" t="s">
        <v>5174</v>
      </c>
      <c r="B5174" s="2" t="str">
        <f>IFERROR(__xludf.DUMMYFUNCTION("GOOGLETRANSLATE(A5174, ""en"", ""mt"")"),"Meta ġiet iċċensurata l-Kummissjoni Santer mill-Parlament?")</f>
        <v>Meta ġiet iċċensurata l-Kummissjoni Santer mill-Parlament?</v>
      </c>
    </row>
    <row r="5175" ht="15.75" customHeight="1">
      <c r="A5175" s="2" t="s">
        <v>5175</v>
      </c>
      <c r="B5175" s="2" t="str">
        <f>IFERROR(__xludf.DUMMYFUNCTION("GOOGLETRANSLATE(A5175, ""en"", ""mt"")"),"Möngke Khan beda kampanja militari kontra d-dinastija tal-kanzunetta Ċiniża fin-Nofsinhar taċ-Ċina. Il-forza tal-Mongolja li invadiet iċ-Ċina tan-Nofsinhar kienet ferm akbar mill-forza li bagħtu biex tinvadi l-Lvant Nofsani fl-1256. Huwa miet fl-1259 ming"&amp;"ħajr suċċessur. Kublai rritorna mill-ġlieda kontra l-kanzunetta fl-1260 meta sar jaf li ħuh, Ariq Böke, kien qed jikkontesta t-talba tiegħu għat-tron. Kublai laqqa 'Kurulai fil-Kaiping li għażel lilu Khan kbir. Kurulai rivali fil-Mongolja pproklama Ariq B"&amp;"öke kbir Khan, li beda gwerra ċivili. Kublai kien jiddependi mill-kooperazzjoni tas-suġġetti Ċiniżi tiegħu biex jiżgura li l-armata tiegħu tirċievi riżorsi abbundanti. Huwa saħħaħ il-popolarità tiegħu fost is-suġġetti tiegħu billi mmudella l-gvern tiegħu "&amp;"fuq il-burokrazija ta 'dinastiji Ċiniżi tradizzjonali u adotta l-isem tal-era Ċiniża ta' Zhongtong. Ariq Böke kien imxekkel minn provvisti inadegwati u ċediet fl-1264. It-tliet Khanates tal-Punent kollha (Golden Horde, Chagatai Khanate u Ilkhanate) saru f"&amp;"unzjonalment awtonomi, għalkemm il-ilkhans biss irrikonoxxew lil Kublai bħala l-Kostani l-kbira. Il-konflitti ċivili kienu qasmu b'mod permanenti l-imperu Mongoljan.")</f>
        <v>Möngke Khan beda kampanja militari kontra d-dinastija tal-kanzunetta Ċiniża fin-Nofsinhar taċ-Ċina. Il-forza tal-Mongolja li invadiet iċ-Ċina tan-Nofsinhar kienet ferm akbar mill-forza li bagħtu biex tinvadi l-Lvant Nofsani fl-1256. Huwa miet fl-1259 mingħajr suċċessur. Kublai rritorna mill-ġlieda kontra l-kanzunetta fl-1260 meta sar jaf li ħuh, Ariq Böke, kien qed jikkontesta t-talba tiegħu għat-tron. Kublai laqqa 'Kurulai fil-Kaiping li għażel lilu Khan kbir. Kurulai rivali fil-Mongolja pproklama Ariq Böke kbir Khan, li beda gwerra ċivili. Kublai kien jiddependi mill-kooperazzjoni tas-suġġetti Ċiniżi tiegħu biex jiżgura li l-armata tiegħu tirċievi riżorsi abbundanti. Huwa saħħaħ il-popolarità tiegħu fost is-suġġetti tiegħu billi mmudella l-gvern tiegħu fuq il-burokrazija ta 'dinastiji Ċiniżi tradizzjonali u adotta l-isem tal-era Ċiniża ta' Zhongtong. Ariq Böke kien imxekkel minn provvisti inadegwati u ċediet fl-1264. It-tliet Khanates tal-Punent kollha (Golden Horde, Chagatai Khanate u Ilkhanate) saru funzjonalment awtonomi, għalkemm il-ilkhans biss irrikonoxxew lil Kublai bħala l-Kostani l-kbira. Il-konflitti ċivili kienu qasmu b'mod permanenti l-imperu Mongoljan.</v>
      </c>
    </row>
    <row r="5176" ht="15.75" customHeight="1">
      <c r="A5176" s="2" t="s">
        <v>5176</v>
      </c>
      <c r="B5176" s="2" t="str">
        <f>IFERROR(__xludf.DUMMYFUNCTION("GOOGLETRANSLATE(A5176, ""en"", ""mt"")"),"Metro: il-bidla kollha")</f>
        <v>Metro: il-bidla kollha</v>
      </c>
    </row>
    <row r="5177" ht="15.75" customHeight="1">
      <c r="A5177" s="2" t="s">
        <v>5177</v>
      </c>
      <c r="B5177" s="2" t="str">
        <f>IFERROR(__xludf.DUMMYFUNCTION("GOOGLETRANSLATE(A5177, ""en"", ""mt"")"),"BSKYB inizjalment iċċarġja miżati ta 'abbonament addizzjonali għall-użu ta' Sky + PVR bis-servizz tagħhom; It-tneħħija tal-ħlas għall-abbonati li l-pakkett tagħhom kien jinkludi żewġ kanali premium jew aktar. Dan inbidel mill-1 ta 'Lulju 2007, u issa l-kl"&amp;"ijenti li għandhom Sky + u jissottoskrivu għal kwalunkwe pakkett ta' abbonament BSKYB jiksbu Sky + inklużi mingħajr ħlas żejjed. Klijenti li ma jissottoskrivux għall-kanali ta 'BSKYB xorta jistgħu jħallsu miżata kull xahar biex jippermettu funzjonijiet Sk"&amp;"y +. F'Jannar 2010 BSKYB waqqaf il-kaxxa Sky +, illimitat il-kaxxa tas-sema standard għal upgrade multiroom biss u beda joħroġ il-kaxxa Sky + HD bħala standard, u b'hekk tagħti lill-abbonati l-ġodda kollha l-funzjonijiet ta 'Sky +. Fi Frar 2011 BSKYB waqq"&amp;"fet il-varjant mhux HD tal-kaxxa multiroom tagħha, li toffri verżjoni iżgħar tal-kaxxa SkyHD mingħajr Sky + Funzjonalità. F’Settembru 2007, Sky nediet kampanja ta ’reklamar tat-TV ġdida mmirata lejn Sky + fuq in-nisa. Mill-31 ta 'Marzu 2008, Sky kellha 3,"&amp;"393,000 utent Sky +.")</f>
        <v>BSKYB inizjalment iċċarġja miżati ta 'abbonament addizzjonali għall-użu ta' Sky + PVR bis-servizz tagħhom; It-tneħħija tal-ħlas għall-abbonati li l-pakkett tagħhom kien jinkludi żewġ kanali premium jew aktar. Dan inbidel mill-1 ta 'Lulju 2007, u issa l-klijenti li għandhom Sky + u jissottoskrivu għal kwalunkwe pakkett ta' abbonament BSKYB jiksbu Sky + inklużi mingħajr ħlas żejjed. Klijenti li ma jissottoskrivux għall-kanali ta 'BSKYB xorta jistgħu jħallsu miżata kull xahar biex jippermettu funzjonijiet Sky +. F'Jannar 2010 BSKYB waqqaf il-kaxxa Sky +, illimitat il-kaxxa tas-sema standard għal upgrade multiroom biss u beda joħroġ il-kaxxa Sky + HD bħala standard, u b'hekk tagħti lill-abbonati l-ġodda kollha l-funzjonijiet ta 'Sky +. Fi Frar 2011 BSKYB waqqfet il-varjant mhux HD tal-kaxxa multiroom tagħha, li toffri verżjoni iżgħar tal-kaxxa SkyHD mingħajr Sky + Funzjonalità. F’Settembru 2007, Sky nediet kampanja ta ’reklamar tat-TV ġdida mmirata lejn Sky + fuq in-nisa. Mill-31 ta 'Marzu 2008, Sky kellha 3,393,000 utent Sky +.</v>
      </c>
    </row>
    <row r="5178" ht="15.75" customHeight="1">
      <c r="A5178" s="2" t="s">
        <v>5178</v>
      </c>
      <c r="B5178" s="2" t="str">
        <f>IFERROR(__xludf.DUMMYFUNCTION("GOOGLETRANSLATE(A5178, ""en"", ""mt"")"),"Dwight D. Eisenhower")</f>
        <v>Dwight D. Eisenhower</v>
      </c>
    </row>
    <row r="5179" ht="15.75" customHeight="1">
      <c r="A5179" s="2" t="s">
        <v>5179</v>
      </c>
      <c r="B5179" s="2" t="str">
        <f>IFERROR(__xludf.DUMMYFUNCTION("GOOGLETRANSLATE(A5179, ""en"", ""mt"")"),"Dynasties Ċiniżi fin-Nofsinhar")</f>
        <v>Dynasties Ċiniżi fin-Nofsinhar</v>
      </c>
    </row>
    <row r="5180" ht="15.75" customHeight="1">
      <c r="A5180" s="2" t="s">
        <v>5180</v>
      </c>
      <c r="B5180" s="2" t="str">
        <f>IFERROR(__xludf.DUMMYFUNCTION("GOOGLETRANSLATE(A5180, ""en"", ""mt"")"),"Meta twaqqfet l-UMC?")</f>
        <v>Meta twaqqfet l-UMC?</v>
      </c>
    </row>
    <row r="5181" ht="15.75" customHeight="1">
      <c r="A5181" s="2" t="s">
        <v>5181</v>
      </c>
      <c r="B5181" s="2" t="str">
        <f>IFERROR(__xludf.DUMMYFUNCTION("GOOGLETRANSLATE(A5181, ""en"", ""mt"")"),"Kemm idum il-faċċata ewlenija tul il-Ġonna ta 'Cromwell?")</f>
        <v>Kemm idum il-faċċata ewlenija tul il-Ġonna ta 'Cromwell?</v>
      </c>
    </row>
    <row r="5182" ht="15.75" customHeight="1">
      <c r="A5182" s="2" t="s">
        <v>5182</v>
      </c>
      <c r="B5182" s="2" t="str">
        <f>IFERROR(__xludf.DUMMYFUNCTION("GOOGLETRANSLATE(A5182, ""en"", ""mt"")"),"sid tal-proprjetà")</f>
        <v>sid tal-proprjetà</v>
      </c>
    </row>
    <row r="5183" ht="15.75" customHeight="1">
      <c r="A5183" s="2" t="s">
        <v>5183</v>
      </c>
      <c r="B5183" s="2" t="str">
        <f>IFERROR(__xludf.DUMMYFUNCTION("GOOGLETRANSLATE(A5183, ""en"", ""mt"")"),"It-tellieqa Dalek, li dehret l-ewwel fit-tieni serje tal-ispettaklu fl-1963, huma l-eqdem villains tat-Tabib Who. Id-Daleks huma kaleds mill-pjaneta Skaro, immutati mix-xjentist Davros u jinsabu fil-qxur tal-armatura mekkanika għall-mobilità. Il-kreaturi "&amp;"attwali jixbħu l-qarnit ma 'mħuħ kbar u ppronunzjati. Il-qxur tal-armatura tagħhom għandhom zokk wieħed, apparat simili għall-plunger li jservi l-iskop ta 'id, u arma ta' enerġija diretta. Id-dgħjufija ewlenija tagħhom hija l-għajn tagħhom; Attakki fuqhom"&amp;" bl-użu ta 'armi varji jistgħu jagħtu lil Dalek, u jagħmilha ġenn. Ir-rwol ewlieni tagħhom fil-plott tas-serje, kif jirrimarkaw ta 'spiss fil-vuċijiet metalliċi rikonoxxibbli istantanjament tagħhom, huwa li ""jeqirdu"" l-ħlejjaq kollha mhux Dalek. Huma sa"&amp;"ħansitra jattakkaw il-Lords Time fil-gwerra tal-ħin, kif muri matul il-50 anniversarju tal-ispettaklu. Huma jkomplu jkunu ""mostru"" rikurrenti fi ħdan il-franchise Doctor Who, l-aktar dehriet riċenti tagħhom jinsabu fl-episodji tal-2015 ""The Witch's Fam"&amp;"iljari"" u ""Hell Bent"". Davros kien ukoll figura rikurrenti mid-debutt tiegħu fil-Ġenesi tad-Daleks, għalkemm interpretat minn diversi atturi differenti.")</f>
        <v>It-tellieqa Dalek, li dehret l-ewwel fit-tieni serje tal-ispettaklu fl-1963, huma l-eqdem villains tat-Tabib Who. Id-Daleks huma kaleds mill-pjaneta Skaro, immutati mix-xjentist Davros u jinsabu fil-qxur tal-armatura mekkanika għall-mobilità. Il-kreaturi attwali jixbħu l-qarnit ma 'mħuħ kbar u ppronunzjati. Il-qxur tal-armatura tagħhom għandhom zokk wieħed, apparat simili għall-plunger li jservi l-iskop ta 'id, u arma ta' enerġija diretta. Id-dgħjufija ewlenija tagħhom hija l-għajn tagħhom; Attakki fuqhom bl-użu ta 'armi varji jistgħu jagħtu lil Dalek, u jagħmilha ġenn. Ir-rwol ewlieni tagħhom fil-plott tas-serje, kif jirrimarkaw ta 'spiss fil-vuċijiet metalliċi rikonoxxibbli istantanjament tagħhom, huwa li "jeqirdu" l-ħlejjaq kollha mhux Dalek. Huma saħansitra jattakkaw il-Lords Time fil-gwerra tal-ħin, kif muri matul il-50 anniversarju tal-ispettaklu. Huma jkomplu jkunu "mostru" rikurrenti fi ħdan il-franchise Doctor Who, l-aktar dehriet riċenti tagħhom jinsabu fl-episodji tal-2015 "The Witch's Familjari" u "Hell Bent". Davros kien ukoll figura rikurrenti mid-debutt tiegħu fil-Ġenesi tad-Daleks, għalkemm interpretat minn diversi atturi differenti.</v>
      </c>
    </row>
    <row r="5184" ht="15.75" customHeight="1">
      <c r="A5184" s="2" t="s">
        <v>5184</v>
      </c>
      <c r="B5184" s="2" t="str">
        <f>IFERROR(__xludf.DUMMYFUNCTION("GOOGLETRANSLATE(A5184, ""en"", ""mt"")"),"Fid-djalett Alemannic lokali, x'inhi l-forma singulari tal-ismijiet tal-gżejjer iffurmati mir-Rhine?")</f>
        <v>Fid-djalett Alemannic lokali, x'inhi l-forma singulari tal-ismijiet tal-gżejjer iffurmati mir-Rhine?</v>
      </c>
    </row>
    <row r="5185" ht="15.75" customHeight="1">
      <c r="A5185" s="2" t="s">
        <v>5185</v>
      </c>
      <c r="B5185" s="2" t="str">
        <f>IFERROR(__xludf.DUMMYFUNCTION("GOOGLETRANSLATE(A5185, ""en"", ""mt"")"),"Flimkien ma 'veteran wieħed, liema żewġ tipi oħra ta' ekwipaġġ jistgħu jiġu inklużi minflok veterani wara l-iżbark ta 'suċċess ta' Apollo 11 u 12?")</f>
        <v>Flimkien ma 'veteran wieħed, liema żewġ tipi oħra ta' ekwipaġġ jistgħu jiġu inklużi minflok veterani wara l-iżbark ta 'suċċess ta' Apollo 11 u 12?</v>
      </c>
    </row>
    <row r="5186" ht="15.75" customHeight="1">
      <c r="A5186" s="2" t="s">
        <v>5186</v>
      </c>
      <c r="B5186" s="2" t="str">
        <f>IFERROR(__xludf.DUMMYFUNCTION("GOOGLETRANSLATE(A5186, ""en"", ""mt"")"),"Fl-1992, liema persentaġġ ta 'studenti tal-Ġermanja tal-Lvant attendew skejjel privati?")</f>
        <v>Fl-1992, liema persentaġġ ta 'studenti tal-Ġermanja tal-Lvant attendew skejjel privati?</v>
      </c>
    </row>
    <row r="5187" ht="15.75" customHeight="1">
      <c r="A5187" s="2" t="s">
        <v>5187</v>
      </c>
      <c r="B5187" s="2" t="str">
        <f>IFERROR(__xludf.DUMMYFUNCTION("GOOGLETRANSLATE(A5187, ""en"", ""mt"")"),"X'għandu jkollu għalliem ta 'skola pubblika, mill-inqas?")</f>
        <v>X'għandu jkollu għalliem ta 'skola pubblika, mill-inqas?</v>
      </c>
    </row>
    <row r="5188" ht="15.75" customHeight="1">
      <c r="A5188" s="2" t="s">
        <v>5188</v>
      </c>
      <c r="B5188" s="2" t="str">
        <f>IFERROR(__xludf.DUMMYFUNCTION("GOOGLETRANSLATE(A5188, ""en"", ""mt"")"),"Nukleomorf")</f>
        <v>Nukleomorf</v>
      </c>
    </row>
    <row r="5189" ht="15.75" customHeight="1">
      <c r="A5189" s="2" t="s">
        <v>5189</v>
      </c>
      <c r="B5189" s="2" t="str">
        <f>IFERROR(__xludf.DUMMYFUNCTION("GOOGLETRANSLATE(A5189, ""en"", ""mt"")"),"Varjabbli tal-pożizzjoni klassika")</f>
        <v>Varjabbli tal-pożizzjoni klassika</v>
      </c>
    </row>
    <row r="5190" ht="15.75" customHeight="1">
      <c r="A5190" s="2" t="s">
        <v>5190</v>
      </c>
      <c r="B5190" s="2" t="str">
        <f>IFERROR(__xludf.DUMMYFUNCTION("GOOGLETRANSLATE(A5190, ""en"", ""mt"")"),"Konsum ta 'aspirazzjoni")</f>
        <v>Konsum ta 'aspirazzjoni</v>
      </c>
    </row>
    <row r="5191" ht="15.75" customHeight="1">
      <c r="A5191" s="2" t="s">
        <v>5191</v>
      </c>
      <c r="B5191" s="2" t="str">
        <f>IFERROR(__xludf.DUMMYFUNCTION("GOOGLETRANSLATE(A5191, ""en"", ""mt"")"),"1856")</f>
        <v>1856</v>
      </c>
    </row>
    <row r="5192" ht="15.75" customHeight="1">
      <c r="A5192" s="2" t="s">
        <v>5192</v>
      </c>
      <c r="B5192" s="2" t="str">
        <f>IFERROR(__xludf.DUMMYFUNCTION("GOOGLETRANSLATE(A5192, ""en"", ""mt"")"),"In-nies bi dħul aktar baxx għandhom inqas aċċess għalih?")</f>
        <v>In-nies bi dħul aktar baxx għandhom inqas aċċess għalih?</v>
      </c>
    </row>
    <row r="5193" ht="15.75" customHeight="1">
      <c r="A5193" s="2" t="s">
        <v>5193</v>
      </c>
      <c r="B5193" s="2" t="str">
        <f>IFERROR(__xludf.DUMMYFUNCTION("GOOGLETRANSLATE(A5193, ""en"", ""mt"")"),"Min-naħa l-oħra, inugwaljanza ekonomika ogħla għandha tendenza li żżid ir-rati ta 'intraprenditorija fil-livell individwali (impjieg indipendenti). Madankollu, ħafna minnu ħafna drabi huma bbażati fuq il-ħtieġa aktar milli l-opportunità. L-intraprenditori"&amp;"ja bbażata fuq il-ħtieġa hija motivata mill-bżonnijiet ta 'sopravivenza bħal dħul għall-ikel u kenn (motivazzjonijiet ""push""), filwaqt li l-intraprenditorija bbażata fuq l-opportunità hija mmexxija minn motivazzjonijiet orjentati lejn il-kisba (""pull"""&amp;") bħal vokazzjoni u aktar probabbli li tinvolvi l-insegwiment ta 'prodotti ġodda, servizzi, jew bżonnijiet tas-suq li mhumiex sottovalutati. L-impatt ekonomiku tal-ewwel tip ta 'intraprenditorjaliżmu għandu tendenza li jerġa' jqassam filwaqt li dan tal-aħ"&amp;"ħar huwa mistenni li jrawwem il-progress teknoloġiku u b'hekk għandu impatt aktar pożittiv fuq it-tkabbir ekonomiku.")</f>
        <v>Min-naħa l-oħra, inugwaljanza ekonomika ogħla għandha tendenza li żżid ir-rati ta 'intraprenditorija fil-livell individwali (impjieg indipendenti). Madankollu, ħafna minnu ħafna drabi huma bbażati fuq il-ħtieġa aktar milli l-opportunità. L-intraprenditorija bbażata fuq il-ħtieġa hija motivata mill-bżonnijiet ta 'sopravivenza bħal dħul għall-ikel u kenn (motivazzjonijiet "push"), filwaqt li l-intraprenditorija bbażata fuq l-opportunità hija mmexxija minn motivazzjonijiet orjentati lejn il-kisba ("pull") bħal vokazzjoni u aktar probabbli li tinvolvi l-insegwiment ta 'prodotti ġodda, servizzi, jew bżonnijiet tas-suq li mhumiex sottovalutati. L-impatt ekonomiku tal-ewwel tip ta 'intraprenditorjaliżmu għandu tendenza li jerġa' jqassam filwaqt li dan tal-aħħar huwa mistenni li jrawwem il-progress teknoloġiku u b'hekk għandu impatt aktar pożittiv fuq it-tkabbir ekonomiku.</v>
      </c>
    </row>
    <row r="5194" ht="15.75" customHeight="1">
      <c r="A5194" s="2" t="s">
        <v>5194</v>
      </c>
      <c r="B5194" s="2" t="str">
        <f>IFERROR(__xludf.DUMMYFUNCTION("GOOGLETRANSLATE(A5194, ""en"", ""mt"")"),"Ara l-kastig korporali tal-iskola.")</f>
        <v>Ara l-kastig korporali tal-iskola.</v>
      </c>
    </row>
    <row r="5195" ht="15.75" customHeight="1">
      <c r="A5195" s="2" t="s">
        <v>5195</v>
      </c>
      <c r="B5195" s="2" t="str">
        <f>IFERROR(__xludf.DUMMYFUNCTION("GOOGLETRANSLATE(A5195, ""en"", ""mt"")"),"jispira")</f>
        <v>jispira</v>
      </c>
    </row>
    <row r="5196" ht="15.75" customHeight="1">
      <c r="A5196" s="2" t="s">
        <v>5196</v>
      </c>
      <c r="B5196" s="2" t="str">
        <f>IFERROR(__xludf.DUMMYFUNCTION("GOOGLETRANSLATE(A5196, ""en"", ""mt"")"),"Kull ħames snin,")</f>
        <v>Kull ħames snin,</v>
      </c>
    </row>
    <row r="5197" ht="15.75" customHeight="1">
      <c r="A5197" s="2" t="s">
        <v>5197</v>
      </c>
      <c r="B5197" s="2" t="str">
        <f>IFERROR(__xludf.DUMMYFUNCTION("GOOGLETRANSLATE(A5197, ""en"", ""mt"")"),"ABC INC")</f>
        <v>ABC INC</v>
      </c>
    </row>
    <row r="5198" ht="15.75" customHeight="1">
      <c r="A5198" s="2" t="s">
        <v>5198</v>
      </c>
      <c r="B5198" s="2" t="str">
        <f>IFERROR(__xludf.DUMMYFUNCTION("GOOGLETRANSLATE(A5198, ""en"", ""mt"")"),"Kemm speċi ta 'ctenophores ma ġewx deskritti jew imsemmija għal kollox?")</f>
        <v>Kemm speċi ta 'ctenophores ma ġewx deskritti jew imsemmija għal kollox?</v>
      </c>
    </row>
    <row r="5199" ht="15.75" customHeight="1">
      <c r="A5199" s="2" t="s">
        <v>5199</v>
      </c>
      <c r="B5199" s="2" t="str">
        <f>IFERROR(__xludf.DUMMYFUNCTION("GOOGLETRANSLATE(A5199, ""en"", ""mt"")"),"Fiċ-ċiklu ta 'Rankine, f'liema stat irċieva l-fluwidu tax-xogħol fil-kondensatur?")</f>
        <v>Fiċ-ċiklu ta 'Rankine, f'liema stat irċieva l-fluwidu tax-xogħol fil-kondensatur?</v>
      </c>
    </row>
    <row r="5200" ht="15.75" customHeight="1">
      <c r="A5200" s="2" t="s">
        <v>5200</v>
      </c>
      <c r="B5200" s="2" t="str">
        <f>IFERROR(__xludf.DUMMYFUNCTION("GOOGLETRANSLATE(A5200, ""en"", ""mt"")"),"Sa meta rnexxielhom it-tribujiet Ġermaniċi l-popli Ċeltiċi?")</f>
        <v>Sa meta rnexxielhom it-tribujiet Ġermaniċi l-popli Ċeltiċi?</v>
      </c>
    </row>
    <row r="5201" ht="15.75" customHeight="1">
      <c r="A5201" s="2" t="s">
        <v>5201</v>
      </c>
      <c r="B5201" s="2" t="str">
        <f>IFERROR(__xludf.DUMMYFUNCTION("GOOGLETRANSLATE(A5201, ""en"", ""mt"")"),"Ħafna mill-irziezet fil-Provinċja tal-Kap tal-Punent fl-Afrika t'Isfel għadhom iġorru ismijiet Franċiżi. Ħafna familji, illum l-aktar l-Afrikani li jitkellmu, għandhom kunjomijiet li jindikaw l-antenati tiegħu Huguenot. Eżempji jinkludu: Blignaut, Cillier"&amp;"s, De Klerk (Le Clercq), De Villiers, Du Plessis, Du Preez (Des Pres), Du Randt (Durand), Du Toit, Duvenhage (Du VinAge), Franck, Fouche, Fourie (Fleurit) , Gervais, Giliomee (Guilliaume), Gous / Gouws (Gauch), Hugo, Jordaan (Jourdan), Joubert, Kriek, Lab"&amp;"uschagne (La Buscagne), Le Roux, Lombard, Malan, Malherbe, Marais, Maree, Minnaar (Mesnard), Nel (Nell), Naude ', Nortje (Nortier), Pienaar (Pinard), RETIEF (Retif), Rossouw (Rousseau), Taljaard (Taillard), Terblanche, Theron, Viljoen (Villion) u Visagie "&amp;"(Visage). L-industrija tal-inbid fl-Afrika t'Isfel għandha dejn sinifikanti lill-Huguenots, li wħud minnhom kellhom dwieli fi Franza, jew kienu distillaturi tal-brandi, u użaw il-ħiliet tagħhom fid-dar il-ġdida tagħhom.")</f>
        <v>Ħafna mill-irziezet fil-Provinċja tal-Kap tal-Punent fl-Afrika t'Isfel għadhom iġorru ismijiet Franċiżi. Ħafna familji, illum l-aktar l-Afrikani li jitkellmu, għandhom kunjomijiet li jindikaw l-antenati tiegħu Huguenot. Eżempji jinkludu: Blignaut, Cilliers, De Klerk (Le Clercq), De Villiers, Du Plessis, Du Preez (Des Pres), Du Randt (Durand), Du Toit, Duvenhage (Du VinAge), Franck, Fouche, Fourie (Fleurit) ,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u Visagie (Visage). L-industrija tal-inbid fl-Afrika t'Isfel għandha dejn sinifikanti lill-Huguenots, li wħud minnhom kellhom dwieli fi Franza, jew kienu distillaturi tal-brandi, u użaw il-ħiliet tagħhom fid-dar il-ġdida tagħhom.</v>
      </c>
    </row>
    <row r="5202" ht="15.75" customHeight="1">
      <c r="A5202" s="2" t="s">
        <v>5202</v>
      </c>
      <c r="B5202" s="2" t="str">
        <f>IFERROR(__xludf.DUMMYFUNCTION("GOOGLETRANSLATE(A5202, ""en"", ""mt"")"),"Li jkollok linji ta 'utilità eżistenti mmarkati tnaqqas il-probabbiltà ta' xiex?")</f>
        <v>Li jkollok linji ta 'utilità eżistenti mmarkati tnaqqas il-probabbiltà ta' xiex?</v>
      </c>
    </row>
    <row r="5203" ht="15.75" customHeight="1">
      <c r="A5203" s="2" t="s">
        <v>5203</v>
      </c>
      <c r="B5203" s="2" t="str">
        <f>IFERROR(__xludf.DUMMYFUNCTION("GOOGLETRANSLATE(A5203, ""en"", ""mt"")"),"Céloron")</f>
        <v>Céloron</v>
      </c>
    </row>
    <row r="5204" ht="15.75" customHeight="1">
      <c r="A5204" s="2" t="s">
        <v>5204</v>
      </c>
      <c r="B5204" s="2" t="str">
        <f>IFERROR(__xludf.DUMMYFUNCTION("GOOGLETRANSLATE(A5204, ""en"", ""mt"")"),"Liema mill-aħwa ta 'Temüjin ħadu r-rwol ta' mexxej maskili tal-familja?")</f>
        <v>Liema mill-aħwa ta 'Temüjin ħadu r-rwol ta' mexxej maskili tal-familja?</v>
      </c>
    </row>
    <row r="5205" ht="15.75" customHeight="1">
      <c r="A5205" s="2" t="s">
        <v>5205</v>
      </c>
      <c r="B5205" s="2" t="str">
        <f>IFERROR(__xludf.DUMMYFUNCTION("GOOGLETRANSLATE(A5205, ""en"", ""mt"")"),"3.5 biljun sena ilu")</f>
        <v>3.5 biljun sena ilu</v>
      </c>
    </row>
    <row r="5206" ht="15.75" customHeight="1">
      <c r="A5206" s="2" t="s">
        <v>5206</v>
      </c>
      <c r="B5206" s="2" t="str">
        <f>IFERROR(__xludf.DUMMYFUNCTION("GOOGLETRANSLATE(A5206, ""en"", ""mt"")"),"komunement preżenti")</f>
        <v>komunement preżenti</v>
      </c>
    </row>
    <row r="5207" ht="15.75" customHeight="1">
      <c r="A5207" s="2" t="s">
        <v>5207</v>
      </c>
      <c r="B5207" s="2" t="str">
        <f>IFERROR(__xludf.DUMMYFUNCTION("GOOGLETRANSLATE(A5207, ""en"", ""mt"")"),"Tesla serviet bħala viċi president tal-Istitut Amerikan tal-Inġiniera Elettriċi, il-prekursur (flimkien mal-Istitut tal-Inġiniera tar-Radju) tal-IEEE tal-ġurnata moderna, mill-1892 sal-1894.")</f>
        <v>Tesla serviet bħala viċi president tal-Istitut Amerikan tal-Inġiniera Elettriċi, il-prekursur (flimkien mal-Istitut tal-Inġiniera tar-Radju) tal-IEEE tal-ġurnata moderna, mill-1892 sal-1894.</v>
      </c>
    </row>
    <row r="5208" ht="15.75" customHeight="1">
      <c r="A5208" s="2" t="s">
        <v>5208</v>
      </c>
      <c r="B5208" s="2" t="str">
        <f>IFERROR(__xludf.DUMMYFUNCTION("GOOGLETRANSLATE(A5208, ""en"", ""mt"")"),"Liema ċiklu jibda ma 'Rubisco?")</f>
        <v>Liema ċiklu jibda ma 'Rubisco?</v>
      </c>
    </row>
    <row r="5209" ht="15.75" customHeight="1">
      <c r="A5209" s="2" t="s">
        <v>5209</v>
      </c>
      <c r="B5209" s="2" t="str">
        <f>IFERROR(__xludf.DUMMYFUNCTION("GOOGLETRANSLATE(A5209, ""en"", ""mt"")"),"Fl-1932 għal xiex inbidel il-kejl tar-Renu?")</f>
        <v>Fl-1932 għal xiex inbidel il-kejl tar-Renu?</v>
      </c>
    </row>
    <row r="5210" ht="15.75" customHeight="1">
      <c r="A5210" s="2" t="s">
        <v>5210</v>
      </c>
      <c r="B5210" s="2" t="str">
        <f>IFERROR(__xludf.DUMMYFUNCTION("GOOGLETRANSLATE(A5210, ""en"", ""mt"")"),"Iżżid il-prezzijiet tal-produtturi lokali b'20-25%")</f>
        <v>Iżżid il-prezzijiet tal-produtturi lokali b'20-25%</v>
      </c>
    </row>
    <row r="5211" ht="15.75" customHeight="1">
      <c r="A5211" s="2" t="s">
        <v>5211</v>
      </c>
      <c r="B5211" s="2" t="str">
        <f>IFERROR(__xludf.DUMMYFUNCTION("GOOGLETRANSLATE(A5211, ""en"", ""mt"")"),"Ministri")</f>
        <v>Ministri</v>
      </c>
    </row>
    <row r="5212" ht="15.75" customHeight="1">
      <c r="A5212" s="2" t="s">
        <v>5212</v>
      </c>
      <c r="B5212" s="2" t="str">
        <f>IFERROR(__xludf.DUMMYFUNCTION("GOOGLETRANSLATE(A5212, ""en"", ""mt"")"),"jinħall")</f>
        <v>jinħall</v>
      </c>
    </row>
    <row r="5213" ht="15.75" customHeight="1">
      <c r="A5213" s="2" t="s">
        <v>5213</v>
      </c>
      <c r="B5213" s="2" t="str">
        <f>IFERROR(__xludf.DUMMYFUNCTION("GOOGLETRANSLATE(A5213, ""en"", ""mt"")"),"Fl-2014, l-ekonomisti bl-aġenzija ta 'klassifikazzjoni Standard &amp; Poor ikkonkludew li d-disparità li twessa' bejn iċ-ċittadini l-aktar sinjuri ta 'l-Istati Uniti u l-bqija tan-nazzjon naqqsu l-irkupru tagħha mir-riċessjoni 2008-2009 u għamluha aktar suxxe"&amp;"ttibbli għal boom-and-bust ċikli. Biex tirrimedja parzjalment id-distakk tal-ġid u t-tkabbir bil-mod li jirriżulta, S&amp;P irrakkomanda li jiżdied l-aċċess għall-edukazzjoni. Huwa stma li jekk il-ħaddiem medju tal-Istati Uniti jkun temm sena oħra ta 'skola, "&amp;"iżid tkabbir ta' $ 105 biljun addizzjonali għall-ekonomija tal-pajjiż fuq ħames snin.")</f>
        <v>Fl-2014, l-ekonomisti bl-aġenzija ta 'klassifikazzjoni Standard &amp; Poor ikkonkludew li d-disparità li twessa' bejn iċ-ċittadini l-aktar sinjuri ta 'l-Istati Uniti u l-bqija tan-nazzjon naqqsu l-irkupru tagħha mir-riċessjoni 2008-2009 u għamluha aktar suxxettibbli għal boom-and-bust ċikli. Biex tirrimedja parzjalment id-distakk tal-ġid u t-tkabbir bil-mod li jirriżulta, S&amp;P irrakkomanda li jiżdied l-aċċess għall-edukazzjoni. Huwa stma li jekk il-ħaddiem medju tal-Istati Uniti jkun temm sena oħra ta 'skola, iżid tkabbir ta' $ 105 biljun addizzjonali għall-ekonomija tal-pajjiż fuq ħames snin.</v>
      </c>
    </row>
    <row r="5214" ht="15.75" customHeight="1">
      <c r="A5214" s="2" t="s">
        <v>5214</v>
      </c>
      <c r="B5214" s="2" t="str">
        <f>IFERROR(__xludf.DUMMYFUNCTION("GOOGLETRANSLATE(A5214, ""en"", ""mt"")"),"Majjistral")</f>
        <v>Majjistral</v>
      </c>
    </row>
    <row r="5215" ht="15.75" customHeight="1">
      <c r="A5215" s="2" t="s">
        <v>5215</v>
      </c>
      <c r="B5215" s="2" t="str">
        <f>IFERROR(__xludf.DUMMYFUNCTION("GOOGLETRANSLATE(A5215, ""en"", ""mt"")"),"April 1887")</f>
        <v>April 1887</v>
      </c>
    </row>
    <row r="5216" ht="15.75" customHeight="1">
      <c r="A5216" s="2" t="s">
        <v>5216</v>
      </c>
      <c r="B5216" s="2" t="str">
        <f>IFERROR(__xludf.DUMMYFUNCTION("GOOGLETRANSLATE(A5216, ""en"", ""mt"")"),"Il-bieb fuq id-disinn tal-blokka II eventwalment ġie sostitwit b'liema tip ta 'mudell?")</f>
        <v>Il-bieb fuq id-disinn tal-blokka II eventwalment ġie sostitwit b'liema tip ta 'mudell?</v>
      </c>
    </row>
    <row r="5217" ht="15.75" customHeight="1">
      <c r="A5217" s="2" t="s">
        <v>5217</v>
      </c>
      <c r="B5217" s="2" t="str">
        <f>IFERROR(__xludf.DUMMYFUNCTION("GOOGLETRANSLATE(A5217, ""en"", ""mt"")"),"Fresno huwa servut mir-Rotta tal-Istat 99, l-awtostrada ewlenija tat-tramuntana / nofsinhar li tgħaqqad iċ-ċentri ewlenin tal-popolazzjoni tal-Wied Ċentrali ta 'Kalifornja. Ir-Rotta tal-Istat 168, is-Sierra Freeway, titlaq lejn il-lvant lejn il-belt ta ’C"&amp;"lovis u l-Lag Huntington. Ir-Rotta tal-Istat 41 (Yosemite Freeway / Eisenhower Freeway) tidħol fi Fresno minn Atascadero fin-nofsinhar, u mbagħad titlaq lejn it-tramuntana lejn Yosemite. Ir-Rotta tal-Istat 180 (Kings Canyon Freeway) ġejja mill-Punent perm"&amp;"ezz ta ’Mendota, u mill-Lvant fil-Park Nazzjonali ta’ Kings Canyon sejjer lejn il-belt ta ’Reedley.")</f>
        <v>Fresno huwa servut mir-Rotta tal-Istat 99, l-awtostrada ewlenija tat-tramuntana / nofsinhar li tgħaqqad iċ-ċentri ewlenin tal-popolazzjoni tal-Wied Ċentrali ta 'Kalifornja. Ir-Rotta tal-Istat 168, is-Sierra Freeway, titlaq lejn il-lvant lejn il-belt ta ’Clovis u l-Lag Huntington. Ir-Rotta tal-Istat 41 (Yosemite Freeway / Eisenhower Freeway) tidħol fi Fresno minn Atascadero fin-nofsinhar, u mbagħad titlaq lejn it-tramuntana lejn Yosemite. Ir-Rotta tal-Istat 180 (Kings Canyon Freeway) ġejja mill-Punent permezz ta ’Mendota, u mill-Lvant fil-Park Nazzjonali ta’ Kings Canyon sejjer lejn il-belt ta ’Reedley.</v>
      </c>
    </row>
    <row r="5218" ht="15.75" customHeight="1">
      <c r="A5218" s="2" t="s">
        <v>5218</v>
      </c>
      <c r="B5218" s="2" t="str">
        <f>IFERROR(__xludf.DUMMYFUNCTION("GOOGLETRANSLATE(A5218, ""en"", ""mt"")"),"Qlib tal-pakketti")</f>
        <v>Qlib tal-pakketti</v>
      </c>
    </row>
    <row r="5219" ht="15.75" customHeight="1">
      <c r="A5219" s="2" t="s">
        <v>5219</v>
      </c>
      <c r="B5219" s="2" t="str">
        <f>IFERROR(__xludf.DUMMYFUNCTION("GOOGLETRANSLATE(A5219, ""en"", ""mt"")"),"Socal")</f>
        <v>Socal</v>
      </c>
    </row>
    <row r="5220" ht="15.75" customHeight="1">
      <c r="A5220" s="2" t="s">
        <v>5220</v>
      </c>
      <c r="B5220" s="2" t="str">
        <f>IFERROR(__xludf.DUMMYFUNCTION("GOOGLETRANSLATE(A5220, ""en"", ""mt"")"),"k")</f>
        <v>k</v>
      </c>
    </row>
    <row r="5221" ht="15.75" customHeight="1">
      <c r="A5221" s="2" t="s">
        <v>5221</v>
      </c>
      <c r="B5221" s="2" t="str">
        <f>IFERROR(__xludf.DUMMYFUNCTION("GOOGLETRANSLATE(A5221, ""en"", ""mt"")"),"X'inhu l-Ġnien Sassonu bil-Pollakk?")</f>
        <v>X'inhu l-Ġnien Sassonu bil-Pollakk?</v>
      </c>
    </row>
    <row r="5222" ht="15.75" customHeight="1">
      <c r="A5222" s="2" t="s">
        <v>5222</v>
      </c>
      <c r="B5222" s="2" t="str">
        <f>IFERROR(__xludf.DUMMYFUNCTION("GOOGLETRANSLATE(A5222, ""en"", ""mt"")"),"kondensatur separat")</f>
        <v>kondensatur separat</v>
      </c>
    </row>
    <row r="5223" ht="15.75" customHeight="1">
      <c r="A5223" s="2" t="s">
        <v>5223</v>
      </c>
      <c r="B5223" s="2" t="str">
        <f>IFERROR(__xludf.DUMMYFUNCTION("GOOGLETRANSLATE(A5223, ""en"", ""mt"")"),"Movimenti Iżlamisti bħall-Fratellanza Musulmana, ""huma magħrufa sew għall-għoti ta 'kenn, assistenza edukattiva, kliniċi mediċi b'xejn jew bi prezz baxx, assistenza ta' akkomodazzjoni lil studenti minn barra mill-belt, gruppi konsultattivi ta 'studenti, "&amp;"faċilitazzjoni ta' ċerimonji rħas taż-żwieġ tal-massa biex tevita dota li tiswa ħafna flus Talbiet, assistenza legali, faċilitajiet sportivi, u gruppi tan-nisa. "" Dan kollu jikkompara b'mod favorevoli ma 'gvernijiet inkompetenti, ineffiċjenti, jew negliċ"&amp;"i li l-impenn tagħhom għall-ġustizzja soċjali huwa limitat għar-retorika.")</f>
        <v>Movimenti Iżlamisti bħall-Fratellanza Musulmana, "huma magħrufa sew għall-għoti ta 'kenn, assistenza edukattiva, kliniċi mediċi b'xejn jew bi prezz baxx, assistenza ta' akkomodazzjoni lil studenti minn barra mill-belt, gruppi konsultattivi ta 'studenti, faċilitazzjoni ta' ċerimonji rħas taż-żwieġ tal-massa biex tevita dota li tiswa ħafna flus Talbiet, assistenza legali, faċilitajiet sportivi, u gruppi tan-nisa. " Dan kollu jikkompara b'mod favorevoli ma 'gvernijiet inkompetenti, ineffiċjenti, jew negliċi li l-impenn tagħhom għall-ġustizzja soċjali huwa limitat għar-retorika.</v>
      </c>
    </row>
    <row r="5224" ht="15.75" customHeight="1">
      <c r="A5224" s="2" t="s">
        <v>5224</v>
      </c>
      <c r="B5224" s="2" t="str">
        <f>IFERROR(__xludf.DUMMYFUNCTION("GOOGLETRANSLATE(A5224, ""en"", ""mt"")"),"Liema hija waħda mill-karatteristiċi tal-park li jinsabu fit-Tramuntana ta 'Fresno?")</f>
        <v>Liema hija waħda mill-karatteristiċi tal-park li jinsabu fit-Tramuntana ta 'Fresno?</v>
      </c>
    </row>
    <row r="5225" ht="15.75" customHeight="1">
      <c r="A5225" s="2" t="s">
        <v>5225</v>
      </c>
      <c r="B5225" s="2" t="str">
        <f>IFERROR(__xludf.DUMMYFUNCTION("GOOGLETRANSLATE(A5225, ""en"", ""mt"")"),"Liema Californio jinsab fil-parti ta 'fuq?")</f>
        <v>Liema Californio jinsab fil-parti ta 'fuq?</v>
      </c>
    </row>
    <row r="5226" ht="15.75" customHeight="1">
      <c r="A5226" s="2" t="s">
        <v>5226</v>
      </c>
      <c r="B5226" s="2" t="str">
        <f>IFERROR(__xludf.DUMMYFUNCTION("GOOGLETRANSLATE(A5226, ""en"", ""mt"")"),"X’semmew in-NASA s-serje li qed tfittex sa 30 titjira oħra lejn l-orbita tad-Dinja?")</f>
        <v>X’semmew in-NASA s-serje li qed tfittex sa 30 titjira oħra lejn l-orbita tad-Dinja?</v>
      </c>
    </row>
    <row r="5227" ht="15.75" customHeight="1">
      <c r="A5227" s="2" t="s">
        <v>5227</v>
      </c>
      <c r="B5227" s="2" t="str">
        <f>IFERROR(__xludf.DUMMYFUNCTION("GOOGLETRANSLATE(A5227, ""en"", ""mt"")"),"L-ispirtu ta 'protesta għandu jinżamm it-triq kollha")</f>
        <v>L-ispirtu ta 'protesta għandu jinżamm it-triq kollha</v>
      </c>
    </row>
    <row r="5228" ht="15.75" customHeight="1">
      <c r="A5228" s="2" t="s">
        <v>5228</v>
      </c>
      <c r="B5228" s="2" t="str">
        <f>IFERROR(__xludf.DUMMYFUNCTION("GOOGLETRANSLATE(A5228, ""en"", ""mt"")"),"X'sejħet il-Jum tal-Midja għas-Super Bowl 50?")</f>
        <v>X'sejħet il-Jum tal-Midja għas-Super Bowl 50?</v>
      </c>
    </row>
    <row r="5229" ht="15.75" customHeight="1">
      <c r="A5229" s="2" t="s">
        <v>5229</v>
      </c>
      <c r="B5229" s="2" t="str">
        <f>IFERROR(__xludf.DUMMYFUNCTION("GOOGLETRANSLATE(A5229, ""en"", ""mt"")"),"L-umoriżmu huwa parti mill-klassi għal liema tip ta 'għalliem?")</f>
        <v>L-umoriżmu huwa parti mill-klassi għal liema tip ta 'għalliem?</v>
      </c>
    </row>
    <row r="5230" ht="15.75" customHeight="1">
      <c r="A5230" s="2" t="s">
        <v>5230</v>
      </c>
      <c r="B5230" s="2" t="str">
        <f>IFERROR(__xludf.DUMMYFUNCTION("GOOGLETRANSLATE(A5230, ""en"", ""mt"")"),"Id-diżubbidjenza ċivili hija ġġustifikata biss kontra entitajiet governattivi.")</f>
        <v>Id-diżubbidjenza ċivili hija ġġustifikata biss kontra entitajiet governattivi.</v>
      </c>
    </row>
    <row r="5231" ht="15.75" customHeight="1">
      <c r="A5231" s="2" t="s">
        <v>5231</v>
      </c>
      <c r="B5231" s="2" t="str">
        <f>IFERROR(__xludf.DUMMYFUNCTION("GOOGLETRANSLATE(A5231, ""en"", ""mt"")"),"Mitt kulleġġ u universitajiet")</f>
        <v>Mitt kulleġġ u universitajiet</v>
      </c>
    </row>
    <row r="5232" ht="15.75" customHeight="1">
      <c r="A5232" s="2" t="s">
        <v>5232</v>
      </c>
      <c r="B5232" s="2" t="str">
        <f>IFERROR(__xludf.DUMMYFUNCTION("GOOGLETRANSLATE(A5232, ""en"", ""mt"")"),"Rakep Patel")</f>
        <v>Rakep Patel</v>
      </c>
    </row>
    <row r="5233" ht="15.75" customHeight="1">
      <c r="A5233" s="2" t="s">
        <v>5233</v>
      </c>
      <c r="B5233" s="2" t="str">
        <f>IFERROR(__xludf.DUMMYFUNCTION("GOOGLETRANSLATE(A5233, ""en"", ""mt"")"),"$ 45,000")</f>
        <v>$ 45,000</v>
      </c>
    </row>
    <row r="5234" ht="15.75" customHeight="1">
      <c r="A5234" s="2" t="s">
        <v>5234</v>
      </c>
      <c r="B5234" s="2" t="str">
        <f>IFERROR(__xludf.DUMMYFUNCTION("GOOGLETRANSLATE(A5234, ""en"", ""mt"")"),"Il-Mużew Nazzjonali ta 'Varsavja huwa wieħed mill-iktar?")</f>
        <v>Il-Mużew Nazzjonali ta 'Varsavja huwa wieħed mill-iktar?</v>
      </c>
    </row>
    <row r="5235" ht="15.75" customHeight="1">
      <c r="A5235" s="2" t="s">
        <v>5235</v>
      </c>
      <c r="B5235" s="2" t="str">
        <f>IFERROR(__xludf.DUMMYFUNCTION("GOOGLETRANSLATE(A5235, ""en"", ""mt"")"),"għaxra sa ħmistax")</f>
        <v>għaxra sa ħmistax</v>
      </c>
    </row>
    <row r="5236" ht="15.75" customHeight="1">
      <c r="A5236" s="2" t="s">
        <v>5236</v>
      </c>
      <c r="B5236" s="2" t="str">
        <f>IFERROR(__xludf.DUMMYFUNCTION("GOOGLETRANSLATE(A5236, ""en"", ""mt"")"),"X’kienu użaw dawn il-kjeriċi Luterani bħala fjuwil biex isaħħu l-politiki tan-Nazi?")</f>
        <v>X’kienu użaw dawn il-kjeriċi Luterani bħala fjuwil biex isaħħu l-politiki tan-Nazi?</v>
      </c>
    </row>
    <row r="5237" ht="15.75" customHeight="1">
      <c r="A5237" s="2" t="s">
        <v>5237</v>
      </c>
      <c r="B5237" s="2" t="str">
        <f>IFERROR(__xludf.DUMMYFUNCTION("GOOGLETRANSLATE(A5237, ""en"", ""mt"")"),"Luther x’sejjaħ il-waqfa tiegħu f’kastell ta ’Wartburg?")</f>
        <v>Luther x’sejjaħ il-waqfa tiegħu f’kastell ta ’Wartburg?</v>
      </c>
    </row>
    <row r="5238" ht="15.75" customHeight="1">
      <c r="A5238" s="2" t="s">
        <v>5238</v>
      </c>
      <c r="B5238" s="2" t="str">
        <f>IFERROR(__xludf.DUMMYFUNCTION("GOOGLETRANSLATE(A5238, ""en"", ""mt"")"),"Fejn marru l-iskarikar mill-glaċieri fl-Ewropa fl-aħħar era tas-silġ?")</f>
        <v>Fejn marru l-iskarikar mill-glaċieri fl-Ewropa fl-aħħar era tas-silġ?</v>
      </c>
    </row>
    <row r="5239" ht="15.75" customHeight="1">
      <c r="A5239" s="2" t="s">
        <v>5239</v>
      </c>
      <c r="B5239" s="2" t="str">
        <f>IFERROR(__xludf.DUMMYFUNCTION("GOOGLETRANSLATE(A5239, ""en"", ""mt"")"),"Klima subtropikali umda")</f>
        <v>Klima subtropikali umda</v>
      </c>
    </row>
    <row r="5240" ht="15.75" customHeight="1">
      <c r="A5240" s="2" t="s">
        <v>5240</v>
      </c>
      <c r="B5240" s="2" t="str">
        <f>IFERROR(__xludf.DUMMYFUNCTION("GOOGLETRANSLATE(A5240, ""en"", ""mt"")"),"Anorthite minerali feldspar b'ħafna kalċju,")</f>
        <v>Anorthite minerali feldspar b'ħafna kalċju,</v>
      </c>
    </row>
    <row r="5241" ht="15.75" customHeight="1">
      <c r="A5241" s="2" t="s">
        <v>5241</v>
      </c>
      <c r="B5241" s="2" t="str">
        <f>IFERROR(__xludf.DUMMYFUNCTION("GOOGLETRANSLATE(A5241, ""en"", ""mt"")"),"Tmiem oppost minn ħalq")</f>
        <v>Tmiem oppost minn ħalq</v>
      </c>
    </row>
    <row r="5242" ht="15.75" customHeight="1">
      <c r="A5242" s="2" t="s">
        <v>5242</v>
      </c>
      <c r="B5242" s="2" t="str">
        <f>IFERROR(__xludf.DUMMYFUNCTION("GOOGLETRANSLATE(A5242, ""en"", ""mt"")"),"Kemm nies jistgħu jżommu l-kapsula tal-merkurju?")</f>
        <v>Kemm nies jistgħu jżommu l-kapsula tal-merkurju?</v>
      </c>
    </row>
    <row r="5243" ht="15.75" customHeight="1">
      <c r="A5243" s="2" t="s">
        <v>5243</v>
      </c>
      <c r="B5243" s="2" t="str">
        <f>IFERROR(__xludf.DUMMYFUNCTION("GOOGLETRANSLATE(A5243, ""en"", ""mt"")"),"In-nisel tal-kloroplast aħdar")</f>
        <v>In-nisel tal-kloroplast aħdar</v>
      </c>
    </row>
    <row r="5244" ht="15.75" customHeight="1">
      <c r="A5244" s="2" t="s">
        <v>5244</v>
      </c>
      <c r="B5244" s="2" t="str">
        <f>IFERROR(__xludf.DUMMYFUNCTION("GOOGLETRANSLATE(A5244, ""en"", ""mt"")"),"Għaliex Tesla riedet fondi minn Morgan?")</f>
        <v>Għaliex Tesla riedet fondi minn Morgan?</v>
      </c>
    </row>
    <row r="5245" ht="15.75" customHeight="1">
      <c r="A5245" s="2" t="s">
        <v>5245</v>
      </c>
      <c r="B5245" s="2" t="str">
        <f>IFERROR(__xludf.DUMMYFUNCTION("GOOGLETRANSLATE(A5245, ""en"", ""mt"")"),"Aktar tard fl-2016")</f>
        <v>Aktar tard fl-2016</v>
      </c>
    </row>
    <row r="5246" ht="15.75" customHeight="1">
      <c r="A5246" s="2" t="s">
        <v>5246</v>
      </c>
      <c r="B5246" s="2" t="str">
        <f>IFERROR(__xludf.DUMMYFUNCTION("GOOGLETRANSLATE(A5246, ""en"", ""mt"")"),"Għawwiema iżgħar u aktar dgħajfa bħal rotifers u molluski u larva tal-krustaċji")</f>
        <v>Għawwiema iżgħar u aktar dgħajfa bħal rotifers u molluski u larva tal-krustaċji</v>
      </c>
    </row>
    <row r="5247" ht="15.75" customHeight="1">
      <c r="A5247" s="2" t="s">
        <v>5247</v>
      </c>
      <c r="B5247" s="2" t="str">
        <f>IFERROR(__xludf.DUMMYFUNCTION("GOOGLETRANSLATE(A5247, ""en"", ""mt"")"),"X'tip ta 'kunjomijiet hija preżenza qawwija tagħhom?")</f>
        <v>X'tip ta 'kunjomijiet hija preżenza qawwija tagħhom?</v>
      </c>
    </row>
    <row r="5248" ht="15.75" customHeight="1">
      <c r="A5248" s="2" t="s">
        <v>5248</v>
      </c>
      <c r="B5248" s="2" t="str">
        <f>IFERROR(__xludf.DUMMYFUNCTION("GOOGLETRANSLATE(A5248, ""en"", ""mt"")"),"Liema azzjonijiet mill-istituzzjonijiet tal-UE jistgħu jkunu soġġetti għal reviżjoni ġudizzjarja?")</f>
        <v>Liema azzjonijiet mill-istituzzjonijiet tal-UE jistgħu jkunu soġġetti għal reviżjoni ġudizzjarja?</v>
      </c>
    </row>
    <row r="5249" ht="15.75" customHeight="1">
      <c r="A5249" s="2" t="s">
        <v>5249</v>
      </c>
      <c r="B5249" s="2" t="str">
        <f>IFERROR(__xludf.DUMMYFUNCTION("GOOGLETRANSLATE(A5249, ""en"", ""mt"")"),"Fejn hu mitkellem l-Ingliż?")</f>
        <v>Fejn hu mitkellem l-Ingliż?</v>
      </c>
    </row>
    <row r="5250" ht="15.75" customHeight="1">
      <c r="A5250" s="2" t="s">
        <v>5250</v>
      </c>
      <c r="B5250" s="2" t="str">
        <f>IFERROR(__xludf.DUMMYFUNCTION("GOOGLETRANSLATE(A5250, ""en"", ""mt"")"),"X'inhi tradizzjoni waħda fi ħdan il-Knisja Nisranija?")</f>
        <v>X'inhi tradizzjoni waħda fi ħdan il-Knisja Nisranija?</v>
      </c>
    </row>
    <row r="5251" ht="15.75" customHeight="1">
      <c r="A5251" s="2" t="s">
        <v>5251</v>
      </c>
      <c r="B5251" s="2" t="str">
        <f>IFERROR(__xludf.DUMMYFUNCTION("GOOGLETRANSLATE(A5251, ""en"", ""mt"")"),"1285")</f>
        <v>1285</v>
      </c>
    </row>
    <row r="5252" ht="15.75" customHeight="1">
      <c r="A5252" s="2" t="s">
        <v>5252</v>
      </c>
      <c r="B5252" s="2" t="str">
        <f>IFERROR(__xludf.DUMMYFUNCTION("GOOGLETRANSLATE(A5252, ""en"", ""mt"")"),"1920s")</f>
        <v>1920s</v>
      </c>
    </row>
    <row r="5253" ht="15.75" customHeight="1">
      <c r="A5253" s="2" t="s">
        <v>5253</v>
      </c>
      <c r="B5253" s="2" t="str">
        <f>IFERROR(__xludf.DUMMYFUNCTION("GOOGLETRANSLATE(A5253, ""en"", ""mt"")"),"Staġun 1963–64")</f>
        <v>Staġun 1963–64</v>
      </c>
    </row>
    <row r="5254" ht="15.75" customHeight="1">
      <c r="A5254" s="2" t="s">
        <v>5254</v>
      </c>
      <c r="B5254" s="2" t="str">
        <f>IFERROR(__xludf.DUMMYFUNCTION("GOOGLETRANSLATE(A5254, ""en"", ""mt"")"),"It-triq lura lejn Samarkand")</f>
        <v>It-triq lura lejn Samarkand</v>
      </c>
    </row>
    <row r="5255" ht="15.75" customHeight="1">
      <c r="A5255" s="2" t="s">
        <v>5255</v>
      </c>
      <c r="B5255" s="2" t="str">
        <f>IFERROR(__xludf.DUMMYFUNCTION("GOOGLETRANSLATE(A5255, ""en"", ""mt"")"),"omologu")</f>
        <v>omologu</v>
      </c>
    </row>
    <row r="5256" ht="15.75" customHeight="1">
      <c r="A5256" s="2" t="s">
        <v>5256</v>
      </c>
      <c r="B5256" s="2" t="str">
        <f>IFERROR(__xludf.DUMMYFUNCTION("GOOGLETRANSLATE(A5256, ""en"", ""mt"")"),"Fl-20 ta 'April, Kennedy bagħat nota lill-Viċi President Lyndon B. Johnson, u talab lil Johnson biex jeżamina l-istatus tal-programm spazjali tal-Amerika, u fi programmi li jistgħu joffru n-NASA l-opportunità li tlaħħaq. Johnson wieġeb madwar ġimgħa wara,"&amp;" u kkonkluda li ""la qed nagħmlu sforz massimu u lanqas niksbu riżultati meħtieġa jekk dan il-pajjiż għandu jilħaq pożizzjoni ta 'tmexxija."" Il-memorandum tiegħu kkonkluda li l-inżul tal-qamar mgħammar kien 'il bogħod biżżejjed fil-futur li x'aktarx kien"&amp;" l-Istati Uniti l-ewwel.")</f>
        <v>Fl-20 ta 'April, Kennedy bagħat nota lill-Viċi President Lyndon B. Johnson, u talab lil Johnson biex jeżamina l-istatus tal-programm spazjali tal-Amerika, u fi programmi li jistgħu joffru n-NASA l-opportunità li tlaħħaq. Johnson wieġeb madwar ġimgħa wara, u kkonkluda li "la qed nagħmlu sforz massimu u lanqas niksbu riżultati meħtieġa jekk dan il-pajjiż għandu jilħaq pożizzjoni ta 'tmexxija." Il-memorandum tiegħu kkonkluda li l-inżul tal-qamar mgħammar kien 'il bogħod biżżejjed fil-futur li x'aktarx kien l-Istati Uniti l-ewwel.</v>
      </c>
    </row>
    <row r="5257" ht="15.75" customHeight="1">
      <c r="A5257" s="2" t="s">
        <v>5257</v>
      </c>
      <c r="B5257" s="2" t="str">
        <f>IFERROR(__xludf.DUMMYFUNCTION("GOOGLETRANSLATE(A5257, ""en"", ""mt"")"),"Tliet azzjonijiet offensivi ewlenin")</f>
        <v>Tliet azzjonijiet offensivi ewlenin</v>
      </c>
    </row>
    <row r="5258" ht="15.75" customHeight="1">
      <c r="A5258" s="2" t="s">
        <v>5258</v>
      </c>
      <c r="B5258" s="2" t="str">
        <f>IFERROR(__xludf.DUMMYFUNCTION("GOOGLETRANSLATE(A5258, ""en"", ""mt"")"),"żieda fis-soluzzjoni u d-deforestazzjoni")</f>
        <v>żieda fis-soluzzjoni u d-deforestazzjoni</v>
      </c>
    </row>
    <row r="5259" ht="15.75" customHeight="1">
      <c r="A5259" s="2" t="s">
        <v>5259</v>
      </c>
      <c r="B5259" s="2" t="str">
        <f>IFERROR(__xludf.DUMMYFUNCTION("GOOGLETRANSLATE(A5259, ""en"", ""mt"")"),"Trasport, Drenaġġ, Skart Perikoluż u Ilma")</f>
        <v>Trasport, Drenaġġ, Skart Perikoluż u Ilma</v>
      </c>
    </row>
    <row r="5260" ht="15.75" customHeight="1">
      <c r="A5260" s="2" t="s">
        <v>5260</v>
      </c>
      <c r="B5260" s="2" t="str">
        <f>IFERROR(__xludf.DUMMYFUNCTION("GOOGLETRANSLATE(A5260, ""en"", ""mt"")"),"Wara li polipeptide tal-kloroplast huwa sintetizzat fuq ribosoma fiċ-ċitosol, enzima speċifika għall-proteini tal-kloroplast fosforilati, jew iżżid grupp ta 'fosfat ma' ħafna (iżda mhux kollha) minnhom fis-sekwenzi ta 'transitu tagħhom. Il-fosforilazzjoni"&amp;" tgħin ħafna proteini jorbtu l-polipeptide, u jżommuha milli tiwi qabel iż-żmien. Dan huwa importanti għaliex jipprevjeni l-proteini tal-kloroplast milli jassumu l-forma attiva tagħhom u jwettqu l-funzjonijiet tal-kloroplast tagħhom fil-post ħażin - iċ-ċi"&amp;"tosol. Fl-istess ħin, huma għandhom iżommu forma biżżejjed sabiex ikunu jistgħu jiġu rikonoxxuti mill-kloroplast. Dawn il-proteini jgħinu wkoll lill-polypeptide jiġi importat fil-kloroplast.")</f>
        <v>Wara li polipeptide tal-kloroplast huwa sintetizzat fuq ribosoma fiċ-ċitosol, enzima speċifika għall-proteini tal-kloroplast fosforilati, jew iżżid grupp ta 'fosfat ma' ħafna (iżda mhux kollha) minnhom fis-sekwenzi ta 'transitu tagħhom. Il-fosforilazzjoni tgħin ħafna proteini jorbtu l-polipeptide, u jżommuha milli tiwi qabel iż-żmien. Dan huwa importanti għaliex jipprevjeni l-proteini tal-kloroplast milli jassumu l-forma attiva tagħhom u jwettqu l-funzjonijiet tal-kloroplast tagħhom fil-post ħażin - iċ-ċitosol. Fl-istess ħin, huma għandhom iżommu forma biżżejjed sabiex ikunu jistgħu jiġu rikonoxxuti mill-kloroplast. Dawn il-proteini jgħinu wkoll lill-polypeptide jiġi importat fil-kloroplast.</v>
      </c>
    </row>
    <row r="5261" ht="15.75" customHeight="1">
      <c r="A5261" s="2" t="s">
        <v>5261</v>
      </c>
      <c r="B5261" s="2" t="str">
        <f>IFERROR(__xludf.DUMMYFUNCTION("GOOGLETRANSLATE(A5261, ""en"", ""mt"")"),"Iva jew Le")</f>
        <v>Iva jew Le</v>
      </c>
    </row>
    <row r="5262" ht="15.75" customHeight="1">
      <c r="A5262" s="2" t="s">
        <v>5262</v>
      </c>
      <c r="B5262" s="2" t="str">
        <f>IFERROR(__xludf.DUMMYFUNCTION("GOOGLETRANSLATE(A5262, ""en"", ""mt"")"),"F'din l-aħħar konnessjoni, l-isem jista 'jissuġġerixxi l-inferenza derogatorja ta' qima superstizzjuża; Il-fancy popolari ddeċidiet li Huguon, il-bieb tar-Re Hugo, kien haunted mill-fatat ta 'Le Roi Huguet (meqjus mill-Kattoliċi Rumani bħala Scoundrel inf"&amp;"ami) u spirti oħra, li minflok kienu fil-Purgatorju ġew lura biex jagħmlu ħsara lill-għixien bil-lejl. Kien f'dan il-post fi tours li l-prétendus réformés (""dawn allegatament"" riformati "") inġabru b'mod abitwali bil-lejl, kemm għal skopijiet politiċi, "&amp;"kif ukoll għat-talb u l-kant tas-salmi. Spjegazzjonijiet bħal dawn ġew rintraċċati għall-kontemporanja, Reguier de la Plancha (d. 1560), li fid-de l'esta de France offra l-kont li ġej dwar l-oriġini tal-isem, kif ikkwotat mill-Cape kull xahar:")</f>
        <v>F'din l-aħħar konnessjoni, l-isem jista 'jissuġġerixxi l-inferenza derogatorja ta' qima superstizzjuża; Il-fancy popolari ddeċidiet li Huguon, il-bieb tar-Re Hugo, kien haunted mill-fatat ta 'Le Roi Huguet (meqjus mill-Kattoliċi Rumani bħala Scoundrel infami) u spirti oħra, li minflok kienu fil-Purgatorju ġew lura biex jagħmlu ħsara lill-għixien bil-lejl. Kien f'dan il-post fi tours li l-prétendus réformés ("dawn allegatament" riformati ") inġabru b'mod abitwali bil-lejl, kemm għal skopijiet politiċi, kif ukoll għat-talb u l-kant tas-salmi. Spjegazzjonijiet bħal dawn ġew rintraċċati għall-kontemporanja, Reguier de la Plancha (d. 1560), li fid-de l'esta de France offra l-kont li ġej dwar l-oriġini tal-isem, kif ikkwotat mill-Cape kull xahar:</v>
      </c>
    </row>
    <row r="5263" ht="15.75" customHeight="1">
      <c r="A5263" s="2" t="s">
        <v>5263</v>
      </c>
      <c r="B5263" s="2" t="str">
        <f>IFERROR(__xludf.DUMMYFUNCTION("GOOGLETRANSLATE(A5263, ""en"", ""mt"")"),"Liema grupp ta 'xjenzati jfittxu li jkejlu l-ammonti ta' ossiġnu f'annimali tal-baħar?")</f>
        <v>Liema grupp ta 'xjenzati jfittxu li jkejlu l-ammonti ta' ossiġnu f'annimali tal-baħar?</v>
      </c>
    </row>
    <row r="5264" ht="15.75" customHeight="1">
      <c r="A5264" s="2" t="s">
        <v>5264</v>
      </c>
      <c r="B5264" s="2" t="str">
        <f>IFERROR(__xludf.DUMMYFUNCTION("GOOGLETRANSLATE(A5264, ""en"", ""mt"")"),"Karluk Kara-Khanid")</f>
        <v>Karluk Kara-Khanid</v>
      </c>
    </row>
    <row r="5265" ht="15.75" customHeight="1">
      <c r="A5265" s="2" t="s">
        <v>5265</v>
      </c>
      <c r="B5265" s="2" t="str">
        <f>IFERROR(__xludf.DUMMYFUNCTION("GOOGLETRANSLATE(A5265, ""en"", ""mt"")"),"Kemm mill-parteċipanti tal-IPCC huma rappreżentanti tal-gvern?")</f>
        <v>Kemm mill-parteċipanti tal-IPCC huma rappreżentanti tal-gvern?</v>
      </c>
    </row>
    <row r="5266" ht="15.75" customHeight="1">
      <c r="A5266" s="2" t="s">
        <v>5266</v>
      </c>
      <c r="B5266" s="2" t="str">
        <f>IFERROR(__xludf.DUMMYFUNCTION("GOOGLETRANSLATE(A5266, ""en"", ""mt"")"),"X'tip ta 'arti iffjorixxew fil-wan?")</f>
        <v>X'tip ta 'arti iffjorixxew fil-wan?</v>
      </c>
    </row>
    <row r="5267" ht="15.75" customHeight="1">
      <c r="A5267" s="2" t="s">
        <v>5267</v>
      </c>
      <c r="B5267" s="2" t="str">
        <f>IFERROR(__xludf.DUMMYFUNCTION("GOOGLETRANSLATE(A5267, ""en"", ""mt"")"),"Il-mewġa tas-sħana tal-Awstralja tax-Xlokk tal-2009")</f>
        <v>Il-mewġa tas-sħana tal-Awstralja tax-Xlokk tal-2009</v>
      </c>
    </row>
    <row r="5268" ht="15.75" customHeight="1">
      <c r="A5268" s="2" t="s">
        <v>5268</v>
      </c>
      <c r="B5268" s="2" t="str">
        <f>IFERROR(__xludf.DUMMYFUNCTION("GOOGLETRANSLATE(A5268, ""en"", ""mt"")"),"Min meta jasal ta lill-kolonizzaturi oriġinali tal-Viking identità komuni?")</f>
        <v>Min meta jasal ta lill-kolonizzaturi oriġinali tal-Viking identità komuni?</v>
      </c>
    </row>
    <row r="5269" ht="15.75" customHeight="1">
      <c r="A5269" s="2" t="s">
        <v>5269</v>
      </c>
      <c r="B5269" s="2" t="str">
        <f>IFERROR(__xludf.DUMMYFUNCTION("GOOGLETRANSLATE(A5269, ""en"", ""mt"")"),"Maġġoranza kwalifikata")</f>
        <v>Maġġoranza kwalifikata</v>
      </c>
    </row>
    <row r="5270" ht="15.75" customHeight="1">
      <c r="A5270" s="2" t="s">
        <v>5270</v>
      </c>
      <c r="B5270" s="2" t="str">
        <f>IFERROR(__xludf.DUMMYFUNCTION("GOOGLETRANSLATE(A5270, ""en"", ""mt"")"),"Fresno huwa mmarkat minn klima semi-arida (Köppen BSH), bi xtiewi ħfief u niedja u sjuf sħan u niexfa, u b'hekk juru karatteristiċi tal-Mediterran. Diċembru u Jannar huma l-iktar xhur kesħin, u medja ta 'madwar 46.5 ° F (8.1 ° C), u hemm 14-il lejl b'live"&amp;"lli ffriżati kull sena, bil-lejl l-iktar kiesaħ tas-sena tipikament tiffoka taħt it-30 ° F (−1.1 ° C) - Lulju huwa l-iktar xahar sħun, b'medja ta '83 .0 ° F (28.3 ° C); Normalment, hemm 32 jum ta '100 ° F (37.8 ° C) + għoljin u 106 ijiem ta' 90 ° F (32.2 "&amp;"° C) + għoljin, u f'Lulju u Awwissu, hemm biss tlieta jew erbat ijiem fejn jilħqu 90 ° F (32.2 ° C). Is-Summers jipprovdu xemx konsiderevoli, b'Lulju jilħaq il-livell ta '97 fil-mija tas-sigħat totali possibbli tax-xemx; Bil-maqlub, Jannar huwa l-inqas b'"&amp;"46 fil-mija biss tal-ħin tax-xemx minħabba ċ-ċpar oħxon. Madankollu, is-sena medja ta '81% tax-xemx possibbli, għal total ta '3550 siegħa. Il-preċipitazzjoni medja annwali hija ta 'madwar 11.5 pulzier (292.1 mm), li, bid-definizzjoni, tikklassifika ż-żona"&amp;" bħala semidesert. Il-biċċa l-kbira tal-ġrajjiet tad-direzzjoni tal-warda tar-riħ joħorġu mill-majjistral, hekk kif irjieħ huma mmexxija 'l isfel tul l-assi tal-Wied Ċentrali ta' Kalifornja; F'Diċembru, Jannar u Frar hemm preżenza akbar ta 'direzzjonijiet"&amp;" tar-riħ tax-xlokk fl-istatistiċi tar-riħ. Il-meteoroloġija Fresno ġiet magħżula fi studju nazzjonali tal-Aġenzija għall-Protezzjoni Ambjentali tal-Istati Uniti għall-analiżi tat-temperatura tal-ekwilibriju għall-użu ta 'dejta meteoroloġika ta' għaxar sni"&amp;"n biex tirrappreżenta locale sħuna u niexfa tal-Punent tal-Istati Uniti.")</f>
        <v>Fresno huwa mmarkat minn klima semi-arida (Köppen BSH), bi xtiewi ħfief u niedja u sjuf sħan u niexfa, u b'hekk juru karatteristiċi tal-Mediterran. Diċembru u Jannar huma l-iktar xhur kesħin, u medja ta 'madwar 46.5 ° F (8.1 ° C), u hemm 14-il lejl b'livelli ffriżati kull sena, bil-lejl l-iktar kiesaħ tas-sena tipikament tiffoka taħt it-30 ° F (−1.1 ° C) - Lulju huwa l-iktar xahar sħun, b'medja ta '83 .0 ° F (28.3 ° C); Normalment, hemm 32 jum ta '100 ° F (37.8 ° C) + għoljin u 106 ijiem ta' 90 ° F (32.2 ° C) + għoljin, u f'Lulju u Awwissu, hemm biss tlieta jew erbat ijiem fejn jilħqu 90 ° F (32.2 ° C). Is-Summers jipprovdu xemx konsiderevoli, b'Lulju jilħaq il-livell ta '97 fil-mija tas-sigħat totali possibbli tax-xemx; Bil-maqlub, Jannar huwa l-inqas b'46 fil-mija biss tal-ħin tax-xemx minħabba ċ-ċpar oħxon. Madankollu, is-sena medja ta '81% tax-xemx possibbli, għal total ta '3550 siegħa. Il-preċipitazzjoni medja annwali hija ta 'madwar 11.5 pulzier (292.1 mm), li, bid-definizzjoni, tikklassifika ż-żona bħala semidesert. Il-biċċa l-kbira tal-ġrajjiet tad-direzzjoni tal-warda tar-riħ joħorġu mill-majjistral, hekk kif irjieħ huma mmexxija 'l isfel tul l-assi tal-Wied Ċentrali ta' Kalifornja; F'Diċembru, Jannar u Frar hemm preżenza akbar ta 'direzzjonijiet tar-riħ tax-xlokk fl-istatistiċi tar-riħ. Il-meteoroloġija Fresno ġiet magħżula fi studju nazzjonali tal-Aġenzija għall-Protezzjoni Ambjentali tal-Istati Uniti għall-analiżi tat-temperatura tal-ekwilibriju għall-użu ta 'dejta meteoroloġika ta' għaxar snin biex tirrappreżenta locale sħuna u niexfa tal-Punent tal-Istati Uniti.</v>
      </c>
    </row>
    <row r="5271" ht="15.75" customHeight="1">
      <c r="A5271" s="2" t="s">
        <v>5271</v>
      </c>
      <c r="B5271" s="2" t="str">
        <f>IFERROR(__xludf.DUMMYFUNCTION("GOOGLETRANSLATE(A5271, ""en"", ""mt"")"),"Liema żewġ kummiedji dehru fuq il-formazzjoni l-ġdida tal-kummiedja tal-Erbgħa ABC?")</f>
        <v>Liema żewġ kummiedji dehru fuq il-formazzjoni l-ġdida tal-kummiedja tal-Erbgħa ABC?</v>
      </c>
    </row>
    <row r="5272" ht="15.75" customHeight="1">
      <c r="A5272" s="2" t="s">
        <v>5272</v>
      </c>
      <c r="B5272" s="2" t="str">
        <f>IFERROR(__xludf.DUMMYFUNCTION("GOOGLETRANSLATE(A5272, ""en"", ""mt"")"),"Millingen aan de rijn,")</f>
        <v>Millingen aan de rijn,</v>
      </c>
    </row>
    <row r="5273" ht="15.75" customHeight="1">
      <c r="A5273" s="2" t="s">
        <v>5273</v>
      </c>
      <c r="B5273" s="2" t="str">
        <f>IFERROR(__xludf.DUMMYFUNCTION("GOOGLETRANSLATE(A5273, ""en"", ""mt"")"),"produttività")</f>
        <v>produttività</v>
      </c>
    </row>
    <row r="5274" ht="15.75" customHeight="1">
      <c r="A5274" s="2" t="s">
        <v>5274</v>
      </c>
      <c r="B5274" s="2" t="str">
        <f>IFERROR(__xludf.DUMMYFUNCTION("GOOGLETRANSLATE(A5274, ""en"", ""mt"")"),"15 ta ’Frar 1546")</f>
        <v>15 ta ’Frar 1546</v>
      </c>
    </row>
    <row r="5275" ht="15.75" customHeight="1">
      <c r="A5275" s="2" t="s">
        <v>5275</v>
      </c>
      <c r="B5275" s="2" t="str">
        <f>IFERROR(__xludf.DUMMYFUNCTION("GOOGLETRANSLATE(A5275, ""en"", ""mt"")"),"Trevithick kompla l-esperimenti tiegħu stess bl-użu ta 'trio ta' lokomottivi, li kkonkluda mal-Qabda Me li jista 'fl-1808. Erba' snin biss wara, is-suċċess tal-lokomotiva b'żewġ ċilindri ta 'Salamanca minn Matthew Murray intuża mill-Rack Railed Edge u Pin"&amp;"ion Middleton Railway. Fl-1825 George Stephenson bena l-lokomozzjoni għall-Ferrovija ta ’Stockton u Darlington. Din kienet l-ewwel ferrovija pubblika tal-fwar fid-dinja u mbagħad fl-1829, huwa bena r-rokit li kien daħal fih u rebaħ il-provi Rainhill. Il-F"&amp;"errovija ta ’Liverpool u Manchester infetħu fl-1830 u għamlu użu esklussiv tal-enerġija tal-fwar kemm għall-ferroviji tal-passiġġieri kif ukoll tal-merkanzija.")</f>
        <v>Trevithick kompla l-esperimenti tiegħu stess bl-użu ta 'trio ta' lokomottivi, li kkonkluda mal-Qabda Me li jista 'fl-1808. Erba' snin biss wara, is-suċċess tal-lokomotiva b'żewġ ċilindri ta 'Salamanca minn Matthew Murray intuża mill-Rack Railed Edge u Pinion Middleton Railway. Fl-1825 George Stephenson bena l-lokomozzjoni għall-Ferrovija ta ’Stockton u Darlington. Din kienet l-ewwel ferrovija pubblika tal-fwar fid-dinja u mbagħad fl-1829, huwa bena r-rokit li kien daħal fih u rebaħ il-provi Rainhill. Il-Ferrovija ta ’Liverpool u Manchester infetħu fl-1830 u għamlu użu esklussiv tal-enerġija tal-fwar kemm għall-ferroviji tal-passiġġieri kif ukoll tal-merkanzija.</v>
      </c>
    </row>
    <row r="5276" ht="15.75" customHeight="1">
      <c r="A5276" s="2" t="s">
        <v>5276</v>
      </c>
      <c r="B5276" s="2" t="str">
        <f>IFERROR(__xludf.DUMMYFUNCTION("GOOGLETRANSLATE(A5276, ""en"", ""mt"")"),"Xlokk tal-Ġnien")</f>
        <v>Xlokk tal-Ġnien</v>
      </c>
    </row>
    <row r="5277" ht="15.75" customHeight="1">
      <c r="A5277" s="2" t="s">
        <v>5277</v>
      </c>
      <c r="B5277" s="2" t="str">
        <f>IFERROR(__xludf.DUMMYFUNCTION("GOOGLETRANSLATE(A5277, ""en"", ""mt"")"),"Għal ħafna organiżmi, x'inhi s-sistema dominanti ta 'difiża?")</f>
        <v>Għal ħafna organiżmi, x'inhi s-sistema dominanti ta 'difiża?</v>
      </c>
    </row>
    <row r="5278" ht="15.75" customHeight="1">
      <c r="A5278" s="2" t="s">
        <v>5278</v>
      </c>
      <c r="B5278" s="2" t="str">
        <f>IFERROR(__xludf.DUMMYFUNCTION("GOOGLETRANSLATE(A5278, ""en"", ""mt"")"),"Liema test huwa partikolarment utli għan-numri tal-Formola 2P - 1?")</f>
        <v>Liema test huwa partikolarment utli għan-numri tal-Formola 2P - 1?</v>
      </c>
    </row>
    <row r="5279" ht="15.75" customHeight="1">
      <c r="A5279" s="2" t="s">
        <v>5279</v>
      </c>
      <c r="B5279" s="2" t="str">
        <f>IFERROR(__xludf.DUMMYFUNCTION("GOOGLETRANSLATE(A5279, ""en"", ""mt"")"),"Friedrich Ratzel ħaseb li l-imperjalizmu kien dak għall-pajjiż?")</f>
        <v>Friedrich Ratzel ħaseb li l-imperjalizmu kien dak għall-pajjiż?</v>
      </c>
    </row>
    <row r="5280" ht="15.75" customHeight="1">
      <c r="A5280" s="2" t="s">
        <v>5280</v>
      </c>
      <c r="B5280" s="2" t="str">
        <f>IFERROR(__xludf.DUMMYFUNCTION("GOOGLETRANSLATE(A5280, ""en"", ""mt"")"),"L-Asja tal-Lvant: iċ-Ċina, il-Ġappun u l-Korea")</f>
        <v>L-Asja tal-Lvant: iċ-Ċina, il-Ġappun u l-Korea</v>
      </c>
    </row>
    <row r="5281" ht="15.75" customHeight="1">
      <c r="A5281" s="2" t="s">
        <v>5281</v>
      </c>
      <c r="B5281" s="2" t="str">
        <f>IFERROR(__xludf.DUMMYFUNCTION("GOOGLETRANSLATE(A5281, ""en"", ""mt"")"),"Hu qatt ma ggradwa")</f>
        <v>Hu qatt ma ggradwa</v>
      </c>
    </row>
    <row r="5282" ht="15.75" customHeight="1">
      <c r="A5282" s="2" t="s">
        <v>5282</v>
      </c>
      <c r="B5282" s="2" t="str">
        <f>IFERROR(__xludf.DUMMYFUNCTION("GOOGLETRANSLATE(A5282, ""en"", ""mt"")"),"£ 20,427")</f>
        <v>£ 20,427</v>
      </c>
    </row>
    <row r="5283" ht="15.75" customHeight="1">
      <c r="A5283" s="2" t="s">
        <v>5283</v>
      </c>
      <c r="B5283" s="2" t="str">
        <f>IFERROR(__xludf.DUMMYFUNCTION("GOOGLETRANSLATE(A5283, ""en"", ""mt"")"),"Kungress u presidenti")</f>
        <v>Kungress u presidenti</v>
      </c>
    </row>
    <row r="5284" ht="15.75" customHeight="1">
      <c r="A5284" s="2" t="s">
        <v>5284</v>
      </c>
      <c r="B5284" s="2" t="str">
        <f>IFERROR(__xludf.DUMMYFUNCTION("GOOGLETRANSLATE(A5284, ""en"", ""mt"")"),"aktar minn 53,000")</f>
        <v>aktar minn 53,000</v>
      </c>
    </row>
    <row r="5285" ht="15.75" customHeight="1">
      <c r="A5285" s="2" t="s">
        <v>5285</v>
      </c>
      <c r="B5285" s="2" t="str">
        <f>IFERROR(__xludf.DUMMYFUNCTION("GOOGLETRANSLATE(A5285, ""en"", ""mt"")"),"Distribuzzjoni elettrika")</f>
        <v>Distribuzzjoni elettrika</v>
      </c>
    </row>
    <row r="5286" ht="15.75" customHeight="1">
      <c r="A5286" s="2" t="s">
        <v>5286</v>
      </c>
      <c r="B5286" s="2" t="str">
        <f>IFERROR(__xludf.DUMMYFUNCTION("GOOGLETRANSLATE(A5286, ""en"", ""mt"")"),"Skond l-istess statistika, l-età medja ta 'nies li jgħixu fi Newcastle hija 37.8 (il-medja nazzjonali hija 38.6). Ħafna nies fil-belt għandhom antenati Skoċċiżi jew Irlandiżi. Hemm preżenza qawwija ta 'kunjomijiet ta' reiver tal-fruntiera, bħal Armstrong,"&amp;" Charlton, Elliot, Johnstone, Kerr, Hall, Nixon, Little u Robson. Hemm ukoll popolazzjonijiet żgħar iżda sinifikanti Ċiniżi, Lhud u tal-Lvant (Pollakk, Roma Ċeka). Hemm ukoll stmati li huma bejn 500 u 2,000 Bolivjan fi Newcastle, li jiffurmaw sa 1% tal-po"&amp;"polazzjoni - l-akbar persentaġġ bħal dan ta 'kwalunkwe belt tar-Renju Unit.")</f>
        <v>Skond l-istess statistika, l-età medja ta 'nies li jgħixu fi Newcastle hija 37.8 (il-medja nazzjonali hija 38.6). Ħafna nies fil-belt għandhom antenati Skoċċiżi jew Irlandiżi. Hemm preżenza qawwija ta 'kunjomijiet ta' reiver tal-fruntiera, bħal Armstrong, Charlton, Elliot, Johnstone, Kerr, Hall, Nixon, Little u Robson. Hemm ukoll popolazzjonijiet żgħar iżda sinifikanti Ċiniżi, Lhud u tal-Lvant (Pollakk, Roma Ċeka). Hemm ukoll stmati li huma bejn 500 u 2,000 Bolivjan fi Newcastle, li jiffurmaw sa 1% tal-popolazzjoni - l-akbar persentaġġ bħal dan ta 'kwalunkwe belt tar-Renju Unit.</v>
      </c>
    </row>
    <row r="5287" ht="15.75" customHeight="1">
      <c r="A5287" s="2" t="s">
        <v>5287</v>
      </c>
      <c r="B5287" s="2" t="str">
        <f>IFERROR(__xludf.DUMMYFUNCTION("GOOGLETRANSLATE(A5287, ""en"", ""mt"")"),"20 ta 'Lulju, 1969")</f>
        <v>20 ta 'Lulju, 1969</v>
      </c>
    </row>
    <row r="5288" ht="15.75" customHeight="1">
      <c r="A5288" s="2" t="s">
        <v>5288</v>
      </c>
      <c r="B5288" s="2" t="str">
        <f>IFERROR(__xludf.DUMMYFUNCTION("GOOGLETRANSLATE(A5288, ""en"", ""mt"")"),"Typeface Bauhaus")</f>
        <v>Typeface Bauhaus</v>
      </c>
    </row>
    <row r="5289" ht="15.75" customHeight="1">
      <c r="A5289" s="2" t="s">
        <v>5289</v>
      </c>
      <c r="B5289" s="2" t="str">
        <f>IFERROR(__xludf.DUMMYFUNCTION("GOOGLETRANSLATE(A5289, ""en"", ""mt"")"),"Iċ-Ċiklu ta ’Calvin")</f>
        <v>Iċ-Ċiklu ta ’Calvin</v>
      </c>
    </row>
    <row r="5290" ht="15.75" customHeight="1">
      <c r="A5290" s="2" t="s">
        <v>5290</v>
      </c>
      <c r="B5290" s="2" t="str">
        <f>IFERROR(__xludf.DUMMYFUNCTION("GOOGLETRANSLATE(A5290, ""en"", ""mt"")"),"Kemm ġew magħżula plejers tal-Panthers għall-Pro Bowl tal-istaġun 2015?")</f>
        <v>Kemm ġew magħżula plejers tal-Panthers għall-Pro Bowl tal-istaġun 2015?</v>
      </c>
    </row>
    <row r="5291" ht="15.75" customHeight="1">
      <c r="A5291" s="2" t="s">
        <v>5291</v>
      </c>
      <c r="B5291" s="2" t="str">
        <f>IFERROR(__xludf.DUMMYFUNCTION("GOOGLETRANSLATE(A5291, ""en"", ""mt"")"),"Il-ġeografu ta 'Wilson")</f>
        <v>Il-ġeografu ta 'Wilson</v>
      </c>
    </row>
    <row r="5292" ht="15.75" customHeight="1">
      <c r="A5292" s="2" t="s">
        <v>5292</v>
      </c>
      <c r="B5292" s="2" t="str">
        <f>IFERROR(__xludf.DUMMYFUNCTION("GOOGLETRANSLATE(A5292, ""en"", ""mt"")"),"Fejn saret l-esperjenza tal-NFL għall-istaġun 2015?")</f>
        <v>Fejn saret l-esperjenza tal-NFL għall-istaġun 2015?</v>
      </c>
    </row>
    <row r="5293" ht="15.75" customHeight="1">
      <c r="A5293" s="2" t="s">
        <v>5293</v>
      </c>
      <c r="B5293" s="2" t="str">
        <f>IFERROR(__xludf.DUMMYFUNCTION("GOOGLETRANSLATE(A5293, ""en"", ""mt"")"),"Ħafna tipi ta 'magni tat-Turing jintużaw biex jiddefinixxu klassijiet ta' kumplessità, bħal magni tat-turing deterministiċi, magni tat-turing probabilistiċi, magni tat-Turing mhux deterministiċi, magni kwantistiċi tat-Turing, magni simmetriċi tat-Turing u"&amp;" magni li jalternaw. Dawn huma kollha daqstant qawwija fil-prinċipju, iżda meta r-riżorsi (bħal ħin jew spazju) huma limitati, uħud minn dawn jistgħu jkunu aktar qawwija minn oħrajn.")</f>
        <v>Ħafna tipi ta 'magni tat-Turing jintużaw biex jiddefinixxu klassijiet ta' kumplessità, bħal magni tat-turing deterministiċi, magni tat-turing probabilistiċi, magni tat-Turing mhux deterministiċi, magni kwantistiċi tat-Turing, magni simmetriċi tat-Turing u magni li jalternaw. Dawn huma kollha daqstant qawwija fil-prinċipju, iżda meta r-riżorsi (bħal ħin jew spazju) huma limitati, uħud minn dawn jistgħu jkunu aktar qawwija minn oħrajn.</v>
      </c>
    </row>
    <row r="5294" ht="15.75" customHeight="1">
      <c r="A5294" s="2" t="s">
        <v>5294</v>
      </c>
      <c r="B5294" s="2" t="str">
        <f>IFERROR(__xludf.DUMMYFUNCTION("GOOGLETRANSLATE(A5294, ""en"", ""mt"")"),"Fil-fatt ma kisser l-ebda liġi")</f>
        <v>Fil-fatt ma kisser l-ebda liġi</v>
      </c>
    </row>
    <row r="5295" ht="15.75" customHeight="1">
      <c r="A5295" s="2" t="s">
        <v>5295</v>
      </c>
      <c r="B5295" s="2" t="str">
        <f>IFERROR(__xludf.DUMMYFUNCTION("GOOGLETRANSLATE(A5295, ""en"", ""mt"")"),"X'kienet il-popolazzjoni Franċiża fl-Amerika ta 'Fuq?")</f>
        <v>X'kienet il-popolazzjoni Franċiża fl-Amerika ta 'Fuq?</v>
      </c>
    </row>
    <row r="5296" ht="15.75" customHeight="1">
      <c r="A5296" s="2" t="s">
        <v>5296</v>
      </c>
      <c r="B5296" s="2" t="str">
        <f>IFERROR(__xludf.DUMMYFUNCTION("GOOGLETRANSLATE(A5296, ""en"", ""mt"")"),"nisa")</f>
        <v>nisa</v>
      </c>
    </row>
    <row r="5297" ht="15.75" customHeight="1">
      <c r="A5297" s="2" t="s">
        <v>5297</v>
      </c>
      <c r="B5297" s="2" t="str">
        <f>IFERROR(__xludf.DUMMYFUNCTION("GOOGLETRANSLATE(A5297, ""en"", ""mt"")"),"għaxar-horsepower")</f>
        <v>għaxar-horsepower</v>
      </c>
    </row>
    <row r="5298" ht="15.75" customHeight="1">
      <c r="A5298" s="2" t="s">
        <v>5298</v>
      </c>
      <c r="B5298" s="2" t="str">
        <f>IFERROR(__xludf.DUMMYFUNCTION("GOOGLETRANSLATE(A5298, ""en"", ""mt"")"),"Xlviii")</f>
        <v>Xlviii</v>
      </c>
    </row>
    <row r="5299" ht="15.75" customHeight="1">
      <c r="A5299" s="2" t="s">
        <v>5299</v>
      </c>
      <c r="B5299" s="2" t="str">
        <f>IFERROR(__xludf.DUMMYFUNCTION("GOOGLETRANSLATE(A5299, ""en"", ""mt"")"),"Immune_system")</f>
        <v>Immune_system</v>
      </c>
    </row>
    <row r="5300" ht="15.75" customHeight="1">
      <c r="A5300" s="2" t="s">
        <v>5300</v>
      </c>
      <c r="B5300" s="2" t="str">
        <f>IFERROR(__xludf.DUMMYFUNCTION("GOOGLETRANSLATE(A5300, ""en"", ""mt"")"),"Ta 'tħassib partikolari mal-ispiżeriji tal-internet hija l-faċilità li biha n-nies, b'mod partikolari ż-żgħażagħ, jistgħu jiksbu sustanzi kkontrollati (per eżempju, vicodin, magħruf ġenerikament bħala hydrocodone) permezz tal-Internet mingħajr riċetta maħ"&amp;"ruġa minn tabib / prattikant li għandu tabib stabbilit relazzjoni. Hemm ħafna każijiet fejn prattikant joħroġ preskrizzjoni, senserija minn server tal-internet, għal sustanza kkontrollata għal ""pazjent"" li qatt ma ltaqa '. sustanza li għandha tkun valid"&amp;"a, għandha tinħareġ għal skop mediku leġittimu minn prattikant liċenzjat li jaġixxi matul ir-relazzjoni leġittima ta 'tabib-pazjent. L-ispiżerija tal-mili għandha responsabbiltà korrispondenti biex tiżgura li l-preskrizzjoni tkun valida. Ħafna drabi, il-l"&amp;"iġijiet tal-istat individwali jiddeskrivu dak li jiddefinixxi relazzjoni valida tal-pazjent-toctor.")</f>
        <v>Ta 'tħassib partikolari mal-ispiżeriji tal-internet hija l-faċilità li biha n-nies, b'mod partikolari ż-żgħażagħ, jistgħu jiksbu sustanzi kkontrollati (per eżempju, vicodin, magħruf ġenerikament bħala hydrocodone) permezz tal-Internet mingħajr riċetta maħruġa minn tabib / prattikant li għandu tabib stabbilit relazzjoni. Hemm ħafna każijiet fejn prattikant joħroġ preskrizzjoni, senserija minn server tal-internet, għal sustanza kkontrollata għal "pazjent" li qatt ma ltaqa '. sustanza li għandha tkun valida, għandha tinħareġ għal skop mediku leġittimu minn prattikant liċenzjat li jaġixxi matul ir-relazzjoni leġittima ta 'tabib-pazjent. L-ispiżerija tal-mili għandha responsabbiltà korrispondenti biex tiżgura li l-preskrizzjoni tkun valida. Ħafna drabi, il-liġijiet tal-istat individwali jiddeskrivu dak li jiddefinixxi relazzjoni valida tal-pazjent-toctor.</v>
      </c>
    </row>
    <row r="5301" ht="15.75" customHeight="1">
      <c r="A5301" s="2" t="s">
        <v>5301</v>
      </c>
      <c r="B5301" s="2" t="str">
        <f>IFERROR(__xludf.DUMMYFUNCTION("GOOGLETRANSLATE(A5301, ""en"", ""mt"")"),"Ir-rati ta 'żieda fil-livell tal-baħar naqsu")</f>
        <v>Ir-rati ta 'żieda fil-livell tal-baħar naqsu</v>
      </c>
    </row>
    <row r="5302" ht="15.75" customHeight="1">
      <c r="A5302" s="2" t="s">
        <v>5302</v>
      </c>
      <c r="B5302" s="2" t="str">
        <f>IFERROR(__xludf.DUMMYFUNCTION("GOOGLETRANSLATE(A5302, ""en"", ""mt"")"),"Min kien essenzjali għall-Iżlam li jimita?")</f>
        <v>Min kien essenzjali għall-Iżlam li jimita?</v>
      </c>
    </row>
    <row r="5303" ht="15.75" customHeight="1">
      <c r="A5303" s="2" t="s">
        <v>5303</v>
      </c>
      <c r="B5303" s="2" t="str">
        <f>IFERROR(__xludf.DUMMYFUNCTION("GOOGLETRANSLATE(A5303, ""en"", ""mt"")"),"Min Kublai ried jirnexxi?")</f>
        <v>Min Kublai ried jirnexxi?</v>
      </c>
    </row>
    <row r="5304" ht="15.75" customHeight="1">
      <c r="A5304" s="2" t="s">
        <v>5304</v>
      </c>
      <c r="B5304" s="2" t="str">
        <f>IFERROR(__xludf.DUMMYFUNCTION("GOOGLETRANSLATE(A5304, ""en"", ""mt"")"),"Min kien l-iktar kontributur mużikali frekwenti għal Doctor Who fl-ewwel 15-il sena tal-ispettaklu?")</f>
        <v>Min kien l-iktar kontributur mużikali frekwenti għal Doctor Who fl-ewwel 15-il sena tal-ispettaklu?</v>
      </c>
    </row>
    <row r="5305" ht="15.75" customHeight="1">
      <c r="A5305" s="2" t="s">
        <v>5305</v>
      </c>
      <c r="B5305" s="2" t="str">
        <f>IFERROR(__xludf.DUMMYFUNCTION("GOOGLETRANSLATE(A5305, ""en"", ""mt"")"),"F'liema reġjun ġew skoperti l-insedjamenti kbar?")</f>
        <v>F'liema reġjun ġew skoperti l-insedjamenti kbar?</v>
      </c>
    </row>
    <row r="5306" ht="15.75" customHeight="1">
      <c r="A5306" s="2" t="s">
        <v>5306</v>
      </c>
      <c r="B5306" s="2" t="str">
        <f>IFERROR(__xludf.DUMMYFUNCTION("GOOGLETRANSLATE(A5306, ""en"", ""mt"")"),"Min beda fi tmiem strett għall-Panthers?")</f>
        <v>Min beda fi tmiem strett għall-Panthers?</v>
      </c>
    </row>
    <row r="5307" ht="15.75" customHeight="1">
      <c r="A5307" s="2" t="s">
        <v>5307</v>
      </c>
      <c r="B5307" s="2" t="str">
        <f>IFERROR(__xludf.DUMMYFUNCTION("GOOGLETRANSLATE(A5307, ""en"", ""mt"")"),"X'tip ta 'professjonisti huma l-ispiżjara?")</f>
        <v>X'tip ta 'professjonisti huma l-ispiżjara?</v>
      </c>
    </row>
    <row r="5308" ht="15.75" customHeight="1">
      <c r="A5308" s="2" t="s">
        <v>5308</v>
      </c>
      <c r="B5308" s="2" t="str">
        <f>IFERROR(__xludf.DUMMYFUNCTION("GOOGLETRANSLATE(A5308, ""en"", ""mt"")"),"Dan il-formalizmu")</f>
        <v>Dan il-formalizmu</v>
      </c>
    </row>
    <row r="5309" ht="15.75" customHeight="1">
      <c r="A5309" s="2" t="s">
        <v>5309</v>
      </c>
      <c r="B5309" s="2" t="str">
        <f>IFERROR(__xludf.DUMMYFUNCTION("GOOGLETRANSLATE(A5309, ""en"", ""mt"")"),"qligħ ogħla")</f>
        <v>qligħ ogħla</v>
      </c>
    </row>
    <row r="5310" ht="15.75" customHeight="1">
      <c r="A5310" s="2" t="s">
        <v>5310</v>
      </c>
      <c r="B5310" s="2" t="str">
        <f>IFERROR(__xludf.DUMMYFUNCTION("GOOGLETRANSLATE(A5310, ""en"", ""mt"")"),"maġġoranza")</f>
        <v>maġġoranza</v>
      </c>
    </row>
    <row r="5311" ht="15.75" customHeight="1">
      <c r="A5311" s="2" t="s">
        <v>5311</v>
      </c>
      <c r="B5311" s="2" t="str">
        <f>IFERROR(__xludf.DUMMYFUNCTION("GOOGLETRANSLATE(A5311, ""en"", ""mt"")"),"Animosità lejn xulxin")</f>
        <v>Animosità lejn xulxin</v>
      </c>
    </row>
    <row r="5312" ht="15.75" customHeight="1">
      <c r="A5312" s="2" t="s">
        <v>5312</v>
      </c>
      <c r="B5312" s="2" t="str">
        <f>IFERROR(__xludf.DUMMYFUNCTION("GOOGLETRANSLATE(A5312, ""en"", ""mt"")"),"F'liema parti ta 'l-Istati Uniti ħafna studenti jemigraw lejn akkademji Kristjani matul il-perjodu ta' desegregazzjoni?")</f>
        <v>F'liema parti ta 'l-Istati Uniti ħafna studenti jemigraw lejn akkademji Kristjani matul il-perjodu ta' desegregazzjoni?</v>
      </c>
    </row>
    <row r="5313" ht="15.75" customHeight="1">
      <c r="A5313" s="2" t="s">
        <v>5313</v>
      </c>
      <c r="B5313" s="2" t="str">
        <f>IFERROR(__xludf.DUMMYFUNCTION("GOOGLETRANSLATE(A5313, ""en"", ""mt"")"),"B'liema mezzi kienu x-xjenzati kapaċi li likwidi l-arja?")</f>
        <v>B'liema mezzi kienu x-xjenzati kapaċi li likwidi l-arja?</v>
      </c>
    </row>
    <row r="5314" ht="15.75" customHeight="1">
      <c r="A5314" s="2" t="s">
        <v>5314</v>
      </c>
      <c r="B5314" s="2" t="str">
        <f>IFERROR(__xludf.DUMMYFUNCTION("GOOGLETRANSLATE(A5314, ""en"", ""mt"")"),"saff tal-ożonu")</f>
        <v>saff tal-ożonu</v>
      </c>
    </row>
    <row r="5315" ht="15.75" customHeight="1">
      <c r="A5315" s="2" t="s">
        <v>5315</v>
      </c>
      <c r="B5315" s="2" t="str">
        <f>IFERROR(__xludf.DUMMYFUNCTION("GOOGLETRANSLATE(A5315, ""en"", ""mt"")"),"X'ġara mill-kustilji tiegħu fl-inċident?")</f>
        <v>X'ġara mill-kustilji tiegħu fl-inċident?</v>
      </c>
    </row>
    <row r="5316" ht="15.75" customHeight="1">
      <c r="A5316" s="2" t="s">
        <v>5316</v>
      </c>
      <c r="B5316" s="2" t="str">
        <f>IFERROR(__xludf.DUMMYFUNCTION("GOOGLETRANSLATE(A5316, ""en"", ""mt"")"),"Qara Khitai, Kawkasu, Imperu Khwarezmid, XIA tal-Punent u Jin")</f>
        <v>Qara Khitai, Kawkasu, Imperu Khwarezmid, XIA tal-Punent u Jin</v>
      </c>
    </row>
    <row r="5317" ht="15.75" customHeight="1">
      <c r="A5317" s="2" t="s">
        <v>5317</v>
      </c>
      <c r="B5317" s="2" t="str">
        <f>IFERROR(__xludf.DUMMYFUNCTION("GOOGLETRANSLATE(A5317, ""en"", ""mt"")"),"Lepidodinium")</f>
        <v>Lepidodinium</v>
      </c>
    </row>
    <row r="5318" ht="15.75" customHeight="1">
      <c r="A5318" s="2" t="s">
        <v>5318</v>
      </c>
      <c r="B5318" s="2" t="str">
        <f>IFERROR(__xludf.DUMMYFUNCTION("GOOGLETRANSLATE(A5318, ""en"", ""mt"")"),"Meta beda r-rewwixta ta 'Varsavja?")</f>
        <v>Meta beda r-rewwixta ta 'Varsavja?</v>
      </c>
    </row>
    <row r="5319" ht="15.75" customHeight="1">
      <c r="A5319" s="2" t="s">
        <v>5319</v>
      </c>
      <c r="B5319" s="2" t="str">
        <f>IFERROR(__xludf.DUMMYFUNCTION("GOOGLETRANSLATE(A5319, ""en"", ""mt"")"),"kunċett ta 'swiċċjar ta' blokka ta 'messaġġi adattivi distribwiti")</f>
        <v>kunċett ta 'swiċċjar ta' blokka ta 'messaġġi adattivi distribwiti</v>
      </c>
    </row>
    <row r="5320" ht="15.75" customHeight="1">
      <c r="A5320" s="2" t="s">
        <v>5320</v>
      </c>
      <c r="B5320" s="2" t="str">
        <f>IFERROR(__xludf.DUMMYFUNCTION("GOOGLETRANSLATE(A5320, ""en"", ""mt"")"),"Matul liema perjodu x'aktarx il-baċin tad-drenaġġ tal-Amazon jinqasam?")</f>
        <v>Matul liema perjodu x'aktarx il-baċin tad-drenaġġ tal-Amazon jinqasam?</v>
      </c>
    </row>
    <row r="5321" ht="15.75" customHeight="1">
      <c r="A5321" s="2" t="s">
        <v>5321</v>
      </c>
      <c r="B5321" s="2" t="str">
        <f>IFERROR(__xludf.DUMMYFUNCTION("GOOGLETRANSLATE(A5321, ""en"", ""mt"")"),"Il-ħinijiet")</f>
        <v>Il-ħinijiet</v>
      </c>
    </row>
    <row r="5322" ht="15.75" customHeight="1">
      <c r="A5322" s="2" t="s">
        <v>5322</v>
      </c>
      <c r="B5322" s="2" t="str">
        <f>IFERROR(__xludf.DUMMYFUNCTION("GOOGLETRANSLATE(A5322, ""en"", ""mt"")"),"l-ewwel xogħol ewlieni biex jikkontesta direttament it-teorija tal-pesta bubonika")</f>
        <v>l-ewwel xogħol ewlieni biex jikkontesta direttament it-teorija tal-pesta bubonika</v>
      </c>
    </row>
    <row r="5323" ht="15.75" customHeight="1">
      <c r="A5323" s="2" t="s">
        <v>5323</v>
      </c>
      <c r="B5323" s="2" t="str">
        <f>IFERROR(__xludf.DUMMYFUNCTION("GOOGLETRANSLATE(A5323, ""en"", ""mt"")"),"Liema żona hija x-xtiewi u s-sjuf aktar friski ta 'Newcastle l-iktar simili għal?")</f>
        <v>Liema żona hija x-xtiewi u s-sjuf aktar friski ta 'Newcastle l-iktar simili għal?</v>
      </c>
    </row>
    <row r="5324" ht="15.75" customHeight="1">
      <c r="A5324" s="2" t="s">
        <v>5324</v>
      </c>
      <c r="B5324" s="2" t="str">
        <f>IFERROR(__xludf.DUMMYFUNCTION("GOOGLETRANSLATE(A5324, ""en"", ""mt"")"),"Is-serje mqajma rċeviet rikonoxximent mill-kritiċi u mill-pubbliku, f’diversi ċerimonji ta ’premjijiet. Huwa rebaħ ħames premjijiet tat-TV BAFTA, inklużi l-Aħjar Drama Series, il-premju televiżiv Brittaniku bl-ogħla profil u l-iktar prestiġjuż li għalih i"&amp;"s-serje qatt ġiet innominata. Kien popolari ħafna fil-Premjijiet BAFTA CYMRU, b'25 rebħiet ġenerali inklużi l-Aħjar Drama Series (darbtejn), l-Aħjar Screenplay / Screenwriter (tliet darbiet) u l-Aħjar Attur. Ġie nominat ukoll għal 7 Premjijiet Saturn, li "&amp;"rebaħ l-unika l-aqwa serje internazzjonali fl-istorja taċ-ċerimonja. Fl-2009, Doctor Who ġie vvutat it-3 l-akbar wirja tas-snin 2000 minn Channel 4, wara Top Gear u The Apprentice. L-episodju ""Vincent and the Doctor"" ġie elenkat għal Mind Award fil-Prem"&amp;"jijiet tal-Midja Mentali tal-Moħħ 2010 għar-ritratt ""li jmissu"" tiegħu ta 'Vincent Van Gogh.")</f>
        <v>Is-serje mqajma rċeviet rikonoxximent mill-kritiċi u mill-pubbliku, f’diversi ċerimonji ta ’premjijiet. Huwa rebaħ ħames premjijiet tat-TV BAFTA, inklużi l-Aħjar Drama Series, il-premju televiżiv Brittaniku bl-ogħla profil u l-iktar prestiġjuż li għalih is-serje qatt ġiet innominata. Kien popolari ħafna fil-Premjijiet BAFTA CYMRU, b'25 rebħiet ġenerali inklużi l-Aħjar Drama Series (darbtejn), l-Aħjar Screenplay / Screenwriter (tliet darbiet) u l-Aħjar Attur. Ġie nominat ukoll għal 7 Premjijiet Saturn, li rebaħ l-unika l-aqwa serje internazzjonali fl-istorja taċ-ċerimonja. Fl-2009, Doctor Who ġie vvutat it-3 l-akbar wirja tas-snin 2000 minn Channel 4, wara Top Gear u The Apprentice. L-episodju "Vincent and the Doctor" ġie elenkat għal Mind Award fil-Premjijiet tal-Midja Mentali tal-Moħħ 2010 għar-ritratt "li jmissu" tiegħu ta 'Vincent Van Gogh.</v>
      </c>
    </row>
    <row r="5325" ht="15.75" customHeight="1">
      <c r="A5325" s="2" t="s">
        <v>5325</v>
      </c>
      <c r="B5325" s="2" t="str">
        <f>IFERROR(__xludf.DUMMYFUNCTION("GOOGLETRANSLATE(A5325, ""en"", ""mt"")"),"Kemm hemm viċi presidenti fil-Bord tal-Fiduċjarji?")</f>
        <v>Kemm hemm viċi presidenti fil-Bord tal-Fiduċjarji?</v>
      </c>
    </row>
    <row r="5326" ht="15.75" customHeight="1">
      <c r="A5326" s="2" t="s">
        <v>5326</v>
      </c>
      <c r="B5326" s="2" t="str">
        <f>IFERROR(__xludf.DUMMYFUNCTION("GOOGLETRANSLATE(A5326, ""en"", ""mt"")"),"X'inhu l-isem mogħti lis-sekwenza tal-input ta 'problema tal-komputazzjoni?")</f>
        <v>X'inhu l-isem mogħti lis-sekwenza tal-input ta 'problema tal-komputazzjoni?</v>
      </c>
    </row>
    <row r="5327" ht="15.75" customHeight="1">
      <c r="A5327" s="2" t="s">
        <v>5327</v>
      </c>
      <c r="B5327" s="2" t="str">
        <f>IFERROR(__xludf.DUMMYFUNCTION("GOOGLETRANSLATE(A5327, ""en"", ""mt"")"),"Bijologu")</f>
        <v>Bijologu</v>
      </c>
    </row>
    <row r="5328" ht="15.75" customHeight="1">
      <c r="A5328" s="2" t="s">
        <v>5328</v>
      </c>
      <c r="B5328" s="2" t="str">
        <f>IFERROR(__xludf.DUMMYFUNCTION("GOOGLETRANSLATE(A5328, ""en"", ""mt"")"),"Bejn wieħed u ieħor kemm hemm oġġetti fil-ġabra tal-ħġieġ tal-V &amp; A?")</f>
        <v>Bejn wieħed u ieħor kemm hemm oġġetti fil-ġabra tal-ħġieġ tal-V &amp; A?</v>
      </c>
    </row>
    <row r="5329" ht="15.75" customHeight="1">
      <c r="A5329" s="2" t="s">
        <v>5329</v>
      </c>
      <c r="B5329" s="2" t="str">
        <f>IFERROR(__xludf.DUMMYFUNCTION("GOOGLETRANSLATE(A5329, ""en"", ""mt"")"),"Enerġija elettrika trasmessa")</f>
        <v>Enerġija elettrika trasmessa</v>
      </c>
    </row>
    <row r="5330" ht="15.75" customHeight="1">
      <c r="A5330" s="2" t="s">
        <v>5330</v>
      </c>
      <c r="B5330" s="2" t="str">
        <f>IFERROR(__xludf.DUMMYFUNCTION("GOOGLETRANSLATE(A5330, ""en"", ""mt"")"),"endosymbiont diatom")</f>
        <v>endosymbiont diatom</v>
      </c>
    </row>
    <row r="5331" ht="15.75" customHeight="1">
      <c r="A5331" s="2" t="s">
        <v>5331</v>
      </c>
      <c r="B5331" s="2" t="str">
        <f>IFERROR(__xludf.DUMMYFUNCTION("GOOGLETRANSLATE(A5331, ""en"", ""mt"")"),"Wbt")</f>
        <v>Wbt</v>
      </c>
    </row>
    <row r="5332" ht="15.75" customHeight="1">
      <c r="A5332" s="2" t="s">
        <v>5332</v>
      </c>
      <c r="B5332" s="2" t="str">
        <f>IFERROR(__xludf.DUMMYFUNCTION("GOOGLETRANSLATE(A5332, ""en"", ""mt"")"),"Għal xiex ittamaw in-nies tan-negozju tal-Kenja meta ltaqgħu maċ-Ċiniżi?")</f>
        <v>Għal xiex ittamaw in-nies tan-negozju tal-Kenja meta ltaqgħu maċ-Ċiniżi?</v>
      </c>
    </row>
    <row r="5333" ht="15.75" customHeight="1">
      <c r="A5333" s="2" t="s">
        <v>5333</v>
      </c>
      <c r="B5333" s="2" t="str">
        <f>IFERROR(__xludf.DUMMYFUNCTION("GOOGLETRANSLATE(A5333, ""en"", ""mt"")"),"0.519, ikklassifikat 145 minn 186 fid-dinja")</f>
        <v>0.519, ikklassifikat 145 minn 186 fid-dinja</v>
      </c>
    </row>
    <row r="5334" ht="15.75" customHeight="1">
      <c r="A5334" s="2" t="s">
        <v>5334</v>
      </c>
      <c r="B5334" s="2" t="str">
        <f>IFERROR(__xludf.DUMMYFUNCTION("GOOGLETRANSLATE(A5334, ""en"", ""mt"")"),"Imperjalizmu kulturali")</f>
        <v>Imperjalizmu kulturali</v>
      </c>
    </row>
    <row r="5335" ht="15.75" customHeight="1">
      <c r="A5335" s="2" t="s">
        <v>5335</v>
      </c>
      <c r="B5335" s="2" t="str">
        <f>IFERROR(__xludf.DUMMYFUNCTION("GOOGLETRANSLATE(A5335, ""en"", ""mt"")"),"Deke Slayton")</f>
        <v>Deke Slayton</v>
      </c>
    </row>
    <row r="5336" ht="15.75" customHeight="1">
      <c r="A5336" s="2" t="s">
        <v>5336</v>
      </c>
      <c r="B5336" s="2" t="str">
        <f>IFERROR(__xludf.DUMMYFUNCTION("GOOGLETRANSLATE(A5336, ""en"", ""mt"")"),"Mujahideen Musulman Afganistan")</f>
        <v>Mujahideen Musulman Afganistan</v>
      </c>
    </row>
    <row r="5337" ht="15.75" customHeight="1">
      <c r="A5337" s="2" t="s">
        <v>5337</v>
      </c>
      <c r="B5337" s="2" t="str">
        <f>IFERROR(__xludf.DUMMYFUNCTION("GOOGLETRANSLATE(A5337, ""en"", ""mt"")"),"F'liema xahar u sena l-AS-258 kien skedat li jniedi?")</f>
        <v>F'liema xahar u sena l-AS-258 kien skedat li jniedi?</v>
      </c>
    </row>
    <row r="5338" ht="15.75" customHeight="1">
      <c r="A5338" s="2" t="s">
        <v>5338</v>
      </c>
      <c r="B5338" s="2" t="str">
        <f>IFERROR(__xludf.DUMMYFUNCTION("GOOGLETRANSLATE(A5338, ""en"", ""mt"")"),"L-immunoloġija hija xjenza li teżamina l-istruttura u l-funzjoni tas-sistema immuni. Joriġina mill-mediċina u studji bikrija dwar il-kawżi tal-immunità għall-mard. L-ewwel referenza magħrufa għall-immunità kienet matul il-pesta ta 'Ateni fl-430 QK. Thucyd"&amp;"ides innota li nies li rkupraw minn bout preċedenti tal-marda jistgħu jreddgħu lill-morda mingħajr ma jikkuntrattaw il-marda għat-tieni darba. Fis-seklu 18, Pierre-Louis Moreau de Maupertuis għamel esperimenti bil-velenu tal-iskorpjun u osserva li ċerti k"&amp;"lieb u ġrieden kienu immuni għal dan il-velenu. Dan u osservazzjonijiet oħra ta 'immunità akkwistata ġew sfruttati aktar tard minn Louis Pasteur fl-iżvilupp tiegħu ta' tilqim u t-teorija tal-ġermen proposta tiegħu tal-marda. It-teorija ta 'Pasteur kienet "&amp;"f'oppożizzjoni diretta għat-teoriji kontemporanji tal-mard, bħat-teorija ta' Miasma. Ma kienx il-provi tal-1891 ta 'Robert Koch, li għalihom ingħata Premju Nobel fl-1905, li l-mikro-organiżmi ġew ikkonfermati bħala l-kawża ta' mard infettiv. Il-virus ġew "&amp;"ikkonfermati bħala patoġeni umani fl-1901, bl-iskoperta tal-virus tad-deni isfar minn Walter Reed.")</f>
        <v>L-immunoloġija hija xjenza li teżamina l-istruttura u l-funzjoni tas-sistema immuni. Joriġina mill-mediċina u studji bikrija dwar il-kawżi tal-immunità għall-mard. L-ewwel referenza magħrufa għall-immunità kienet matul il-pesta ta 'Ateni fl-430 QK. Thucydides innota li nies li rkupraw minn bout preċedenti tal-marda jistgħu jreddgħu lill-morda mingħajr ma jikkuntrattaw il-marda għat-tieni darba. Fis-seklu 18, Pierre-Louis Moreau de Maupertuis għamel esperimenti bil-velenu tal-iskorpjun u osserva li ċerti klieb u ġrieden kienu immuni għal dan il-velenu. Dan u osservazzjonijiet oħra ta 'immunità akkwistata ġew sfruttati aktar tard minn Louis Pasteur fl-iżvilupp tiegħu ta' tilqim u t-teorija tal-ġermen proposta tiegħu tal-marda. It-teorija ta 'Pasteur kienet f'oppożizzjoni diretta għat-teoriji kontemporanji tal-mard, bħat-teorija ta' Miasma. Ma kienx il-provi tal-1891 ta 'Robert Koch, li għalihom ingħata Premju Nobel fl-1905, li l-mikro-organiżmi ġew ikkonfermati bħala l-kawża ta' mard infettiv. Il-virus ġew ikkonfermati bħala patoġeni umani fl-1901, bl-iskoperta tal-virus tad-deni isfar minn Walter Reed.</v>
      </c>
    </row>
    <row r="5339" ht="15.75" customHeight="1">
      <c r="A5339" s="2" t="s">
        <v>5339</v>
      </c>
      <c r="B5339" s="2" t="str">
        <f>IFERROR(__xludf.DUMMYFUNCTION("GOOGLETRANSLATE(A5339, ""en"", ""mt"")"),"Matul l-istorja twila tal-programm, kien hemm rivelazzjonijiet dwar it-tabib li qajmu mistoqsijiet addizzjonali. Fil-Moħħ ta 'Morbius (1976), ġie x'jifhem li l-ewwel tabib ma setax kien l-ewwel inkarnazzjoni (għalkemm l-uċuħ l-oħra mpinġi setgħu kienu ink"&amp;"arnazzjonijiet taż-żmien Lord Morbius). Fl-istejjer sussegwenti l-ewwel tabib kien jidher bħala l-ewwel inkarnazzjoni tat-tabib. F'Mawdryn Undead (1983), il-ħames tabib ikkonferma b'mod espliċitu li dak iż-żmien kien bħalissa fil-ħames inkarnazzjoni tiegħ"&amp;"u. Aktar tard dik l-istess sena, matul l-20 anniversarju speċjali tal-1983 Il-Ħames Tobba, l-ewwel Tabib jistaqsi fir-rigward tar-riġenerazzjoni tal-Ħames Tabib; Meta l-ħames tabib jikkonferma ""ir-raba '"", l-ewwel tabib jirrispondi b'mod eċċitat ""it-tj"&amp;"ubija lili. Allura hemm ħamsa minni issa."" Fl-2010, il-ħdax-il tabib bl-istess mod isejjaħ lilu nnifsu ""il-ħdax"" f '""The Lodger"". Fl-episodju tal-2013 ""The Time of the Doctor,"" il-ħdax-il tabib iċċara li kien il-prodott tat-tnax-il riġenerazzjoni, "&amp;"minħabba inkarnazzjoni preċedenti li huwa għażel li ma jgħoddx u wieħed ieħor abort ir-riġenerazzjoni. L-isem il-ħdax għadu użat għal din l-inkarnazzjoni; L-istess episodju juri l-profetizza ""Fall of the Elevth"" li kienet ġiet imrażżna matul is-serje.")</f>
        <v>Matul l-istorja twila tal-programm, kien hemm rivelazzjonijiet dwar it-tabib li qajmu mistoqsijiet addizzjonali. Fil-Moħħ ta 'Morbius (1976), ġie x'jifhem li l-ewwel tabib ma setax kien l-ewwel inkarnazzjoni (għalkemm l-uċuħ l-oħra mpinġi setgħu kienu inkarnazzjonijiet taż-żmien Lord Morbius). Fl-istejjer sussegwenti l-ewwel tabib kien jidher bħala l-ewwel inkarnazzjoni tat-tabib. F'Mawdryn Undead (1983), il-ħames tabib ikkonferma b'mod espliċitu li dak iż-żmien kien bħalissa fil-ħames inkarnazzjoni tiegħu. Aktar tard dik l-istess sena, matul l-20 anniversarju speċjali tal-1983 Il-Ħames Tobba, l-ewwel Tabib jistaqsi fir-rigward tar-riġenerazzjoni tal-Ħames Tabib; Meta l-ħames tabib jikkonferma "ir-raba '", l-ewwel tabib jirrispondi b'mod eċċitat "it-tjubija lili. Allura hemm ħamsa minni issa." Fl-2010, il-ħdax-il tabib bl-istess mod isejjaħ lilu nnifsu "il-ħdax" f '"The Lodger". Fl-episodju tal-2013 "The Time of the Doctor," il-ħdax-il tabib iċċara li kien il-prodott tat-tnax-il riġenerazzjoni, minħabba inkarnazzjoni preċedenti li huwa għażel li ma jgħoddx u wieħed ieħor abort ir-riġenerazzjoni. L-isem il-ħdax għadu użat għal din l-inkarnazzjoni; L-istess episodju juri l-profetizza "Fall of the Elevth" li kienet ġiet imrażżna matul is-serje.</v>
      </c>
    </row>
    <row r="5340" ht="15.75" customHeight="1">
      <c r="A5340" s="2" t="s">
        <v>5340</v>
      </c>
      <c r="B5340" s="2" t="str">
        <f>IFERROR(__xludf.DUMMYFUNCTION("GOOGLETRANSLATE(A5340, ""en"", ""mt"")"),"Kif il-patoġeni jevitaw is-sejbien?")</f>
        <v>Kif il-patoġeni jevitaw is-sejbien?</v>
      </c>
    </row>
    <row r="5341" ht="15.75" customHeight="1">
      <c r="A5341" s="2" t="s">
        <v>5341</v>
      </c>
      <c r="B5341" s="2" t="str">
        <f>IFERROR(__xludf.DUMMYFUNCTION("GOOGLETRANSLATE(A5341, ""en"", ""mt"")"),"B'liema metodu riedet Maududi tbiddel il-qlub u l-imħuħ ta 'individwi?")</f>
        <v>B'liema metodu riedet Maududi tbiddel il-qlub u l-imħuħ ta 'individwi?</v>
      </c>
    </row>
    <row r="5342" ht="15.75" customHeight="1">
      <c r="A5342" s="2" t="s">
        <v>5342</v>
      </c>
      <c r="B5342" s="2" t="str">
        <f>IFERROR(__xludf.DUMMYFUNCTION("GOOGLETRANSLATE(A5342, ""en"", ""mt"")"),"Liema ktieb Luther ttraduċiet fil-Ġermaniż f'dan il-ħin?")</f>
        <v>Liema ktieb Luther ttraduċiet fil-Ġermaniż f'dan il-ħin?</v>
      </c>
    </row>
    <row r="5343" ht="15.75" customHeight="1">
      <c r="A5343" s="2" t="s">
        <v>5343</v>
      </c>
      <c r="B5343" s="2" t="str">
        <f>IFERROR(__xludf.DUMMYFUNCTION("GOOGLETRANSLATE(A5343, ""en"", ""mt"")"),"Skond l-AAA, x'inhu l-persentaġġ tal-pompi tal-gass li spiċċaw mill-petrol?")</f>
        <v>Skond l-AAA, x'inhu l-persentaġġ tal-pompi tal-gass li spiċċaw mill-petrol?</v>
      </c>
    </row>
    <row r="5344" ht="15.75" customHeight="1">
      <c r="A5344" s="2" t="s">
        <v>5344</v>
      </c>
      <c r="B5344" s="2" t="str">
        <f>IFERROR(__xludf.DUMMYFUNCTION("GOOGLETRANSLATE(A5344, ""en"", ""mt"")"),"iżgħar mit-tort")</f>
        <v>iżgħar mit-tort</v>
      </c>
    </row>
    <row r="5345" ht="15.75" customHeight="1">
      <c r="A5345" s="2" t="s">
        <v>5345</v>
      </c>
      <c r="B5345" s="2" t="str">
        <f>IFERROR(__xludf.DUMMYFUNCTION("GOOGLETRANSLATE(A5345, ""en"", ""mt"")"),"Immaġini stampati ta 'Luther li enfasizzaw id-daqs monumentali tiegħu")</f>
        <v>Immaġini stampati ta 'Luther li enfasizzaw id-daqs monumentali tiegħu</v>
      </c>
    </row>
    <row r="5346" ht="15.75" customHeight="1">
      <c r="A5346" s="2" t="s">
        <v>5346</v>
      </c>
      <c r="B5346" s="2" t="str">
        <f>IFERROR(__xludf.DUMMYFUNCTION("GOOGLETRANSLATE(A5346, ""en"", ""mt"")"),"Ir-reġjun jifrex fil-gżejjer misjuba f'liema korp ta 'ilma?")</f>
        <v>Ir-reġjun jifrex fil-gżejjer misjuba f'liema korp ta 'ilma?</v>
      </c>
    </row>
    <row r="5347" ht="15.75" customHeight="1">
      <c r="A5347" s="2" t="s">
        <v>5347</v>
      </c>
      <c r="B5347" s="2" t="str">
        <f>IFERROR(__xludf.DUMMYFUNCTION("GOOGLETRANSLATE(A5347, ""en"", ""mt"")"),"Tim tat-Tiger")</f>
        <v>Tim tat-Tiger</v>
      </c>
    </row>
    <row r="5348" ht="15.75" customHeight="1">
      <c r="A5348" s="2" t="s">
        <v>5348</v>
      </c>
      <c r="B5348" s="2" t="str">
        <f>IFERROR(__xludf.DUMMYFUNCTION("GOOGLETRANSLATE(A5348, ""en"", ""mt"")"),"(1036.20 km)")</f>
        <v>(1036.20 km)</v>
      </c>
    </row>
    <row r="5349" ht="15.75" customHeight="1">
      <c r="A5349" s="2" t="s">
        <v>5349</v>
      </c>
      <c r="B5349" s="2" t="str">
        <f>IFERROR(__xludf.DUMMYFUNCTION("GOOGLETRANSLATE(A5349, ""en"", ""mt"")"),"$ 500 miljun ġew fornuti għall-belt kapitali - ABC għaqda minn liema investitur?")</f>
        <v>$ 500 miljun ġew fornuti għall-belt kapitali - ABC għaqda minn liema investitur?</v>
      </c>
    </row>
    <row r="5350" ht="15.75" customHeight="1">
      <c r="A5350" s="2" t="s">
        <v>5350</v>
      </c>
      <c r="B5350" s="2" t="str">
        <f>IFERROR(__xludf.DUMMYFUNCTION("GOOGLETRANSLATE(A5350, ""en"", ""mt"")"),"F'liema sena tas-seklu 20, Harvard ħareġ dokument importanti dwar l-edukazzjoni fl-Amerika?")</f>
        <v>F'liema sena tas-seklu 20, Harvard ħareġ dokument importanti dwar l-edukazzjoni fl-Amerika?</v>
      </c>
    </row>
    <row r="5351" ht="15.75" customHeight="1">
      <c r="A5351" s="2" t="s">
        <v>5351</v>
      </c>
      <c r="B5351" s="2" t="str">
        <f>IFERROR(__xludf.DUMMYFUNCTION("GOOGLETRANSLATE(A5351, ""en"", ""mt"")"),"Il-kampjonat ħabbar fis-16 ta ’Ottubru, 2012, li ż-żewġ finalisti kienu Sun Life Stadium u Levi’s Stadium. Iż-żona ta 'South Florida / Miami qabel ospitat l-avveniment 10 darbiet (marbuta għal ħafna ma' New Orleans), bl-iktar waħda riċenti hija Super Bowl"&amp;" XLIV fl-2010. Iż-Żona tal-Bajja ta 'San Francisco l-aħħar ospitata fl-1985 (Super Bowl Xix), miżmuma fi Stanford Stadium fi Stanford, California, mirbuħa mit-tim tad-dar 49ers. L-offerta ta 'Miami kienet tiddependi fuq jekk l-istadium għadda minn rinnova"&amp;"zzjonijiet. Madankollu, fit-3 ta 'Mejju, 2013, il-Leġislatura ta' Florida rrifjutat li tapprova l-pjan ta 'finanzjament biex tħallas għar-rinnovazzjonijiet, li tittratta daqqa sinifikanti għaċ-ċansijiet ta' Miami.")</f>
        <v>Il-kampjonat ħabbar fis-16 ta ’Ottubru, 2012, li ż-żewġ finalisti kienu Sun Life Stadium u Levi’s Stadium. Iż-żona ta 'South Florida / Miami qabel ospitat l-avveniment 10 darbiet (marbuta għal ħafna ma' New Orleans), bl-iktar waħda riċenti hija Super Bowl XLIV fl-2010. Iż-Żona tal-Bajja ta 'San Francisco l-aħħar ospitata fl-1985 (Super Bowl Xix), miżmuma fi Stanford Stadium fi Stanford, California, mirbuħa mit-tim tad-dar 49ers. L-offerta ta 'Miami kienet tiddependi fuq jekk l-istadium għadda minn rinnovazzjonijiet. Madankollu, fit-3 ta 'Mejju, 2013, il-Leġislatura ta' Florida rrifjutat li tapprova l-pjan ta 'finanzjament biex tħallas għar-rinnovazzjonijiet, li tittratta daqqa sinifikanti għaċ-ċansijiet ta' Miami.</v>
      </c>
    </row>
    <row r="5352" ht="15.75" customHeight="1">
      <c r="A5352" s="2" t="s">
        <v>5352</v>
      </c>
      <c r="B5352" s="2" t="str">
        <f>IFERROR(__xludf.DUMMYFUNCTION("GOOGLETRANSLATE(A5352, ""en"", ""mt"")"),"1493-1500")</f>
        <v>1493-1500</v>
      </c>
    </row>
    <row r="5353" ht="15.75" customHeight="1">
      <c r="A5353" s="2" t="s">
        <v>5353</v>
      </c>
      <c r="B5353" s="2" t="str">
        <f>IFERROR(__xludf.DUMMYFUNCTION("GOOGLETRANSLATE(A5353, ""en"", ""mt"")"),"Mongoli")</f>
        <v>Mongoli</v>
      </c>
    </row>
    <row r="5354" ht="15.75" customHeight="1">
      <c r="A5354" s="2" t="s">
        <v>5354</v>
      </c>
      <c r="B5354" s="2" t="str">
        <f>IFERROR(__xludf.DUMMYFUNCTION("GOOGLETRANSLATE(A5354, ""en"", ""mt"")"),"li BSKYB żied sostanzjalment il-prezz mitlub għall-kanali")</f>
        <v>li BSKYB żied sostanzjalment il-prezz mitlub għall-kanali</v>
      </c>
    </row>
    <row r="5355" ht="15.75" customHeight="1">
      <c r="A5355" s="2" t="s">
        <v>5355</v>
      </c>
      <c r="B5355" s="2" t="str">
        <f>IFERROR(__xludf.DUMMYFUNCTION("GOOGLETRANSLATE(A5355, ""en"", ""mt"")"),"F'liema għaxar snin ir-Rankine Cycle ħoloq 90% tal-enerġija elettrika?")</f>
        <v>F'liema għaxar snin ir-Rankine Cycle ħoloq 90% tal-enerġija elettrika?</v>
      </c>
    </row>
    <row r="5356" ht="15.75" customHeight="1">
      <c r="A5356" s="2" t="s">
        <v>5356</v>
      </c>
      <c r="B5356" s="2" t="str">
        <f>IFERROR(__xludf.DUMMYFUNCTION("GOOGLETRANSLATE(A5356, ""en"", ""mt"")"),"Il-forza tat-tensjoni fuq tagħbija tista 'tiġi mmultiplikata")</f>
        <v>Il-forza tat-tensjoni fuq tagħbija tista 'tiġi mmultiplikata</v>
      </c>
    </row>
    <row r="5357" ht="15.75" customHeight="1">
      <c r="A5357" s="2" t="s">
        <v>5357</v>
      </c>
      <c r="B5357" s="2" t="str">
        <f>IFERROR(__xludf.DUMMYFUNCTION("GOOGLETRANSLATE(A5357, ""en"", ""mt"")"),"Liema użi ta 'skultura huma rappreżentati fil-kollezzjoni?")</f>
        <v>Liema użi ta 'skultura huma rappreżentati fil-kollezzjoni?</v>
      </c>
    </row>
    <row r="5358" ht="15.75" customHeight="1">
      <c r="A5358" s="2" t="s">
        <v>5358</v>
      </c>
      <c r="B5358" s="2" t="str">
        <f>IFERROR(__xludf.DUMMYFUNCTION("GOOGLETRANSLATE(A5358, ""en"", ""mt"")"),"L-iżvilupp ta 'teoriji fundamentali għall-forzi pproċeda skond il-linji ta' unifikazzjoni ta 'ideat differenti. Pereżempju, Isaac Newton unifika l-forza responsabbli għal oġġetti li jaqgħu fil-wiċċ tad-dinja bil-forza responsabbli għall-orbiti tal-mekkani"&amp;"ka ċelesti fit-teorija universali tiegħu tal-gravitazzjoni. Michael Faraday u James Clerk Maxwell urew li l-forzi elettriċi u manjetiċi ġew unifikati permezz ta ’teorija waħda konsistenti tal-elettromanjetiżmu. Fis-seklu 20, l-iżvilupp tal-mekkanika kwant"&amp;"istika wassal għal fehim modern li l-ewwel tliet forzi fundamentali (kollha ħlief il-gravità) huma manifestazzjonijiet tal-materja (fermions) li jinteraġixxu billi jiskambjaw partiċelli virtwali msejħa bosons tal-gauge. Dan il-mudell standard tal-fiżika t"&amp;"al-partikuli jippreżenta xebh bejn il-forzi u x-xjenzati LED biex ibassru l-unifikazzjoni tal-forzi dgħajfa u elettromanjetiċi fit-teorija tal-elettroweak sussegwentement ikkonfermata mill-osservazzjoni. Il-formulazzjoni sħiħa tal-mudell standard tbassar "&amp;"mekkaniżmu HIGGS li għadu mhux osservat, iżda osservazzjonijiet bħal oxxillazzjonijiet tan-newtrino jindikaw li l-mudell standard mhuwiex komplut. Teorija unifikata kbira li tippermetti l-kombinazzjoni ta 'l-interazzjoni Electroweak mal-forza b'saħħitha h"&amp;"ija miżmuma bħala possibbiltà ma' teoriji kandidati bħas-supersimetrija proposta biex takkomoda wħud mill-problemi mhux solvuti pendenti fil-fiżika. Il-fiżiċi għadhom qed jippruvaw jiżviluppaw mudelli ta 'unifikazzjoni awto-konsistenti li jgħaqqdu l-erba'"&amp;" interazzjonijiet fundamentali kollha fit-teorija ta 'kollox. Einstein ipprova u falla f'dan l-isforz, iżda bħalissa l-aktar approċċ popolari biex twieġeb din il-mistoqsija hija t-teorija tal-kordi.: 212–219")</f>
        <v>L-iżvilupp ta 'teoriji fundamentali għall-forzi pproċeda skond il-linji ta' unifikazzjoni ta 'ideat differenti. Pereżempju, Isaac Newton unifika l-forza responsabbli għal oġġetti li jaqgħu fil-wiċċ tad-dinja bil-forza responsabbli għall-orbiti tal-mekkanika ċelesti fit-teorija universali tiegħu tal-gravitazzjoni. Michael Faraday u James Clerk Maxwell urew li l-forzi elettriċi u manjetiċi ġew unifikati permezz ta ’teorija waħda konsistenti tal-elettromanjetiżmu. Fis-seklu 20, l-iżvilupp tal-mekkanika kwantistika wassal għal fehim modern li l-ewwel tliet forzi fundamentali (kollha ħlief il-gravità) huma manifestazzjonijiet tal-materja (fermions) li jinteraġixxu billi jiskambjaw partiċelli virtwali msejħa bosons tal-gauge. Dan il-mudell standard tal-fiżika tal-partikuli jippreżenta xebh bejn il-forzi u x-xjenzati LED biex ibassru l-unifikazzjoni tal-forzi dgħajfa u elettromanjetiċi fit-teorija tal-elettroweak sussegwentement ikkonfermata mill-osservazzjoni. Il-formulazzjoni sħiħa tal-mudell standard tbassar mekkaniżmu HIGGS li għadu mhux osservat, iżda osservazzjonijiet bħal oxxillazzjonijiet tan-newtrino jindikaw li l-mudell standard mhuwiex komplut. Teorija unifikata kbira li tippermetti l-kombinazzjoni ta 'l-interazzjoni Electroweak mal-forza b'saħħitha hija miżmuma bħala possibbiltà ma' teoriji kandidati bħas-supersimetrija proposta biex takkomoda wħud mill-problemi mhux solvuti pendenti fil-fiżika. Il-fiżiċi għadhom qed jippruvaw jiżviluppaw mudelli ta 'unifikazzjoni awto-konsistenti li jgħaqqdu l-erba' interazzjonijiet fundamentali kollha fit-teorija ta 'kollox. Einstein ipprova u falla f'dan l-isforz, iżda bħalissa l-aktar approċċ popolari biex twieġeb din il-mistoqsija hija t-teorija tal-kordi.: 212–219</v>
      </c>
    </row>
    <row r="5359" ht="15.75" customHeight="1">
      <c r="A5359" s="2" t="s">
        <v>5359</v>
      </c>
      <c r="B5359" s="2" t="str">
        <f>IFERROR(__xludf.DUMMYFUNCTION("GOOGLETRANSLATE(A5359, ""en"", ""mt"")"),"Show tard tard ma 'James Corden")</f>
        <v>Show tard tard ma 'James Corden</v>
      </c>
    </row>
    <row r="5360" ht="15.75" customHeight="1">
      <c r="A5360" s="2" t="s">
        <v>5360</v>
      </c>
      <c r="B5360" s="2" t="str">
        <f>IFERROR(__xludf.DUMMYFUNCTION("GOOGLETRANSLATE(A5360, ""en"", ""mt"")"),"Kemm kienet ogħla l-figura tal-istress ta '42% fl-okkupazzjoni, meta mqabbla ma' impjiegi oħra?")</f>
        <v>Kemm kienet ogħla l-figura tal-istress ta '42% fl-okkupazzjoni, meta mqabbla ma' impjiegi oħra?</v>
      </c>
    </row>
    <row r="5361" ht="15.75" customHeight="1">
      <c r="A5361" s="2" t="s">
        <v>5361</v>
      </c>
      <c r="B5361" s="2" t="str">
        <f>IFERROR(__xludf.DUMMYFUNCTION("GOOGLETRANSLATE(A5361, ""en"", ""mt"")"),"Meta spiċċat l-età tal-imperjalizmu?")</f>
        <v>Meta spiċċat l-età tal-imperjalizmu?</v>
      </c>
    </row>
    <row r="5362" ht="15.75" customHeight="1">
      <c r="A5362" s="2" t="s">
        <v>5362</v>
      </c>
      <c r="B5362" s="2" t="str">
        <f>IFERROR(__xludf.DUMMYFUNCTION("GOOGLETRANSLATE(A5362, ""en"", ""mt"")"),"Għaliex Tanaghrisson kien jappoġġja l-isforzi Ingliżi?")</f>
        <v>Għaliex Tanaghrisson kien jappoġġja l-isforzi Ingliżi?</v>
      </c>
    </row>
    <row r="5363" ht="15.75" customHeight="1">
      <c r="A5363" s="2" t="s">
        <v>5363</v>
      </c>
      <c r="B5363" s="2" t="str">
        <f>IFERROR(__xludf.DUMMYFUNCTION("GOOGLETRANSLATE(A5363, ""en"", ""mt"")"),"Kemm aħwa kellhom Tesla?")</f>
        <v>Kemm aħwa kellhom Tesla?</v>
      </c>
    </row>
    <row r="5364" ht="15.75" customHeight="1">
      <c r="A5364" s="2" t="s">
        <v>5364</v>
      </c>
      <c r="B5364" s="2" t="str">
        <f>IFERROR(__xludf.DUMMYFUNCTION("GOOGLETRANSLATE(A5364, ""en"", ""mt"")"),"Id-diversi gruppi etniċi tal-Kenja tipikament jitkellmu bil-lingwa materna tagħhom fil-komunitajiet tagħhom stess. Iż-żewġ lingwi uffiċjali, l-Ingliż u s-Swaħili, jintużaw fi gradi differenti ta 'ħeffa għall-komunikazzjoni ma' popolazzjonijiet oħra. L-Ing"&amp;"liż huwa mitkellem ħafna fil-kummerċ, l-iskola u l-gvern. L-abitanti peri-urbani u rurali huma inqas multilingwi, b'ħafna f'żoni rurali jitkellmu biss il-lingwi nattivi tagħhom. L-Ingliż Brittaniku jintuża primarjament fil-pajjiż. Barra minn hekk, djalett"&amp;" lokali distint, Ingliż Kenjan, huwa użat minn xi komunitajiet u individwi fil-pajjiż, u fih karatteristiċi uniċi għaliha li kienu ġejjin minn lingwi lokali Bantu, bħas-Swaħili u Kikuyu. Ilha tiżviluppa mill-kolonizzazzjoni u fiha wkoll ċerti elementi tal"&amp;"-Ingliż Amerikan. Sheng huwa cant ibbażat fuq is-Swaħili f'xi żoni urbani. Prinċipalment jikkonsisti f'taħlita ta 'Swaħili u l-Ingliż, huwa eżempju ta' swiċċ tal-kodiċi lingwistiku.")</f>
        <v>Id-diversi gruppi etniċi tal-Kenja tipikament jitkellmu bil-lingwa materna tagħhom fil-komunitajiet tagħhom stess. Iż-żewġ lingwi uffiċjali, l-Ingliż u s-Swaħili, jintużaw fi gradi differenti ta 'ħeffa għall-komunikazzjoni ma' popolazzjonijiet oħra. L-Ingliż huwa mitkellem ħafna fil-kummerċ, l-iskola u l-gvern. L-abitanti peri-urbani u rurali huma inqas multilingwi, b'ħafna f'żoni rurali jitkellmu biss il-lingwi nattivi tagħhom. L-Ingliż Brittaniku jintuża primarjament fil-pajjiż. Barra minn hekk, djalett lokali distint, Ingliż Kenjan, huwa użat minn xi komunitajiet u individwi fil-pajjiż, u fih karatteristiċi uniċi għaliha li kienu ġejjin minn lingwi lokali Bantu, bħas-Swaħili u Kikuyu. Ilha tiżviluppa mill-kolonizzazzjoni u fiha wkoll ċerti elementi tal-Ingliż Amerikan. Sheng huwa cant ibbażat fuq is-Swaħili f'xi żoni urbani. Prinċipalment jikkonsisti f'taħlita ta 'Swaħili u l-Ingliż, huwa eżempju ta' swiċċ tal-kodiċi lingwistiku.</v>
      </c>
    </row>
    <row r="5365" ht="15.75" customHeight="1">
      <c r="A5365" s="2" t="s">
        <v>5365</v>
      </c>
      <c r="B5365" s="2" t="str">
        <f>IFERROR(__xludf.DUMMYFUNCTION("GOOGLETRANSLATE(A5365, ""en"", ""mt"")"),"Lewkoċiti (ċelloli bojod tad-demm)")</f>
        <v>Lewkoċiti (ċelloli bojod tad-demm)</v>
      </c>
    </row>
    <row r="5366" ht="15.75" customHeight="1">
      <c r="A5366" s="2" t="s">
        <v>5366</v>
      </c>
      <c r="B5366" s="2" t="str">
        <f>IFERROR(__xludf.DUMMYFUNCTION("GOOGLETRANSLATE(A5366, ""en"", ""mt"")"),"Iċ-ċelloli T qattiel huma sotto-grupp ta 'ċelloli T li joqtlu ċelloli li huma infettati bil-viruses (u patoġeni oħra), jew li huma bil-ħsara mod ieħor jew disfunzjonali. Bħal fiċ-ċelloli B, kull tip ta 'ċellula T jirrikonoxxi antiġen differenti. Iċ-ċellol"&amp;"i T qattiel huma attivati ​​meta r-riċettur taċ-ċelloli T tagħhom (TCR) jeħel ma 'dan l-antiġen speċifiku f'kumpless mar-riċettur tal-klassi I MHC ta' ċellula oħra. Ir-rikonoxximent ta 'dan l-MHC: kumpless antiġen huwa megħjun minn ko-riċettur fuq iċ-ċell"&amp;"ula T, imsejjaħ CD8. Iċ-ċellula T imbagħad tivvjaġġa madwar il-ġisem fit-tfittxija ta 'ċelloli fejn ir-riċetturi MHC I għandhom dan l-antiġen. Meta ċelloli T attivati ​​jikkuntattjaw tali ċelloli, jirrilaxxa ċitotossini, bħal perforin, li jiffurmaw pori f"&amp;"il-membrana tal-plażma taċ-ċellula fil-mira, li jippermettu joni, ilma u tossini biex jidħlu. Id-dħul ta 'tossina oħra msejħa granulysin (protease) tinduċi ċ-ċellula fil-mira biex tgħaddi minn apoptożi. Il-qtil taċ-ċelloli T taċ-ċelloli ospitanti huwa par"&amp;"tikolarment importanti fil-prevenzjoni tar-replikazzjoni tal-viruses. L-attivazzjoni taċ-ċelloli T hija kkontrollata sewwa u ġeneralment teħtieġ sinjal ta 'attivazzjoni ta' Antigen MHC / antigen qawwi ħafna, jew sinjali ta 'attivazzjoni addizzjonali pprov"&amp;"duti minn ċelloli T ""helper"" (ara hawn taħt).")</f>
        <v>Iċ-ċelloli T qattiel huma sotto-grupp ta 'ċelloli T li joqtlu ċelloli li huma infettati bil-viruses (u patoġeni oħra), jew li huma bil-ħsara mod ieħor jew disfunzjonali. Bħal fiċ-ċelloli B, kull tip ta 'ċellula T jirrikonoxxi antiġen differenti. Iċ-ċelloli T qattiel huma attivati ​​meta r-riċettur taċ-ċelloli T tagħhom (TCR) jeħel ma 'dan l-antiġen speċifiku f'kumpless mar-riċettur tal-klassi I MHC ta' ċellula oħra. Ir-rikonoxximent ta 'dan l-MHC: kumpless antiġen huwa megħjun minn ko-riċettur fuq iċ-ċellula T, imsejjaħ CD8. Iċ-ċellula T imbagħad tivvjaġġa madwar il-ġisem fit-tfittxija ta 'ċelloli fejn ir-riċetturi MHC I għandhom dan l-antiġen. Meta ċelloli T attivati ​​jikkuntattjaw tali ċelloli, jirrilaxxa ċitotossini, bħal perforin, li jiffurmaw pori fil-membrana tal-plażma taċ-ċellula fil-mira, li jippermettu joni, ilma u tossini biex jidħlu. Id-dħul ta 'tossina oħra msejħa granulysin (protease) tinduċi ċ-ċellula fil-mira biex tgħaddi minn apoptożi. Il-qtil taċ-ċelloli T taċ-ċelloli ospitanti huwa partikolarment importanti fil-prevenzjoni tar-replikazzjoni tal-viruses. L-attivazzjoni taċ-ċelloli T hija kkontrollata sewwa u ġeneralment teħtieġ sinjal ta 'attivazzjoni ta' Antigen MHC / antigen qawwi ħafna, jew sinjali ta 'attivazzjoni addizzjonali pprovduti minn ċelloli T "helper" (ara hawn taħt).</v>
      </c>
    </row>
    <row r="5367" ht="15.75" customHeight="1">
      <c r="A5367" s="2" t="s">
        <v>5367</v>
      </c>
      <c r="B5367" s="2" t="str">
        <f>IFERROR(__xludf.DUMMYFUNCTION("GOOGLETRANSLATE(A5367, ""en"", ""mt"")"),"Apollo Mount Telescope")</f>
        <v>Apollo Mount Telescope</v>
      </c>
    </row>
    <row r="5368" ht="15.75" customHeight="1">
      <c r="A5368" s="2" t="s">
        <v>5368</v>
      </c>
      <c r="B5368" s="2" t="str">
        <f>IFERROR(__xludf.DUMMYFUNCTION("GOOGLETRANSLATE(A5368, ""en"", ""mt"")"),"gwerra sekulari")</f>
        <v>gwerra sekulari</v>
      </c>
    </row>
    <row r="5369" ht="15.75" customHeight="1">
      <c r="A5369" s="2" t="s">
        <v>5369</v>
      </c>
      <c r="B5369" s="2" t="str">
        <f>IFERROR(__xludf.DUMMYFUNCTION("GOOGLETRANSLATE(A5369, ""en"", ""mt"")"),"USSR's")</f>
        <v>USSR's</v>
      </c>
    </row>
    <row r="5370" ht="15.75" customHeight="1">
      <c r="A5370" s="2" t="s">
        <v>5370</v>
      </c>
      <c r="B5370" s="2" t="str">
        <f>IFERROR(__xludf.DUMMYFUNCTION("GOOGLETRANSLATE(A5370, ""en"", ""mt"")"),"Xmara Vistula")</f>
        <v>Xmara Vistula</v>
      </c>
    </row>
    <row r="5371" ht="15.75" customHeight="1">
      <c r="A5371" s="2" t="s">
        <v>5371</v>
      </c>
      <c r="B5371" s="2" t="str">
        <f>IFERROR(__xludf.DUMMYFUNCTION("GOOGLETRANSLATE(A5371, ""en"", ""mt"")"),"Ma 'min għamlu l-attakki l-iktar?")</f>
        <v>Ma 'min għamlu l-attakki l-iktar?</v>
      </c>
    </row>
    <row r="5372" ht="15.75" customHeight="1">
      <c r="A5372" s="2" t="s">
        <v>5372</v>
      </c>
      <c r="B5372" s="2" t="str">
        <f>IFERROR(__xludf.DUMMYFUNCTION("GOOGLETRANSLATE(A5372, ""en"", ""mt"")"),"X'inhi l-iktar forma komuni ta 'ossiġnu fuq il-pjaneta?")</f>
        <v>X'inhi l-iktar forma komuni ta 'ossiġnu fuq il-pjaneta?</v>
      </c>
    </row>
    <row r="5373" ht="15.75" customHeight="1">
      <c r="A5373" s="2" t="s">
        <v>5373</v>
      </c>
      <c r="B5373" s="2" t="str">
        <f>IFERROR(__xludf.DUMMYFUNCTION("GOOGLETRANSLATE(A5373, ""en"", ""mt"")"),"Il-Knisja Kattolika Rumana")</f>
        <v>Il-Knisja Kattolika Rumana</v>
      </c>
    </row>
    <row r="5374" ht="15.75" customHeight="1">
      <c r="A5374" s="2" t="s">
        <v>5374</v>
      </c>
      <c r="B5374" s="2" t="str">
        <f>IFERROR(__xludf.DUMMYFUNCTION("GOOGLETRANSLATE(A5374, ""en"", ""mt"")"),"1765")</f>
        <v>1765</v>
      </c>
    </row>
    <row r="5375" ht="15.75" customHeight="1">
      <c r="A5375" s="2" t="s">
        <v>5375</v>
      </c>
      <c r="B5375" s="2" t="str">
        <f>IFERROR(__xludf.DUMMYFUNCTION("GOOGLETRANSLATE(A5375, ""en"", ""mt"")"),"Liema sena l-università fetħet ċentru f'Hong Kong?")</f>
        <v>Liema sena l-università fetħet ċentru f'Hong Kong?</v>
      </c>
    </row>
    <row r="5376" ht="15.75" customHeight="1">
      <c r="A5376" s="2" t="s">
        <v>5376</v>
      </c>
      <c r="B5376" s="2" t="str">
        <f>IFERROR(__xludf.DUMMYFUNCTION("GOOGLETRANSLATE(A5376, ""en"", ""mt"")"),"1,600 mil")</f>
        <v>1,600 mil</v>
      </c>
    </row>
    <row r="5377" ht="15.75" customHeight="1">
      <c r="A5377" s="2" t="s">
        <v>5377</v>
      </c>
      <c r="B5377" s="2" t="str">
        <f>IFERROR(__xludf.DUMMYFUNCTION("GOOGLETRANSLATE(A5377, ""en"", ""mt"")"),"Preschool Targest liema età tat-tfal?")</f>
        <v>Preschool Targest liema età tat-tfal?</v>
      </c>
    </row>
    <row r="5378" ht="15.75" customHeight="1">
      <c r="A5378" s="2" t="s">
        <v>5378</v>
      </c>
      <c r="B5378" s="2" t="str">
        <f>IFERROR(__xludf.DUMMYFUNCTION("GOOGLETRANSLATE(A5378, ""en"", ""mt"")"),"Kemm-il proġett jinduna ċ-ċentru bħalissa fis-sena?")</f>
        <v>Kemm-il proġett jinduna ċ-ċentru bħalissa fis-sena?</v>
      </c>
    </row>
    <row r="5379" ht="15.75" customHeight="1">
      <c r="A5379" s="2" t="s">
        <v>5379</v>
      </c>
      <c r="B5379" s="2" t="str">
        <f>IFERROR(__xludf.DUMMYFUNCTION("GOOGLETRANSLATE(A5379, ""en"", ""mt"")"),"Fil-31 ta 'Ottubru 1517, Luther kiteb lill-isqof tiegħu, Albert ta' Mainz, li pprotesta l-bejgħ ta 'indulġenzi. Huwa magħluq fl-ittra tiegħu kopja tat- ""tilwima tiegħu ta 'Martin Luther dwar il-poter u l-effikaċja ta' l-indulġenzi"", li saret magħrufa bħ"&amp;"ala l-ħamsa u disgħin teżi. Hans Hillerbrand jikteb li Luther ma kellu l-ebda intenzjoni li jiffaċċja l-knisja, iżda ra t-tilwima tiegħu bħala oġġezzjoni akkademika għall-prattiki tal-knisja, u t-ton tal-kitba huwa għalhekk ""tiftix, aktar milli duttrinai"&amp;"re."" Hillerbrand jikteb li madankollu hemm nuqqas ta 'kurrent ta' sfida f'bosta mit-teżijiet, partikolarment fit-Teżi 86, li jistaqsi: ""Għaliex il-Papa, li l-ġid tiegħu llum huwa akbar mill-ġid tal-aktar sinjur Crassus, jibni l-bażilika ta 'San Pietru B"&amp;"il-flus ta 'dawk li jemmnu foqra aktar milli bil-flus tiegħu stess? """)</f>
        <v>Fil-31 ta 'Ottubru 1517, Luther kiteb lill-isqof tiegħu, Albert ta' Mainz, li pprotesta l-bejgħ ta 'indulġenzi. Huwa magħluq fl-ittra tiegħu kopja tat- "tilwima tiegħu ta 'Martin Luther dwar il-poter u l-effikaċja ta' l-indulġenzi", li saret magħrufa bħala l-ħamsa u disgħin teżi. Hans Hillerbrand jikteb li Luther ma kellu l-ebda intenzjoni li jiffaċċja l-knisja, iżda ra t-tilwima tiegħu bħala oġġezzjoni akkademika għall-prattiki tal-knisja, u t-ton tal-kitba huwa għalhekk "tiftix, aktar milli duttrinaire." Hillerbrand jikteb li madankollu hemm nuqqas ta 'kurrent ta' sfida f'bosta mit-teżijiet, partikolarment fit-Teżi 86, li jistaqsi: "Għaliex il-Papa, li l-ġid tiegħu llum huwa akbar mill-ġid tal-aktar sinjur Crassus, jibni l-bażilika ta 'San Pietru Bil-flus ta 'dawk li jemmnu foqra aktar milli bil-flus tiegħu stess? "</v>
      </c>
    </row>
    <row r="5380" ht="15.75" customHeight="1">
      <c r="A5380" s="2" t="s">
        <v>5380</v>
      </c>
      <c r="B5380" s="2" t="str">
        <f>IFERROR(__xludf.DUMMYFUNCTION("GOOGLETRANSLATE(A5380, ""en"", ""mt"")"),"F'liema sena ħareġ l-ewwel Doctor Who Audiobook?")</f>
        <v>F'liema sena ħareġ l-ewwel Doctor Who Audiobook?</v>
      </c>
    </row>
    <row r="5381" ht="15.75" customHeight="1">
      <c r="A5381" s="2" t="s">
        <v>5381</v>
      </c>
      <c r="B5381" s="2" t="str">
        <f>IFERROR(__xludf.DUMMYFUNCTION("GOOGLETRANSLATE(A5381, ""en"", ""mt"")"),"Liema Rive jingħaqad mar-Rhine f'Duisburg?")</f>
        <v>Liema Rive jingħaqad mar-Rhine f'Duisburg?</v>
      </c>
    </row>
    <row r="5382" ht="15.75" customHeight="1">
      <c r="A5382" s="2" t="s">
        <v>5382</v>
      </c>
      <c r="B5382" s="2" t="str">
        <f>IFERROR(__xludf.DUMMYFUNCTION("GOOGLETRANSLATE(A5382, ""en"", ""mt"")"),"Min kien il-ħabs fi Newcastle mill-Iskoċċiżi fl-1646 sal-1647?")</f>
        <v>Min kien il-ħabs fi Newcastle mill-Iskoċċiżi fl-1646 sal-1647?</v>
      </c>
    </row>
    <row r="5383" ht="15.75" customHeight="1">
      <c r="A5383" s="2" t="s">
        <v>5383</v>
      </c>
      <c r="B5383" s="2" t="str">
        <f>IFERROR(__xludf.DUMMYFUNCTION("GOOGLETRANSLATE(A5383, ""en"", ""mt"")"),"iddestinat għal perdition")</f>
        <v>iddestinat għal perdition</v>
      </c>
    </row>
    <row r="5384" ht="15.75" customHeight="1">
      <c r="A5384" s="2" t="s">
        <v>5384</v>
      </c>
      <c r="B5384" s="2" t="str">
        <f>IFERROR(__xludf.DUMMYFUNCTION("GOOGLETRANSLATE(A5384, ""en"", ""mt"")"),"Tekniki ġodda tal-kostruzzjoni tal-bini qed jiġu riċerkati, magħmula possibbli permezz ta 'avvanzi fit-teknoloġija tal-istampar 3D. F'forma ta 'kostruzzjoni ta' bini addittiv, simili għat-tekniki tal-manifattura tal-addittivi għal partijiet manifatturati,"&amp;" l-istampar tal-bini qed jagħmilha possibbli li jinbnew b'mod flessibbli bini kummerċjali żgħar u abitazzjonijiet privati ​​f'madwar 20 siegħa, b'faċilitajiet integrati u elettriċi, f'faċilitajiet elettriċi, f'waħda kontinwa Ibni, billi tuża printers 3D k"&amp;"bar. Verżjonijiet tax-xogħol tat-teknoloġija tal-bini tal-istampar 3D diġà qed jistampaw 2 metri (6 ft 7 in) ta 'materjal tal-bini fis-siegħa minn Jannar 2013 [aġġornament], bl-istampaturi tal-ġenerazzjoni li jmiss kapaċi ta' 3.5 metri (11 ft) fis-siegħa,"&amp;" suffiċjenti Biex tlesti bini f'ġimgħa. L-arkitettura performattiva tal-perit Olandiż Janjaap Ruijssenaars hija skedata li tinbena fl-2014.")</f>
        <v>Tekniki ġodda tal-kostruzzjoni tal-bini qed jiġu riċerkati, magħmula possibbli permezz ta 'avvanzi fit-teknoloġija tal-istampar 3D. F'forma ta 'kostruzzjoni ta' bini addittiv, simili għat-tekniki tal-manifattura tal-addittivi għal partijiet manifatturati, l-istampar tal-bini qed jagħmilha possibbli li jinbnew b'mod flessibbli bini kummerċjali żgħar u abitazzjonijiet privati ​​f'madwar 20 siegħa, b'faċilitajiet integrati u elettriċi, f'faċilitajiet elettriċi, f'waħda kontinwa Ibni, billi tuża printers 3D kbar. Verżjonijiet tax-xogħol tat-teknoloġija tal-bini tal-istampar 3D diġà qed jistampaw 2 metri (6 ft 7 in) ta 'materjal tal-bini fis-siegħa minn Jannar 2013 [aġġornament], bl-istampaturi tal-ġenerazzjoni li jmiss kapaċi ta' 3.5 metri (11 ft) fis-siegħa, suffiċjenti Biex tlesti bini f'ġimgħa. L-arkitettura performattiva tal-perit Olandiż Janjaap Ruijssenaars hija skedata li tinbena fl-2014.</v>
      </c>
    </row>
    <row r="5385" ht="15.75" customHeight="1">
      <c r="A5385" s="2" t="s">
        <v>5385</v>
      </c>
      <c r="B5385" s="2" t="str">
        <f>IFERROR(__xludf.DUMMYFUNCTION("GOOGLETRANSLATE(A5385, ""en"", ""mt"")"),"Virgin Media (immarkata mill-ġdid fl-2007 minn NTL: Telewest) bdiet toffri televiżjoni ta 'definizzjoni għolja (HDTV) li tista' tissettja l-aqwa kaxxa, għalkemm mit-30 ta 'Novembru 2006 sat-30 ta' Lulju 2009 hija ġabet biss kanal HD lineari, BBC HD, wara "&amp;"il-konklużjoni tal-prova ITV HD. Virgin Media sostniet li kanali HD oħra kienu ""maqfula"" jew inkella miżmuma mill-pjattaforma tagħhom, għalkemm Virgin Media fil-fatt kellha l-għażla li ġġorr Channel 4 HD fil-futur. Madankollu, il-kanali lineari ma ġewx "&amp;"offruti, Virgin Media minflok tikkonċentra fuq is-servizz tal-vidjow fuq talba tagħha biex iġġorr għażla modesta ta 'kontenut HD. Virgin Media madankollu għamlet numru ta 'dikjarazzjonijiet matul is-snin, li tissuġġerixxi li hemm aktar kanali HD lineari f"&amp;"it-triq.")</f>
        <v>Virgin Media (immarkata mill-ġdid fl-2007 minn NTL: Telewest) bdiet toffri televiżjoni ta 'definizzjoni għolja (HDTV) li tista' tissettja l-aqwa kaxxa, għalkemm mit-30 ta 'Novembru 2006 sat-30 ta' Lulju 2009 hija ġabet biss kanal HD lineari, BBC HD, wara il-konklużjoni tal-prova ITV HD. Virgin Media sostniet li kanali HD oħra kienu "maqfula" jew inkella miżmuma mill-pjattaforma tagħhom, għalkemm Virgin Media fil-fatt kellha l-għażla li ġġorr Channel 4 HD fil-futur. Madankollu, il-kanali lineari ma ġewx offruti, Virgin Media minflok tikkonċentra fuq is-servizz tal-vidjow fuq talba tagħha biex iġġorr għażla modesta ta 'kontenut HD. Virgin Media madankollu għamlet numru ta 'dikjarazzjonijiet matul is-snin, li tissuġġerixxi li hemm aktar kanali HD lineari fit-triq.</v>
      </c>
    </row>
    <row r="5386" ht="15.75" customHeight="1">
      <c r="A5386" s="2" t="s">
        <v>5386</v>
      </c>
      <c r="B5386" s="2" t="str">
        <f>IFERROR(__xludf.DUMMYFUNCTION("GOOGLETRANSLATE(A5386, ""en"", ""mt"")"),"Shangdu")</f>
        <v>Shangdu</v>
      </c>
    </row>
    <row r="5387" ht="15.75" customHeight="1">
      <c r="A5387" s="2" t="s">
        <v>5387</v>
      </c>
      <c r="B5387" s="2" t="str">
        <f>IFERROR(__xludf.DUMMYFUNCTION("GOOGLETRANSLATE(A5387, ""en"", ""mt"")"),"sorveljanza")</f>
        <v>sorveljanza</v>
      </c>
    </row>
    <row r="5388" ht="15.75" customHeight="1">
      <c r="A5388" s="2" t="s">
        <v>5388</v>
      </c>
      <c r="B5388" s="2" t="str">
        <f>IFERROR(__xludf.DUMMYFUNCTION("GOOGLETRANSLATE(A5388, ""en"", ""mt"")"),"Massachusetts Bay Colony")</f>
        <v>Massachusetts Bay Colony</v>
      </c>
    </row>
    <row r="5389" ht="15.75" customHeight="1">
      <c r="A5389" s="2" t="s">
        <v>5389</v>
      </c>
      <c r="B5389" s="2" t="str">
        <f>IFERROR(__xludf.DUMMYFUNCTION("GOOGLETRANSLATE(A5389, ""en"", ""mt"")"),"Biex tagħmel leġislazzjoni ġdida, l-Artikolu 294 tat-TFEU jiddefinixxi l- ""proċedura leġiżlattiva ordinarja"" li tapplika għall-biċċa l-kbira tal-atti tal-UE. L-essenza hija li hemm tliet qari, li jibdew bi proposta ta 'kummissjoni, fejn il-parlament iri"&amp;"d jivvota b'maġġoranza tal-MEPs kollha (mhux biss dawk preżenti) biex jimblokka jew jissuġġerixxi bidliet, u l-kunsill għandu jivvota b'maġġoranza kwalifikata biex japprova bidliet, iżda bl-unanimità biex timblokka l-emenda tal-kummissjoni. Meta l-istituz"&amp;"zjonijiet differenti ma jistgħux jaqblu fi kwalunkwe stadju, huwa mlaqqa '""kumitat ta' konċiljazzjoni"", li jirrappreżenta lill-MEPs, lill-ministri u lill-Kummissjoni biex jippruvaw jiksbu ftehim fuq test konġunt: jekk dan jaħdem, dan jintbagħat lura lil"&amp;"l-Parlament u l-Kunsill biex japprova b'maġġoranza assoluta u kwalifikata. Dan ifisser, il-leġiżlazzjoni tista 'tiġi mblukkata b'maġġoranza fil-Parlament, minoranza fil-kunsill, u maġġoranza fil-kummissjoni: huwa iktar diffiċli li tinbidel il-liġi tal-UE "&amp;"milli tibqa' l-istess. Proċedura differenti teżisti għall-baġits. Għal ""kooperazzjoni msaħħa"" fost sotto-sett ta 'mill-inqas stati membri, l-awtorizzazzjoni għandha tingħata mill-kunsill. Il-gvernijiet tal-Istat Membru għandhom jiġu infurmati mill-Kummi"&amp;"ssjoni mill-bidu qabel ma kwalunkwe proposta tibda l-proċedura leġiżlattiva. L-UE kollha kemm hi tista 'taġixxi biss fil-poter tagħha stabbilita fit-trattati. L-Artikoli 4 u 5 tat-TEU jiddikjaraw li s-setgħat jibqgħu mal-istati membri sakemm ma jkunux ġew"&amp;" mogħtija, għalkemm hemm dibattitu dwar il-mistoqsija Kompetenz-Kompetenz: li fl-aħħar għandu l- ""kompetenza"" biex jiddefinixxi l- ""kompetenza"" tal-UE. Bosta qrati tal-istat membri jemmnu li jiddeċiedu, parlamenti oħra tal-istat membri jemmnu li jidde"&amp;"ċiedu, waqt li fl-UE, il-Qorti tal-Ġustizzja temmen li għandha l-aħħar kelma.")</f>
        <v>Biex tagħmel leġislazzjoni ġdida, l-Artikolu 294 tat-TFEU jiddefinixxi l- "proċedura leġiżlattiva ordinarja" li tapplika għall-biċċa l-kbira tal-atti tal-UE. L-essenza hija li hemm tliet qari, li jibdew bi proposta ta 'kummissjoni, fejn il-parlament irid jivvota b'maġġoranza tal-MEPs kollha (mhux biss dawk preżenti) biex jimblokka jew jissuġġerixxi bidliet, u l-kunsill għandu jivvota b'maġġoranza kwalifikata biex japprova bidliet, iżda bl-unanimità biex timblokka l-emenda tal-kummissjoni. Meta l-istituzzjonijiet differenti ma jistgħux jaqblu fi kwalunkwe stadju, huwa mlaqqa '"kumitat ta' konċiljazzjoni", li jirrappreżenta lill-MEPs, lill-ministri u lill-Kummissjoni biex jippruvaw jiksbu ftehim fuq test konġunt: jekk dan jaħdem, dan jintbagħat lura lill-Parlament u l-Kunsill biex japprova b'maġġoranza assoluta u kwalifikata. Dan ifisser, il-leġiżlazzjoni tista 'tiġi mblukkata b'maġġoranza fil-Parlament, minoranza fil-kunsill, u maġġoranza fil-kummissjoni: huwa iktar diffiċli li tinbidel il-liġi tal-UE milli tibqa' l-istess. Proċedura differenti teżisti għall-baġits. Għal "kooperazzjoni msaħħa" fost sotto-sett ta 'mill-inqas stati membri, l-awtorizzazzjoni għandha tingħata mill-kunsill. Il-gvernijiet tal-Istat Membru għandhom jiġu infurmati mill-Kummissjoni mill-bidu qabel ma kwalunkwe proposta tibda l-proċedura leġiżlattiva. L-UE kollha kemm hi tista 'taġixxi biss fil-poter tagħha stabbilita fit-trattati. L-Artikoli 4 u 5 tat-TEU jiddikjaraw li s-setgħat jibqgħu mal-istati membri sakemm ma jkunux ġew mogħtija, għalkemm hemm dibattitu dwar il-mistoqsija Kompetenz-Kompetenz: li fl-aħħar għandu l- "kompetenza" biex jiddefinixxi l- "kompetenza" tal-UE. Bosta qrati tal-istat membri jemmnu li jiddeċiedu, parlamenti oħra tal-istat membri jemmnu li jiddeċiedu, waqt li fl-UE, il-Qorti tal-Ġustizzja temmen li għandha l-aħħar kelma.</v>
      </c>
    </row>
    <row r="5390" ht="15.75" customHeight="1">
      <c r="A5390" s="2" t="s">
        <v>5390</v>
      </c>
      <c r="B5390" s="2" t="str">
        <f>IFERROR(__xludf.DUMMYFUNCTION("GOOGLETRANSLATE(A5390, ""en"", ""mt"")"),"Riżoluzzjoni 43/53")</f>
        <v>Riżoluzzjoni 43/53</v>
      </c>
    </row>
    <row r="5391" ht="15.75" customHeight="1">
      <c r="A5391" s="2" t="s">
        <v>5391</v>
      </c>
      <c r="B5391" s="2" t="str">
        <f>IFERROR(__xludf.DUMMYFUNCTION("GOOGLETRANSLATE(A5391, ""en"", ""mt"")"),"X'tip ta 'stat kien il-Khwarezmia?")</f>
        <v>X'tip ta 'stat kien il-Khwarezmia?</v>
      </c>
    </row>
    <row r="5392" ht="15.75" customHeight="1">
      <c r="A5392" s="2" t="s">
        <v>5392</v>
      </c>
      <c r="B5392" s="2" t="str">
        <f>IFERROR(__xludf.DUMMYFUNCTION("GOOGLETRANSLATE(A5392, ""en"", ""mt"")"),"1900")</f>
        <v>1900</v>
      </c>
    </row>
    <row r="5393" ht="15.75" customHeight="1">
      <c r="A5393" s="2" t="s">
        <v>5393</v>
      </c>
      <c r="B5393" s="2" t="str">
        <f>IFERROR(__xludf.DUMMYFUNCTION("GOOGLETRANSLATE(A5393, ""en"", ""mt"")"),"Aċidi grassi, isopentenyl pyrophosphate, raggruppamenti tal-kubrit tal-ħadid")</f>
        <v>Aċidi grassi, isopentenyl pyrophosphate, raggruppamenti tal-kubrit tal-ħadid</v>
      </c>
    </row>
    <row r="5394" ht="15.75" customHeight="1">
      <c r="A5394" s="2" t="s">
        <v>5394</v>
      </c>
      <c r="B5394" s="2" t="str">
        <f>IFERROR(__xludf.DUMMYFUNCTION("GOOGLETRANSLATE(A5394, ""en"", ""mt"")"),"20 miljun uqija")</f>
        <v>20 miljun uqija</v>
      </c>
    </row>
    <row r="5395" ht="15.75" customHeight="1">
      <c r="A5395" s="2" t="s">
        <v>5395</v>
      </c>
      <c r="B5395" s="2" t="str">
        <f>IFERROR(__xludf.DUMMYFUNCTION("GOOGLETRANSLATE(A5395, ""en"", ""mt"")"),"Flimkien ma 'individwi u organizzazzjonijiet privati, liema gruppi kultant imexxi ErgänZungsschulen?")</f>
        <v>Flimkien ma 'individwi u organizzazzjonijiet privati, liema gruppi kultant imexxi ErgänZungsschulen?</v>
      </c>
    </row>
    <row r="5396" ht="15.75" customHeight="1">
      <c r="A5396" s="2" t="s">
        <v>5396</v>
      </c>
      <c r="B5396" s="2" t="str">
        <f>IFERROR(__xludf.DUMMYFUNCTION("GOOGLETRANSLATE(A5396, ""en"", ""mt"")"),"Min innota li l-fehma ta 'Luther dwar ir-ruħ wara l-mewt kienet differenti minn teologi aktar tard?")</f>
        <v>Min innota li l-fehma ta 'Luther dwar ir-ruħ wara l-mewt kienet differenti minn teologi aktar tard?</v>
      </c>
    </row>
    <row r="5397" ht="15.75" customHeight="1">
      <c r="A5397" s="2" t="s">
        <v>5397</v>
      </c>
      <c r="B5397" s="2" t="str">
        <f>IFERROR(__xludf.DUMMYFUNCTION("GOOGLETRANSLATE(A5397, ""en"", ""mt"")"),"X'inhu t-tip ta 'tnaqqis l-iktar impjegat ta' spiss?")</f>
        <v>X'inhu t-tip ta 'tnaqqis l-iktar impjegat ta' spiss?</v>
      </c>
    </row>
    <row r="5398" ht="15.75" customHeight="1">
      <c r="A5398" s="2" t="s">
        <v>5398</v>
      </c>
      <c r="B5398" s="2" t="str">
        <f>IFERROR(__xludf.DUMMYFUNCTION("GOOGLETRANSLATE(A5398, ""en"", ""mt"")"),"X'kien ir-riżultat tar-referendum tal-1967?")</f>
        <v>X'kien ir-riżultat tar-referendum tal-1967?</v>
      </c>
    </row>
    <row r="5399" ht="15.75" customHeight="1">
      <c r="A5399" s="2" t="s">
        <v>5399</v>
      </c>
      <c r="B5399" s="2" t="str">
        <f>IFERROR(__xludf.DUMMYFUNCTION("GOOGLETRANSLATE(A5399, ""en"", ""mt"")"),"Satelliti ta ’Astra")</f>
        <v>Satelliti ta ’Astra</v>
      </c>
    </row>
    <row r="5400" ht="15.75" customHeight="1">
      <c r="A5400" s="2" t="s">
        <v>5400</v>
      </c>
      <c r="B5400" s="2" t="str">
        <f>IFERROR(__xludf.DUMMYFUNCTION("GOOGLETRANSLATE(A5400, ""en"", ""mt"")"),"Min irranġa lil Tesla biex turi s-sistema tiegħu fl-IEEE?")</f>
        <v>Min irranġa lil Tesla biex turi s-sistema tiegħu fl-IEEE?</v>
      </c>
    </row>
    <row r="5401" ht="15.75" customHeight="1">
      <c r="A5401" s="2" t="s">
        <v>5401</v>
      </c>
      <c r="B5401" s="2" t="str">
        <f>IFERROR(__xludf.DUMMYFUNCTION("GOOGLETRANSLATE(A5401, ""en"", ""mt"")"),"Teorija tas-Sistemi Dinjija.")</f>
        <v>Teorija tas-Sistemi Dinjija.</v>
      </c>
    </row>
    <row r="5402" ht="15.75" customHeight="1">
      <c r="A5402" s="2" t="s">
        <v>5402</v>
      </c>
      <c r="B5402" s="2" t="str">
        <f>IFERROR(__xludf.DUMMYFUNCTION("GOOGLETRANSLATE(A5402, ""en"", ""mt"")"),"Hans Vredeman de Vries")</f>
        <v>Hans Vredeman de Vries</v>
      </c>
    </row>
    <row r="5403" ht="15.75" customHeight="1">
      <c r="A5403" s="2" t="s">
        <v>5403</v>
      </c>
      <c r="B5403" s="2" t="str">
        <f>IFERROR(__xludf.DUMMYFUNCTION("GOOGLETRANSLATE(A5403, ""en"", ""mt"")"),"X'inhu l-kobor tal-forza maqsum minn meta tiġi miżjuda forza esterna?")</f>
        <v>X'inhu l-kobor tal-forza maqsum minn meta tiġi miżjuda forza esterna?</v>
      </c>
    </row>
    <row r="5404" ht="15.75" customHeight="1">
      <c r="A5404" s="2" t="s">
        <v>5404</v>
      </c>
      <c r="B5404" s="2" t="str">
        <f>IFERROR(__xludf.DUMMYFUNCTION("GOOGLETRANSLATE(A5404, ""en"", ""mt"")"),"0.2")</f>
        <v>0.2</v>
      </c>
    </row>
    <row r="5405" ht="15.75" customHeight="1">
      <c r="A5405" s="2" t="s">
        <v>5405</v>
      </c>
      <c r="B5405" s="2" t="str">
        <f>IFERROR(__xludf.DUMMYFUNCTION("GOOGLETRANSLATE(A5405, ""en"", ""mt"")"),"pagi aktar baxxi")</f>
        <v>pagi aktar baxxi</v>
      </c>
    </row>
    <row r="5406" ht="15.75" customHeight="1">
      <c r="A5406" s="2" t="s">
        <v>5406</v>
      </c>
      <c r="B5406" s="2" t="str">
        <f>IFERROR(__xludf.DUMMYFUNCTION("GOOGLETRANSLATE(A5406, ""en"", ""mt"")"),"Kif jissejjaħ ir-Rhine bl-Olandiż?")</f>
        <v>Kif jissejjaħ ir-Rhine bl-Olandiż?</v>
      </c>
    </row>
    <row r="5407" ht="15.75" customHeight="1">
      <c r="A5407" s="2" t="s">
        <v>5407</v>
      </c>
      <c r="B5407" s="2" t="str">
        <f>IFERROR(__xludf.DUMMYFUNCTION("GOOGLETRANSLATE(A5407, ""en"", ""mt"")"),"Meta kienet l-aħħar ekwipaġġ ta 'Skylab fuq l-istazzjon qabel ma reġgħet daħlet l-atmosfera tad-Dinja?")</f>
        <v>Meta kienet l-aħħar ekwipaġġ ta 'Skylab fuq l-istazzjon qabel ma reġgħet daħlet l-atmosfera tad-Dinja?</v>
      </c>
    </row>
    <row r="5408" ht="15.75" customHeight="1">
      <c r="A5408" s="2" t="s">
        <v>5408</v>
      </c>
      <c r="B5408" s="2" t="str">
        <f>IFERROR(__xludf.DUMMYFUNCTION("GOOGLETRANSLATE(A5408, ""en"", ""mt"")"),"Kuznets")</f>
        <v>Kuznets</v>
      </c>
    </row>
    <row r="5409" ht="15.75" customHeight="1">
      <c r="A5409" s="2" t="s">
        <v>5409</v>
      </c>
      <c r="B5409" s="2" t="str">
        <f>IFERROR(__xludf.DUMMYFUNCTION("GOOGLETRANSLATE(A5409, ""en"", ""mt"")"),"Rebeljoni Iżlamika")</f>
        <v>Rebeljoni Iżlamika</v>
      </c>
    </row>
    <row r="5410" ht="15.75" customHeight="1">
      <c r="A5410" s="2" t="s">
        <v>5410</v>
      </c>
      <c r="B5410" s="2" t="str">
        <f>IFERROR(__xludf.DUMMYFUNCTION("GOOGLETRANSLATE(A5410, ""en"", ""mt"")"),"X'inhu l-pedament għar-riżultati ta 'separazzjoni fi ħdan klassijiet ta' kumplessità?")</f>
        <v>X'inhu l-pedament għar-riżultati ta 'separazzjoni fi ħdan klassijiet ta' kumplessità?</v>
      </c>
    </row>
    <row r="5411" ht="15.75" customHeight="1">
      <c r="A5411" s="2" t="s">
        <v>5411</v>
      </c>
      <c r="B5411" s="2" t="str">
        <f>IFERROR(__xludf.DUMMYFUNCTION("GOOGLETRANSLATE(A5411, ""en"", ""mt"")"),"Il-bnadar fuq il-qamar li tħallew mill-Missjonijiet Apollo ta 'l-Istati Uniti huma kollha wieqfa ħlief għal liema bandiera tal-missjoni?")</f>
        <v>Il-bnadar fuq il-qamar li tħallew mill-Missjonijiet Apollo ta 'l-Istati Uniti huma kollha wieqfa ħlief għal liema bandiera tal-missjoni?</v>
      </c>
    </row>
    <row r="5412" ht="15.75" customHeight="1">
      <c r="A5412" s="2" t="s">
        <v>5412</v>
      </c>
      <c r="B5412" s="2" t="str">
        <f>IFERROR(__xludf.DUMMYFUNCTION("GOOGLETRANSLATE(A5412, ""en"", ""mt"")"),"assolut ġdid")</f>
        <v>assolut ġdid</v>
      </c>
    </row>
    <row r="5413" ht="15.75" customHeight="1">
      <c r="A5413" s="2" t="s">
        <v>5413</v>
      </c>
      <c r="B5413" s="2" t="str">
        <f>IFERROR(__xludf.DUMMYFUNCTION("GOOGLETRANSLATE(A5413, ""en"", ""mt"")"),"Irbaħ il-ħelsien")</f>
        <v>Irbaħ il-ħelsien</v>
      </c>
    </row>
    <row r="5414" ht="15.75" customHeight="1">
      <c r="A5414" s="2" t="s">
        <v>5414</v>
      </c>
      <c r="B5414" s="2" t="str">
        <f>IFERROR(__xludf.DUMMYFUNCTION("GOOGLETRANSLATE(A5414, ""en"", ""mt"")"),"F'liema kumpanija tal-ġurnata preżenti biddlet Bankamericard?")</f>
        <v>F'liema kumpanija tal-ġurnata preżenti biddlet Bankamericard?</v>
      </c>
    </row>
    <row r="5415" ht="15.75" customHeight="1">
      <c r="A5415" s="2" t="s">
        <v>5415</v>
      </c>
      <c r="B5415" s="2" t="str">
        <f>IFERROR(__xludf.DUMMYFUNCTION("GOOGLETRANSLATE(A5415, ""en"", ""mt"")"),"It-Tieni Liġi tal-Mozzjoni ta 'Newton")</f>
        <v>It-Tieni Liġi tal-Mozzjoni ta 'Newton</v>
      </c>
    </row>
    <row r="5416" ht="15.75" customHeight="1">
      <c r="A5416" s="2" t="s">
        <v>5416</v>
      </c>
      <c r="B5416" s="2" t="str">
        <f>IFERROR(__xludf.DUMMYFUNCTION("GOOGLETRANSLATE(A5416, ""en"", ""mt"")"),"Ning hia")</f>
        <v>Ning hia</v>
      </c>
    </row>
    <row r="5417" ht="15.75" customHeight="1">
      <c r="A5417" s="2" t="s">
        <v>5417</v>
      </c>
      <c r="B5417" s="2" t="str">
        <f>IFERROR(__xludf.DUMMYFUNCTION("GOOGLETRANSLATE(A5417, ""en"", ""mt"")"),"magni tat-triq")</f>
        <v>magni tat-triq</v>
      </c>
    </row>
    <row r="5418" ht="15.75" customHeight="1">
      <c r="A5418" s="2" t="s">
        <v>5418</v>
      </c>
      <c r="B5418" s="2" t="str">
        <f>IFERROR(__xludf.DUMMYFUNCTION("GOOGLETRANSLATE(A5418, ""en"", ""mt"")"),"Liema sena ġiet mgħallma l-ewwel klassi fl-Università ta 'Chicago?")</f>
        <v>Liema sena ġiet mgħallma l-ewwel klassi fl-Università ta 'Chicago?</v>
      </c>
    </row>
    <row r="5419" ht="15.75" customHeight="1">
      <c r="A5419" s="2" t="s">
        <v>5419</v>
      </c>
      <c r="B5419" s="2" t="str">
        <f>IFERROR(__xludf.DUMMYFUNCTION("GOOGLETRANSLATE(A5419, ""en"", ""mt"")"),"Il-Gwerer Franċiżi tar-Reliġjon fis-seklu 16 u r-Rivoluzzjoni Franċiża fit-18-il sena qerdu ħafna minn dak li kien jeżisti fil-mod tal-fdal arkitettoniku u artistiku ta 'din il-kreattività Norman. L-ewwel, bil-vjolenza tagħhom, ikkawżaw il-qerda ta 'ħafna"&amp;" edifici Norman; Din tal-aħħar, bl-attakk tagħha fuq ir-reliġjon, ikkawżat il-qerda bi skop ta 'oġġetti reliġjużi ta' kull tip, u d-destabilizzazzjoni tas-soċjetà tagħha rriżultat f'tagna rampanti.")</f>
        <v>Il-Gwerer Franċiżi tar-Reliġjon fis-seklu 16 u r-Rivoluzzjoni Franċiża fit-18-il sena qerdu ħafna minn dak li kien jeżisti fil-mod tal-fdal arkitettoniku u artistiku ta 'din il-kreattività Norman. L-ewwel, bil-vjolenza tagħhom, ikkawżaw il-qerda ta 'ħafna edifici Norman; Din tal-aħħar, bl-attakk tagħha fuq ir-reliġjon, ikkawżat il-qerda bi skop ta 'oġġetti reliġjużi ta' kull tip, u d-destabilizzazzjoni tas-soċjetà tagħha rriżultat f'tagna rampanti.</v>
      </c>
    </row>
    <row r="5420" ht="15.75" customHeight="1">
      <c r="A5420" s="2" t="s">
        <v>5420</v>
      </c>
      <c r="B5420" s="2" t="str">
        <f>IFERROR(__xludf.DUMMYFUNCTION("GOOGLETRANSLATE(A5420, ""en"", ""mt"")"),"Il-kostruzzjoni tinvolvi t-traduzzjoni ta 'xiex?")</f>
        <v>Il-kostruzzjoni tinvolvi t-traduzzjoni ta 'xiex?</v>
      </c>
    </row>
    <row r="5421" ht="15.75" customHeight="1">
      <c r="A5421" s="2" t="s">
        <v>5421</v>
      </c>
      <c r="B5421" s="2" t="str">
        <f>IFERROR(__xludf.DUMMYFUNCTION("GOOGLETRANSLATE(A5421, ""en"", ""mt"")"),"Liema dinastiji ispiraw l-elementi bħal Ċiniżi tal-gvern ta 'Kublai?")</f>
        <v>Liema dinastiji ispiraw l-elementi bħal Ċiniżi tal-gvern ta 'Kublai?</v>
      </c>
    </row>
    <row r="5422" ht="15.75" customHeight="1">
      <c r="A5422" s="2" t="s">
        <v>5422</v>
      </c>
      <c r="B5422" s="2" t="str">
        <f>IFERROR(__xludf.DUMMYFUNCTION("GOOGLETRANSLATE(A5422, ""en"", ""mt"")"),"3600")</f>
        <v>3600</v>
      </c>
    </row>
    <row r="5423" ht="15.75" customHeight="1">
      <c r="A5423" s="2" t="s">
        <v>5423</v>
      </c>
      <c r="B5423" s="2" t="str">
        <f>IFERROR(__xludf.DUMMYFUNCTION("GOOGLETRANSLATE(A5423, ""en"", ""mt"")"),"Ilmijiet tal-baħar madwar id-dinja")</f>
        <v>Ilmijiet tal-baħar madwar id-dinja</v>
      </c>
    </row>
    <row r="5424" ht="15.75" customHeight="1">
      <c r="A5424" s="2" t="s">
        <v>5424</v>
      </c>
      <c r="B5424" s="2" t="str">
        <f>IFERROR(__xludf.DUMMYFUNCTION("GOOGLETRANSLATE(A5424, ""en"", ""mt"")"),"X'inhu l-mili kwadri massimi li Betty Meggers iddikjara li jista 'jiġi sostnut fil-foresta tropikali?")</f>
        <v>X'inhu l-mili kwadri massimi li Betty Meggers iddikjara li jista 'jiġi sostnut fil-foresta tropikali?</v>
      </c>
    </row>
    <row r="5425" ht="15.75" customHeight="1">
      <c r="A5425" s="2" t="s">
        <v>5425</v>
      </c>
      <c r="B5425" s="2" t="str">
        <f>IFERROR(__xludf.DUMMYFUNCTION("GOOGLETRANSLATE(A5425, ""en"", ""mt"")"),"Knisja superviżorja")</f>
        <v>Knisja superviżorja</v>
      </c>
    </row>
    <row r="5426" ht="15.75" customHeight="1">
      <c r="A5426" s="2" t="s">
        <v>5426</v>
      </c>
      <c r="B5426" s="2" t="str">
        <f>IFERROR(__xludf.DUMMYFUNCTION("GOOGLETRANSLATE(A5426, ""en"", ""mt"")"),"Old Meuse")</f>
        <v>Old Meuse</v>
      </c>
    </row>
    <row r="5427" ht="15.75" customHeight="1">
      <c r="A5427" s="2" t="s">
        <v>5427</v>
      </c>
      <c r="B5427" s="2" t="str">
        <f>IFERROR(__xludf.DUMMYFUNCTION("GOOGLETRANSLATE(A5427, ""en"", ""mt"")"),"Forster I, Forster II, u Forster III,")</f>
        <v>Forster I, Forster II, u Forster III,</v>
      </c>
    </row>
    <row r="5428" ht="15.75" customHeight="1">
      <c r="A5428" s="2" t="s">
        <v>5428</v>
      </c>
      <c r="B5428" s="2" t="str">
        <f>IFERROR(__xludf.DUMMYFUNCTION("GOOGLETRANSLATE(A5428, ""en"", ""mt"")"),"Kif hija l-fergħa ġudizzjarja tal-UE fattur importanti fl-iżvilupp tal-liġi tal-UE?")</f>
        <v>Kif hija l-fergħa ġudizzjarja tal-UE fattur importanti fl-iżvilupp tal-liġi tal-UE?</v>
      </c>
    </row>
    <row r="5429" ht="15.75" customHeight="1">
      <c r="A5429" s="2" t="s">
        <v>5429</v>
      </c>
      <c r="B5429" s="2" t="str">
        <f>IFERROR(__xludf.DUMMYFUNCTION("GOOGLETRANSLATE(A5429, ""en"", ""mt"")"),"Ġebel tal-kliewi u tal-bużżieqa, u artrite,")</f>
        <v>Ġebel tal-kliewi u tal-bużżieqa, u artrite,</v>
      </c>
    </row>
    <row r="5430" ht="15.75" customHeight="1">
      <c r="A5430" s="2" t="s">
        <v>5430</v>
      </c>
      <c r="B5430" s="2" t="str">
        <f>IFERROR(__xludf.DUMMYFUNCTION("GOOGLETRANSLATE(A5430, ""en"", ""mt"")"),"X'inhi t-traduzzjoni tal-fergħa l-qadima tat-tramuntana tar-Rhine?")</f>
        <v>X'inhi t-traduzzjoni tal-fergħa l-qadima tat-tramuntana tar-Rhine?</v>
      </c>
    </row>
    <row r="5431" ht="15.75" customHeight="1">
      <c r="A5431" s="2" t="s">
        <v>5431</v>
      </c>
      <c r="B5431" s="2" t="str">
        <f>IFERROR(__xludf.DUMMYFUNCTION("GOOGLETRANSLATE(A5431, ""en"", ""mt"")"),"Għal liema tim lagħab Gary Kubiak għal meta kien fis-Super Bowl?")</f>
        <v>Għal liema tim lagħab Gary Kubiak għal meta kien fis-Super Bowl?</v>
      </c>
    </row>
    <row r="5432" ht="15.75" customHeight="1">
      <c r="A5432" s="2" t="s">
        <v>5432</v>
      </c>
      <c r="B5432" s="2" t="str">
        <f>IFERROR(__xludf.DUMMYFUNCTION("GOOGLETRANSLATE(A5432, ""en"", ""mt"")"),"Northwestern Canada")</f>
        <v>Northwestern Canada</v>
      </c>
    </row>
    <row r="5433" ht="15.75" customHeight="1">
      <c r="A5433" s="2" t="s">
        <v>5433</v>
      </c>
      <c r="B5433" s="2" t="str">
        <f>IFERROR(__xludf.DUMMYFUNCTION("GOOGLETRANSLATE(A5433, ""en"", ""mt"")"),"cnidarians u ctenophores")</f>
        <v>cnidarians u ctenophores</v>
      </c>
    </row>
    <row r="5434" ht="15.75" customHeight="1">
      <c r="A5434" s="2" t="s">
        <v>5434</v>
      </c>
      <c r="B5434" s="2" t="str">
        <f>IFERROR(__xludf.DUMMYFUNCTION("GOOGLETRANSLATE(A5434, ""en"", ""mt"")"),"art u akkomodazzjoni")</f>
        <v>art u akkomodazzjoni</v>
      </c>
    </row>
    <row r="5435" ht="15.75" customHeight="1">
      <c r="A5435" s="2" t="s">
        <v>5435</v>
      </c>
      <c r="B5435" s="2" t="str">
        <f>IFERROR(__xludf.DUMMYFUNCTION("GOOGLETRANSLATE(A5435, ""en"", ""mt"")"),"Xi spiżeriji tal-internet ibigħu mediċini bir-riċetta mingħajr ma jeħtieġu riċetta")</f>
        <v>Xi spiżeriji tal-internet ibigħu mediċini bir-riċetta mingħajr ma jeħtieġu riċetta</v>
      </c>
    </row>
    <row r="5436" ht="15.75" customHeight="1">
      <c r="A5436" s="2" t="s">
        <v>5436</v>
      </c>
      <c r="B5436" s="2" t="str">
        <f>IFERROR(__xludf.DUMMYFUNCTION("GOOGLETRANSLATE(A5436, ""en"", ""mt"")"),"Seamans Robert;")</f>
        <v>Seamans Robert;</v>
      </c>
    </row>
    <row r="5437" ht="15.75" customHeight="1">
      <c r="A5437" s="2" t="s">
        <v>5437</v>
      </c>
      <c r="B5437" s="2" t="str">
        <f>IFERROR(__xludf.DUMMYFUNCTION("GOOGLETRANSLATE(A5437, ""en"", ""mt"")"),"n&gt; 3")</f>
        <v>n&gt; 3</v>
      </c>
    </row>
    <row r="5438" ht="15.75" customHeight="1">
      <c r="A5438" s="2" t="s">
        <v>5438</v>
      </c>
      <c r="B5438" s="2" t="str">
        <f>IFERROR(__xludf.DUMMYFUNCTION("GOOGLETRANSLATE(A5438, ""en"", ""mt"")"),"Ċivili, Militari, u Ċensura")</f>
        <v>Ċivili, Militari, u Ċensura</v>
      </c>
    </row>
    <row r="5439" ht="15.75" customHeight="1">
      <c r="A5439" s="2" t="s">
        <v>5439</v>
      </c>
      <c r="B5439" s="2" t="str">
        <f>IFERROR(__xludf.DUMMYFUNCTION("GOOGLETRANSLATE(A5439, ""en"", ""mt"")"),"Sema tlieta")</f>
        <v>Sema tlieta</v>
      </c>
    </row>
    <row r="5440" ht="15.75" customHeight="1">
      <c r="A5440" s="2" t="s">
        <v>5440</v>
      </c>
      <c r="B5440" s="2" t="str">
        <f>IFERROR(__xludf.DUMMYFUNCTION("GOOGLETRANSLATE(A5440, ""en"", ""mt"")"),"X'kienet l-idea ta 'Tesla rigward id-Dinja?")</f>
        <v>X'kienet l-idea ta 'Tesla rigward id-Dinja?</v>
      </c>
    </row>
    <row r="5441" ht="15.75" customHeight="1">
      <c r="A5441" s="2" t="s">
        <v>5441</v>
      </c>
      <c r="B5441" s="2" t="str">
        <f>IFERROR(__xludf.DUMMYFUNCTION("GOOGLETRANSLATE(A5441, ""en"", ""mt"")"),"X'inhi l-konfużjoni tal-Gwerra Franċiża u Indjana?")</f>
        <v>X'inhi l-konfużjoni tal-Gwerra Franċiża u Indjana?</v>
      </c>
    </row>
    <row r="5442" ht="15.75" customHeight="1">
      <c r="A5442" s="2" t="s">
        <v>5442</v>
      </c>
      <c r="B5442" s="2" t="str">
        <f>IFERROR(__xludf.DUMMYFUNCTION("GOOGLETRANSLATE(A5442, ""en"", ""mt"")"),"ramifikata, lineari, jew strutturi kumplessi oħra")</f>
        <v>ramifikata, lineari, jew strutturi kumplessi oħra</v>
      </c>
    </row>
    <row r="5443" ht="15.75" customHeight="1">
      <c r="A5443" s="2" t="s">
        <v>5443</v>
      </c>
      <c r="B5443" s="2" t="str">
        <f>IFERROR(__xludf.DUMMYFUNCTION("GOOGLETRANSLATE(A5443, ""en"", ""mt"")"),"FEO")</f>
        <v>FEO</v>
      </c>
    </row>
    <row r="5444" ht="15.75" customHeight="1">
      <c r="A5444" s="2" t="s">
        <v>5444</v>
      </c>
      <c r="B5444" s="2" t="str">
        <f>IFERROR(__xludf.DUMMYFUNCTION("GOOGLETRANSLATE(A5444, ""en"", ""mt"")"),"Kapaċità li jeħles ir-risponsi immuni li jospitaw")</f>
        <v>Kapaċità li jeħles ir-risponsi immuni li jospitaw</v>
      </c>
    </row>
    <row r="5445" ht="15.75" customHeight="1">
      <c r="A5445" s="2" t="s">
        <v>5445</v>
      </c>
      <c r="B5445" s="2" t="str">
        <f>IFERROR(__xludf.DUMMYFUNCTION("GOOGLETRANSLATE(A5445, ""en"", ""mt"")"),"Settembru 1939")</f>
        <v>Settembru 1939</v>
      </c>
    </row>
    <row r="5446" ht="15.75" customHeight="1">
      <c r="A5446" s="2" t="s">
        <v>5446</v>
      </c>
      <c r="B5446" s="2" t="str">
        <f>IFERROR(__xludf.DUMMYFUNCTION("GOOGLETRANSLATE(A5446, ""en"", ""mt"")"),"2011 u 2012")</f>
        <v>2011 u 2012</v>
      </c>
    </row>
    <row r="5447" ht="15.75" customHeight="1">
      <c r="A5447" s="2" t="s">
        <v>5447</v>
      </c>
      <c r="B5447" s="2" t="str">
        <f>IFERROR(__xludf.DUMMYFUNCTION("GOOGLETRANSLATE(A5447, ""en"", ""mt"")"),"dħul rilevanti aħjar.")</f>
        <v>dħul rilevanti aħjar.</v>
      </c>
    </row>
    <row r="5448" ht="15.75" customHeight="1">
      <c r="A5448" s="2" t="s">
        <v>5448</v>
      </c>
      <c r="B5448" s="2" t="str">
        <f>IFERROR(__xludf.DUMMYFUNCTION("GOOGLETRANSLATE(A5448, ""en"", ""mt"")"),"F'liema sena l-magna ta 'Newcomen tippompja f'minjiera?")</f>
        <v>F'liema sena l-magna ta 'Newcomen tippompja f'minjiera?</v>
      </c>
    </row>
    <row r="5449" ht="15.75" customHeight="1">
      <c r="A5449" s="2" t="s">
        <v>5449</v>
      </c>
      <c r="B5449" s="2" t="str">
        <f>IFERROR(__xludf.DUMMYFUNCTION("GOOGLETRANSLATE(A5449, ""en"", ""mt"")"),"ħiliet partikolari")</f>
        <v>ħiliet partikolari</v>
      </c>
    </row>
    <row r="5450" ht="15.75" customHeight="1">
      <c r="A5450" s="2" t="s">
        <v>5450</v>
      </c>
      <c r="B5450" s="2" t="str">
        <f>IFERROR(__xludf.DUMMYFUNCTION("GOOGLETRANSLATE(A5450, ""en"", ""mt"")"),"Min purhcased l-4 pacakages li fadal disponibbli għax-xandara?")</f>
        <v>Min purhcased l-4 pacakages li fadal disponibbli għax-xandara?</v>
      </c>
    </row>
    <row r="5451" ht="15.75" customHeight="1">
      <c r="A5451" s="2" t="s">
        <v>5451</v>
      </c>
      <c r="B5451" s="2" t="str">
        <f>IFERROR(__xludf.DUMMYFUNCTION("GOOGLETRANSLATE(A5451, ""en"", ""mt"")"),"Tesla esibiet għarfien pre-atomiku tal-fiżika fil-kitbiet tiegħu; Huwa ma qabilx mat-teorija ta 'l-atomi li huma komposti minn partiċelli subatomiċi iżgħar, u ddikjara li ma kien hemm l-ebda ħaġa bħal elettron li joħloq ħlas elettriku (huwa jemmen li jekk"&amp;" l-elettroni jeżistu xejn, huma kienu xi raba' stat ta 'materja jew ""sub-atomu"" Dan jista 'jeżisti biss f'vakwu sperimentali u li ma kellhom xejn x'jaqsmu ma' l-elettriku).: 249 Tesla jemmnu li l-atomi huma immutabbli - ma setgħux ibiddlu l-istat jew ji"&amp;"nqasmu bl-ebda mod. Huwa kien fidi fil-kunċett tas-seklu 19 ta '""eter"" mifrux kollu li trażmess l-enerġija elettrika.")</f>
        <v>Tesla esibiet għarfien pre-atomiku tal-fiżika fil-kitbiet tiegħu; Huwa ma qabilx mat-teorija ta 'l-atomi li huma komposti minn partiċelli subatomiċi iżgħar, u ddikjara li ma kien hemm l-ebda ħaġa bħal elettron li joħloq ħlas elettriku (huwa jemmen li jekk l-elettroni jeżistu xejn, huma kienu xi raba' stat ta 'materja jew "sub-atomu" Dan jista 'jeżisti biss f'vakwu sperimentali u li ma kellhom xejn x'jaqsmu ma' l-elettriku).: 249 Tesla jemmnu li l-atomi huma immutabbli - ma setgħux ibiddlu l-istat jew jinqasmu bl-ebda mod. Huwa kien fidi fil-kunċett tas-seklu 19 ta '"eter" mifrux kollu li trażmess l-enerġija elettrika.</v>
      </c>
    </row>
    <row r="5452" ht="15.75" customHeight="1">
      <c r="A5452" s="2" t="s">
        <v>5452</v>
      </c>
      <c r="B5452" s="2" t="str">
        <f>IFERROR(__xludf.DUMMYFUNCTION("GOOGLETRANSLATE(A5452, ""en"", ""mt"")"),"Louis XIV")</f>
        <v>Louis XIV</v>
      </c>
    </row>
    <row r="5453" ht="15.75" customHeight="1">
      <c r="A5453" s="2" t="s">
        <v>5453</v>
      </c>
      <c r="B5453" s="2" t="str">
        <f>IFERROR(__xludf.DUMMYFUNCTION("GOOGLETRANSLATE(A5453, ""en"", ""mt"")"),"Min ġie sostitwit Mueller bħala Amministratur Assoċjat?")</f>
        <v>Min ġie sostitwit Mueller bħala Amministratur Assoċjat?</v>
      </c>
    </row>
    <row r="5454" ht="15.75" customHeight="1">
      <c r="A5454" s="2" t="s">
        <v>5454</v>
      </c>
      <c r="B5454" s="2" t="str">
        <f>IFERROR(__xludf.DUMMYFUNCTION("GOOGLETRANSLATE(A5454, ""en"", ""mt"")"),"Johann Walter")</f>
        <v>Johann Walter</v>
      </c>
    </row>
    <row r="5455" ht="15.75" customHeight="1">
      <c r="A5455" s="2" t="s">
        <v>5455</v>
      </c>
      <c r="B5455" s="2" t="str">
        <f>IFERROR(__xludf.DUMMYFUNCTION("GOOGLETRANSLATE(A5455, ""en"", ""mt"")"),"Liema tweġibiet jipproteġu l-pulmuni billi jeħilsu mekkanikament patoġeni mis-sistema respiratorja?")</f>
        <v>Liema tweġibiet jipproteġu l-pulmuni billi jeħilsu mekkanikament patoġeni mis-sistema respiratorja?</v>
      </c>
    </row>
    <row r="5456" ht="15.75" customHeight="1">
      <c r="A5456" s="2" t="s">
        <v>5456</v>
      </c>
      <c r="B5456" s="2" t="str">
        <f>IFERROR(__xludf.DUMMYFUNCTION("GOOGLETRANSLATE(A5456, ""en"", ""mt"")"),"L-isferi kollha tal-ħajja.")</f>
        <v>L-isferi kollha tal-ħajja.</v>
      </c>
    </row>
    <row r="5457" ht="15.75" customHeight="1">
      <c r="A5457" s="2" t="s">
        <v>5457</v>
      </c>
      <c r="B5457" s="2" t="str">
        <f>IFERROR(__xludf.DUMMYFUNCTION("GOOGLETRANSLATE(A5457, ""en"", ""mt"")"),"Lord Loudoun")</f>
        <v>Lord Loudoun</v>
      </c>
    </row>
    <row r="5458" ht="15.75" customHeight="1">
      <c r="A5458" s="2" t="s">
        <v>5458</v>
      </c>
      <c r="B5458" s="2" t="str">
        <f>IFERROR(__xludf.DUMMYFUNCTION("GOOGLETRANSLATE(A5458, ""en"", ""mt"")"),"Provinċja tal-Kap tal-Punent")</f>
        <v>Provinċja tal-Kap tal-Punent</v>
      </c>
    </row>
    <row r="5459" ht="15.75" customHeight="1">
      <c r="A5459" s="2" t="s">
        <v>5459</v>
      </c>
      <c r="B5459" s="2" t="str">
        <f>IFERROR(__xludf.DUMMYFUNCTION("GOOGLETRANSLATE(A5459, ""en"", ""mt"")"),"Kontenut tal-vidjow fuq talba")</f>
        <v>Kontenut tal-vidjow fuq talba</v>
      </c>
    </row>
    <row r="5460" ht="15.75" customHeight="1">
      <c r="A5460" s="2" t="s">
        <v>5460</v>
      </c>
      <c r="B5460" s="2" t="str">
        <f>IFERROR(__xludf.DUMMYFUNCTION("GOOGLETRANSLATE(A5460, ""en"", ""mt"")"),"Meta l-NFL ħabbret is-sospensjoni tal-użu tan-numri Rumani biex timmarka s-Super Bowl?")</f>
        <v>Meta l-NFL ħabbret is-sospensjoni tal-użu tan-numri Rumani biex timmarka s-Super Bowl?</v>
      </c>
    </row>
    <row r="5461" ht="15.75" customHeight="1">
      <c r="A5461" s="2" t="s">
        <v>5461</v>
      </c>
      <c r="B5461" s="2" t="str">
        <f>IFERROR(__xludf.DUMMYFUNCTION("GOOGLETRANSLATE(A5461, ""en"", ""mt"")"),"Liema kumpanija tax-xarabank fi Newcastle tipprovdi l-maġġoranza tas-servizzi fin-Nofsinhar tax-Xmara?")</f>
        <v>Liema kumpanija tax-xarabank fi Newcastle tipprovdi l-maġġoranza tas-servizzi fin-Nofsinhar tax-Xmara?</v>
      </c>
    </row>
    <row r="5462" ht="15.75" customHeight="1">
      <c r="A5462" s="2" t="s">
        <v>5462</v>
      </c>
      <c r="B5462" s="2" t="str">
        <f>IFERROR(__xludf.DUMMYFUNCTION("GOOGLETRANSLATE(A5462, ""en"", ""mt"")"),"Ħafna mill-oġġetti fil-kollezzjoni tal-arti Ġappuniża huma ddatati sa liema perjodu ta 'żmien?")</f>
        <v>Ħafna mill-oġġetti fil-kollezzjoni tal-arti Ġappuniża huma ddatati sa liema perjodu ta 'żmien?</v>
      </c>
    </row>
    <row r="5463" ht="15.75" customHeight="1">
      <c r="A5463" s="2" t="s">
        <v>5463</v>
      </c>
      <c r="B5463" s="2" t="str">
        <f>IFERROR(__xludf.DUMMYFUNCTION("GOOGLETRANSLATE(A5463, ""en"", ""mt"")"),"X'jikkawża repulsjoni ta 'Pauli?")</f>
        <v>X'jikkawża repulsjoni ta 'Pauli?</v>
      </c>
    </row>
    <row r="5464" ht="15.75" customHeight="1">
      <c r="A5464" s="2" t="s">
        <v>5464</v>
      </c>
      <c r="B5464" s="2" t="str">
        <f>IFERROR(__xludf.DUMMYFUNCTION("GOOGLETRANSLATE(A5464, ""en"", ""mt"")"),"ġew arrestati immedjatament")</f>
        <v>ġew arrestati immedjatament</v>
      </c>
    </row>
    <row r="5465" ht="15.75" customHeight="1">
      <c r="A5465" s="2" t="s">
        <v>5465</v>
      </c>
      <c r="B5465" s="2" t="str">
        <f>IFERROR(__xludf.DUMMYFUNCTION("GOOGLETRANSLATE(A5465, ""en"", ""mt"")"),"Nullifikazzjoni tal-Ġurija")</f>
        <v>Nullifikazzjoni tal-Ġurija</v>
      </c>
    </row>
    <row r="5466" ht="15.75" customHeight="1">
      <c r="A5466" s="2" t="s">
        <v>5466</v>
      </c>
      <c r="B5466" s="2" t="str">
        <f>IFERROR(__xludf.DUMMYFUNCTION("GOOGLETRANSLATE(A5466, ""en"", ""mt"")"),"ABC International")</f>
        <v>ABC International</v>
      </c>
    </row>
    <row r="5467" ht="15.75" customHeight="1">
      <c r="A5467" s="2" t="s">
        <v>5467</v>
      </c>
      <c r="B5467" s="2" t="str">
        <f>IFERROR(__xludf.DUMMYFUNCTION("GOOGLETRANSLATE(A5467, ""en"", ""mt"")"),"Dak joqgħod Tardis?")</f>
        <v>Dak joqgħod Tardis?</v>
      </c>
    </row>
    <row r="5468" ht="15.75" customHeight="1">
      <c r="A5468" s="2" t="s">
        <v>5468</v>
      </c>
      <c r="B5468" s="2" t="str">
        <f>IFERROR(__xludf.DUMMYFUNCTION("GOOGLETRANSLATE(A5468, ""en"", ""mt"")"),"Antiparallel")</f>
        <v>Antiparallel</v>
      </c>
    </row>
    <row r="5469" ht="15.75" customHeight="1">
      <c r="A5469" s="2" t="s">
        <v>5469</v>
      </c>
      <c r="B5469" s="2" t="str">
        <f>IFERROR(__xludf.DUMMYFUNCTION("GOOGLETRANSLATE(A5469, ""en"", ""mt"")"),"18-il miljun")</f>
        <v>18-il miljun</v>
      </c>
    </row>
    <row r="5470" ht="15.75" customHeight="1">
      <c r="A5470" s="2" t="s">
        <v>5470</v>
      </c>
      <c r="B5470" s="2" t="str">
        <f>IFERROR(__xludf.DUMMYFUNCTION("GOOGLETRANSLATE(A5470, ""en"", ""mt"")"),"Nuqqas ta 'statistika affidabbli")</f>
        <v>Nuqqas ta 'statistika affidabbli</v>
      </c>
    </row>
    <row r="5471" ht="15.75" customHeight="1">
      <c r="A5471" s="2" t="s">
        <v>5471</v>
      </c>
      <c r="B5471" s="2" t="str">
        <f>IFERROR(__xludf.DUMMYFUNCTION("GOOGLETRANSLATE(A5471, ""en"", ""mt"")"),"qbid tal-priża")</f>
        <v>qbid tal-priża</v>
      </c>
    </row>
    <row r="5472" ht="15.75" customHeight="1">
      <c r="A5472" s="2" t="s">
        <v>5472</v>
      </c>
      <c r="B5472" s="2" t="str">
        <f>IFERROR(__xludf.DUMMYFUNCTION("GOOGLETRANSLATE(A5472, ""en"", ""mt"")"),"mill-iskultur")</f>
        <v>mill-iskultur</v>
      </c>
    </row>
    <row r="5473" ht="15.75" customHeight="1">
      <c r="A5473" s="2" t="s">
        <v>5473</v>
      </c>
      <c r="B5473" s="2" t="str">
        <f>IFERROR(__xludf.DUMMYFUNCTION("GOOGLETRANSLATE(A5473, ""en"", ""mt"")"),"Kif huma allokati n-numri totali ta 'siġġijiet lill-partijiet?")</f>
        <v>Kif huma allokati n-numri totali ta 'siġġijiet lill-partijiet?</v>
      </c>
    </row>
    <row r="5474" ht="15.75" customHeight="1">
      <c r="A5474" s="2" t="s">
        <v>5474</v>
      </c>
      <c r="B5474" s="2" t="str">
        <f>IFERROR(__xludf.DUMMYFUNCTION("GOOGLETRANSLATE(A5474, ""en"", ""mt"")"),"Ktibt dak?")</f>
        <v>Ktibt dak?</v>
      </c>
    </row>
    <row r="5475" ht="15.75" customHeight="1">
      <c r="A5475" s="2" t="s">
        <v>5475</v>
      </c>
      <c r="B5475" s="2" t="str">
        <f>IFERROR(__xludf.DUMMYFUNCTION("GOOGLETRANSLATE(A5475, ""en"", ""mt"")"),"Liema pajjiżi l-kastig korporali għadu prattika normali?")</f>
        <v>Liema pajjiżi l-kastig korporali għadu prattika normali?</v>
      </c>
    </row>
    <row r="5476" ht="15.75" customHeight="1">
      <c r="A5476" s="2" t="s">
        <v>5476</v>
      </c>
      <c r="B5476" s="2" t="str">
        <f>IFERROR(__xludf.DUMMYFUNCTION("GOOGLETRANSLATE(A5476, ""en"", ""mt"")"),"Rīnaz")</f>
        <v>Rīnaz</v>
      </c>
    </row>
    <row r="5477" ht="15.75" customHeight="1">
      <c r="A5477" s="2" t="s">
        <v>5477</v>
      </c>
      <c r="B5477" s="2" t="str">
        <f>IFERROR(__xludf.DUMMYFUNCTION("GOOGLETRANSLATE(A5477, ""en"", ""mt"")"),"l-istituzzjonijiet komprensivi tal-wan kbir")</f>
        <v>l-istituzzjonijiet komprensivi tal-wan kbir</v>
      </c>
    </row>
    <row r="5478" ht="15.75" customHeight="1">
      <c r="A5478" s="2" t="s">
        <v>5478</v>
      </c>
      <c r="B5478" s="2" t="str">
        <f>IFERROR(__xludf.DUMMYFUNCTION("GOOGLETRANSLATE(A5478, ""en"", ""mt"")"),"Liema ospitanti u kittieb tat-TV marru Harvard?")</f>
        <v>Liema ospitanti u kittieb tat-TV marru Harvard?</v>
      </c>
    </row>
    <row r="5479" ht="15.75" customHeight="1">
      <c r="A5479" s="2" t="s">
        <v>5479</v>
      </c>
      <c r="B5479" s="2" t="str">
        <f>IFERROR(__xludf.DUMMYFUNCTION("GOOGLETRANSLATE(A5479, ""en"", ""mt"")"),"115 ° F.")</f>
        <v>115 ° F.</v>
      </c>
    </row>
    <row r="5480" ht="15.75" customHeight="1">
      <c r="A5480" s="2" t="s">
        <v>5480</v>
      </c>
      <c r="B5480" s="2" t="str">
        <f>IFERROR(__xludf.DUMMYFUNCTION("GOOGLETRANSLATE(A5480, ""en"", ""mt"")"),"Flimkien ma 'l-ilbies, liema żvilupp jagħmilha diffiċli li tissiġilla r-rotors f'magna li hija nieqsa mill-pistuni?")</f>
        <v>Flimkien ma 'l-ilbies, liema żvilupp jagħmilha diffiċli li tissiġilla r-rotors f'magna li hija nieqsa mill-pistuni?</v>
      </c>
    </row>
    <row r="5481" ht="15.75" customHeight="1">
      <c r="A5481" s="2" t="s">
        <v>5481</v>
      </c>
      <c r="B5481" s="2" t="str">
        <f>IFERROR(__xludf.DUMMYFUNCTION("GOOGLETRANSLATE(A5481, ""en"", ""mt"")"),"Pesta Justinian")</f>
        <v>Pesta Justinian</v>
      </c>
    </row>
    <row r="5482" ht="15.75" customHeight="1">
      <c r="A5482" s="2" t="s">
        <v>5482</v>
      </c>
      <c r="B5482" s="2" t="str">
        <f>IFERROR(__xludf.DUMMYFUNCTION("GOOGLETRANSLATE(A5482, ""en"", ""mt"")"),"Elettrodinamiċità kwantistika (jew QED)")</f>
        <v>Elettrodinamiċità kwantistika (jew QED)</v>
      </c>
    </row>
    <row r="5483" ht="15.75" customHeight="1">
      <c r="A5483" s="2" t="s">
        <v>5483</v>
      </c>
      <c r="B5483" s="2" t="str">
        <f>IFERROR(__xludf.DUMMYFUNCTION("GOOGLETRANSLATE(A5483, ""en"", ""mt"")"),"L-aħħar ta ’Ottubru 2006")</f>
        <v>L-aħħar ta ’Ottubru 2006</v>
      </c>
    </row>
    <row r="5484" ht="15.75" customHeight="1">
      <c r="A5484" s="2" t="s">
        <v>5484</v>
      </c>
      <c r="B5484" s="2" t="str">
        <f>IFERROR(__xludf.DUMMYFUNCTION("GOOGLETRANSLATE(A5484, ""en"", ""mt"")"),"40 sa 50 student,")</f>
        <v>40 sa 50 student,</v>
      </c>
    </row>
    <row r="5485" ht="15.75" customHeight="1">
      <c r="A5485" s="2" t="s">
        <v>5485</v>
      </c>
      <c r="B5485" s="2" t="str">
        <f>IFERROR(__xludf.DUMMYFUNCTION("GOOGLETRANSLATE(A5485, ""en"", ""mt"")"),"Għal liema raġuni xi ħadd jevita reati waqt li jipprotesta?")</f>
        <v>Għal liema raġuni xi ħadd jevita reati waqt li jipprotesta?</v>
      </c>
    </row>
    <row r="5486" ht="15.75" customHeight="1">
      <c r="A5486" s="2" t="s">
        <v>5486</v>
      </c>
      <c r="B5486" s="2" t="str">
        <f>IFERROR(__xludf.DUMMYFUNCTION("GOOGLETRANSLATE(A5486, ""en"", ""mt"")"),"Super Bowl l")</f>
        <v>Super Bowl l</v>
      </c>
    </row>
    <row r="5487" ht="15.75" customHeight="1">
      <c r="A5487" s="2" t="s">
        <v>5487</v>
      </c>
      <c r="B5487" s="2" t="str">
        <f>IFERROR(__xludf.DUMMYFUNCTION("GOOGLETRANSLATE(A5487, ""en"", ""mt"")"),"Ċirkwiti Booleani;")</f>
        <v>Ċirkwiti Booleani;</v>
      </c>
    </row>
    <row r="5488" ht="15.75" customHeight="1">
      <c r="A5488" s="2" t="s">
        <v>5488</v>
      </c>
      <c r="B5488" s="2" t="str">
        <f>IFERROR(__xludf.DUMMYFUNCTION("GOOGLETRANSLATE(A5488, ""en"", ""mt"")"),"17%")</f>
        <v>17%</v>
      </c>
    </row>
    <row r="5489" ht="15.75" customHeight="1">
      <c r="A5489" s="2" t="s">
        <v>5489</v>
      </c>
      <c r="B5489" s="2" t="str">
        <f>IFERROR(__xludf.DUMMYFUNCTION("GOOGLETRANSLATE(A5489, ""en"", ""mt"")"),"ossidant")</f>
        <v>ossidant</v>
      </c>
    </row>
    <row r="5490" ht="15.75" customHeight="1">
      <c r="A5490" s="2" t="s">
        <v>5490</v>
      </c>
      <c r="B5490" s="2" t="str">
        <f>IFERROR(__xludf.DUMMYFUNCTION("GOOGLETRANSLATE(A5490, ""en"", ""mt"")"),"li waqa 'mill-iskola")</f>
        <v>li waqa 'mill-iskola</v>
      </c>
    </row>
    <row r="5491" ht="15.75" customHeight="1">
      <c r="A5491" s="2" t="s">
        <v>5491</v>
      </c>
      <c r="B5491" s="2" t="str">
        <f>IFERROR(__xludf.DUMMYFUNCTION("GOOGLETRANSLATE(A5491, ""en"", ""mt"")"),"Liema kumpanija kellha konkorsi għall-fannijiet biex joħolqu r-riklam tagħhom stess għall-kumpanija?")</f>
        <v>Liema kumpanija kellha konkorsi għall-fannijiet biex joħolqu r-riklam tagħhom stess għall-kumpanija?</v>
      </c>
    </row>
    <row r="5492" ht="15.75" customHeight="1">
      <c r="A5492" s="2" t="s">
        <v>5492</v>
      </c>
      <c r="B5492" s="2" t="str">
        <f>IFERROR(__xludf.DUMMYFUNCTION("GOOGLETRANSLATE(A5492, ""en"", ""mt"")"),"bejn wieħed u ieħor $ 170 biljun.")</f>
        <v>bejn wieħed u ieħor $ 170 biljun.</v>
      </c>
    </row>
    <row r="5493" ht="15.75" customHeight="1">
      <c r="A5493" s="2" t="s">
        <v>5493</v>
      </c>
      <c r="B5493" s="2" t="str">
        <f>IFERROR(__xludf.DUMMYFUNCTION("GOOGLETRANSLATE(A5493, ""en"", ""mt"")"),"Sorsi mhux riveduti mill-peer")</f>
        <v>Sorsi mhux riveduti mill-peer</v>
      </c>
    </row>
    <row r="5494" ht="15.75" customHeight="1">
      <c r="A5494" s="2" t="s">
        <v>5494</v>
      </c>
      <c r="B5494" s="2" t="str">
        <f>IFERROR(__xludf.DUMMYFUNCTION("GOOGLETRANSLATE(A5494, ""en"", ""mt"")"),"Min jaħseb li Tesla kienet se tmexxi d-dinja tal-futur?")</f>
        <v>Min jaħseb li Tesla kienet se tmexxi d-dinja tal-futur?</v>
      </c>
    </row>
    <row r="5495" ht="15.75" customHeight="1">
      <c r="A5495" s="2" t="s">
        <v>5495</v>
      </c>
      <c r="B5495" s="2" t="str">
        <f>IFERROR(__xludf.DUMMYFUNCTION("GOOGLETRANSLATE(A5495, ""en"", ""mt"")"),"J. S. Bach")</f>
        <v>J. S. Bach</v>
      </c>
    </row>
    <row r="5496" ht="15.75" customHeight="1">
      <c r="A5496" s="2" t="s">
        <v>5496</v>
      </c>
      <c r="B5496" s="2" t="str">
        <f>IFERROR(__xludf.DUMMYFUNCTION("GOOGLETRANSLATE(A5496, ""en"", ""mt"")"),"X'kienu l-Palazz Sassonu u l-Palazz Brühl fi Prewar Varsavja?")</f>
        <v>X'kienu l-Palazz Sassonu u l-Palazz Brühl fi Prewar Varsavja?</v>
      </c>
    </row>
    <row r="5497" ht="15.75" customHeight="1">
      <c r="A5497" s="2" t="s">
        <v>5497</v>
      </c>
      <c r="B5497" s="2" t="str">
        <f>IFERROR(__xludf.DUMMYFUNCTION("GOOGLETRANSLATE(A5497, ""en"", ""mt"")"),"X'inhu l-livell medju ta 'ħoss decibel fi Newcastle?")</f>
        <v>X'inhu l-livell medju ta 'ħoss decibel fi Newcastle?</v>
      </c>
    </row>
    <row r="5498" ht="15.75" customHeight="1">
      <c r="A5498" s="2" t="s">
        <v>5498</v>
      </c>
      <c r="B5498" s="2" t="str">
        <f>IFERROR(__xludf.DUMMYFUNCTION("GOOGLETRANSLATE(A5498, ""en"", ""mt"")"),"X'inhu t-terminu meta dawk li jaqilgħu d-dħul tan-nofs jaspiraw li jiksbu l-istess standards ta 'għajxien bħal nies sinjuri minnhom infushom?")</f>
        <v>X'inhu t-terminu meta dawk li jaqilgħu d-dħul tan-nofs jaspiraw li jiksbu l-istess standards ta 'għajxien bħal nies sinjuri minnhom infushom?</v>
      </c>
    </row>
    <row r="5499" ht="15.75" customHeight="1">
      <c r="A5499" s="2" t="s">
        <v>5499</v>
      </c>
      <c r="B5499" s="2" t="str">
        <f>IFERROR(__xludf.DUMMYFUNCTION("GOOGLETRANSLATE(A5499, ""en"", ""mt"")"),"ċelloli dendritiċi, keratinocytes u makrofaġi")</f>
        <v>ċelloli dendritiċi, keratinocytes u makrofaġi</v>
      </c>
    </row>
    <row r="5500" ht="15.75" customHeight="1">
      <c r="A5500" s="2" t="s">
        <v>5500</v>
      </c>
      <c r="B5500" s="2" t="str">
        <f>IFERROR(__xludf.DUMMYFUNCTION("GOOGLETRANSLATE(A5500, ""en"", ""mt"")"),"X'tip ta 'diżubbidjenza ċivili hija akkumpanjata minn aggressjoni?")</f>
        <v>X'tip ta 'diżubbidjenza ċivili hija akkumpanjata minn aggressjoni?</v>
      </c>
    </row>
    <row r="5501" ht="15.75" customHeight="1">
      <c r="A5501" s="2" t="s">
        <v>5501</v>
      </c>
      <c r="B5501" s="2" t="str">
        <f>IFERROR(__xludf.DUMMYFUNCTION("GOOGLETRANSLATE(A5501, ""en"", ""mt"")"),"X'inhu isem ieħor għal rispons imtejjeb ta 'sistema immunitarja?")</f>
        <v>X'inhu isem ieħor għal rispons imtejjeb ta 'sistema immunitarja?</v>
      </c>
    </row>
    <row r="5502" ht="15.75" customHeight="1">
      <c r="A5502" s="2" t="s">
        <v>5502</v>
      </c>
      <c r="B5502" s="2" t="str">
        <f>IFERROR(__xludf.DUMMYFUNCTION("GOOGLETRANSLATE(A5502, ""en"", ""mt"")"),"Rispons immuni Th1")</f>
        <v>Rispons immuni Th1</v>
      </c>
    </row>
    <row r="5503" ht="15.75" customHeight="1">
      <c r="A5503" s="2" t="s">
        <v>5503</v>
      </c>
      <c r="B5503" s="2" t="str">
        <f>IFERROR(__xludf.DUMMYFUNCTION("GOOGLETRANSLATE(A5503, ""en"", ""mt"")"),"eluf")</f>
        <v>eluf</v>
      </c>
    </row>
    <row r="5504" ht="15.75" customHeight="1">
      <c r="A5504" s="2" t="s">
        <v>5504</v>
      </c>
      <c r="B5504" s="2" t="str">
        <f>IFERROR(__xludf.DUMMYFUNCTION("GOOGLETRANSLATE(A5504, ""en"", ""mt"")"),"Liema ġebla kienet użata għat-taraġ iddisinjat minn J.W. Selvaġġ?")</f>
        <v>Liema ġebla kienet użata għat-taraġ iddisinjat minn J.W. Selvaġġ?</v>
      </c>
    </row>
    <row r="5505" ht="15.75" customHeight="1">
      <c r="A5505" s="2" t="s">
        <v>5505</v>
      </c>
      <c r="B5505" s="2" t="str">
        <f>IFERROR(__xludf.DUMMYFUNCTION("GOOGLETRANSLATE(A5505, ""en"", ""mt"")"),"Kull waħda miż-żoni metropolitani estiżi għandha popolazzjoni li taqbeż liema numru?")</f>
        <v>Kull waħda miż-żoni metropolitani estiżi għandha popolazzjoni li taqbeż liema numru?</v>
      </c>
    </row>
    <row r="5506" ht="15.75" customHeight="1">
      <c r="A5506" s="2" t="s">
        <v>5506</v>
      </c>
      <c r="B5506" s="2" t="str">
        <f>IFERROR(__xludf.DUMMYFUNCTION("GOOGLETRANSLATE(A5506, ""en"", ""mt"")"),"Deabolis")</f>
        <v>Deabolis</v>
      </c>
    </row>
    <row r="5507" ht="15.75" customHeight="1">
      <c r="A5507" s="2" t="s">
        <v>5507</v>
      </c>
      <c r="B5507" s="2" t="str">
        <f>IFERROR(__xludf.DUMMYFUNCTION("GOOGLETRANSLATE(A5507, ""en"", ""mt"")"),"il-membrana taċ-ċellula")</f>
        <v>il-membrana taċ-ċellula</v>
      </c>
    </row>
    <row r="5508" ht="15.75" customHeight="1">
      <c r="A5508" s="2" t="s">
        <v>5508</v>
      </c>
      <c r="B5508" s="2" t="str">
        <f>IFERROR(__xludf.DUMMYFUNCTION("GOOGLETRANSLATE(A5508, ""en"", ""mt"")"),"Kirinyaga, Kirenyaa u Kiinyaa")</f>
        <v>Kirinyaga, Kirenyaa u Kiinyaa</v>
      </c>
    </row>
    <row r="5509" ht="15.75" customHeight="1">
      <c r="A5509" s="2" t="s">
        <v>5509</v>
      </c>
      <c r="B5509" s="2" t="str">
        <f>IFERROR(__xludf.DUMMYFUNCTION("GOOGLETRANSLATE(A5509, ""en"", ""mt"")"),"Id- ""Distrett Storiku tat-Triq Huguenot"" fi New Paltz")</f>
        <v>Id- "Distrett Storiku tat-Triq Huguenot" fi New Paltz</v>
      </c>
    </row>
    <row r="5510" ht="15.75" customHeight="1">
      <c r="A5510" s="2" t="s">
        <v>5510</v>
      </c>
      <c r="B5510" s="2" t="str">
        <f>IFERROR(__xludf.DUMMYFUNCTION("GOOGLETRANSLATE(A5510, ""en"", ""mt"")"),"Tulku")</f>
        <v>Tulku</v>
      </c>
    </row>
    <row r="5511" ht="15.75" customHeight="1">
      <c r="A5511" s="2" t="s">
        <v>5511</v>
      </c>
      <c r="B5511" s="2" t="str">
        <f>IFERROR(__xludf.DUMMYFUNCTION("GOOGLETRANSLATE(A5511, ""en"", ""mt"")"),"L-ispettaklu huwa parti sinifikanti mill-kultura popolari Ingliża, u x'imkien ieħor sar favorit tat-televiżjoni tal-kult. L-ispettaklu influwenza l-ġenerazzjonijiet ta ’professjonisti tat-televiżjoni Ingliżi, li ħafna minnhom kibru jaraw is-serje. Il-prog"&amp;"ramm oriġinarjament dam mill-1963 sal-1989. Kien hemm tentattiv bla suċċess biex terġa 'titqajjem produzzjoni regolari fl-1996 ma' pilota ta 'backdoor, fil-forma ta' film televiżiv. Il-programm reġa 'ġie mill-ġdid fl-2005 minn Russell T Davies, li kien sh"&amp;"owrunner u kittieb ewlieni għall-ewwel ħames snin tal-qawmien mill-ġdid tiegħu, prodott in-house mill-BBC Wales f'Cardiff. L-ewwel serje tas-seklu 21 dehret lil Christopher Eccleston fir-rwol tat-titlu u ġiet prodotta mill-BBC. Doctor Who nbid ukoll spin-"&amp;"offs f’medja multipla, inklużi Torchwood (2006–2011) u l-Avventuri ta ’Sarah Jane (2007-2011), it-tnejn maħluqa minn Russell T Davies; K-9 (2009–2010); u episodju pilota wieħed ta 'K-9 u Company (1981). Kien hemm ukoll ħafna spoofs u referenzi kulturali g"&amp;"ħall-karattru f'medja oħra.")</f>
        <v>L-ispettaklu huwa parti sinifikanti mill-kultura popolari Ingliża, u x'imkien ieħor sar favorit tat-televiżjoni tal-kult. L-ispettaklu influwenza l-ġenerazzjonijiet ta ’professjonisti tat-televiżjoni Ingliżi, li ħafna minnhom kibru jaraw is-serje. Il-programm oriġinarjament dam mill-1963 sal-1989. Kien hemm tentattiv bla suċċess biex terġa 'titqajjem produzzjoni regolari fl-1996 ma' pilota ta 'backdoor, fil-forma ta' film televiżiv. Il-programm reġa 'ġie mill-ġdid fl-2005 minn Russell T Davies, li kien showrunner u kittieb ewlieni għall-ewwel ħames snin tal-qawmien mill-ġdid tiegħu, prodott in-house mill-BBC Wales f'Cardiff. L-ewwel serje tas-seklu 21 dehret lil Christopher Eccleston fir-rwol tat-titlu u ġiet prodotta mill-BBC. Doctor Who nbid ukoll spin-offs f’medja multipla, inklużi Torchwood (2006–2011) u l-Avventuri ta ’Sarah Jane (2007-2011), it-tnejn maħluqa minn Russell T Davies; K-9 (2009–2010); u episodju pilota wieħed ta 'K-9 u Company (1981). Kien hemm ukoll ħafna spoofs u referenzi kulturali għall-karattru f'medja oħra.</v>
      </c>
    </row>
    <row r="5512" ht="15.75" customHeight="1">
      <c r="A5512" s="2" t="s">
        <v>5512</v>
      </c>
      <c r="B5512" s="2" t="str">
        <f>IFERROR(__xludf.DUMMYFUNCTION("GOOGLETRANSLATE(A5512, ""en"", ""mt"")"),"Liema reliġjon skoraġġixxa l-wan, biex tappoġġja l-Buddiżmu?")</f>
        <v>Liema reliġjon skoraġġixxa l-wan, biex tappoġġja l-Buddiżmu?</v>
      </c>
    </row>
    <row r="5513" ht="15.75" customHeight="1">
      <c r="A5513" s="2" t="s">
        <v>5513</v>
      </c>
      <c r="B5513" s="2" t="str">
        <f>IFERROR(__xludf.DUMMYFUNCTION("GOOGLETRANSLATE(A5513, ""en"", ""mt"")"),"X'hemm bżonn li tibqa 'kostanti f'algoritmu ta' multiplikazzjoni biex tipproduċi l-istess riżultat kemm jekk timmultiplika jew kwadru żewġ numri interi?")</f>
        <v>X'hemm bżonn li tibqa 'kostanti f'algoritmu ta' multiplikazzjoni biex tipproduċi l-istess riżultat kemm jekk timmultiplika jew kwadru żewġ numri interi?</v>
      </c>
    </row>
    <row r="5514" ht="15.75" customHeight="1">
      <c r="A5514" s="2" t="s">
        <v>5514</v>
      </c>
      <c r="B5514" s="2" t="str">
        <f>IFERROR(__xludf.DUMMYFUNCTION("GOOGLETRANSLATE(A5514, ""en"", ""mt"")"),"1220")</f>
        <v>1220</v>
      </c>
    </row>
    <row r="5515" ht="15.75" customHeight="1">
      <c r="A5515" s="2" t="s">
        <v>5515</v>
      </c>
      <c r="B5515" s="2" t="str">
        <f>IFERROR(__xludf.DUMMYFUNCTION("GOOGLETRANSLATE(A5515, ""en"", ""mt"")"),"Liema sena kienet l-ewwel titjira mgħammra bil-modulu Lunar skedat?")</f>
        <v>Liema sena kienet l-ewwel titjira mgħammra bil-modulu Lunar skedat?</v>
      </c>
    </row>
    <row r="5516" ht="15.75" customHeight="1">
      <c r="A5516" s="2" t="s">
        <v>5516</v>
      </c>
      <c r="B5516" s="2" t="str">
        <f>IFERROR(__xludf.DUMMYFUNCTION("GOOGLETRANSLATE(A5516, ""en"", ""mt"")"),"Seklu 19")</f>
        <v>Seklu 19</v>
      </c>
    </row>
    <row r="5517" ht="15.75" customHeight="1">
      <c r="A5517" s="2" t="s">
        <v>5517</v>
      </c>
      <c r="B5517" s="2" t="str">
        <f>IFERROR(__xludf.DUMMYFUNCTION("GOOGLETRANSLATE(A5517, ""en"", ""mt"")"),"Vosges Mountains,")</f>
        <v>Vosges Mountains,</v>
      </c>
    </row>
    <row r="5518" ht="15.75" customHeight="1">
      <c r="A5518" s="2" t="s">
        <v>5518</v>
      </c>
      <c r="B5518" s="2" t="str">
        <f>IFERROR(__xludf.DUMMYFUNCTION("GOOGLETRANSLATE(A5518, ""en"", ""mt"")"),"Id-djalett ta ’Newcastle huwa magħruf bħala Geordie, u fih ammont kbir ta’ vokabularju u pronunzji distintivi tal-kelma li ma jintużawx f’partijiet oħra tar-Renju Unit. Id-djalett ta 'Geordie għandu ħafna mill-oriġini tiegħu fil-lingwa mitkellma mill-popo"&amp;"lazzjonijiet Anglo-Sassoni li emigraw u ħakmu ħafna mill-Ingilterra wara t-tmiem tal-ħakma imperjali Rumana. Din il-lingwa kienet il-prekursur tal-Ingliż modern; Iżda filwaqt li d-djaletti ta 'reġjuni Ingliżi oħra ġew mibdula ħafna mill-influwenzi ta' lin"&amp;"gwi barranin oħra - partikolarment il-Franċiż Latin u Norman - id-djalett ta 'Geordie jżomm ħafna elementi tal-lingwa l-qadima. Eżempju ta 'dan huwa l-pronunzja ta' ċerti kliem: ""mejta"", ""baqra"", ""dar"" u ""b'saħħitha"" huma ppronunzjati ""att"", ""c"&amp;"oo"", ""hoos"" u ""strang"" - li huma kif ġew ippronunzjati fil-lingwa Anglo-Sassona. Kliem oħra ta 'Geordie b'oriġini Anglo-Sassoni jinkludu: ""Larn"" (mill-Anglo-Sassonu ""Laeran"", li jfisser ""Tgħallem""), ""Burn"" (""Stream"") u ""Gan"" (""Go"").")</f>
        <v>Id-djalett ta ’Newcastle huwa magħruf bħala Geordie, u fih ammont kbir ta’ vokabularju u pronunzji distintivi tal-kelma li ma jintużawx f’partijiet oħra tar-Renju Unit. Id-djalett ta 'Geordie għandu ħafna mill-oriġini tiegħu fil-lingwa mitkellma mill-popolazzjonijiet Anglo-Sassoni li emigraw u ħakmu ħafna mill-Ingilterra wara t-tmiem tal-ħakma imperjali Rumana. Din il-lingwa kienet il-prekursur tal-Ingliż modern; Iżda filwaqt li d-djaletti ta 'reġjuni Ingliżi oħra ġew mibdula ħafna mill-influwenzi ta' lingwi barranin oħra - partikolarment il-Franċiż Latin u Norman - id-djalett ta 'Geordie jżomm ħafna elementi tal-lingwa l-qadima. Eżempju ta 'dan huwa l-pronunzja ta' ċerti kliem: "mejta", "baqra", "dar" u "b'saħħitha" huma ppronunzjati "att", "coo", "hoos" u "strang" - li huma kif ġew ippronunzjati fil-lingwa Anglo-Sassona. Kliem oħra ta 'Geordie b'oriġini Anglo-Sassoni jinkludu: "Larn" (mill-Anglo-Sassonu "Laeran", li jfisser "Tgħallem"), "Burn" ("Stream") u "Gan" ("Go").</v>
      </c>
    </row>
    <row r="5519" ht="15.75" customHeight="1">
      <c r="A5519" s="2" t="s">
        <v>5519</v>
      </c>
      <c r="B5519" s="2" t="str">
        <f>IFERROR(__xludf.DUMMYFUNCTION("GOOGLETRANSLATE(A5519, ""en"", ""mt"")"),"tippermetti lil xi bdiewa jixtru assi")</f>
        <v>tippermetti lil xi bdiewa jixtru assi</v>
      </c>
    </row>
    <row r="5520" ht="15.75" customHeight="1">
      <c r="A5520" s="2" t="s">
        <v>5520</v>
      </c>
      <c r="B5520" s="2" t="str">
        <f>IFERROR(__xludf.DUMMYFUNCTION("GOOGLETRANSLATE(A5520, ""en"", ""mt"")"),"l-aktar sinjur")</f>
        <v>l-aktar sinjur</v>
      </c>
    </row>
    <row r="5521" ht="15.75" customHeight="1">
      <c r="A5521" s="2" t="s">
        <v>5521</v>
      </c>
      <c r="B5521" s="2" t="str">
        <f>IFERROR(__xludf.DUMMYFUNCTION("GOOGLETRANSLATE(A5521, ""en"", ""mt"")"),"Kemm-il darba jseħħu l-elezzjonijiet tal-Parlament?")</f>
        <v>Kemm-il darba jseħħu l-elezzjonijiet tal-Parlament?</v>
      </c>
    </row>
    <row r="5522" ht="15.75" customHeight="1">
      <c r="A5522" s="2" t="s">
        <v>5522</v>
      </c>
      <c r="B5522" s="2" t="str">
        <f>IFERROR(__xludf.DUMMYFUNCTION("GOOGLETRANSLATE(A5522, ""en"", ""mt"")"),"Riskju għoli ta 'kunflitt ta' interess u / jew l-evitar ta 'poteri assoluti")</f>
        <v>Riskju għoli ta 'kunflitt ta' interess u / jew l-evitar ta 'poteri assoluti</v>
      </c>
    </row>
    <row r="5523" ht="15.75" customHeight="1">
      <c r="A5523" s="2" t="s">
        <v>5523</v>
      </c>
      <c r="B5523" s="2" t="str">
        <f>IFERROR(__xludf.DUMMYFUNCTION("GOOGLETRANSLATE(A5523, ""en"", ""mt"")"),"Eċċellenti")</f>
        <v>Eċċellenti</v>
      </c>
    </row>
    <row r="5524" ht="15.75" customHeight="1">
      <c r="A5524" s="2" t="s">
        <v>5524</v>
      </c>
      <c r="B5524" s="2" t="str">
        <f>IFERROR(__xludf.DUMMYFUNCTION("GOOGLETRANSLATE(A5524, ""en"", ""mt"")"),"Liema firxa ta 'snin kien it-tisħin attwali meta mqabbel ma'?")</f>
        <v>Liema firxa ta 'snin kien it-tisħin attwali meta mqabbel ma'?</v>
      </c>
    </row>
    <row r="5525" ht="15.75" customHeight="1">
      <c r="A5525" s="2" t="s">
        <v>5525</v>
      </c>
      <c r="B5525" s="2" t="str">
        <f>IFERROR(__xludf.DUMMYFUNCTION("GOOGLETRANSLATE(A5525, ""en"", ""mt"")"),"X'inhu fattur wieħed fit-tnaqqis tal-istima personali?")</f>
        <v>X'inhu fattur wieħed fit-tnaqqis tal-istima personali?</v>
      </c>
    </row>
    <row r="5526" ht="15.75" customHeight="1">
      <c r="A5526" s="2" t="s">
        <v>5526</v>
      </c>
      <c r="B5526" s="2" t="str">
        <f>IFERROR(__xludf.DUMMYFUNCTION("GOOGLETRANSLATE(A5526, ""en"", ""mt"")"),"Allston")</f>
        <v>Allston</v>
      </c>
    </row>
    <row r="5527" ht="15.75" customHeight="1">
      <c r="A5527" s="2" t="s">
        <v>5527</v>
      </c>
      <c r="B5527" s="2" t="str">
        <f>IFERROR(__xludf.DUMMYFUNCTION("GOOGLETRANSLATE(A5527, ""en"", ""mt"")"),"Piena immedjata u ġusta għall-imġieba ħażina")</f>
        <v>Piena immedjata u ġusta għall-imġieba ħażina</v>
      </c>
    </row>
    <row r="5528" ht="15.75" customHeight="1">
      <c r="A5528" s="2" t="s">
        <v>5528</v>
      </c>
      <c r="B5528" s="2" t="str">
        <f>IFERROR(__xludf.DUMMYFUNCTION("GOOGLETRANSLATE(A5528, ""en"", ""mt"")"),"Uħud mill-pettnijiet fil-kollezzjoni V &amp; A ta 'l-arti tal-Asja tax-Xlokk huma magħmula minn liema materjal?")</f>
        <v>Uħud mill-pettnijiet fil-kollezzjoni V &amp; A ta 'l-arti tal-Asja tax-Xlokk huma magħmula minn liema materjal?</v>
      </c>
    </row>
    <row r="5529" ht="15.75" customHeight="1">
      <c r="A5529" s="2" t="s">
        <v>5529</v>
      </c>
      <c r="B5529" s="2" t="str">
        <f>IFERROR(__xludf.DUMMYFUNCTION("GOOGLETRANSLATE(A5529, ""en"", ""mt"")"),"1066")</f>
        <v>1066</v>
      </c>
    </row>
    <row r="5530" ht="15.75" customHeight="1">
      <c r="A5530" s="2" t="s">
        <v>5530</v>
      </c>
      <c r="B5530" s="2" t="str">
        <f>IFERROR(__xludf.DUMMYFUNCTION("GOOGLETRANSLATE(A5530, ""en"", ""mt"")"),"F’liema sena nfetħet il-Gallerija Jameel tal-Arti Iżlamika?")</f>
        <v>F’liema sena nfetħet il-Gallerija Jameel tal-Arti Iżlamika?</v>
      </c>
    </row>
    <row r="5531" ht="15.75" customHeight="1">
      <c r="A5531" s="2" t="s">
        <v>5531</v>
      </c>
      <c r="B5531" s="2" t="str">
        <f>IFERROR(__xludf.DUMMYFUNCTION("GOOGLETRANSLATE(A5531, ""en"", ""mt"")"),"Tfittex għall-kera")</f>
        <v>Tfittex għall-kera</v>
      </c>
    </row>
    <row r="5532" ht="15.75" customHeight="1">
      <c r="A5532" s="2" t="s">
        <v>5532</v>
      </c>
      <c r="B5532" s="2" t="str">
        <f>IFERROR(__xludf.DUMMYFUNCTION("GOOGLETRANSLATE(A5532, ""en"", ""mt"")"),"X'kienet il-popolazzjoni ta 'Jacksonville City mill-2010?")</f>
        <v>X'kienet il-popolazzjoni ta 'Jacksonville City mill-2010?</v>
      </c>
    </row>
    <row r="5533" ht="15.75" customHeight="1">
      <c r="A5533" s="2" t="s">
        <v>5533</v>
      </c>
      <c r="B5533" s="2" t="str">
        <f>IFERROR(__xludf.DUMMYFUNCTION("GOOGLETRANSLATE(A5533, ""en"", ""mt"")"),"Fl-unur tal-50 Super Bowl, iċ-ċerimonja tal-pregame kienet tidher l-introduzzjoni fuq il-post ta '39 mit-43 plejers ta 'l-iktar valur ta' Super Bowl. Bart Starr (MVP ta 'Super Bowls I u II) u Chuck Howley (MVP ta' Super Bowl V) dehru permezz ta 'vidjow, f"&amp;"ilwaqt li Peyton Manning (MVP ta' Super Bowl XLI u l-quarterback attwali ta 'Broncos) intwera fil-kamra tal-locker li tħejji għal-logħba. Ma tħabbru l-ebda pjanijiet rigward ir-rikonoxximent ta 'Harvey Martin, ko-MVP tas-Super Bowl XII, li miet fl-2001.")</f>
        <v>Fl-unur tal-50 Super Bowl, iċ-ċerimonja tal-pregame kienet tidher l-introduzzjoni fuq il-post ta '39 mit-43 plejers ta 'l-iktar valur ta' Super Bowl. Bart Starr (MVP ta 'Super Bowls I u II) u Chuck Howley (MVP ta' Super Bowl V) dehru permezz ta 'vidjow, filwaqt li Peyton Manning (MVP ta' Super Bowl XLI u l-quarterback attwali ta 'Broncos) intwera fil-kamra tal-locker li tħejji għal-logħba. Ma tħabbru l-ebda pjanijiet rigward ir-rikonoxximent ta 'Harvey Martin, ko-MVP tas-Super Bowl XII, li miet fl-2001.</v>
      </c>
    </row>
    <row r="5534" ht="15.75" customHeight="1">
      <c r="A5534" s="2" t="s">
        <v>5534</v>
      </c>
      <c r="B5534" s="2" t="str">
        <f>IFERROR(__xludf.DUMMYFUNCTION("GOOGLETRANSLATE(A5534, ""en"", ""mt"")"),"Kumitat ta 'Esperti Indipendenti")</f>
        <v>Kumitat ta 'Esperti Indipendenti</v>
      </c>
    </row>
    <row r="5535" ht="15.75" customHeight="1">
      <c r="A5535" s="2" t="s">
        <v>5535</v>
      </c>
      <c r="B5535" s="2" t="str">
        <f>IFERROR(__xludf.DUMMYFUNCTION("GOOGLETRANSLATE(A5535, ""en"", ""mt"")"),"Aktar ħin jinteraġixxi u jaħdem direttament mal-istudenti")</f>
        <v>Aktar ħin jinteraġixxi u jaħdem direttament mal-istudenti</v>
      </c>
    </row>
    <row r="5536" ht="15.75" customHeight="1">
      <c r="A5536" s="2" t="s">
        <v>5536</v>
      </c>
      <c r="B5536" s="2" t="str">
        <f>IFERROR(__xludf.DUMMYFUNCTION("GOOGLETRANSLATE(A5536, ""en"", ""mt"")"),"li Ġesù Kristu twieled Lhudi")</f>
        <v>li Ġesù Kristu twieled Lhudi</v>
      </c>
    </row>
    <row r="5537" ht="15.75" customHeight="1">
      <c r="A5537" s="2" t="s">
        <v>5537</v>
      </c>
      <c r="B5537" s="2" t="str">
        <f>IFERROR(__xludf.DUMMYFUNCTION("GOOGLETRANSLATE(A5537, ""en"", ""mt"")"),"In-Nofsinhar tal-Italja")</f>
        <v>In-Nofsinhar tal-Italja</v>
      </c>
    </row>
    <row r="5538" ht="15.75" customHeight="1">
      <c r="A5538" s="2" t="s">
        <v>5538</v>
      </c>
      <c r="B5538" s="2" t="str">
        <f>IFERROR(__xludf.DUMMYFUNCTION("GOOGLETRANSLATE(A5538, ""en"", ""mt"")"),"Ma 'Ma' Tesla sieħeb fl-1886?")</f>
        <v>Ma 'Ma' Tesla sieħeb fl-1886?</v>
      </c>
    </row>
    <row r="5539" ht="15.75" customHeight="1">
      <c r="A5539" s="2" t="s">
        <v>5539</v>
      </c>
      <c r="B5539" s="2" t="str">
        <f>IFERROR(__xludf.DUMMYFUNCTION("GOOGLETRANSLATE(A5539, ""en"", ""mt"")"),"Qilla ta ’Alla")</f>
        <v>Qilla ta ’Alla</v>
      </c>
    </row>
    <row r="5540" ht="15.75" customHeight="1">
      <c r="A5540" s="2" t="s">
        <v>5540</v>
      </c>
      <c r="B5540" s="2" t="str">
        <f>IFERROR(__xludf.DUMMYFUNCTION("GOOGLETRANSLATE(A5540, ""en"", ""mt"")"),"Min irkupra l-fumble u mexxa l-ballun għal touchdown?")</f>
        <v>Min irkupra l-fumble u mexxa l-ballun għal touchdown?</v>
      </c>
    </row>
    <row r="5541" ht="15.75" customHeight="1">
      <c r="A5541" s="2" t="s">
        <v>5541</v>
      </c>
      <c r="B5541" s="2" t="str">
        <f>IFERROR(__xludf.DUMMYFUNCTION("GOOGLETRANSLATE(A5541, ""en"", ""mt"")"),"Tpinġijiet u Ġbir ta 'Arkivji Riba")</f>
        <v>Tpinġijiet u Ġbir ta 'Arkivji Riba</v>
      </c>
    </row>
    <row r="5542" ht="15.75" customHeight="1">
      <c r="A5542" s="2" t="s">
        <v>5542</v>
      </c>
      <c r="B5542" s="2" t="str">
        <f>IFERROR(__xludf.DUMMYFUNCTION("GOOGLETRANSLATE(A5542, ""en"", ""mt"")"),"Barra mir-rikonoxximent nazzjonali, liema tip ieħor ta 'rikonoxximent jiksbu xi wħud mill-ibliet?")</f>
        <v>Barra mir-rikonoxximent nazzjonali, liema tip ieħor ta 'rikonoxximent jiksbu xi wħud mill-ibliet?</v>
      </c>
    </row>
    <row r="5543" ht="15.75" customHeight="1">
      <c r="A5543" s="2" t="s">
        <v>5543</v>
      </c>
      <c r="B5543" s="2" t="str">
        <f>IFERROR(__xludf.DUMMYFUNCTION("GOOGLETRANSLATE(A5543, ""en"", ""mt"")"),"Taħt kondizzjonijiet normali, iċ-ċelloli T u l-antikorpi jipproduċu x'tip ta 'peptidi?")</f>
        <v>Taħt kondizzjonijiet normali, iċ-ċelloli T u l-antikorpi jipproduċu x'tip ta 'peptidi?</v>
      </c>
    </row>
    <row r="5544" ht="15.75" customHeight="1">
      <c r="A5544" s="2" t="s">
        <v>5544</v>
      </c>
      <c r="B5544" s="2" t="str">
        <f>IFERROR(__xludf.DUMMYFUNCTION("GOOGLETRANSLATE(A5544, ""en"", ""mt"")"),"Ukoll")</f>
        <v>Ukoll</v>
      </c>
    </row>
    <row r="5545" ht="15.75" customHeight="1">
      <c r="A5545" s="2" t="s">
        <v>5545</v>
      </c>
      <c r="B5545" s="2" t="str">
        <f>IFERROR(__xludf.DUMMYFUNCTION("GOOGLETRANSLATE(A5545, ""en"", ""mt"")"),"Liġijiet inġusti.")</f>
        <v>Liġijiet inġusti.</v>
      </c>
    </row>
    <row r="5546" ht="15.75" customHeight="1">
      <c r="A5546" s="2" t="s">
        <v>5546</v>
      </c>
      <c r="B5546" s="2" t="str">
        <f>IFERROR(__xludf.DUMMYFUNCTION("GOOGLETRANSLATE(A5546, ""en"", ""mt"")"),"Daniel Diermeier")</f>
        <v>Daniel Diermeier</v>
      </c>
    </row>
    <row r="5547" ht="15.75" customHeight="1">
      <c r="A5547" s="2" t="s">
        <v>5547</v>
      </c>
      <c r="B5547" s="2" t="str">
        <f>IFERROR(__xludf.DUMMYFUNCTION("GOOGLETRANSLATE(A5547, ""en"", ""mt"")"),"Fejn il-Korea kienet il-fruntiera tat-territorju ta 'Kublai?")</f>
        <v>Fejn il-Korea kienet il-fruntiera tat-territorju ta 'Kublai?</v>
      </c>
    </row>
    <row r="5548" ht="15.75" customHeight="1">
      <c r="A5548" s="2" t="s">
        <v>5548</v>
      </c>
      <c r="B5548" s="2" t="str">
        <f>IFERROR(__xludf.DUMMYFUNCTION("GOOGLETRANSLATE(A5548, ""en"", ""mt"")"),"Teorija tat-tiġrijiet")</f>
        <v>Teorija tat-tiġrijiet</v>
      </c>
    </row>
    <row r="5549" ht="15.75" customHeight="1">
      <c r="A5549" s="2" t="s">
        <v>5549</v>
      </c>
      <c r="B5549" s="2" t="str">
        <f>IFERROR(__xludf.DUMMYFUNCTION("GOOGLETRANSLATE(A5549, ""en"", ""mt"")"),"$ 2 miljun")</f>
        <v>$ 2 miljun</v>
      </c>
    </row>
    <row r="5550" ht="15.75" customHeight="1">
      <c r="A5550" s="2" t="s">
        <v>5550</v>
      </c>
      <c r="B5550" s="2" t="str">
        <f>IFERROR(__xludf.DUMMYFUNCTION("GOOGLETRANSLATE(A5550, ""en"", ""mt"")"),"Estwarju simili għall-Arċipelagu")</f>
        <v>Estwarju simili għall-Arċipelagu</v>
      </c>
    </row>
    <row r="5551" ht="15.75" customHeight="1">
      <c r="A5551" s="2" t="s">
        <v>5551</v>
      </c>
      <c r="B5551" s="2" t="str">
        <f>IFERROR(__xludf.DUMMYFUNCTION("GOOGLETRANSLATE(A5551, ""en"", ""mt"")"),"Fejn tibda r-Rhine?")</f>
        <v>Fejn tibda r-Rhine?</v>
      </c>
    </row>
    <row r="5552" ht="15.75" customHeight="1">
      <c r="A5552" s="2" t="s">
        <v>5552</v>
      </c>
      <c r="B5552" s="2" t="str">
        <f>IFERROR(__xludf.DUMMYFUNCTION("GOOGLETRANSLATE(A5552, ""en"", ""mt"")"),"Fl-1875")</f>
        <v>Fl-1875</v>
      </c>
    </row>
    <row r="5553" ht="15.75" customHeight="1">
      <c r="A5553" s="2" t="s">
        <v>5553</v>
      </c>
      <c r="B5553" s="2" t="str">
        <f>IFERROR(__xludf.DUMMYFUNCTION("GOOGLETRANSLATE(A5553, ""en"", ""mt"")"),"Għal liema skop jintuża l-ossiġnu mill-ħajja tal-annimali?")</f>
        <v>Għal liema skop jintuża l-ossiġnu mill-ħajja tal-annimali?</v>
      </c>
    </row>
    <row r="5554" ht="15.75" customHeight="1">
      <c r="A5554" s="2" t="s">
        <v>5554</v>
      </c>
      <c r="B5554" s="2" t="str">
        <f>IFERROR(__xludf.DUMMYFUNCTION("GOOGLETRANSLATE(A5554, ""en"", ""mt"")"),"il-kelma għeruq tagħha farmaċewtika")</f>
        <v>il-kelma għeruq tagħha farmaċewtika</v>
      </c>
    </row>
    <row r="5555" ht="15.75" customHeight="1">
      <c r="A5555" s="2" t="s">
        <v>5555</v>
      </c>
      <c r="B5555" s="2" t="str">
        <f>IFERROR(__xludf.DUMMYFUNCTION("GOOGLETRANSLATE(A5555, ""en"", ""mt"")"),"Triq Huguenot Distrett Storiku")</f>
        <v>Triq Huguenot Distrett Storiku</v>
      </c>
    </row>
    <row r="5556" ht="15.75" customHeight="1">
      <c r="A5556" s="2" t="s">
        <v>5556</v>
      </c>
      <c r="B5556" s="2" t="str">
        <f>IFERROR(__xludf.DUMMYFUNCTION("GOOGLETRANSLATE(A5556, ""en"", ""mt"")"),"skola primarja")</f>
        <v>skola primarja</v>
      </c>
    </row>
    <row r="5557" ht="15.75" customHeight="1">
      <c r="A5557" s="2" t="s">
        <v>5557</v>
      </c>
      <c r="B5557" s="2" t="str">
        <f>IFERROR(__xludf.DUMMYFUNCTION("GOOGLETRANSLATE(A5557, ""en"", ""mt"")"),"Ftit millimetri sa 1.5 m (4 ft 11 in) fid-daqs.")</f>
        <v>Ftit millimetri sa 1.5 m (4 ft 11 in) fid-daqs.</v>
      </c>
    </row>
    <row r="5558" ht="15.75" customHeight="1">
      <c r="A5558" s="2" t="s">
        <v>5558</v>
      </c>
      <c r="B5558" s="2" t="str">
        <f>IFERROR(__xludf.DUMMYFUNCTION("GOOGLETRANSLATE(A5558, ""en"", ""mt"")"),"Xi jfisser Mark U. Edwards bħala kawża possibbli ta 'l-antisemitiżmu ta' Luther?")</f>
        <v>Xi jfisser Mark U. Edwards bħala kawża possibbli ta 'l-antisemitiżmu ta' Luther?</v>
      </c>
    </row>
    <row r="5559" ht="15.75" customHeight="1">
      <c r="A5559" s="2" t="s">
        <v>5559</v>
      </c>
      <c r="B5559" s="2" t="str">
        <f>IFERROR(__xludf.DUMMYFUNCTION("GOOGLETRANSLATE(A5559, ""en"", ""mt"")"),"Stadium Stanford")</f>
        <v>Stadium Stanford</v>
      </c>
    </row>
    <row r="5560" ht="15.75" customHeight="1">
      <c r="A5560" s="2" t="s">
        <v>5560</v>
      </c>
      <c r="B5560" s="2" t="str">
        <f>IFERROR(__xludf.DUMMYFUNCTION("GOOGLETRANSLATE(A5560, ""en"", ""mt"")"),"Kif issejħu l-flus tal-karti tal-wan?")</f>
        <v>Kif issejħu l-flus tal-karti tal-wan?</v>
      </c>
    </row>
    <row r="5561" ht="15.75" customHeight="1">
      <c r="A5561" s="2" t="s">
        <v>5561</v>
      </c>
      <c r="B5561" s="2" t="str">
        <f>IFERROR(__xludf.DUMMYFUNCTION("GOOGLETRANSLATE(A5561, ""en"", ""mt"")"),"L-iskejjel privati, magħrufa wkoll bħala skejjel indipendenti, skejjel mhux governattivi, jew mhux statali, mhumiex amministrati minn gvernijiet lokali, statali jew nazzjonali; Għalhekk, huma jżommu d-dritt li jagħżlu l-istudenti tagħhom u huma ffinanzjat"&amp;"i kollha jew parzjalment billi jiċċarġjaw l-istudenti tagħhom, aktar milli jiddependu fuq tassazzjoni obbligatorja permezz ta 'finanzjament pubbliku (gvern); F’xi skejjel privati ​​l-istudenti jistgħu jkunu jistgħu jiksbu borża ta ’studju, li tagħmel l-is"&amp;"piża irħas, skont it-talent li l-istudent jista’ jkollu (per eżempju borża sportiva, borża ta ’studju tal-arti, borża ta’ studju akkademiku), ħtieġa finanzjarja, jew boroż ta ’kreditu tat-taxxa li jistgħu jkunu disponibbli -")</f>
        <v>L-iskejjel privati, magħrufa wkoll bħala skejjel indipendenti, skejjel mhux governattivi, jew mhux statali, mhumiex amministrati minn gvernijiet lokali, statali jew nazzjonali; Għalhekk, huma jżommu d-dritt li jagħżlu l-istudenti tagħhom u huma ffinanzjati kollha jew parzjalment billi jiċċarġjaw l-istudenti tagħhom, aktar milli jiddependu fuq tassazzjoni obbligatorja permezz ta 'finanzjament pubbliku (gvern); F’xi skejjel privati ​​l-istudenti jistgħu jkunu jistgħu jiksbu borża ta ’studju, li tagħmel l-ispiża irħas, skont it-talent li l-istudent jista’ jkollu (per eżempju borża sportiva, borża ta ’studju tal-arti, borża ta’ studju akkademiku), ħtieġa finanzjarja, jew boroż ta ’kreditu tat-taxxa li jistgħu jkunu disponibbli -</v>
      </c>
    </row>
    <row r="5562" ht="15.75" customHeight="1">
      <c r="A5562" s="2" t="s">
        <v>5562</v>
      </c>
      <c r="B5562" s="2" t="str">
        <f>IFERROR(__xludf.DUMMYFUNCTION("GOOGLETRANSLATE(A5562, ""en"", ""mt"")"),"Meta n-negozjati spiċċaw f'Mansfeld?")</f>
        <v>Meta n-negozjati spiċċaw f'Mansfeld?</v>
      </c>
    </row>
    <row r="5563" ht="15.75" customHeight="1">
      <c r="A5563" s="2" t="s">
        <v>5563</v>
      </c>
      <c r="B5563" s="2" t="str">
        <f>IFERROR(__xludf.DUMMYFUNCTION("GOOGLETRANSLATE(A5563, ""en"", ""mt"")"),"Fejn kienet il-V &amp; A trasferita għal mill-post oriġinali tagħha f'Marlborough House?")</f>
        <v>Fejn kienet il-V &amp; A trasferita għal mill-post oriġinali tagħha f'Marlborough House?</v>
      </c>
    </row>
    <row r="5564" ht="15.75" customHeight="1">
      <c r="A5564" s="2" t="s">
        <v>5564</v>
      </c>
      <c r="B5564" s="2" t="str">
        <f>IFERROR(__xludf.DUMMYFUNCTION("GOOGLETRANSLATE(A5564, ""en"", ""mt"")"),"Liema perċentwali tal-popolazzjoni ta 'Newcastle ġiet maqtula mill-pesta?")</f>
        <v>Liema perċentwali tal-popolazzjoni ta 'Newcastle ġiet maqtula mill-pesta?</v>
      </c>
    </row>
    <row r="5565" ht="15.75" customHeight="1">
      <c r="A5565" s="2" t="s">
        <v>5565</v>
      </c>
      <c r="B5565" s="2" t="str">
        <f>IFERROR(__xludf.DUMMYFUNCTION("GOOGLETRANSLATE(A5565, ""en"", ""mt"")"),"Liema assoċjazzjoni Tesla wriet it-teoriji tal-mewġ tar-radju tiegħu?")</f>
        <v>Liema assoċjazzjoni Tesla wriet it-teoriji tal-mewġ tar-radju tiegħu?</v>
      </c>
    </row>
    <row r="5566" ht="15.75" customHeight="1">
      <c r="A5566" s="2" t="s">
        <v>5566</v>
      </c>
      <c r="B5566" s="2" t="str">
        <f>IFERROR(__xludf.DUMMYFUNCTION("GOOGLETRANSLATE(A5566, ""en"", ""mt"")"),"X'kien imkeċċi l-President Kennedy rigward il-programm spazjali?")</f>
        <v>X'kien imkeċċi l-President Kennedy rigward il-programm spazjali?</v>
      </c>
    </row>
    <row r="5567" ht="15.75" customHeight="1">
      <c r="A5567" s="2" t="s">
        <v>5567</v>
      </c>
      <c r="B5567" s="2" t="str">
        <f>IFERROR(__xludf.DUMMYFUNCTION("GOOGLETRANSLATE(A5567, ""en"", ""mt"")"),"dritta")</f>
        <v>dritta</v>
      </c>
    </row>
    <row r="5568" ht="15.75" customHeight="1">
      <c r="A5568" s="2" t="s">
        <v>5568</v>
      </c>
      <c r="B5568" s="2" t="str">
        <f>IFERROR(__xludf.DUMMYFUNCTION("GOOGLETRANSLATE(A5568, ""en"", ""mt"")"),"Meta ġie introdott il-kejl tar-Rhine?")</f>
        <v>Meta ġie introdott il-kejl tar-Rhine?</v>
      </c>
    </row>
    <row r="5569" ht="15.75" customHeight="1">
      <c r="A5569" s="2" t="s">
        <v>5569</v>
      </c>
      <c r="B5569" s="2" t="str">
        <f>IFERROR(__xludf.DUMMYFUNCTION("GOOGLETRANSLATE(A5569, ""en"", ""mt"")"),"Ippreserva t-tolleranza tas-soċjetà għad-diżubbidjenza ċivili")</f>
        <v>Ippreserva t-tolleranza tas-soċjetà għad-diżubbidjenza ċivili</v>
      </c>
    </row>
    <row r="5570" ht="15.75" customHeight="1">
      <c r="A5570" s="2" t="s">
        <v>5570</v>
      </c>
      <c r="B5570" s="2" t="str">
        <f>IFERROR(__xludf.DUMMYFUNCTION("GOOGLETRANSLATE(A5570, ""en"", ""mt"")"),"Minbarra l-liġijiet tal-art, x'iktar ma kinux sodisfatti l-Californios?")</f>
        <v>Minbarra l-liġijiet tal-art, x'iktar ma kinux sodisfatti l-Californios?</v>
      </c>
    </row>
    <row r="5571" ht="15.75" customHeight="1">
      <c r="A5571" s="2" t="s">
        <v>5571</v>
      </c>
      <c r="B5571" s="2" t="str">
        <f>IFERROR(__xludf.DUMMYFUNCTION("GOOGLETRANSLATE(A5571, ""en"", ""mt"")"),"il-gvern Vittorjan")</f>
        <v>il-gvern Vittorjan</v>
      </c>
    </row>
    <row r="5572" ht="15.75" customHeight="1">
      <c r="A5572" s="2" t="s">
        <v>5572</v>
      </c>
      <c r="B5572" s="2" t="str">
        <f>IFERROR(__xludf.DUMMYFUNCTION("GOOGLETRANSLATE(A5572, ""en"", ""mt"")"),"Sekwenzi CRISPR")</f>
        <v>Sekwenzi CRISPR</v>
      </c>
    </row>
    <row r="5573" ht="15.75" customHeight="1">
      <c r="A5573" s="2" t="s">
        <v>5573</v>
      </c>
      <c r="B5573" s="2" t="str">
        <f>IFERROR(__xludf.DUMMYFUNCTION("GOOGLETRANSLATE(A5573, ""en"", ""mt"")"),"Taħlit")</f>
        <v>Taħlit</v>
      </c>
    </row>
    <row r="5574" ht="15.75" customHeight="1">
      <c r="A5574" s="2" t="s">
        <v>5574</v>
      </c>
      <c r="B5574" s="2" t="str">
        <f>IFERROR(__xludf.DUMMYFUNCTION("GOOGLETRANSLATE(A5574, ""en"", ""mt"")"),"Min kiteb ittra qawwija lill-elettur li jfaħħar lil Luther?")</f>
        <v>Min kiteb ittra qawwija lill-elettur li jfaħħar lil Luther?</v>
      </c>
    </row>
    <row r="5575" ht="15.75" customHeight="1">
      <c r="A5575" s="2" t="s">
        <v>5575</v>
      </c>
      <c r="B5575" s="2" t="str">
        <f>IFERROR(__xludf.DUMMYFUNCTION("GOOGLETRANSLATE(A5575, ""en"", ""mt"")"),"Sea Gooseberry")</f>
        <v>Sea Gooseberry</v>
      </c>
    </row>
    <row r="5576" ht="15.75" customHeight="1">
      <c r="A5576" s="2" t="s">
        <v>5576</v>
      </c>
      <c r="B5576" s="2" t="str">
        <f>IFERROR(__xludf.DUMMYFUNCTION("GOOGLETRANSLATE(A5576, ""en"", ""mt"")"),"miġbura fit-toroq")</f>
        <v>miġbura fit-toroq</v>
      </c>
    </row>
    <row r="5577" ht="15.75" customHeight="1">
      <c r="A5577" s="2" t="s">
        <v>5577</v>
      </c>
      <c r="B5577" s="2" t="str">
        <f>IFERROR(__xludf.DUMMYFUNCTION("GOOGLETRANSLATE(A5577, ""en"", ""mt"")"),"B'liema mezzi ġeneralment ikun amministrat l-imperjalizmu?")</f>
        <v>B'liema mezzi ġeneralment ikun amministrat l-imperjalizmu?</v>
      </c>
    </row>
    <row r="5578" ht="15.75" customHeight="1">
      <c r="A5578" s="2" t="s">
        <v>5578</v>
      </c>
      <c r="B5578" s="2" t="str">
        <f>IFERROR(__xludf.DUMMYFUNCTION("GOOGLETRANSLATE(A5578, ""en"", ""mt"")"),"li d-diżubbidjenza ċivili hija ġustifikata biss kontra entitajiet governattivi")</f>
        <v>li d-diżubbidjenza ċivili hija ġustifikata biss kontra entitajiet governattivi</v>
      </c>
    </row>
    <row r="5579" ht="15.75" customHeight="1">
      <c r="A5579" s="2" t="s">
        <v>5579</v>
      </c>
      <c r="B5579" s="2" t="str">
        <f>IFERROR(__xludf.DUMMYFUNCTION("GOOGLETRANSLATE(A5579, ""en"", ""mt"")"),"Wara liema sena t-taħlit ma waqafx biex jintuża fil-Gran Brittanja?")</f>
        <v>Wara liema sena t-taħlit ma waqafx biex jintuża fil-Gran Brittanja?</v>
      </c>
    </row>
    <row r="5580" ht="15.75" customHeight="1">
      <c r="A5580" s="2" t="s">
        <v>5580</v>
      </c>
      <c r="B5580" s="2" t="str">
        <f>IFERROR(__xludf.DUMMYFUNCTION("GOOGLETRANSLATE(A5580, ""en"", ""mt"")"),"megaprojects")</f>
        <v>megaprojects</v>
      </c>
    </row>
    <row r="5581" ht="15.75" customHeight="1">
      <c r="A5581" s="2" t="s">
        <v>5581</v>
      </c>
      <c r="B5581" s="2" t="str">
        <f>IFERROR(__xludf.DUMMYFUNCTION("GOOGLETRANSLATE(A5581, ""en"", ""mt"")"),"Il-konċepiment tal-punt huwa eżempju ta 'monument fost liema fruntiera tan-Nofsinhar ta' California?")</f>
        <v>Il-konċepiment tal-punt huwa eżempju ta 'monument fost liema fruntiera tan-Nofsinhar ta' California?</v>
      </c>
    </row>
    <row r="5582" ht="15.75" customHeight="1">
      <c r="A5582" s="2" t="s">
        <v>5582</v>
      </c>
      <c r="B5582" s="2" t="str">
        <f>IFERROR(__xludf.DUMMYFUNCTION("GOOGLETRANSLATE(A5582, ""en"", ""mt"")"),"Il-Jetsons")</f>
        <v>Il-Jetsons</v>
      </c>
    </row>
    <row r="5583" ht="15.75" customHeight="1">
      <c r="A5583" s="2" t="s">
        <v>5583</v>
      </c>
      <c r="B5583" s="2" t="str">
        <f>IFERROR(__xludf.DUMMYFUNCTION("GOOGLETRANSLATE(A5583, ""en"", ""mt"")"),"In-Netwerk tal-Fondazzjoni Nazzjonali tax-Xjenza (NSFNET) kien programm ta 'proġetti kkoordinati u li qed jevolvu sponsorjati mill-Fondazzjoni Nazzjonali tax-Xjenza (NSF) li jibdew fl-1985 biex jippromwovu netwerking avvanzat ta' riċerka u edukazzjoni fl-"&amp;"Istati Uniti. NSFNET kien ukoll l-isem mogħti lil diversi netwerks tas-sinsla tal-pajjiż li joperaw b'veloċitajiet ta '56 kbit / s, 1.5 mbit / s (T1), u 45 mbit / s (T3) li ġew mibnija biex jappoġġjaw inizjattivi ta 'netwerking ta' NSF mill-1985-1995. Ini"&amp;"zjalment maħluqa biex jgħaqqdu r-riċerkaturi maċ-ċentri tas-superkompjuters iffinanzjati mill-NSF tan-nazzjon, permezz ta 'fondi pubbliċi u sħubijiet ta' l-industrija privata li żviluppaw f'parti ewlenija tas-sinsla tal-internet.")</f>
        <v>In-Netwerk tal-Fondazzjoni Nazzjonali tax-Xjenza (NSFNET) kien programm ta 'proġetti kkoordinati u li qed jevolvu sponsorjati mill-Fondazzjoni Nazzjonali tax-Xjenza (NSF) li jibdew fl-1985 biex jippromwovu netwerking avvanzat ta' riċerka u edukazzjoni fl-Istati Uniti. NSFNET kien ukoll l-isem mogħti lil diversi netwerks tas-sinsla tal-pajjiż li joperaw b'veloċitajiet ta '56 kbit / s, 1.5 mbit / s (T1), u 45 mbit / s (T3) li ġew mibnija biex jappoġġjaw inizjattivi ta 'netwerking ta' NSF mill-1985-1995. Inizjalment maħluqa biex jgħaqqdu r-riċerkaturi maċ-ċentri tas-superkompjuters iffinanzjati mill-NSF tan-nazzjon, permezz ta 'fondi pubbliċi u sħubijiet ta' l-industrija privata li żviluppaw f'parti ewlenija tas-sinsla tal-internet.</v>
      </c>
    </row>
    <row r="5584" ht="15.75" customHeight="1">
      <c r="A5584" s="2" t="s">
        <v>5584</v>
      </c>
      <c r="B5584" s="2" t="str">
        <f>IFERROR(__xludf.DUMMYFUNCTION("GOOGLETRANSLATE(A5584, ""en"", ""mt"")"),"l-istess f'kull qafas ta 'referenza inerzjali")</f>
        <v>l-istess f'kull qafas ta 'referenza inerzjali</v>
      </c>
    </row>
    <row r="5585" ht="15.75" customHeight="1">
      <c r="A5585" s="2" t="s">
        <v>5585</v>
      </c>
      <c r="B5585" s="2" t="str">
        <f>IFERROR(__xludf.DUMMYFUNCTION("GOOGLETRANSLATE(A5585, ""en"", ""mt"")"),"Inugwaljanzi ekonomiċi sistematiċi")</f>
        <v>Inugwaljanzi ekonomiċi sistematiċi</v>
      </c>
    </row>
    <row r="5586" ht="15.75" customHeight="1">
      <c r="A5586" s="2" t="s">
        <v>5586</v>
      </c>
      <c r="B5586" s="2" t="str">
        <f>IFERROR(__xludf.DUMMYFUNCTION("GOOGLETRANSLATE(A5586, ""en"", ""mt"")"),"allegazzjonijiet ta 'kondotta ħażina professjonali")</f>
        <v>allegazzjonijiet ta 'kondotta ħażina professjonali</v>
      </c>
    </row>
    <row r="5587" ht="15.75" customHeight="1">
      <c r="A5587" s="2" t="s">
        <v>5587</v>
      </c>
      <c r="B5587" s="2" t="str">
        <f>IFERROR(__xludf.DUMMYFUNCTION("GOOGLETRANSLATE(A5587, ""en"", ""mt"")"),"Pożizzjonijiet diffiċli biex timla")</f>
        <v>Pożizzjonijiet diffiċli biex timla</v>
      </c>
    </row>
    <row r="5588" ht="15.75" customHeight="1">
      <c r="A5588" s="2" t="s">
        <v>5588</v>
      </c>
      <c r="B5588" s="2" t="str">
        <f>IFERROR(__xludf.DUMMYFUNCTION("GOOGLETRANSLATE(A5588, ""en"", ""mt"")"),"Seminarju Teoloġiku ta ’Chicago")</f>
        <v>Seminarju Teoloġiku ta ’Chicago</v>
      </c>
    </row>
    <row r="5589" ht="15.75" customHeight="1">
      <c r="A5589" s="2" t="s">
        <v>5589</v>
      </c>
      <c r="B5589" s="2" t="str">
        <f>IFERROR(__xludf.DUMMYFUNCTION("GOOGLETRANSLATE(A5589, ""en"", ""mt"")"),"raġunijiet morali biex issegwi din il-liġi")</f>
        <v>raġunijiet morali biex issegwi din il-liġi</v>
      </c>
    </row>
    <row r="5590" ht="15.75" customHeight="1">
      <c r="A5590" s="2" t="s">
        <v>5590</v>
      </c>
      <c r="B5590" s="2" t="str">
        <f>IFERROR(__xludf.DUMMYFUNCTION("GOOGLETRANSLATE(A5590, ""en"", ""mt"")"),"kilopond")</f>
        <v>kilopond</v>
      </c>
    </row>
    <row r="5591" ht="15.75" customHeight="1">
      <c r="A5591" s="2" t="s">
        <v>5591</v>
      </c>
      <c r="B5591" s="2" t="str">
        <f>IFERROR(__xludf.DUMMYFUNCTION("GOOGLETRANSLATE(A5591, ""en"", ""mt"")"),"X'kien l-isem oriġinali tal-Colonia Agrippina?")</f>
        <v>X'kien l-isem oriġinali tal-Colonia Agrippina?</v>
      </c>
    </row>
    <row r="5592" ht="15.75" customHeight="1">
      <c r="A5592" s="2" t="s">
        <v>5592</v>
      </c>
      <c r="B5592" s="2" t="str">
        <f>IFERROR(__xludf.DUMMYFUNCTION("GOOGLETRANSLATE(A5592, ""en"", ""mt"")"),"Matul in-Nofs Eġen, huwa maħsub li l-baċin tad-drenaġġ tal-Amażonja kien maqsum tul in-nofs tal-kontinent mill-arkata Purus. L-ilma fuq in-naħa tal-Lvant ħareġ lejn l-Atlantiku, waqt li l-ilma tal-punent ħareġ lejn il-Paċifiku madwar il-baċin tal-Amazonas"&amp;". Madankollu, hekk kif il-Muntanji Andes żdiedu, inħoloq baċin kbir li jingħalaq lag; issa magħruf bħala l-Baċin Solimões. Fl-aħħar 5-10 miljun sena, dan l-ilma li jakkumula għadda mill-Arch Purus, u ngħaqad mal-fluss tal-Lvant lejn l-Atlantiku.")</f>
        <v>Matul in-Nofs Eġen, huwa maħsub li l-baċin tad-drenaġġ tal-Amażonja kien maqsum tul in-nofs tal-kontinent mill-arkata Purus. L-ilma fuq in-naħa tal-Lvant ħareġ lejn l-Atlantiku, waqt li l-ilma tal-punent ħareġ lejn il-Paċifiku madwar il-baċin tal-Amazonas. Madankollu, hekk kif il-Muntanji Andes żdiedu, inħoloq baċin kbir li jingħalaq lag; issa magħruf bħala l-Baċin Solimões. Fl-aħħar 5-10 miljun sena, dan l-ilma li jakkumula għadda mill-Arch Purus, u ngħaqad mal-fluss tal-Lvant lejn l-Atlantiku.</v>
      </c>
    </row>
    <row r="5593" ht="15.75" customHeight="1">
      <c r="A5593" s="2" t="s">
        <v>5593</v>
      </c>
      <c r="B5593" s="2" t="str">
        <f>IFERROR(__xludf.DUMMYFUNCTION("GOOGLETRANSLATE(A5593, ""en"", ""mt"")"),"Il-Parlament ma jistax jibda leġislazzjoni kontra x-xewqat tal-kummissjoni")</f>
        <v>Il-Parlament ma jistax jibda leġislazzjoni kontra x-xewqat tal-kummissjoni</v>
      </c>
    </row>
    <row r="5594" ht="15.75" customHeight="1">
      <c r="A5594" s="2" t="s">
        <v>5594</v>
      </c>
      <c r="B5594" s="2" t="str">
        <f>IFERROR(__xludf.DUMMYFUNCTION("GOOGLETRANSLATE(A5594, ""en"", ""mt"")"),"spiċċa inkonklussivament")</f>
        <v>spiċċa inkonklussivament</v>
      </c>
    </row>
    <row r="5595" ht="15.75" customHeight="1">
      <c r="A5595" s="2" t="s">
        <v>5595</v>
      </c>
      <c r="B5595" s="2" t="str">
        <f>IFERROR(__xludf.DUMMYFUNCTION("GOOGLETRANSLATE(A5595, ""en"", ""mt"")"),"divertiment")</f>
        <v>divertiment</v>
      </c>
    </row>
    <row r="5596" ht="15.75" customHeight="1">
      <c r="A5596" s="2" t="s">
        <v>5596</v>
      </c>
      <c r="B5596" s="2" t="str">
        <f>IFERROR(__xludf.DUMMYFUNCTION("GOOGLETRANSLATE(A5596, ""en"", ""mt"")"),"X’beda Tesla f’Marzu 1896?")</f>
        <v>X’beda Tesla f’Marzu 1896?</v>
      </c>
    </row>
    <row r="5597" ht="15.75" customHeight="1">
      <c r="A5597" s="2" t="s">
        <v>5597</v>
      </c>
      <c r="B5597" s="2" t="str">
        <f>IFERROR(__xludf.DUMMYFUNCTION("GOOGLETRANSLATE(A5597, ""en"", ""mt"")"),"il-membrana doppja mitokondrijali")</f>
        <v>il-membrana doppja mitokondrijali</v>
      </c>
    </row>
    <row r="5598" ht="15.75" customHeight="1">
      <c r="A5598" s="2" t="s">
        <v>5598</v>
      </c>
      <c r="B5598" s="2" t="str">
        <f>IFERROR(__xludf.DUMMYFUNCTION("GOOGLETRANSLATE(A5598, ""en"", ""mt"")"),"Kemm-il linji jispiċċaw mill-belt ta ’Los Angeles?")</f>
        <v>Kemm-il linji jispiċċaw mill-belt ta ’Los Angeles?</v>
      </c>
    </row>
    <row r="5599" ht="15.75" customHeight="1">
      <c r="A5599" s="2" t="s">
        <v>5599</v>
      </c>
      <c r="B5599" s="2" t="str">
        <f>IFERROR(__xludf.DUMMYFUNCTION("GOOGLETRANSLATE(A5599, ""en"", ""mt"")"),"Fejn l-ekwipaġġ ta 'Apollo 1 wettaq testijiet fiċ-Ċentru Spazjali Kennedy?")</f>
        <v>Fejn l-ekwipaġġ ta 'Apollo 1 wettaq testijiet fiċ-Ċentru Spazjali Kennedy?</v>
      </c>
    </row>
    <row r="5600" ht="15.75" customHeight="1">
      <c r="A5600" s="2" t="s">
        <v>5600</v>
      </c>
      <c r="B5600" s="2" t="str">
        <f>IFERROR(__xludf.DUMMYFUNCTION("GOOGLETRANSLATE(A5600, ""en"", ""mt"")"),"Liema perjodu ta 'żmien il-ġbir tal-iskultura jkopri?")</f>
        <v>Liema perjodu ta 'żmien il-ġbir tal-iskultura jkopri?</v>
      </c>
    </row>
    <row r="5601" ht="15.75" customHeight="1">
      <c r="A5601" s="2" t="s">
        <v>5601</v>
      </c>
      <c r="B5601" s="2" t="str">
        <f>IFERROR(__xludf.DUMMYFUNCTION("GOOGLETRANSLATE(A5601, ""en"", ""mt"")"),"Liema post kellu l-istil arkitettoniku Għarbi Norman?")</f>
        <v>Liema post kellu l-istil arkitettoniku Għarbi Norman?</v>
      </c>
    </row>
    <row r="5602" ht="15.75" customHeight="1">
      <c r="A5602" s="2" t="s">
        <v>5602</v>
      </c>
      <c r="B5602" s="2" t="str">
        <f>IFERROR(__xludf.DUMMYFUNCTION("GOOGLETRANSLATE(A5602, ""en"", ""mt"")"),"Għaliex Newcastle u Gateshead marbuta flimkien taħt banner komuni?")</f>
        <v>Għaliex Newcastle u Gateshead marbuta flimkien taħt banner komuni?</v>
      </c>
    </row>
    <row r="5603" ht="15.75" customHeight="1">
      <c r="A5603" s="2" t="s">
        <v>5603</v>
      </c>
      <c r="B5603" s="2" t="str">
        <f>IFERROR(__xludf.DUMMYFUNCTION("GOOGLETRANSLATE(A5603, ""en"", ""mt"")"),"Diviżjoni I.")</f>
        <v>Diviżjoni I.</v>
      </c>
    </row>
    <row r="5604" ht="15.75" customHeight="1">
      <c r="A5604" s="2" t="s">
        <v>5604</v>
      </c>
      <c r="B5604" s="2" t="str">
        <f>IFERROR(__xludf.DUMMYFUNCTION("GOOGLETRANSLATE(A5604, ""en"", ""mt"")"),"F'liema belt hemm il-Mużew Nikola Tesla?")</f>
        <v>F'liema belt hemm il-Mużew Nikola Tesla?</v>
      </c>
    </row>
    <row r="5605" ht="15.75" customHeight="1">
      <c r="A5605" s="2" t="s">
        <v>5605</v>
      </c>
      <c r="B5605" s="2" t="str">
        <f>IFERROR(__xludf.DUMMYFUNCTION("GOOGLETRANSLATE(A5605, ""en"", ""mt"")"),"raġġ () tad-dinja")</f>
        <v>raġġ () tad-dinja</v>
      </c>
    </row>
    <row r="5606" ht="15.75" customHeight="1">
      <c r="A5606" s="2" t="s">
        <v>5606</v>
      </c>
      <c r="B5606" s="2" t="str">
        <f>IFERROR(__xludf.DUMMYFUNCTION("GOOGLETRANSLATE(A5606, ""en"", ""mt"")"),"żdied b'żieda fl-inugwaljanza tad-dħul")</f>
        <v>żdied b'żieda fl-inugwaljanza tad-dħul</v>
      </c>
    </row>
    <row r="5607" ht="15.75" customHeight="1">
      <c r="A5607" s="2" t="s">
        <v>5607</v>
      </c>
      <c r="B5607" s="2" t="str">
        <f>IFERROR(__xludf.DUMMYFUNCTION("GOOGLETRANSLATE(A5607, ""en"", ""mt"")"),"Liema pubblikazzjoni sejħet Doctor Who ""L-Ikbar Serje ta 'Fikzjoni tax-Xjenza tar-Renju Unit li qatt kien hemm""?")</f>
        <v>Liema pubblikazzjoni sejħet Doctor Who "L-Ikbar Serje ta 'Fikzjoni tax-Xjenza tar-Renju Unit li qatt kien hemm"?</v>
      </c>
    </row>
    <row r="5608" ht="15.75" customHeight="1">
      <c r="A5608" s="2" t="s">
        <v>5608</v>
      </c>
      <c r="B5608" s="2" t="str">
        <f>IFERROR(__xludf.DUMMYFUNCTION("GOOGLETRANSLATE(A5608, ""en"", ""mt"")"),"X’ttratta b’suċċess it-tnaqqis tal-ożonu?")</f>
        <v>X’ttratta b’suċċess it-tnaqqis tal-ożonu?</v>
      </c>
    </row>
    <row r="5609" ht="15.75" customHeight="1">
      <c r="A5609" s="2" t="s">
        <v>5609</v>
      </c>
      <c r="B5609" s="2" t="str">
        <f>IFERROR(__xludf.DUMMYFUNCTION("GOOGLETRANSLATE(A5609, ""en"", ""mt"")"),"X'kienet l-ewwel sena li Yale u Harvard lagħbu l-futbol?")</f>
        <v>X'kienet l-ewwel sena li Yale u Harvard lagħbu l-futbol?</v>
      </c>
    </row>
    <row r="5610" ht="15.75" customHeight="1">
      <c r="A5610" s="2" t="s">
        <v>5610</v>
      </c>
      <c r="B5610" s="2" t="str">
        <f>IFERROR(__xludf.DUMMYFUNCTION("GOOGLETRANSLATE(A5610, ""en"", ""mt"")"),"Id-dilemma ffaċċjata minn ċittadini Ġermaniżi")</f>
        <v>Id-dilemma ffaċċjata minn ċittadini Ġermaniżi</v>
      </c>
    </row>
    <row r="5611" ht="15.75" customHeight="1">
      <c r="A5611" s="2" t="s">
        <v>5611</v>
      </c>
      <c r="B5611" s="2" t="str">
        <f>IFERROR(__xludf.DUMMYFUNCTION("GOOGLETRANSLATE(A5611, ""en"", ""mt"")"),"Biex tesplora netwerking tal-kompjuter bejn tlieta mill-universitajiet pubbliċi ta 'Michigan")</f>
        <v>Biex tesplora netwerking tal-kompjuter bejn tlieta mill-universitajiet pubbliċi ta 'Michigan</v>
      </c>
    </row>
    <row r="5612" ht="15.75" customHeight="1">
      <c r="A5612" s="2" t="s">
        <v>5612</v>
      </c>
      <c r="B5612" s="2" t="str">
        <f>IFERROR(__xludf.DUMMYFUNCTION("GOOGLETRANSLATE(A5612, ""en"", ""mt"")"),"tul il-kosta, l-insedjamenti kienu qed jikbru fl-intern")</f>
        <v>tul il-kosta, l-insedjamenti kienu qed jikbru fl-intern</v>
      </c>
    </row>
    <row r="5613" ht="15.75" customHeight="1">
      <c r="A5613" s="2" t="s">
        <v>5613</v>
      </c>
      <c r="B5613" s="2" t="str">
        <f>IFERROR(__xludf.DUMMYFUNCTION("GOOGLETRANSLATE(A5613, ""en"", ""mt"")"),"Kemm timijiet tal-NFL kellhom telf wieħed biss sa tmiem staġun regolari?")</f>
        <v>Kemm timijiet tal-NFL kellhom telf wieħed biss sa tmiem staġun regolari?</v>
      </c>
    </row>
    <row r="5614" ht="15.75" customHeight="1">
      <c r="A5614" s="2" t="s">
        <v>5614</v>
      </c>
      <c r="B5614" s="2" t="str">
        <f>IFERROR(__xludf.DUMMYFUNCTION("GOOGLETRANSLATE(A5614, ""en"", ""mt"")"),"José María Figueres")</f>
        <v>José María Figueres</v>
      </c>
    </row>
    <row r="5615" ht="15.75" customHeight="1">
      <c r="A5615" s="2" t="s">
        <v>5615</v>
      </c>
      <c r="B5615" s="2" t="str">
        <f>IFERROR(__xludf.DUMMYFUNCTION("GOOGLETRANSLATE(A5615, ""en"", ""mt"")"),"Konverżjoni Lhudija fuq skala kbira għall-Kristjaneżmu")</f>
        <v>Konverżjoni Lhudija fuq skala kbira għall-Kristjaneżmu</v>
      </c>
    </row>
    <row r="5616" ht="15.75" customHeight="1">
      <c r="A5616" s="2" t="s">
        <v>5616</v>
      </c>
      <c r="B5616" s="2" t="str">
        <f>IFERROR(__xludf.DUMMYFUNCTION("GOOGLETRANSLATE(A5616, ""en"", ""mt"")"),"1550 sa 1900")</f>
        <v>1550 sa 1900</v>
      </c>
    </row>
    <row r="5617" ht="15.75" customHeight="1">
      <c r="A5617" s="2" t="s">
        <v>5617</v>
      </c>
      <c r="B5617" s="2" t="str">
        <f>IFERROR(__xludf.DUMMYFUNCTION("GOOGLETRANSLATE(A5617, ""en"", ""mt"")"),"kompjuter")</f>
        <v>kompjuter</v>
      </c>
    </row>
    <row r="5618" ht="15.75" customHeight="1">
      <c r="A5618" s="2" t="s">
        <v>5618</v>
      </c>
      <c r="B5618" s="2" t="str">
        <f>IFERROR(__xludf.DUMMYFUNCTION("GOOGLETRANSLATE(A5618, ""en"", ""mt"")"),"Ippjana l-proċeduri fiżiċi, u tintegra dawk il-proċeduri mal-partijiet l-oħra")</f>
        <v>Ippjana l-proċeduri fiżiċi, u tintegra dawk il-proċeduri mal-partijiet l-oħra</v>
      </c>
    </row>
    <row r="5619" ht="15.75" customHeight="1">
      <c r="A5619" s="2" t="s">
        <v>5619</v>
      </c>
      <c r="B5619" s="2" t="str">
        <f>IFERROR(__xludf.DUMMYFUNCTION("GOOGLETRANSLATE(A5619, ""en"", ""mt"")"),"L-attivazzjoni ta 'ċellula T helper tikkawża li tirrilaxxa liema kimiċi jinfluwenzaw l-attività taċ-ċellula?")</f>
        <v>L-attivazzjoni ta 'ċellula T helper tikkawża li tirrilaxxa liema kimiċi jinfluwenzaw l-attività taċ-ċellula?</v>
      </c>
    </row>
    <row r="5620" ht="15.75" customHeight="1">
      <c r="A5620" s="2" t="s">
        <v>5620</v>
      </c>
      <c r="B5620" s="2" t="str">
        <f>IFERROR(__xludf.DUMMYFUNCTION("GOOGLETRANSLATE(A5620, ""en"", ""mt"")"),"Tolleranti għar-reliġjonijiet")</f>
        <v>Tolleranti għar-reliġjonijiet</v>
      </c>
    </row>
    <row r="5621" ht="15.75" customHeight="1">
      <c r="A5621" s="2" t="s">
        <v>5621</v>
      </c>
      <c r="B5621" s="2" t="str">
        <f>IFERROR(__xludf.DUMMYFUNCTION("GOOGLETRANSLATE(A5621, ""en"", ""mt"")"),"it-tielet u t-tmien tobba")</f>
        <v>it-tielet u t-tmien tobba</v>
      </c>
    </row>
    <row r="5622" ht="15.75" customHeight="1">
      <c r="A5622" s="2" t="s">
        <v>5622</v>
      </c>
      <c r="B5622" s="2" t="str">
        <f>IFERROR(__xludf.DUMMYFUNCTION("GOOGLETRANSLATE(A5622, ""en"", ""mt"")"),"Ossachite")</f>
        <v>Ossachite</v>
      </c>
    </row>
    <row r="5623" ht="15.75" customHeight="1">
      <c r="A5623" s="2" t="s">
        <v>5623</v>
      </c>
      <c r="B5623" s="2" t="str">
        <f>IFERROR(__xludf.DUMMYFUNCTION("GOOGLETRANSLATE(A5623, ""en"", ""mt"")"),"Fidi f’Ġesù Kristu")</f>
        <v>Fidi f’Ġesù Kristu</v>
      </c>
    </row>
    <row r="5624" ht="15.75" customHeight="1">
      <c r="A5624" s="2" t="s">
        <v>5624</v>
      </c>
      <c r="B5624" s="2" t="str">
        <f>IFERROR(__xludf.DUMMYFUNCTION("GOOGLETRANSLATE(A5624, ""en"", ""mt"")"),"Bosta pajjiżi joffru programmi alternattivi ta 'liċenzjar biex jattiraw nies fit-tagħlim, speċjalment għal pożizzjonijiet diffiċli biex jimlew. Opportunitajiet ta 'xogħol eċċellenti huma mistennija bħala rtirar, speċjalment fost l-għalliema tal-iskejjel s"&amp;"ekondarji, huma akbar mit-tkabbir tal-iskrizzjoni; L-opportunitajiet ivarjaw skont iż-żona ġeografika u s-suġġett mgħallem. [Ċitazzjoni meħtieġa]")</f>
        <v>Bosta pajjiżi joffru programmi alternattivi ta 'liċenzjar biex jattiraw nies fit-tagħlim, speċjalment għal pożizzjonijiet diffiċli biex jimlew. Opportunitajiet ta 'xogħol eċċellenti huma mistennija bħala rtirar, speċjalment fost l-għalliema tal-iskejjel sekondarji, huma akbar mit-tkabbir tal-iskrizzjoni; L-opportunitajiet ivarjaw skont iż-żona ġeografika u s-suġġett mgħallem. [Ċitazzjoni meħtieġa]</v>
      </c>
    </row>
    <row r="5625" ht="15.75" customHeight="1">
      <c r="A5625" s="2" t="s">
        <v>5625</v>
      </c>
      <c r="B5625" s="2" t="str">
        <f>IFERROR(__xludf.DUMMYFUNCTION("GOOGLETRANSLATE(A5625, ""en"", ""mt"")"),"Meta seħħew it-tnedijiet ta 'Boilerplate CSMs fl-orbita?")</f>
        <v>Meta seħħew it-tnedijiet ta 'Boilerplate CSMs fl-orbita?</v>
      </c>
    </row>
    <row r="5626" ht="15.75" customHeight="1">
      <c r="A5626" s="2" t="s">
        <v>5626</v>
      </c>
      <c r="B5626" s="2" t="str">
        <f>IFERROR(__xludf.DUMMYFUNCTION("GOOGLETRANSLATE(A5626, ""en"", ""mt"")"),"Min kien l-ostaġġ?")</f>
        <v>Min kien l-ostaġġ?</v>
      </c>
    </row>
    <row r="5627" ht="15.75" customHeight="1">
      <c r="A5627" s="2" t="s">
        <v>5627</v>
      </c>
      <c r="B5627" s="2" t="str">
        <f>IFERROR(__xludf.DUMMYFUNCTION("GOOGLETRANSLATE(A5627, ""en"", ""mt"")"),"300 acres")</f>
        <v>300 acres</v>
      </c>
    </row>
    <row r="5628" ht="15.75" customHeight="1">
      <c r="A5628" s="2" t="s">
        <v>5628</v>
      </c>
      <c r="B5628" s="2" t="str">
        <f>IFERROR(__xludf.DUMMYFUNCTION("GOOGLETRANSLATE(A5628, ""en"", ""mt"")"),"Jibqgħu d-dar biex itaffu r-rata għolja ta 'qgħad fost irġiel Alġerini żgħażagħ")</f>
        <v>Jibqgħu d-dar biex itaffu r-rata għolja ta 'qgħad fost irġiel Alġerini żgħażagħ</v>
      </c>
    </row>
    <row r="5629" ht="15.75" customHeight="1">
      <c r="A5629" s="2" t="s">
        <v>5629</v>
      </c>
      <c r="B5629" s="2" t="str">
        <f>IFERROR(__xludf.DUMMYFUNCTION("GOOGLETRANSLATE(A5629, ""en"", ""mt"")"),"Ibni mill-ġdid il-Bażilika ta ’San Pietru")</f>
        <v>Ibni mill-ġdid il-Bażilika ta ’San Pietru</v>
      </c>
    </row>
    <row r="5630" ht="15.75" customHeight="1">
      <c r="A5630" s="2" t="s">
        <v>5630</v>
      </c>
      <c r="B5630" s="2" t="str">
        <f>IFERROR(__xludf.DUMMYFUNCTION("GOOGLETRANSLATE(A5630, ""en"", ""mt"")"),"skejjel u skejjel privati ​​tradizzjonali li huma rregolati privatament")</f>
        <v>skejjel u skejjel privati ​​tradizzjonali li huma rregolati privatament</v>
      </c>
    </row>
    <row r="5631" ht="15.75" customHeight="1">
      <c r="A5631" s="2" t="s">
        <v>5631</v>
      </c>
      <c r="B5631" s="2" t="str">
        <f>IFERROR(__xludf.DUMMYFUNCTION("GOOGLETRANSLATE(A5631, ""en"", ""mt"")"),"jinkorporaw in-nematokisti tal-priża tagħhom (ċelloli stinging) fit-tentakli tagħhom stess")</f>
        <v>jinkorporaw in-nematokisti tal-priża tagħhom (ċelloli stinging) fit-tentakli tagħhom stess</v>
      </c>
    </row>
    <row r="5632" ht="15.75" customHeight="1">
      <c r="A5632" s="2" t="s">
        <v>5632</v>
      </c>
      <c r="B5632" s="2" t="str">
        <f>IFERROR(__xludf.DUMMYFUNCTION("GOOGLETRANSLATE(A5632, ""en"", ""mt"")"),"L-akbar antisemite")</f>
        <v>L-akbar antisemite</v>
      </c>
    </row>
    <row r="5633" ht="15.75" customHeight="1">
      <c r="A5633" s="2" t="s">
        <v>5633</v>
      </c>
      <c r="B5633" s="2" t="str">
        <f>IFERROR(__xludf.DUMMYFUNCTION("GOOGLETRANSLATE(A5633, ""en"", ""mt"")"),"Il-biċċa l-kbira ta 'Huguenot émigrés irrilokaw għal nazzjonijiet Ewropej Protestanti bħall-Ingilterra, Wales, l-Iskozja, id-Danimarka, l-Isvezja, l-Isvizzera, ir-Repubblika Olandiża, l-elettorat ta' Brandenburg u l-elettorat tal-Palatinat fl-Imperu Ruman"&amp;" qaddis, id-Duchy ta 'Prussia, il-kanal Gżejjer, u l-Irlanda. Huma nfirxu wkoll lil hinn mill-Ewropa għall-Kolonja tal-Kap Olandiża fl-Afrika t'Isfel, l-Indji tal-Lvant Olandiżi, il-Karibew, u bosta mill-kolonji Ingliżi ta 'l-Amerika ta' Fuq, u Quebec, fe"&amp;"jn ġew aċċettati u tħallew jaduraw liberament.")</f>
        <v>Il-biċċa l-kbira ta 'Huguenot émigrés irrilokaw għal nazzjonijiet Ewropej Protestanti bħall-Ingilterra, Wales, l-Iskozja, id-Danimarka, l-Isvezja, l-Isvizzera, ir-Repubblika Olandiża, l-elettorat ta' Brandenburg u l-elettorat tal-Palatinat fl-Imperu Ruman qaddis, id-Duchy ta 'Prussia, il-kanal Gżejjer, u l-Irlanda. Huma nfirxu wkoll lil hinn mill-Ewropa għall-Kolonja tal-Kap Olandiża fl-Afrika t'Isfel, l-Indji tal-Lvant Olandiżi, il-Karibew, u bosta mill-kolonji Ingliżi ta 'l-Amerika ta' Fuq, u Quebec, fejn ġew aċċettati u tħallew jaduraw liberament.</v>
      </c>
    </row>
    <row r="5634" ht="15.75" customHeight="1">
      <c r="A5634" s="2" t="s">
        <v>5634</v>
      </c>
      <c r="B5634" s="2" t="str">
        <f>IFERROR(__xludf.DUMMYFUNCTION("GOOGLETRANSLATE(A5634, ""en"", ""mt"")"),"Wara l-1971")</f>
        <v>Wara l-1971</v>
      </c>
    </row>
    <row r="5635" ht="15.75" customHeight="1">
      <c r="A5635" s="2" t="s">
        <v>5635</v>
      </c>
      <c r="B5635" s="2" t="str">
        <f>IFERROR(__xludf.DUMMYFUNCTION("GOOGLETRANSLATE(A5635, ""en"", ""mt"")"),"Art tal-Punent mill-Medju Evu sal-Preżent")</f>
        <v>Art tal-Punent mill-Medju Evu sal-Preżent</v>
      </c>
    </row>
    <row r="5636" ht="15.75" customHeight="1">
      <c r="A5636" s="2" t="s">
        <v>5636</v>
      </c>
      <c r="B5636" s="2" t="str">
        <f>IFERROR(__xludf.DUMMYFUNCTION("GOOGLETRANSLATE(A5636, ""en"", ""mt"")"),"Minn xiex għoti l-flus lill-knisja jeħilsu lil min jagħti?")</f>
        <v>Minn xiex għoti l-flus lill-knisja jeħilsu lil min jagħti?</v>
      </c>
    </row>
    <row r="5637" ht="15.75" customHeight="1">
      <c r="A5637" s="2" t="s">
        <v>5637</v>
      </c>
      <c r="B5637" s="2" t="str">
        <f>IFERROR(__xludf.DUMMYFUNCTION("GOOGLETRANSLATE(A5637, ""en"", ""mt"")"),"baċellerat")</f>
        <v>baċellerat</v>
      </c>
    </row>
    <row r="5638" ht="15.75" customHeight="1">
      <c r="A5638" s="2" t="s">
        <v>5638</v>
      </c>
      <c r="B5638" s="2" t="str">
        <f>IFERROR(__xludf.DUMMYFUNCTION("GOOGLETRANSLATE(A5638, ""en"", ""mt"")"),"Wara l-prinċipju utilitarju li jfittex l-akbar ġid għall-akbar numru - l-inugwaljanza ekonomika hija problematika. Dar li tipprovdi inqas utilità lil miljunarju bħala dar tas-sajf milli kienet għal familja bla dar ta 'ħamsa, hija eżempju ta' ""effiċjenza "&amp;"distributtiva"" mnaqqsa fis-soċjetà, li tnaqqas l-utilità marġinali tal-ġid u b'hekk is-somma totali ta 'utilità personali. Dollaru addizzjonali minfuq minn persuna fqira se jmur għal affarijiet li jipprovdu ħafna utilità lil dik il-persuna, bħal ħtiġijie"&amp;"t bażiċi bħall-ikel, l-ilma, u l-kura tas-saħħa; Filwaqt li, dollaru addizzjonali li jintefaq minn persuna ferm iktar sinjura x'aktarx imur għal oġġetti ta 'lussu li jipprovdi relattivament inqas utilità lil dik il-persuna. Għalhekk, l-utilità marġinali t"&amp;"al-ġid għal kull persuna (""id-dollaru addizzjonali"") tonqos hekk kif persuna ssir iktar sinjura. Minn dan il-lat, għal kwalunkwe ammont ta 'ġid partikolari fis-soċjetà, soċjetà b'aktar ugwaljanza se jkollha utilità aggregata ogħla. Xi studji sabu eviden"&amp;"za għal din it-teorija, filwaqt li nnotaw li f'soċjetajiet fejn l-inugwaljanza hija aktar baxxa, is-sodisfazzjon u l-kuntentizza tal-popolazzjoni għandhom it-tendenza li jkunu ogħla.")</f>
        <v>Wara l-prinċipju utilitarju li jfittex l-akbar ġid għall-akbar numru - l-inugwaljanza ekonomika hija problematika. Dar li tipprovdi inqas utilità lil miljunarju bħala dar tas-sajf milli kienet għal familja bla dar ta 'ħamsa, hija eżempju ta' "effiċjenza distributtiva" mnaqqsa fis-soċjetà, li tnaqqas l-utilità marġinali tal-ġid u b'hekk is-somma totali ta 'utilità personali. Dollaru addizzjonali minfuq minn persuna fqira se jmur għal affarijiet li jipprovdu ħafna utilità lil dik il-persuna, bħal ħtiġijiet bażiċi bħall-ikel, l-ilma, u l-kura tas-saħħa; Filwaqt li, dollaru addizzjonali li jintefaq minn persuna ferm iktar sinjura x'aktarx imur għal oġġetti ta 'lussu li jipprovdi relattivament inqas utilità lil dik il-persuna. Għalhekk, l-utilità marġinali tal-ġid għal kull persuna ("id-dollaru addizzjonali") tonqos hekk kif persuna ssir iktar sinjura. Minn dan il-lat, għal kwalunkwe ammont ta 'ġid partikolari fis-soċjetà, soċjetà b'aktar ugwaljanza se jkollha utilità aggregata ogħla. Xi studji sabu evidenza għal din it-teorija, filwaqt li nnotaw li f'soċjetajiet fejn l-inugwaljanza hija aktar baxxa, is-sodisfazzjon u l-kuntentizza tal-popolazzjoni għandhom it-tendenza li jkunu ogħla.</v>
      </c>
    </row>
    <row r="5639" ht="15.75" customHeight="1">
      <c r="A5639" s="2" t="s">
        <v>5639</v>
      </c>
      <c r="B5639" s="2" t="str">
        <f>IFERROR(__xludf.DUMMYFUNCTION("GOOGLETRANSLATE(A5639, ""en"", ""mt"")"),"F'liema każ il-Qorti tal-Ġustizzja kienet tgħid li l-avukati Taljani li qed jikkonformaw mat-tariffi massimi sakemm ma kienx hemm ftehim ma 'klijent ma kienx restrizzjoni?")</f>
        <v>F'liema każ il-Qorti tal-Ġustizzja kienet tgħid li l-avukati Taljani li qed jikkonformaw mat-tariffi massimi sakemm ma kienx hemm ftehim ma 'klijent ma kienx restrizzjoni?</v>
      </c>
    </row>
    <row r="5640" ht="15.75" customHeight="1">
      <c r="A5640" s="2" t="s">
        <v>5640</v>
      </c>
      <c r="B5640" s="2" t="str">
        <f>IFERROR(__xludf.DUMMYFUNCTION("GOOGLETRANSLATE(A5640, ""en"", ""mt"")"),"X'inhu l-isem tal-fruntiera għan-nofsinhar?")</f>
        <v>X'inhu l-isem tal-fruntiera għan-nofsinhar?</v>
      </c>
    </row>
    <row r="5641" ht="15.75" customHeight="1">
      <c r="A5641" s="2" t="s">
        <v>5641</v>
      </c>
      <c r="B5641" s="2" t="str">
        <f>IFERROR(__xludf.DUMMYFUNCTION("GOOGLETRANSLATE(A5641, ""en"", ""mt"")"),"Kim")</f>
        <v>Kim</v>
      </c>
    </row>
    <row r="5642" ht="15.75" customHeight="1">
      <c r="A5642" s="2" t="s">
        <v>5642</v>
      </c>
      <c r="B5642" s="2" t="str">
        <f>IFERROR(__xludf.DUMMYFUNCTION("GOOGLETRANSLATE(A5642, ""en"", ""mt"")"),"Kemm koppji jew sħubijiet miżżewġin tal-istess sess kien hemm?")</f>
        <v>Kemm koppji jew sħubijiet miżżewġin tal-istess sess kien hemm?</v>
      </c>
    </row>
    <row r="5643" ht="15.75" customHeight="1">
      <c r="A5643" s="2" t="s">
        <v>5643</v>
      </c>
      <c r="B5643" s="2" t="str">
        <f>IFERROR(__xludf.DUMMYFUNCTION("GOOGLETRANSLATE(A5643, ""en"", ""mt"")"),"X'jiġri jekk ir-rimjiet ta 'Angiosperm ma jkollhomx biżżejjed dawl?")</f>
        <v>X'jiġri jekk ir-rimjiet ta 'Angiosperm ma jkollhomx biżżejjed dawl?</v>
      </c>
    </row>
    <row r="5644" ht="15.75" customHeight="1">
      <c r="A5644" s="2" t="s">
        <v>5644</v>
      </c>
      <c r="B5644" s="2" t="str">
        <f>IFERROR(__xludf.DUMMYFUNCTION("GOOGLETRANSLATE(A5644, ""en"", ""mt"")"),"(15,100")</f>
        <v>(15,100</v>
      </c>
    </row>
    <row r="5645" ht="15.75" customHeight="1">
      <c r="A5645" s="2" t="s">
        <v>5645</v>
      </c>
      <c r="B5645" s="2" t="str">
        <f>IFERROR(__xludf.DUMMYFUNCTION("GOOGLETRANSLATE(A5645, ""en"", ""mt"")"),"Immunoproteomics")</f>
        <v>Immunoproteomics</v>
      </c>
    </row>
    <row r="5646" ht="15.75" customHeight="1">
      <c r="A5646" s="2" t="s">
        <v>5646</v>
      </c>
      <c r="B5646" s="2" t="str">
        <f>IFERROR(__xludf.DUMMYFUNCTION("GOOGLETRANSLATE(A5646, ""en"", ""mt"")"),"Nodi Intermedji tan-Netwerk")</f>
        <v>Nodi Intermedji tan-Netwerk</v>
      </c>
    </row>
    <row r="5647" ht="15.75" customHeight="1">
      <c r="A5647" s="2" t="s">
        <v>5647</v>
      </c>
      <c r="B5647" s="2" t="str">
        <f>IFERROR(__xludf.DUMMYFUNCTION("GOOGLETRANSLATE(A5647, ""en"", ""mt"")"),"Il-vjaġġi ta 'Marco Polo")</f>
        <v>Il-vjaġġi ta 'Marco Polo</v>
      </c>
    </row>
    <row r="5648" ht="15.75" customHeight="1">
      <c r="A5648" s="2" t="s">
        <v>5648</v>
      </c>
      <c r="B5648" s="2" t="str">
        <f>IFERROR(__xludf.DUMMYFUNCTION("GOOGLETRANSLATE(A5648, ""en"", ""mt"")"),"potenzjalment perikoluż")</f>
        <v>potenzjalment perikoluż</v>
      </c>
    </row>
    <row r="5649" ht="15.75" customHeight="1">
      <c r="A5649" s="2" t="s">
        <v>5649</v>
      </c>
      <c r="B5649" s="2" t="str">
        <f>IFERROR(__xludf.DUMMYFUNCTION("GOOGLETRANSLATE(A5649, ""en"", ""mt"")"),"Louisiana Franċiża fil-punent tax-Xmara Mississippi (inkluża New Orleans) għall-alleat tagħha Spanja")</f>
        <v>Louisiana Franċiża fil-punent tax-Xmara Mississippi (inkluża New Orleans) għall-alleat tagħha Spanja</v>
      </c>
    </row>
    <row r="5650" ht="15.75" customHeight="1">
      <c r="A5650" s="2" t="s">
        <v>5650</v>
      </c>
      <c r="B5650" s="2" t="str">
        <f>IFERROR(__xludf.DUMMYFUNCTION("GOOGLETRANSLATE(A5650, ""en"", ""mt"")"),"Meta ż-Żona tal-Bajja ta 'San Francisco l-aħħar tospita s-Super Bowl?")</f>
        <v>Meta ż-Żona tal-Bajja ta 'San Francisco l-aħħar tospita s-Super Bowl?</v>
      </c>
    </row>
    <row r="5651" ht="15.75" customHeight="1">
      <c r="A5651" s="2" t="s">
        <v>5651</v>
      </c>
      <c r="B5651" s="2" t="str">
        <f>IFERROR(__xludf.DUMMYFUNCTION("GOOGLETRANSLATE(A5651, ""en"", ""mt"")"),"55,000")</f>
        <v>55,000</v>
      </c>
    </row>
    <row r="5652" ht="15.75" customHeight="1">
      <c r="A5652" s="2" t="s">
        <v>5652</v>
      </c>
      <c r="B5652" s="2" t="str">
        <f>IFERROR(__xludf.DUMMYFUNCTION("GOOGLETRANSLATE(A5652, ""en"", ""mt"")"),"biddel b'mod sinifikanti t-trattati eżistenti")</f>
        <v>biddel b'mod sinifikanti t-trattati eżistenti</v>
      </c>
    </row>
    <row r="5653" ht="15.75" customHeight="1">
      <c r="A5653" s="2" t="s">
        <v>5653</v>
      </c>
      <c r="B5653" s="2" t="str">
        <f>IFERROR(__xludf.DUMMYFUNCTION("GOOGLETRANSLATE(A5653, ""en"", ""mt"")"),"Liema studjuż ta 'Shakespeare bħalissa jinsab fil-fakultà tal-università?")</f>
        <v>Liema studjuż ta 'Shakespeare bħalissa jinsab fil-fakultà tal-università?</v>
      </c>
    </row>
    <row r="5654" ht="15.75" customHeight="1">
      <c r="A5654" s="2" t="s">
        <v>5654</v>
      </c>
      <c r="B5654" s="2" t="str">
        <f>IFERROR(__xludf.DUMMYFUNCTION("GOOGLETRANSLATE(A5654, ""en"", ""mt"")"),"Mitfugħa għall-irjieħ bla heed")</f>
        <v>Mitfugħa għall-irjieħ bla heed</v>
      </c>
    </row>
    <row r="5655" ht="15.75" customHeight="1">
      <c r="A5655" s="2" t="s">
        <v>5655</v>
      </c>
      <c r="B5655" s="2" t="str">
        <f>IFERROR(__xludf.DUMMYFUNCTION("GOOGLETRANSLATE(A5655, ""en"", ""mt"")"),"Preżenza reali")</f>
        <v>Preżenza reali</v>
      </c>
    </row>
    <row r="5656" ht="15.75" customHeight="1">
      <c r="A5656" s="2" t="s">
        <v>5656</v>
      </c>
      <c r="B5656" s="2" t="str">
        <f>IFERROR(__xludf.DUMMYFUNCTION("GOOGLETRANSLATE(A5656, ""en"", ""mt"")"),"L-ispiżjara ma jistgħux jiffurmaw sħubijiet kummerċjali ma 'tobba jew jagħtuhom ħlasijiet ""kickback""")</f>
        <v>L-ispiżjara ma jistgħux jiffurmaw sħubijiet kummerċjali ma 'tobba jew jagħtuhom ħlasijiet "kickback"</v>
      </c>
    </row>
    <row r="5657" ht="15.75" customHeight="1">
      <c r="A5657" s="2" t="s">
        <v>5657</v>
      </c>
      <c r="B5657" s="2" t="str">
        <f>IFERROR(__xludf.DUMMYFUNCTION("GOOGLETRANSLATE(A5657, ""en"", ""mt"")"),"X'inhu l-isem mogħti lil-librerija ewlenija tal-università?")</f>
        <v>X'inhu l-isem mogħti lil-librerija ewlenija tal-università?</v>
      </c>
    </row>
    <row r="5658" ht="15.75" customHeight="1">
      <c r="A5658" s="2" t="s">
        <v>5658</v>
      </c>
      <c r="B5658" s="2" t="str">
        <f>IFERROR(__xludf.DUMMYFUNCTION("GOOGLETRANSLATE(A5658, ""en"", ""mt"")"),"iżotopi")</f>
        <v>iżotopi</v>
      </c>
    </row>
    <row r="5659" ht="15.75" customHeight="1">
      <c r="A5659" s="2" t="s">
        <v>5659</v>
      </c>
      <c r="B5659" s="2" t="str">
        <f>IFERROR(__xludf.DUMMYFUNCTION("GOOGLETRANSLATE(A5659, ""en"", ""mt"")"),"356 ± 47 tunnellata għal kull ettaru")</f>
        <v>356 ± 47 tunnellata għal kull ettaru</v>
      </c>
    </row>
    <row r="5660" ht="15.75" customHeight="1">
      <c r="A5660" s="2" t="s">
        <v>5660</v>
      </c>
      <c r="B5660" s="2" t="str">
        <f>IFERROR(__xludf.DUMMYFUNCTION("GOOGLETRANSLATE(A5660, ""en"", ""mt"")"),"Liema bliet Ingliżi oħra kienu siti ta 'soluzzjoni ta' Huguenot?")</f>
        <v>Liema bliet Ingliżi oħra kienu siti ta 'soluzzjoni ta' Huguenot?</v>
      </c>
    </row>
    <row r="5661" ht="15.75" customHeight="1">
      <c r="A5661" s="2" t="s">
        <v>5661</v>
      </c>
      <c r="B5661" s="2" t="str">
        <f>IFERROR(__xludf.DUMMYFUNCTION("GOOGLETRANSLATE(A5661, ""en"", ""mt"")"),"X’tagħmel ir-rivoluzzjoni industrijali li ġara lil Newcastle?")</f>
        <v>X’tagħmel ir-rivoluzzjoni industrijali li ġara lil Newcastle?</v>
      </c>
    </row>
    <row r="5662" ht="15.75" customHeight="1">
      <c r="A5662" s="2" t="s">
        <v>5662</v>
      </c>
      <c r="B5662" s="2" t="str">
        <f>IFERROR(__xludf.DUMMYFUNCTION("GOOGLETRANSLATE(A5662, ""en"", ""mt"")"),"Kemm-il koordinazzjoni ta 'awturi ewlenin għandu kapitolu ta' rapport IPCC?")</f>
        <v>Kemm-il koordinazzjoni ta 'awturi ewlenin għandu kapitolu ta' rapport IPCC?</v>
      </c>
    </row>
    <row r="5663" ht="15.75" customHeight="1">
      <c r="A5663" s="2" t="s">
        <v>5663</v>
      </c>
      <c r="B5663" s="2" t="str">
        <f>IFERROR(__xludf.DUMMYFUNCTION("GOOGLETRANSLATE(A5663, ""en"", ""mt"")"),"X'kienu ħafna pastors li ma jistgħux jagħmlu?")</f>
        <v>X'kienu ħafna pastors li ma jistgħux jagħmlu?</v>
      </c>
    </row>
    <row r="5664" ht="15.75" customHeight="1">
      <c r="A5664" s="2" t="s">
        <v>5664</v>
      </c>
      <c r="B5664" s="2" t="str">
        <f>IFERROR(__xludf.DUMMYFUNCTION("GOOGLETRANSLATE(A5664, ""en"", ""mt"")"),"Minn fejn ix-xjenzati jħobbu r-radjazzjoni tal-veġetazzjoni tal-kejl?")</f>
        <v>Minn fejn ix-xjenzati jħobbu r-radjazzjoni tal-veġetazzjoni tal-kejl?</v>
      </c>
    </row>
    <row r="5665" ht="15.75" customHeight="1">
      <c r="A5665" s="2" t="s">
        <v>5665</v>
      </c>
      <c r="B5665" s="2" t="str">
        <f>IFERROR(__xludf.DUMMYFUNCTION("GOOGLETRANSLATE(A5665, ""en"", ""mt"")"),"Liema sena rat l-għaqda ta 'żewġ mużewijiet fi Newcastle?")</f>
        <v>Liema sena rat l-għaqda ta 'żewġ mużewijiet fi Newcastle?</v>
      </c>
    </row>
    <row r="5666" ht="15.75" customHeight="1">
      <c r="A5666" s="2" t="s">
        <v>5666</v>
      </c>
      <c r="B5666" s="2" t="str">
        <f>IFERROR(__xludf.DUMMYFUNCTION("GOOGLETRANSLATE(A5666, ""en"", ""mt"")"),"Meta l-Metodisti fl-Amerika ġew separati mill-Knisja tal-Ingilterra")</f>
        <v>Meta l-Metodisti fl-Amerika ġew separati mill-Knisja tal-Ingilterra</v>
      </c>
    </row>
    <row r="5667" ht="15.75" customHeight="1">
      <c r="A5667" s="2" t="s">
        <v>5667</v>
      </c>
      <c r="B5667" s="2" t="str">
        <f>IFERROR(__xludf.DUMMYFUNCTION("GOOGLETRANSLATE(A5667, ""en"", ""mt"")"),"Biegħ mediċini bir-riċetta")</f>
        <v>Biegħ mediċini bir-riċetta</v>
      </c>
    </row>
    <row r="5668" ht="15.75" customHeight="1">
      <c r="A5668" s="2" t="s">
        <v>5668</v>
      </c>
      <c r="B5668" s="2" t="str">
        <f>IFERROR(__xludf.DUMMYFUNCTION("GOOGLETRANSLATE(A5668, ""en"", ""mt"")"),"Gallifrey")</f>
        <v>Gallifrey</v>
      </c>
    </row>
    <row r="5669" ht="15.75" customHeight="1">
      <c r="A5669" s="2" t="s">
        <v>5669</v>
      </c>
      <c r="B5669" s="2" t="str">
        <f>IFERROR(__xludf.DUMMYFUNCTION("GOOGLETRANSLATE(A5669, ""en"", ""mt"")"),"Kemm interċezzjonijiet ta 'Josh Norman skorja l-illandjar ma' fl-2015?")</f>
        <v>Kemm interċezzjonijiet ta 'Josh Norman skorja l-illandjar ma' fl-2015?</v>
      </c>
    </row>
    <row r="5670" ht="15.75" customHeight="1">
      <c r="A5670" s="2" t="s">
        <v>5670</v>
      </c>
      <c r="B5670" s="2" t="str">
        <f>IFERROR(__xludf.DUMMYFUNCTION("GOOGLETRANSLATE(A5670, ""en"", ""mt"")"),"Tibdil fil-klima")</f>
        <v>Tibdil fil-klima</v>
      </c>
    </row>
    <row r="5671" ht="15.75" customHeight="1">
      <c r="A5671" s="2" t="s">
        <v>5671</v>
      </c>
      <c r="B5671" s="2" t="str">
        <f>IFERROR(__xludf.DUMMYFUNCTION("GOOGLETRANSLATE(A5671, ""en"", ""mt"")"),"Xi forom ta 'diżubbidjenza ċivili, bħal bojkotts illegali, ċaħdiet li jħallsu t-taxxi, abbozzi ta' dodging, attakki ta 'ċaħda ta' servizz imqassma, u sit-ins, jagħmluha aktar diffiċli għal sistema li tiffunzjona. B'dan il-mod, dawn jistgħu jiġu kkunsidrat"&amp;"i kostruttivi. Brownlee jinnota li ""għalkemm id-diżubbidjenti ċivili huma limitati fl-użu tagħhom ta 'sfurzar mill-għan kuxjenzjuż tagħhom li jidħlu fid-djalogu morali, madankollu jistgħu jsibuha neċessarja li jimpjegaw sfurzar limitat sabiex jiksbu l-ħr"&amp;"uġ tagħhom fuq il-mejda."" L-organizzazzjoni Plowshares għalqet temporanjament il-GCSB Waihopai billi tittajjar il-gradi u tuża Sickles biex tiddefla waħda mill-koppji l-kbar li jkopru żewġ platti bis-satellita.")</f>
        <v>Xi forom ta 'diżubbidjenza ċivili, bħal bojkotts illegali, ċaħdiet li jħallsu t-taxxi, abbozzi ta' dodging, attakki ta 'ċaħda ta' servizz imqassma, u sit-ins, jagħmluha aktar diffiċli għal sistema li tiffunzjona. B'dan il-mod, dawn jistgħu jiġu kkunsidrati kostruttivi. Brownlee jinnota li "għalkemm id-diżubbidjenti ċivili huma limitati fl-użu tagħhom ta 'sfurzar mill-għan kuxjenzjuż tagħhom li jidħlu fid-djalogu morali, madankollu jistgħu jsibuha neċessarja li jimpjegaw sfurzar limitat sabiex jiksbu l-ħruġ tagħhom fuq il-mejda." L-organizzazzjoni Plowshares għalqet temporanjament il-GCSB Waihopai billi tittajjar il-gradi u tuża Sickles biex tiddefla waħda mill-koppji l-kbar li jkopru żewġ platti bis-satellita.</v>
      </c>
    </row>
    <row r="5672" ht="15.75" customHeight="1">
      <c r="A5672" s="2" t="s">
        <v>5672</v>
      </c>
      <c r="B5672" s="2" t="str">
        <f>IFERROR(__xludf.DUMMYFUNCTION("GOOGLETRANSLATE(A5672, ""en"", ""mt"")"),"Kif tiġi osservata r-replikazzjoni tal-kloroplast?")</f>
        <v>Kif tiġi osservata r-replikazzjoni tal-kloroplast?</v>
      </c>
    </row>
    <row r="5673" ht="15.75" customHeight="1">
      <c r="A5673" s="2" t="s">
        <v>5673</v>
      </c>
      <c r="B5673" s="2" t="str">
        <f>IFERROR(__xludf.DUMMYFUNCTION("GOOGLETRANSLATE(A5673, ""en"", ""mt"")"),"Jikkompetu Harms Defense")</f>
        <v>Jikkompetu Harms Defense</v>
      </c>
    </row>
    <row r="5674" ht="15.75" customHeight="1">
      <c r="A5674" s="2" t="s">
        <v>5674</v>
      </c>
      <c r="B5674" s="2" t="str">
        <f>IFERROR(__xludf.DUMMYFUNCTION("GOOGLETRANSLATE(A5674, ""en"", ""mt"")"),"X'inbena bejn l-1978 u l-1982 biex jgħaqqad il-ġwienaħ ta 'Henry Cole mal-bqija tal-mużew?")</f>
        <v>X'inbena bejn l-1978 u l-1982 biex jgħaqqad il-ġwienaħ ta 'Henry Cole mal-bqija tal-mużew?</v>
      </c>
    </row>
    <row r="5675" ht="15.75" customHeight="1">
      <c r="A5675" s="2" t="s">
        <v>5675</v>
      </c>
      <c r="B5675" s="2" t="str">
        <f>IFERROR(__xludf.DUMMYFUNCTION("GOOGLETRANSLATE(A5675, ""en"", ""mt"")"),"Kemm il-verżjoni inizjali tal-SM kienet tiżen liri?")</f>
        <v>Kemm il-verżjoni inizjali tal-SM kienet tiżen liri?</v>
      </c>
    </row>
    <row r="5676" ht="15.75" customHeight="1">
      <c r="A5676" s="2" t="s">
        <v>5676</v>
      </c>
      <c r="B5676" s="2" t="str">
        <f>IFERROR(__xludf.DUMMYFUNCTION("GOOGLETRANSLATE(A5676, ""en"", ""mt"")"),"Wara li l-Missjonijiet Apollo 18 u 19 ġew ikkanċellati, x'ġara għas-Saturn VS li qatt ma ntużaw?")</f>
        <v>Wara li l-Missjonijiet Apollo 18 u 19 ġew ikkanċellati, x'ġara għas-Saturn VS li qatt ma ntużaw?</v>
      </c>
    </row>
    <row r="5677" ht="15.75" customHeight="1">
      <c r="A5677" s="2" t="s">
        <v>5677</v>
      </c>
      <c r="B5677" s="2" t="str">
        <f>IFERROR(__xludf.DUMMYFUNCTION("GOOGLETRANSLATE(A5677, ""en"", ""mt"")"),"Introduzzjoni")</f>
        <v>Introduzzjoni</v>
      </c>
    </row>
    <row r="5678" ht="15.75" customHeight="1">
      <c r="A5678" s="2" t="s">
        <v>5678</v>
      </c>
      <c r="B5678" s="2" t="str">
        <f>IFERROR(__xludf.DUMMYFUNCTION("GOOGLETRANSLATE(A5678, ""en"", ""mt"")"),"Xi tfisser żieda fis-sehem tad-dħul tal-qiegħ 20 fil-mija tan-nies ta 'soċjetà?")</f>
        <v>Xi tfisser żieda fis-sehem tad-dħul tal-qiegħ 20 fil-mija tan-nies ta 'soċjetà?</v>
      </c>
    </row>
    <row r="5679" ht="15.75" customHeight="1">
      <c r="A5679" s="2" t="s">
        <v>5679</v>
      </c>
      <c r="B5679" s="2" t="str">
        <f>IFERROR(__xludf.DUMMYFUNCTION("GOOGLETRANSLATE(A5679, ""en"", ""mt"")"),"Liema kittieb tax-xjenza fittizja introduċa l-episodji tad-Doctor Who għal perjodu ta 'żmien?")</f>
        <v>Liema kittieb tax-xjenza fittizja introduċa l-episodji tad-Doctor Who għal perjodu ta 'żmien?</v>
      </c>
    </row>
    <row r="5680" ht="15.75" customHeight="1">
      <c r="A5680" s="2" t="s">
        <v>5680</v>
      </c>
      <c r="B5680" s="2" t="str">
        <f>IFERROR(__xludf.DUMMYFUNCTION("GOOGLETRANSLATE(A5680, ""en"", ""mt"")"),"infurmaw lil Céloron li huma kellhom il-pajjiż ta 'Ohio u li kienu se jinnegozjaw mal-Ingliżi")</f>
        <v>infurmaw lil Céloron li huma kellhom il-pajjiż ta 'Ohio u li kienu se jinnegozjaw mal-Ingliżi</v>
      </c>
    </row>
    <row r="5681" ht="15.75" customHeight="1">
      <c r="A5681" s="2" t="s">
        <v>5681</v>
      </c>
      <c r="B5681" s="2" t="str">
        <f>IFERROR(__xludf.DUMMYFUNCTION("GOOGLETRANSLATE(A5681, ""en"", ""mt"")"),"Meta seħħet l-attività tal-bini fil-palazzi u l-knejjes fid-deċennji ta 'wara?")</f>
        <v>Meta seħħet l-attività tal-bini fil-palazzi u l-knejjes fid-deċennji ta 'wara?</v>
      </c>
    </row>
    <row r="5682" ht="15.75" customHeight="1">
      <c r="A5682" s="2" t="s">
        <v>5682</v>
      </c>
      <c r="B5682" s="2" t="str">
        <f>IFERROR(__xludf.DUMMYFUNCTION("GOOGLETRANSLATE(A5682, ""en"", ""mt"")"),"Repubblika tal-Poplu taċ-Ċina")</f>
        <v>Repubblika tal-Poplu taċ-Ċina</v>
      </c>
    </row>
    <row r="5683" ht="15.75" customHeight="1">
      <c r="A5683" s="2" t="s">
        <v>5683</v>
      </c>
      <c r="B5683" s="2" t="str">
        <f>IFERROR(__xludf.DUMMYFUNCTION("GOOGLETRANSLATE(A5683, ""en"", ""mt"")"),"X'jikkawża li l-ossiġnu triplet jirreaġixxi bil-mod?")</f>
        <v>X'jikkawża li l-ossiġnu triplet jirreaġixxi bil-mod?</v>
      </c>
    </row>
    <row r="5684" ht="15.75" customHeight="1">
      <c r="A5684" s="2" t="s">
        <v>5684</v>
      </c>
      <c r="B5684" s="2" t="str">
        <f>IFERROR(__xludf.DUMMYFUNCTION("GOOGLETRANSLATE(A5684, ""en"", ""mt"")"),"Min biegħ ir-Renu ta ’Fuq lil Burgundy?")</f>
        <v>Min biegħ ir-Renu ta ’Fuq lil Burgundy?</v>
      </c>
    </row>
    <row r="5685" ht="15.75" customHeight="1">
      <c r="A5685" s="2" t="s">
        <v>5685</v>
      </c>
      <c r="B5685" s="2" t="str">
        <f>IFERROR(__xludf.DUMMYFUNCTION("GOOGLETRANSLATE(A5685, ""en"", ""mt"")"),"Liema attur kien sostitut għal tabib li minħabba l-marda tal-attur ewlieni?")</f>
        <v>Liema attur kien sostitut għal tabib li minħabba l-marda tal-attur ewlieni?</v>
      </c>
    </row>
    <row r="5686" ht="15.75" customHeight="1">
      <c r="A5686" s="2" t="s">
        <v>5686</v>
      </c>
      <c r="B5686" s="2" t="str">
        <f>IFERROR(__xludf.DUMMYFUNCTION("GOOGLETRANSLATE(A5686, ""en"", ""mt"")"),"Kemm diviżjonijiet jiffurmaw l-akkademiċi tal-università?")</f>
        <v>Kemm diviżjonijiet jiffurmaw l-akkademiċi tal-università?</v>
      </c>
    </row>
    <row r="5687" ht="15.75" customHeight="1">
      <c r="A5687" s="2" t="s">
        <v>5687</v>
      </c>
      <c r="B5687" s="2" t="str">
        <f>IFERROR(__xludf.DUMMYFUNCTION("GOOGLETRANSLATE(A5687, ""en"", ""mt"")"),"Gotiku Masovjan")</f>
        <v>Gotiku Masovjan</v>
      </c>
    </row>
    <row r="5688" ht="15.75" customHeight="1">
      <c r="A5688" s="2" t="s">
        <v>5688</v>
      </c>
      <c r="B5688" s="2" t="str">
        <f>IFERROR(__xludf.DUMMYFUNCTION("GOOGLETRANSLATE(A5688, ""en"", ""mt"")"),"Meta impjant ikun imweġġa ', x'jista' jsir proplastids?")</f>
        <v>Meta impjant ikun imweġġa ', x'jista' jsir proplastids?</v>
      </c>
    </row>
    <row r="5689" ht="15.75" customHeight="1">
      <c r="A5689" s="2" t="s">
        <v>5689</v>
      </c>
      <c r="B5689" s="2" t="str">
        <f>IFERROR(__xludf.DUMMYFUNCTION("GOOGLETRANSLATE(A5689, ""en"", ""mt"")"),"Arkitettura ġenerali għal netwerk ta 'komunikazzjonijiet fuq skala kbira, imqassma u li jista' jibqa 'ħaj")</f>
        <v>Arkitettura ġenerali għal netwerk ta 'komunikazzjonijiet fuq skala kbira, imqassma u li jista' jibqa 'ħaj</v>
      </c>
    </row>
    <row r="5690" ht="15.75" customHeight="1">
      <c r="A5690" s="2" t="s">
        <v>5690</v>
      </c>
      <c r="B5690" s="2" t="str">
        <f>IFERROR(__xludf.DUMMYFUNCTION("GOOGLETRANSLATE(A5690, ""en"", ""mt"")"),"Għaliex il-kollezzjoni hija ddominata minn ħwejjeġ tal-moda magħmula għal okkażjonijiet speċjali?")</f>
        <v>Għaliex il-kollezzjoni hija ddominata minn ħwejjeġ tal-moda magħmula għal okkażjonijiet speċjali?</v>
      </c>
    </row>
    <row r="5691" ht="15.75" customHeight="1">
      <c r="A5691" s="2" t="s">
        <v>5691</v>
      </c>
      <c r="B5691" s="2" t="str">
        <f>IFERROR(__xludf.DUMMYFUNCTION("GOOGLETRANSLATE(A5691, ""en"", ""mt"")"),"Studios ABC")</f>
        <v>Studios ABC</v>
      </c>
    </row>
    <row r="5692" ht="15.75" customHeight="1">
      <c r="A5692" s="2" t="s">
        <v>5692</v>
      </c>
      <c r="B5692" s="2" t="str">
        <f>IFERROR(__xludf.DUMMYFUNCTION("GOOGLETRANSLATE(A5692, ""en"", ""mt"")"),"1688–1692")</f>
        <v>1688–1692</v>
      </c>
    </row>
    <row r="5693" ht="15.75" customHeight="1">
      <c r="A5693" s="2" t="s">
        <v>5693</v>
      </c>
      <c r="B5693" s="2" t="str">
        <f>IFERROR(__xludf.DUMMYFUNCTION("GOOGLETRANSLATE(A5693, ""en"", ""mt"")"),"Min ivvinta l-kunċett ta 'dmir ta' magna bil-fwar?")</f>
        <v>Min ivvinta l-kunċett ta 'dmir ta' magna bil-fwar?</v>
      </c>
    </row>
    <row r="5694" ht="15.75" customHeight="1">
      <c r="A5694" s="2" t="s">
        <v>5694</v>
      </c>
      <c r="B5694" s="2" t="str">
        <f>IFERROR(__xludf.DUMMYFUNCTION("GOOGLETRANSLATE(A5694, ""en"", ""mt"")"),"Kemm valvi użat il-magna Corliss?")</f>
        <v>Kemm valvi użat il-magna Corliss?</v>
      </c>
    </row>
    <row r="5695" ht="15.75" customHeight="1">
      <c r="A5695" s="2" t="s">
        <v>5695</v>
      </c>
      <c r="B5695" s="2" t="str">
        <f>IFERROR(__xludf.DUMMYFUNCTION("GOOGLETRANSLATE(A5695, ""en"", ""mt"")"),"L-ormoni jistgħu jbiddlu s-sensittività tas-sistema immunitarja, sabiex ikunu jistgħu jiġu msemmija?")</f>
        <v>L-ormoni jistgħu jbiddlu s-sensittività tas-sistema immunitarja, sabiex ikunu jistgħu jiġu msemmija?</v>
      </c>
    </row>
    <row r="5696" ht="15.75" customHeight="1">
      <c r="A5696" s="2" t="s">
        <v>5696</v>
      </c>
      <c r="B5696" s="2" t="str">
        <f>IFERROR(__xludf.DUMMYFUNCTION("GOOGLETRANSLATE(A5696, ""en"", ""mt"")"),"Etjopjan")</f>
        <v>Etjopjan</v>
      </c>
    </row>
    <row r="5697" ht="15.75" customHeight="1">
      <c r="A5697" s="2" t="s">
        <v>5697</v>
      </c>
      <c r="B5697" s="2" t="str">
        <f>IFERROR(__xludf.DUMMYFUNCTION("GOOGLETRANSLATE(A5697, ""en"", ""mt"")"),"linka")</f>
        <v>linka</v>
      </c>
    </row>
    <row r="5698" ht="15.75" customHeight="1">
      <c r="A5698" s="2" t="s">
        <v>5698</v>
      </c>
      <c r="B5698" s="2" t="str">
        <f>IFERROR(__xludf.DUMMYFUNCTION("GOOGLETRANSLATE(A5698, ""en"", ""mt"")"),"Meta ġiet żviluppata ħafna minn Sunnside?")</f>
        <v>Meta ġiet żviluppata ħafna minn Sunnside?</v>
      </c>
    </row>
    <row r="5699" ht="15.75" customHeight="1">
      <c r="A5699" s="2" t="s">
        <v>5699</v>
      </c>
      <c r="B5699" s="2" t="str">
        <f>IFERROR(__xludf.DUMMYFUNCTION("GOOGLETRANSLATE(A5699, ""en"", ""mt"")"),"1740s")</f>
        <v>1740s</v>
      </c>
    </row>
    <row r="5700" ht="15.75" customHeight="1">
      <c r="A5700" s="2" t="s">
        <v>5700</v>
      </c>
      <c r="B5700" s="2" t="str">
        <f>IFERROR(__xludf.DUMMYFUNCTION("GOOGLETRANSLATE(A5700, ""en"", ""mt"")"),"76,000 sa 540,000")</f>
        <v>76,000 sa 540,000</v>
      </c>
    </row>
    <row r="5701" ht="15.75" customHeight="1">
      <c r="A5701" s="2" t="s">
        <v>5701</v>
      </c>
      <c r="B5701" s="2" t="str">
        <f>IFERROR(__xludf.DUMMYFUNCTION("GOOGLETRANSLATE(A5701, ""en"", ""mt"")"),"Super Bowl xxxvii")</f>
        <v>Super Bowl xxxvii</v>
      </c>
    </row>
    <row r="5702" ht="15.75" customHeight="1">
      <c r="A5702" s="2" t="s">
        <v>5702</v>
      </c>
      <c r="B5702" s="2" t="str">
        <f>IFERROR(__xludf.DUMMYFUNCTION("GOOGLETRANSLATE(A5702, ""en"", ""mt"")"),"splussivi")</f>
        <v>splussivi</v>
      </c>
    </row>
    <row r="5703" ht="15.75" customHeight="1">
      <c r="A5703" s="2" t="s">
        <v>5703</v>
      </c>
      <c r="B5703" s="2" t="str">
        <f>IFERROR(__xludf.DUMMYFUNCTION("GOOGLETRANSLATE(A5703, ""en"", ""mt"")"),"2")</f>
        <v>2</v>
      </c>
    </row>
    <row r="5704" ht="15.75" customHeight="1">
      <c r="A5704" s="2" t="s">
        <v>5704</v>
      </c>
      <c r="B5704" s="2" t="str">
        <f>IFERROR(__xludf.DUMMYFUNCTION("GOOGLETRANSLATE(A5704, ""en"", ""mt"")"),"50% sa 60%")</f>
        <v>50% sa 60%</v>
      </c>
    </row>
    <row r="5705" ht="15.75" customHeight="1">
      <c r="A5705" s="2" t="s">
        <v>5705</v>
      </c>
      <c r="B5705" s="2" t="str">
        <f>IFERROR(__xludf.DUMMYFUNCTION("GOOGLETRANSLATE(A5705, ""en"", ""mt"")"),"Għal liema snin Tesla rreferiet bħala żmien ta 'uġigħ ta' ras terribbli u dmugħ morr?")</f>
        <v>Għal liema snin Tesla rreferiet bħala żmien ta 'uġigħ ta' ras terribbli u dmugħ morr?</v>
      </c>
    </row>
    <row r="5706" ht="15.75" customHeight="1">
      <c r="A5706" s="2" t="s">
        <v>5706</v>
      </c>
      <c r="B5706" s="2" t="str">
        <f>IFERROR(__xludf.DUMMYFUNCTION("GOOGLETRANSLATE(A5706, ""en"", ""mt"")"),"Żied molekulari taż-żeoliti")</f>
        <v>Żied molekulari taż-żeoliti</v>
      </c>
    </row>
    <row r="5707" ht="15.75" customHeight="1">
      <c r="A5707" s="2" t="s">
        <v>5707</v>
      </c>
      <c r="B5707" s="2" t="str">
        <f>IFERROR(__xludf.DUMMYFUNCTION("GOOGLETRANSLATE(A5707, ""en"", ""mt"")"),"ekonomisti")</f>
        <v>ekonomisti</v>
      </c>
    </row>
    <row r="5708" ht="15.75" customHeight="1">
      <c r="A5708" s="2" t="s">
        <v>5708</v>
      </c>
      <c r="B5708" s="2" t="str">
        <f>IFERROR(__xludf.DUMMYFUNCTION("GOOGLETRANSLATE(A5708, ""en"", ""mt"")"),"Reviżjoni tar-Reġim tal-Medikazzjoni")</f>
        <v>Reviżjoni tar-Reġim tal-Medikazzjoni</v>
      </c>
    </row>
    <row r="5709" ht="15.75" customHeight="1">
      <c r="A5709" s="2" t="s">
        <v>5709</v>
      </c>
      <c r="B5709" s="2" t="str">
        <f>IFERROR(__xludf.DUMMYFUNCTION("GOOGLETRANSLATE(A5709, ""en"", ""mt"")"),"L-ispiżeriji tal-internet meta bdew jidħlu?")</f>
        <v>L-ispiżeriji tal-internet meta bdew jidħlu?</v>
      </c>
    </row>
    <row r="5710" ht="15.75" customHeight="1">
      <c r="A5710" s="2" t="s">
        <v>5710</v>
      </c>
      <c r="B5710" s="2" t="str">
        <f>IFERROR(__xludf.DUMMYFUNCTION("GOOGLETRANSLATE(A5710, ""en"", ""mt"")"),"F'liema sena l-V &amp; A rċeviet il-kollezzjoni Talbot Hughes?")</f>
        <v>F'liema sena l-V &amp; A rċeviet il-kollezzjoni Talbot Hughes?</v>
      </c>
    </row>
    <row r="5711" ht="15.75" customHeight="1">
      <c r="A5711" s="2" t="s">
        <v>5711</v>
      </c>
      <c r="B5711" s="2" t="str">
        <f>IFERROR(__xludf.DUMMYFUNCTION("GOOGLETRANSLATE(A5711, ""en"", ""mt"")"),"wieħed minn kull sitta")</f>
        <v>wieħed minn kull sitta</v>
      </c>
    </row>
    <row r="5712" ht="15.75" customHeight="1">
      <c r="A5712" s="2" t="s">
        <v>5712</v>
      </c>
      <c r="B5712" s="2" t="str">
        <f>IFERROR(__xludf.DUMMYFUNCTION("GOOGLETRANSLATE(A5712, ""en"", ""mt"")"),"Banquet tat-tieġ")</f>
        <v>Banquet tat-tieġ</v>
      </c>
    </row>
    <row r="5713" ht="15.75" customHeight="1">
      <c r="A5713" s="2" t="s">
        <v>5713</v>
      </c>
      <c r="B5713" s="2" t="str">
        <f>IFERROR(__xludf.DUMMYFUNCTION("GOOGLETRANSLATE(A5713, ""en"", ""mt"")"),"ftit hafna")</f>
        <v>ftit hafna</v>
      </c>
    </row>
    <row r="5714" ht="15.75" customHeight="1">
      <c r="A5714" s="2" t="s">
        <v>5714</v>
      </c>
      <c r="B5714" s="2" t="str">
        <f>IFERROR(__xludf.DUMMYFUNCTION("GOOGLETRANSLATE(A5714, ""en"", ""mt"")"),"tfisser li tinvesti f'sorsi ġodda ta 'ħolqien ta' ġid")</f>
        <v>tfisser li tinvesti f'sorsi ġodda ta 'ħolqien ta' ġid</v>
      </c>
    </row>
    <row r="5715" ht="15.75" customHeight="1">
      <c r="A5715" s="2" t="s">
        <v>5715</v>
      </c>
      <c r="B5715" s="2" t="str">
        <f>IFERROR(__xludf.DUMMYFUNCTION("GOOGLETRANSLATE(A5715, ""en"", ""mt"")"),"Knisja Metodista sabiħa")</f>
        <v>Knisja Metodista sabiħa</v>
      </c>
    </row>
    <row r="5716" ht="15.75" customHeight="1">
      <c r="A5716" s="2" t="s">
        <v>5716</v>
      </c>
      <c r="B5716" s="2" t="str">
        <f>IFERROR(__xludf.DUMMYFUNCTION("GOOGLETRANSLATE(A5716, ""en"", ""mt"")"),"aktar minn 4.5 miljun")</f>
        <v>aktar minn 4.5 miljun</v>
      </c>
    </row>
    <row r="5717" ht="15.75" customHeight="1">
      <c r="A5717" s="2" t="s">
        <v>5717</v>
      </c>
      <c r="B5717" s="2" t="str">
        <f>IFERROR(__xludf.DUMMYFUNCTION("GOOGLETRANSLATE(A5717, ""en"", ""mt"")"),"Kemm flussi ewlenin huma ramifikati mill-Nederrijn?")</f>
        <v>Kemm flussi ewlenin huma ramifikati mill-Nederrijn?</v>
      </c>
    </row>
    <row r="5718" ht="15.75" customHeight="1">
      <c r="A5718" s="2" t="s">
        <v>5718</v>
      </c>
      <c r="B5718" s="2" t="str">
        <f>IFERROR(__xludf.DUMMYFUNCTION("GOOGLETRANSLATE(A5718, ""en"", ""mt"")"),"Sa 1%")</f>
        <v>Sa 1%</v>
      </c>
    </row>
    <row r="5719" ht="15.75" customHeight="1">
      <c r="A5719" s="2" t="s">
        <v>5719</v>
      </c>
      <c r="B5719" s="2" t="str">
        <f>IFERROR(__xludf.DUMMYFUNCTION("GOOGLETRANSLATE(A5719, ""en"", ""mt"")"),"Proplastidi mhux differenzjati")</f>
        <v>Proplastidi mhux differenzjati</v>
      </c>
    </row>
    <row r="5720" ht="15.75" customHeight="1">
      <c r="A5720" s="2" t="s">
        <v>5720</v>
      </c>
      <c r="B5720" s="2" t="str">
        <f>IFERROR(__xludf.DUMMYFUNCTION("GOOGLETRANSLATE(A5720, ""en"", ""mt"")"),"ridt tiżżewweġ")</f>
        <v>ridt tiżżewweġ</v>
      </c>
    </row>
    <row r="5721" ht="15.75" customHeight="1">
      <c r="A5721" s="2" t="s">
        <v>5721</v>
      </c>
      <c r="B5721" s="2" t="str">
        <f>IFERROR(__xludf.DUMMYFUNCTION("GOOGLETRANSLATE(A5721, ""en"", ""mt"")"),"X'inhi l-popolazzjoni tal-akbar żona ta 'Los Angeles?")</f>
        <v>X'inhi l-popolazzjoni tal-akbar żona ta 'Los Angeles?</v>
      </c>
    </row>
    <row r="5722" ht="15.75" customHeight="1">
      <c r="A5722" s="2" t="s">
        <v>5722</v>
      </c>
      <c r="B5722" s="2" t="str">
        <f>IFERROR(__xludf.DUMMYFUNCTION("GOOGLETRANSLATE(A5722, ""en"", ""mt"")"),"elettron")</f>
        <v>elettron</v>
      </c>
    </row>
    <row r="5723" ht="15.75" customHeight="1">
      <c r="A5723" s="2" t="s">
        <v>5723</v>
      </c>
      <c r="B5723" s="2" t="str">
        <f>IFERROR(__xludf.DUMMYFUNCTION("GOOGLETRANSLATE(A5723, ""en"", ""mt"")"),"(25,700 km")</f>
        <v>(25,700 km</v>
      </c>
    </row>
    <row r="5724" ht="15.75" customHeight="1">
      <c r="A5724" s="2" t="s">
        <v>5724</v>
      </c>
      <c r="B5724" s="2" t="str">
        <f>IFERROR(__xludf.DUMMYFUNCTION("GOOGLETRANSLATE(A5724, ""en"", ""mt"")"),"normali")</f>
        <v>normali</v>
      </c>
    </row>
    <row r="5725" ht="15.75" customHeight="1">
      <c r="A5725" s="2" t="s">
        <v>5725</v>
      </c>
      <c r="B5725" s="2" t="str">
        <f>IFERROR(__xludf.DUMMYFUNCTION("GOOGLETRANSLATE(A5725, ""en"", ""mt"")"),"300")</f>
        <v>300</v>
      </c>
    </row>
    <row r="5726" ht="15.75" customHeight="1">
      <c r="A5726" s="2" t="s">
        <v>5726</v>
      </c>
      <c r="B5726" s="2" t="str">
        <f>IFERROR(__xludf.DUMMYFUNCTION("GOOGLETRANSLATE(A5726, ""en"", ""mt"")"),"Operazzjonijiet orjentati lejn il-konnessjoni. Imma X.25 jagħmel dan fis-saff tan-netwerk tal-mudell OSI. Frame Relay jagħmel dan fil-livell tnejn, is-saff tal-link tad-dejta")</f>
        <v>Operazzjonijiet orjentati lejn il-konnessjoni. Imma X.25 jagħmel dan fis-saff tan-netwerk tal-mudell OSI. Frame Relay jagħmel dan fil-livell tnejn, is-saff tal-link tad-dejta</v>
      </c>
    </row>
    <row r="5727" ht="15.75" customHeight="1">
      <c r="A5727" s="2" t="s">
        <v>5727</v>
      </c>
      <c r="B5727" s="2" t="str">
        <f>IFERROR(__xludf.DUMMYFUNCTION("GOOGLETRANSLATE(A5727, ""en"", ""mt"")"),"Meta kien il-ftehim biex jakkwista ABC approvat mill-bord tal-UPT?")</f>
        <v>Meta kien il-ftehim biex jakkwista ABC approvat mill-bord tal-UPT?</v>
      </c>
    </row>
    <row r="5728" ht="15.75" customHeight="1">
      <c r="A5728" s="2" t="s">
        <v>5728</v>
      </c>
      <c r="B5728" s="2" t="str">
        <f>IFERROR(__xludf.DUMMYFUNCTION("GOOGLETRANSLATE(A5728, ""en"", ""mt"")"),"Foresta ta 'Broadleaf niedja")</f>
        <v>Foresta ta 'Broadleaf niedja</v>
      </c>
    </row>
    <row r="5729" ht="15.75" customHeight="1">
      <c r="A5729" s="2" t="s">
        <v>5729</v>
      </c>
      <c r="B5729" s="2" t="str">
        <f>IFERROR(__xludf.DUMMYFUNCTION("GOOGLETRANSLATE(A5729, ""en"", ""mt"")"),"Liema baċin ġie ffurmat meta żdied il-Muntanji Andes?")</f>
        <v>Liema baċin ġie ffurmat meta żdied il-Muntanji Andes?</v>
      </c>
    </row>
    <row r="5730" ht="15.75" customHeight="1">
      <c r="A5730" s="2" t="s">
        <v>5730</v>
      </c>
      <c r="B5730" s="2" t="str">
        <f>IFERROR(__xludf.DUMMYFUNCTION("GOOGLETRANSLATE(A5730, ""en"", ""mt"")"),"2,400 professuri, letturi u għalliema ta 'Harvard jagħtu struzzjonijiet 7,200 studenti u 14,000 student gradwat. Il-kulur tal-iskola huwa krimżi, li huwa wkoll l-isem tat-timijiet sportivi ta ’Harvard u l-gazzetta ta’ kuljum, il-Harvard Crimson. Il-kulur "&amp;"ġie adottat b'mod mhux uffiċjali (bi preferenza għal Magenta) b'vot tal-1875 tal-korp tal-istudenti, għalkemm l-assoċjazzjoni ma 'xi forma ta' aħmar tista 'tiġi rintraċċata għall-1858, meta Charles William Eliot, student gradwat żagħżugħ li aktar tard isi"&amp;"r il-21 ta' Harvard u l-itwal president li jservi (1869–1909), xtara bandana l-ħamra għall-ekwipaġġ tiegħu sabiex ikunu jistgħu jiġu distinti aktar faċilment minn spettaturi f'regatta.")</f>
        <v>2,400 professuri, letturi u għalliema ta 'Harvard jagħtu struzzjonijiet 7,200 studenti u 14,000 student gradwat. Il-kulur tal-iskola huwa krimżi, li huwa wkoll l-isem tat-timijiet sportivi ta ’Harvard u l-gazzetta ta’ kuljum, il-Harvard Crimson. Il-kulur ġie adottat b'mod mhux uffiċjali (bi preferenza għal Magenta) b'vot tal-1875 tal-korp tal-istudenti, għalkemm l-assoċjazzjoni ma 'xi forma ta' aħmar tista 'tiġi rintraċċata għall-1858, meta Charles William Eliot, student gradwat żagħżugħ li aktar tard isir il-21 ta' Harvard u l-itwal president li jservi (1869–1909), xtara bandana l-ħamra għall-ekwipaġġ tiegħu sabiex ikunu jistgħu jiġu distinti aktar faċilment minn spettaturi f'regatta.</v>
      </c>
    </row>
    <row r="5731" ht="15.75" customHeight="1">
      <c r="A5731" s="2" t="s">
        <v>5731</v>
      </c>
      <c r="B5731" s="2" t="str">
        <f>IFERROR(__xludf.DUMMYFUNCTION("GOOGLETRANSLATE(A5731, ""en"", ""mt"")"),"8,646 sq mi")</f>
        <v>8,646 sq mi</v>
      </c>
    </row>
    <row r="5732" ht="15.75" customHeight="1">
      <c r="A5732" s="2" t="s">
        <v>5732</v>
      </c>
      <c r="B5732" s="2" t="str">
        <f>IFERROR(__xludf.DUMMYFUNCTION("GOOGLETRANSLATE(A5732, ""en"", ""mt"")"),"Kemm ir-rokits Saturn V ġew prodotti min-NASA matul il-proġett Apollo?")</f>
        <v>Kemm ir-rokits Saturn V ġew prodotti min-NASA matul il-proġett Apollo?</v>
      </c>
    </row>
    <row r="5733" ht="15.75" customHeight="1">
      <c r="A5733" s="2" t="s">
        <v>5733</v>
      </c>
      <c r="B5733" s="2" t="str">
        <f>IFERROR(__xludf.DUMMYFUNCTION("GOOGLETRANSLATE(A5733, ""en"", ""mt"")"),"Mekkaniżmi ta 'tqassim mill-ġdid bħal programmi ta' benesseri soċjali")</f>
        <v>Mekkaniżmi ta 'tqassim mill-ġdid bħal programmi ta' benesseri soċjali</v>
      </c>
    </row>
    <row r="5734" ht="15.75" customHeight="1">
      <c r="A5734" s="2" t="s">
        <v>5734</v>
      </c>
      <c r="B5734" s="2" t="str">
        <f>IFERROR(__xludf.DUMMYFUNCTION("GOOGLETRANSLATE(A5734, ""en"", ""mt"")"),"X'kien it-titlu Ingliż tal-ktieb ta 'Polo?")</f>
        <v>X'kien it-titlu Ingliż tal-ktieb ta 'Polo?</v>
      </c>
    </row>
    <row r="5735" ht="15.75" customHeight="1">
      <c r="A5735" s="2" t="s">
        <v>5735</v>
      </c>
      <c r="B5735" s="2" t="str">
        <f>IFERROR(__xludf.DUMMYFUNCTION("GOOGLETRANSLATE(A5735, ""en"", ""mt"")"),"L-artijiet għoljin fertili")</f>
        <v>L-artijiet għoljin fertili</v>
      </c>
    </row>
    <row r="5736" ht="15.75" customHeight="1">
      <c r="A5736" s="2" t="s">
        <v>5736</v>
      </c>
      <c r="B5736" s="2" t="str">
        <f>IFERROR(__xludf.DUMMYFUNCTION("GOOGLETRANSLATE(A5736, ""en"", ""mt"")"),"karbonju li jinsab fil-veġetazzjoni")</f>
        <v>karbonju li jinsab fil-veġetazzjoni</v>
      </c>
    </row>
    <row r="5737" ht="15.75" customHeight="1">
      <c r="A5737" s="2" t="s">
        <v>5737</v>
      </c>
      <c r="B5737" s="2" t="str">
        <f>IFERROR(__xludf.DUMMYFUNCTION("GOOGLETRANSLATE(A5737, ""en"", ""mt"")"),"X'inhuma l-ewwel bini li l-università mibnija taf kif illum?")</f>
        <v>X'inhuma l-ewwel bini li l-università mibnija taf kif illum?</v>
      </c>
    </row>
    <row r="5738" ht="15.75" customHeight="1">
      <c r="A5738" s="2" t="s">
        <v>5738</v>
      </c>
      <c r="B5738" s="2" t="str">
        <f>IFERROR(__xludf.DUMMYFUNCTION("GOOGLETRANSLATE(A5738, ""en"", ""mt"")"),"sanzjoni għall-qtil.")</f>
        <v>sanzjoni għall-qtil.</v>
      </c>
    </row>
    <row r="5739" ht="15.75" customHeight="1">
      <c r="A5739" s="2" t="s">
        <v>5739</v>
      </c>
      <c r="B5739" s="2" t="str">
        <f>IFERROR(__xludf.DUMMYFUNCTION("GOOGLETRANSLATE(A5739, ""en"", ""mt"")"),"L-UMC Pro-Life jew Pro-Choice?")</f>
        <v>L-UMC Pro-Life jew Pro-Choice?</v>
      </c>
    </row>
    <row r="5740" ht="15.75" customHeight="1">
      <c r="A5740" s="2" t="s">
        <v>5740</v>
      </c>
      <c r="B5740" s="2" t="str">
        <f>IFERROR(__xludf.DUMMYFUNCTION("GOOGLETRANSLATE(A5740, ""en"", ""mt"")"),"Bojkotts illegali")</f>
        <v>Bojkotts illegali</v>
      </c>
    </row>
    <row r="5741" ht="15.75" customHeight="1">
      <c r="A5741" s="2" t="s">
        <v>5741</v>
      </c>
      <c r="B5741" s="2" t="str">
        <f>IFERROR(__xludf.DUMMYFUNCTION("GOOGLETRANSLATE(A5741, ""en"", ""mt"")"),"X'tip ta 'pigmenti għandhom ir-rhodoplasts?")</f>
        <v>X'tip ta 'pigmenti għandhom ir-rhodoplasts?</v>
      </c>
    </row>
    <row r="5742" ht="15.75" customHeight="1">
      <c r="A5742" s="2" t="s">
        <v>5742</v>
      </c>
      <c r="B5742" s="2" t="str">
        <f>IFERROR(__xludf.DUMMYFUNCTION("GOOGLETRANSLATE(A5742, ""en"", ""mt"")"),"il-gastrodermis")</f>
        <v>il-gastrodermis</v>
      </c>
    </row>
    <row r="5743" ht="15.75" customHeight="1">
      <c r="A5743" s="2" t="s">
        <v>5743</v>
      </c>
      <c r="B5743" s="2" t="str">
        <f>IFERROR(__xludf.DUMMYFUNCTION("GOOGLETRANSLATE(A5743, ""en"", ""mt"")"),"Louis XIV kiseb it-tron fl-1643 u aġixxa dejjem aktar aggressiv biex iġiegħel lill-Huguenots jikkonvertu. Għall-ewwel huwa bagħat missjunarji, appoġġjat minn fond biex jippremja finanzjarjament konvertiti għall-Kattoliċiżmu. Imbagħad impona pieni, għalaq "&amp;"l-iskejjel Huguenot u eskludahom minn professjonijiet favoriti. Teskala, huwa waqqaf Dragonnades, li kien jinkludi l-okkupazzjoni u l-sakkeġġi ta 'djar Huguenot minn truppi militari, fi sforz biex jikkonvertihom bil-forza. Fl-1685, huwa ħareġ l-editt ta '"&amp;"Fontainebleau, irrevoka l-editt ta' Nantes u ddikjara l-Protestantiżmu illegali. [Ċitazzjoni meħtieġa]")</f>
        <v>Louis XIV kiseb it-tron fl-1643 u aġixxa dejjem aktar aggressiv biex iġiegħel lill-Huguenots jikkonvertu. Għall-ewwel huwa bagħat missjunarji, appoġġjat minn fond biex jippremja finanzjarjament konvertiti għall-Kattoliċiżmu. Imbagħad impona pieni, għalaq l-iskejjel Huguenot u eskludahom minn professjonijiet favoriti. Teskala, huwa waqqaf Dragonnades, li kien jinkludi l-okkupazzjoni u l-sakkeġġi ta 'djar Huguenot minn truppi militari, fi sforz biex jikkonvertihom bil-forza. Fl-1685, huwa ħareġ l-editt ta 'Fontainebleau, irrevoka l-editt ta' Nantes u ddikjara l-Protestantiżmu illegali. [Ċitazzjoni meħtieġa]</v>
      </c>
    </row>
    <row r="5744" ht="15.75" customHeight="1">
      <c r="A5744" s="2" t="s">
        <v>5744</v>
      </c>
      <c r="B5744" s="2" t="str">
        <f>IFERROR(__xludf.DUMMYFUNCTION("GOOGLETRANSLATE(A5744, ""en"", ""mt"")"),"b'mekkaniżmu ta 'ċirku rolling")</f>
        <v>b'mekkaniżmu ta 'ċirku rolling</v>
      </c>
    </row>
    <row r="5745" ht="15.75" customHeight="1">
      <c r="A5745" s="2" t="s">
        <v>5745</v>
      </c>
      <c r="B5745" s="2" t="str">
        <f>IFERROR(__xludf.DUMMYFUNCTION("GOOGLETRANSLATE(A5745, ""en"", ""mt"")"),"Tesla meta saret ħbieb ma 'Viereck?")</f>
        <v>Tesla meta saret ħbieb ma 'Viereck?</v>
      </c>
    </row>
    <row r="5746" ht="15.75" customHeight="1">
      <c r="A5746" s="2" t="s">
        <v>5746</v>
      </c>
      <c r="B5746" s="2" t="str">
        <f>IFERROR(__xludf.DUMMYFUNCTION("GOOGLETRANSLATE(A5746, ""en"", ""mt"")"),"Min kunċettalizza l-aeolipile?")</f>
        <v>Min kunċettalizza l-aeolipile?</v>
      </c>
    </row>
    <row r="5747" ht="15.75" customHeight="1">
      <c r="A5747" s="2" t="s">
        <v>5747</v>
      </c>
      <c r="B5747" s="2" t="str">
        <f>IFERROR(__xludf.DUMMYFUNCTION("GOOGLETRANSLATE(A5747, ""en"", ""mt"")"),"L-ewwel nofs tas-seklu tmintax")</f>
        <v>L-ewwel nofs tas-seklu tmintax</v>
      </c>
    </row>
    <row r="5748" ht="15.75" customHeight="1">
      <c r="A5748" s="2" t="s">
        <v>5748</v>
      </c>
      <c r="B5748" s="2" t="str">
        <f>IFERROR(__xludf.DUMMYFUNCTION("GOOGLETRANSLATE(A5748, ""en"", ""mt"")"),"Għal xiex tispikka l-akronimu CSM?")</f>
        <v>Għal xiex tispikka l-akronimu CSM?</v>
      </c>
    </row>
    <row r="5749" ht="15.75" customHeight="1">
      <c r="A5749" s="2" t="s">
        <v>5749</v>
      </c>
      <c r="B5749" s="2" t="str">
        <f>IFERROR(__xludf.DUMMYFUNCTION("GOOGLETRANSLATE(A5749, ""en"", ""mt"")"),"sjieda ta 'industriji privati")</f>
        <v>sjieda ta 'industriji privati</v>
      </c>
    </row>
    <row r="5750" ht="15.75" customHeight="1">
      <c r="A5750" s="2" t="s">
        <v>5750</v>
      </c>
      <c r="B5750" s="2" t="str">
        <f>IFERROR(__xludf.DUMMYFUNCTION("GOOGLETRANSLATE(A5750, ""en"", ""mt"")"),"Għaliex Harvard temm il-programm ta 'ammissjoni bikrija tiegħu?")</f>
        <v>Għaliex Harvard temm il-programm ta 'ammissjoni bikrija tiegħu?</v>
      </c>
    </row>
    <row r="5751" ht="15.75" customHeight="1">
      <c r="A5751" s="2" t="s">
        <v>5751</v>
      </c>
      <c r="B5751" s="2" t="str">
        <f>IFERROR(__xludf.DUMMYFUNCTION("GOOGLETRANSLATE(A5751, ""en"", ""mt"")"),"Liema proklamazzjoni ta 'Shaman għenet iż-żieda ta' Temüjin?")</f>
        <v>Liema proklamazzjoni ta 'Shaman għenet iż-żieda ta' Temüjin?</v>
      </c>
    </row>
    <row r="5752" ht="15.75" customHeight="1">
      <c r="A5752" s="2" t="s">
        <v>5752</v>
      </c>
      <c r="B5752" s="2" t="str">
        <f>IFERROR(__xludf.DUMMYFUNCTION("GOOGLETRANSLATE(A5752, ""en"", ""mt"")"),"Fejn iddikjara li l-blueprint kien maħżun?")</f>
        <v>Fejn iddikjara li l-blueprint kien maħżun?</v>
      </c>
    </row>
    <row r="5753" ht="15.75" customHeight="1">
      <c r="A5753" s="2" t="s">
        <v>5753</v>
      </c>
      <c r="B5753" s="2" t="str">
        <f>IFERROR(__xludf.DUMMYFUNCTION("GOOGLETRANSLATE(A5753, ""en"", ""mt"")"),"Demokrazija")</f>
        <v>Demokrazija</v>
      </c>
    </row>
    <row r="5754" ht="15.75" customHeight="1">
      <c r="A5754" s="2" t="s">
        <v>5754</v>
      </c>
      <c r="B5754" s="2" t="str">
        <f>IFERROR(__xludf.DUMMYFUNCTION("GOOGLETRANSLATE(A5754, ""en"", ""mt"")"),"It-te, il-kafè, is-sisal, il-piretru, il-qamħ, u l-qamħ huma mkabbra fl-artijiet fertili, wieħed mir-reġjuni tal-produzzjoni agrikola l-aktar ta ’suċċess fl-Afrika. Il-bhejjem jippredomina fis-savana semi-arida fit-tramuntana u l-lvant. Indi, ananas, ġewż"&amp;" tal-anakardju, qoton, kannamieli, sisal, u qamħ huma mkabbra fiż-żoni li jinsabu aktar baxxi. Sfortunatament, il-pajjiż ma laħaqx il-livell ta 'investiment u effiċjenza fl-agrikoltura li jista' jiggarantixxi s-sigurtà tal-ikel u flimkien mal-faqar li jir"&amp;"riżulta (53% tal-popolazzjoni tgħix taħt il-linja tal-faqar), porzjon sinifikanti tal-popolazzjoni regolarment il-ġuħ u tiddependi ħafna fuq l-għajnuna tal-ikel. Toroq foqra, netwerk ferrovjarju inadegwat, trasport tal-ilma użat taħt l-ilma u trasport bl-"&amp;"ajru għaljin l-aktar żoni aridi u semi-aridi u bdiewa f'reġjuni oħra ħafna drabi jħallu l-ikel jitħassar fl-għelieqi minħabba li ma jistgħux jaċċessaw is-swieq. Dan deher l-aħħar f’Awwissu u f’Settembru 2011 li wassal lill-Kenjani għall-Inizjattiva tal-Ke"&amp;"nja mis-Salib l-Aħmar.")</f>
        <v>It-te, il-kafè, is-sisal, il-piretru, il-qamħ, u l-qamħ huma mkabbra fl-artijiet fertili, wieħed mir-reġjuni tal-produzzjoni agrikola l-aktar ta ’suċċess fl-Afrika. Il-bhejjem jippredomina fis-savana semi-arida fit-tramuntana u l-lvant. Indi, ananas, ġewż tal-anakardju, qoton, kannamieli, sisal, u qamħ huma mkabbra fiż-żoni li jinsabu aktar baxxi. Sfortunatament, il-pajjiż ma laħaqx il-livell ta 'investiment u effiċjenza fl-agrikoltura li jista' jiggarantixxi s-sigurtà tal-ikel u flimkien mal-faqar li jirriżulta (53% tal-popolazzjoni tgħix taħt il-linja tal-faqar), porzjon sinifikanti tal-popolazzjoni regolarment il-ġuħ u tiddependi ħafna fuq l-għajnuna tal-ikel. Toroq foqra, netwerk ferrovjarju inadegwat, trasport tal-ilma użat taħt l-ilma u trasport bl-ajru għaljin l-aktar żoni aridi u semi-aridi u bdiewa f'reġjuni oħra ħafna drabi jħallu l-ikel jitħassar fl-għelieqi minħabba li ma jistgħux jaċċessaw is-swieq. Dan deher l-aħħar f’Awwissu u f’Settembru 2011 li wassal lill-Kenjani għall-Inizjattiva tal-Kenja mis-Salib l-Aħmar.</v>
      </c>
    </row>
    <row r="5755" ht="15.75" customHeight="1">
      <c r="A5755" s="2" t="s">
        <v>5755</v>
      </c>
      <c r="B5755" s="2" t="str">
        <f>IFERROR(__xludf.DUMMYFUNCTION("GOOGLETRANSLATE(A5755, ""en"", ""mt"")"),"Awtorità ta 'preskrizzjoni indipendenti sħiħa")</f>
        <v>Awtorità ta 'preskrizzjoni indipendenti sħiħa</v>
      </c>
    </row>
    <row r="5756" ht="15.75" customHeight="1">
      <c r="A5756" s="2" t="s">
        <v>5756</v>
      </c>
      <c r="B5756" s="2" t="str">
        <f>IFERROR(__xludf.DUMMYFUNCTION("GOOGLETRANSLATE(A5756, ""en"", ""mt"")"),"residwu tal-forza")</f>
        <v>residwu tal-forza</v>
      </c>
    </row>
    <row r="5757" ht="15.75" customHeight="1">
      <c r="A5757" s="2" t="s">
        <v>5757</v>
      </c>
      <c r="B5757" s="2" t="str">
        <f>IFERROR(__xludf.DUMMYFUNCTION("GOOGLETRANSLATE(A5757, ""en"", ""mt"")"),"Minn xiex jospita ħafna minn Varsavja?")</f>
        <v>Minn xiex jospita ħafna minn Varsavja?</v>
      </c>
    </row>
    <row r="5758" ht="15.75" customHeight="1">
      <c r="A5758" s="2" t="s">
        <v>5758</v>
      </c>
      <c r="B5758" s="2" t="str">
        <f>IFERROR(__xludf.DUMMYFUNCTION("GOOGLETRANSLATE(A5758, ""en"", ""mt"")"),"Jannar 1964, sakemm kiseb l-ewwel inżul ekwipaġġ f'Lulju 1969,")</f>
        <v>Jannar 1964, sakemm kiseb l-ewwel inżul ekwipaġġ f'Lulju 1969,</v>
      </c>
    </row>
    <row r="5759" ht="15.75" customHeight="1">
      <c r="A5759" s="2" t="s">
        <v>5759</v>
      </c>
      <c r="B5759" s="2" t="str">
        <f>IFERROR(__xludf.DUMMYFUNCTION("GOOGLETRANSLATE(A5759, ""en"", ""mt"")"),"Matul liema perjodu reġgħet fetħet it-Teatru tat-Torri?")</f>
        <v>Matul liema perjodu reġgħet fetħet it-Teatru tat-Torri?</v>
      </c>
    </row>
    <row r="5760" ht="15.75" customHeight="1">
      <c r="A5760" s="2" t="s">
        <v>5760</v>
      </c>
      <c r="B5760" s="2" t="str">
        <f>IFERROR(__xludf.DUMMYFUNCTION("GOOGLETRANSLATE(A5760, ""en"", ""mt"")"),"Stagecoach")</f>
        <v>Stagecoach</v>
      </c>
    </row>
    <row r="5761" ht="15.75" customHeight="1">
      <c r="A5761" s="2" t="s">
        <v>5761</v>
      </c>
      <c r="B5761" s="2" t="str">
        <f>IFERROR(__xludf.DUMMYFUNCTION("GOOGLETRANSLATE(A5761, ""en"", ""mt"")"),"X'inhu n-numru Ruman se jkun għas-Super Bowl 51?")</f>
        <v>X'inhu n-numru Ruman se jkun għas-Super Bowl 51?</v>
      </c>
    </row>
    <row r="5762" ht="15.75" customHeight="1">
      <c r="A5762" s="2" t="s">
        <v>5762</v>
      </c>
      <c r="B5762" s="2" t="str">
        <f>IFERROR(__xludf.DUMMYFUNCTION("GOOGLETRANSLATE(A5762, ""en"", ""mt"")"),"Fl-aħħar tas-snin 1980")</f>
        <v>Fl-aħħar tas-snin 1980</v>
      </c>
    </row>
    <row r="5763" ht="15.75" customHeight="1">
      <c r="A5763" s="2" t="s">
        <v>5763</v>
      </c>
      <c r="B5763" s="2" t="str">
        <f>IFERROR(__xludf.DUMMYFUNCTION("GOOGLETRANSLATE(A5763, ""en"", ""mt"")"),"Fejn normalment jiddomina l-bhejjem tal-pajjiż?")</f>
        <v>Fejn normalment jiddomina l-bhejjem tal-pajjiż?</v>
      </c>
    </row>
    <row r="5764" ht="15.75" customHeight="1">
      <c r="A5764" s="2" t="s">
        <v>5764</v>
      </c>
      <c r="B5764" s="2" t="str">
        <f>IFERROR(__xludf.DUMMYFUNCTION("GOOGLETRANSLATE(A5764, ""en"", ""mt"")"),"Lill-Indjani Amerikani")</f>
        <v>Lill-Indjani Amerikani</v>
      </c>
    </row>
    <row r="5765" ht="15.75" customHeight="1">
      <c r="A5765" s="2" t="s">
        <v>5765</v>
      </c>
      <c r="B5765" s="2" t="str">
        <f>IFERROR(__xludf.DUMMYFUNCTION("GOOGLETRANSLATE(A5765, ""en"", ""mt"")"),"Dikjarazzjoni tal-Gwerra fl-1756 għall-iffirmar tat-Trattat tal-Paċi fl-1763")</f>
        <v>Dikjarazzjoni tal-Gwerra fl-1756 għall-iffirmar tat-Trattat tal-Paċi fl-1763</v>
      </c>
    </row>
    <row r="5766" ht="15.75" customHeight="1">
      <c r="A5766" s="2" t="s">
        <v>5766</v>
      </c>
      <c r="B5766" s="2" t="str">
        <f>IFERROR(__xludf.DUMMYFUNCTION("GOOGLETRANSLATE(A5766, ""en"", ""mt"")"),"ħasbu lilhom infushom bħala aħjar")</f>
        <v>ħasbu lilhom infushom bħala aħjar</v>
      </c>
    </row>
    <row r="5767" ht="15.75" customHeight="1">
      <c r="A5767" s="2" t="s">
        <v>5767</v>
      </c>
      <c r="B5767" s="2" t="str">
        <f>IFERROR(__xludf.DUMMYFUNCTION("GOOGLETRANSLATE(A5767, ""en"", ""mt"")"),"Maria de la Queillerie")</f>
        <v>Maria de la Queillerie</v>
      </c>
    </row>
    <row r="5768" ht="15.75" customHeight="1">
      <c r="A5768" s="2" t="s">
        <v>5768</v>
      </c>
      <c r="B5768" s="2" t="str">
        <f>IFERROR(__xludf.DUMMYFUNCTION("GOOGLETRANSLATE(A5768, ""en"", ""mt"")"),"Fejn saru dawn ir-rewwixti?")</f>
        <v>Fejn saru dawn ir-rewwixti?</v>
      </c>
    </row>
    <row r="5769" ht="15.75" customHeight="1">
      <c r="A5769" s="2" t="s">
        <v>5769</v>
      </c>
      <c r="B5769" s="2" t="str">
        <f>IFERROR(__xludf.DUMMYFUNCTION("GOOGLETRANSLATE(A5769, ""en"", ""mt"")"),"Min kien preġudikat Tesla?")</f>
        <v>Min kien preġudikat Tesla?</v>
      </c>
    </row>
    <row r="5770" ht="15.75" customHeight="1">
      <c r="A5770" s="2" t="s">
        <v>5770</v>
      </c>
      <c r="B5770" s="2" t="str">
        <f>IFERROR(__xludf.DUMMYFUNCTION("GOOGLETRANSLATE(A5770, ""en"", ""mt"")"),"Stress")</f>
        <v>Stress</v>
      </c>
    </row>
    <row r="5771" ht="15.75" customHeight="1">
      <c r="A5771" s="2" t="s">
        <v>5771</v>
      </c>
      <c r="B5771" s="2" t="str">
        <f>IFERROR(__xludf.DUMMYFUNCTION("GOOGLETRANSLATE(A5771, ""en"", ""mt"")"),"""tagħlaq"" id-dibattitu")</f>
        <v>"tagħlaq" id-dibattitu</v>
      </c>
    </row>
    <row r="5772" ht="15.75" customHeight="1">
      <c r="A5772" s="2" t="s">
        <v>5772</v>
      </c>
      <c r="B5772" s="2" t="str">
        <f>IFERROR(__xludf.DUMMYFUNCTION("GOOGLETRANSLATE(A5772, ""en"", ""mt"")"),"Ctenophores")</f>
        <v>Ctenophores</v>
      </c>
    </row>
    <row r="5773" ht="15.75" customHeight="1">
      <c r="A5773" s="2" t="s">
        <v>5773</v>
      </c>
      <c r="B5773" s="2" t="str">
        <f>IFERROR(__xludf.DUMMYFUNCTION("GOOGLETRANSLATE(A5773, ""en"", ""mt"")"),"Sib dak li jgħin biex jiddetermina jekk tort huwiex difett normali jew tort tal-ġibda?")</f>
        <v>Sib dak li jgħin biex jiddetermina jekk tort huwiex difett normali jew tort tal-ġibda?</v>
      </c>
    </row>
    <row r="5774" ht="15.75" customHeight="1">
      <c r="A5774" s="2" t="s">
        <v>5774</v>
      </c>
      <c r="B5774" s="2" t="str">
        <f>IFERROR(__xludf.DUMMYFUNCTION("GOOGLETRANSLATE(A5774, ""en"", ""mt"")"),"Min editja l-awtobijografija ta 'Tesla?")</f>
        <v>Min editja l-awtobijografija ta 'Tesla?</v>
      </c>
    </row>
    <row r="5775" ht="15.75" customHeight="1">
      <c r="A5775" s="2" t="s">
        <v>5775</v>
      </c>
      <c r="B5775" s="2" t="str">
        <f>IFERROR(__xludf.DUMMYFUNCTION("GOOGLETRANSLATE(A5775, ""en"", ""mt"")"),"Min inħatar bħala s-sostitut għad-Duka Yansheng Kong Duanyou?")</f>
        <v>Min inħatar bħala s-sostitut għad-Duka Yansheng Kong Duanyou?</v>
      </c>
    </row>
    <row r="5776" ht="15.75" customHeight="1">
      <c r="A5776" s="2" t="s">
        <v>5776</v>
      </c>
      <c r="B5776" s="2" t="str">
        <f>IFERROR(__xludf.DUMMYFUNCTION("GOOGLETRANSLATE(A5776, ""en"", ""mt"")"),"F'Settembru 1967, Mueller approva sekwenza ta 'tipi ta' missjoni li kellhom jitwettqu b'suċċess sabiex jinkiseb l-inżul lunari bl-ekwipaġġ. Kull pass kellu jitwettaq b'suċċess qabel ma setgħu jitwettqu dawk li jmiss, u ma kienx magħruf kemm hemm bżonn ta "&amp;"'kull missjoni; Għalhekk intużaw ittri minflok numri. Il-missjonijiet A kienu validazzjoni bla ekwipaġġ ta 'Saturn V; B kienet validazzjoni LM mingħajr ekwipaġġ bl-użu ta 'Saturn IB; C kien ekwipaġġ validazzjoni tal-orbita tad-dinja CSM bl-użu tas-Saturn "&amp;"IB; D kien l-ewwel titjira CSM / LM ekwipaġġ (din sostitwita AS-258, bl-użu ta 'tnedija waħda ta' Saturn V); E tkun titjira ogħla ta 'orbita tad-dinja CSM / LM; F tkun l-ewwel missjoni lunari, li tittestja l-LM fl-orbita lunari iżda mingħajr inżul (""rehe"&amp;"arsal tal-libsa""); U G kienet tkun l-ewwel inżul bl-ekwipaġġ. Il-lista ta 'tipi koperti ta' segwitu fuq l-esplorazzjoni lunari biex tinkludi l-iżbark Lunar, i għal missjonijiet ta 'stħarriġ orbitali lunari, u J għal ħatt l-art ta' żjara estiża.")</f>
        <v>F'Settembru 1967, Mueller approva sekwenza ta 'tipi ta' missjoni li kellhom jitwettqu b'suċċess sabiex jinkiseb l-inżul lunari bl-ekwipaġġ. Kull pass kellu jitwettaq b'suċċess qabel ma setgħu jitwettqu dawk li jmiss, u ma kienx magħruf kemm hemm bżonn ta 'kull missjoni; Għalhekk intużaw ittri minflok numri. Il-missjonijiet A kienu validazzjoni bla ekwipaġġ ta 'Saturn V; B kienet validazzjoni LM mingħajr ekwipaġġ bl-użu ta 'Saturn IB; C kien ekwipaġġ validazzjoni tal-orbita tad-dinja CSM bl-użu tas-Saturn IB; D kien l-ewwel titjira CSM / LM ekwipaġġ (din sostitwita AS-258, bl-użu ta 'tnedija waħda ta' Saturn V); E tkun titjira ogħla ta 'orbita tad-dinja CSM / LM; F tkun l-ewwel missjoni lunari, li tittestja l-LM fl-orbita lunari iżda mingħajr inżul ("rehearsal tal-libsa"); U G kienet tkun l-ewwel inżul bl-ekwipaġġ. Il-lista ta 'tipi koperti ta' segwitu fuq l-esplorazzjoni lunari biex tinkludi l-iżbark Lunar, i għal missjonijiet ta 'stħarriġ orbitali lunari, u J għal ħatt l-art ta' żjara estiża.</v>
      </c>
    </row>
    <row r="5777" ht="15.75" customHeight="1">
      <c r="A5777" s="2" t="s">
        <v>5777</v>
      </c>
      <c r="B5777" s="2" t="str">
        <f>IFERROR(__xludf.DUMMYFUNCTION("GOOGLETRANSLATE(A5777, ""en"", ""mt"")"),"Samuel P. Huntington")</f>
        <v>Samuel P. Huntington</v>
      </c>
    </row>
    <row r="5778" ht="15.75" customHeight="1">
      <c r="A5778" s="2" t="s">
        <v>5778</v>
      </c>
      <c r="B5778" s="2" t="str">
        <f>IFERROR(__xludf.DUMMYFUNCTION("GOOGLETRANSLATE(A5778, ""en"", ""mt"")"),"X'inhi xejra ġdida fit-tagħlim?")</f>
        <v>X'inhi xejra ġdida fit-tagħlim?</v>
      </c>
    </row>
    <row r="5779" ht="15.75" customHeight="1">
      <c r="A5779" s="2" t="s">
        <v>5779</v>
      </c>
      <c r="B5779" s="2" t="str">
        <f>IFERROR(__xludf.DUMMYFUNCTION("GOOGLETRANSLATE(A5779, ""en"", ""mt"")"),"$ 216,000")</f>
        <v>$ 216,000</v>
      </c>
    </row>
    <row r="5780" ht="15.75" customHeight="1">
      <c r="A5780" s="2" t="s">
        <v>5780</v>
      </c>
      <c r="B5780" s="2" t="str">
        <f>IFERROR(__xludf.DUMMYFUNCTION("GOOGLETRANSLATE(A5780, ""en"", ""mt"")"),"0.9%")</f>
        <v>0.9%</v>
      </c>
    </row>
    <row r="5781" ht="15.75" customHeight="1">
      <c r="A5781" s="2" t="s">
        <v>5781</v>
      </c>
      <c r="B5781" s="2" t="str">
        <f>IFERROR(__xludf.DUMMYFUNCTION("GOOGLETRANSLATE(A5781, ""en"", ""mt"")"),"Il-popolazzjoni tal-far ma kinitx biżżejjed")</f>
        <v>Il-popolazzjoni tal-far ma kinitx biżżejjed</v>
      </c>
    </row>
    <row r="5782" ht="15.75" customHeight="1">
      <c r="A5782" s="2" t="s">
        <v>5782</v>
      </c>
      <c r="B5782" s="2" t="str">
        <f>IFERROR(__xludf.DUMMYFUNCTION("GOOGLETRANSLATE(A5782, ""en"", ""mt"")"),"bagħat dieskau fil-Fort St Frédéric")</f>
        <v>bagħat dieskau fil-Fort St Frédéric</v>
      </c>
    </row>
    <row r="5783" ht="15.75" customHeight="1">
      <c r="A5783" s="2" t="s">
        <v>5783</v>
      </c>
      <c r="B5783" s="2" t="str">
        <f>IFERROR(__xludf.DUMMYFUNCTION("GOOGLETRANSLATE(A5783, ""en"", ""mt"")"),"CA. 22,000–14,000 yr bp")</f>
        <v>CA. 22,000–14,000 yr bp</v>
      </c>
    </row>
    <row r="5784" ht="15.75" customHeight="1">
      <c r="A5784" s="2" t="s">
        <v>5784</v>
      </c>
      <c r="B5784" s="2" t="str">
        <f>IFERROR(__xludf.DUMMYFUNCTION("GOOGLETRANSLATE(A5784, ""en"", ""mt"")"),"it-tyne u l-ilbies tal-metro")</f>
        <v>it-tyne u l-ilbies tal-metro</v>
      </c>
    </row>
    <row r="5785" ht="15.75" customHeight="1">
      <c r="A5785" s="2" t="s">
        <v>5785</v>
      </c>
      <c r="B5785" s="2" t="str">
        <f>IFERROR(__xludf.DUMMYFUNCTION("GOOGLETRANSLATE(A5785, ""en"", ""mt"")"),"Kemm kien hemm kostumi fil-ġbir tal-kostruf?")</f>
        <v>Kemm kien hemm kostumi fil-ġbir tal-kostruf?</v>
      </c>
    </row>
    <row r="5786" ht="15.75" customHeight="1">
      <c r="A5786" s="2" t="s">
        <v>5786</v>
      </c>
      <c r="B5786" s="2" t="str">
        <f>IFERROR(__xludf.DUMMYFUNCTION("GOOGLETRANSLATE(A5786, ""en"", ""mt"")"),"Il-Partit Konservattiv tal-Poplu Ewropew")</f>
        <v>Il-Partit Konservattiv tal-Poplu Ewropew</v>
      </c>
    </row>
    <row r="5787" ht="15.75" customHeight="1">
      <c r="A5787" s="2" t="s">
        <v>5787</v>
      </c>
      <c r="B5787" s="2" t="str">
        <f>IFERROR(__xludf.DUMMYFUNCTION("GOOGLETRANSLATE(A5787, ""en"", ""mt"")"),"Pauli")</f>
        <v>Pauli</v>
      </c>
    </row>
    <row r="5788" ht="15.75" customHeight="1">
      <c r="A5788" s="2" t="s">
        <v>5788</v>
      </c>
      <c r="B5788" s="2" t="str">
        <f>IFERROR(__xludf.DUMMYFUNCTION("GOOGLETRANSLATE(A5788, ""en"", ""mt"")"),"Liema terminu jikkorrispondi għall-kejl massimu tal-ħin fil-funzjonijiet kollha ta 'N?")</f>
        <v>Liema terminu jikkorrispondi għall-kejl massimu tal-ħin fil-funzjonijiet kollha ta 'N?</v>
      </c>
    </row>
    <row r="5789" ht="15.75" customHeight="1">
      <c r="A5789" s="2" t="s">
        <v>5789</v>
      </c>
      <c r="B5789" s="2" t="str">
        <f>IFERROR(__xludf.DUMMYFUNCTION("GOOGLETRANSLATE(A5789, ""en"", ""mt"")"),"Iżlamiku qawwi")</f>
        <v>Iżlamiku qawwi</v>
      </c>
    </row>
    <row r="5790" ht="15.75" customHeight="1">
      <c r="A5790" s="2" t="s">
        <v>5790</v>
      </c>
      <c r="B5790" s="2" t="str">
        <f>IFERROR(__xludf.DUMMYFUNCTION("GOOGLETRANSLATE(A5790, ""en"", ""mt"")"),"il-pussess ta 'individwi diġà sinjuri")</f>
        <v>il-pussess ta 'individwi diġà sinjuri</v>
      </c>
    </row>
    <row r="5791" ht="15.75" customHeight="1">
      <c r="A5791" s="2" t="s">
        <v>5791</v>
      </c>
      <c r="B5791" s="2" t="str">
        <f>IFERROR(__xludf.DUMMYFUNCTION("GOOGLETRANSLATE(A5791, ""en"", ""mt"")"),"żewġ katekiżmi")</f>
        <v>żewġ katekiżmi</v>
      </c>
    </row>
    <row r="5792" ht="15.75" customHeight="1">
      <c r="A5792" s="2" t="s">
        <v>5792</v>
      </c>
      <c r="B5792" s="2" t="str">
        <f>IFERROR(__xludf.DUMMYFUNCTION("GOOGLETRANSLATE(A5792, ""en"", ""mt"")"),"7.8")</f>
        <v>7.8</v>
      </c>
    </row>
    <row r="5793" ht="15.75" customHeight="1">
      <c r="A5793" s="2" t="s">
        <v>5793</v>
      </c>
      <c r="B5793" s="2" t="str">
        <f>IFERROR(__xludf.DUMMYFUNCTION("GOOGLETRANSLATE(A5793, ""en"", ""mt"")"),"Astra")</f>
        <v>Astra</v>
      </c>
    </row>
    <row r="5794" ht="15.75" customHeight="1">
      <c r="A5794" s="2" t="s">
        <v>5794</v>
      </c>
      <c r="B5794" s="2" t="str">
        <f>IFERROR(__xludf.DUMMYFUNCTION("GOOGLETRANSLATE(A5794, ""en"", ""mt"")"),"X'inhu d-Distrett tan-Negozju Ċentrali ta 'San Diego?")</f>
        <v>X'inhu d-Distrett tan-Negozju Ċentrali ta 'San Diego?</v>
      </c>
    </row>
    <row r="5795" ht="15.75" customHeight="1">
      <c r="A5795" s="2" t="s">
        <v>5795</v>
      </c>
      <c r="B5795" s="2" t="str">
        <f>IFERROR(__xludf.DUMMYFUNCTION("GOOGLETRANSLATE(A5795, ""en"", ""mt"")"),"Liema sett huwa miżjud siġġu wara li ġie allokat?")</f>
        <v>Liema sett huwa miżjud siġġu wara li ġie allokat?</v>
      </c>
    </row>
    <row r="5796" ht="15.75" customHeight="1">
      <c r="A5796" s="2" t="s">
        <v>5796</v>
      </c>
      <c r="B5796" s="2" t="str">
        <f>IFERROR(__xludf.DUMMYFUNCTION("GOOGLETRANSLATE(A5796, ""en"", ""mt"")"),"Kemm hemm speċi li nstabu fis-shale Burgess?")</f>
        <v>Kemm hemm speċi li nstabu fis-shale Burgess?</v>
      </c>
    </row>
    <row r="5797" ht="15.75" customHeight="1">
      <c r="A5797" s="2" t="s">
        <v>5797</v>
      </c>
      <c r="B5797" s="2" t="str">
        <f>IFERROR(__xludf.DUMMYFUNCTION("GOOGLETRANSLATE(A5797, ""en"", ""mt"")"),"Exoskeleton")</f>
        <v>Exoskeleton</v>
      </c>
    </row>
    <row r="5798" ht="15.75" customHeight="1">
      <c r="A5798" s="2" t="s">
        <v>5798</v>
      </c>
      <c r="B5798" s="2" t="str">
        <f>IFERROR(__xludf.DUMMYFUNCTION("GOOGLETRANSLATE(A5798, ""en"", ""mt"")"),"Forza")</f>
        <v>Forza</v>
      </c>
    </row>
    <row r="5799" ht="15.75" customHeight="1">
      <c r="A5799" s="2" t="s">
        <v>5799</v>
      </c>
      <c r="B5799" s="2" t="str">
        <f>IFERROR(__xludf.DUMMYFUNCTION("GOOGLETRANSLATE(A5799, ""en"", ""mt"")"),"Liema persentaġġ ta 'fondi ngħataw bħala fondi ta' karità għal kawżi ġewwa u madwar San Francisco?")</f>
        <v>Liema persentaġġ ta 'fondi ngħataw bħala fondi ta' karità għal kawżi ġewwa u madwar San Francisco?</v>
      </c>
    </row>
    <row r="5800" ht="15.75" customHeight="1">
      <c r="A5800" s="2" t="s">
        <v>5800</v>
      </c>
      <c r="B5800" s="2" t="str">
        <f>IFERROR(__xludf.DUMMYFUNCTION("GOOGLETRANSLATE(A5800, ""en"", ""mt"")"),"Il-Rams ta ’Los Angeles huma eżempju ta’ x’tip ta ’tim sportiv?")</f>
        <v>Il-Rams ta ’Los Angeles huma eżempju ta’ x’tip ta ’tim sportiv?</v>
      </c>
    </row>
    <row r="5801" ht="15.75" customHeight="1">
      <c r="A5801" s="2" t="s">
        <v>5801</v>
      </c>
      <c r="B5801" s="2" t="str">
        <f>IFERROR(__xludf.DUMMYFUNCTION("GOOGLETRANSLATE(A5801, ""en"", ""mt"")"),"X’sar magħruf Herr Gott, Dich Loben Wir?")</f>
        <v>X’sar magħruf Herr Gott, Dich Loben Wir?</v>
      </c>
    </row>
    <row r="5802" ht="15.75" customHeight="1">
      <c r="A5802" s="2" t="s">
        <v>5802</v>
      </c>
      <c r="B5802" s="2" t="str">
        <f>IFERROR(__xludf.DUMMYFUNCTION("GOOGLETRANSLATE(A5802, ""en"", ""mt"")"),"Wara l-mewt ta 'Tugh Temür fl-1332 u l-mewt sussegwenti ta' Rinchinbal (Imperatur Ningzong) fl-istess sena, it-Togun Togür ta '13 -il sena (l-Imperatur Huizong), l-aħħar wieħed mid-disa 'suċċessuri ta' Kublai Khan, ġie mħarrek lura minn Guangxi u irnexxie"&amp;"lu fit-tron. Wara l-mewt ta 'El Temür, Bayan sar uffiċjali daqshekk qawwi daqs El Temür kien ilu fil-bidu tar-renju twil tiegħu. Hekk kif Togun Temür kiber, huwa ġie biex ma japprovax ir-regola awtokratika ta 'Bayan. Fl-1340 huwa alleat lilu nnifsu man-ne"&amp;"puti ta 'Bayan Toqto'a, li kien f'diskordja ma' Bayan, u mkeċċi lil Bayan mill-kolp ta 'stat. Bit-tkeċċija ta ’Bayan, Toghtogha ħatfet il-poter tal-qorti. L-ewwel amministrazzjoni tiegħu esibita b'mod ċar spirtu ġdid ġdid. Huwa ta wkoll ftit sinjali bikri"&amp;"ja ta 'direzzjoni ġdida u pożittiva fil-gvern ċentrali. Wieħed mill-proġetti ta 'suċċess tiegħu kien li jintemm l-istoriji uffiċjali staljati fit-tul tad-dinastiji ta' Liao, Jin, u Song, li eventwalment tlestew fl-1345. Madankollu, Toghtogha rriżenja mill"&amp;"-kariga tiegħu bl-approvazzjoni ta 'Toghun Temür, li mmarka t-tmiem tal-ewwel tiegħu Amministrazzjoni, u hu ma kienx imsejjaħ lura sal-1349.")</f>
        <v>Wara l-mewt ta 'Tugh Temür fl-1332 u l-mewt sussegwenti ta' Rinchinbal (Imperatur Ningzong) fl-istess sena, it-Togun Togür ta '13 -il sena (l-Imperatur Huizong), l-aħħar wieħed mid-disa 'suċċessuri ta' Kublai Khan, ġie mħarrek lura minn Guangxi u irnexxielu fit-tron. Wara l-mewt ta 'El Temür, Bayan sar uffiċjali daqshekk qawwi daqs El Temür kien ilu fil-bidu tar-renju twil tiegħu. Hekk kif Togun Temür kiber, huwa ġie biex ma japprovax ir-regola awtokratika ta 'Bayan. Fl-1340 huwa alleat lilu nnifsu man-neputi ta 'Bayan Toqto'a, li kien f'diskordja ma' Bayan, u mkeċċi lil Bayan mill-kolp ta 'stat. Bit-tkeċċija ta ’Bayan, Toghtogha ħatfet il-poter tal-qorti. L-ewwel amministrazzjoni tiegħu esibita b'mod ċar spirtu ġdid ġdid. Huwa ta wkoll ftit sinjali bikrija ta 'direzzjoni ġdida u pożittiva fil-gvern ċentrali. Wieħed mill-proġetti ta 'suċċess tiegħu kien li jintemm l-istoriji uffiċjali staljati fit-tul tad-dinastiji ta' Liao, Jin, u Song, li eventwalment tlestew fl-1345. Madankollu, Toghtogha rriżenja mill-kariga tiegħu bl-approvazzjoni ta 'Toghun Temür, li mmarka t-tmiem tal-ewwel tiegħu Amministrazzjoni, u hu ma kienx imsejjaħ lura sal-1349.</v>
      </c>
    </row>
    <row r="5803" ht="15.75" customHeight="1">
      <c r="A5803" s="2" t="s">
        <v>5803</v>
      </c>
      <c r="B5803" s="2" t="str">
        <f>IFERROR(__xludf.DUMMYFUNCTION("GOOGLETRANSLATE(A5803, ""en"", ""mt"")"),"Liema honoree MVP miet fl-2001?")</f>
        <v>Liema honoree MVP miet fl-2001?</v>
      </c>
    </row>
    <row r="5804" ht="15.75" customHeight="1">
      <c r="A5804" s="2" t="s">
        <v>5804</v>
      </c>
      <c r="B5804" s="2" t="str">
        <f>IFERROR(__xludf.DUMMYFUNCTION("GOOGLETRANSLATE(A5804, ""en"", ""mt"")"),"Strang")</f>
        <v>Strang</v>
      </c>
    </row>
    <row r="5805" ht="15.75" customHeight="1">
      <c r="A5805" s="2" t="s">
        <v>5805</v>
      </c>
      <c r="B5805" s="2" t="str">
        <f>IFERROR(__xludf.DUMMYFUNCTION("GOOGLETRANSLATE(A5805, ""en"", ""mt"")"),"Liberaliżmu Ewropew Kontinentali")</f>
        <v>Liberaliżmu Ewropew Kontinentali</v>
      </c>
    </row>
    <row r="5806" ht="15.75" customHeight="1">
      <c r="A5806" s="2" t="s">
        <v>5806</v>
      </c>
      <c r="B5806" s="2" t="str">
        <f>IFERROR(__xludf.DUMMYFUNCTION("GOOGLETRANSLATE(A5806, ""en"", ""mt"")"),"Kemm siti l-NFL naqas il-post tas-Super Bowl 50?")</f>
        <v>Kemm siti l-NFL naqas il-post tas-Super Bowl 50?</v>
      </c>
    </row>
    <row r="5807" ht="15.75" customHeight="1">
      <c r="A5807" s="2" t="s">
        <v>5807</v>
      </c>
      <c r="B5807" s="2" t="str">
        <f>IFERROR(__xludf.DUMMYFUNCTION("GOOGLETRANSLATE(A5807, ""en"", ""mt"")"),"Matul liema għaxar snin il-kampus beda jidher aktar modern?")</f>
        <v>Matul liema għaxar snin il-kampus beda jidher aktar modern?</v>
      </c>
    </row>
    <row r="5808" ht="15.75" customHeight="1">
      <c r="A5808" s="2" t="s">
        <v>5808</v>
      </c>
      <c r="B5808" s="2" t="str">
        <f>IFERROR(__xludf.DUMMYFUNCTION("GOOGLETRANSLATE(A5808, ""en"", ""mt"")"),"Il-Palazz Kronenberg kien eżempju eċċezzjonali ta 'liema tip ta' arkitettura?")</f>
        <v>Il-Palazz Kronenberg kien eżempju eċċezzjonali ta 'liema tip ta' arkitettura?</v>
      </c>
    </row>
    <row r="5809" ht="15.75" customHeight="1">
      <c r="A5809" s="2" t="s">
        <v>5809</v>
      </c>
      <c r="B5809" s="2" t="str">
        <f>IFERROR(__xludf.DUMMYFUNCTION("GOOGLETRANSLATE(A5809, ""en"", ""mt"")"),"Tracy Wolfson u Evan Washburn")</f>
        <v>Tracy Wolfson u Evan Washburn</v>
      </c>
    </row>
    <row r="5810" ht="15.75" customHeight="1">
      <c r="A5810" s="2" t="s">
        <v>5810</v>
      </c>
      <c r="B5810" s="2" t="str">
        <f>IFERROR(__xludf.DUMMYFUNCTION("GOOGLETRANSLATE(A5810, ""en"", ""mt"")"),"Għal xiex tfisser Fota?")</f>
        <v>Għal xiex tfisser Fota?</v>
      </c>
    </row>
    <row r="5811" ht="15.75" customHeight="1">
      <c r="A5811" s="2" t="s">
        <v>5811</v>
      </c>
      <c r="B5811" s="2" t="str">
        <f>IFERROR(__xludf.DUMMYFUNCTION("GOOGLETRANSLATE(A5811, ""en"", ""mt"")"),"Għaliex qed tuża O2 minflok CO2 inqas effiċjenti?")</f>
        <v>Għaliex qed tuża O2 minflok CO2 inqas effiċjenti?</v>
      </c>
    </row>
    <row r="5812" ht="15.75" customHeight="1">
      <c r="A5812" s="2" t="s">
        <v>5812</v>
      </c>
      <c r="B5812" s="2" t="str">
        <f>IFERROR(__xludf.DUMMYFUNCTION("GOOGLETRANSLATE(A5812, ""en"", ""mt"")"),"X'inhu l-isem tas-suppożizzjoni li hemm pari infiniti ta 'primes li d-differenza tagħhom hija 2?")</f>
        <v>X'inhu l-isem tas-suppożizzjoni li hemm pari infiniti ta 'primes li d-differenza tagħhom hija 2?</v>
      </c>
    </row>
    <row r="5813" ht="15.75" customHeight="1">
      <c r="A5813" s="2" t="s">
        <v>5813</v>
      </c>
      <c r="B5813" s="2" t="str">
        <f>IFERROR(__xludf.DUMMYFUNCTION("GOOGLETRANSLATE(A5813, ""en"", ""mt"")"),"115 ° F (46.1 ° C)")</f>
        <v>115 ° F (46.1 ° C)</v>
      </c>
    </row>
    <row r="5814" ht="15.75" customHeight="1">
      <c r="A5814" s="2" t="s">
        <v>5814</v>
      </c>
      <c r="B5814" s="2" t="str">
        <f>IFERROR(__xludf.DUMMYFUNCTION("GOOGLETRANSLATE(A5814, ""en"", ""mt"")"),"ċellola ewkarjotika bikrija")</f>
        <v>ċellola ewkarjotika bikrija</v>
      </c>
    </row>
    <row r="5815" ht="15.75" customHeight="1">
      <c r="A5815" s="2" t="s">
        <v>5815</v>
      </c>
      <c r="B5815" s="2" t="str">
        <f>IFERROR(__xludf.DUMMYFUNCTION("GOOGLETRANSLATE(A5815, ""en"", ""mt"")"),"P mhuwiex fattur ewlieni ta 'Q")</f>
        <v>P mhuwiex fattur ewlieni ta 'Q</v>
      </c>
    </row>
    <row r="5816" ht="15.75" customHeight="1">
      <c r="A5816" s="2" t="s">
        <v>5816</v>
      </c>
      <c r="B5816" s="2" t="str">
        <f>IFERROR(__xludf.DUMMYFUNCTION("GOOGLETRANSLATE(A5816, ""en"", ""mt"")"),"l-iktar żoni iżolati")</f>
        <v>l-iktar żoni iżolati</v>
      </c>
    </row>
    <row r="5817" ht="15.75" customHeight="1">
      <c r="A5817" s="2" t="s">
        <v>5817</v>
      </c>
      <c r="B5817" s="2" t="str">
        <f>IFERROR(__xludf.DUMMYFUNCTION("GOOGLETRANSLATE(A5817, ""en"", ""mt"")"),"Kemm huguenots inqatlu waqt din il-purga?")</f>
        <v>Kemm huguenots inqatlu waqt din il-purga?</v>
      </c>
    </row>
    <row r="5818" ht="15.75" customHeight="1">
      <c r="A5818" s="2" t="s">
        <v>5818</v>
      </c>
      <c r="B5818" s="2" t="str">
        <f>IFERROR(__xludf.DUMMYFUNCTION("GOOGLETRANSLATE(A5818, ""en"", ""mt"")"),"X'inhu jattira t-turisti lejn il-Kenja?")</f>
        <v>X'inhu jattira t-turisti lejn il-Kenja?</v>
      </c>
    </row>
    <row r="5819" ht="15.75" customHeight="1">
      <c r="A5819" s="2" t="s">
        <v>5819</v>
      </c>
      <c r="B5819" s="2" t="str">
        <f>IFERROR(__xludf.DUMMYFUNCTION("GOOGLETRANSLATE(A5819, ""en"", ""mt"")"),"Għalkemm is-seklu 21")</f>
        <v>Għalkemm is-seklu 21</v>
      </c>
    </row>
    <row r="5820" ht="15.75" customHeight="1">
      <c r="A5820" s="2" t="s">
        <v>5820</v>
      </c>
      <c r="B5820" s="2" t="str">
        <f>IFERROR(__xludf.DUMMYFUNCTION("GOOGLETRANSLATE(A5820, ""en"", ""mt"")"),"madwar $ 200 miljun")</f>
        <v>madwar $ 200 miljun</v>
      </c>
    </row>
    <row r="5821" ht="15.75" customHeight="1">
      <c r="A5821" s="2" t="s">
        <v>5821</v>
      </c>
      <c r="B5821" s="2" t="str">
        <f>IFERROR(__xludf.DUMMYFUNCTION("GOOGLETRANSLATE(A5821, ""en"", ""mt"")"),"Qawwa AC")</f>
        <v>Qawwa AC</v>
      </c>
    </row>
    <row r="5822" ht="15.75" customHeight="1">
      <c r="A5822" s="2" t="s">
        <v>5822</v>
      </c>
      <c r="B5822" s="2" t="str">
        <f>IFERROR(__xludf.DUMMYFUNCTION("GOOGLETRANSLATE(A5822, ""en"", ""mt"")"),"Tugh Temür")</f>
        <v>Tugh Temür</v>
      </c>
    </row>
    <row r="5823" ht="15.75" customHeight="1">
      <c r="A5823" s="2" t="s">
        <v>5823</v>
      </c>
      <c r="B5823" s="2" t="str">
        <f>IFERROR(__xludf.DUMMYFUNCTION("GOOGLETRANSLATE(A5823, ""en"", ""mt"")"),"Università ta ’Newcastle")</f>
        <v>Università ta ’Newcastle</v>
      </c>
    </row>
    <row r="5824" ht="15.75" customHeight="1">
      <c r="A5824" s="2" t="s">
        <v>5824</v>
      </c>
      <c r="B5824" s="2" t="str">
        <f>IFERROR(__xludf.DUMMYFUNCTION("GOOGLETRANSLATE(A5824, ""en"", ""mt"")"),"rata tat-taxxa")</f>
        <v>rata tat-taxxa</v>
      </c>
    </row>
    <row r="5825" ht="15.75" customHeight="1">
      <c r="A5825" s="2" t="s">
        <v>5825</v>
      </c>
      <c r="B5825" s="2" t="str">
        <f>IFERROR(__xludf.DUMMYFUNCTION("GOOGLETRANSLATE(A5825, ""en"", ""mt"")"),"belt")</f>
        <v>belt</v>
      </c>
    </row>
    <row r="5826" ht="15.75" customHeight="1">
      <c r="A5826" s="2" t="s">
        <v>5826</v>
      </c>
      <c r="B5826" s="2" t="str">
        <f>IFERROR(__xludf.DUMMYFUNCTION("GOOGLETRANSLATE(A5826, ""en"", ""mt"")"),"X'kien l-ewwel netwerk tal-internet2 imsemmi")</f>
        <v>X'kien l-ewwel netwerk tal-internet2 imsemmi</v>
      </c>
    </row>
    <row r="5827" ht="15.75" customHeight="1">
      <c r="A5827" s="2" t="s">
        <v>5827</v>
      </c>
      <c r="B5827" s="2" t="str">
        <f>IFERROR(__xludf.DUMMYFUNCTION("GOOGLETRANSLATE(A5827, ""en"", ""mt"")"),"Uħud mill-kollezzjoni tal-mużew tal-kaxex Koreani huma intarsjati ma 'liema oġġetti?")</f>
        <v>Uħud mill-kollezzjoni tal-mużew tal-kaxex Koreani huma intarsjati ma 'liema oġġetti?</v>
      </c>
    </row>
    <row r="5828" ht="15.75" customHeight="1">
      <c r="A5828" s="2" t="s">
        <v>5828</v>
      </c>
      <c r="B5828" s="2" t="str">
        <f>IFERROR(__xludf.DUMMYFUNCTION("GOOGLETRANSLATE(A5828, ""en"", ""mt"")"),"konvezzjoni tal-mantell")</f>
        <v>konvezzjoni tal-mantell</v>
      </c>
    </row>
    <row r="5829" ht="15.75" customHeight="1">
      <c r="A5829" s="2" t="s">
        <v>5829</v>
      </c>
      <c r="B5829" s="2" t="str">
        <f>IFERROR(__xludf.DUMMYFUNCTION("GOOGLETRANSLATE(A5829, ""en"", ""mt"")"),"Il-kjostru iswed")</f>
        <v>Il-kjostru iswed</v>
      </c>
    </row>
    <row r="5830" ht="15.75" customHeight="1">
      <c r="A5830" s="2" t="s">
        <v>5830</v>
      </c>
      <c r="B5830" s="2" t="str">
        <f>IFERROR(__xludf.DUMMYFUNCTION("GOOGLETRANSLATE(A5830, ""en"", ""mt"")"),"Operazzjoni ewlenija waħda")</f>
        <v>Operazzjoni ewlenija waħda</v>
      </c>
    </row>
    <row r="5831" ht="15.75" customHeight="1">
      <c r="A5831" s="2" t="s">
        <v>5831</v>
      </c>
      <c r="B5831" s="2" t="str">
        <f>IFERROR(__xludf.DUMMYFUNCTION("GOOGLETRANSLATE(A5831, ""en"", ""mt"")"),"intransigenza notorja")</f>
        <v>intransigenza notorja</v>
      </c>
    </row>
    <row r="5832" ht="15.75" customHeight="1">
      <c r="A5832" s="2" t="s">
        <v>5832</v>
      </c>
      <c r="B5832" s="2" t="str">
        <f>IFERROR(__xludf.DUMMYFUNCTION("GOOGLETRANSLATE(A5832, ""en"", ""mt"")"),"Id-Dongshan Dafo Dian")</f>
        <v>Id-Dongshan Dafo Dian</v>
      </c>
    </row>
    <row r="5833" ht="15.75" customHeight="1">
      <c r="A5833" s="2" t="s">
        <v>5833</v>
      </c>
      <c r="B5833" s="2" t="str">
        <f>IFERROR(__xludf.DUMMYFUNCTION("GOOGLETRANSLATE(A5833, ""en"", ""mt"")"),"Ċentru tat-Televiżjoni ABC, Lvant")</f>
        <v>Ċentru tat-Televiżjoni ABC, Lvant</v>
      </c>
    </row>
    <row r="5834" ht="15.75" customHeight="1">
      <c r="A5834" s="2" t="s">
        <v>5834</v>
      </c>
      <c r="B5834" s="2" t="str">
        <f>IFERROR(__xludf.DUMMYFUNCTION("GOOGLETRANSLATE(A5834, ""en"", ""mt"")"),"X'inhu sport li qed jikber fin-Nofsinhar tal-Kalifornja?")</f>
        <v>X'inhu sport li qed jikber fin-Nofsinhar tal-Kalifornja?</v>
      </c>
    </row>
    <row r="5835" ht="15.75" customHeight="1">
      <c r="A5835" s="2" t="s">
        <v>5835</v>
      </c>
      <c r="B5835" s="2" t="str">
        <f>IFERROR(__xludf.DUMMYFUNCTION("GOOGLETRANSLATE(A5835, ""en"", ""mt"")"),"leġittimità ta 'liġi partikolari")</f>
        <v>leġittimità ta 'liġi partikolari</v>
      </c>
    </row>
    <row r="5836" ht="15.75" customHeight="1">
      <c r="A5836" s="2" t="s">
        <v>5836</v>
      </c>
      <c r="B5836" s="2" t="str">
        <f>IFERROR(__xludf.DUMMYFUNCTION("GOOGLETRANSLATE(A5836, ""en"", ""mt"")"),"Xi jfittex il-prinċipju utilitarju għall-akbar numru ta 'nies?")</f>
        <v>Xi jfittex il-prinċipju utilitarju għall-akbar numru ta 'nies?</v>
      </c>
    </row>
    <row r="5837" ht="15.75" customHeight="1">
      <c r="A5837" s="2" t="s">
        <v>5837</v>
      </c>
      <c r="B5837" s="2" t="str">
        <f>IFERROR(__xludf.DUMMYFUNCTION("GOOGLETRANSLATE(A5837, ""en"", ""mt"")"),"Seklu 17")</f>
        <v>Seklu 17</v>
      </c>
    </row>
    <row r="5838" ht="15.75" customHeight="1">
      <c r="A5838" s="2" t="s">
        <v>5838</v>
      </c>
      <c r="B5838" s="2" t="str">
        <f>IFERROR(__xludf.DUMMYFUNCTION("GOOGLETRANSLATE(A5838, ""en"", ""mt"")"),"X’inhu promossi t-tkabbir tal-mnemiposis fil-Baħar l-Iswed?")</f>
        <v>X’inhu promossi t-tkabbir tal-mnemiposis fil-Baħar l-Iswed?</v>
      </c>
    </row>
    <row r="5839" ht="15.75" customHeight="1">
      <c r="A5839" s="2" t="s">
        <v>5839</v>
      </c>
      <c r="B5839" s="2" t="str">
        <f>IFERROR(__xludf.DUMMYFUNCTION("GOOGLETRANSLATE(A5839, ""en"", ""mt"")"),"Luther imiss l-imġieba dwar it-treġġigħ lura jew il-modifika tal-prattiki l-ġodda tal-knisja. Billi jaħdem flimkien mal-awtoritajiet biex jirrestawra l-ordni pubbliku, huwa ta sinjal mill-ġdid tiegħu bħala forza konservattiva fir-riforma. Wara li pprojbix"&amp;"xa l-profeti ta 'Zwickau, issa ffaċċja battalja kontra mhux biss il-knisja stabbilita iżda wkoll ir-riformaturi radikali li heddew l-ordni l-ġdida billi jitrabbew l-inkwiet soċjali u l-vjolenza.")</f>
        <v>Luther imiss l-imġieba dwar it-treġġigħ lura jew il-modifika tal-prattiki l-ġodda tal-knisja. Billi jaħdem flimkien mal-awtoritajiet biex jirrestawra l-ordni pubbliku, huwa ta sinjal mill-ġdid tiegħu bħala forza konservattiva fir-riforma. Wara li pprojbixxa l-profeti ta 'Zwickau, issa ffaċċja battalja kontra mhux biss il-knisja stabbilita iżda wkoll ir-riformaturi radikali li heddew l-ordni l-ġdida billi jitrabbew l-inkwiet soċjali u l-vjolenza.</v>
      </c>
    </row>
    <row r="5840" ht="15.75" customHeight="1">
      <c r="A5840" s="2" t="s">
        <v>5840</v>
      </c>
      <c r="B5840" s="2" t="str">
        <f>IFERROR(__xludf.DUMMYFUNCTION("GOOGLETRANSLATE(A5840, ""en"", ""mt"")"),"Pjattaforma bis-satellita")</f>
        <v>Pjattaforma bis-satellita</v>
      </c>
    </row>
    <row r="5841" ht="15.75" customHeight="1">
      <c r="A5841" s="2" t="s">
        <v>5841</v>
      </c>
      <c r="B5841" s="2" t="str">
        <f>IFERROR(__xludf.DUMMYFUNCTION("GOOGLETRANSLATE(A5841, ""en"", ""mt"")"),"Varsavja Università tal-Bini tat-Teknoloġija")</f>
        <v>Varsavja Università tal-Bini tat-Teknoloġija</v>
      </c>
    </row>
    <row r="5842" ht="15.75" customHeight="1">
      <c r="A5842" s="2" t="s">
        <v>5842</v>
      </c>
      <c r="B5842" s="2" t="str">
        <f>IFERROR(__xludf.DUMMYFUNCTION("GOOGLETRANSLATE(A5842, ""en"", ""mt"")"),"16 ta 'Ottubru, 1973,")</f>
        <v>16 ta 'Ottubru, 1973,</v>
      </c>
    </row>
    <row r="5843" ht="15.75" customHeight="1">
      <c r="A5843" s="2" t="s">
        <v>5843</v>
      </c>
      <c r="B5843" s="2" t="str">
        <f>IFERROR(__xludf.DUMMYFUNCTION("GOOGLETRANSLATE(A5843, ""en"", ""mt"")"),"folla barra")</f>
        <v>folla barra</v>
      </c>
    </row>
    <row r="5844" ht="15.75" customHeight="1">
      <c r="A5844" s="2" t="s">
        <v>5844</v>
      </c>
      <c r="B5844" s="2" t="str">
        <f>IFERROR(__xludf.DUMMYFUNCTION("GOOGLETRANSLATE(A5844, ""en"", ""mt"")"),"Meta seħħew l-ewwel eżempji ta 'diżubbidjenza ċivili kollha kemm hi?")</f>
        <v>Meta seħħew l-ewwel eżempji ta 'diżubbidjenza ċivili kollha kemm hi?</v>
      </c>
    </row>
    <row r="5845" ht="15.75" customHeight="1">
      <c r="A5845" s="2" t="s">
        <v>5845</v>
      </c>
      <c r="B5845" s="2" t="str">
        <f>IFERROR(__xludf.DUMMYFUNCTION("GOOGLETRANSLATE(A5845, ""en"", ""mt"")"),"X'inhu l-isem tal-belt tal-port li nħolqot?")</f>
        <v>X'inhu l-isem tal-belt tal-port li nħolqot?</v>
      </c>
    </row>
    <row r="5846" ht="15.75" customHeight="1">
      <c r="A5846" s="2" t="s">
        <v>5846</v>
      </c>
      <c r="B5846" s="2" t="str">
        <f>IFERROR(__xludf.DUMMYFUNCTION("GOOGLETRANSLATE(A5846, ""en"", ""mt"")"),"Jitlob mhux ħati")</f>
        <v>Jitlob mhux ħati</v>
      </c>
    </row>
    <row r="5847" ht="15.75" customHeight="1">
      <c r="A5847" s="2" t="s">
        <v>5847</v>
      </c>
      <c r="B5847" s="2" t="str">
        <f>IFERROR(__xludf.DUMMYFUNCTION("GOOGLETRANSLATE(A5847, ""en"", ""mt"")"),"1-3 μm")</f>
        <v>1-3 μm</v>
      </c>
    </row>
    <row r="5848" ht="15.75" customHeight="1">
      <c r="A5848" s="2" t="s">
        <v>5848</v>
      </c>
      <c r="B5848" s="2" t="str">
        <f>IFERROR(__xludf.DUMMYFUNCTION("GOOGLETRANSLATE(A5848, ""en"", ""mt"")"),"X'inhu l-isem uffiċjali tad-dinastija Yuan?")</f>
        <v>X'inhu l-isem uffiċjali tad-dinastija Yuan?</v>
      </c>
    </row>
    <row r="5849" ht="15.75" customHeight="1">
      <c r="A5849" s="2" t="s">
        <v>5849</v>
      </c>
      <c r="B5849" s="2" t="str">
        <f>IFERROR(__xludf.DUMMYFUNCTION("GOOGLETRANSLATE(A5849, ""en"", ""mt"")"),"Il-kunflitt huwa magħruf b'ismijiet multipli. Fl-Amerika Ingliża, il-gwerer spiss kienu msejħa wara l-monarka Brittanika seduta, bħall-gwerra tar-Re William jew il-gwerra tar-Reġina Anne. Peress li diġà kien hemm il-gwerra tar-Re Ġorġ fl-1740s, il-kolonis"&amp;"ti Ingliżi semmew it-tieni gwerra fir-renju tar-Re Ġorġ wara l-avversarji tagħhom, u saret magħrufa bħala l-Gwerra Franċiża u Indjana. Dan l-isem tradizzjonali jkompli bħala l-istandard fl-Istati Uniti, iżda joskura l-fatt li l-Indjani ġġieldu fuq iż-żewġ"&amp;" naħat tal-kunflitt, u li dan kien parti mill-gwerra tas-seba 'snin, kunflitt ferm akbar bejn Franza u l-Gran Brittanja. L-istoriċi Amerikani ġeneralment jużaw l-isem tradizzjonali jew xi kultant il-gwerra tas-seba ’snin. Ismijiet oħra, inqas użati għall-"&amp;"gwerra jinkludu r-raba 'gwerra interkolonjali u l-gwerra kbira għall-imperu.")</f>
        <v>Il-kunflitt huwa magħruf b'ismijiet multipli. Fl-Amerika Ingliża, il-gwerer spiss kienu msejħa wara l-monarka Brittanika seduta, bħall-gwerra tar-Re William jew il-gwerra tar-Reġina Anne. Peress li diġà kien hemm il-gwerra tar-Re Ġorġ fl-1740s, il-kolonisti Ingliżi semmew it-tieni gwerra fir-renju tar-Re Ġorġ wara l-avversarji tagħhom, u saret magħrufa bħala l-Gwerra Franċiża u Indjana. Dan l-isem tradizzjonali jkompli bħala l-istandard fl-Istati Uniti, iżda joskura l-fatt li l-Indjani ġġieldu fuq iż-żewġ naħat tal-kunflitt, u li dan kien parti mill-gwerra tas-seba 'snin, kunflitt ferm akbar bejn Franza u l-Gran Brittanja. L-istoriċi Amerikani ġeneralment jużaw l-isem tradizzjonali jew xi kultant il-gwerra tas-seba ’snin. Ismijiet oħra, inqas użati għall-gwerra jinkludu r-raba 'gwerra interkolonjali u l-gwerra kbira għall-imperu.</v>
      </c>
    </row>
    <row r="5850" ht="15.75" customHeight="1">
      <c r="A5850" s="2" t="s">
        <v>5850</v>
      </c>
      <c r="B5850" s="2" t="str">
        <f>IFERROR(__xludf.DUMMYFUNCTION("GOOGLETRANSLATE(A5850, ""en"", ""mt"")"),"Huma kellhom il-pajjiż ta 'Ohio u li kienu jinnegozjaw mal-Ingliżi irrispettivament mill-Franċiżi")</f>
        <v>Huma kellhom il-pajjiż ta 'Ohio u li kienu jinnegozjaw mal-Ingliżi irrispettivament mill-Franċiżi</v>
      </c>
    </row>
    <row r="5851" ht="15.75" customHeight="1">
      <c r="A5851" s="2" t="s">
        <v>5851</v>
      </c>
      <c r="B5851" s="2" t="str">
        <f>IFERROR(__xludf.DUMMYFUNCTION("GOOGLETRANSLATE(A5851, ""en"", ""mt"")"),"Epoka Pleistocene")</f>
        <v>Epoka Pleistocene</v>
      </c>
    </row>
    <row r="5852" ht="15.75" customHeight="1">
      <c r="A5852" s="2" t="s">
        <v>5852</v>
      </c>
      <c r="B5852" s="2" t="str">
        <f>IFERROR(__xludf.DUMMYFUNCTION("GOOGLETRANSLATE(A5852, ""en"", ""mt"")"),"it-tribujiet Mongoljani u Turkiċi")</f>
        <v>it-tribujiet Mongoljani u Turkiċi</v>
      </c>
    </row>
    <row r="5853" ht="15.75" customHeight="1">
      <c r="A5853" s="2" t="s">
        <v>5853</v>
      </c>
      <c r="B5853" s="2" t="str">
        <f>IFERROR(__xludf.DUMMYFUNCTION("GOOGLETRANSLATE(A5853, ""en"", ""mt"")"),"1909")</f>
        <v>1909</v>
      </c>
    </row>
    <row r="5854" ht="15.75" customHeight="1">
      <c r="A5854" s="2" t="s">
        <v>5854</v>
      </c>
      <c r="B5854" s="2" t="str">
        <f>IFERROR(__xludf.DUMMYFUNCTION("GOOGLETRANSLATE(A5854, ""en"", ""mt"")"),"Il-pakketti jistgħu jitwasslu skont skema ta 'aċċess multipli")</f>
        <v>Il-pakketti jistgħu jitwasslu skont skema ta 'aċċess multipli</v>
      </c>
    </row>
    <row r="5855" ht="15.75" customHeight="1">
      <c r="A5855" s="2" t="s">
        <v>5855</v>
      </c>
      <c r="B5855" s="2" t="str">
        <f>IFERROR(__xludf.DUMMYFUNCTION("GOOGLETRANSLATE(A5855, ""en"", ""mt"")"),"Agricola")</f>
        <v>Agricola</v>
      </c>
    </row>
    <row r="5856" ht="15.75" customHeight="1">
      <c r="A5856" s="2" t="s">
        <v>5856</v>
      </c>
      <c r="B5856" s="2" t="str">
        <f>IFERROR(__xludf.DUMMYFUNCTION("GOOGLETRANSLATE(A5856, ""en"", ""mt"")"),"Passi tad-Dar Harambee ta 'Nairobi")</f>
        <v>Passi tad-Dar Harambee ta 'Nairobi</v>
      </c>
    </row>
    <row r="5857" ht="15.75" customHeight="1">
      <c r="A5857" s="2" t="s">
        <v>5857</v>
      </c>
      <c r="B5857" s="2" t="str">
        <f>IFERROR(__xludf.DUMMYFUNCTION("GOOGLETRANSLATE(A5857, ""en"", ""mt"")"),"X'inhi l-unika forma ta 'enerġija kinetika li tista' tinbidel?")</f>
        <v>X'inhi l-unika forma ta 'enerġija kinetika li tista' tinbidel?</v>
      </c>
    </row>
    <row r="5858" ht="15.75" customHeight="1">
      <c r="A5858" s="2" t="s">
        <v>5858</v>
      </c>
      <c r="B5858" s="2" t="str">
        <f>IFERROR(__xludf.DUMMYFUNCTION("GOOGLETRANSLATE(A5858, ""en"", ""mt"")"),"F'liema logħba Thomas Davis qal li se jilgħab fih, minkejja li kiser għadam aktar kmieni?")</f>
        <v>F'liema logħba Thomas Davis qal li se jilgħab fih, minkejja li kiser għadam aktar kmieni?</v>
      </c>
    </row>
    <row r="5859" ht="15.75" customHeight="1">
      <c r="A5859" s="2" t="s">
        <v>5859</v>
      </c>
      <c r="B5859" s="2" t="str">
        <f>IFERROR(__xludf.DUMMYFUNCTION("GOOGLETRANSLATE(A5859, ""en"", ""mt"")"),"Sayyid Abul Ala Maududi")</f>
        <v>Sayyid Abul Ala Maududi</v>
      </c>
    </row>
    <row r="5860" ht="15.75" customHeight="1">
      <c r="A5860" s="2" t="s">
        <v>5860</v>
      </c>
      <c r="B5860" s="2" t="str">
        <f>IFERROR(__xludf.DUMMYFUNCTION("GOOGLETRANSLATE(A5860, ""en"", ""mt"")"),"Kemm horsepower kellha t-turbina bla xkiel ta 'Tesla?")</f>
        <v>Kemm horsepower kellha t-turbina bla xkiel ta 'Tesla?</v>
      </c>
    </row>
    <row r="5861" ht="15.75" customHeight="1">
      <c r="A5861" s="2" t="s">
        <v>5861</v>
      </c>
      <c r="B5861" s="2" t="str">
        <f>IFERROR(__xludf.DUMMYFUNCTION("GOOGLETRANSLATE(A5861, ""en"", ""mt"")"),"madwar 300")</f>
        <v>madwar 300</v>
      </c>
    </row>
    <row r="5862" ht="15.75" customHeight="1">
      <c r="A5862" s="2" t="s">
        <v>5862</v>
      </c>
      <c r="B5862" s="2" t="str">
        <f>IFERROR(__xludf.DUMMYFUNCTION("GOOGLETRANSLATE(A5862, ""en"", ""mt"")"),"aktar minn madwar 1015 Kelvins")</f>
        <v>aktar minn madwar 1015 Kelvins</v>
      </c>
    </row>
    <row r="5863" ht="15.75" customHeight="1">
      <c r="A5863" s="2" t="s">
        <v>5863</v>
      </c>
      <c r="B5863" s="2" t="str">
        <f>IFERROR(__xludf.DUMMYFUNCTION("GOOGLETRANSLATE(A5863, ""en"", ""mt"")"),"Kif skorja Denver fi tmiem is-sewqan?")</f>
        <v>Kif skorja Denver fi tmiem is-sewqan?</v>
      </c>
    </row>
    <row r="5864" ht="15.75" customHeight="1">
      <c r="A5864" s="2" t="s">
        <v>5864</v>
      </c>
      <c r="B5864" s="2" t="str">
        <f>IFERROR(__xludf.DUMMYFUNCTION("GOOGLETRANSLATE(A5864, ""en"", ""mt"")"),"Liema tim ġie sospiż mill-MLS?")</f>
        <v>Liema tim ġie sospiż mill-MLS?</v>
      </c>
    </row>
    <row r="5865" ht="15.75" customHeight="1">
      <c r="A5865" s="2" t="s">
        <v>5865</v>
      </c>
      <c r="B5865" s="2" t="str">
        <f>IFERROR(__xludf.DUMMYFUNCTION("GOOGLETRANSLATE(A5865, ""en"", ""mt"")"),"Ġestjoni fqira, diviżjonijiet interni, u scouts Kanadiżi effettivi")</f>
        <v>Ġestjoni fqira, diviżjonijiet interni, u scouts Kanadiżi effettivi</v>
      </c>
    </row>
    <row r="5866" ht="15.75" customHeight="1">
      <c r="A5866" s="2" t="s">
        <v>5866</v>
      </c>
      <c r="B5866" s="2" t="str">
        <f>IFERROR(__xludf.DUMMYFUNCTION("GOOGLETRANSLATE(A5866, ""en"", ""mt"")"),"30 sa 50 elf")</f>
        <v>30 sa 50 elf</v>
      </c>
    </row>
    <row r="5867" ht="15.75" customHeight="1">
      <c r="A5867" s="2" t="s">
        <v>5867</v>
      </c>
      <c r="B5867" s="2" t="str">
        <f>IFERROR(__xludf.DUMMYFUNCTION("GOOGLETRANSLATE(A5867, ""en"", ""mt"")"),"Iċ-Ċina, il-Ġappun u l-Korea")</f>
        <v>Iċ-Ċina, il-Ġappun u l-Korea</v>
      </c>
    </row>
    <row r="5868" ht="15.75" customHeight="1">
      <c r="A5868" s="2" t="s">
        <v>5868</v>
      </c>
      <c r="B5868" s="2" t="str">
        <f>IFERROR(__xludf.DUMMYFUNCTION("GOOGLETRANSLATE(A5868, ""en"", ""mt"")"),"L-ewwel seklu AD għall-preżent")</f>
        <v>L-ewwel seklu AD għall-preżent</v>
      </c>
    </row>
    <row r="5869" ht="15.75" customHeight="1">
      <c r="A5869" s="2" t="s">
        <v>5869</v>
      </c>
      <c r="B5869" s="2" t="str">
        <f>IFERROR(__xludf.DUMMYFUNCTION("GOOGLETRANSLATE(A5869, ""en"", ""mt"")"),"ir-riżultanti (imsejħa wkoll il-forza netta)")</f>
        <v>ir-riżultanti (imsejħa wkoll il-forza netta)</v>
      </c>
    </row>
    <row r="5870" ht="15.75" customHeight="1">
      <c r="A5870" s="2" t="s">
        <v>5870</v>
      </c>
      <c r="B5870" s="2" t="str">
        <f>IFERROR(__xludf.DUMMYFUNCTION("GOOGLETRANSLATE(A5870, ""en"", ""mt"")"),"Liema prodott ġdid introduċa l-Bank of America fl-1958?")</f>
        <v>Liema prodott ġdid introduċa l-Bank of America fl-1958?</v>
      </c>
    </row>
    <row r="5871" ht="15.75" customHeight="1">
      <c r="A5871" s="2" t="s">
        <v>5871</v>
      </c>
      <c r="B5871" s="2" t="str">
        <f>IFERROR(__xludf.DUMMYFUNCTION("GOOGLETRANSLATE(A5871, ""en"", ""mt"")"),"jaqbad tliet negozjanti u joqtol 14-il persuna")</f>
        <v>jaqbad tliet negozjanti u joqtol 14-il persuna</v>
      </c>
    </row>
    <row r="5872" ht="15.75" customHeight="1">
      <c r="A5872" s="2" t="s">
        <v>5872</v>
      </c>
      <c r="B5872" s="2" t="str">
        <f>IFERROR(__xludf.DUMMYFUNCTION("GOOGLETRANSLATE(A5872, ""en"", ""mt"")"),"Canterbury")</f>
        <v>Canterbury</v>
      </c>
    </row>
    <row r="5873" ht="15.75" customHeight="1">
      <c r="A5873" s="2" t="s">
        <v>5873</v>
      </c>
      <c r="B5873" s="2" t="str">
        <f>IFERROR(__xludf.DUMMYFUNCTION("GOOGLETRANSLATE(A5873, ""en"", ""mt"")"),"Liema premjijiet juru d-drittijiet tagħha mdawra fost l-erba 'netwerks ewlenin fuq bażi ta' kull sena?")</f>
        <v>Liema premjijiet juru d-drittijiet tagħha mdawra fost l-erba 'netwerks ewlenin fuq bażi ta' kull sena?</v>
      </c>
    </row>
    <row r="5874" ht="15.75" customHeight="1">
      <c r="A5874" s="2" t="s">
        <v>5874</v>
      </c>
      <c r="B5874" s="2" t="str">
        <f>IFERROR(__xludf.DUMMYFUNCTION("GOOGLETRANSLATE(A5874, ""en"", ""mt"")"),"Liema ġurnalist kiteb artiklu li jiddefendi tabib min?")</f>
        <v>Liema ġurnalist kiteb artiklu li jiddefendi tabib min?</v>
      </c>
    </row>
    <row r="5875" ht="15.75" customHeight="1">
      <c r="A5875" s="2" t="s">
        <v>5875</v>
      </c>
      <c r="B5875" s="2" t="str">
        <f>IFERROR(__xludf.DUMMYFUNCTION("GOOGLETRANSLATE(A5875, ""en"", ""mt"")"),"X'kienet l-ewwel stampa rilaxxata minn ABC Pictures?")</f>
        <v>X'kienet l-ewwel stampa rilaxxata minn ABC Pictures?</v>
      </c>
    </row>
    <row r="5876" ht="15.75" customHeight="1">
      <c r="A5876" s="2" t="s">
        <v>5876</v>
      </c>
      <c r="B5876" s="2" t="str">
        <f>IFERROR(__xludf.DUMMYFUNCTION("GOOGLETRANSLATE(A5876, ""en"", ""mt"")"),"X'inhu l-akbar tip ta 'kondotta ħażina li qed tiġi riveduta mill-midja?")</f>
        <v>X'inhu l-akbar tip ta 'kondotta ħażina li qed tiġi riveduta mill-midja?</v>
      </c>
    </row>
    <row r="5877" ht="15.75" customHeight="1">
      <c r="A5877" s="2" t="s">
        <v>5877</v>
      </c>
      <c r="B5877" s="2" t="str">
        <f>IFERROR(__xludf.DUMMYFUNCTION("GOOGLETRANSLATE(A5877, ""en"", ""mt"")"),"magni ta 'espansjoni tripla tal-baħar")</f>
        <v>magni ta 'espansjoni tripla tal-baħar</v>
      </c>
    </row>
    <row r="5878" ht="15.75" customHeight="1">
      <c r="A5878" s="2" t="s">
        <v>5878</v>
      </c>
      <c r="B5878" s="2" t="str">
        <f>IFERROR(__xludf.DUMMYFUNCTION("GOOGLETRANSLATE(A5878, ""en"", ""mt"")"),"Lulju 2013")</f>
        <v>Lulju 2013</v>
      </c>
    </row>
    <row r="5879" ht="15.75" customHeight="1">
      <c r="A5879" s="2" t="s">
        <v>5879</v>
      </c>
      <c r="B5879" s="2" t="str">
        <f>IFERROR(__xludf.DUMMYFUNCTION("GOOGLETRANSLATE(A5879, ""en"", ""mt"")"),"it-tarf oppost minn ħalq")</f>
        <v>it-tarf oppost minn ħalq</v>
      </c>
    </row>
    <row r="5880" ht="15.75" customHeight="1">
      <c r="A5880" s="2" t="s">
        <v>5880</v>
      </c>
      <c r="B5880" s="2" t="str">
        <f>IFERROR(__xludf.DUMMYFUNCTION("GOOGLETRANSLATE(A5880, ""en"", ""mt"")"),"Dan il-kunċett jikkuntrasta u jikkontradixxi l-prinċipji stabbiliti minn qabel ta 'allokazzjoni minn qabel ta' bandwidth tan-netwerk")</f>
        <v>Dan il-kunċett jikkuntrasta u jikkontradixxi l-prinċipji stabbiliti minn qabel ta 'allokazzjoni minn qabel ta' bandwidth tan-netwerk</v>
      </c>
    </row>
    <row r="5881" ht="15.75" customHeight="1">
      <c r="A5881" s="2" t="s">
        <v>5881</v>
      </c>
      <c r="B5881" s="2" t="str">
        <f>IFERROR(__xludf.DUMMYFUNCTION("GOOGLETRANSLATE(A5881, ""en"", ""mt"")"),"Il-ħin tat-tabib")</f>
        <v>Il-ħin tat-tabib</v>
      </c>
    </row>
    <row r="5882" ht="15.75" customHeight="1">
      <c r="A5882" s="2" t="s">
        <v>5882</v>
      </c>
      <c r="B5882" s="2" t="str">
        <f>IFERROR(__xludf.DUMMYFUNCTION("GOOGLETRANSLATE(A5882, ""en"", ""mt"")"),"Ċentru tat-Televiżjoni ABC")</f>
        <v>Ċentru tat-Televiżjoni ABC</v>
      </c>
    </row>
    <row r="5883" ht="15.75" customHeight="1">
      <c r="A5883" s="2" t="s">
        <v>5883</v>
      </c>
      <c r="B5883" s="2" t="str">
        <f>IFERROR(__xludf.DUMMYFUNCTION("GOOGLETRANSLATE(A5883, ""en"", ""mt"")"),"Osama bin Laden")</f>
        <v>Osama bin Laden</v>
      </c>
    </row>
    <row r="5884" ht="15.75" customHeight="1">
      <c r="A5884" s="2" t="s">
        <v>5884</v>
      </c>
      <c r="B5884" s="2" t="str">
        <f>IFERROR(__xludf.DUMMYFUNCTION("GOOGLETRANSLATE(A5884, ""en"", ""mt"")"),"Migrazzjoni u Urbanizzazzjoni")</f>
        <v>Migrazzjoni u Urbanizzazzjoni</v>
      </c>
    </row>
    <row r="5885" ht="15.75" customHeight="1">
      <c r="A5885" s="2" t="s">
        <v>5885</v>
      </c>
      <c r="B5885" s="2" t="str">
        <f>IFERROR(__xludf.DUMMYFUNCTION("GOOGLETRANSLATE(A5885, ""en"", ""mt"")"),"Liema materjali tal-bini intużaw biex tinbena l-faċċata ewlenija?")</f>
        <v>Liema materjali tal-bini intużaw biex tinbena l-faċċata ewlenija?</v>
      </c>
    </row>
    <row r="5886" ht="15.75" customHeight="1">
      <c r="A5886" s="2" t="s">
        <v>5886</v>
      </c>
      <c r="B5886" s="2" t="str">
        <f>IFERROR(__xludf.DUMMYFUNCTION("GOOGLETRANSLATE(A5886, ""en"", ""mt"")"),"Kanzunetta")</f>
        <v>Kanzunetta</v>
      </c>
    </row>
    <row r="5887" ht="15.75" customHeight="1">
      <c r="A5887" s="2" t="s">
        <v>5887</v>
      </c>
      <c r="B5887" s="2" t="str">
        <f>IFERROR(__xludf.DUMMYFUNCTION("GOOGLETRANSLATE(A5887, ""en"", ""mt"")"),"1970")</f>
        <v>1970</v>
      </c>
    </row>
    <row r="5888" ht="15.75" customHeight="1">
      <c r="A5888" s="2" t="s">
        <v>5888</v>
      </c>
      <c r="B5888" s="2" t="str">
        <f>IFERROR(__xludf.DUMMYFUNCTION("GOOGLETRANSLATE(A5888, ""en"", ""mt"")"),"Kien hemm eżenzjonijiet mit-taxxa għal figuri reliġjużi u, sa ċertu punt, għalliema u tobba. L-Imperu Mongoljan ipprattika t-tolleranza reliġjuża minħabba li t-tradizzjoni Mongoljana kienet ilha li r-reliġjon kienet kunċett personali, u mhux soġġetta għal"&amp;"-liġi jew interferenza. [Ċitazzjoni meħtieġa] xi żmien qabel iż-żieda ta 'Genghis Khan, Ong Khan, il-mentor tiegħu u r-rivali eventwali, kienu kkonvertew lill-Kristjaneżmu Nestorjan. Diversi tribujiet tal-Mongolja kienu xamanisti, Buddisti jew Kristjani. "&amp;"It-tolleranza reliġjuża kienet għalhekk kunċett stabbilit sew fuq l-isteppa Asjatika.")</f>
        <v>Kien hemm eżenzjonijiet mit-taxxa għal figuri reliġjużi u, sa ċertu punt, għalliema u tobba. L-Imperu Mongoljan ipprattika t-tolleranza reliġjuża minħabba li t-tradizzjoni Mongoljana kienet ilha li r-reliġjon kienet kunċett personali, u mhux soġġetta għal-liġi jew interferenza. [Ċitazzjoni meħtieġa] xi żmien qabel iż-żieda ta 'Genghis Khan, Ong Khan, il-mentor tiegħu u r-rivali eventwali, kienu kkonvertew lill-Kristjaneżmu Nestorjan. Diversi tribujiet tal-Mongolja kienu xamanisti, Buddisti jew Kristjani. It-tolleranza reliġjuża kienet għalhekk kunċett stabbilit sew fuq l-isteppa Asjatika.</v>
      </c>
    </row>
    <row r="5889" ht="15.75" customHeight="1">
      <c r="A5889" s="2" t="s">
        <v>5889</v>
      </c>
      <c r="B5889" s="2" t="str">
        <f>IFERROR(__xludf.DUMMYFUNCTION("GOOGLETRANSLATE(A5889, ""en"", ""mt"")"),"L-attivitajiet ta 'min kienu l-Franċiżi kapaċi jiksbu għarfien dwarhom?")</f>
        <v>L-attivitajiet ta 'min kienu l-Franċiżi kapaċi jiksbu għarfien dwarhom?</v>
      </c>
    </row>
    <row r="5890" ht="15.75" customHeight="1">
      <c r="A5890" s="2" t="s">
        <v>5890</v>
      </c>
      <c r="B5890" s="2" t="str">
        <f>IFERROR(__xludf.DUMMYFUNCTION("GOOGLETRANSLATE(A5890, ""en"", ""mt"")"),"50")</f>
        <v>50</v>
      </c>
    </row>
    <row r="5891" ht="15.75" customHeight="1">
      <c r="A5891" s="2" t="s">
        <v>5891</v>
      </c>
      <c r="B5891" s="2" t="str">
        <f>IFERROR(__xludf.DUMMYFUNCTION("GOOGLETRANSLATE(A5891, ""en"", ""mt"")"),"Mhux biss ix-xogħol ta 'artisti u nies tas-sengħa Ingliżi huwa għall-wiri, iżda wkoll xogħol prodott minn artisti Ewropej li nxtraw jew ikkummissjonati minn patruni Ingliżi, kif ukoll importazzjonijiet mill-Asja, inklużi porċellana, drapp u wallpaper. Dis"&amp;"injaturi u artisti li x-xogħol tagħhom huwa għall-wiri fil-galleriji jinkludu Gian Lorenzo Bernini, Grinling Gibbons, Daniel Marot, Louis Laguerre, Antonio Verrio, Sir James Thornhill, William Kent, Robert Adam, Josiah Wedgwood, Matthew Boulton, Canova, T"&amp;"homas Chippendale, Pugin , William Morris. Il-patruni li influwenzaw it-togħma huma rrappreżentati wkoll minn xogħlijiet ta ’arti mill-kollezzjonijiet tagħhom, dawn jinkludu: Horace Walpole (influwenza kbira fuq il-qawmien mill-ġdid Gotiku), William Thoma"&amp;"s Beckford u Thomas Hope.")</f>
        <v>Mhux biss ix-xogħol ta 'artisti u nies tas-sengħa Ingliżi huwa għall-wiri, iżda wkoll xogħol prodott minn artisti Ewropej li nxtraw jew ikkummissjonati minn patruni Ingliżi, kif ukoll importazzjonijiet mill-Asja, inklużi porċellana, drapp u wallpaper. Disinjaturi u artisti li x-xogħol tagħhom huwa għall-wiri fil-galleriji jinkludu Gian Lorenzo Bernini, Grinling Gibbons, Daniel Marot, Louis Laguerre, Antonio Verrio, Sir James Thornhill, William Kent, Robert Adam, Josiah Wedgwood, Matthew Boulton, Canova, Thomas Chippendale, Pugin , William Morris. Il-patruni li influwenzaw it-togħma huma rrappreżentati wkoll minn xogħlijiet ta ’arti mill-kollezzjonijiet tagħhom, dawn jinkludu: Horace Walpole (influwenza kbira fuq il-qawmien mill-ġdid Gotiku), William Thomas Beckford u Thomas Hope.</v>
      </c>
    </row>
    <row r="5892" ht="15.75" customHeight="1">
      <c r="A5892" s="2" t="s">
        <v>5892</v>
      </c>
      <c r="B5892" s="2" t="str">
        <f>IFERROR(__xludf.DUMMYFUNCTION("GOOGLETRANSLATE(A5892, ""en"", ""mt"")"),"X'għamel oriġinarjament Decnet")</f>
        <v>X'għamel oriġinarjament Decnet</v>
      </c>
    </row>
    <row r="5893" ht="15.75" customHeight="1">
      <c r="A5893" s="2" t="s">
        <v>5893</v>
      </c>
      <c r="B5893" s="2" t="str">
        <f>IFERROR(__xludf.DUMMYFUNCTION("GOOGLETRANSLATE(A5893, ""en"", ""mt"")"),"It-tieni liġi")</f>
        <v>It-tieni liġi</v>
      </c>
    </row>
    <row r="5894" ht="15.75" customHeight="1">
      <c r="A5894" s="2" t="s">
        <v>5894</v>
      </c>
      <c r="B5894" s="2" t="str">
        <f>IFERROR(__xludf.DUMMYFUNCTION("GOOGLETRANSLATE(A5894, ""en"", ""mt"")"),"Liema MVP miet fl-2001?")</f>
        <v>Liema MVP miet fl-2001?</v>
      </c>
    </row>
    <row r="5895" ht="15.75" customHeight="1">
      <c r="A5895" s="2" t="s">
        <v>5895</v>
      </c>
      <c r="B5895" s="2" t="str">
        <f>IFERROR(__xludf.DUMMYFUNCTION("GOOGLETRANSLATE(A5895, ""en"", ""mt"")"),"15% –16%")</f>
        <v>15% –16%</v>
      </c>
    </row>
    <row r="5896" ht="15.75" customHeight="1">
      <c r="A5896" s="2" t="s">
        <v>5896</v>
      </c>
      <c r="B5896" s="2" t="str">
        <f>IFERROR(__xludf.DUMMYFUNCTION("GOOGLETRANSLATE(A5896, ""en"", ""mt"")"),"F'Marzu 1896")</f>
        <v>F'Marzu 1896</v>
      </c>
    </row>
    <row r="5897" ht="15.75" customHeight="1">
      <c r="A5897" s="2" t="s">
        <v>5897</v>
      </c>
      <c r="B5897" s="2" t="str">
        <f>IFERROR(__xludf.DUMMYFUNCTION("GOOGLETRANSLATE(A5897, ""en"", ""mt"")"),"Metro tal-Kosta tan-Nofsinhar")</f>
        <v>Metro tal-Kosta tan-Nofsinhar</v>
      </c>
    </row>
    <row r="5898" ht="15.75" customHeight="1">
      <c r="A5898" s="2" t="s">
        <v>5898</v>
      </c>
      <c r="B5898" s="2" t="str">
        <f>IFERROR(__xludf.DUMMYFUNCTION("GOOGLETRANSLATE(A5898, ""en"", ""mt"")"),"Il-kloroplasti kif iqanqlu s-sistema immuni tal-impjant?")</f>
        <v>Il-kloroplasti kif iqanqlu s-sistema immuni tal-impjant?</v>
      </c>
    </row>
    <row r="5899" ht="15.75" customHeight="1">
      <c r="A5899" s="2" t="s">
        <v>5899</v>
      </c>
      <c r="B5899" s="2" t="str">
        <f>IFERROR(__xludf.DUMMYFUNCTION("GOOGLETRANSLATE(A5899, ""en"", ""mt"")"),"tnaqqas l-ispejjeż tal-konsumatur")</f>
        <v>tnaqqas l-ispejjeż tal-konsumatur</v>
      </c>
    </row>
    <row r="5900" ht="15.75" customHeight="1">
      <c r="A5900" s="2" t="s">
        <v>5900</v>
      </c>
      <c r="B5900" s="2" t="str">
        <f>IFERROR(__xludf.DUMMYFUNCTION("GOOGLETRANSLATE(A5900, ""en"", ""mt"")"),"Kemm hemm stazzjonijiet ferrovjarji elenkati ta 'Grad Wieħed fir-Renju Unit?")</f>
        <v>Kemm hemm stazzjonijiet ferrovjarji elenkati ta 'Grad Wieħed fir-Renju Unit?</v>
      </c>
    </row>
    <row r="5901" ht="15.75" customHeight="1">
      <c r="A5901" s="2" t="s">
        <v>5901</v>
      </c>
      <c r="B5901" s="2" t="str">
        <f>IFERROR(__xludf.DUMMYFUNCTION("GOOGLETRANSLATE(A5901, ""en"", ""mt"")"),"Min għażel il-President ta 'Varsavja mill-1990?")</f>
        <v>Min għażel il-President ta 'Varsavja mill-1990?</v>
      </c>
    </row>
    <row r="5902" ht="15.75" customHeight="1">
      <c r="A5902" s="2" t="s">
        <v>5902</v>
      </c>
      <c r="B5902" s="2" t="str">
        <f>IFERROR(__xludf.DUMMYFUNCTION("GOOGLETRANSLATE(A5902, ""en"", ""mt"")"),"Dak li fil-fatt jikkawża riġidità fil-materja?")</f>
        <v>Dak li fil-fatt jikkawża riġidità fil-materja?</v>
      </c>
    </row>
    <row r="5903" ht="15.75" customHeight="1">
      <c r="A5903" s="2" t="s">
        <v>5903</v>
      </c>
      <c r="B5903" s="2" t="str">
        <f>IFERROR(__xludf.DUMMYFUNCTION("GOOGLETRANSLATE(A5903, ""en"", ""mt"")"),"Avukat ta ’New York Charles F. Peck")</f>
        <v>Avukat ta ’New York Charles F. Peck</v>
      </c>
    </row>
    <row r="5904" ht="15.75" customHeight="1">
      <c r="A5904" s="2" t="s">
        <v>5904</v>
      </c>
      <c r="B5904" s="2" t="str">
        <f>IFERROR(__xludf.DUMMYFUNCTION("GOOGLETRANSLATE(A5904, ""en"", ""mt"")"),"X'inhu l-għadd totali ta 'voti li għandhom jingħaddu matul il-proċess tal-votazzjoni?")</f>
        <v>X'inhu l-għadd totali ta 'voti li għandhom jingħaddu matul il-proċess tal-votazzjoni?</v>
      </c>
    </row>
    <row r="5905" ht="15.75" customHeight="1">
      <c r="A5905" s="2" t="s">
        <v>5905</v>
      </c>
      <c r="B5905" s="2" t="str">
        <f>IFERROR(__xludf.DUMMYFUNCTION("GOOGLETRANSLATE(A5905, ""en"", ""mt"")"),"Liema park huwa viċin Triq John Lennon?")</f>
        <v>Liema park huwa viċin Triq John Lennon?</v>
      </c>
    </row>
    <row r="5906" ht="15.75" customHeight="1">
      <c r="A5906" s="2" t="s">
        <v>5906</v>
      </c>
      <c r="B5906" s="2" t="str">
        <f>IFERROR(__xludf.DUMMYFUNCTION("GOOGLETRANSLATE(A5906, ""en"", ""mt"")"),"Larry Ellison")</f>
        <v>Larry Ellison</v>
      </c>
    </row>
    <row r="5907" ht="15.75" customHeight="1">
      <c r="A5907" s="2" t="s">
        <v>5907</v>
      </c>
      <c r="B5907" s="2" t="str">
        <f>IFERROR(__xludf.DUMMYFUNCTION("GOOGLETRANSLATE(A5907, ""en"", ""mt"")"),"X'kellu n-numru ta 'nies li jgħixu f'Varsavja sal-1945?")</f>
        <v>X'kellu n-numru ta 'nies li jgħixu f'Varsavja sal-1945?</v>
      </c>
    </row>
    <row r="5908" ht="15.75" customHeight="1">
      <c r="A5908" s="2" t="s">
        <v>5908</v>
      </c>
      <c r="B5908" s="2" t="str">
        <f>IFERROR(__xludf.DUMMYFUNCTION("GOOGLETRANSLATE(A5908, ""en"", ""mt"")"),"20.4 biljun")</f>
        <v>20.4 biljun</v>
      </c>
    </row>
    <row r="5909" ht="15.75" customHeight="1">
      <c r="A5909" s="2" t="s">
        <v>5909</v>
      </c>
      <c r="B5909" s="2" t="str">
        <f>IFERROR(__xludf.DUMMYFUNCTION("GOOGLETRANSLATE(A5909, ""en"", ""mt"")"),"Il-Partit Konservattiv")</f>
        <v>Il-Partit Konservattiv</v>
      </c>
    </row>
    <row r="5910" ht="15.75" customHeight="1">
      <c r="A5910" s="2" t="s">
        <v>5910</v>
      </c>
      <c r="B5910" s="2" t="str">
        <f>IFERROR(__xludf.DUMMYFUNCTION("GOOGLETRANSLATE(A5910, ""en"", ""mt"")"),"bigamy")</f>
        <v>bigamy</v>
      </c>
    </row>
    <row r="5911" ht="15.75" customHeight="1">
      <c r="A5911" s="2" t="s">
        <v>5911</v>
      </c>
      <c r="B5911" s="2" t="str">
        <f>IFERROR(__xludf.DUMMYFUNCTION("GOOGLETRANSLATE(A5911, ""en"", ""mt"")"),"Liema apparat mediku jista 'jkun ta' tħassib għat-tossiċità tal-ossiġnu?")</f>
        <v>Liema apparat mediku jista 'jkun ta' tħassib għat-tossiċità tal-ossiġnu?</v>
      </c>
    </row>
    <row r="5912" ht="15.75" customHeight="1">
      <c r="A5912" s="2" t="s">
        <v>5912</v>
      </c>
      <c r="B5912" s="2" t="str">
        <f>IFERROR(__xludf.DUMMYFUNCTION("GOOGLETRANSLATE(A5912, ""en"", ""mt"")"),"X'inhuma l-katekiżmi ta 'Martin Luther miktuba?")</f>
        <v>X'inhuma l-katekiżmi ta 'Martin Luther miktuba?</v>
      </c>
    </row>
    <row r="5913" ht="15.75" customHeight="1">
      <c r="A5913" s="2" t="s">
        <v>5913</v>
      </c>
      <c r="B5913" s="2" t="str">
        <f>IFERROR(__xludf.DUMMYFUNCTION("GOOGLETRANSLATE(A5913, ""en"", ""mt"")"),"Ingliż u Swaħili,")</f>
        <v>Ingliż u Swaħili,</v>
      </c>
    </row>
    <row r="5914" ht="15.75" customHeight="1">
      <c r="A5914" s="2" t="s">
        <v>5914</v>
      </c>
      <c r="B5914" s="2" t="str">
        <f>IFERROR(__xludf.DUMMYFUNCTION("GOOGLETRANSLATE(A5914, ""en"", ""mt"")"),"L-infurzar tal-projbizzjoni fuq il-95 teżijiet waqa 'għall-awtoritajiet sekulari. Fit-18 ta 'April 1521, Luther deher kif ordnat qabel id-dieta tad-dud. Din kienet Assemblea Ġenerali tal-Estates tal-Imperu Ruman Imqaddes li seħħ f’Worms, belt fuq ir-Renu."&amp;" Tmexxi mit-28 ta 'Jannar sal-25 ta' Mejju 1521, bl-Imperatur Charles V jippresiedi. Il-Prinċep Frederick III, l-Elettur tas-Sassonja, kiseb kondotta sikura għal Luther lejn u mil-laqgħa.")</f>
        <v>L-infurzar tal-projbizzjoni fuq il-95 teżijiet waqa 'għall-awtoritajiet sekulari. Fit-18 ta 'April 1521, Luther deher kif ordnat qabel id-dieta tad-dud. Din kienet Assemblea Ġenerali tal-Estates tal-Imperu Ruman Imqaddes li seħħ f’Worms, belt fuq ir-Renu. Tmexxi mit-28 ta 'Jannar sal-25 ta' Mejju 1521, bl-Imperatur Charles V jippresiedi. Il-Prinċep Frederick III, l-Elettur tas-Sassonja, kiseb kondotta sikura għal Luther lejn u mil-laqgħa.</v>
      </c>
    </row>
    <row r="5915" ht="15.75" customHeight="1">
      <c r="A5915" s="2" t="s">
        <v>5915</v>
      </c>
      <c r="B5915" s="2" t="str">
        <f>IFERROR(__xludf.DUMMYFUNCTION("GOOGLETRANSLATE(A5915, ""en"", ""mt"")"),"Epte")</f>
        <v>Epte</v>
      </c>
    </row>
    <row r="5916" ht="15.75" customHeight="1">
      <c r="A5916" s="2" t="s">
        <v>5916</v>
      </c>
      <c r="B5916" s="2" t="str">
        <f>IFERROR(__xludf.DUMMYFUNCTION("GOOGLETRANSLATE(A5916, ""en"", ""mt"")"),"Banda Ku Universali")</f>
        <v>Banda Ku Universali</v>
      </c>
    </row>
    <row r="5917" ht="15.75" customHeight="1">
      <c r="A5917" s="2" t="s">
        <v>5917</v>
      </c>
      <c r="B5917" s="2" t="str">
        <f>IFERROR(__xludf.DUMMYFUNCTION("GOOGLETRANSLATE(A5917, ""en"", ""mt"")"),"Sussegwentement għall-konkwista, madankollu, il-marċi ġew kompletament taħt id-dominanza tal-baruni Norman l-iktar fdati ta 'William, inkluż Bernard de Neufmarché, Roger ta' Montgomery fi Shropshire u Hugh Lupus f'Cheshire. Dawn in-Normanni bdew perjodu t"&amp;"wil ta 'konkwista bil-mod li matulu kważi kollha ta' Wales kienu f'xi punt soġġetti għal interferenza Norman. Kliem Norman, bħal Baron (Barwn), l-ewwel daħlu fil-Welsh dak iż-żmien.")</f>
        <v>Sussegwentement għall-konkwista, madankollu, il-marċi ġew kompletament taħt id-dominanza tal-baruni Norman l-iktar fdati ta 'William, inkluż Bernard de Neufmarché, Roger ta' Montgomery fi Shropshire u Hugh Lupus f'Cheshire. Dawn in-Normanni bdew perjodu twil ta 'konkwista bil-mod li matulu kważi kollha ta' Wales kienu f'xi punt soġġetti għal interferenza Norman. Kliem Norman, bħal Baron (Barwn), l-ewwel daħlu fil-Welsh dak iż-żmien.</v>
      </c>
    </row>
    <row r="5918" ht="15.75" customHeight="1">
      <c r="A5918" s="2" t="s">
        <v>5918</v>
      </c>
      <c r="B5918" s="2" t="str">
        <f>IFERROR(__xludf.DUMMYFUNCTION("GOOGLETRANSLATE(A5918, ""en"", ""mt"")"),"Kwistjonijiet riservati huma suġġetti li huma barra l-kompetenza leġiżlattiva tal-Parlament tal-Iskozja. Il-Parlament Skoċċiż ma jistax jilleġiżla dwar dawn il-kwistjonijiet li huma riservati, u ttrattati fi, Westminster (u fejn il-funzjonijiet ministerja"&amp;"li ġeneralment jinsabu mal-ministri tal-gvern tar-Renju Unit). Dawn jinkludu abort, politika tax-xandir, servizz ċivili, swieq komuni għal oġġetti u servizzi tar-Renju Unit, kostituzzjoni, elettriku, faħam, żejt, gass, enerġija nukleari, difiża u sigurtà "&amp;"nazzjonali, politika tad-droga, impjieg, politika barranija, politika barranija u relazzjonijiet mal-Ewropa, ħafna aspetti ta 'sigurtà u regolamentazzjoni tat-trasport, lotterija nazzjonali, protezzjoni tal-fruntieri, sigurtà soċjali u stabbiltà tas-siste"&amp;"ma fiskali, ekonomika u monetarja tar-Renju Unit.")</f>
        <v>Kwistjonijiet riservati huma suġġetti li huma barra l-kompetenza leġiżlattiva tal-Parlament tal-Iskozja. Il-Parlament Skoċċiż ma jistax jilleġiżla dwar dawn il-kwistjonijiet li huma riservati, u ttrattati fi, Westminster (u fejn il-funzjonijiet ministerjali ġeneralment jinsabu mal-ministri tal-gvern tar-Renju Unit). Dawn jinkludu abort, politika tax-xandir, servizz ċivili, swieq komuni għal oġġetti u servizzi tar-Renju Unit, kostituzzjoni, elettriku, faħam, żejt, gass, enerġija nukleari, difiża u sigurtà nazzjonali, politika tad-droga, impjieg, politika barranija, politika barranija u relazzjonijiet mal-Ewropa, ħafna aspetti ta 'sigurtà u regolamentazzjoni tat-trasport, lotterija nazzjonali, protezzjoni tal-fruntieri, sigurtà soċjali u stabbiltà tas-sistema fiskali, ekonomika u monetarja tar-Renju Unit.</v>
      </c>
    </row>
    <row r="5919" ht="15.75" customHeight="1">
      <c r="A5919" s="2" t="s">
        <v>5919</v>
      </c>
      <c r="B5919" s="2" t="str">
        <f>IFERROR(__xludf.DUMMYFUNCTION("GOOGLETRANSLATE(A5919, ""en"", ""mt"")"),"X'tip ta 'labra kienet użata fil-ħolqien tat-tapizzerija ta' Bayeux?")</f>
        <v>X'tip ta 'labra kienet użata fil-ħolqien tat-tapizzerija ta' Bayeux?</v>
      </c>
    </row>
    <row r="5920" ht="15.75" customHeight="1">
      <c r="A5920" s="2" t="s">
        <v>5920</v>
      </c>
      <c r="B5920" s="2" t="str">
        <f>IFERROR(__xludf.DUMMYFUNCTION("GOOGLETRANSLATE(A5920, ""en"", ""mt"")"),"Matematika applikata għall-kostruzzjoni tal-kalendarji")</f>
        <v>Matematika applikata għall-kostruzzjoni tal-kalendarji</v>
      </c>
    </row>
    <row r="5921" ht="15.75" customHeight="1">
      <c r="A5921" s="2" t="s">
        <v>5921</v>
      </c>
      <c r="B5921" s="2" t="str">
        <f>IFERROR(__xludf.DUMMYFUNCTION("GOOGLETRANSLATE(A5921, ""en"", ""mt"")"),"F'soċjetà morali ideali, minn xiex ikunu ħielsa ċ-ċittadini kollha?")</f>
        <v>F'soċjetà morali ideali, minn xiex ikunu ħielsa ċ-ċittadini kollha?</v>
      </c>
    </row>
    <row r="5922" ht="15.75" customHeight="1">
      <c r="A5922" s="2" t="s">
        <v>5922</v>
      </c>
      <c r="B5922" s="2" t="str">
        <f>IFERROR(__xludf.DUMMYFUNCTION("GOOGLETRANSLATE(A5922, ""en"", ""mt"")"),"ir-raġel")</f>
        <v>ir-raġel</v>
      </c>
    </row>
    <row r="5923" ht="15.75" customHeight="1">
      <c r="A5923" s="2" t="s">
        <v>5923</v>
      </c>
      <c r="B5923" s="2" t="str">
        <f>IFERROR(__xludf.DUMMYFUNCTION("GOOGLETRANSLATE(A5923, ""en"", ""mt"")"),"Christopher Gist")</f>
        <v>Christopher Gist</v>
      </c>
    </row>
    <row r="5924" ht="15.75" customHeight="1">
      <c r="A5924" s="2" t="s">
        <v>5924</v>
      </c>
      <c r="B5924" s="2" t="str">
        <f>IFERROR(__xludf.DUMMYFUNCTION("GOOGLETRANSLATE(A5924, ""en"", ""mt"")"),"Richard Allen u Absalom Jones kienu liċenzjati mill-Knisja ta ’San Ġorġ f’liema sena?")</f>
        <v>Richard Allen u Absalom Jones kienu liċenzjati mill-Knisja ta ’San Ġorġ f’liema sena?</v>
      </c>
    </row>
    <row r="5925" ht="15.75" customHeight="1">
      <c r="A5925" s="2" t="s">
        <v>5925</v>
      </c>
      <c r="B5925" s="2" t="str">
        <f>IFERROR(__xludf.DUMMYFUNCTION("GOOGLETRANSLATE(A5925, ""en"", ""mt"")"),"Min kien il-Kummissarju tal-NFL fl-2012?")</f>
        <v>Min kien il-Kummissarju tal-NFL fl-2012?</v>
      </c>
    </row>
    <row r="5926" ht="15.75" customHeight="1">
      <c r="A5926" s="2" t="s">
        <v>5926</v>
      </c>
      <c r="B5926" s="2" t="str">
        <f>IFERROR(__xludf.DUMMYFUNCTION("GOOGLETRANSLATE(A5926, ""en"", ""mt"")"),"Il-Professur Moriarty għall-Sherlock Holmes tat-Tabib")</f>
        <v>Il-Professur Moriarty għall-Sherlock Holmes tat-Tabib</v>
      </c>
    </row>
    <row r="5927" ht="15.75" customHeight="1">
      <c r="A5927" s="2" t="s">
        <v>5927</v>
      </c>
      <c r="B5927" s="2" t="str">
        <f>IFERROR(__xludf.DUMMYFUNCTION("GOOGLETRANSLATE(A5927, ""en"", ""mt"")"),"ir-rip")</f>
        <v>ir-rip</v>
      </c>
    </row>
    <row r="5928" ht="15.75" customHeight="1">
      <c r="A5928" s="2" t="s">
        <v>5928</v>
      </c>
      <c r="B5928" s="2" t="str">
        <f>IFERROR(__xludf.DUMMYFUNCTION("GOOGLETRANSLATE(A5928, ""en"", ""mt"")"),"joni tal-idroġenu tal-pompa")</f>
        <v>joni tal-idroġenu tal-pompa</v>
      </c>
    </row>
    <row r="5929" ht="15.75" customHeight="1">
      <c r="A5929" s="2" t="s">
        <v>5929</v>
      </c>
      <c r="B5929" s="2" t="str">
        <f>IFERROR(__xludf.DUMMYFUNCTION("GOOGLETRANSLATE(A5929, ""en"", ""mt"")"),"B'għarfien modern dwar il-mekkanika kwantistika u t-teknoloġija li jistgħu jaċċeleraw il-partiċelli viċin il-veloċità tad-dawl, il-fiżika tal-partikuli fasslet mudell standard biex tiddeskrivi forzi bejn partiċelli iżgħar mill-atomi. Il-mudell standard ib"&amp;"assar li partiċelli skambjati msejħa bosons tal-gauge huma l-mezzi fundamentali li bihom il-forzi jiġu emessi u assorbiti. Erba 'interazzjonijiet ewlenin huma magħrufa biss: f'ordni ta' saħħa li tonqos, huma: b'saħħithom, elettromanjetiċi, dgħajfa, u grav"&amp;"itazzjonali. huma espressjonijiet ta 'interazzjoni elettroweak aktar fundamentali.")</f>
        <v>B'għarfien modern dwar il-mekkanika kwantistika u t-teknoloġija li jistgħu jaċċeleraw il-partiċelli viċin il-veloċità tad-dawl, il-fiżika tal-partikuli fasslet mudell standard biex tiddeskrivi forzi bejn partiċelli iżgħar mill-atomi. Il-mudell standard ibassar li partiċelli skambjati msejħa bosons tal-gauge huma l-mezzi fundamentali li bihom il-forzi jiġu emessi u assorbiti. Erba 'interazzjonijiet ewlenin huma magħrufa biss: f'ordni ta' saħħa li tonqos, huma: b'saħħithom, elettromanjetiċi, dgħajfa, u gravitazzjonali. huma espressjonijiet ta 'interazzjoni elettroweak aktar fundamentali.</v>
      </c>
    </row>
    <row r="5930" ht="15.75" customHeight="1">
      <c r="A5930" s="2" t="s">
        <v>5930</v>
      </c>
      <c r="B5930" s="2" t="str">
        <f>IFERROR(__xludf.DUMMYFUNCTION("GOOGLETRANSLATE(A5930, ""en"", ""mt"")"),"Liema post ta 'Florida kien wieħed minn tlieta meqjus għal Super Bowl 50?")</f>
        <v>Liema post ta 'Florida kien wieħed minn tlieta meqjus għal Super Bowl 50?</v>
      </c>
    </row>
    <row r="5931" ht="15.75" customHeight="1">
      <c r="A5931" s="2" t="s">
        <v>5931</v>
      </c>
      <c r="B5931" s="2" t="str">
        <f>IFERROR(__xludf.DUMMYFUNCTION("GOOGLETRANSLATE(A5931, ""en"", ""mt"")"),"Min kien il-kowċ ewlieni tal-Panthers għall-istaġun 2015?")</f>
        <v>Min kien il-kowċ ewlieni tal-Panthers għall-istaġun 2015?</v>
      </c>
    </row>
    <row r="5932" ht="15.75" customHeight="1">
      <c r="A5932" s="2" t="s">
        <v>5932</v>
      </c>
      <c r="B5932" s="2" t="str">
        <f>IFERROR(__xludf.DUMMYFUNCTION("GOOGLETRANSLATE(A5932, ""en"", ""mt"")"),"Liema porzjon tal-popolazzjoni ta 'Berlin tkellmet bil-Franċiż sal-1700?")</f>
        <v>Liema porzjon tal-popolazzjoni ta 'Berlin tkellmet bil-Franċiż sal-1700?</v>
      </c>
    </row>
    <row r="5933" ht="15.75" customHeight="1">
      <c r="A5933" s="2" t="s">
        <v>5933</v>
      </c>
      <c r="B5933" s="2" t="str">
        <f>IFERROR(__xludf.DUMMYFUNCTION("GOOGLETRANSLATE(A5933, ""en"", ""mt"")"),"Liema karru universali debuta matul is-Super Bowl?")</f>
        <v>Liema karru universali debuta matul is-Super Bowl?</v>
      </c>
    </row>
    <row r="5934" ht="15.75" customHeight="1">
      <c r="A5934" s="2" t="s">
        <v>5934</v>
      </c>
      <c r="B5934" s="2" t="str">
        <f>IFERROR(__xludf.DUMMYFUNCTION("GOOGLETRANSLATE(A5934, ""en"", ""mt"")"),"Kif tissejjaħ il-varjabbli angolari intsiċi meta l-partiċelli jaġixxu fuq xulxin?")</f>
        <v>Kif tissejjaħ il-varjabbli angolari intsiċi meta l-partiċelli jaġixxu fuq xulxin?</v>
      </c>
    </row>
    <row r="5935" ht="15.75" customHeight="1">
      <c r="A5935" s="2" t="s">
        <v>5935</v>
      </c>
      <c r="B5935" s="2" t="str">
        <f>IFERROR(__xludf.DUMMYFUNCTION("GOOGLETRANSLATE(A5935, ""en"", ""mt"")"),"Fis-snin 80, liema kanal tal-isports tal-kejbil kien xtara ABC?")</f>
        <v>Fis-snin 80, liema kanal tal-isports tal-kejbil kien xtara ABC?</v>
      </c>
    </row>
    <row r="5936" ht="15.75" customHeight="1">
      <c r="A5936" s="2" t="s">
        <v>5936</v>
      </c>
      <c r="B5936" s="2" t="str">
        <f>IFERROR(__xludf.DUMMYFUNCTION("GOOGLETRANSLATE(A5936, ""en"", ""mt"")"),"Biex tissaħħaħ l-elettroni")</f>
        <v>Biex tissaħħaħ l-elettroni</v>
      </c>
    </row>
    <row r="5937" ht="15.75" customHeight="1">
      <c r="A5937" s="2" t="s">
        <v>5937</v>
      </c>
      <c r="B5937" s="2" t="str">
        <f>IFERROR(__xludf.DUMMYFUNCTION("GOOGLETRANSLATE(A5937, ""en"", ""mt"")"),"X'inhu l-isem Mongoljan tal-ewwel liġijiet Mongoljani kodifikati bil-miktub?")</f>
        <v>X'inhu l-isem Mongoljan tal-ewwel liġijiet Mongoljani kodifikati bil-miktub?</v>
      </c>
    </row>
    <row r="5938" ht="15.75" customHeight="1">
      <c r="A5938" s="2" t="s">
        <v>5938</v>
      </c>
      <c r="B5938" s="2" t="str">
        <f>IFERROR(__xludf.DUMMYFUNCTION("GOOGLETRANSLATE(A5938, ""en"", ""mt"")"),"X'inhi kelma oħra għal kriptofiti?")</f>
        <v>X'inhi kelma oħra għal kriptofiti?</v>
      </c>
    </row>
    <row r="5939" ht="15.75" customHeight="1">
      <c r="A5939" s="2" t="s">
        <v>5939</v>
      </c>
      <c r="B5939" s="2" t="str">
        <f>IFERROR(__xludf.DUMMYFUNCTION("GOOGLETRANSLATE(A5939, ""en"", ""mt"")"),"eidetic")</f>
        <v>eidetic</v>
      </c>
    </row>
    <row r="5940" ht="15.75" customHeight="1">
      <c r="A5940" s="2" t="s">
        <v>5940</v>
      </c>
      <c r="B5940" s="2" t="str">
        <f>IFERROR(__xludf.DUMMYFUNCTION("GOOGLETRANSLATE(A5940, ""en"", ""mt"")"),"Lingwa tas-Sinjali Amerikana")</f>
        <v>Lingwa tas-Sinjali Amerikana</v>
      </c>
    </row>
    <row r="5941" ht="15.75" customHeight="1">
      <c r="A5941" s="2" t="s">
        <v>5941</v>
      </c>
      <c r="B5941" s="2" t="str">
        <f>IFERROR(__xludf.DUMMYFUNCTION("GOOGLETRANSLATE(A5941, ""en"", ""mt"")"),"Il-Kumpanija Pokémon")</f>
        <v>Il-Kumpanija Pokémon</v>
      </c>
    </row>
    <row r="5942" ht="15.75" customHeight="1">
      <c r="A5942" s="2" t="s">
        <v>5942</v>
      </c>
      <c r="B5942" s="2" t="str">
        <f>IFERROR(__xludf.DUMMYFUNCTION("GOOGLETRANSLATE(A5942, ""en"", ""mt"")"),"l-omm")</f>
        <v>l-omm</v>
      </c>
    </row>
    <row r="5943" ht="15.75" customHeight="1">
      <c r="A5943" s="2" t="s">
        <v>5943</v>
      </c>
      <c r="B5943" s="2" t="str">
        <f>IFERROR(__xludf.DUMMYFUNCTION("GOOGLETRANSLATE(A5943, ""en"", ""mt"")"),"Ħu evidenza minn xhieda, twettaq inkjesti u tifli l-leġiżlazzjoni")</f>
        <v>Ħu evidenza minn xhieda, twettaq inkjesti u tifli l-leġiżlazzjoni</v>
      </c>
    </row>
    <row r="5944" ht="15.75" customHeight="1">
      <c r="A5944" s="2" t="s">
        <v>5944</v>
      </c>
      <c r="B5944" s="2" t="str">
        <f>IFERROR(__xludf.DUMMYFUNCTION("GOOGLETRANSLATE(A5944, ""en"", ""mt"")"),"Liema artikolu jippermetti lill-Kunsill Ewropew jirregola l-għaqdiet bejn id-ditti?")</f>
        <v>Liema artikolu jippermetti lill-Kunsill Ewropew jirregola l-għaqdiet bejn id-ditti?</v>
      </c>
    </row>
    <row r="5945" ht="15.75" customHeight="1">
      <c r="A5945" s="2" t="s">
        <v>5945</v>
      </c>
      <c r="B5945" s="2" t="str">
        <f>IFERROR(__xludf.DUMMYFUNCTION("GOOGLETRANSLATE(A5945, ""en"", ""mt"")"),"In-Normandija kienet is-sit ta ’bosta żviluppi importanti fl-istorja tal-mużika klassika fis-seklu 11. Fécamp Abbey u Saint-Evroul Abbey kienu ċentri ta ’produzzjoni u edukazzjoni mużikali. Fi Fécamp, taħt żewġ abbati Taljani, William ta 'Volpiano u John "&amp;"ta' Ravenna, is-sistema ta 'noti ta' noti permezz ta 'ittri ġiet żviluppata u mgħallma. Għadha l-iktar forma komuni ta 'rappreżentazzjoni taż-żift fil-pajjiżi li jitkellmu bl-Ingliż u bil-Ġermaniż illum. Fécamp ukoll, il-persunal, li madwaru Neumes kienu "&amp;"orjentati, l-ewwel ġie żviluppat u mgħallem fis-seklu 11. Taħt l-Abbati Ġermaniż Isembard, La Trinité-du-Mont sar ċentru ta 'kompożizzjoni mużikali.")</f>
        <v>In-Normandija kienet is-sit ta ’bosta żviluppi importanti fl-istorja tal-mużika klassika fis-seklu 11. Fécamp Abbey u Saint-Evroul Abbey kienu ċentri ta ’produzzjoni u edukazzjoni mużikali. Fi Fécamp, taħt żewġ abbati Taljani, William ta 'Volpiano u John ta' Ravenna, is-sistema ta 'noti ta' noti permezz ta 'ittri ġiet żviluppata u mgħallma. Għadha l-iktar forma komuni ta 'rappreżentazzjoni taż-żift fil-pajjiżi li jitkellmu bl-Ingliż u bil-Ġermaniż illum. Fécamp ukoll, il-persunal, li madwaru Neumes kienu orjentati, l-ewwel ġie żviluppat u mgħallem fis-seklu 11. Taħt l-Abbati Ġermaniż Isembard, La Trinité-du-Mont sar ċentru ta 'kompożizzjoni mużikali.</v>
      </c>
    </row>
    <row r="5946" ht="15.75" customHeight="1">
      <c r="A5946" s="2" t="s">
        <v>5946</v>
      </c>
      <c r="B5946" s="2" t="str">
        <f>IFERROR(__xludf.DUMMYFUNCTION("GOOGLETRANSLATE(A5946, ""en"", ""mt"")"),"Seklu 20,")</f>
        <v>Seklu 20,</v>
      </c>
    </row>
    <row r="5947" ht="15.75" customHeight="1">
      <c r="A5947" s="2" t="s">
        <v>5947</v>
      </c>
      <c r="B5947" s="2" t="str">
        <f>IFERROR(__xludf.DUMMYFUNCTION("GOOGLETRANSLATE(A5947, ""en"", ""mt"")"),"f'Boston")</f>
        <v>f'Boston</v>
      </c>
    </row>
    <row r="5948" ht="15.75" customHeight="1">
      <c r="A5948" s="2" t="s">
        <v>5948</v>
      </c>
      <c r="B5948" s="2" t="str">
        <f>IFERROR(__xludf.DUMMYFUNCTION("GOOGLETRANSLATE(A5948, ""en"", ""mt"")"),"X'tip ta 'films ġew prodotti fit-30 studios ta' Jacksonville?")</f>
        <v>X'tip ta 'films ġew prodotti fit-30 studios ta' Jacksonville?</v>
      </c>
    </row>
    <row r="5949" ht="15.75" customHeight="1">
      <c r="A5949" s="2" t="s">
        <v>5949</v>
      </c>
      <c r="B5949" s="2" t="str">
        <f>IFERROR(__xludf.DUMMYFUNCTION("GOOGLETRANSLATE(A5949, ""en"", ""mt"")"),"X'tip ta 'teorija tan-numri tuża u tistudja l-ideali ewlenin?")</f>
        <v>X'tip ta 'teorija tan-numri tuża u tistudja l-ideali ewlenin?</v>
      </c>
    </row>
    <row r="5950" ht="15.75" customHeight="1">
      <c r="A5950" s="2" t="s">
        <v>5950</v>
      </c>
      <c r="B5950" s="2" t="str">
        <f>IFERROR(__xludf.DUMMYFUNCTION("GOOGLETRANSLATE(A5950, ""en"", ""mt"")"),"X'inhu kejl użat komunement biex jiġi ddeterminat il-kumplessità ta 'problema tal-komputazzjoni?")</f>
        <v>X'inhu kejl użat komunement biex jiġi ddeterminat il-kumplessità ta 'problema tal-komputazzjoni?</v>
      </c>
    </row>
    <row r="5951" ht="15.75" customHeight="1">
      <c r="A5951" s="2" t="s">
        <v>5951</v>
      </c>
      <c r="B5951" s="2" t="str">
        <f>IFERROR(__xludf.DUMMYFUNCTION("GOOGLETRANSLATE(A5951, ""en"", ""mt"")"),"Pressjonijiet totali baxxi użati")</f>
        <v>Pressjonijiet totali baxxi użati</v>
      </c>
    </row>
    <row r="5952" ht="15.75" customHeight="1">
      <c r="A5952" s="2" t="s">
        <v>5952</v>
      </c>
      <c r="B5952" s="2" t="str">
        <f>IFERROR(__xludf.DUMMYFUNCTION("GOOGLETRANSLATE(A5952, ""en"", ""mt"")"),"ħafna klassijiet ta 'kumplessità")</f>
        <v>ħafna klassijiet ta 'kumplessità</v>
      </c>
    </row>
    <row r="5953" ht="15.75" customHeight="1">
      <c r="A5953" s="2" t="s">
        <v>5953</v>
      </c>
      <c r="B5953" s="2" t="str">
        <f>IFERROR(__xludf.DUMMYFUNCTION("GOOGLETRANSLATE(A5953, ""en"", ""mt"")"),"40%")</f>
        <v>40%</v>
      </c>
    </row>
    <row r="5954" ht="15.75" customHeight="1">
      <c r="A5954" s="2" t="s">
        <v>5954</v>
      </c>
      <c r="B5954" s="2" t="str">
        <f>IFERROR(__xludf.DUMMYFUNCTION("GOOGLETRANSLATE(A5954, ""en"", ""mt"")"),"X'ġara mill-missjoni AS-205 oriġinarjament?")</f>
        <v>X'ġara mill-missjoni AS-205 oriġinarjament?</v>
      </c>
    </row>
    <row r="5955" ht="15.75" customHeight="1">
      <c r="A5955" s="2" t="s">
        <v>5955</v>
      </c>
      <c r="B5955" s="2" t="str">
        <f>IFERROR(__xludf.DUMMYFUNCTION("GOOGLETRANSLATE(A5955, ""en"", ""mt"")"),"X'inhu l-ammont minimu ta 'żmien qabel ma kont jista' jidħol fil-liġi?")</f>
        <v>X'inhu l-ammont minimu ta 'żmien qabel ma kont jista' jidħol fil-liġi?</v>
      </c>
    </row>
    <row r="5956" ht="15.75" customHeight="1">
      <c r="A5956" s="2" t="s">
        <v>5956</v>
      </c>
      <c r="B5956" s="2" t="str">
        <f>IFERROR(__xludf.DUMMYFUNCTION("GOOGLETRANSLATE(A5956, ""en"", ""mt"")"),"1919–20")</f>
        <v>1919–20</v>
      </c>
    </row>
    <row r="5957" ht="15.75" customHeight="1">
      <c r="A5957" s="2" t="s">
        <v>5957</v>
      </c>
      <c r="B5957" s="2" t="str">
        <f>IFERROR(__xludf.DUMMYFUNCTION("GOOGLETRANSLATE(A5957, ""en"", ""mt"")"),"il-ftuħ tal-ostilitajiet")</f>
        <v>il-ftuħ tal-ostilitajiet</v>
      </c>
    </row>
    <row r="5958" ht="15.75" customHeight="1">
      <c r="A5958" s="2" t="s">
        <v>5958</v>
      </c>
      <c r="B5958" s="2" t="str">
        <f>IFERROR(__xludf.DUMMYFUNCTION("GOOGLETRANSLATE(A5958, ""en"", ""mt"")"),"Il-Broncos")</f>
        <v>Il-Broncos</v>
      </c>
    </row>
    <row r="5959" ht="15.75" customHeight="1">
      <c r="A5959" s="2" t="s">
        <v>5959</v>
      </c>
      <c r="B5959" s="2" t="str">
        <f>IFERROR(__xludf.DUMMYFUNCTION("GOOGLETRANSLATE(A5959, ""en"", ""mt"")"),"Konkwista fuq żona")</f>
        <v>Konkwista fuq żona</v>
      </c>
    </row>
    <row r="5960" ht="15.75" customHeight="1">
      <c r="A5960" s="2" t="s">
        <v>5960</v>
      </c>
      <c r="B5960" s="2" t="str">
        <f>IFERROR(__xludf.DUMMYFUNCTION("GOOGLETRANSLATE(A5960, ""en"", ""mt"")"),"Amazonia jew il-ġungla tal-Amazon")</f>
        <v>Amazonia jew il-ġungla tal-Amazon</v>
      </c>
    </row>
    <row r="5961" ht="15.75" customHeight="1">
      <c r="A5961" s="2" t="s">
        <v>5961</v>
      </c>
      <c r="B5961" s="2" t="str">
        <f>IFERROR(__xludf.DUMMYFUNCTION("GOOGLETRANSLATE(A5961, ""en"", ""mt"")"),"Liema skola privata notevoli għandha dotazzjoni ta 'bosta mijiet ta' miljun dollaru?")</f>
        <v>Liema skola privata notevoli għandha dotazzjoni ta 'bosta mijiet ta' miljun dollaru?</v>
      </c>
    </row>
    <row r="5962" ht="15.75" customHeight="1">
      <c r="A5962" s="2" t="s">
        <v>5962</v>
      </c>
      <c r="B5962" s="2" t="str">
        <f>IFERROR(__xludf.DUMMYFUNCTION("GOOGLETRANSLATE(A5962, ""en"", ""mt"")"),"Storm Tropikali Beryl")</f>
        <v>Storm Tropikali Beryl</v>
      </c>
    </row>
    <row r="5963" ht="15.75" customHeight="1">
      <c r="A5963" s="2" t="s">
        <v>5963</v>
      </c>
      <c r="B5963" s="2" t="str">
        <f>IFERROR(__xludf.DUMMYFUNCTION("GOOGLETRANSLATE(A5963, ""en"", ""mt"")"),"Għall-eżerċizzju")</f>
        <v>Għall-eżerċizzju</v>
      </c>
    </row>
    <row r="5964" ht="15.75" customHeight="1">
      <c r="A5964" s="2" t="s">
        <v>5964</v>
      </c>
      <c r="B5964" s="2" t="str">
        <f>IFERROR(__xludf.DUMMYFUNCTION("GOOGLETRANSLATE(A5964, ""en"", ""mt"")"),"Shen Kuo")</f>
        <v>Shen Kuo</v>
      </c>
    </row>
    <row r="5965" ht="15.75" customHeight="1">
      <c r="A5965" s="2" t="s">
        <v>5965</v>
      </c>
      <c r="B5965" s="2" t="str">
        <f>IFERROR(__xludf.DUMMYFUNCTION("GOOGLETRANSLATE(A5965, ""en"", ""mt"")"),"xmara xmara.")</f>
        <v>xmara xmara.</v>
      </c>
    </row>
    <row r="5966" ht="15.75" customHeight="1">
      <c r="A5966" s="2" t="s">
        <v>5966</v>
      </c>
      <c r="B5966" s="2" t="str">
        <f>IFERROR(__xludf.DUMMYFUNCTION("GOOGLETRANSLATE(A5966, ""en"", ""mt"")"),"X'tip ta 'diżubbidjenza ċivili hija skala akbar?")</f>
        <v>X'tip ta 'diżubbidjenza ċivili hija skala akbar?</v>
      </c>
    </row>
    <row r="5967" ht="15.75" customHeight="1">
      <c r="A5967" s="2" t="s">
        <v>5967</v>
      </c>
      <c r="B5967" s="2" t="str">
        <f>IFERROR(__xludf.DUMMYFUNCTION("GOOGLETRANSLATE(A5967, ""en"", ""mt"")"),"X'jistgħu sintetizzati l-apikoplasti?")</f>
        <v>X'jistgħu sintetizzati l-apikoplasti?</v>
      </c>
    </row>
    <row r="5968" ht="15.75" customHeight="1">
      <c r="A5968" s="2" t="s">
        <v>5968</v>
      </c>
      <c r="B5968" s="2" t="str">
        <f>IFERROR(__xludf.DUMMYFUNCTION("GOOGLETRANSLATE(A5968, ""en"", ""mt"")"),"F'liema post wieħed kien il-qari tal-istorbju fi Newcastle li ttieħdu?")</f>
        <v>F'liema post wieħed kien il-qari tal-istorbju fi Newcastle li ttieħdu?</v>
      </c>
    </row>
    <row r="5969" ht="15.75" customHeight="1">
      <c r="A5969" s="2" t="s">
        <v>5969</v>
      </c>
      <c r="B5969" s="2" t="str">
        <f>IFERROR(__xludf.DUMMYFUNCTION("GOOGLETRANSLATE(A5969, ""en"", ""mt"")"),"Iċ-ċili mwebbsa")</f>
        <v>Iċ-ċili mwebbsa</v>
      </c>
    </row>
    <row r="5970" ht="15.75" customHeight="1">
      <c r="A5970" s="2" t="s">
        <v>5970</v>
      </c>
      <c r="B5970" s="2" t="str">
        <f>IFERROR(__xludf.DUMMYFUNCTION("GOOGLETRANSLATE(A5970, ""en"", ""mt"")"),"Iqbal inkwetat li l-popolazzjoni l-aktar hindu tal-Indja kienet tagħmel dak li l-wirt u l-kultura Musulmana?")</f>
        <v>Iqbal inkwetat li l-popolazzjoni l-aktar hindu tal-Indja kienet tagħmel dak li l-wirt u l-kultura Musulmana?</v>
      </c>
    </row>
    <row r="5971" ht="15.75" customHeight="1">
      <c r="A5971" s="2" t="s">
        <v>5971</v>
      </c>
      <c r="B5971" s="2" t="str">
        <f>IFERROR(__xludf.DUMMYFUNCTION("GOOGLETRANSLATE(A5971, ""en"", ""mt"")"),"Min jistgħu l-għalliema jinjoraw, sabiex jipprijoritizzaw l-attenzjoni?")</f>
        <v>Min jistgħu l-għalliema jinjoraw, sabiex jipprijoritizzaw l-attenzjoni?</v>
      </c>
    </row>
    <row r="5972" ht="15.75" customHeight="1">
      <c r="A5972" s="2" t="s">
        <v>5972</v>
      </c>
      <c r="B5972" s="2" t="str">
        <f>IFERROR(__xludf.DUMMYFUNCTION("GOOGLETRANSLATE(A5972, ""en"", ""mt"")"),"Wirja kbira")</f>
        <v>Wirja kbira</v>
      </c>
    </row>
    <row r="5973" ht="15.75" customHeight="1">
      <c r="A5973" s="2" t="s">
        <v>5973</v>
      </c>
      <c r="B5973" s="2" t="str">
        <f>IFERROR(__xludf.DUMMYFUNCTION("GOOGLETRANSLATE(A5973, ""en"", ""mt"")"),"Briefing B-265")</f>
        <v>Briefing B-265</v>
      </c>
    </row>
    <row r="5974" ht="15.75" customHeight="1">
      <c r="A5974" s="2" t="s">
        <v>5974</v>
      </c>
      <c r="B5974" s="2" t="str">
        <f>IFERROR(__xludf.DUMMYFUNCTION("GOOGLETRANSLATE(A5974, ""en"", ""mt"")"),"2007")</f>
        <v>2007</v>
      </c>
    </row>
    <row r="5975" ht="15.75" customHeight="1">
      <c r="A5975" s="2" t="s">
        <v>5975</v>
      </c>
      <c r="B5975" s="2" t="str">
        <f>IFERROR(__xludf.DUMMYFUNCTION("GOOGLETRANSLATE(A5975, ""en"", ""mt"")"),"Kif kien jissejjaħ il-Wing Henry Cole qabel?")</f>
        <v>Kif kien jissejjaħ il-Wing Henry Cole qabel?</v>
      </c>
    </row>
    <row r="5976" ht="15.75" customHeight="1">
      <c r="A5976" s="2" t="s">
        <v>5976</v>
      </c>
      <c r="B5976" s="2" t="str">
        <f>IFERROR(__xludf.DUMMYFUNCTION("GOOGLETRANSLATE(A5976, ""en"", ""mt"")"),"Kemm bits huma tipikament użati fil-primes għall-iskambju ewlieni Diffie-Hellman?")</f>
        <v>Kemm bits huma tipikament użati fil-primes għall-iskambju ewlieni Diffie-Hellman?</v>
      </c>
    </row>
    <row r="5977" ht="15.75" customHeight="1">
      <c r="A5977" s="2" t="s">
        <v>5977</v>
      </c>
      <c r="B5977" s="2" t="str">
        <f>IFERROR(__xludf.DUMMYFUNCTION("GOOGLETRANSLATE(A5977, ""en"", ""mt"")"),"Jekk hemm kunflitt bejn il-liġi tal-UE u l-liġi nazzjonali, liema liġi tieħu preċedenza?")</f>
        <v>Jekk hemm kunflitt bejn il-liġi tal-UE u l-liġi nazzjonali, liema liġi tieħu preċedenza?</v>
      </c>
    </row>
    <row r="5978" ht="15.75" customHeight="1">
      <c r="A5978" s="2" t="s">
        <v>5978</v>
      </c>
      <c r="B5978" s="2" t="str">
        <f>IFERROR(__xludf.DUMMYFUNCTION("GOOGLETRANSLATE(A5978, ""en"", ""mt"")"),"L-iktar offerent effiċjenti fl-ispiża")</f>
        <v>L-iktar offerent effiċjenti fl-ispiża</v>
      </c>
    </row>
    <row r="5979" ht="15.75" customHeight="1">
      <c r="A5979" s="2" t="s">
        <v>5979</v>
      </c>
      <c r="B5979" s="2" t="str">
        <f>IFERROR(__xludf.DUMMYFUNCTION("GOOGLETRANSLATE(A5979, ""en"", ""mt"")"),"Louisiana Franċiża")</f>
        <v>Louisiana Franċiża</v>
      </c>
    </row>
    <row r="5980" ht="15.75" customHeight="1">
      <c r="A5980" s="2" t="s">
        <v>5980</v>
      </c>
      <c r="B5980" s="2" t="str">
        <f>IFERROR(__xludf.DUMMYFUNCTION("GOOGLETRANSLATE(A5980, ""en"", ""mt"")"),"Mocama")</f>
        <v>Mocama</v>
      </c>
    </row>
    <row r="5981" ht="15.75" customHeight="1">
      <c r="A5981" s="2" t="s">
        <v>5981</v>
      </c>
      <c r="B5981" s="2" t="str">
        <f>IFERROR(__xludf.DUMMYFUNCTION("GOOGLETRANSLATE(A5981, ""en"", ""mt"")"),"X'kien l-effett tal-ħabta tad-djar fuq ir-reġjun?")</f>
        <v>X'kien l-effett tal-ħabta tad-djar fuq ir-reġjun?</v>
      </c>
    </row>
    <row r="5982" ht="15.75" customHeight="1">
      <c r="A5982" s="2" t="s">
        <v>5982</v>
      </c>
      <c r="B5982" s="2" t="str">
        <f>IFERROR(__xludf.DUMMYFUNCTION("GOOGLETRANSLATE(A5982, ""en"", ""mt"")"),"X'inhi d-dar tal-marea?")</f>
        <v>X'inhi d-dar tal-marea?</v>
      </c>
    </row>
    <row r="5983" ht="15.75" customHeight="1">
      <c r="A5983" s="2" t="s">
        <v>5983</v>
      </c>
      <c r="B5983" s="2" t="str">
        <f>IFERROR(__xludf.DUMMYFUNCTION("GOOGLETRANSLATE(A5983, ""en"", ""mt"")"),"Organizzazzjonijiet ta 'Studenti Rikonoxxuti (RSOs)")</f>
        <v>Organizzazzjonijiet ta 'Studenti Rikonoxxuti (RSOs)</v>
      </c>
    </row>
    <row r="5984" ht="15.75" customHeight="1">
      <c r="A5984" s="2" t="s">
        <v>5984</v>
      </c>
      <c r="B5984" s="2" t="str">
        <f>IFERROR(__xludf.DUMMYFUNCTION("GOOGLETRANSLATE(A5984, ""en"", ""mt"")"),"F’liema sena kien l-ispettaklu tal-40 anniversarju tat-Tabib Min?")</f>
        <v>F’liema sena kien l-ispettaklu tal-40 anniversarju tat-Tabib Min?</v>
      </c>
    </row>
    <row r="5985" ht="15.75" customHeight="1">
      <c r="A5985" s="2" t="s">
        <v>5985</v>
      </c>
      <c r="B5985" s="2" t="str">
        <f>IFERROR(__xludf.DUMMYFUNCTION("GOOGLETRANSLATE(A5985, ""en"", ""mt"")"),"Henry Moore u Jacob Epstein")</f>
        <v>Henry Moore u Jacob Epstein</v>
      </c>
    </row>
    <row r="5986" ht="15.75" customHeight="1">
      <c r="A5986" s="2" t="s">
        <v>5986</v>
      </c>
      <c r="B5986" s="2" t="str">
        <f>IFERROR(__xludf.DUMMYFUNCTION("GOOGLETRANSLATE(A5986, ""en"", ""mt"")"),"ram gilt")</f>
        <v>ram gilt</v>
      </c>
    </row>
    <row r="5987" ht="15.75" customHeight="1">
      <c r="A5987" s="2" t="s">
        <v>5987</v>
      </c>
      <c r="B5987" s="2" t="str">
        <f>IFERROR(__xludf.DUMMYFUNCTION("GOOGLETRANSLATE(A5987, ""en"", ""mt"")"),"Benjamin")</f>
        <v>Benjamin</v>
      </c>
    </row>
    <row r="5988" ht="15.75" customHeight="1">
      <c r="A5988" s="2" t="s">
        <v>5988</v>
      </c>
      <c r="B5988" s="2" t="str">
        <f>IFERROR(__xludf.DUMMYFUNCTION("GOOGLETRANSLATE(A5988, ""en"", ""mt"")"),"400 m wiesa '")</f>
        <v>400 m wiesa '</v>
      </c>
    </row>
    <row r="5989" ht="15.75" customHeight="1">
      <c r="A5989" s="2" t="s">
        <v>5989</v>
      </c>
      <c r="B5989" s="2" t="str">
        <f>IFERROR(__xludf.DUMMYFUNCTION("GOOGLETRANSLATE(A5989, ""en"", ""mt"")"),"Iberia")</f>
        <v>Iberia</v>
      </c>
    </row>
    <row r="5990" ht="15.75" customHeight="1">
      <c r="A5990" s="2" t="s">
        <v>5990</v>
      </c>
      <c r="B5990" s="2" t="str">
        <f>IFERROR(__xludf.DUMMYFUNCTION("GOOGLETRANSLATE(A5990, ""en"", ""mt"")"),"Xi wħud jargumentaw li l-Knisja Metodista Magħquda tista 'tpoġġi talba fuq suċċessjoni appostolika, kif mifhum fis-sens tradizzjonali. Bħala riżultat tar-Rivoluzzjoni Amerikana, John Wesley kien imġiegħel fl-1784 ikisser ma 'prattika standard u jordna tne"&amp;"jn mill-predikaturi lajċi tiegħu bħala Presbyters, Thomas Vasey u Richard Whatcoat. Dr Thomas Coke, diġà qassis Anglikan, għen lil Wesley f'din l-azzjoni. Il-Kokk imbagħad ġie ""mwarrab"" bħala Supretendent (Isqof) minn Wesley u mibgħut ma 'Vasey u Whatco"&amp;"at lejn l-Amerika biex jieħu ħsieb l-attivitajiet Metodisti hemmhekk. Fid-difiża tal-azzjoni tiegħu biex tordna, Wesley innifsu kkwota opinjoni antika mill-Knisja ta ’Lixandra, li qalet li l-isqfijiet u l-presbyters kienu jikkostitwixxu ordni waħda u għal"&amp;"hekk, l-isqfijiet għandhom jiġu eletti minn u mill-presbiterat. Huwa kien jaf li għal żewġ sekli s-suċċessjoni tal-isqfijiet fil-Knisja ta ’Lixandra kienet ippreservata permezz ta’ ordinazzjoni mill-presbyters biss u kienet meqjusa valida mill-knisja tal-"&amp;"qedem. Illum il-Metodisti li jargumentaw għas-suċċessjoni apostolika jagħmlu dan għal dawn ir-raġunijiet.")</f>
        <v>Xi wħud jargumentaw li l-Knisja Metodista Magħquda tista 'tpoġġi talba fuq suċċessjoni appostolika, kif mifhum fis-sens tradizzjonali. Bħala riżultat tar-Rivoluzzjoni Amerikana, John Wesley kien imġiegħel fl-1784 ikisser ma 'prattika standard u jordna tnejn mill-predikaturi lajċi tiegħu bħala Presbyters, Thomas Vasey u Richard Whatcoat. Dr Thomas Coke, diġà qassis Anglikan, għen lil Wesley f'din l-azzjoni. Il-Kokk imbagħad ġie "mwarrab" bħala Supretendent (Isqof) minn Wesley u mibgħut ma 'Vasey u Whatcoat lejn l-Amerika biex jieħu ħsieb l-attivitajiet Metodisti hemmhekk. Fid-difiża tal-azzjoni tiegħu biex tordna, Wesley innifsu kkwota opinjoni antika mill-Knisja ta ’Lixandra, li qalet li l-isqfijiet u l-presbyters kienu jikkostitwixxu ordni waħda u għalhekk, l-isqfijiet għandhom jiġu eletti minn u mill-presbiterat. Huwa kien jaf li għal żewġ sekli s-suċċessjoni tal-isqfijiet fil-Knisja ta ’Lixandra kienet ippreservata permezz ta’ ordinazzjoni mill-presbyters biss u kienet meqjusa valida mill-knisja tal-qedem. Illum il-Metodisti li jargumentaw għas-suċċessjoni apostolika jagħmlu dan għal dawn ir-raġunijiet.</v>
      </c>
    </row>
    <row r="5991" ht="15.75" customHeight="1">
      <c r="A5991" s="2" t="s">
        <v>5991</v>
      </c>
      <c r="B5991" s="2" t="str">
        <f>IFERROR(__xludf.DUMMYFUNCTION("GOOGLETRANSLATE(A5991, ""en"", ""mt"")"),"Hekk kif jidħlu fis-seħħ, sakemm ma jingħadx mod ieħor")</f>
        <v>Hekk kif jidħlu fis-seħħ, sakemm ma jingħadx mod ieħor</v>
      </c>
    </row>
    <row r="5992" ht="15.75" customHeight="1">
      <c r="A5992" s="2" t="s">
        <v>5992</v>
      </c>
      <c r="B5992" s="2" t="str">
        <f>IFERROR(__xludf.DUMMYFUNCTION("GOOGLETRANSLATE(A5992, ""en"", ""mt"")"),"Ma 'Rivera wara li kien linebacker ma' Chicago Bears fis-Super Bowl XX, u Kubiak ħa post Elway fl-aħħar tat-telfiet ta 'Broncos fis-Super Bowls XXI u XXIV, dan se jkun l-ewwel Super Bowl li fih iż-żewġ kowċis Head lagħbu fil-logħba huma stess.")</f>
        <v>Ma 'Rivera wara li kien linebacker ma' Chicago Bears fis-Super Bowl XX, u Kubiak ħa post Elway fl-aħħar tat-telfiet ta 'Broncos fis-Super Bowls XXI u XXIV, dan se jkun l-ewwel Super Bowl li fih iż-żewġ kowċis Head lagħbu fil-logħba huma stess.</v>
      </c>
    </row>
    <row r="5993" ht="15.75" customHeight="1">
      <c r="A5993" s="2" t="s">
        <v>5993</v>
      </c>
      <c r="B5993" s="2" t="str">
        <f>IFERROR(__xludf.DUMMYFUNCTION("GOOGLETRANSLATE(A5993, ""en"", ""mt"")"),"X'inhi s-suppożizzjoni mhux ippruvata ġeneralment attribwita għall-valur tal-klassijiet ta 'kumplessità?")</f>
        <v>X'inhi s-suppożizzjoni mhux ippruvata ġeneralment attribwita għall-valur tal-klassijiet ta 'kumplessità?</v>
      </c>
    </row>
    <row r="5994" ht="15.75" customHeight="1">
      <c r="A5994" s="2" t="s">
        <v>5994</v>
      </c>
      <c r="B5994" s="2" t="str">
        <f>IFERROR(__xludf.DUMMYFUNCTION("GOOGLETRANSLATE(A5994, ""en"", ""mt"")"),"Tekniki ta 'reazzjoni fil-katina tal-polimerażi (PCR)")</f>
        <v>Tekniki ta 'reazzjoni fil-katina tal-polimerażi (PCR)</v>
      </c>
    </row>
    <row r="5995" ht="15.75" customHeight="1">
      <c r="A5995" s="2" t="s">
        <v>5995</v>
      </c>
      <c r="B5995" s="2" t="str">
        <f>IFERROR(__xludf.DUMMYFUNCTION("GOOGLETRANSLATE(A5995, ""en"", ""mt"")"),"funzjonijiet")</f>
        <v>funzjonijiet</v>
      </c>
    </row>
    <row r="5996" ht="15.75" customHeight="1">
      <c r="A5996" s="2" t="s">
        <v>5996</v>
      </c>
      <c r="B5996" s="2" t="str">
        <f>IFERROR(__xludf.DUMMYFUNCTION("GOOGLETRANSLATE(A5996, ""en"", ""mt"")"),"X'inhu l-isem tal-organizzazzjoni inkarigata mit-tmexxija tal-klabbs fl-università?")</f>
        <v>X'inhu l-isem tal-organizzazzjoni inkarigata mit-tmexxija tal-klabbs fl-università?</v>
      </c>
    </row>
    <row r="5997" ht="15.75" customHeight="1">
      <c r="A5997" s="2" t="s">
        <v>5997</v>
      </c>
      <c r="B5997" s="2" t="str">
        <f>IFERROR(__xludf.DUMMYFUNCTION("GOOGLETRANSLATE(A5997, ""en"", ""mt"")"),"Min patronizza l-patrijiet fl-Italja?")</f>
        <v>Min patronizza l-patrijiet fl-Italja?</v>
      </c>
    </row>
    <row r="5998" ht="15.75" customHeight="1">
      <c r="A5998" s="2" t="s">
        <v>5998</v>
      </c>
      <c r="B5998" s="2" t="str">
        <f>IFERROR(__xludf.DUMMYFUNCTION("GOOGLETRANSLATE(A5998, ""en"", ""mt"")"),"Bermuda ibrida 419")</f>
        <v>Bermuda ibrida 419</v>
      </c>
    </row>
    <row r="5999" ht="15.75" customHeight="1">
      <c r="A5999" s="2" t="s">
        <v>5999</v>
      </c>
      <c r="B5999" s="2" t="str">
        <f>IFERROR(__xludf.DUMMYFUNCTION("GOOGLETRANSLATE(A5999, ""en"", ""mt"")"),"Showmanship")</f>
        <v>Showmanship</v>
      </c>
    </row>
    <row r="6000" ht="15.75" customHeight="1">
      <c r="A6000" s="2" t="s">
        <v>6000</v>
      </c>
      <c r="B6000" s="2" t="str">
        <f>IFERROR(__xludf.DUMMYFUNCTION("GOOGLETRANSLATE(A6000, ""en"", ""mt"")"),"Magħmudija")</f>
        <v>Magħmudija</v>
      </c>
    </row>
    <row r="6001" ht="15.75" customHeight="1">
      <c r="A6001" s="2" t="s">
        <v>6001</v>
      </c>
      <c r="B6001" s="2" t="str">
        <f>IFERROR(__xludf.DUMMYFUNCTION("GOOGLETRANSLATE(A6001, ""en"", ""mt"")"),"Muntanji Tehachapi")</f>
        <v>Muntanji Tehachapi</v>
      </c>
    </row>
    <row r="6002" ht="15.75" customHeight="1">
      <c r="A6002" s="2" t="s">
        <v>6002</v>
      </c>
      <c r="B6002" s="2" t="str">
        <f>IFERROR(__xludf.DUMMYFUNCTION("GOOGLETRANSLATE(A6002, ""en"", ""mt"")"),"Fl-1965, l-entità korporattiva, teatri Amerikani ta 'xandir-Paramount, ġiet imsemmija mill-ġdid bħala l-kumpaniji tax-xandir Amerikani, filwaqt li d-diviżjoni taċ-ċinema tagħha saret Teatri ABC; [Citation meħtieġa] id-diviżjoni tar-reġistrazzjoni tagħha ġ"&amp;"iet imsejħa mill-ġdid ABC Records fl-1966. F'Diċembru ta' dik is-sena, In-Netwerk tat-Televiżjoni ABC ħareġ il-logħba tal-dating, serje pijuniera fil-ġeneru tagħha, li kienet xogħol mill-ġdid tal-kunċett tad-data għomja li fih suitor għażel wieħed minn tl"&amp;"iet kontestanti li ma jidhrux ibbażati fuq it-tweġibiet għal mistoqsijiet magħżula. Dan ġie segwit f'Lulju tal-1966 mil-logħba li għadha kemm ġiet miżżewġa, li fiha tliet koppji miżżewġa reċentement li qtajna t-tweġibiet għall-mistoqsijiet tas-sieħeb tagħ"&amp;"hom (li wħud minnhom kienu pjuttost risque). Hekk kif ABC beda jegħleb il-faċilitajiet tiegħu fis-7 West 66th Street, Goldenson sab kwartieri ġenerali ġodda għal ABC f'bini ta '44 storja li jinsab fil-1330 Vjal tal-Amerika f'Manhattan, fil-kantuniera ta '"&amp;"54th Street (issa okkupat mill-Financial Times's New York uffiċċju). Din l-operazzjoni ppermettiet il-konverżjoni tal-fond fis-66th Street f'faċilitajiet ta 'produzzjoni għal programmi tat-televiżjoni u tar-radju.")</f>
        <v>Fl-1965, l-entità korporattiva, teatri Amerikani ta 'xandir-Paramount, ġiet imsemmija mill-ġdid bħala l-kumpaniji tax-xandir Amerikani, filwaqt li d-diviżjoni taċ-ċinema tagħha saret Teatri ABC; [Citation meħtieġa] id-diviżjoni tar-reġistrazzjoni tagħha ġiet imsejħa mill-ġdid ABC Records fl-1966. F'Diċembru ta' dik is-sena, In-Netwerk tat-Televiżjoni ABC ħareġ il-logħba tal-dating, serje pijuniera fil-ġeneru tagħha, li kienet xogħol mill-ġdid tal-kunċett tad-data għomja li fih suitor għażel wieħed minn tliet kontestanti li ma jidhrux ibbażati fuq it-tweġibiet għal mistoqsijiet magħżula. Dan ġie segwit f'Lulju tal-1966 mil-logħba li għadha kemm ġiet miżżewġa, li fiha tliet koppji miżżewġa reċentement li qtajna t-tweġibiet għall-mistoqsijiet tas-sieħeb tagħhom (li wħud minnhom kienu pjuttost risque). Hekk kif ABC beda jegħleb il-faċilitajiet tiegħu fis-7 West 66th Street, Goldenson sab kwartieri ġenerali ġodda għal ABC f'bini ta '44 storja li jinsab fil-1330 Vjal tal-Amerika f'Manhattan, fil-kantuniera ta '54th Street (issa okkupat mill-Financial Times's New York uffiċċju). Din l-operazzjoni ppermettiet il-konverżjoni tal-fond fis-66th Street f'faċilitajiet ta 'produzzjoni għal programmi tat-televiżjoni u tar-radju.</v>
      </c>
    </row>
    <row r="6003" ht="15.75" customHeight="1">
      <c r="A6003" s="2" t="s">
        <v>6003</v>
      </c>
      <c r="B6003" s="2" t="str">
        <f>IFERROR(__xludf.DUMMYFUNCTION("GOOGLETRANSLATE(A6003, ""en"", ""mt"")"),"xibka")</f>
        <v>xibka</v>
      </c>
    </row>
    <row r="6004" ht="15.75" customHeight="1">
      <c r="A6004" s="2" t="s">
        <v>6004</v>
      </c>
      <c r="B6004" s="2" t="str">
        <f>IFERROR(__xludf.DUMMYFUNCTION("GOOGLETRANSLATE(A6004, ""en"", ""mt"")"),"Laqgħa f'Albany")</f>
        <v>Laqgħa f'Albany</v>
      </c>
    </row>
    <row r="6005" ht="15.75" customHeight="1">
      <c r="A6005" s="2" t="s">
        <v>6005</v>
      </c>
      <c r="B6005" s="2" t="str">
        <f>IFERROR(__xludf.DUMMYFUNCTION("GOOGLETRANSLATE(A6005, ""en"", ""mt"")"),"platyctenids")</f>
        <v>platyctenids</v>
      </c>
    </row>
    <row r="6006" ht="15.75" customHeight="1">
      <c r="A6006" s="2" t="s">
        <v>6006</v>
      </c>
      <c r="B6006" s="2" t="str">
        <f>IFERROR(__xludf.DUMMYFUNCTION("GOOGLETRANSLATE(A6006, ""en"", ""mt"")"),"X'tip ta 'rwol li jfittex l-Iżlamiżmu jagħmilha kunċett kemmxejn kontroversjali?")</f>
        <v>X'tip ta 'rwol li jfittex l-Iżlamiżmu jagħmilha kunċett kemmxejn kontroversjali?</v>
      </c>
    </row>
    <row r="6007" ht="15.75" customHeight="1">
      <c r="A6007" s="2" t="s">
        <v>6007</v>
      </c>
      <c r="B6007" s="2" t="str">
        <f>IFERROR(__xludf.DUMMYFUNCTION("GOOGLETRANSLATE(A6007, ""en"", ""mt"")"),"L-għajbien ta 'Luther waqt il-vjaġġ tar-ritorn tiegħu lura lejn Wittenberg kien ippjanat. Frederick III kellu miegħu interċettat fi triqtu lejn id-dar fil-foresta ħdejn Wittenberg minn kavallieri mgħottija li kienu magħmula biex jidhru bħala awtostradi ar"&amp;"mati. Huma skortaw lil Luther għas-sigurtà tal-Kastell ta 'Wartburg f'Eisenach. Matul il-waqfa tiegħu f'Wartburg, li hu rrefera għalih bħala ""Patmos tiegħi"", Luther tradotta t-Testment il-Ġdid mill-Grieg lejn il-Ġermaniż u nefa 'kitbiet duttrinali u pol"&amp;"emiċi. Dawn kienu jinkludu attakk imġedded fuq l-Arċisqof Albrecht ta 'Mainz, li hu mistħija biex iwaqqaf il-bejgħ ta' indulġenzi fl-episkopati tiegħu, u ""rifutazzjoni ta 'l-argument ta' Latomus,"" li fih huwa espost il-prinċipju ta 'ġustifikazzjoni għal"&amp;" Jacobus latomus, teologu Ortodoss Minn Louvain.")</f>
        <v>L-għajbien ta 'Luther waqt il-vjaġġ tar-ritorn tiegħu lura lejn Wittenberg kien ippjanat. Frederick III kellu miegħu interċettat fi triqtu lejn id-dar fil-foresta ħdejn Wittenberg minn kavallieri mgħottija li kienu magħmula biex jidhru bħala awtostradi armati. Huma skortaw lil Luther għas-sigurtà tal-Kastell ta 'Wartburg f'Eisenach. Matul il-waqfa tiegħu f'Wartburg, li hu rrefera għalih bħala "Patmos tiegħi", Luther tradotta t-Testment il-Ġdid mill-Grieg lejn il-Ġermaniż u nefa 'kitbiet duttrinali u polemiċi. Dawn kienu jinkludu attakk imġedded fuq l-Arċisqof Albrecht ta 'Mainz, li hu mistħija biex iwaqqaf il-bejgħ ta' indulġenzi fl-episkopati tiegħu, u "rifutazzjoni ta 'l-argument ta' Latomus," li fih huwa espost il-prinċipju ta 'ġustifikazzjoni għal Jacobus latomus, teologu Ortodoss Minn Louvain.</v>
      </c>
    </row>
    <row r="6008" ht="15.75" customHeight="1">
      <c r="A6008" s="2" t="s">
        <v>6008</v>
      </c>
      <c r="B6008" s="2" t="str">
        <f>IFERROR(__xludf.DUMMYFUNCTION("GOOGLETRANSLATE(A6008, ""en"", ""mt"")"),"~ 8,000 sena ilu")</f>
        <v>~ 8,000 sena ilu</v>
      </c>
    </row>
    <row r="6009" ht="15.75" customHeight="1">
      <c r="A6009" s="2" t="s">
        <v>6009</v>
      </c>
      <c r="B6009" s="2" t="str">
        <f>IFERROR(__xludf.DUMMYFUNCTION("GOOGLETRANSLATE(A6009, ""en"", ""mt"")"),"Katastrofizmu")</f>
        <v>Katastrofizmu</v>
      </c>
    </row>
    <row r="6010" ht="15.75" customHeight="1">
      <c r="A6010" s="2" t="s">
        <v>6010</v>
      </c>
      <c r="B6010" s="2" t="str">
        <f>IFERROR(__xludf.DUMMYFUNCTION("GOOGLETRANSLATE(A6010, ""en"", ""mt"")"),"Kemm tunnellata ta 'pjanti ħajjin instabu li jgħixu f'kilometru kwadru tal-foresta tropikali tal-Amażonja fl-1999?")</f>
        <v>Kemm tunnellata ta 'pjanti ħajjin instabu li jgħixu f'kilometru kwadru tal-foresta tropikali tal-Amażonja fl-1999?</v>
      </c>
    </row>
    <row r="6011" ht="15.75" customHeight="1">
      <c r="A6011" s="2" t="s">
        <v>6011</v>
      </c>
      <c r="B6011" s="2" t="str">
        <f>IFERROR(__xludf.DUMMYFUNCTION("GOOGLETRANSLATE(A6011, ""en"", ""mt"")"),"DataNet 1 kien in-netwerk tad-dejta tal-pubbliku qalbu mit-telekomunikazzjoni PTT Olandiża (issa magħrufa bħala KPN). Datanet 1 strettament irrefera biss għan-netwerk u l-utenti konnessi permezz ta ’linji mikrija (bl-użu tal-X.121 DNIC 2041), l-isem irref"&amp;"era wkoll għas-servizz tal-kuxxinett pubbliku TelePad (bl-użu tad-DNIC 2049). U minħabba li s-servizz ewlieni tal-vidjotex uża n-netwerk u l-apparati tal-kuxxinett modifikat bħala infrastruttura l-isem Datanet 1 intuża wkoll għal dawn is-servizzi. Għalkem"&amp;"m dan l-użu tal-isem ma kienx korrett dawn is-servizzi kollha kienu ġestiti mill-istess nies fi ħdan dipartiment wieħed tal-KPN ikkontribwew għall-konfużjoni.")</f>
        <v>DataNet 1 kien in-netwerk tad-dejta tal-pubbliku qalbu mit-telekomunikazzjoni PTT Olandiża (issa magħrufa bħala KPN). Datanet 1 strettament irrefera biss għan-netwerk u l-utenti konnessi permezz ta ’linji mikrija (bl-użu tal-X.121 DNIC 2041), l-isem irrefera wkoll għas-servizz tal-kuxxinett pubbliku TelePad (bl-użu tad-DNIC 2049). U minħabba li s-servizz ewlieni tal-vidjotex uża n-netwerk u l-apparati tal-kuxxinett modifikat bħala infrastruttura l-isem Datanet 1 intuża wkoll għal dawn is-servizzi. Għalkemm dan l-użu tal-isem ma kienx korrett dawn is-servizzi kollha kienu ġestiti mill-istess nies fi ħdan dipartiment wieħed tal-KPN ikkontribwew għall-konfużjoni.</v>
      </c>
    </row>
    <row r="6012" ht="15.75" customHeight="1">
      <c r="A6012" s="2" t="s">
        <v>6012</v>
      </c>
      <c r="B6012" s="2" t="str">
        <f>IFERROR(__xludf.DUMMYFUNCTION("GOOGLETRANSLATE(A6012, ""en"", ""mt"")"),"X’għamel il-President Kennedy bi tweġiba għat-titjira Sovjetika fir-rigward tal-programm tal-Amerika?")</f>
        <v>X’għamel il-President Kennedy bi tweġiba għat-titjira Sovjetika fir-rigward tal-programm tal-Amerika?</v>
      </c>
    </row>
    <row r="6013" ht="15.75" customHeight="1">
      <c r="A6013" s="2" t="s">
        <v>6013</v>
      </c>
      <c r="B6013" s="2" t="str">
        <f>IFERROR(__xludf.DUMMYFUNCTION("GOOGLETRANSLATE(A6013, ""en"", ""mt"")"),"dwar id-dispożizzjoni tal-effetti personali tal-priġunieri")</f>
        <v>dwar id-dispożizzjoni tal-effetti personali tal-priġunieri</v>
      </c>
    </row>
    <row r="6014" ht="15.75" customHeight="1">
      <c r="A6014" s="2" t="s">
        <v>6014</v>
      </c>
      <c r="B6014" s="2" t="str">
        <f>IFERROR(__xludf.DUMMYFUNCTION("GOOGLETRANSLATE(A6014, ""en"", ""mt"")"),"Il-kelma imperjalizmu għandha l-oriġini tagħha li fiha lingwa antika?")</f>
        <v>Il-kelma imperjalizmu għandha l-oriġini tagħha li fiha lingwa antika?</v>
      </c>
    </row>
    <row r="6015" ht="15.75" customHeight="1">
      <c r="A6015" s="2" t="s">
        <v>6015</v>
      </c>
      <c r="B6015" s="2" t="str">
        <f>IFERROR(__xludf.DUMMYFUNCTION("GOOGLETRANSLATE(A6015, ""en"", ""mt"")"),"Films tat-tieni u t-tielet ġirja, flimkien ma 'films klassiċi")</f>
        <v>Films tat-tieni u t-tielet ġirja, flimkien ma 'films klassiċi</v>
      </c>
    </row>
    <row r="6016" ht="15.75" customHeight="1">
      <c r="A6016" s="2" t="s">
        <v>6016</v>
      </c>
      <c r="B6016" s="2" t="str">
        <f>IFERROR(__xludf.DUMMYFUNCTION("GOOGLETRANSLATE(A6016, ""en"", ""mt"")"),"Peyton Manning ħa kemm timijiet differenti għas-Super Bowl?")</f>
        <v>Peyton Manning ħa kemm timijiet differenti għas-Super Bowl?</v>
      </c>
    </row>
    <row r="6017" ht="15.75" customHeight="1">
      <c r="A6017" s="2" t="s">
        <v>6017</v>
      </c>
      <c r="B6017" s="2" t="str">
        <f>IFERROR(__xludf.DUMMYFUNCTION("GOOGLETRANSLATE(A6017, ""en"", ""mt"")"),"L-IP u l-AM huma l-aktar definiti minn liema tip ta 'sistema ta' prova?")</f>
        <v>L-IP u l-AM huma l-aktar definiti minn liema tip ta 'sistema ta' prova?</v>
      </c>
    </row>
    <row r="6018" ht="15.75" customHeight="1">
      <c r="A6018" s="2" t="s">
        <v>6018</v>
      </c>
      <c r="B6018" s="2" t="str">
        <f>IFERROR(__xludf.DUMMYFUNCTION("GOOGLETRANSLATE(A6018, ""en"", ""mt"")"),"Kontej tal-baqar")</f>
        <v>Kontej tal-baqar</v>
      </c>
    </row>
    <row r="6019" ht="15.75" customHeight="1">
      <c r="A6019" s="2" t="s">
        <v>6019</v>
      </c>
      <c r="B6019" s="2" t="str">
        <f>IFERROR(__xludf.DUMMYFUNCTION("GOOGLETRANSLATE(A6019, ""en"", ""mt"")"),"Kemm punti rritornaw Ted Ginn Jr?")</f>
        <v>Kemm punti rritornaw Ted Ginn Jr?</v>
      </c>
    </row>
    <row r="6020" ht="15.75" customHeight="1">
      <c r="A6020" s="2" t="s">
        <v>6020</v>
      </c>
      <c r="B6020" s="2" t="str">
        <f>IFERROR(__xludf.DUMMYFUNCTION("GOOGLETRANSLATE(A6020, ""en"", ""mt"")"),"L-ispiżjara huma dejjem aktar mistennija li jkunu kkumpensati għall-ħiliet tal-kura tal-pazjent tagħhom")</f>
        <v>L-ispiżjara huma dejjem aktar mistennija li jkunu kkumpensati għall-ħiliet tal-kura tal-pazjent tagħhom</v>
      </c>
    </row>
    <row r="6021" ht="15.75" customHeight="1">
      <c r="A6021" s="2" t="s">
        <v>6021</v>
      </c>
      <c r="B6021" s="2" t="str">
        <f>IFERROR(__xludf.DUMMYFUNCTION("GOOGLETRANSLATE(A6021, ""en"", ""mt"")"),"1870s")</f>
        <v>1870s</v>
      </c>
    </row>
    <row r="6022" ht="15.75" customHeight="1">
      <c r="A6022" s="2" t="s">
        <v>6022</v>
      </c>
      <c r="B6022" s="2" t="str">
        <f>IFERROR(__xludf.DUMMYFUNCTION("GOOGLETRANSLATE(A6022, ""en"", ""mt"")"),"injam")</f>
        <v>injam</v>
      </c>
    </row>
    <row r="6023" ht="15.75" customHeight="1">
      <c r="A6023" s="2" t="s">
        <v>6023</v>
      </c>
      <c r="B6023" s="2" t="str">
        <f>IFERROR(__xludf.DUMMYFUNCTION("GOOGLETRANSLATE(A6023, ""en"", ""mt"")"),"Phlogiston Teorija tal-Kombustjoni u l-Korrużjoni")</f>
        <v>Phlogiston Teorija tal-Kombustjoni u l-Korrużjoni</v>
      </c>
    </row>
    <row r="6024" ht="15.75" customHeight="1">
      <c r="A6024" s="2" t="s">
        <v>6024</v>
      </c>
      <c r="B6024" s="2" t="str">
        <f>IFERROR(__xludf.DUMMYFUNCTION("GOOGLETRANSLATE(A6024, ""en"", ""mt"")"),"valur miżjud")</f>
        <v>valur miżjud</v>
      </c>
    </row>
    <row r="6025" ht="15.75" customHeight="1">
      <c r="A6025" s="2" t="s">
        <v>6025</v>
      </c>
      <c r="B6025" s="2" t="str">
        <f>IFERROR(__xludf.DUMMYFUNCTION("GOOGLETRANSLATE(A6025, ""en"", ""mt"")"),"1187")</f>
        <v>1187</v>
      </c>
    </row>
    <row r="6026" ht="15.75" customHeight="1">
      <c r="A6026" s="2" t="s">
        <v>6026</v>
      </c>
      <c r="B6026" s="2" t="str">
        <f>IFERROR(__xludf.DUMMYFUNCTION("GOOGLETRANSLATE(A6026, ""en"", ""mt"")"),"F'liem it-tagħlim fuq gżira jirriżulta?")</f>
        <v>F'liem it-tagħlim fuq gżira jirriżulta?</v>
      </c>
    </row>
    <row r="6027" ht="15.75" customHeight="1">
      <c r="A6027" s="2" t="s">
        <v>6027</v>
      </c>
      <c r="B6027" s="2" t="str">
        <f>IFERROR(__xludf.DUMMYFUNCTION("GOOGLETRANSLATE(A6027, ""en"", ""mt"")"),"kromalveolati")</f>
        <v>kromalveolati</v>
      </c>
    </row>
    <row r="6028" ht="15.75" customHeight="1">
      <c r="A6028" s="2" t="s">
        <v>6028</v>
      </c>
      <c r="B6028" s="2" t="str">
        <f>IFERROR(__xludf.DUMMYFUNCTION("GOOGLETRANSLATE(A6028, ""en"", ""mt"")"),"relazzjonijiet mal-parruċċani u l-familja, u l-perċezzjonijiet tagħhom dwar il-bniet u n-nisa. """)</f>
        <v>relazzjonijiet mal-parruċċani u l-familja, u l-perċezzjonijiet tagħhom dwar il-bniet u n-nisa. "</v>
      </c>
    </row>
    <row r="6029" ht="15.75" customHeight="1">
      <c r="A6029" s="2" t="s">
        <v>6029</v>
      </c>
      <c r="B6029" s="2" t="str">
        <f>IFERROR(__xludf.DUMMYFUNCTION("GOOGLETRANSLATE(A6029, ""en"", ""mt"")"),"Kważi l-istess ħaġa bħall-kloroplast")</f>
        <v>Kważi l-istess ħaġa bħall-kloroplast</v>
      </c>
    </row>
    <row r="6030" ht="15.75" customHeight="1">
      <c r="A6030" s="2" t="s">
        <v>6030</v>
      </c>
      <c r="B6030" s="2" t="str">
        <f>IFERROR(__xludf.DUMMYFUNCTION("GOOGLETRANSLATE(A6030, ""en"", ""mt"")"),"Fl-1749 il-gvern Ingliż ta art lill-Kumpanija ta ’Ohio ta’ Virginia bil-għan li tiżviluppa kummerċ u insedjamenti fil-pajjiż ta ’Ohio. L-għotja kienet teħtieġ li tissetilja 100 familja fit-territorju, u tibni fort għall-protezzjoni tagħhom. Iżda, hekk kif"&amp;" it-territorju kien iddikjarat ukoll minn Pennsylvania, iż-żewġ kolonji bdew jimbuttaw għall-azzjoni biex itejbu t-talbiet rispettivi tagħhom. Fl-1750 Christopher Gist, li jaġixxi f'isem Virginia kif ukoll tal-kumpanija, esplora t-territorju ta 'Ohio u fe"&amp;"taħ negozjati mat-tribujiet Indjani f'Logstown. Huwa temm it-Trattat ta 'Logstown tal-1752 li fih l-Indjani lokali, permezz ta' ""nofs ir-re"" tagħhom ta 'Tanacharison u rappreżentant ta' Iroquois, qablu ma 'termini li kienu jinkludu permess biex jibnu """&amp;"dar b'saħħitha"" fil-bokka tax-xmara Monongahela (is-sit ta' Pittsburgh preżenti, Pennsylvania). Sal-aħħar tas-seklu 17, l-Iroquois kien imbuttat ħafna tribujiet 'il barra mill-wied ta' Ohio, u żammha bħala l-art tal-kaċċa bid-dritt tal-konkwista.")</f>
        <v>Fl-1749 il-gvern Ingliż ta art lill-Kumpanija ta ’Ohio ta’ Virginia bil-għan li tiżviluppa kummerċ u insedjamenti fil-pajjiż ta ’Ohio. L-għotja kienet teħtieġ li tissetilja 100 familja fit-territorju, u tibni fort għall-protezzjoni tagħhom. Iżda, hekk kif it-territorju kien iddikjarat ukoll minn Pennsylvania, iż-żewġ kolonji bdew jimbuttaw għall-azzjoni biex itejbu t-talbiet rispettivi tagħhom. Fl-1750 Christopher Gist, li jaġixxi f'isem Virginia kif ukoll tal-kumpanija, esplora t-territorju ta 'Ohio u fetaħ negozjati mat-tribujiet Indjani f'Logstown. Huwa temm it-Trattat ta 'Logstown tal-1752 li fih l-Indjani lokali, permezz ta' "nofs ir-re" tagħhom ta 'Tanacharison u rappreżentant ta' Iroquois, qablu ma 'termini li kienu jinkludu permess biex jibnu "dar b'saħħitha" fil-bokka tax-xmara Monongahela (is-sit ta' Pittsburgh preżenti, Pennsylvania). Sal-aħħar tas-seklu 17, l-Iroquois kien imbuttat ħafna tribujiet 'il barra mill-wied ta' Ohio, u żammha bħala l-art tal-kaċċa bid-dritt tal-konkwista.</v>
      </c>
    </row>
    <row r="6031" ht="15.75" customHeight="1">
      <c r="A6031" s="2" t="s">
        <v>6031</v>
      </c>
      <c r="B6031" s="2" t="str">
        <f>IFERROR(__xludf.DUMMYFUNCTION("GOOGLETRANSLATE(A6031, ""en"", ""mt"")"),"Osweiler")</f>
        <v>Osweiler</v>
      </c>
    </row>
    <row r="6032" ht="15.75" customHeight="1">
      <c r="A6032" s="2" t="s">
        <v>6032</v>
      </c>
      <c r="B6032" s="2" t="str">
        <f>IFERROR(__xludf.DUMMYFUNCTION("GOOGLETRANSLATE(A6032, ""en"", ""mt"")"),"Lulju 1977")</f>
        <v>Lulju 1977</v>
      </c>
    </row>
    <row r="6033" ht="15.75" customHeight="1">
      <c r="A6033" s="2" t="s">
        <v>6033</v>
      </c>
      <c r="B6033" s="2" t="str">
        <f>IFERROR(__xludf.DUMMYFUNCTION("GOOGLETRANSLATE(A6033, ""en"", ""mt"")"),"6 ta 'Lulju, 2009")</f>
        <v>6 ta 'Lulju, 2009</v>
      </c>
    </row>
    <row r="6034" ht="15.75" customHeight="1">
      <c r="A6034" s="2" t="s">
        <v>6034</v>
      </c>
      <c r="B6034" s="2" t="str">
        <f>IFERROR(__xludf.DUMMYFUNCTION("GOOGLETRANSLATE(A6034, ""en"", ""mt"")"),"16,000 rpm")</f>
        <v>16,000 rpm</v>
      </c>
    </row>
    <row r="6035" ht="15.75" customHeight="1">
      <c r="A6035" s="2" t="s">
        <v>6035</v>
      </c>
      <c r="B6035" s="2" t="str">
        <f>IFERROR(__xludf.DUMMYFUNCTION("GOOGLETRANSLATE(A6035, ""en"", ""mt"")"),"maqbud Fort Beauséjour")</f>
        <v>maqbud Fort Beauséjour</v>
      </c>
    </row>
    <row r="6036" ht="15.75" customHeight="1">
      <c r="A6036" s="2" t="s">
        <v>6036</v>
      </c>
      <c r="B6036" s="2" t="str">
        <f>IFERROR(__xludf.DUMMYFUNCTION("GOOGLETRANSLATE(A6036, ""en"", ""mt"")"),"1015 Kelvins")</f>
        <v>1015 Kelvins</v>
      </c>
    </row>
    <row r="6037" ht="15.75" customHeight="1">
      <c r="A6037" s="2" t="s">
        <v>6037</v>
      </c>
      <c r="B6037" s="2" t="str">
        <f>IFERROR(__xludf.DUMMYFUNCTION("GOOGLETRANSLATE(A6037, ""en"", ""mt"")"),"L-algoritmi kollha possibbli")</f>
        <v>L-algoritmi kollha possibbli</v>
      </c>
    </row>
    <row r="6038" ht="15.75" customHeight="1">
      <c r="A6038" s="2" t="s">
        <v>6038</v>
      </c>
      <c r="B6038" s="2" t="str">
        <f>IFERROR(__xludf.DUMMYFUNCTION("GOOGLETRANSLATE(A6038, ""en"", ""mt"")"),"Minn min qal San Pawl qal li l-awtoritajiet kollha ġew maħtura?")</f>
        <v>Minn min qal San Pawl qal li l-awtoritajiet kollha ġew maħtura?</v>
      </c>
    </row>
    <row r="6039" ht="15.75" customHeight="1">
      <c r="A6039" s="2" t="s">
        <v>6039</v>
      </c>
      <c r="B6039" s="2" t="str">
        <f>IFERROR(__xludf.DUMMYFUNCTION("GOOGLETRANSLATE(A6039, ""en"", ""mt"")"),"X'inhu l-isem tal-skateboarder professjonali li jgħix fin-Nofsinhar ta 'California?")</f>
        <v>X'inhu l-isem tal-skateboarder professjonali li jgħix fin-Nofsinhar ta 'California?</v>
      </c>
    </row>
    <row r="6040" ht="15.75" customHeight="1">
      <c r="A6040" s="2" t="s">
        <v>6040</v>
      </c>
      <c r="B6040" s="2" t="str">
        <f>IFERROR(__xludf.DUMMYFUNCTION("GOOGLETRANSLATE(A6040, ""en"", ""mt"")"),"verżjoni standard")</f>
        <v>verżjoni standard</v>
      </c>
    </row>
    <row r="6041" ht="15.75" customHeight="1">
      <c r="A6041" s="2" t="s">
        <v>6041</v>
      </c>
      <c r="B6041" s="2" t="str">
        <f>IFERROR(__xludf.DUMMYFUNCTION("GOOGLETRANSLATE(A6041, ""en"", ""mt"")"),"Ix-Xmara Trout")</f>
        <v>Ix-Xmara Trout</v>
      </c>
    </row>
    <row r="6042" ht="15.75" customHeight="1">
      <c r="A6042" s="2" t="s">
        <v>6042</v>
      </c>
      <c r="B6042" s="2" t="str">
        <f>IFERROR(__xludf.DUMMYFUNCTION("GOOGLETRANSLATE(A6042, ""en"", ""mt"")"),"Meta saret il-Konvenzjoni Kostituzzjonali Skoċċiża?")</f>
        <v>Meta saret il-Konvenzjoni Kostituzzjonali Skoċċiża?</v>
      </c>
    </row>
    <row r="6043" ht="15.75" customHeight="1">
      <c r="A6043" s="2" t="s">
        <v>6043</v>
      </c>
      <c r="B6043" s="2" t="str">
        <f>IFERROR(__xludf.DUMMYFUNCTION("GOOGLETRANSLATE(A6043, ""en"", ""mt"")"),"akkwista endosimbiont ċjanobatteriku fotosintetiku aktar reċentement")</f>
        <v>akkwista endosimbiont ċjanobatteriku fotosintetiku aktar reċentement</v>
      </c>
    </row>
    <row r="6044" ht="15.75" customHeight="1">
      <c r="A6044" s="2" t="s">
        <v>6044</v>
      </c>
      <c r="B6044" s="2" t="str">
        <f>IFERROR(__xludf.DUMMYFUNCTION("GOOGLETRANSLATE(A6044, ""en"", ""mt"")"),"Liema pajjiż kien inkwetat li l-Istati Uniti se jinvadu l-Lvant Nofsani?")</f>
        <v>Liema pajjiż kien inkwetat li l-Istati Uniti se jinvadu l-Lvant Nofsani?</v>
      </c>
    </row>
    <row r="6045" ht="15.75" customHeight="1">
      <c r="A6045" s="2" t="s">
        <v>6045</v>
      </c>
      <c r="B6045" s="2" t="str">
        <f>IFERROR(__xludf.DUMMYFUNCTION("GOOGLETRANSLATE(A6045, ""en"", ""mt"")"),"Il-Ġermanja m'għandhiex passat imperialist sa meta?")</f>
        <v>Il-Ġermanja m'għandhiex passat imperialist sa meta?</v>
      </c>
    </row>
    <row r="6046" ht="15.75" customHeight="1">
      <c r="A6046" s="2" t="s">
        <v>6046</v>
      </c>
      <c r="B6046" s="2" t="str">
        <f>IFERROR(__xludf.DUMMYFUNCTION("GOOGLETRANSLATE(A6046, ""en"", ""mt"")"),"rivista kummerċjali għall-industrija tal-kostruzzjoni")</f>
        <v>rivista kummerċjali għall-industrija tal-kostruzzjoni</v>
      </c>
    </row>
    <row r="6047" ht="15.75" customHeight="1">
      <c r="A6047" s="2" t="s">
        <v>6047</v>
      </c>
      <c r="B6047" s="2" t="str">
        <f>IFERROR(__xludf.DUMMYFUNCTION("GOOGLETRANSLATE(A6047, ""en"", ""mt"")"),"Armata Ħamra E.")</f>
        <v>Armata Ħamra E.</v>
      </c>
    </row>
    <row r="6048" ht="15.75" customHeight="1">
      <c r="A6048" s="2" t="s">
        <v>6048</v>
      </c>
      <c r="B6048" s="2" t="str">
        <f>IFERROR(__xludf.DUMMYFUNCTION("GOOGLETRANSLATE(A6048, ""en"", ""mt"")"),"X'inhi meqjusa bħala professjoni gradwata kollha fl-Iskozja?")</f>
        <v>X'inhi meqjusa bħala professjoni gradwata kollha fl-Iskozja?</v>
      </c>
    </row>
    <row r="6049" ht="15.75" customHeight="1">
      <c r="A6049" s="2" t="s">
        <v>6049</v>
      </c>
      <c r="B6049" s="2" t="str">
        <f>IFERROR(__xludf.DUMMYFUNCTION("GOOGLETRANSLATE(A6049, ""en"", ""mt"")"),"Kristu u s-salvazzjoni Tiegħu")</f>
        <v>Kristu u s-salvazzjoni Tiegħu</v>
      </c>
    </row>
    <row r="6050" ht="15.75" customHeight="1">
      <c r="A6050" s="2" t="s">
        <v>6050</v>
      </c>
      <c r="B6050" s="2" t="str">
        <f>IFERROR(__xludf.DUMMYFUNCTION("GOOGLETRANSLATE(A6050, ""en"", ""mt"")"),"X'qed jitjieb ħafna aħjar fl-iktar snin riċenti?")</f>
        <v>X'qed jitjieb ħafna aħjar fl-iktar snin riċenti?</v>
      </c>
    </row>
    <row r="6051" ht="15.75" customHeight="1">
      <c r="A6051" s="2" t="s">
        <v>6051</v>
      </c>
      <c r="B6051" s="2" t="str">
        <f>IFERROR(__xludf.DUMMYFUNCTION("GOOGLETRANSLATE(A6051, ""en"", ""mt"")"),"kriżi tal-enerġija")</f>
        <v>kriżi tal-enerġija</v>
      </c>
    </row>
    <row r="6052" ht="15.75" customHeight="1">
      <c r="A6052" s="2" t="s">
        <v>6052</v>
      </c>
      <c r="B6052" s="2" t="str">
        <f>IFERROR(__xludf.DUMMYFUNCTION("GOOGLETRANSLATE(A6052, ""en"", ""mt"")"),"Madankollu, diġà fil-mekkanika kwantistika hemm ""twissija"" waħda, jiġifieri l-partiċelli li jaġixxu fuq xulxin mhux biss għandhom il-varjabbli spazjali, iżda wkoll varjabbli diskreta intrinsika ta 'momentum angolari msejħa ""spin"", u hemm il-prinċipju "&amp;"Pauli relatati mal-ispazju u l-varjabbli tal-ispin. Jiddependi fuq il-valur tal-ispin, partiċelli identiċi jinqasmu f'żewġ klassijiet differenti, ferzzjonijiet u bosons. Jekk żewġ ferzzjonijiet identiċi (eż. Elettroni) għandhom funzjoni ta 'spin simmetrik"&amp;"a (e.g. spins paralleli) il-varjabbli spazjali għandhom ikunu antisimetriċi (i.e. huma jeskludu lil xulxin mill-postijiet tagħhom daqslikieku kien hemm forza repulsiva), u viċi versa, i.e. għal antiparallel Iddawwar il-varjabbli tal-pożizzjoni għandhom ik"&amp;"unu simmetriċi (i.e. il-forza apparenti għandha tkun attraenti). Għalhekk fil-każ ta 'żewġ ferzzjonijiet hemm korrelazzjoni strettament negattiva bejn varjabbli spazjali u spin, filwaqt li għal żewġ bosons (per eżempju kwantità ta' mewġ elettromanjetiku, "&amp;"fotoni) il-korrelazzjoni hija strettament pożittiva.")</f>
        <v>Madankollu, diġà fil-mekkanika kwantistika hemm "twissija" waħda, jiġifieri l-partiċelli li jaġixxu fuq xulxin mhux biss għandhom il-varjabbli spazjali, iżda wkoll varjabbli diskreta intrinsika ta 'momentum angolari msejħa "spin", u hemm il-prinċipju Pauli relatati mal-ispazju u l-varjabbli tal-ispin. Jiddependi fuq il-valur tal-ispin, partiċelli identiċi jinqasmu f'żewġ klassijiet differenti, ferzzjonijiet u bosons. Jekk żewġ ferzzjonijiet identiċi (eż. Elettroni) għandhom funzjoni ta 'spin simmetrika (e.g. spins paralleli) il-varjabbli spazjali għandhom ikunu antisimetriċi (i.e. huma jeskludu lil xulxin mill-postijiet tagħhom daqslikieku kien hemm forza repulsiva), u viċi versa, i.e. għal antiparallel Iddawwar il-varjabbli tal-pożizzjoni għandhom ikunu simmetriċi (i.e. il-forza apparenti għandha tkun attraenti). Għalhekk fil-każ ta 'żewġ ferzzjonijiet hemm korrelazzjoni strettament negattiva bejn varjabbli spazjali u spin, filwaqt li għal żewġ bosons (per eżempju kwantità ta' mewġ elettromanjetiku, fotoni) il-korrelazzjoni hija strettament pożittiva.</v>
      </c>
    </row>
    <row r="6053" ht="15.75" customHeight="1">
      <c r="A6053" s="2" t="s">
        <v>6053</v>
      </c>
      <c r="B6053" s="2" t="str">
        <f>IFERROR(__xludf.DUMMYFUNCTION("GOOGLETRANSLATE(A6053, ""en"", ""mt"")"),"waħdu")</f>
        <v>waħdu</v>
      </c>
    </row>
    <row r="6054" ht="15.75" customHeight="1">
      <c r="A6054" s="2" t="s">
        <v>6054</v>
      </c>
      <c r="B6054" s="2" t="str">
        <f>IFERROR(__xludf.DUMMYFUNCTION("GOOGLETRANSLATE(A6054, ""en"", ""mt"")"),"Fost il-ftit spots brillanti matul dan l-istaġun kien hemm il-Kastell tal-Kriminalità tal-Midseason kif ukoll is-suċċess ta 'żewġ sitcoms tal-familja li ankraw il-formazzjoni tal-kummiedja tal-Erbgħa mġedda tan-netwerk, il-familja tan-nofs u moderna, li d"&amp;"in tal-aħħar kienet kemm suċċess kritiku u kummerċjali. Shark Tank (ibbażat fuq il-format tad-Dragon's Den Reality) sar ukoll milqugħ mill-midseason fil-Ħdud fir-rebbiegħa tal-2010; L-istaġun ta 'wara, sar it-tentpole tal-iskeda tal-Ġimgħa bil-lejl tan-ne"&amp;"twerk, li jgħin gradwalment jagħmel lil ABC kompetitur qawwi (wara li kien imqabbad ma '20 / 20 u li beda bl-istaġun 2012-13, is-sitcom Tim Allen Last Man wieqaf) kontra CBS "" Drama / lineup ta 'realtà dominanti fit-tul f'dak il-lejl għall-ewwel darba mi"&amp;"nn meta l-formazzjoni ""TGIF"" intemmet fl-2000.")</f>
        <v>Fost il-ftit spots brillanti matul dan l-istaġun kien hemm il-Kastell tal-Kriminalità tal-Midseason kif ukoll is-suċċess ta 'żewġ sitcoms tal-familja li ankraw il-formazzjoni tal-kummiedja tal-Erbgħa mġedda tan-netwerk, il-familja tan-nofs u moderna, li din tal-aħħar kienet kemm suċċess kritiku u kummerċjali. Shark Tank (ibbażat fuq il-format tad-Dragon's Den Reality) sar ukoll milqugħ mill-midseason fil-Ħdud fir-rebbiegħa tal-2010; L-istaġun ta 'wara, sar it-tentpole tal-iskeda tal-Ġimgħa bil-lejl tan-netwerk, li jgħin gradwalment jagħmel lil ABC kompetitur qawwi (wara li kien imqabbad ma '20 / 20 u li beda bl-istaġun 2012-13, is-sitcom Tim Allen Last Man wieqaf) kontra CBS " Drama / lineup ta 'realtà dominanti fit-tul f'dak il-lejl għall-ewwel darba minn meta l-formazzjoni "TGIF" intemmet fl-2000.</v>
      </c>
    </row>
    <row r="6055" ht="15.75" customHeight="1">
      <c r="A6055" s="2" t="s">
        <v>6055</v>
      </c>
      <c r="B6055" s="2" t="str">
        <f>IFERROR(__xludf.DUMMYFUNCTION("GOOGLETRANSLATE(A6055, ""en"", ""mt"")"),"Meta t-terminu imperjalizmu l-ewwel ġie użat mid-definizzjoni attwali tiegħu?")</f>
        <v>Meta t-terminu imperjalizmu l-ewwel ġie użat mid-definizzjoni attwali tiegħu?</v>
      </c>
    </row>
    <row r="6056" ht="15.75" customHeight="1">
      <c r="A6056" s="2" t="s">
        <v>6056</v>
      </c>
      <c r="B6056" s="2" t="str">
        <f>IFERROR(__xludf.DUMMYFUNCTION("GOOGLETRANSLATE(A6056, ""en"", ""mt"")"),"Sitt kwadrangles")</f>
        <v>Sitt kwadrangles</v>
      </c>
    </row>
    <row r="6057" ht="15.75" customHeight="1">
      <c r="A6057" s="2" t="s">
        <v>6057</v>
      </c>
      <c r="B6057" s="2" t="str">
        <f>IFERROR(__xludf.DUMMYFUNCTION("GOOGLETRANSLATE(A6057, ""en"", ""mt"")"),"Min kiteb dwar il-pestilenza l-kbira fl-1893?")</f>
        <v>Min kiteb dwar il-pestilenza l-kbira fl-1893?</v>
      </c>
    </row>
    <row r="6058" ht="15.75" customHeight="1">
      <c r="A6058" s="2" t="s">
        <v>6058</v>
      </c>
      <c r="B6058" s="2" t="str">
        <f>IFERROR(__xludf.DUMMYFUNCTION("GOOGLETRANSLATE(A6058, ""en"", ""mt"")"),"għamel grad ta 'A għall-erba' snin kollha")</f>
        <v>għamel grad ta 'A għall-erba' snin kollha</v>
      </c>
    </row>
    <row r="6059" ht="15.75" customHeight="1">
      <c r="A6059" s="2" t="s">
        <v>6059</v>
      </c>
      <c r="B6059" s="2" t="str">
        <f>IFERROR(__xludf.DUMMYFUNCTION("GOOGLETRANSLATE(A6059, ""en"", ""mt"")"),"Meta beda l-moviment li sar il-Knisja Metodista Magħquda?")</f>
        <v>Meta beda l-moviment li sar il-Knisja Metodista Magħquda?</v>
      </c>
    </row>
    <row r="6060" ht="15.75" customHeight="1">
      <c r="A6060" s="2" t="s">
        <v>6060</v>
      </c>
      <c r="B6060" s="2" t="str">
        <f>IFERROR(__xludf.DUMMYFUNCTION("GOOGLETRANSLATE(A6060, ""en"", ""mt"")"),"Parlament")</f>
        <v>Parlament</v>
      </c>
    </row>
    <row r="6061" ht="15.75" customHeight="1">
      <c r="A6061" s="2" t="s">
        <v>6061</v>
      </c>
      <c r="B6061" s="2" t="str">
        <f>IFERROR(__xludf.DUMMYFUNCTION("GOOGLETRANSLATE(A6061, ""en"", ""mt"")"),"il-borough metropolitana")</f>
        <v>il-borough metropolitana</v>
      </c>
    </row>
    <row r="6062" ht="15.75" customHeight="1">
      <c r="A6062" s="2" t="s">
        <v>6062</v>
      </c>
      <c r="B6062" s="2" t="str">
        <f>IFERROR(__xludf.DUMMYFUNCTION("GOOGLETRANSLATE(A6062, ""en"", ""mt"")"),"soċjalment")</f>
        <v>soċjalment</v>
      </c>
    </row>
    <row r="6063" ht="15.75" customHeight="1">
      <c r="A6063" s="2" t="s">
        <v>6063</v>
      </c>
      <c r="B6063" s="2" t="str">
        <f>IFERROR(__xludf.DUMMYFUNCTION("GOOGLETRANSLATE(A6063, ""en"", ""mt"")"),"X'tip ta 'kumitat huwa stabbilit taħt l-ordnijiet permanenti ta' l-SP?")</f>
        <v>X'tip ta 'kumitat huwa stabbilit taħt l-ordnijiet permanenti ta' l-SP?</v>
      </c>
    </row>
    <row r="6064" ht="15.75" customHeight="1">
      <c r="A6064" s="2" t="s">
        <v>6064</v>
      </c>
      <c r="B6064" s="2" t="str">
        <f>IFERROR(__xludf.DUMMYFUNCTION("GOOGLETRANSLATE(A6064, ""en"", ""mt"")"),"Taħlita ta 'ġestjoni fqira, diviżjonijiet interni, u scouts Kanadiżi effettivi")</f>
        <v>Taħlita ta 'ġestjoni fqira, diviżjonijiet interni, u scouts Kanadiżi effettivi</v>
      </c>
    </row>
    <row r="6065" ht="15.75" customHeight="1">
      <c r="A6065" s="2" t="s">
        <v>6065</v>
      </c>
      <c r="B6065" s="2" t="str">
        <f>IFERROR(__xludf.DUMMYFUNCTION("GOOGLETRANSLATE(A6065, ""en"", ""mt"")"),"Sinjal ""Ma tfixkilx""")</f>
        <v>Sinjal "Ma tfixkilx"</v>
      </c>
    </row>
    <row r="6066" ht="15.75" customHeight="1">
      <c r="A6066" s="2" t="s">
        <v>6066</v>
      </c>
      <c r="B6066" s="2" t="str">
        <f>IFERROR(__xludf.DUMMYFUNCTION("GOOGLETRANSLATE(A6066, ""en"", ""mt"")"),"$ 2.50 għal kull ac horsepower royalty")</f>
        <v>$ 2.50 għal kull ac horsepower royalty</v>
      </c>
    </row>
    <row r="6067" ht="15.75" customHeight="1">
      <c r="A6067" s="2" t="s">
        <v>6067</v>
      </c>
      <c r="B6067" s="2" t="str">
        <f>IFERROR(__xludf.DUMMYFUNCTION("GOOGLETRANSLATE(A6067, ""en"", ""mt"")"),"It-territorji indiġeni qed jinqerdu fil-biċċa l-kbira b'żewġ modi?")</f>
        <v>It-territorji indiġeni qed jinqerdu fil-biċċa l-kbira b'żewġ modi?</v>
      </c>
    </row>
    <row r="6068" ht="15.75" customHeight="1">
      <c r="A6068" s="2" t="s">
        <v>6068</v>
      </c>
      <c r="B6068" s="2" t="str">
        <f>IFERROR(__xludf.DUMMYFUNCTION("GOOGLETRANSLATE(A6068, ""en"", ""mt"")"),"Flora commensali")</f>
        <v>Flora commensali</v>
      </c>
    </row>
    <row r="6069" ht="15.75" customHeight="1">
      <c r="A6069" s="2" t="s">
        <v>6069</v>
      </c>
      <c r="B6069" s="2" t="str">
        <f>IFERROR(__xludf.DUMMYFUNCTION("GOOGLETRANSLATE(A6069, ""en"", ""mt"")"),"Liema rivista kkritikat l-istrateġija ta 'programmazzjoni ta' ABC f'Mejju 1961?")</f>
        <v>Liema rivista kkritikat l-istrateġija ta 'programmazzjoni ta' ABC f'Mejju 1961?</v>
      </c>
    </row>
    <row r="6070" ht="15.75" customHeight="1">
      <c r="A6070" s="2" t="s">
        <v>6070</v>
      </c>
      <c r="B6070" s="2" t="str">
        <f>IFERROR(__xludf.DUMMYFUNCTION("GOOGLETRANSLATE(A6070, ""en"", ""mt"")"),"X'inhu l-ogħla livell tal-UMC?")</f>
        <v>X'inhu l-ogħla livell tal-UMC?</v>
      </c>
    </row>
    <row r="6071" ht="15.75" customHeight="1">
      <c r="A6071" s="2" t="s">
        <v>6071</v>
      </c>
      <c r="B6071" s="2" t="str">
        <f>IFERROR(__xludf.DUMMYFUNCTION("GOOGLETRANSLATE(A6071, ""en"", ""mt"")"),"X’għamel negozjant greedy lill-sirena?")</f>
        <v>X’għamel negozjant greedy lill-sirena?</v>
      </c>
    </row>
    <row r="6072" ht="15.75" customHeight="1">
      <c r="A6072" s="2" t="s">
        <v>6072</v>
      </c>
      <c r="B6072" s="2" t="str">
        <f>IFERROR(__xludf.DUMMYFUNCTION("GOOGLETRANSLATE(A6072, ""en"", ""mt"")"),"90")</f>
        <v>90</v>
      </c>
    </row>
    <row r="6073" ht="15.75" customHeight="1">
      <c r="A6073" s="2" t="s">
        <v>6073</v>
      </c>
      <c r="B6073" s="2" t="str">
        <f>IFERROR(__xludf.DUMMYFUNCTION("GOOGLETRANSLATE(A6073, ""en"", ""mt"")"),"It-tort tal-Puente Hills")</f>
        <v>It-tort tal-Puente Hills</v>
      </c>
    </row>
    <row r="6074" ht="15.75" customHeight="1">
      <c r="A6074" s="2" t="s">
        <v>6074</v>
      </c>
      <c r="B6074" s="2" t="str">
        <f>IFERROR(__xludf.DUMMYFUNCTION("GOOGLETRANSLATE(A6074, ""en"", ""mt"")"),"Tneħħija ta 'impedimenti u diffikultajiet sabiex nies oħra jkunu jistgħu jaqrawha mingħajr xkiel")</f>
        <v>Tneħħija ta 'impedimenti u diffikultajiet sabiex nies oħra jkunu jistgħu jaqrawha mingħajr xkiel</v>
      </c>
    </row>
    <row r="6075" ht="15.75" customHeight="1">
      <c r="A6075" s="2" t="s">
        <v>6075</v>
      </c>
      <c r="B6075" s="2" t="str">
        <f>IFERROR(__xludf.DUMMYFUNCTION("GOOGLETRANSLATE(A6075, ""en"", ""mt"")"),"bidu tas-seklu 20")</f>
        <v>bidu tas-seklu 20</v>
      </c>
    </row>
    <row r="6076" ht="15.75" customHeight="1">
      <c r="A6076" s="2" t="s">
        <v>6076</v>
      </c>
      <c r="B6076" s="2" t="str">
        <f>IFERROR(__xludf.DUMMYFUNCTION("GOOGLETRANSLATE(A6076, ""en"", ""mt"")"),"Terra Nullius hija espressjoni Latina li tfisser dak bl-Ingliż?")</f>
        <v>Terra Nullius hija espressjoni Latina li tfisser dak bl-Ingliż?</v>
      </c>
    </row>
    <row r="6077" ht="15.75" customHeight="1">
      <c r="A6077" s="2" t="s">
        <v>6077</v>
      </c>
      <c r="B6077" s="2" t="str">
        <f>IFERROR(__xludf.DUMMYFUNCTION("GOOGLETRANSLATE(A6077, ""en"", ""mt"")"),"Galileo Galilei")</f>
        <v>Galileo Galilei</v>
      </c>
    </row>
    <row r="6078" ht="15.75" customHeight="1">
      <c r="A6078" s="2" t="s">
        <v>6078</v>
      </c>
      <c r="B6078" s="2" t="str">
        <f>IFERROR(__xludf.DUMMYFUNCTION("GOOGLETRANSLATE(A6078, ""en"", ""mt"")"),"Spin Triplet State")</f>
        <v>Spin Triplet State</v>
      </c>
    </row>
    <row r="6079" ht="15.75" customHeight="1">
      <c r="A6079" s="2" t="s">
        <v>6079</v>
      </c>
      <c r="B6079" s="2" t="str">
        <f>IFERROR(__xludf.DUMMYFUNCTION("GOOGLETRANSLATE(A6079, ""en"", ""mt"")"),"L-aħħar 5-10 miljun sena")</f>
        <v>L-aħħar 5-10 miljun sena</v>
      </c>
    </row>
    <row r="6080" ht="15.75" customHeight="1">
      <c r="A6080" s="2" t="s">
        <v>6080</v>
      </c>
      <c r="B6080" s="2" t="str">
        <f>IFERROR(__xludf.DUMMYFUNCTION("GOOGLETRANSLATE(A6080, ""en"", ""mt"")"),"Il-kloroplasti u plastidi oħra jistgħu jibdlu lura fi proplastidi")</f>
        <v>Il-kloroplasti u plastidi oħra jistgħu jibdlu lura fi proplastidi</v>
      </c>
    </row>
    <row r="6081" ht="15.75" customHeight="1">
      <c r="A6081" s="2" t="s">
        <v>6081</v>
      </c>
      <c r="B6081" s="2" t="str">
        <f>IFERROR(__xludf.DUMMYFUNCTION("GOOGLETRANSLATE(A6081, ""en"", ""mt"")"),"makroskopikament bħala forza strutturali")</f>
        <v>makroskopikament bħala forza strutturali</v>
      </c>
    </row>
    <row r="6082" ht="15.75" customHeight="1">
      <c r="A6082" s="2" t="s">
        <v>6082</v>
      </c>
      <c r="B6082" s="2" t="str">
        <f>IFERROR(__xludf.DUMMYFUNCTION("GOOGLETRANSLATE(A6082, ""en"", ""mt"")"),"diverġenza")</f>
        <v>diverġenza</v>
      </c>
    </row>
    <row r="6083" ht="15.75" customHeight="1">
      <c r="A6083" s="2" t="s">
        <v>6083</v>
      </c>
      <c r="B6083" s="2" t="str">
        <f>IFERROR(__xludf.DUMMYFUNCTION("GOOGLETRANSLATE(A6083, ""en"", ""mt"")"),"X'tip ta 'sistema tirrilaxxa l-fwar tal-egżost fl-atmosfera?")</f>
        <v>X'tip ta 'sistema tirrilaxxa l-fwar tal-egżost fl-atmosfera?</v>
      </c>
    </row>
    <row r="6084" ht="15.75" customHeight="1">
      <c r="A6084" s="2" t="s">
        <v>6084</v>
      </c>
      <c r="B6084" s="2" t="str">
        <f>IFERROR(__xludf.DUMMYFUNCTION("GOOGLETRANSLATE(A6084, ""en"", ""mt"")"),"X'kien imsejjaħ Jacksonville bħala wara l-konsolidazzjoni?")</f>
        <v>X'kien imsejjaħ Jacksonville bħala wara l-konsolidazzjoni?</v>
      </c>
    </row>
    <row r="6085" ht="15.75" customHeight="1">
      <c r="A6085" s="2" t="s">
        <v>6085</v>
      </c>
      <c r="B6085" s="2" t="str">
        <f>IFERROR(__xludf.DUMMYFUNCTION("GOOGLETRANSLATE(A6085, ""en"", ""mt"")"),"Hemm sett ta 'bibien sbieħ intarsjati, datata 1580 mis-Sindku ta' Antwerp, attribwit lil Hans Vredeman de Vries. Waħda mill-ifjen biċċiet ta 'għamara kontinentali fil-kollezzjoni hija l-Kabinett tal-Uffiċċju ta' Rococo Augustus Rex datat C1750 mill-Ġerman"&amp;"ja, bil-marketrija speċjalment fina u l-muntaturi Ormolu. Waħda mill-aktar biċċiet tal-għamara tas-seklu 19 hija l-kabinett Franċiż elaborat ħafna datat 1861-1867 magħmul minn M. Fourdinois, magħmul minn ebony inlaid bil-kaxxa, ġir, holly, lanġas, ġewż u "&amp;"kewba tal-kawba kif ukoll irħam bi carvings indurati - Għamara ddisinjata minn Ernest Gimson, Edward William Godwin, Charles Voysey, Adolf Loos u Otto Wagner huma fost l-aħħar eżempji tas-seklu 19 u l-bidu tas-seklu 20 fil-kollezzjoni. Ix-xogħol tal-moder"&amp;"nisti fil-kollezzjoni jinkludi Le Corbusier, Marcel Breuer, Charles u Ray Eames, u Giò Ponti.")</f>
        <v>Hemm sett ta 'bibien sbieħ intarsjati, datata 1580 mis-Sindku ta' Antwerp, attribwit lil Hans Vredeman de Vries. Waħda mill-ifjen biċċiet ta 'għamara kontinentali fil-kollezzjoni hija l-Kabinett tal-Uffiċċju ta' Rococo Augustus Rex datat C1750 mill-Ġermanja, bil-marketrija speċjalment fina u l-muntaturi Ormolu. Waħda mill-aktar biċċiet tal-għamara tas-seklu 19 hija l-kabinett Franċiż elaborat ħafna datat 1861-1867 magħmul minn M. Fourdinois, magħmul minn ebony inlaid bil-kaxxa, ġir, holly, lanġas, ġewż u kewba tal-kawba kif ukoll irħam bi carvings indurati - Għamara ddisinjata minn Ernest Gimson, Edward William Godwin, Charles Voysey, Adolf Loos u Otto Wagner huma fost l-aħħar eżempji tas-seklu 19 u l-bidu tas-seklu 20 fil-kollezzjoni. Ix-xogħol tal-modernisti fil-kollezzjoni jinkludi Le Corbusier, Marcel Breuer, Charles u Ray Eames, u Giò Ponti.</v>
      </c>
    </row>
    <row r="6086" ht="15.75" customHeight="1">
      <c r="A6086" s="2" t="s">
        <v>6086</v>
      </c>
      <c r="B6086" s="2" t="str">
        <f>IFERROR(__xludf.DUMMYFUNCTION("GOOGLETRANSLATE(A6086, ""en"", ""mt"")"),"Liema ditta ta 'investiment offriet li tixtri n-Netwerk Blu NBC minn Mark Woods?")</f>
        <v>Liema ditta ta 'investiment offriet li tixtri n-Netwerk Blu NBC minn Mark Woods?</v>
      </c>
    </row>
    <row r="6087" ht="15.75" customHeight="1">
      <c r="A6087" s="2" t="s">
        <v>6087</v>
      </c>
      <c r="B6087" s="2" t="str">
        <f>IFERROR(__xludf.DUMMYFUNCTION("GOOGLETRANSLATE(A6087, ""en"", ""mt"")"),"Metropolitana")</f>
        <v>Metropolitana</v>
      </c>
    </row>
    <row r="6088" ht="15.75" customHeight="1">
      <c r="A6088" s="2" t="s">
        <v>6088</v>
      </c>
      <c r="B6088" s="2" t="str">
        <f>IFERROR(__xludf.DUMMYFUNCTION("GOOGLETRANSLATE(A6088, ""en"", ""mt"")"),"Kenjani għall-Kenja")</f>
        <v>Kenjani għall-Kenja</v>
      </c>
    </row>
    <row r="6089" ht="15.75" customHeight="1">
      <c r="A6089" s="2" t="s">
        <v>6089</v>
      </c>
      <c r="B6089" s="2" t="str">
        <f>IFERROR(__xludf.DUMMYFUNCTION("GOOGLETRANSLATE(A6089, ""en"", ""mt"")"),"Ir-reġjun jifrex liema muntanji minbarra l-firxiet trasversali?")</f>
        <v>Ir-reġjun jifrex liema muntanji minbarra l-firxiet trasversali?</v>
      </c>
    </row>
    <row r="6090" ht="15.75" customHeight="1">
      <c r="A6090" s="2" t="s">
        <v>6090</v>
      </c>
      <c r="B6090" s="2" t="str">
        <f>IFERROR(__xludf.DUMMYFUNCTION("GOOGLETRANSLATE(A6090, ""en"", ""mt"")"),"Fost stati fl-Istati Uniti b'inugwaljanzi ta 'dħul akbar")</f>
        <v>Fost stati fl-Istati Uniti b'inugwaljanzi ta 'dħul akbar</v>
      </c>
    </row>
    <row r="6091" ht="15.75" customHeight="1">
      <c r="A6091" s="2" t="s">
        <v>6091</v>
      </c>
      <c r="B6091" s="2" t="str">
        <f>IFERROR(__xludf.DUMMYFUNCTION("GOOGLETRANSLATE(A6091, ""en"", ""mt"")"),"""Ipotesi ta 'Huges""")</f>
        <v>"Ipotesi ta 'Huges"</v>
      </c>
    </row>
    <row r="6092" ht="15.75" customHeight="1">
      <c r="A6092" s="2" t="s">
        <v>6092</v>
      </c>
      <c r="B6092" s="2" t="str">
        <f>IFERROR(__xludf.DUMMYFUNCTION("GOOGLETRANSLATE(A6092, ""en"", ""mt"")"),"savana jew deżert")</f>
        <v>savana jew deżert</v>
      </c>
    </row>
    <row r="6093" ht="15.75" customHeight="1">
      <c r="A6093" s="2" t="s">
        <v>6093</v>
      </c>
      <c r="B6093" s="2" t="str">
        <f>IFERROR(__xludf.DUMMYFUNCTION("GOOGLETRANSLATE(A6093, ""en"", ""mt"")"),"Kif inkella jistgħu l-petroloġisti jifhmu l-pressjonijiet li fihom jidhru fażijiet minerali differenti?")</f>
        <v>Kif inkella jistgħu l-petroloġisti jifhmu l-pressjonijiet li fihom jidhru fażijiet minerali differenti?</v>
      </c>
    </row>
    <row r="6094" ht="15.75" customHeight="1">
      <c r="A6094" s="2" t="s">
        <v>6094</v>
      </c>
      <c r="B6094" s="2" t="str">
        <f>IFERROR(__xludf.DUMMYFUNCTION("GOOGLETRANSLATE(A6094, ""en"", ""mt"")"),"zip ""il-ħalq jingħalaq meta l-annimal ma jkunx qed jitma ',")</f>
        <v>zip "il-ħalq jingħalaq meta l-annimal ma jkunx qed jitma ',</v>
      </c>
    </row>
    <row r="6095" ht="15.75" customHeight="1">
      <c r="A6095" s="2" t="s">
        <v>6095</v>
      </c>
      <c r="B6095" s="2" t="str">
        <f>IFERROR(__xludf.DUMMYFUNCTION("GOOGLETRANSLATE(A6095, ""en"", ""mt"")"),"Fejn imexxi l-heaquarter tiegħu Montcalm biex juri avvanz strateġiku?")</f>
        <v>Fejn imexxi l-heaquarter tiegħu Montcalm biex juri avvanz strateġiku?</v>
      </c>
    </row>
    <row r="6096" ht="15.75" customHeight="1">
      <c r="A6096" s="2" t="s">
        <v>6096</v>
      </c>
      <c r="B6096" s="2" t="str">
        <f>IFERROR(__xludf.DUMMYFUNCTION("GOOGLETRANSLATE(A6096, ""en"", ""mt"")"),"iż-żewġ kobor tal-forza jew jitnaqqsu mill-oħra")</f>
        <v>iż-żewġ kobor tal-forza jew jitnaqqsu mill-oħra</v>
      </c>
    </row>
    <row r="6097" ht="15.75" customHeight="1">
      <c r="A6097" s="2" t="s">
        <v>6097</v>
      </c>
      <c r="B6097" s="2" t="str">
        <f>IFERROR(__xludf.DUMMYFUNCTION("GOOGLETRANSLATE(A6097, ""en"", ""mt"")"),"Il-bini tat-Triq Pilgrim ġie rranġat bejn Novembru 2006 u Mejju 2008; Waqt ix-xogħlijiet ta ’rranġar, iċ-ċinema rrilokat fil-muniċipju l-qadim, Gateshead. F'Mejju 2008 iċ-ċinema Tyneside reġgħet fetħet fil-bini oriġinali rrestawrat u rranġat. Is-sit bħali"&amp;"ssa fih tliet ċinemas, inkluż il-klassiku rrestawrat - l-aħħar ċinema tal-aħbarijiet li għadhom ħajjin tar-Renju Unit għadha f'operazzjoni full-time - flimkien ma 'żewġ skrins ġodda, estensjoni tas-saqaf li fiha l-bar tat-Tyneside, u edukazzjoni u suites "&amp;"ta' tagħlim iddedikati.")</f>
        <v>Il-bini tat-Triq Pilgrim ġie rranġat bejn Novembru 2006 u Mejju 2008; Waqt ix-xogħlijiet ta ’rranġar, iċ-ċinema rrilokat fil-muniċipju l-qadim, Gateshead. F'Mejju 2008 iċ-ċinema Tyneside reġgħet fetħet fil-bini oriġinali rrestawrat u rranġat. Is-sit bħalissa fih tliet ċinemas, inkluż il-klassiku rrestawrat - l-aħħar ċinema tal-aħbarijiet li għadhom ħajjin tar-Renju Unit għadha f'operazzjoni full-time - flimkien ma 'żewġ skrins ġodda, estensjoni tas-saqaf li fiha l-bar tat-Tyneside, u edukazzjoni u suites ta' tagħlim iddedikati.</v>
      </c>
    </row>
    <row r="6098" ht="15.75" customHeight="1">
      <c r="A6098" s="2" t="s">
        <v>6098</v>
      </c>
      <c r="B6098" s="2" t="str">
        <f>IFERROR(__xludf.DUMMYFUNCTION("GOOGLETRANSLATE(A6098, ""en"", ""mt"")"),"Min waqqaf il-finanzjament taż-żerriegħa għall-avveniment tul il-ġimgħa li wassal għas-Super Bowl?")</f>
        <v>Min waqqaf il-finanzjament taż-żerriegħa għall-avveniment tul il-ġimgħa li wassal għas-Super Bowl?</v>
      </c>
    </row>
    <row r="6099" ht="15.75" customHeight="1">
      <c r="A6099" s="2" t="s">
        <v>6099</v>
      </c>
      <c r="B6099" s="2" t="str">
        <f>IFERROR(__xludf.DUMMYFUNCTION("GOOGLETRANSLATE(A6099, ""en"", ""mt"")"),"Il-prezz taż-żejt normalment huwa komodità stabbli sa meta?")</f>
        <v>Il-prezz taż-żejt normalment huwa komodità stabbli sa meta?</v>
      </c>
    </row>
    <row r="6100" ht="15.75" customHeight="1">
      <c r="A6100" s="2" t="s">
        <v>6100</v>
      </c>
      <c r="B6100" s="2" t="str">
        <f>IFERROR(__xludf.DUMMYFUNCTION("GOOGLETRANSLATE(A6100, ""en"", ""mt"")"),"X'inhu isem għall-modi differenti kif tagħti struzzjonijiet lill-istudenti?")</f>
        <v>X'inhu isem għall-modi differenti kif tagħti struzzjonijiet lill-istudenti?</v>
      </c>
    </row>
    <row r="6101" ht="15.75" customHeight="1">
      <c r="A6101" s="2" t="s">
        <v>6101</v>
      </c>
      <c r="B6101" s="2" t="str">
        <f>IFERROR(__xludf.DUMMYFUNCTION("GOOGLETRANSLATE(A6101, ""en"", ""mt"")"),"Għal liema tim lagħab Kubiak fis-Super Bowl XXI?")</f>
        <v>Għal liema tim lagħab Kubiak fis-Super Bowl XXI?</v>
      </c>
    </row>
    <row r="6102" ht="15.75" customHeight="1">
      <c r="A6102" s="2" t="s">
        <v>6102</v>
      </c>
      <c r="B6102" s="2" t="str">
        <f>IFERROR(__xludf.DUMMYFUNCTION("GOOGLETRANSLATE(A6102, ""en"", ""mt"")"),"Seklu tmintax")</f>
        <v>Seklu tmintax</v>
      </c>
    </row>
    <row r="6103" ht="15.75" customHeight="1">
      <c r="A6103" s="2" t="s">
        <v>6103</v>
      </c>
      <c r="B6103" s="2" t="str">
        <f>IFERROR(__xludf.DUMMYFUNCTION("GOOGLETRANSLATE(A6103, ""en"", ""mt"")"),"Antisemitiżmu")</f>
        <v>Antisemitiżmu</v>
      </c>
    </row>
    <row r="6104" ht="15.75" customHeight="1">
      <c r="A6104" s="2" t="s">
        <v>6104</v>
      </c>
      <c r="B6104" s="2" t="str">
        <f>IFERROR(__xludf.DUMMYFUNCTION("GOOGLETRANSLATE(A6104, ""en"", ""mt"")"),"kombustjoni")</f>
        <v>kombustjoni</v>
      </c>
    </row>
    <row r="6105" ht="15.75" customHeight="1">
      <c r="A6105" s="2" t="s">
        <v>6105</v>
      </c>
      <c r="B6105" s="2" t="str">
        <f>IFERROR(__xludf.DUMMYFUNCTION("GOOGLETRANSLATE(A6105, ""en"", ""mt"")"),"moxt ġelaties")</f>
        <v>moxt ġelaties</v>
      </c>
    </row>
    <row r="6106" ht="15.75" customHeight="1">
      <c r="A6106" s="2" t="s">
        <v>6106</v>
      </c>
      <c r="B6106" s="2" t="str">
        <f>IFERROR(__xludf.DUMMYFUNCTION("GOOGLETRANSLATE(A6106, ""en"", ""mt"")"),"Meta twieldet Nikola Tesla?")</f>
        <v>Meta twieldet Nikola Tesla?</v>
      </c>
    </row>
    <row r="6107" ht="15.75" customHeight="1">
      <c r="A6107" s="2" t="s">
        <v>6107</v>
      </c>
      <c r="B6107" s="2" t="str">
        <f>IFERROR(__xludf.DUMMYFUNCTION("GOOGLETRANSLATE(A6107, ""en"", ""mt"")"),"fl-istoma tagħhom")</f>
        <v>fl-istoma tagħhom</v>
      </c>
    </row>
    <row r="6108" ht="15.75" customHeight="1">
      <c r="A6108" s="2" t="s">
        <v>6108</v>
      </c>
      <c r="B6108" s="2" t="str">
        <f>IFERROR(__xludf.DUMMYFUNCTION("GOOGLETRANSLATE(A6108, ""en"", ""mt"")"),"Amministrazzjoni tal-Iskola tas-Servizz Soċjali")</f>
        <v>Amministrazzjoni tal-Iskola tas-Servizz Soċjali</v>
      </c>
    </row>
    <row r="6109" ht="15.75" customHeight="1">
      <c r="A6109" s="2" t="s">
        <v>6109</v>
      </c>
      <c r="B6109" s="2" t="str">
        <f>IFERROR(__xludf.DUMMYFUNCTION("GOOGLETRANSLATE(A6109, ""en"", ""mt"")"),"Il-konġettura ta 'Goldbach")</f>
        <v>Il-konġettura ta 'Goldbach</v>
      </c>
    </row>
    <row r="6110" ht="15.75" customHeight="1">
      <c r="A6110" s="2" t="s">
        <v>6110</v>
      </c>
      <c r="B6110" s="2" t="str">
        <f>IFERROR(__xludf.DUMMYFUNCTION("GOOGLETRANSLATE(A6110, ""en"", ""mt"")"),"Philip Glass")</f>
        <v>Philip Glass</v>
      </c>
    </row>
    <row r="6111" ht="15.75" customHeight="1">
      <c r="A6111" s="2" t="s">
        <v>6111</v>
      </c>
      <c r="B6111" s="2" t="str">
        <f>IFERROR(__xludf.DUMMYFUNCTION("GOOGLETRANSLATE(A6111, ""en"", ""mt"")"),"Il-Kavallieri Templari")</f>
        <v>Il-Kavallieri Templari</v>
      </c>
    </row>
    <row r="6112" ht="15.75" customHeight="1">
      <c r="A6112" s="2" t="s">
        <v>6112</v>
      </c>
      <c r="B6112" s="2" t="str">
        <f>IFERROR(__xludf.DUMMYFUNCTION("GOOGLETRANSLATE(A6112, ""en"", ""mt"")"),"Meta ġew skoperti x-rays?")</f>
        <v>Meta ġew skoperti x-rays?</v>
      </c>
    </row>
    <row r="6113" ht="15.75" customHeight="1">
      <c r="A6113" s="2" t="s">
        <v>6113</v>
      </c>
      <c r="B6113" s="2" t="str">
        <f>IFERROR(__xludf.DUMMYFUNCTION("GOOGLETRANSLATE(A6113, ""en"", ""mt"")"),"Il-veloċità tar-rispons tal-qtil tas-sistema immunitarja tal-bniedem hija prodott ta 'liema proċess?")</f>
        <v>Il-veloċità tar-rispons tal-qtil tas-sistema immunitarja tal-bniedem hija prodott ta 'liema proċess?</v>
      </c>
    </row>
    <row r="6114" ht="15.75" customHeight="1">
      <c r="A6114" s="2" t="s">
        <v>6114</v>
      </c>
      <c r="B6114" s="2" t="str">
        <f>IFERROR(__xludf.DUMMYFUNCTION("GOOGLETRANSLATE(A6114, ""en"", ""mt"")"),"Konsumentombudsmannen v de agostini")</f>
        <v>Konsumentombudsmannen v de agostini</v>
      </c>
    </row>
    <row r="6115" ht="15.75" customHeight="1">
      <c r="A6115" s="2" t="s">
        <v>6115</v>
      </c>
      <c r="B6115" s="2" t="str">
        <f>IFERROR(__xludf.DUMMYFUNCTION("GOOGLETRANSLATE(A6115, ""en"", ""mt"")"),"Min inkella rrefera Datnet 1")</f>
        <v>Min inkella rrefera Datnet 1</v>
      </c>
    </row>
    <row r="6116" ht="15.75" customHeight="1">
      <c r="A6116" s="2" t="s">
        <v>6116</v>
      </c>
      <c r="B6116" s="2" t="str">
        <f>IFERROR(__xludf.DUMMYFUNCTION("GOOGLETRANSLATE(A6116, ""en"", ""mt"")"),"Is-settur tas-servizzi tal-Kenja, li jikkontribwixxi 61% tal-PDG, huwa ddominat mit-turiżmu. Is-settur tat-turiżmu wera tkabbir kostanti f'ħafna snin mill-indipendenza u sa l-aħħar tas-snin 1980 kien sar is-sors ewlieni tal-kambju barrani tal-pajjiż. It-t"&amp;"uristi, l-akbar numru li huma mill-Ġermanja u r-Renju Unit, huma attirati prinċipalment lejn il-bajjiet kostali u r-riservi tal-logħob, b’mod partikolari, il-Park Nazzjonali tal-Lvant u l-Punent Tsavo 20,808 kilometru kwadru (8,034 sq mi) fix-Xlokk. It-tu"&amp;"riżmu ra qawmien mill-ġdid sostanzjali matul l-aħħar bosta snin u huwa l-kontributur ewlieni għall-pick-up fit-tkabbir ekonomiku tal-pajjiż. It-turiżmu issa huwa l-akbar settur tal-qligħ tal-kambju barrani tal-Kenja, segwit minn fjuri, tè, u kafè. Fl-2006"&amp;" it-turiżmu ġġenera US $ 803 miljun, minn US $ 699 miljun is-sena ta ’qabel. Bħalissa, hemm ukoll bosta malls tax-xiri fil-Kenja. Barra minn hekk, hemm erba 'ktajjen ewlenin tal-ipermarket fil-Kenja.")</f>
        <v>Is-settur tas-servizzi tal-Kenja, li jikkontribwixxi 61% tal-PDG, huwa ddominat mit-turiżmu. Is-settur tat-turiżmu wera tkabbir kostanti f'ħafna snin mill-indipendenza u sa l-aħħar tas-snin 1980 kien sar is-sors ewlieni tal-kambju barrani tal-pajjiż. It-turisti, l-akbar numru li huma mill-Ġermanja u r-Renju Unit, huma attirati prinċipalment lejn il-bajjiet kostali u r-riservi tal-logħob, b’mod partikolari, il-Park Nazzjonali tal-Lvant u l-Punent Tsavo 20,808 kilometru kwadru (8,034 sq mi) fix-Xlokk. It-turiżmu ra qawmien mill-ġdid sostanzjali matul l-aħħar bosta snin u huwa l-kontributur ewlieni għall-pick-up fit-tkabbir ekonomiku tal-pajjiż. It-turiżmu issa huwa l-akbar settur tal-qligħ tal-kambju barrani tal-Kenja, segwit minn fjuri, tè, u kafè. Fl-2006 it-turiżmu ġġenera US $ 803 miljun, minn US $ 699 miljun is-sena ta ’qabel. Bħalissa, hemm ukoll bosta malls tax-xiri fil-Kenja. Barra minn hekk, hemm erba 'ktajjen ewlenin tal-ipermarket fil-Kenja.</v>
      </c>
    </row>
    <row r="6117" ht="15.75" customHeight="1">
      <c r="A6117" s="2" t="s">
        <v>6117</v>
      </c>
      <c r="B6117" s="2" t="str">
        <f>IFERROR(__xludf.DUMMYFUNCTION("GOOGLETRANSLATE(A6117, ""en"", ""mt"")"),"Min ippreżenta l-editt tad-dud li jiddikjara lil Luther bħala illegali?")</f>
        <v>Min ippreżenta l-editt tad-dud li jiddikjara lil Luther bħala illegali?</v>
      </c>
    </row>
    <row r="6118" ht="15.75" customHeight="1">
      <c r="A6118" s="2" t="s">
        <v>6118</v>
      </c>
      <c r="B6118" s="2" t="str">
        <f>IFERROR(__xludf.DUMMYFUNCTION("GOOGLETRANSLATE(A6118, ""en"", ""mt"")"),"90,790 tunnellata")</f>
        <v>90,790 tunnellata</v>
      </c>
    </row>
    <row r="6119" ht="15.75" customHeight="1">
      <c r="A6119" s="2" t="s">
        <v>6119</v>
      </c>
      <c r="B6119" s="2" t="str">
        <f>IFERROR(__xludf.DUMMYFUNCTION("GOOGLETRANSLATE(A6119, ""en"", ""mt"")"),"X’sar il-ħtieġa li l-ABC iżomm l-interessi f’pajjiżi oħra?")</f>
        <v>X’sar il-ħtieġa li l-ABC iżomm l-interessi f’pajjiżi oħra?</v>
      </c>
    </row>
    <row r="6120" ht="15.75" customHeight="1">
      <c r="A6120" s="2" t="s">
        <v>6120</v>
      </c>
      <c r="B6120" s="2" t="str">
        <f>IFERROR(__xludf.DUMMYFUNCTION("GOOGLETRANSLATE(A6120, ""en"", ""mt"")"),"Reiver tal-fruntiera")</f>
        <v>Reiver tal-fruntiera</v>
      </c>
    </row>
    <row r="6121" ht="15.75" customHeight="1">
      <c r="A6121" s="2" t="s">
        <v>6121</v>
      </c>
      <c r="B6121" s="2" t="str">
        <f>IFERROR(__xludf.DUMMYFUNCTION("GOOGLETRANSLATE(A6121, ""en"", ""mt"")"),"£ 76 miljun")</f>
        <v>£ 76 miljun</v>
      </c>
    </row>
    <row r="6122" ht="15.75" customHeight="1">
      <c r="A6122" s="2" t="s">
        <v>6122</v>
      </c>
      <c r="B6122" s="2" t="str">
        <f>IFERROR(__xludf.DUMMYFUNCTION("GOOGLETRANSLATE(A6122, ""en"", ""mt"")"),"L-aħħar tas-snin 1920")</f>
        <v>L-aħħar tas-snin 1920</v>
      </c>
    </row>
    <row r="6123" ht="15.75" customHeight="1">
      <c r="A6123" s="2" t="s">
        <v>6123</v>
      </c>
      <c r="B6123" s="2" t="str">
        <f>IFERROR(__xludf.DUMMYFUNCTION("GOOGLETRANSLATE(A6123, ""en"", ""mt"")"),"B'liema mod xi nies iwettqu diżubbidjenza ċivili b'mod kostruttiv?")</f>
        <v>B'liema mod xi nies iwettqu diżubbidjenza ċivili b'mod kostruttiv?</v>
      </c>
    </row>
    <row r="6124" ht="15.75" customHeight="1">
      <c r="A6124" s="2" t="s">
        <v>6124</v>
      </c>
      <c r="B6124" s="2" t="str">
        <f>IFERROR(__xludf.DUMMYFUNCTION("GOOGLETRANSLATE(A6124, ""en"", ""mt"")"),"X'jista 'jirriżulta f'aktar distribuzzjoni ugwali tad-dħul?")</f>
        <v>X'jista 'jirriżulta f'aktar distribuzzjoni ugwali tad-dħul?</v>
      </c>
    </row>
    <row r="6125" ht="15.75" customHeight="1">
      <c r="A6125" s="2" t="s">
        <v>6125</v>
      </c>
      <c r="B6125" s="2" t="str">
        <f>IFERROR(__xludf.DUMMYFUNCTION("GOOGLETRANSLATE(A6125, ""en"", ""mt"")"),"Impetu")</f>
        <v>Impetu</v>
      </c>
    </row>
    <row r="6126" ht="15.75" customHeight="1">
      <c r="A6126" s="2" t="s">
        <v>6126</v>
      </c>
      <c r="B6126" s="2" t="str">
        <f>IFERROR(__xludf.DUMMYFUNCTION("GOOGLETRANSLATE(A6126, ""en"", ""mt"")"),"Min fost il-popolazzjoni ta 'Bukhara sar parti mill-armata Mongoljana?")</f>
        <v>Min fost il-popolazzjoni ta 'Bukhara sar parti mill-armata Mongoljana?</v>
      </c>
    </row>
    <row r="6127" ht="15.75" customHeight="1">
      <c r="A6127" s="2" t="s">
        <v>6127</v>
      </c>
      <c r="B6127" s="2" t="str">
        <f>IFERROR(__xludf.DUMMYFUNCTION("GOOGLETRANSLATE(A6127, ""en"", ""mt"")"),"Kemm ekwazzjonijiet ta 'vettur Heaviside u Gibbs reġgħu ifformjaw l-20 EQUtions Scalar ta' Maxwell?")</f>
        <v>Kemm ekwazzjonijiet ta 'vettur Heaviside u Gibbs reġgħu ifformjaw l-20 EQUtions Scalar ta' Maxwell?</v>
      </c>
    </row>
    <row r="6128" ht="15.75" customHeight="1">
      <c r="A6128" s="2" t="s">
        <v>6128</v>
      </c>
      <c r="B6128" s="2" t="str">
        <f>IFERROR(__xludf.DUMMYFUNCTION("GOOGLETRANSLATE(A6128, ""en"", ""mt"")"),"Ma nemminx fil-leġittimità ta 'xi gvern")</f>
        <v>Ma nemminx fil-leġittimità ta 'xi gvern</v>
      </c>
    </row>
    <row r="6129" ht="15.75" customHeight="1">
      <c r="A6129" s="2" t="s">
        <v>6129</v>
      </c>
      <c r="B6129" s="2" t="str">
        <f>IFERROR(__xludf.DUMMYFUNCTION("GOOGLETRANSLATE(A6129, ""en"", ""mt"")"),"Il-ksenoliti jinġabru minn liema u jiġu depożitati fil-matriċi ta 'blat igneous?")</f>
        <v>Il-ksenoliti jinġabru minn liema u jiġu depożitati fil-matriċi ta 'blat igneous?</v>
      </c>
    </row>
    <row r="6130" ht="15.75" customHeight="1">
      <c r="A6130" s="2" t="s">
        <v>6130</v>
      </c>
      <c r="B6130" s="2" t="str">
        <f>IFERROR(__xludf.DUMMYFUNCTION("GOOGLETRANSLATE(A6130, ""en"", ""mt"")"),"Il- ""50"" mogħti lir-rebbieħ tas-Super Bowl huwa miksi b'kemm karats tad-deheb?")</f>
        <v>Il- "50" mogħti lir-rebbieħ tas-Super Bowl huwa miksi b'kemm karats tad-deheb?</v>
      </c>
    </row>
    <row r="6131" ht="15.75" customHeight="1">
      <c r="A6131" s="2" t="s">
        <v>6131</v>
      </c>
      <c r="B6131" s="2" t="str">
        <f>IFERROR(__xludf.DUMMYFUNCTION("GOOGLETRANSLATE(A6131, ""en"", ""mt"")"),"X'tip ta 'mini huma mibnija permezz taċ-ċentru tal-belt ta' Newcastle?")</f>
        <v>X'tip ta 'mini huma mibnija permezz taċ-ċentru tal-belt ta' Newcastle?</v>
      </c>
    </row>
    <row r="6132" ht="15.75" customHeight="1">
      <c r="A6132" s="2" t="s">
        <v>6132</v>
      </c>
      <c r="B6132" s="2" t="str">
        <f>IFERROR(__xludf.DUMMYFUNCTION("GOOGLETRANSLATE(A6132, ""en"", ""mt"")"),"X'inhu l-effett tat-tħassir beta?")</f>
        <v>X'inhu l-effett tat-tħassir beta?</v>
      </c>
    </row>
    <row r="6133" ht="15.75" customHeight="1">
      <c r="A6133" s="2" t="s">
        <v>6133</v>
      </c>
      <c r="B6133" s="2" t="str">
        <f>IFERROR(__xludf.DUMMYFUNCTION("GOOGLETRANSLATE(A6133, ""en"", ""mt"")"),"34,000")</f>
        <v>34,000</v>
      </c>
    </row>
    <row r="6134" ht="15.75" customHeight="1">
      <c r="A6134" s="2" t="s">
        <v>6134</v>
      </c>
      <c r="B6134" s="2" t="str">
        <f>IFERROR(__xludf.DUMMYFUNCTION("GOOGLETRANSLATE(A6134, ""en"", ""mt"")"),"Flussi tal-lava bażaltiċi b'saffi")</f>
        <v>Flussi tal-lava bażaltiċi b'saffi</v>
      </c>
    </row>
    <row r="6135" ht="15.75" customHeight="1">
      <c r="A6135" s="2" t="s">
        <v>6135</v>
      </c>
      <c r="B6135" s="2" t="str">
        <f>IFERROR(__xludf.DUMMYFUNCTION("GOOGLETRANSLATE(A6135, ""en"", ""mt"")"),"$ 159 miljun")</f>
        <v>$ 159 miljun</v>
      </c>
    </row>
    <row r="6136" ht="15.75" customHeight="1">
      <c r="A6136" s="2" t="s">
        <v>6136</v>
      </c>
      <c r="B6136" s="2" t="str">
        <f>IFERROR(__xludf.DUMMYFUNCTION("GOOGLETRANSLATE(A6136, ""en"", ""mt"")"),"Minn fejn kien iħabbar Tracy Wolfson matul il-logħba tas-Super Bowl 50?")</f>
        <v>Minn fejn kien iħabbar Tracy Wolfson matul il-logħba tas-Super Bowl 50?</v>
      </c>
    </row>
    <row r="6137" ht="15.75" customHeight="1">
      <c r="A6137" s="2" t="s">
        <v>6137</v>
      </c>
      <c r="B6137" s="2" t="str">
        <f>IFERROR(__xludf.DUMMYFUNCTION("GOOGLETRANSLATE(A6137, ""en"", ""mt"")"),"X’għamlet Tesla f’Tomingaj?")</f>
        <v>X’għamlet Tesla f’Tomingaj?</v>
      </c>
    </row>
    <row r="6138" ht="15.75" customHeight="1">
      <c r="A6138" s="2" t="s">
        <v>6138</v>
      </c>
      <c r="B6138" s="2" t="str">
        <f>IFERROR(__xludf.DUMMYFUNCTION("GOOGLETRANSLATE(A6138, ""en"", ""mt"")"),"Kien il-pjan għall-missjoni Langlades?")</f>
        <v>Kien il-pjan għall-missjoni Langlades?</v>
      </c>
    </row>
    <row r="6139" ht="15.75" customHeight="1">
      <c r="A6139" s="2" t="s">
        <v>6139</v>
      </c>
      <c r="B6139" s="2" t="str">
        <f>IFERROR(__xludf.DUMMYFUNCTION("GOOGLETRANSLATE(A6139, ""en"", ""mt"")"),"Mudelli molekulari marbuta mal-patoġeni jew PAMPs")</f>
        <v>Mudelli molekulari marbuta mal-patoġeni jew PAMPs</v>
      </c>
    </row>
    <row r="6140" ht="15.75" customHeight="1">
      <c r="A6140" s="2" t="s">
        <v>6140</v>
      </c>
      <c r="B6140" s="2" t="str">
        <f>IFERROR(__xludf.DUMMYFUNCTION("GOOGLETRANSLATE(A6140, ""en"", ""mt"")"),"Liema entità ffokat fuq il-moviment liberu tal-ħaddiema?")</f>
        <v>Liema entità ffokat fuq il-moviment liberu tal-ħaddiema?</v>
      </c>
    </row>
    <row r="6141" ht="15.75" customHeight="1">
      <c r="A6141" s="2" t="s">
        <v>6141</v>
      </c>
      <c r="B6141" s="2" t="str">
        <f>IFERROR(__xludf.DUMMYFUNCTION("GOOGLETRANSLATE(A6141, ""en"", ""mt"")"),"jirritorna d-dar")</f>
        <v>jirritorna d-dar</v>
      </c>
    </row>
    <row r="6142" ht="15.75" customHeight="1">
      <c r="A6142" s="2" t="s">
        <v>6142</v>
      </c>
      <c r="B6142" s="2" t="str">
        <f>IFERROR(__xludf.DUMMYFUNCTION("GOOGLETRANSLATE(A6142, ""en"", ""mt"")"),"Żona amorfa tal-Ewropa Ċentrali.")</f>
        <v>Żona amorfa tal-Ewropa Ċentrali.</v>
      </c>
    </row>
    <row r="6143" ht="15.75" customHeight="1">
      <c r="A6143" s="2" t="s">
        <v>6143</v>
      </c>
      <c r="B6143" s="2" t="str">
        <f>IFERROR(__xludf.DUMMYFUNCTION("GOOGLETRANSLATE(A6143, ""en"", ""mt"")"),"Għaliex ix-Shah tal-Iran ta intervista?")</f>
        <v>Għaliex ix-Shah tal-Iran ta intervista?</v>
      </c>
    </row>
    <row r="6144" ht="15.75" customHeight="1">
      <c r="A6144" s="2" t="s">
        <v>6144</v>
      </c>
      <c r="B6144" s="2" t="str">
        <f>IFERROR(__xludf.DUMMYFUNCTION("GOOGLETRANSLATE(A6144, ""en"", ""mt"")"),"Xitwa tal-1973–74")</f>
        <v>Xitwa tal-1973–74</v>
      </c>
    </row>
    <row r="6145" ht="15.75" customHeight="1">
      <c r="A6145" s="2" t="s">
        <v>6145</v>
      </c>
      <c r="B6145" s="2" t="str">
        <f>IFERROR(__xludf.DUMMYFUNCTION("GOOGLETRANSLATE(A6145, ""en"", ""mt"")"),"kbir")</f>
        <v>kbir</v>
      </c>
    </row>
    <row r="6146" ht="15.75" customHeight="1">
      <c r="A6146" s="2" t="s">
        <v>6146</v>
      </c>
      <c r="B6146" s="2" t="str">
        <f>IFERROR(__xludf.DUMMYFUNCTION("GOOGLETRANSLATE(A6146, ""en"", ""mt"")"),"sinformi")</f>
        <v>sinformi</v>
      </c>
    </row>
    <row r="6147" ht="15.75" customHeight="1">
      <c r="A6147" s="2" t="s">
        <v>6147</v>
      </c>
      <c r="B6147" s="2" t="str">
        <f>IFERROR(__xludf.DUMMYFUNCTION("GOOGLETRANSLATE(A6147, ""en"", ""mt"")"),"Fejn oriġinarjament il-Huguenots jillandjaw fi New York?")</f>
        <v>Fejn oriġinarjament il-Huguenots jillandjaw fi New York?</v>
      </c>
    </row>
    <row r="6148" ht="15.75" customHeight="1">
      <c r="A6148" s="2" t="s">
        <v>6148</v>
      </c>
      <c r="B6148" s="2" t="str">
        <f>IFERROR(__xludf.DUMMYFUNCTION("GOOGLETRANSLATE(A6148, ""en"", ""mt"")"),"Il-qalba storika ta ’Newcastle hija ż-żona tal-belt ta’ Grainger. Imwaqqfa fi toroq klassiċi mibnija minn Richard Grainger, bennej u żviluppatur, bejn l-1835 u l-1842, uħud mill-ifjen Bini u Toroq ta 'Tyne jinsabu fi ħdan din iż-żona taċ-ċentru tal-belt i"&amp;"nkluż Grainger Market, Teatru Royal, Gray Street, Grainger Street u Clayton Triq. Dawn il-binjiet huma fil-biċċa l-kbira erba 'stejjer għoljin, b'dormers vertikali, koppli, turretti u spikes. Richard Grainger kien qal li ""sab Newcastle ta 'briks u injam "&amp;"u ħallah fil-ġebla"". Il-450 bini ta 'Grainger Town, 244 huma elenkati, li 29 huma Grad I u 49 huma Grad II *.")</f>
        <v>Il-qalba storika ta ’Newcastle hija ż-żona tal-belt ta’ Grainger. Imwaqqfa fi toroq klassiċi mibnija minn Richard Grainger, bennej u żviluppatur, bejn l-1835 u l-1842, uħud mill-ifjen Bini u Toroq ta 'Tyne jinsabu fi ħdan din iż-żona taċ-ċentru tal-belt inkluż Grainger Market, Teatru Royal, Gray Street, Grainger Street u Clayton Triq. Dawn il-binjiet huma fil-biċċa l-kbira erba 'stejjer għoljin, b'dormers vertikali, koppli, turretti u spikes. Richard Grainger kien qal li "sab Newcastle ta 'briks u injam u ħallah fil-ġebla". Il-450 bini ta 'Grainger Town, 244 huma elenkati, li 29 huma Grad I u 49 huma Grad II *.</v>
      </c>
    </row>
    <row r="6149" ht="15.75" customHeight="1">
      <c r="A6149" s="2" t="s">
        <v>6149</v>
      </c>
      <c r="B6149" s="2" t="str">
        <f>IFERROR(__xludf.DUMMYFUNCTION("GOOGLETRANSLATE(A6149, ""en"", ""mt"")"),"Fl-analiżi Marxjana, id-ditti kapitalisti dejjem aktar jissostitwixxu tagħmir kapitali għall-inputs tax-xogħol (ħaddiema) taħt pressjoni kompetittiva biex inaqqsu l-ispejjeż u jimmassimizzaw il-profitti. Fuq medda twila ta 'żmien, din ix-xejra żżid il-kom"&amp;"pożizzjoni organika tal-kapital, u dan ifisser li inqas ħaddiema huma meħtieġa fi proporzjon għall-inputs tal-kapital, u jżidu l-qgħad (l- ""armata ta' riżerva ta 'xogħol""). Dan il-proċess jeżerċita pressjoni 'l isfel fuq il-pagi. Is-sostituzzjoni ta 'ta"&amp;"għmir kapitali għal xogħol (mekkanizzazzjoni u awtomazzjoni) tqajjem il-produttività ta' kull ħaddiem, li tirriżulta f'sitwazzjoni ta 'pagi relattivament staġnati għall-klassi tal-ħaddiema f'nofs livelli dejjem jiżdiedu ta' dħul mill-proprjetà għall-klass"&amp;"i kapitalista.")</f>
        <v>Fl-analiżi Marxjana, id-ditti kapitalisti dejjem aktar jissostitwixxu tagħmir kapitali għall-inputs tax-xogħol (ħaddiema) taħt pressjoni kompetittiva biex inaqqsu l-ispejjeż u jimmassimizzaw il-profitti. Fuq medda twila ta 'żmien, din ix-xejra żżid il-kompożizzjoni organika tal-kapital, u dan ifisser li inqas ħaddiema huma meħtieġa fi proporzjon għall-inputs tal-kapital, u jżidu l-qgħad (l- "armata ta' riżerva ta 'xogħol"). Dan il-proċess jeżerċita pressjoni 'l isfel fuq il-pagi. Is-sostituzzjoni ta 'tagħmir kapitali għal xogħol (mekkanizzazzjoni u awtomazzjoni) tqajjem il-produttività ta' kull ħaddiem, li tirriżulta f'sitwazzjoni ta 'pagi relattivament staġnati għall-klassi tal-ħaddiema f'nofs livelli dejjem jiżdiedu ta' dħul mill-proprjetà għall-klassi kapitalista.</v>
      </c>
    </row>
    <row r="6150" ht="15.75" customHeight="1">
      <c r="A6150" s="2" t="s">
        <v>6150</v>
      </c>
      <c r="B6150" s="2" t="str">
        <f>IFERROR(__xludf.DUMMYFUNCTION("GOOGLETRANSLATE(A6150, ""en"", ""mt"")"),"Kroazja")</f>
        <v>Kroazja</v>
      </c>
    </row>
    <row r="6151" ht="15.75" customHeight="1">
      <c r="A6151" s="2" t="s">
        <v>6151</v>
      </c>
      <c r="B6151" s="2" t="str">
        <f>IFERROR(__xludf.DUMMYFUNCTION("GOOGLETRANSLATE(A6151, ""en"", ""mt"")"),"F'liema snin Bach uża aktar mill-innijiet ta 'Luther fil-kompożizzjonijiet tiegħu?")</f>
        <v>F'liema snin Bach uża aktar mill-innijiet ta 'Luther fil-kompożizzjonijiet tiegħu?</v>
      </c>
    </row>
    <row r="6152" ht="15.75" customHeight="1">
      <c r="A6152" s="2" t="s">
        <v>6152</v>
      </c>
      <c r="B6152" s="2" t="str">
        <f>IFERROR(__xludf.DUMMYFUNCTION("GOOGLETRANSLATE(A6152, ""en"", ""mt"")"),"Biex tevita trivjalizzazzjoni")</f>
        <v>Biex tevita trivjalizzazzjoni</v>
      </c>
    </row>
    <row r="6153" ht="15.75" customHeight="1">
      <c r="A6153" s="2" t="s">
        <v>6153</v>
      </c>
      <c r="B6153" s="2" t="str">
        <f>IFERROR(__xludf.DUMMYFUNCTION("GOOGLETRANSLATE(A6153, ""en"", ""mt"")"),"L-Ewropa l-ewwel kolonizzat l-Amerika, imbagħad l-Asja, imma liema kontinent kien it-tielet?")</f>
        <v>L-Ewropa l-ewwel kolonizzat l-Amerika, imbagħad l-Asja, imma liema kontinent kien it-tielet?</v>
      </c>
    </row>
    <row r="6154" ht="15.75" customHeight="1">
      <c r="A6154" s="2" t="s">
        <v>6154</v>
      </c>
      <c r="B6154" s="2" t="str">
        <f>IFERROR(__xludf.DUMMYFUNCTION("GOOGLETRANSLATE(A6154, ""en"", ""mt"")"),"X'tip ta 'ċelloli T umani jirrispondu għal molekuli komuni prodotti mill-mikrobi?")</f>
        <v>X'tip ta 'ċelloli T umani jirrispondu għal molekuli komuni prodotti mill-mikrobi?</v>
      </c>
    </row>
    <row r="6155" ht="15.75" customHeight="1">
      <c r="A6155" s="2" t="s">
        <v>6155</v>
      </c>
      <c r="B6155" s="2" t="str">
        <f>IFERROR(__xludf.DUMMYFUNCTION("GOOGLETRANSLATE(A6155, ""en"", ""mt"")"),"Ottubru 1973")</f>
        <v>Ottubru 1973</v>
      </c>
    </row>
    <row r="6156" ht="15.75" customHeight="1">
      <c r="A6156" s="2" t="s">
        <v>6156</v>
      </c>
      <c r="B6156" s="2" t="str">
        <f>IFERROR(__xludf.DUMMYFUNCTION("GOOGLETRANSLATE(A6156, ""en"", ""mt"")"),"Min ħakem ħafna attakki ta 'terrur?")</f>
        <v>Min ħakem ħafna attakki ta 'terrur?</v>
      </c>
    </row>
    <row r="6157" ht="15.75" customHeight="1">
      <c r="A6157" s="2" t="s">
        <v>6157</v>
      </c>
      <c r="B6157" s="2" t="str">
        <f>IFERROR(__xludf.DUMMYFUNCTION("GOOGLETRANSLATE(A6157, ""en"", ""mt"")"),"Fejn kien hemm festival tal-birra, l-inbid u l-ikel li sar qabel is-Super Bowl?")</f>
        <v>Fejn kien hemm festival tal-birra, l-inbid u l-ikel li sar qabel is-Super Bowl?</v>
      </c>
    </row>
    <row r="6158" ht="15.75" customHeight="1">
      <c r="A6158" s="2" t="s">
        <v>6158</v>
      </c>
      <c r="B6158" s="2" t="str">
        <f>IFERROR(__xludf.DUMMYFUNCTION("GOOGLETRANSLATE(A6158, ""en"", ""mt"")"),"Mokotów")</f>
        <v>Mokotów</v>
      </c>
    </row>
    <row r="6159" ht="15.75" customHeight="1">
      <c r="A6159" s="2" t="s">
        <v>6159</v>
      </c>
      <c r="B6159" s="2" t="str">
        <f>IFERROR(__xludf.DUMMYFUNCTION("GOOGLETRANSLATE(A6159, ""en"", ""mt"")"),"1954")</f>
        <v>1954</v>
      </c>
    </row>
    <row r="6160" ht="15.75" customHeight="1">
      <c r="A6160" s="2" t="s">
        <v>6160</v>
      </c>
      <c r="B6160" s="2" t="str">
        <f>IFERROR(__xludf.DUMMYFUNCTION("GOOGLETRANSLATE(A6160, ""en"", ""mt"")"),"Edukazzjoni")</f>
        <v>Edukazzjoni</v>
      </c>
    </row>
    <row r="6161" ht="15.75" customHeight="1">
      <c r="A6161" s="2" t="s">
        <v>6161</v>
      </c>
      <c r="B6161" s="2" t="str">
        <f>IFERROR(__xludf.DUMMYFUNCTION("GOOGLETRANSLATE(A6161, ""en"", ""mt"")"),"Meta ġie ppubblikat ix-xogħol kbir?")</f>
        <v>Meta ġie ppubblikat ix-xogħol kbir?</v>
      </c>
    </row>
    <row r="6162" ht="15.75" customHeight="1">
      <c r="A6162" s="2" t="s">
        <v>6162</v>
      </c>
      <c r="B6162" s="2" t="str">
        <f>IFERROR(__xludf.DUMMYFUNCTION("GOOGLETRANSLATE(A6162, ""en"", ""mt"")"),"Il-Pechenegs, il-Bulgars, u speċjalment it-Torok Seljuk")</f>
        <v>Il-Pechenegs, il-Bulgars, u speċjalment it-Torok Seljuk</v>
      </c>
    </row>
    <row r="6163" ht="15.75" customHeight="1">
      <c r="A6163" s="2" t="s">
        <v>6163</v>
      </c>
      <c r="B6163" s="2" t="str">
        <f>IFERROR(__xludf.DUMMYFUNCTION("GOOGLETRANSLATE(A6163, ""en"", ""mt"")"),"Cadillac DeVille")</f>
        <v>Cadillac DeVille</v>
      </c>
    </row>
    <row r="6164" ht="15.75" customHeight="1">
      <c r="A6164" s="2" t="s">
        <v>6164</v>
      </c>
      <c r="B6164" s="2" t="str">
        <f>IFERROR(__xludf.DUMMYFUNCTION("GOOGLETRANSLATE(A6164, ""en"", ""mt"")"),"Inugwaljanza għolja")</f>
        <v>Inugwaljanza għolja</v>
      </c>
    </row>
    <row r="6165" ht="15.75" customHeight="1">
      <c r="A6165" s="2" t="s">
        <v>6165</v>
      </c>
      <c r="B6165" s="2" t="str">
        <f>IFERROR(__xludf.DUMMYFUNCTION("GOOGLETRANSLATE(A6165, ""en"", ""mt"")"),"X'kienet il-fokus tal-aħħar priedka ta 'Luther?")</f>
        <v>X'kienet il-fokus tal-aħħar priedka ta 'Luther?</v>
      </c>
    </row>
    <row r="6166" ht="15.75" customHeight="1">
      <c r="A6166" s="2" t="s">
        <v>6166</v>
      </c>
      <c r="B6166" s="2" t="str">
        <f>IFERROR(__xludf.DUMMYFUNCTION("GOOGLETRANSLATE(A6166, ""en"", ""mt"")"),"kontaġju emozzjonali")</f>
        <v>kontaġju emozzjonali</v>
      </c>
    </row>
    <row r="6167" ht="15.75" customHeight="1">
      <c r="A6167" s="2" t="s">
        <v>6167</v>
      </c>
      <c r="B6167" s="2" t="str">
        <f>IFERROR(__xludf.DUMMYFUNCTION("GOOGLETRANSLATE(A6167, ""en"", ""mt"")"),"Filwaqt li BSKYB kien ġie eskluż milli jkun parti mill-konsorzju Ondigital, u b'hekk għamilhom kompetitur awtomatikament, BSKYB kien kapaċi jingħaqad ma 'sostituzzjoni free-to-air ta' ITV Digital, Freeview, li fih iżomm sehem ugwali mal-BBC, ITV , Channel"&amp;" 4 u National Grid Wireless. Qabel Ottubru 2005, tliet stazzjonijiet BSKYB kienu disponibbli fuq din il-pjattaforma: Sky News, Sky Three, u Sky Sports News. Inizjalment BSKYB ipprovda Sema jivvjaġġa għas-servizz. Madankollu, dan ġie sostitwit minn Sky Thr"&amp;"ee fil-31 ta 'Ottubru 2005, li kien innifsu wara l-marka mill-ġdid bħala' pick TV 'fl-2011.")</f>
        <v>Filwaqt li BSKYB kien ġie eskluż milli jkun parti mill-konsorzju Ondigital, u b'hekk għamilhom kompetitur awtomatikament, BSKYB kien kapaċi jingħaqad ma 'sostituzzjoni free-to-air ta' ITV Digital, Freeview, li fih iżomm sehem ugwali mal-BBC, ITV , Channel 4 u National Grid Wireless. Qabel Ottubru 2005, tliet stazzjonijiet BSKYB kienu disponibbli fuq din il-pjattaforma: Sky News, Sky Three, u Sky Sports News. Inizjalment BSKYB ipprovda Sema jivvjaġġa għas-servizz. Madankollu, dan ġie sostitwit minn Sky Three fil-31 ta 'Ottubru 2005, li kien innifsu wara l-marka mill-ġdid bħala' pick TV 'fl-2011.</v>
      </c>
    </row>
    <row r="6168" ht="15.75" customHeight="1">
      <c r="A6168" s="2" t="s">
        <v>6168</v>
      </c>
      <c r="B6168" s="2" t="str">
        <f>IFERROR(__xludf.DUMMYFUNCTION("GOOGLETRANSLATE(A6168, ""en"", ""mt"")"),"Il-Wimbledon")</f>
        <v>Il-Wimbledon</v>
      </c>
    </row>
    <row r="6169" ht="15.75" customHeight="1">
      <c r="A6169" s="2" t="s">
        <v>6169</v>
      </c>
      <c r="B6169" s="2" t="str">
        <f>IFERROR(__xludf.DUMMYFUNCTION("GOOGLETRANSLATE(A6169, ""en"", ""mt"")"),"X'tip ta 'missjonijiet ġew approvati minn Mueller wara l-inċident?")</f>
        <v>X'tip ta 'missjonijiet ġew approvati minn Mueller wara l-inċident?</v>
      </c>
    </row>
    <row r="6170" ht="15.75" customHeight="1">
      <c r="A6170" s="2" t="s">
        <v>6170</v>
      </c>
      <c r="B6170" s="2" t="str">
        <f>IFERROR(__xludf.DUMMYFUNCTION("GOOGLETRANSLATE(A6170, ""en"", ""mt"")"),"Fl-ekonomija, il-Premju Memorial Nobel notevoli fir-rebbieħa tax-Xjenzi Ekonomiċi Milton Friedman, konsulent ewlieni għall-President Repubblikan tal-Istati Uniti Ronald Reagan u l-Prim Ministru Brittaniku Konservattiv Margaret Thatcher, George Stigler, la"&amp;"ureat Nobel u proponent tat-teorija tal-qbid regolatorju, Gary Becker, kontributur importanti għal Il-Fergħa tal-Ekonomija tal-Familja tal-Ekonomija, Herbert A. Simon, responsabbli għall-interpretazzjoni moderna tal-kunċett ta 'teħid ta' deċiżjonijiet org"&amp;"anizzattivi, Paul Samuelson, l-ewwel Amerikan li rebaħ il-Premju Memorial Nobel fix-Xjenzi Ekonomiċi, u Eugene Fama, magħruf għax-xogħol tiegħu Dwar it-teorija tal-portafoll, l-ipprezzar tal-assi u l-imġieba tas-suq tal-ishma, huma kollha gradwati. Ekonom"&amp;"ista Amerikan, teoriku soċjali, filosfu politiku, u l-awtur Thomas Sowell huwa wkoll student.")</f>
        <v>Fl-ekonomija, il-Premju Memorial Nobel notevoli fir-rebbieħa tax-Xjenzi Ekonomiċi Milton Friedman, konsulent ewlieni għall-President Repubblikan tal-Istati Uniti Ronald Reagan u l-Prim Ministru Brittaniku Konservattiv Margaret Thatcher, George Stigler, laureat Nobel u proponent tat-teorija tal-qbid regolatorju, Gary Becker, kontributur importanti għal Il-Fergħa tal-Ekonomija tal-Familja tal-Ekonomija, Herbert A. Simon, responsabbli għall-interpretazzjoni moderna tal-kunċett ta 'teħid ta' deċiżjonijiet organizzattivi, Paul Samuelson, l-ewwel Amerikan li rebaħ il-Premju Memorial Nobel fix-Xjenzi Ekonomiċi, u Eugene Fama, magħruf għax-xogħol tiegħu Dwar it-teorija tal-portafoll, l-ipprezzar tal-assi u l-imġieba tas-suq tal-ishma, huma kollha gradwati. Ekonomista Amerikan, teoriku soċjali, filosfu politiku, u l-awtur Thomas Sowell huwa wkoll student.</v>
      </c>
    </row>
    <row r="6171" ht="15.75" customHeight="1">
      <c r="A6171" s="2" t="s">
        <v>6171</v>
      </c>
      <c r="B6171" s="2" t="str">
        <f>IFERROR(__xludf.DUMMYFUNCTION("GOOGLETRANSLATE(A6171, ""en"", ""mt"")"),"86 km twil,")</f>
        <v>86 km twil,</v>
      </c>
    </row>
    <row r="6172" ht="15.75" customHeight="1">
      <c r="A6172" s="2" t="s">
        <v>6172</v>
      </c>
      <c r="B6172" s="2" t="str">
        <f>IFERROR(__xludf.DUMMYFUNCTION("GOOGLETRANSLATE(A6172, ""en"", ""mt"")"),"X'inhuma ż-żewġ sottotipi ewlenin taċ-ċelloli T?")</f>
        <v>X'inhuma ż-żewġ sottotipi ewlenin taċ-ċelloli T?</v>
      </c>
    </row>
    <row r="6173" ht="15.75" customHeight="1">
      <c r="A6173" s="2" t="s">
        <v>6173</v>
      </c>
      <c r="B6173" s="2" t="str">
        <f>IFERROR(__xludf.DUMMYFUNCTION("GOOGLETRANSLATE(A6173, ""en"", ""mt"")"),"lejn iċ-ċentru tal-passaġġ mgħawweġ")</f>
        <v>lejn iċ-ċentru tal-passaġġ mgħawweġ</v>
      </c>
    </row>
    <row r="6174" ht="15.75" customHeight="1">
      <c r="A6174" s="2" t="s">
        <v>6174</v>
      </c>
      <c r="B6174" s="2" t="str">
        <f>IFERROR(__xludf.DUMMYFUNCTION("GOOGLETRANSLATE(A6174, ""en"", ""mt"")"),"antenati")</f>
        <v>antenati</v>
      </c>
    </row>
    <row r="6175" ht="15.75" customHeight="1">
      <c r="A6175" s="2" t="s">
        <v>6175</v>
      </c>
      <c r="B6175" s="2" t="str">
        <f>IFERROR(__xludf.DUMMYFUNCTION("GOOGLETRANSLATE(A6175, ""en"", ""mt"")"),"Oxygen ġie skopert indipendentement minn Carl Wilhelm Scheele, f'Uppsala, fl-1773 jew qabel, u Joseph Priestley f'Wiltshire, fl-1774, iżda Priestley ħafna drabi jingħata prijorità minħabba li x-xogħol tiegħu ġie ppubblikat l-ewwel. L-isem Oxygen inħoloq f"&amp;"l-1777 minn Antoine Lavoisier, li l-esperimenti tiegħu bl-ossiġnu għenu biex jiskreditaw it-teorija tal-flogiston popolari dak iż-żmien tal-kombustjoni u l-korrużjoni. Ismu joħroġ mill-għeruq Griegi ὀξύς oxys, ""aċidu"", litteralment ""qawwi"", li jirrefe"&amp;"ri għat-togħma qarsa ta 'aċidi u -γενής -enes, ""produttur"", litteralment ""begetter"", minħabba li fil-ħin tal-ismijiet, kien ħasbu bi żball li l-aċidi kollha kienu jeħtieġu ossiġnu fil-kompożizzjoni tagħhom. Użi komuni ta 'ossiġnu jinkludi ċ-ċiklu ta' "&amp;"produzzjoni ta 'l-azzar, plastik u tessuti, ibbrejżjar, iwweldjar u qtugħ ta' azzar u metalli oħra, rokit propellant, fit-terapija ta 'l-ossiġnu u sistemi ta' appoġġ għall-ħajja f'ajruplani, sottomarini, fluss spazjali u għadis.")</f>
        <v>Oxygen ġie skopert indipendentement minn Carl Wilhelm Scheele, f'Uppsala, fl-1773 jew qabel, u Joseph Priestley f'Wiltshire, fl-1774, iżda Priestley ħafna drabi jingħata prijorità minħabba li x-xogħol tiegħu ġie ppubblikat l-ewwel. L-isem Oxygen inħoloq fl-1777 minn Antoine Lavoisier, li l-esperimenti tiegħu bl-ossiġnu għenu biex jiskreditaw it-teorija tal-flogiston popolari dak iż-żmien tal-kombustjoni u l-korrużjoni. Ismu joħroġ mill-għeruq Griegi ὀξύς oxys, "aċidu", litteralment "qawwi", li jirreferi għat-togħma qarsa ta 'aċidi u -γενής -enes, "produttur", litteralment "begetter", minħabba li fil-ħin tal-ismijiet, kien ħasbu bi żball li l-aċidi kollha kienu jeħtieġu ossiġnu fil-kompożizzjoni tagħhom. Użi komuni ta 'ossiġnu jinkludi ċ-ċiklu ta' produzzjoni ta 'l-azzar, plastik u tessuti, ibbrejżjar, iwweldjar u qtugħ ta' azzar u metalli oħra, rokit propellant, fit-terapija ta 'l-ossiġnu u sistemi ta' appoġġ għall-ħajja f'ajruplani, sottomarini, fluss spazjali u għadis.</v>
      </c>
    </row>
    <row r="6176" ht="15.75" customHeight="1">
      <c r="A6176" s="2" t="s">
        <v>6176</v>
      </c>
      <c r="B6176" s="2" t="str">
        <f>IFERROR(__xludf.DUMMYFUNCTION("GOOGLETRANSLATE(A6176, ""en"", ""mt"")"),"Kien biss l-orbita tal-pjaneta Merkurju li l-liġi ta 'gravitazzjoni ta' Newton dehret li ma tispjegax bis-sħiħ. Xi astrofiżiċi bassru l-eżistenza ta 'pjaneta oħra (Vulcan) li tispjega d-diskrepanzi; Madankollu, minkejja xi indikazzjonijiet bikrija, ma nst"&amp;"ab l-ebda pjaneta bħal din. Meta Albert Einstein fformula t-teorija tiegħu tar-Relatività Ġenerali (GR) huwa biddel l-attenzjoni tiegħu għall-problema tal-orbita ta 'Merkurju u sab li t-teorija tiegħu żiedet korrezzjoni, li tista' tirrapreżenta d-diskrepa"&amp;"nza. Din kienet l-ewwel darba li t-teorija tal-gravità ta ’Newton kienet murija li kienet inqas korretta minn alternattiva.")</f>
        <v>Kien biss l-orbita tal-pjaneta Merkurju li l-liġi ta 'gravitazzjoni ta' Newton dehret li ma tispjegax bis-sħiħ. Xi astrofiżiċi bassru l-eżistenza ta 'pjaneta oħra (Vulcan) li tispjega d-diskrepanzi; Madankollu, minkejja xi indikazzjonijiet bikrija, ma nstab l-ebda pjaneta bħal din. Meta Albert Einstein fformula t-teorija tiegħu tar-Relatività Ġenerali (GR) huwa biddel l-attenzjoni tiegħu għall-problema tal-orbita ta 'Merkurju u sab li t-teorija tiegħu żiedet korrezzjoni, li tista' tirrapreżenta d-diskrepanza. Din kienet l-ewwel darba li t-teorija tal-gravità ta ’Newton kienet murija li kienet inqas korretta minn alternattiva.</v>
      </c>
    </row>
    <row r="6177" ht="15.75" customHeight="1">
      <c r="A6177" s="2" t="s">
        <v>6177</v>
      </c>
      <c r="B6177" s="2" t="str">
        <f>IFERROR(__xludf.DUMMYFUNCTION("GOOGLETRANSLATE(A6177, ""en"", ""mt"")"),"Liema dinastija Ċiniża sabet il-Mongoli?")</f>
        <v>Liema dinastija Ċiniża sabet il-Mongoli?</v>
      </c>
    </row>
    <row r="6178" ht="15.75" customHeight="1">
      <c r="A6178" s="2" t="s">
        <v>6178</v>
      </c>
      <c r="B6178" s="2" t="str">
        <f>IFERROR(__xludf.DUMMYFUNCTION("GOOGLETRANSLATE(A6178, ""en"", ""mt"")"),"New Orleans")</f>
        <v>New Orleans</v>
      </c>
    </row>
    <row r="6179" ht="15.75" customHeight="1">
      <c r="A6179" s="2" t="s">
        <v>6179</v>
      </c>
      <c r="B6179" s="2" t="str">
        <f>IFERROR(__xludf.DUMMYFUNCTION("GOOGLETRANSLATE(A6179, ""en"", ""mt"")"),"Min kien missier Genghis Khan?")</f>
        <v>Min kien missier Genghis Khan?</v>
      </c>
    </row>
    <row r="6180" ht="15.75" customHeight="1">
      <c r="A6180" s="2" t="s">
        <v>6180</v>
      </c>
      <c r="B6180" s="2" t="str">
        <f>IFERROR(__xludf.DUMMYFUNCTION("GOOGLETRANSLATE(A6180, ""en"", ""mt"")"),"deflate")</f>
        <v>deflate</v>
      </c>
    </row>
    <row r="6181" ht="15.75" customHeight="1">
      <c r="A6181" s="2" t="s">
        <v>6181</v>
      </c>
      <c r="B6181" s="2" t="str">
        <f>IFERROR(__xludf.DUMMYFUNCTION("GOOGLETRANSLATE(A6181, ""en"", ""mt"")"),"kanal 7")</f>
        <v>kanal 7</v>
      </c>
    </row>
    <row r="6182" ht="15.75" customHeight="1">
      <c r="A6182" s="2" t="s">
        <v>6182</v>
      </c>
      <c r="B6182" s="2" t="str">
        <f>IFERROR(__xludf.DUMMYFUNCTION("GOOGLETRANSLATE(A6182, ""en"", ""mt"")"),"Milton Friedman")</f>
        <v>Milton Friedman</v>
      </c>
    </row>
    <row r="6183" ht="15.75" customHeight="1">
      <c r="A6183" s="2" t="s">
        <v>6183</v>
      </c>
      <c r="B6183" s="2" t="str">
        <f>IFERROR(__xludf.DUMMYFUNCTION("GOOGLETRANSLATE(A6183, ""en"", ""mt"")"),"King Ethelred II")</f>
        <v>King Ethelred II</v>
      </c>
    </row>
    <row r="6184" ht="15.75" customHeight="1">
      <c r="A6184" s="2" t="s">
        <v>6184</v>
      </c>
      <c r="B6184" s="2" t="str">
        <f>IFERROR(__xludf.DUMMYFUNCTION("GOOGLETRANSLATE(A6184, ""en"", ""mt"")"),"Organizzazzjoni Meteoroloġika Dinjija")</f>
        <v>Organizzazzjoni Meteoroloġika Dinjija</v>
      </c>
    </row>
    <row r="6185" ht="15.75" customHeight="1">
      <c r="A6185" s="2" t="s">
        <v>6185</v>
      </c>
      <c r="B6185" s="2" t="str">
        <f>IFERROR(__xludf.DUMMYFUNCTION("GOOGLETRANSLATE(A6185, ""en"", ""mt"")"),"F'liema sena Jerónimo de Ayanz y Beaumont brevett pompa tal-ilma biex tiskula l-minjieri?")</f>
        <v>F'liema sena Jerónimo de Ayanz y Beaumont brevett pompa tal-ilma biex tiskula l-minjieri?</v>
      </c>
    </row>
    <row r="6186" ht="15.75" customHeight="1">
      <c r="A6186" s="2" t="s">
        <v>6186</v>
      </c>
      <c r="B6186" s="2" t="str">
        <f>IFERROR(__xludf.DUMMYFUNCTION("GOOGLETRANSLATE(A6186, ""en"", ""mt"")"),"Għaliex isiru dibattiti dwar mozzjonijiet proposti minn MSP?")</f>
        <v>Għaliex isiru dibattiti dwar mozzjonijiet proposti minn MSP?</v>
      </c>
    </row>
    <row r="6187" ht="15.75" customHeight="1">
      <c r="A6187" s="2" t="s">
        <v>6187</v>
      </c>
      <c r="B6187" s="2" t="str">
        <f>IFERROR(__xludf.DUMMYFUNCTION("GOOGLETRANSLATE(A6187, ""en"", ""mt"")"),"bidu ta 'kull sessjoni parlamentari")</f>
        <v>bidu ta 'kull sessjoni parlamentari</v>
      </c>
    </row>
    <row r="6188" ht="15.75" customHeight="1">
      <c r="A6188" s="2" t="s">
        <v>6188</v>
      </c>
      <c r="B6188" s="2" t="str">
        <f>IFERROR(__xludf.DUMMYFUNCTION("GOOGLETRANSLATE(A6188, ""en"", ""mt"")"),"26")</f>
        <v>26</v>
      </c>
    </row>
    <row r="6189" ht="15.75" customHeight="1">
      <c r="A6189" s="2" t="s">
        <v>6189</v>
      </c>
      <c r="B6189" s="2" t="str">
        <f>IFERROR(__xludf.DUMMYFUNCTION("GOOGLETRANSLATE(A6189, ""en"", ""mt"")"),"Wettaq fotosintesi")</f>
        <v>Wettaq fotosintesi</v>
      </c>
    </row>
    <row r="6190" ht="15.75" customHeight="1">
      <c r="A6190" s="2" t="s">
        <v>6190</v>
      </c>
      <c r="B6190" s="2" t="str">
        <f>IFERROR(__xludf.DUMMYFUNCTION("GOOGLETRANSLATE(A6190, ""en"", ""mt"")"),"4,097.9 persuni kull mil kwadru")</f>
        <v>4,097.9 persuni kull mil kwadru</v>
      </c>
    </row>
    <row r="6191" ht="15.75" customHeight="1">
      <c r="A6191" s="2" t="s">
        <v>6191</v>
      </c>
      <c r="B6191" s="2" t="str">
        <f>IFERROR(__xludf.DUMMYFUNCTION("GOOGLETRANSLATE(A6191, ""en"", ""mt"")"),"Liema staġun ta 'Doctor Who rebaħ premju għall-aħjar kitba fis-serje tat-tfal?")</f>
        <v>Liema staġun ta 'Doctor Who rebaħ premju għall-aħjar kitba fis-serje tat-tfal?</v>
      </c>
    </row>
    <row r="6192" ht="15.75" customHeight="1">
      <c r="A6192" s="2" t="s">
        <v>6192</v>
      </c>
      <c r="B6192" s="2" t="str">
        <f>IFERROR(__xludf.DUMMYFUNCTION("GOOGLETRANSLATE(A6192, ""en"", ""mt"")"),"Jekk nassumu li P huwa prim ieħor għajr 2 jew 5, allura, skond it-teorema ta 'Fermat, x'tip ta' deċimali se jkun dejjem?")</f>
        <v>Jekk nassumu li P huwa prim ieħor għajr 2 jew 5, allura, skond it-teorema ta 'Fermat, x'tip ta' deċimali se jkun dejjem?</v>
      </c>
    </row>
    <row r="6193" ht="15.75" customHeight="1">
      <c r="A6193" s="2" t="s">
        <v>6193</v>
      </c>
      <c r="B6193" s="2" t="str">
        <f>IFERROR(__xludf.DUMMYFUNCTION("GOOGLETRANSLATE(A6193, ""en"", ""mt"")"),"Soċjologu")</f>
        <v>Soċjologu</v>
      </c>
    </row>
    <row r="6194" ht="15.75" customHeight="1">
      <c r="A6194" s="2" t="s">
        <v>6194</v>
      </c>
      <c r="B6194" s="2" t="str">
        <f>IFERROR(__xludf.DUMMYFUNCTION("GOOGLETRANSLATE(A6194, ""en"", ""mt"")"),"Isqof")</f>
        <v>Isqof</v>
      </c>
    </row>
    <row r="6195" ht="15.75" customHeight="1">
      <c r="A6195" s="2" t="s">
        <v>6195</v>
      </c>
      <c r="B6195" s="2" t="str">
        <f>IFERROR(__xludf.DUMMYFUNCTION("GOOGLETRANSLATE(A6195, ""en"", ""mt"")"),"X'inhu t-tendenza li jwassal għal aktar flus?")</f>
        <v>X'inhu t-tendenza li jwassal għal aktar flus?</v>
      </c>
    </row>
    <row r="6196" ht="15.75" customHeight="1">
      <c r="A6196" s="2" t="s">
        <v>6196</v>
      </c>
      <c r="B6196" s="2" t="str">
        <f>IFERROR(__xludf.DUMMYFUNCTION("GOOGLETRANSLATE(A6196, ""en"", ""mt"")"),"Liema president tal-Columbia mar Harvard?")</f>
        <v>Liema president tal-Columbia mar Harvard?</v>
      </c>
    </row>
    <row r="6197" ht="15.75" customHeight="1">
      <c r="A6197" s="2" t="s">
        <v>6197</v>
      </c>
      <c r="B6197" s="2" t="str">
        <f>IFERROR(__xludf.DUMMYFUNCTION("GOOGLETRANSLATE(A6197, ""en"", ""mt"")"),"aktar frisk")</f>
        <v>aktar frisk</v>
      </c>
    </row>
    <row r="6198" ht="15.75" customHeight="1">
      <c r="A6198" s="2" t="s">
        <v>6198</v>
      </c>
      <c r="B6198" s="2" t="str">
        <f>IFERROR(__xludf.DUMMYFUNCTION("GOOGLETRANSLATE(A6198, ""en"", ""mt"")"),"1964 u 1968")</f>
        <v>1964 u 1968</v>
      </c>
    </row>
    <row r="6199" ht="15.75" customHeight="1">
      <c r="A6199" s="2" t="s">
        <v>6199</v>
      </c>
      <c r="B6199" s="2" t="str">
        <f>IFERROR(__xludf.DUMMYFUNCTION("GOOGLETRANSLATE(A6199, ""en"", ""mt"")"),"Min rebaħ l-MVP għas-Super Bowl?")</f>
        <v>Min rebaħ l-MVP għas-Super Bowl?</v>
      </c>
    </row>
    <row r="6200" ht="15.75" customHeight="1">
      <c r="A6200" s="2" t="s">
        <v>6200</v>
      </c>
      <c r="B6200" s="2" t="str">
        <f>IFERROR(__xludf.DUMMYFUNCTION("GOOGLETRANSLATE(A6200, ""en"", ""mt"")"),"Miċ-Ċensiment tal-Istati Uniti tal-2010, in-Nofsinhar tal-Kalifornja għandha popolazzjoni ta '22, 680,010. Minkejja reputazzjoni għal rati ta 'tkabbir għoljin, ir-rata tan-Nofsinhar ta' California kibret inqas mill-medja tal-istat ta '10.0% fis-snin 2000 "&amp;"hekk kif it-tkabbir ta' California sar ikkonċentrat fil-parti tat-tramuntana ta 'l-istat minħabba ekonomija aktar b'saħħitha u orjentata lejn it-teknoloġija fiż-żona tal-bajja u Reġjun ta 'Sacramento Greater Emerging.")</f>
        <v>Miċ-Ċensiment tal-Istati Uniti tal-2010, in-Nofsinhar tal-Kalifornja għandha popolazzjoni ta '22, 680,010. Minkejja reputazzjoni għal rati ta 'tkabbir għoljin, ir-rata tan-Nofsinhar ta' California kibret inqas mill-medja tal-istat ta '10.0% fis-snin 2000 hekk kif it-tkabbir ta' California sar ikkonċentrat fil-parti tat-tramuntana ta 'l-istat minħabba ekonomija aktar b'saħħitha u orjentata lejn it-teknoloġija fiż-żona tal-bajja u Reġjun ta 'Sacramento Greater Emerging.</v>
      </c>
    </row>
    <row r="6201" ht="15.75" customHeight="1">
      <c r="A6201" s="2" t="s">
        <v>6201</v>
      </c>
      <c r="B6201" s="2" t="str">
        <f>IFERROR(__xludf.DUMMYFUNCTION("GOOGLETRANSLATE(A6201, ""en"", ""mt"")"),"tentakli li jistgħu jinġibdu lura")</f>
        <v>tentakli li jistgħu jinġibdu lura</v>
      </c>
    </row>
    <row r="6202" ht="15.75" customHeight="1">
      <c r="A6202" s="2" t="s">
        <v>6202</v>
      </c>
      <c r="B6202" s="2" t="str">
        <f>IFERROR(__xludf.DUMMYFUNCTION("GOOGLETRANSLATE(A6202, ""en"", ""mt"")"),"dak kollu li smacks ta 'sagrifiċċju")</f>
        <v>dak kollu li smacks ta 'sagrifiċċju</v>
      </c>
    </row>
    <row r="6203" ht="15.75" customHeight="1">
      <c r="A6203" s="2" t="s">
        <v>6203</v>
      </c>
      <c r="B6203" s="2" t="str">
        <f>IFERROR(__xludf.DUMMYFUNCTION("GOOGLETRANSLATE(A6203, ""en"", ""mt"")"),"Fejn jinsabu l-Harvard Medical, Dentali u l-Iskola tas-Saħħa Pubblika?")</f>
        <v>Fejn jinsabu l-Harvard Medical, Dentali u l-Iskola tas-Saħħa Pubblika?</v>
      </c>
    </row>
    <row r="6204" ht="15.75" customHeight="1">
      <c r="A6204" s="2" t="s">
        <v>6204</v>
      </c>
      <c r="B6204" s="2" t="str">
        <f>IFERROR(__xludf.DUMMYFUNCTION("GOOGLETRANSLATE(A6204, ""en"", ""mt"")"),"L-Indianapolis Colts")</f>
        <v>L-Indianapolis Colts</v>
      </c>
    </row>
    <row r="6205" ht="15.75" customHeight="1">
      <c r="A6205" s="2" t="s">
        <v>6205</v>
      </c>
      <c r="B6205" s="2" t="str">
        <f>IFERROR(__xludf.DUMMYFUNCTION("GOOGLETRANSLATE(A6205, ""en"", ""mt"")"),"It-tossiċità tal-ossiġnu għall-pulmuni u s-sistema nervuża ċentrali tista 'sseħħ ukoll fl-għadis fil-fond u fl-għadis tal-wiċċ fornut. Nifs fit-tul ta 'taħlita ta' l-arja b'o
2 pressjoni parzjali aktar minn 60 kPa jistgħu eventwalment iwasslu għal fibrożi"&amp;" pulmonari permanenti. Espożizzjoni għal o
2 pressjonijiet parzjali akbar minn 160 kPa (madwar 1.6 atm) jistgħu jwasslu għal konvulżjonijiet (normalment fatali għall-għaddasa). Tossiċità akuta ta 'ossiġnu (li tikkawża aċċessjonijiet, l-iktar effett tal-bi"&amp;"ża' tagħha għall-għaddasa) jista 'jseħħ billi tieħu n-nifs ta' taħlita ta 'l-arja b'21% o
2 f'66 m jew aktar ta 'fond; L-istess ħaġa tista 'sseħħ billi tieħu n-nifs 100% o
2 f'6 m.")</f>
        <v>It-tossiċità tal-ossiġnu għall-pulmuni u s-sistema nervuża ċentrali tista 'sseħħ ukoll fl-għadis fil-fond u fl-għadis tal-wiċċ fornut. Nifs fit-tul ta 'taħlita ta' l-arja b'o
2 pressjoni parzjali aktar minn 60 kPa jistgħu eventwalment iwasslu għal fibrożi pulmonari permanenti. Espożizzjoni għal o
2 pressjonijiet parzjali akbar minn 160 kPa (madwar 1.6 atm) jistgħu jwasslu għal konvulżjonijiet (normalment fatali għall-għaddasa). Tossiċità akuta ta 'ossiġnu (li tikkawża aċċessjonijiet, l-iktar effett tal-biża' tagħha għall-għaddasa) jista 'jseħħ billi tieħu n-nifs ta' taħlita ta 'l-arja b'21% o
2 f'66 m jew aktar ta 'fond; L-istess ħaġa tista 'sseħħ billi tieħu n-nifs 100% o
2 f'6 m.</v>
      </c>
    </row>
    <row r="6206" ht="15.75" customHeight="1">
      <c r="A6206" s="2" t="s">
        <v>6206</v>
      </c>
      <c r="B6206" s="2" t="str">
        <f>IFERROR(__xludf.DUMMYFUNCTION("GOOGLETRANSLATE(A6206, ""en"", ""mt"")"),"skomdi u mhux sanitarju")</f>
        <v>skomdi u mhux sanitarju</v>
      </c>
    </row>
    <row r="6207" ht="15.75" customHeight="1">
      <c r="A6207" s="2" t="s">
        <v>6207</v>
      </c>
      <c r="B6207" s="2" t="str">
        <f>IFERROR(__xludf.DUMMYFUNCTION("GOOGLETRANSLATE(A6207, ""en"", ""mt"")"),"Il-proporzjon ta 'dawk li għadhom ma ggradwawx nisa żdied b'mod kostanti, u jirrifletti xejra matul l-edukazzjoni għolja fl-Istati Uniti")</f>
        <v>Il-proporzjon ta 'dawk li għadhom ma ggradwawx nisa żdied b'mod kostanti, u jirrifletti xejra matul l-edukazzjoni għolja fl-Istati Uniti</v>
      </c>
    </row>
    <row r="6208" ht="15.75" customHeight="1">
      <c r="A6208" s="2" t="s">
        <v>6208</v>
      </c>
      <c r="B6208" s="2" t="str">
        <f>IFERROR(__xludf.DUMMYFUNCTION("GOOGLETRANSLATE(A6208, ""en"", ""mt"")"),"X'kienet il-popolazzjoni bajda ta 'Jacksonville mill-2010?")</f>
        <v>X'kienet il-popolazzjoni bajda ta 'Jacksonville mill-2010?</v>
      </c>
    </row>
    <row r="6209" ht="15.75" customHeight="1">
      <c r="A6209" s="2" t="s">
        <v>6209</v>
      </c>
      <c r="B6209" s="2" t="str">
        <f>IFERROR(__xludf.DUMMYFUNCTION("GOOGLETRANSLATE(A6209, ""en"", ""mt"")"),"X'inhu l-aktar kmieni li Bach beda juża Luther Hymns?")</f>
        <v>X'inhu l-aktar kmieni li Bach beda juża Luther Hymns?</v>
      </c>
    </row>
    <row r="6210" ht="15.75" customHeight="1">
      <c r="A6210" s="2" t="s">
        <v>6210</v>
      </c>
      <c r="B6210" s="2" t="str">
        <f>IFERROR(__xludf.DUMMYFUNCTION("GOOGLETRANSLATE(A6210, ""en"", ""mt"")"),"Il-Baċellerat")</f>
        <v>Il-Baċellerat</v>
      </c>
    </row>
    <row r="6211" ht="15.75" customHeight="1">
      <c r="A6211" s="2" t="s">
        <v>6211</v>
      </c>
      <c r="B6211" s="2" t="str">
        <f>IFERROR(__xludf.DUMMYFUNCTION("GOOGLETRANSLATE(A6211, ""en"", ""mt"")"),"80 miljun")</f>
        <v>80 miljun</v>
      </c>
    </row>
    <row r="6212" ht="15.75" customHeight="1">
      <c r="A6212" s="2" t="s">
        <v>6212</v>
      </c>
      <c r="B6212" s="2" t="str">
        <f>IFERROR(__xludf.DUMMYFUNCTION("GOOGLETRANSLATE(A6212, ""en"", ""mt"")"),"Kleru u teologi Ġermaniżi Luterani")</f>
        <v>Kleru u teologi Ġermaniżi Luterani</v>
      </c>
    </row>
    <row r="6213" ht="15.75" customHeight="1">
      <c r="A6213" s="2" t="s">
        <v>6213</v>
      </c>
      <c r="B6213" s="2" t="str">
        <f>IFERROR(__xludf.DUMMYFUNCTION("GOOGLETRANSLATE(A6213, ""en"", ""mt"")"),"Microsoft x’ħabbret li se tibdel l-isem Sky?")</f>
        <v>Microsoft x’ħabbret li se tibdel l-isem Sky?</v>
      </c>
    </row>
    <row r="6214" ht="15.75" customHeight="1">
      <c r="A6214" s="2" t="s">
        <v>6214</v>
      </c>
      <c r="B6214" s="2" t="str">
        <f>IFERROR(__xludf.DUMMYFUNCTION("GOOGLETRANSLATE(A6214, ""en"", ""mt"")"),"Dynasties Sui u Tang")</f>
        <v>Dynasties Sui u Tang</v>
      </c>
    </row>
    <row r="6215" ht="15.75" customHeight="1">
      <c r="A6215" s="2" t="s">
        <v>6215</v>
      </c>
      <c r="B6215" s="2" t="str">
        <f>IFERROR(__xludf.DUMMYFUNCTION("GOOGLETRANSLATE(A6215, ""en"", ""mt"")"),"Meta l-imperjalizmu jolqot in-normi soċjali ta 'stat, kif jissejjaħ?")</f>
        <v>Meta l-imperjalizmu jolqot in-normi soċjali ta 'stat, kif jissejjaħ?</v>
      </c>
    </row>
    <row r="6216" ht="15.75" customHeight="1">
      <c r="A6216" s="2" t="s">
        <v>6216</v>
      </c>
      <c r="B6216" s="2" t="str">
        <f>IFERROR(__xludf.DUMMYFUNCTION("GOOGLETRANSLATE(A6216, ""en"", ""mt"")"),"Minn liema kienu l-ktajjen ta 'Iżakk?")</f>
        <v>Minn liema kienu l-ktajjen ta 'Iżakk?</v>
      </c>
    </row>
    <row r="6217" ht="15.75" customHeight="1">
      <c r="A6217" s="2" t="s">
        <v>6217</v>
      </c>
      <c r="B6217" s="2" t="str">
        <f>IFERROR(__xludf.DUMMYFUNCTION("GOOGLETRANSLATE(A6217, ""en"", ""mt"")"),"squiled saqajh")</f>
        <v>squiled saqajh</v>
      </c>
    </row>
    <row r="6218" ht="15.75" customHeight="1">
      <c r="A6218" s="2" t="s">
        <v>6218</v>
      </c>
      <c r="B6218" s="2" t="str">
        <f>IFERROR(__xludf.DUMMYFUNCTION("GOOGLETRANSLATE(A6218, ""en"", ""mt"")"),"Shaun White")</f>
        <v>Shaun White</v>
      </c>
    </row>
    <row r="6219" ht="15.75" customHeight="1">
      <c r="A6219" s="2" t="s">
        <v>6219</v>
      </c>
      <c r="B6219" s="2" t="str">
        <f>IFERROR(__xludf.DUMMYFUNCTION("GOOGLETRANSLATE(A6219, ""en"", ""mt"")"),"L-intestatura tal-pakkett tista 'tkun żgħira")</f>
        <v>L-intestatura tal-pakkett tista 'tkun żgħira</v>
      </c>
    </row>
    <row r="6220" ht="15.75" customHeight="1">
      <c r="A6220" s="2" t="s">
        <v>6220</v>
      </c>
      <c r="B6220" s="2" t="str">
        <f>IFERROR(__xludf.DUMMYFUNCTION("GOOGLETRANSLATE(A6220, ""en"", ""mt"")"),"Meta l-poplu Yuan sofra serje ta 'diżastri naturali?")</f>
        <v>Meta l-poplu Yuan sofra serje ta 'diżastri naturali?</v>
      </c>
    </row>
    <row r="6221" ht="15.75" customHeight="1">
      <c r="A6221" s="2" t="s">
        <v>6221</v>
      </c>
      <c r="B6221" s="2" t="str">
        <f>IFERROR(__xludf.DUMMYFUNCTION("GOOGLETRANSLATE(A6221, ""en"", ""mt"")"),"Mekkaniżmu ta 'ċirku rolling")</f>
        <v>Mekkaniżmu ta 'ċirku rolling</v>
      </c>
    </row>
    <row r="6222" ht="15.75" customHeight="1">
      <c r="A6222" s="2" t="s">
        <v>6222</v>
      </c>
      <c r="B6222" s="2" t="str">
        <f>IFERROR(__xludf.DUMMYFUNCTION("GOOGLETRANSLATE(A6222, ""en"", ""mt"")"),"X’jikkanċella l-ħtija tagħna u jagħtina s-setgħa biex nirreżistu l-qawwa tad-dnub u nħobbu bis-sħiħ lil Alla u l-proxxmu?")</f>
        <v>X’jikkanċella l-ħtija tagħna u jagħtina s-setgħa biex nirreżistu l-qawwa tad-dnub u nħobbu bis-sħiħ lil Alla u l-proxxmu?</v>
      </c>
    </row>
    <row r="6223" ht="15.75" customHeight="1">
      <c r="A6223" s="2" t="s">
        <v>6223</v>
      </c>
      <c r="B6223" s="2" t="str">
        <f>IFERROR(__xludf.DUMMYFUNCTION("GOOGLETRANSLATE(A6223, ""en"", ""mt"")"),"membru privat")</f>
        <v>membru privat</v>
      </c>
    </row>
    <row r="6224" ht="15.75" customHeight="1">
      <c r="A6224" s="2" t="s">
        <v>6224</v>
      </c>
      <c r="B6224" s="2" t="str">
        <f>IFERROR(__xludf.DUMMYFUNCTION("GOOGLETRANSLATE(A6224, ""en"", ""mt"")"),"X'inhi n-nomina xjentifika ta 'l-ossiġnu?")</f>
        <v>X'inhi n-nomina xjentifika ta 'l-ossiġnu?</v>
      </c>
    </row>
    <row r="6225" ht="15.75" customHeight="1">
      <c r="A6225" s="2" t="s">
        <v>6225</v>
      </c>
      <c r="B6225" s="2" t="str">
        <f>IFERROR(__xludf.DUMMYFUNCTION("GOOGLETRANSLATE(A6225, ""en"", ""mt"")"),"Riċetturi varjabbli tal-limfoċiti (VLRs)")</f>
        <v>Riċetturi varjabbli tal-limfoċiti (VLRs)</v>
      </c>
    </row>
    <row r="6226" ht="15.75" customHeight="1">
      <c r="A6226" s="2" t="s">
        <v>6226</v>
      </c>
      <c r="B6226" s="2" t="str">
        <f>IFERROR(__xludf.DUMMYFUNCTION("GOOGLETRANSLATE(A6226, ""en"", ""mt"")"),"Sadanittant, ABC News, li ffurmat bħala diviżjoni ġdida separata, fittex li ssir mexxej globali fl-aħbarijiet televiżivi. Fl-1977, Roone Arledge ġie msemmi president tal-ABC News il-ġdid minbarra li kien president tal-ABC Sports. Dik l-istess sena, ABC ne"&amp;"diet espansjoni kbira tal-faċilitajiet tal-uffiċċju tagħha fi New York City. Il-kumpanija l-ewwel bniet bini ġdid ta '10 stejjer fuq art li qabel kienet okkupata minn maħżen abbandunat fil-kantuniera ta 'Columbus Avenue u West 66th Street; Il-faċilità li "&amp;"nbniet fil-post tagħha hija mlaqqma ""7 Lincoln Square"" (għalkemm fil-fatt tinsab fil-149 Avenue Columbus). Sadanittant, ex-parkeġġ, li jinsab fit-30 West 67th Street, ġie trasformat f'bini impressjonanti ta '15 -il storja. Iż-żewġ binjiet tlestew f'Ġunj"&amp;"u tal-1979. WABC-TV ressaq l-operazzjonijiet tiegħu mill-uffiċċji fis-77 West 66th Street għal 149 Columbus Avenue, u ħeles spazju għan-Netwerk ABC biex tospita wħud mill-operazzjonijiet tagħha.")</f>
        <v>Sadanittant, ABC News, li ffurmat bħala diviżjoni ġdida separata, fittex li ssir mexxej globali fl-aħbarijiet televiżivi. Fl-1977, Roone Arledge ġie msemmi president tal-ABC News il-ġdid minbarra li kien president tal-ABC Sports. Dik l-istess sena, ABC nediet espansjoni kbira tal-faċilitajiet tal-uffiċċju tagħha fi New York City. Il-kumpanija l-ewwel bniet bini ġdid ta '10 stejjer fuq art li qabel kienet okkupata minn maħżen abbandunat fil-kantuniera ta 'Columbus Avenue u West 66th Street; Il-faċilità li nbniet fil-post tagħha hija mlaqqma "7 Lincoln Square" (għalkemm fil-fatt tinsab fil-149 Avenue Columbus). Sadanittant, ex-parkeġġ, li jinsab fit-30 West 67th Street, ġie trasformat f'bini impressjonanti ta '15 -il storja. Iż-żewġ binjiet tlestew f'Ġunju tal-1979. WABC-TV ressaq l-operazzjonijiet tiegħu mill-uffiċċji fis-77 West 66th Street għal 149 Columbus Avenue, u ħeles spazju għan-Netwerk ABC biex tospita wħud mill-operazzjonijiet tagħha.</v>
      </c>
    </row>
    <row r="6227" ht="15.75" customHeight="1">
      <c r="A6227" s="2" t="s">
        <v>6227</v>
      </c>
      <c r="B6227" s="2" t="str">
        <f>IFERROR(__xludf.DUMMYFUNCTION("GOOGLETRANSLATE(A6227, ""en"", ""mt"")"),"relazzjoni simbjotika")</f>
        <v>relazzjoni simbjotika</v>
      </c>
    </row>
    <row r="6228" ht="15.75" customHeight="1">
      <c r="A6228" s="2" t="s">
        <v>6228</v>
      </c>
      <c r="B6228" s="2" t="str">
        <f>IFERROR(__xludf.DUMMYFUNCTION("GOOGLETRANSLATE(A6228, ""en"", ""mt"")"),"Protokoll tal-Internet")</f>
        <v>Protokoll tal-Internet</v>
      </c>
    </row>
    <row r="6229" ht="15.75" customHeight="1">
      <c r="A6229" s="2" t="s">
        <v>6229</v>
      </c>
      <c r="B6229" s="2" t="str">
        <f>IFERROR(__xludf.DUMMYFUNCTION("GOOGLETRANSLATE(A6229, ""en"", ""mt"")"),"Teoloġija tas-Salib,")</f>
        <v>Teoloġija tas-Salib,</v>
      </c>
    </row>
    <row r="6230" ht="15.75" customHeight="1">
      <c r="A6230" s="2" t="s">
        <v>6230</v>
      </c>
      <c r="B6230" s="2" t="str">
        <f>IFERROR(__xludf.DUMMYFUNCTION("GOOGLETRANSLATE(A6230, ""en"", ""mt"")"),"Liema stat fl-Awstralja huwa ċ-ċentru tal-biedja tal-ħalib?")</f>
        <v>Liema stat fl-Awstralja huwa ċ-ċentru tal-biedja tal-ħalib?</v>
      </c>
    </row>
    <row r="6231" ht="15.75" customHeight="1">
      <c r="A6231" s="2" t="s">
        <v>6231</v>
      </c>
      <c r="B6231" s="2" t="str">
        <f>IFERROR(__xludf.DUMMYFUNCTION("GOOGLETRANSLATE(A6231, ""en"", ""mt"")"),"Kuba")</f>
        <v>Kuba</v>
      </c>
    </row>
    <row r="6232" ht="15.75" customHeight="1">
      <c r="A6232" s="2" t="s">
        <v>6232</v>
      </c>
      <c r="B6232" s="2" t="str">
        <f>IFERROR(__xludf.DUMMYFUNCTION("GOOGLETRANSLATE(A6232, ""en"", ""mt"")"),"Liema għarfien ta 'Galileo kien assoċjat ma' veloċità kostanti?")</f>
        <v>Liema għarfien ta 'Galileo kien assoċjat ma' veloċità kostanti?</v>
      </c>
    </row>
    <row r="6233" ht="15.75" customHeight="1">
      <c r="A6233" s="2" t="s">
        <v>6233</v>
      </c>
      <c r="B6233" s="2" t="str">
        <f>IFERROR(__xludf.DUMMYFUNCTION("GOOGLETRANSLATE(A6233, ""en"", ""mt"")"),"Baltimore Ravens")</f>
        <v>Baltimore Ravens</v>
      </c>
    </row>
    <row r="6234" ht="15.75" customHeight="1">
      <c r="A6234" s="2" t="s">
        <v>6234</v>
      </c>
      <c r="B6234" s="2" t="str">
        <f>IFERROR(__xludf.DUMMYFUNCTION("GOOGLETRANSLATE(A6234, ""en"", ""mt"")"),"fil-ġisem u r-ruħ")</f>
        <v>fil-ġisem u r-ruħ</v>
      </c>
    </row>
    <row r="6235" ht="15.75" customHeight="1">
      <c r="A6235" s="2" t="s">
        <v>6235</v>
      </c>
      <c r="B6235" s="2" t="str">
        <f>IFERROR(__xludf.DUMMYFUNCTION("GOOGLETRANSLATE(A6235, ""en"", ""mt"")"),"Biex tevita interferenza ma 'stazzjonijiet tat-televiżjoni VHF eżistenti fiż-Żona tal-Bajja ta' San Francisco u dawk ippjanati għal Chico, Sacramento, Salinas, u Stockton, il-Kummissjoni Federali tal-Komunikazzjonijiet iddeċidiet li Fresno kien ikollu bis"&amp;"s stazzjonijiet tat-televiżjoni UHF. L-ewwel stazzjon tat-televiżjoni Fresno li beda jxandar kien KMJ-TV, li ddebutta fl-1 ta 'Ġunju, 1953. KMJ issa huwa magħruf bħala l-affiljat tal-NBC KSEE. Stazzjonijiet oħra ta 'Fresno jinkludu ABC O&amp;O KFSN, CBS affil"&amp;"jat KGPE, Affiljat CW KFRE, Fox affiljat KMPH, Affiljat MNTV KAIL, PBS affiljat KVPT, Telemundo O&amp;O KNSO, Univision O&amp;O KFTV, u Mundofox u Azteca affiljat KGMC-DT.")</f>
        <v>Biex tevita interferenza ma 'stazzjonijiet tat-televiżjoni VHF eżistenti fiż-Żona tal-Bajja ta' San Francisco u dawk ippjanati għal Chico, Sacramento, Salinas, u Stockton, il-Kummissjoni Federali tal-Komunikazzjonijiet iddeċidiet li Fresno kien ikollu biss stazzjonijiet tat-televiżjoni UHF. L-ewwel stazzjon tat-televiżjoni Fresno li beda jxandar kien KMJ-TV, li ddebutta fl-1 ta 'Ġunju, 1953. KMJ issa huwa magħruf bħala l-affiljat tal-NBC KSEE. Stazzjonijiet oħra ta 'Fresno jinkludu ABC O&amp;O KFSN, CBS affiljat KGPE, Affiljat CW KFRE, Fox affiljat KMPH, Affiljat MNTV KAIL, PBS affiljat KVPT, Telemundo O&amp;O KNSO, Univision O&amp;O KFTV, u Mundofox u Azteca affiljat KGMC-DT.</v>
      </c>
    </row>
    <row r="6236" ht="15.75" customHeight="1">
      <c r="A6236" s="2" t="s">
        <v>6236</v>
      </c>
      <c r="B6236" s="2" t="str">
        <f>IFERROR(__xludf.DUMMYFUNCTION("GOOGLETRANSLATE(A6236, ""en"", ""mt"")"),"Fl-1507, ġie ordnat lis-saċerdozju, u fl-1508, von Staupitz, l-ewwel dekan tal-Università li għadu kif twaqqaf Wittenberg, mibgħut għal Luther, biex jgħallem it-teoloġija. Irċieva baċellerat fl-Istudji Bibliċi fid-9 ta 'Marzu 1508, u grad ieħor ta' baċell"&amp;"erat fis-sentenzi minn Peter Lombard fl-1509.")</f>
        <v>Fl-1507, ġie ordnat lis-saċerdozju, u fl-1508, von Staupitz, l-ewwel dekan tal-Università li għadu kif twaqqaf Wittenberg, mibgħut għal Luther, biex jgħallem it-teoloġija. Irċieva baċellerat fl-Istudji Bibliċi fid-9 ta 'Marzu 1508, u grad ieħor ta' baċellerat fis-sentenzi minn Peter Lombard fl-1509.</v>
      </c>
    </row>
    <row r="6237" ht="15.75" customHeight="1">
      <c r="A6237" s="2" t="s">
        <v>6237</v>
      </c>
      <c r="B6237" s="2" t="str">
        <f>IFERROR(__xludf.DUMMYFUNCTION("GOOGLETRANSLATE(A6237, ""en"", ""mt"")"),"X'inhi l-ispiża totali ta 'attendenza fl-2012-13?")</f>
        <v>X'inhi l-ispiża totali ta 'attendenza fl-2012-13?</v>
      </c>
    </row>
    <row r="6238" ht="15.75" customHeight="1">
      <c r="A6238" s="2" t="s">
        <v>6238</v>
      </c>
      <c r="B6238" s="2" t="str">
        <f>IFERROR(__xludf.DUMMYFUNCTION("GOOGLETRANSLATE(A6238, ""en"", ""mt"")"),"l-aktar sinjur 1 fil-mija")</f>
        <v>l-aktar sinjur 1 fil-mija</v>
      </c>
    </row>
    <row r="6239" ht="15.75" customHeight="1">
      <c r="A6239" s="2" t="s">
        <v>6239</v>
      </c>
      <c r="B6239" s="2" t="str">
        <f>IFERROR(__xludf.DUMMYFUNCTION("GOOGLETRANSLATE(A6239, ""en"", ""mt"")"),"X'inhu l-obbligu ta 'spiżerija li timla riċetta?")</f>
        <v>X'inhu l-obbligu ta 'spiżerija li timla riċetta?</v>
      </c>
    </row>
    <row r="6240" ht="15.75" customHeight="1">
      <c r="A6240" s="2" t="s">
        <v>6240</v>
      </c>
      <c r="B6240" s="2" t="str">
        <f>IFERROR(__xludf.DUMMYFUNCTION("GOOGLETRANSLATE(A6240, ""en"", ""mt"")"),"X'kienet l-unika drama estiża għat-tieni staġun għall-iskeda 2010-11?")</f>
        <v>X'kienet l-unika drama estiża għat-tieni staġun għall-iskeda 2010-11?</v>
      </c>
    </row>
    <row r="6241" ht="15.75" customHeight="1">
      <c r="A6241" s="2" t="s">
        <v>6241</v>
      </c>
      <c r="B6241" s="2" t="str">
        <f>IFERROR(__xludf.DUMMYFUNCTION("GOOGLETRANSLATE(A6241, ""en"", ""mt"")"),"Molekuli organiċi komuni")</f>
        <v>Molekuli organiċi komuni</v>
      </c>
    </row>
    <row r="6242" ht="15.75" customHeight="1">
      <c r="A6242" s="2" t="s">
        <v>6242</v>
      </c>
      <c r="B6242" s="2" t="str">
        <f>IFERROR(__xludf.DUMMYFUNCTION("GOOGLETRANSLATE(A6242, ""en"", ""mt"")"),"Imwaqqaf oriġinarjament mil-Leġislatura ta 'Massachusetts u ftit wara msemmi għal John Harvard (l-ewwel benefattur tiegħu), Harvard hija l-eqdem istituzzjoni ta' tagħlim ogħla ta 'l-Istati Uniti, u l-Korporazzjoni ta' Harvard (formalment, il-president u l"&amp;"-membri tal-Kulleġġ ta 'Harvard) hija l-ewwel mikrija tagħha korporazzjoni. Għalkemm qatt ma affiljat formalment ma 'xi denominazzjoni, il-kulleġġ bikri mħarreġ primarjament kongregazzjonist u kleru Unitarju. Il-kurrikulu u l-korp tal-istudenti tiegħu ġew"&amp;" gradwalment sekularizzati matul is-seklu 18, u sas-seklu 19 Harvard kien ħareġ bħala l-istabbiliment kulturali ċentrali fost l-elite ta 'Boston. Wara l-Gwerra Ċivili Amerikana, il-President Charles W. Eliot's Long Tule (1869-1909) biddel il-kulleġġ u l-i"&amp;"skejjel professjonali affiljati f'università ta 'riċerka moderna; Harvard kien membru fundatur tal-Assoċjazzjoni tal-Universitajiet Amerikani fl-1900. James Bryant Conant mexxa l-università permezz tad-Depressjoni l-Kbira u t-Tieni Gwerra Dinjija u beda j"&amp;"irriforma l-kurrikulu u jilliberalizza l-ammissjonijiet wara l-gwerra. Il-Kulleġġ Undergraduate sar koeducational wara l-għaqda tiegħu tal-1977 mal-Kulleġġ Radcliffe.")</f>
        <v>Imwaqqaf oriġinarjament mil-Leġislatura ta 'Massachusetts u ftit wara msemmi għal John Harvard (l-ewwel benefattur tiegħu), Harvard hija l-eqdem istituzzjoni ta' tagħlim ogħla ta 'l-Istati Uniti, u l-Korporazzjoni ta' Harvard (formalment, il-president u l-membri tal-Kulleġġ ta 'Harvard) hija l-ewwel mikrija tagħha korporazzjoni. Għalkemm qatt ma affiljat formalment ma 'xi denominazzjoni, il-kulleġġ bikri mħarreġ primarjament kongregazzjonist u kleru Unitarju. Il-kurrikulu u l-korp tal-istudenti tiegħu ġew gradwalment sekularizzati matul is-seklu 18, u sas-seklu 19 Harvard kien ħareġ bħala l-istabbiliment kulturali ċentrali fost l-elite ta 'Boston. Wara l-Gwerra Ċivili Amerikana, il-President Charles W. Eliot's Long Tule (1869-1909) biddel il-kulleġġ u l-iskejjel professjonali affiljati f'università ta 'riċerka moderna; Harvard kien membru fundatur tal-Assoċjazzjoni tal-Universitajiet Amerikani fl-1900. James Bryant Conant mexxa l-università permezz tad-Depressjoni l-Kbira u t-Tieni Gwerra Dinjija u beda jirriforma l-kurrikulu u jilliberalizza l-ammissjonijiet wara l-gwerra. Il-Kulleġġ Undergraduate sar koeducational wara l-għaqda tiegħu tal-1977 mal-Kulleġġ Radcliffe.</v>
      </c>
    </row>
    <row r="6243" ht="15.75" customHeight="1">
      <c r="A6243" s="2" t="s">
        <v>6243</v>
      </c>
      <c r="B6243" s="2" t="str">
        <f>IFERROR(__xludf.DUMMYFUNCTION("GOOGLETRANSLATE(A6243, ""en"", ""mt"")"),"il-felċi")</f>
        <v>il-felċi</v>
      </c>
    </row>
    <row r="6244" ht="15.75" customHeight="1">
      <c r="A6244" s="2" t="s">
        <v>6244</v>
      </c>
      <c r="B6244" s="2" t="str">
        <f>IFERROR(__xludf.DUMMYFUNCTION("GOOGLETRANSLATE(A6244, ""en"", ""mt"")"),"13")</f>
        <v>13</v>
      </c>
    </row>
    <row r="6245" ht="15.75" customHeight="1">
      <c r="A6245" s="2" t="s">
        <v>6245</v>
      </c>
      <c r="B6245" s="2" t="str">
        <f>IFERROR(__xludf.DUMMYFUNCTION("GOOGLETRANSLATE(A6245, ""en"", ""mt"")"),"it-tieni gleichschaltung")</f>
        <v>it-tieni gleichschaltung</v>
      </c>
    </row>
    <row r="6246" ht="15.75" customHeight="1">
      <c r="A6246" s="2" t="s">
        <v>6246</v>
      </c>
      <c r="B6246" s="2" t="str">
        <f>IFERROR(__xludf.DUMMYFUNCTION("GOOGLETRANSLATE(A6246, ""en"", ""mt"")"),"F'liema sena se jkun lest iċ-Ċentru Presidenzjali ta 'Barack Obama?")</f>
        <v>F'liema sena se jkun lest iċ-Ċentru Presidenzjali ta 'Barack Obama?</v>
      </c>
    </row>
    <row r="6247" ht="15.75" customHeight="1">
      <c r="A6247" s="2" t="s">
        <v>6247</v>
      </c>
      <c r="B6247" s="2" t="str">
        <f>IFERROR(__xludf.DUMMYFUNCTION("GOOGLETRANSLATE(A6247, ""en"", ""mt"")"),"Awwissu 1967")</f>
        <v>Awwissu 1967</v>
      </c>
    </row>
    <row r="6248" ht="15.75" customHeight="1">
      <c r="A6248" s="2" t="s">
        <v>6248</v>
      </c>
      <c r="B6248" s="2" t="str">
        <f>IFERROR(__xludf.DUMMYFUNCTION("GOOGLETRANSLATE(A6248, ""en"", ""mt"")"),"Piena immedjata u ġusta għal imġieba ħażina u soda, konfini ċari")</f>
        <v>Piena immedjata u ġusta għal imġieba ħażina u soda, konfini ċari</v>
      </c>
    </row>
    <row r="6249" ht="15.75" customHeight="1">
      <c r="A6249" s="2" t="s">
        <v>6249</v>
      </c>
      <c r="B6249" s="2" t="str">
        <f>IFERROR(__xludf.DUMMYFUNCTION("GOOGLETRANSLATE(A6249, ""en"", ""mt"")"),"X'inhu l-artiklu ċentrali tad-duttrina Nisranija?")</f>
        <v>X'inhu l-artiklu ċentrali tad-duttrina Nisranija?</v>
      </c>
    </row>
    <row r="6250" ht="15.75" customHeight="1">
      <c r="A6250" s="2" t="s">
        <v>6250</v>
      </c>
      <c r="B6250" s="2" t="str">
        <f>IFERROR(__xludf.DUMMYFUNCTION("GOOGLETRANSLATE(A6250, ""en"", ""mt"")"),"11–13 seklu")</f>
        <v>11–13 seklu</v>
      </c>
    </row>
    <row r="6251" ht="15.75" customHeight="1">
      <c r="A6251" s="2" t="s">
        <v>6251</v>
      </c>
      <c r="B6251" s="2" t="str">
        <f>IFERROR(__xludf.DUMMYFUNCTION("GOOGLETRANSLATE(A6251, ""en"", ""mt"")"),"Apertura sintetika")</f>
        <v>Apertura sintetika</v>
      </c>
    </row>
    <row r="6252" ht="15.75" customHeight="1">
      <c r="A6252" s="2" t="s">
        <v>6252</v>
      </c>
      <c r="B6252" s="2" t="str">
        <f>IFERROR(__xludf.DUMMYFUNCTION("GOOGLETRANSLATE(A6252, ""en"", ""mt"")"),"F'liema għaxar snin spiċċat l-ABC li għaddiet għall-kulur?")</f>
        <v>F'liema għaxar snin spiċċat l-ABC li għaddiet għall-kulur?</v>
      </c>
    </row>
    <row r="6253" ht="15.75" customHeight="1">
      <c r="A6253" s="2" t="s">
        <v>6253</v>
      </c>
      <c r="B6253" s="2" t="str">
        <f>IFERROR(__xludf.DUMMYFUNCTION("GOOGLETRANSLATE(A6253, ""en"", ""mt"")"),"X'inhu terminu ieħor għal skejjel preparatorji universitarji?")</f>
        <v>X'inhu terminu ieħor għal skejjel preparatorji universitarji?</v>
      </c>
    </row>
    <row r="6254" ht="15.75" customHeight="1">
      <c r="A6254" s="2" t="s">
        <v>6254</v>
      </c>
      <c r="B6254" s="2" t="str">
        <f>IFERROR(__xludf.DUMMYFUNCTION("GOOGLETRANSLATE(A6254, ""en"", ""mt"")"),"Deportazzjoni tal-popolazzjoni Akkadjana li titkellem bil-Franċiż miż-żona.")</f>
        <v>Deportazzjoni tal-popolazzjoni Akkadjana li titkellem bil-Franċiż miż-żona.</v>
      </c>
    </row>
    <row r="6255" ht="15.75" customHeight="1">
      <c r="A6255" s="2" t="s">
        <v>6255</v>
      </c>
      <c r="B6255" s="2" t="str">
        <f>IFERROR(__xludf.DUMMYFUNCTION("GOOGLETRANSLATE(A6255, ""en"", ""mt"")"),"Kumitat Eżekuttiv")</f>
        <v>Kumitat Eżekuttiv</v>
      </c>
    </row>
    <row r="6256" ht="15.75" customHeight="1">
      <c r="A6256" s="2" t="s">
        <v>6256</v>
      </c>
      <c r="B6256" s="2" t="str">
        <f>IFERROR(__xludf.DUMMYFUNCTION("GOOGLETRANSLATE(A6256, ""en"", ""mt"")"),"illustrazzjoni tal-għaxar kmandamenti")</f>
        <v>illustrazzjoni tal-għaxar kmandamenti</v>
      </c>
    </row>
    <row r="6257" ht="15.75" customHeight="1">
      <c r="A6257" s="2" t="s">
        <v>6257</v>
      </c>
      <c r="B6257" s="2" t="str">
        <f>IFERROR(__xludf.DUMMYFUNCTION("GOOGLETRANSLATE(A6257, ""en"", ""mt"")"),"Minn xiex dehret l-inugwaljanza fl-inugwaljanza fid-distribuzzjoni tad-dħul?")</f>
        <v>Minn xiex dehret l-inugwaljanza fl-inugwaljanza fid-distribuzzjoni tad-dħul?</v>
      </c>
    </row>
    <row r="6258" ht="15.75" customHeight="1">
      <c r="A6258" s="2" t="s">
        <v>6258</v>
      </c>
      <c r="B6258" s="2" t="str">
        <f>IFERROR(__xludf.DUMMYFUNCTION("GOOGLETRANSLATE(A6258, ""en"", ""mt"")"),"Matul il-kampanja għal Indja ħielsa")</f>
        <v>Matul il-kampanja għal Indja ħielsa</v>
      </c>
    </row>
    <row r="6259" ht="15.75" customHeight="1">
      <c r="A6259" s="2" t="s">
        <v>6259</v>
      </c>
      <c r="B6259" s="2" t="str">
        <f>IFERROR(__xludf.DUMMYFUNCTION("GOOGLETRANSLATE(A6259, ""en"", ""mt"")"),"sa 800 CE")</f>
        <v>sa 800 CE</v>
      </c>
    </row>
    <row r="6260" ht="15.75" customHeight="1">
      <c r="A6260" s="2" t="s">
        <v>6260</v>
      </c>
      <c r="B6260" s="2" t="str">
        <f>IFERROR(__xludf.DUMMYFUNCTION("GOOGLETRANSLATE(A6260, ""en"", ""mt"")"),"Xi tfisser l-ossiġnu l-bażi għal fil-kombustjoni?")</f>
        <v>Xi tfisser l-ossiġnu l-bażi għal fil-kombustjoni?</v>
      </c>
    </row>
    <row r="6261" ht="15.75" customHeight="1">
      <c r="A6261" s="2" t="s">
        <v>6261</v>
      </c>
      <c r="B6261" s="2" t="str">
        <f>IFERROR(__xludf.DUMMYFUNCTION("GOOGLETRANSLATE(A6261, ""en"", ""mt"")"),"Watt x'għamel mal-magna tal-fwar fl-1788?")</f>
        <v>Watt x'għamel mal-magna tal-fwar fl-1788?</v>
      </c>
    </row>
    <row r="6262" ht="15.75" customHeight="1">
      <c r="A6262" s="2" t="s">
        <v>6262</v>
      </c>
      <c r="B6262" s="2" t="str">
        <f>IFERROR(__xludf.DUMMYFUNCTION("GOOGLETRANSLATE(A6262, ""en"", ""mt"")"),"Liema vettura ta 'kontroll mill-bogħod għamel?")</f>
        <v>Liema vettura ta 'kontroll mill-bogħod għamel?</v>
      </c>
    </row>
    <row r="6263" ht="15.75" customHeight="1">
      <c r="A6263" s="2" t="s">
        <v>6263</v>
      </c>
      <c r="B6263" s="2" t="str">
        <f>IFERROR(__xludf.DUMMYFUNCTION("GOOGLETRANSLATE(A6263, ""en"", ""mt"")"),"Meta l-esperiment tal-IL-Khanate bi flus tal-karti?")</f>
        <v>Meta l-esperiment tal-IL-Khanate bi flus tal-karti?</v>
      </c>
    </row>
    <row r="6264" ht="15.75" customHeight="1">
      <c r="A6264" s="2" t="s">
        <v>6264</v>
      </c>
      <c r="B6264" s="2" t="str">
        <f>IFERROR(__xludf.DUMMYFUNCTION("GOOGLETRANSLATE(A6264, ""en"", ""mt"")"),"Kunsill Reġjonali Lothian dwar George IV Bridge")</f>
        <v>Kunsill Reġjonali Lothian dwar George IV Bridge</v>
      </c>
    </row>
    <row r="6265" ht="15.75" customHeight="1">
      <c r="A6265" s="2" t="s">
        <v>6265</v>
      </c>
      <c r="B6265" s="2" t="str">
        <f>IFERROR(__xludf.DUMMYFUNCTION("GOOGLETRANSLATE(A6265, ""en"", ""mt"")"),"Volum tal-passiġġieri")</f>
        <v>Volum tal-passiġġieri</v>
      </c>
    </row>
    <row r="6266" ht="15.75" customHeight="1">
      <c r="A6266" s="2" t="s">
        <v>6266</v>
      </c>
      <c r="B6266" s="2" t="str">
        <f>IFERROR(__xludf.DUMMYFUNCTION("GOOGLETRANSLATE(A6266, ""en"", ""mt"")"),"Min kien eżentat mill-prinċipji meritokratiċi tal-imperu Mongoljan?")</f>
        <v>Min kien eżentat mill-prinċipji meritokratiċi tal-imperu Mongoljan?</v>
      </c>
    </row>
    <row r="6267" ht="15.75" customHeight="1">
      <c r="A6267" s="2" t="s">
        <v>6267</v>
      </c>
      <c r="B6267" s="2" t="str">
        <f>IFERROR(__xludf.DUMMYFUNCTION("GOOGLETRANSLATE(A6267, ""en"", ""mt"")"),"Min ħoloq is-serje fotografika bit-tema tal-Animal Locoomotion?")</f>
        <v>Min ħoloq is-serje fotografika bit-tema tal-Animal Locoomotion?</v>
      </c>
    </row>
    <row r="6268" ht="15.75" customHeight="1">
      <c r="A6268" s="2" t="s">
        <v>6268</v>
      </c>
      <c r="B6268" s="2" t="str">
        <f>IFERROR(__xludf.DUMMYFUNCTION("GOOGLETRANSLATE(A6268, ""en"", ""mt"")"),"Liema skultur Brittaniku li x-xogħol tiegħu jinkludi r-Reġina Victoria Memorial quddiem il-Palazz Buckingham huwa inkluż fil-kollezzjoni V &amp; A?")</f>
        <v>Liema skultur Brittaniku li x-xogħol tiegħu jinkludi r-Reġina Victoria Memorial quddiem il-Palazz Buckingham huwa inkluż fil-kollezzjoni V &amp; A?</v>
      </c>
    </row>
    <row r="6269" ht="15.75" customHeight="1">
      <c r="A6269" s="2" t="s">
        <v>6269</v>
      </c>
      <c r="B6269" s="2" t="str">
        <f>IFERROR(__xludf.DUMMYFUNCTION("GOOGLETRANSLATE(A6269, ""en"", ""mt"")"),"US $ 10 fil-ġimgħa jgħollu fuq is-salarju ta 'US $ 18 fil-ġimgħa ta' Tesla")</f>
        <v>US $ 10 fil-ġimgħa jgħollu fuq is-salarju ta 'US $ 18 fil-ġimgħa ta' Tesla</v>
      </c>
    </row>
    <row r="6270" ht="15.75" customHeight="1">
      <c r="A6270" s="2" t="s">
        <v>6270</v>
      </c>
      <c r="B6270" s="2" t="str">
        <f>IFERROR(__xludf.DUMMYFUNCTION("GOOGLETRANSLATE(A6270, ""en"", ""mt"")"),"B’liema isem kienet l-armata Mongoljana li fl-aħħar ħakmet il-Bulgarija?")</f>
        <v>B’liema isem kienet l-armata Mongoljana li fl-aħħar ħakmet il-Bulgarija?</v>
      </c>
    </row>
    <row r="6271" ht="15.75" customHeight="1">
      <c r="A6271" s="2" t="s">
        <v>6271</v>
      </c>
      <c r="B6271" s="2" t="str">
        <f>IFERROR(__xludf.DUMMYFUNCTION("GOOGLETRANSLATE(A6271, ""en"", ""mt"")"),"bżieżaq sferiċi")</f>
        <v>bżieżaq sferiċi</v>
      </c>
    </row>
    <row r="6272" ht="15.75" customHeight="1">
      <c r="A6272" s="2" t="s">
        <v>6272</v>
      </c>
      <c r="B6272" s="2" t="str">
        <f>IFERROR(__xludf.DUMMYFUNCTION("GOOGLETRANSLATE(A6272, ""en"", ""mt"")"),"Rgħajja u għalliema")</f>
        <v>Rgħajja u għalliema</v>
      </c>
    </row>
    <row r="6273" ht="15.75" customHeight="1">
      <c r="A6273" s="2" t="s">
        <v>6273</v>
      </c>
      <c r="B6273" s="2" t="str">
        <f>IFERROR(__xludf.DUMMYFUNCTION("GOOGLETRANSLATE(A6273, ""en"", ""mt"")"),"Għaliex kien l-avukat Olandiż li mar il-Belġju filwaqt li ta parir lil klijent f'każ tas-soċjetà soċjali qal li ma jistax ikompli?")</f>
        <v>Għaliex kien l-avukat Olandiż li mar il-Belġju filwaqt li ta parir lil klijent f'każ tas-soċjetà soċjali qal li ma jistax ikompli?</v>
      </c>
    </row>
    <row r="6274" ht="15.75" customHeight="1">
      <c r="A6274" s="2" t="s">
        <v>6274</v>
      </c>
      <c r="B6274" s="2" t="str">
        <f>IFERROR(__xludf.DUMMYFUNCTION("GOOGLETRANSLATE(A6274, ""en"", ""mt"")"),"Amazon Rainforest")</f>
        <v>Amazon Rainforest</v>
      </c>
    </row>
    <row r="6275" ht="15.75" customHeight="1">
      <c r="A6275" s="2" t="s">
        <v>6275</v>
      </c>
      <c r="B6275" s="2" t="str">
        <f>IFERROR(__xludf.DUMMYFUNCTION("GOOGLETRANSLATE(A6275, ""en"", ""mt"")"),"Andrew Lortie")</f>
        <v>Andrew Lortie</v>
      </c>
    </row>
    <row r="6276" ht="15.75" customHeight="1">
      <c r="A6276" s="2" t="s">
        <v>6276</v>
      </c>
      <c r="B6276" s="2" t="str">
        <f>IFERROR(__xludf.DUMMYFUNCTION("GOOGLETRANSLATE(A6276, ""en"", ""mt"")"),"naqqas b'mod sinifikanti l-metaboliżmu tal-annimal")</f>
        <v>naqqas b'mod sinifikanti l-metaboliżmu tal-annimal</v>
      </c>
    </row>
    <row r="6277" ht="15.75" customHeight="1">
      <c r="A6277" s="2" t="s">
        <v>6277</v>
      </c>
      <c r="B6277" s="2" t="str">
        <f>IFERROR(__xludf.DUMMYFUNCTION("GOOGLETRANSLATE(A6277, ""en"", ""mt"")"),"Min għamel konferenza fil-Librerija ta ’Newcastle fl-20 ta’ Ottubru fl-1880?")</f>
        <v>Min għamel konferenza fil-Librerija ta ’Newcastle fl-20 ta’ Ottubru fl-1880?</v>
      </c>
    </row>
    <row r="6278" ht="15.75" customHeight="1">
      <c r="A6278" s="2" t="s">
        <v>6278</v>
      </c>
      <c r="B6278" s="2" t="str">
        <f>IFERROR(__xludf.DUMMYFUNCTION("GOOGLETRANSLATE(A6278, ""en"", ""mt"")"),"ftit")</f>
        <v>ftit</v>
      </c>
    </row>
    <row r="6279" ht="15.75" customHeight="1">
      <c r="A6279" s="2" t="s">
        <v>6279</v>
      </c>
      <c r="B6279" s="2" t="str">
        <f>IFERROR(__xludf.DUMMYFUNCTION("GOOGLETRANSLATE(A6279, ""en"", ""mt"")"),"Iċ-ċellula T qattiel u ċ-ċellula T helper")</f>
        <v>Iċ-ċellula T qattiel u ċ-ċellula T helper</v>
      </c>
    </row>
    <row r="6280" ht="15.75" customHeight="1">
      <c r="A6280" s="2" t="s">
        <v>6280</v>
      </c>
      <c r="B6280" s="2" t="str">
        <f>IFERROR(__xludf.DUMMYFUNCTION("GOOGLETRANSLATE(A6280, ""en"", ""mt"")"),"Meta ġie approvat il-ftehim ta 'affiljat il-ġdid ta' sentejn?")</f>
        <v>Meta ġie approvat il-ftehim ta 'affiljat il-ġdid ta' sentejn?</v>
      </c>
    </row>
    <row r="6281" ht="15.75" customHeight="1">
      <c r="A6281" s="2" t="s">
        <v>6281</v>
      </c>
      <c r="B6281" s="2" t="str">
        <f>IFERROR(__xludf.DUMMYFUNCTION("GOOGLETRANSLATE(A6281, ""en"", ""mt"")"),"Kitab Rudjdjar")</f>
        <v>Kitab Rudjdjar</v>
      </c>
    </row>
    <row r="6282" ht="15.75" customHeight="1">
      <c r="A6282" s="2" t="s">
        <v>6282</v>
      </c>
      <c r="B6282" s="2" t="str">
        <f>IFERROR(__xludf.DUMMYFUNCTION("GOOGLETRANSLATE(A6282, ""en"", ""mt"")"),"Min kienu l-ħallieqa tal-Flintstones?")</f>
        <v>Min kienu l-ħallieqa tal-Flintstones?</v>
      </c>
    </row>
    <row r="6283" ht="15.75" customHeight="1">
      <c r="A6283" s="2" t="s">
        <v>6283</v>
      </c>
      <c r="B6283" s="2" t="str">
        <f>IFERROR(__xludf.DUMMYFUNCTION("GOOGLETRANSLATE(A6283, ""en"", ""mt"")"),"X'jiġri biex taħli s-sħana fiċ-ċiklu ta 'Rankine?")</f>
        <v>X'jiġri biex taħli s-sħana fiċ-ċiklu ta 'Rankine?</v>
      </c>
    </row>
    <row r="6284" ht="15.75" customHeight="1">
      <c r="A6284" s="2" t="s">
        <v>6284</v>
      </c>
      <c r="B6284" s="2" t="str">
        <f>IFERROR(__xludf.DUMMYFUNCTION("GOOGLETRANSLATE(A6284, ""en"", ""mt"")"),"Liema politika Stalin implimenta ftit wara l-mewt ta 'Lenin?")</f>
        <v>Liema politika Stalin implimenta ftit wara l-mewt ta 'Lenin?</v>
      </c>
    </row>
    <row r="6285" ht="15.75" customHeight="1">
      <c r="A6285" s="2" t="s">
        <v>6285</v>
      </c>
      <c r="B6285" s="2" t="str">
        <f>IFERROR(__xludf.DUMMYFUNCTION("GOOGLETRANSLATE(A6285, ""en"", ""mt"")"),"L-uffiċjal li jippresiedi (jew id-deputat uffiċjal li jippresiedi) jiddeċiedi min jitkellem fid-dibattiti tal-kamra u l-ammont ta 'ħin li għalih huma permessi jitkellmu. Normalment, l-uffiċjal li jippresiedi jipprova jikseb bilanċ bejn il-perspettivi diff"&amp;"erenti u l-partiti politiċi meta jagħżlu membri biex jitkellmu. Tipikament, il-ministri jew il-mexxejja tal-partiti jiftħu dibattiti, bil-kelliema tal-ftuħ mogħtija bejn 5 u 20 minuta, u kelliema suċċessivi allokaw inqas ħin. L-uffiċjal li jippresiedi jis"&amp;"ta 'jnaqqas il-ħin tat-taħdit jekk numru kbir ta' membri jixtiequ jipparteċipaw fid-dibattitu. Id-dibattitu huwa aktar informali milli f'xi sistemi parlamentari. Il-membri jistgħu jsejħu lil xulxin direttament bl-isem, aktar milli bil-kostitwenza jew il-p"&amp;"ożizzjoni tal-kabinett, u l-irkupru tal-idejn huwa permess. Diskorsi lill-Awla huma normalment imwassla bl-Ingliż, iżda l-membri jistgħu jużaw Skoċċiżi, Gaeliċi, jew kwalunkwe lingwa oħra bil-ftehim tal-uffiċjal li jippresiedi. Il-Parlament Skoċċiż mexxa "&amp;"dibattiti bil-lingwa Gaelika.")</f>
        <v>L-uffiċjal li jippresiedi (jew id-deputat uffiċjal li jippresiedi) jiddeċiedi min jitkellem fid-dibattiti tal-kamra u l-ammont ta 'ħin li għalih huma permessi jitkellmu. Normalment, l-uffiċjal li jippresiedi jipprova jikseb bilanċ bejn il-perspettivi differenti u l-partiti politiċi meta jagħżlu membri biex jitkellmu. Tipikament, il-ministri jew il-mexxejja tal-partiti jiftħu dibattiti, bil-kelliema tal-ftuħ mogħtija bejn 5 u 20 minuta, u kelliema suċċessivi allokaw inqas ħin. L-uffiċjal li jippresiedi jista 'jnaqqas il-ħin tat-taħdit jekk numru kbir ta' membri jixtiequ jipparteċipaw fid-dibattitu. Id-dibattitu huwa aktar informali milli f'xi sistemi parlamentari. Il-membri jistgħu jsejħu lil xulxin direttament bl-isem, aktar milli bil-kostitwenza jew il-pożizzjoni tal-kabinett, u l-irkupru tal-idejn huwa permess. Diskorsi lill-Awla huma normalment imwassla bl-Ingliż, iżda l-membri jistgħu jużaw Skoċċiżi, Gaeliċi, jew kwalunkwe lingwa oħra bil-ftehim tal-uffiċjal li jippresiedi. Il-Parlament Skoċċiż mexxa dibattiti bil-lingwa Gaelika.</v>
      </c>
    </row>
    <row r="6286" ht="15.75" customHeight="1">
      <c r="A6286" s="2" t="s">
        <v>6286</v>
      </c>
      <c r="B6286" s="2" t="str">
        <f>IFERROR(__xludf.DUMMYFUNCTION("GOOGLETRANSLATE(A6286, ""en"", ""mt"")"),"Super Bowl XXXIII")</f>
        <v>Super Bowl XXXIII</v>
      </c>
    </row>
    <row r="6287" ht="15.75" customHeight="1">
      <c r="A6287" s="2" t="s">
        <v>6287</v>
      </c>
      <c r="B6287" s="2" t="str">
        <f>IFERROR(__xludf.DUMMYFUNCTION("GOOGLETRANSLATE(A6287, ""en"", ""mt"")"),"Sa Lulju tal-1944, l-Armata l-Ħamra kienet fil-fond fit-territorju Pollakk u ssegwi l-Ġermaniżi lejn Varsavja. Meta tkun taf li Stalin kien ostili għall-idea ta 'Polonja indipendenti, il-gvern Pollakk fl-eżilju f'Londra ta ordnijiet lill-Armata tad-Dar ta"&amp;"ħt l-art (AK) biex tipprova taħtaf il-kontroll ta' Varsavja mill-Ġermaniżi qabel ma waslet l-Armata l-Ħamra. Għalhekk, fl-1 ta ’Awwissu 1944, hekk kif l-Armata l-Ħamra kienet waslet il-belt, bdiet ir-rewwixta ta’ Varsavja. It-taqbida armata, ippjanata li "&amp;"ddum 48 siegħa, kienet parzjalment ta ’suċċess, madankollu kompliet għal 63 jum. Eventwalment il-ġellieda tal-armata tad-dar u ċ-ċivili li jgħinuhom kienu mġiegħla jikkapitulaw. Huma ġew ittrasportati lejn kampijiet POW fil-Ġermanja, filwaqt li l-popolazz"&amp;"joni ċivili kollha ġiet imkeċċija. L-imwiet ċivili Pollakki huma stmati għal bejn 150,000 u 200,000.")</f>
        <v>Sa Lulju tal-1944, l-Armata l-Ħamra kienet fil-fond fit-territorju Pollakk u ssegwi l-Ġermaniżi lejn Varsavja. Meta tkun taf li Stalin kien ostili għall-idea ta 'Polonja indipendenti, il-gvern Pollakk fl-eżilju f'Londra ta ordnijiet lill-Armata tad-Dar taħt l-art (AK) biex tipprova taħtaf il-kontroll ta' Varsavja mill-Ġermaniżi qabel ma waslet l-Armata l-Ħamra. Għalhekk, fl-1 ta ’Awwissu 1944, hekk kif l-Armata l-Ħamra kienet waslet il-belt, bdiet ir-rewwixta ta’ Varsavja. It-taqbida armata, ippjanata li ddum 48 siegħa, kienet parzjalment ta ’suċċess, madankollu kompliet għal 63 jum. Eventwalment il-ġellieda tal-armata tad-dar u ċ-ċivili li jgħinuhom kienu mġiegħla jikkapitulaw. Huma ġew ittrasportati lejn kampijiet POW fil-Ġermanja, filwaqt li l-popolazzjoni ċivili kollha ġiet imkeċċija. L-imwiet ċivili Pollakki huma stmati għal bejn 150,000 u 200,000.</v>
      </c>
    </row>
    <row r="6288" ht="15.75" customHeight="1">
      <c r="A6288" s="2" t="s">
        <v>6288</v>
      </c>
      <c r="B6288" s="2" t="str">
        <f>IFERROR(__xludf.DUMMYFUNCTION("GOOGLETRANSLATE(A6288, ""en"", ""mt"")"),"X'inhu s-sors tas-sħana tas-soltu għall-ilma jagħli fil-magna tal-fwar?")</f>
        <v>X'inhu s-sors tas-sħana tas-soltu għall-ilma jagħli fil-magna tal-fwar?</v>
      </c>
    </row>
    <row r="6289" ht="15.75" customHeight="1">
      <c r="A6289" s="2" t="s">
        <v>6289</v>
      </c>
      <c r="B6289" s="2" t="str">
        <f>IFERROR(__xludf.DUMMYFUNCTION("GOOGLETRANSLATE(A6289, ""en"", ""mt"")"),"Il-BBC")</f>
        <v>Il-BBC</v>
      </c>
    </row>
    <row r="6290" ht="15.75" customHeight="1">
      <c r="A6290" s="2" t="s">
        <v>6290</v>
      </c>
      <c r="B6290" s="2" t="str">
        <f>IFERROR(__xludf.DUMMYFUNCTION("GOOGLETRANSLATE(A6290, ""en"", ""mt"")"),"Awwissu 1999")</f>
        <v>Awwissu 1999</v>
      </c>
    </row>
    <row r="6291" ht="15.75" customHeight="1">
      <c r="A6291" s="2" t="s">
        <v>6291</v>
      </c>
      <c r="B6291" s="2" t="str">
        <f>IFERROR(__xludf.DUMMYFUNCTION("GOOGLETRANSLATE(A6291, ""en"", ""mt"")"),"Tiġġustifika l-grazzja jew taċċetta grazzja")</f>
        <v>Tiġġustifika l-grazzja jew taċċetta grazzja</v>
      </c>
    </row>
    <row r="6292" ht="15.75" customHeight="1">
      <c r="A6292" s="2" t="s">
        <v>6292</v>
      </c>
      <c r="B6292" s="2" t="str">
        <f>IFERROR(__xludf.DUMMYFUNCTION("GOOGLETRANSLATE(A6292, ""en"", ""mt"")"),"Min qabad żewġ passes minn Manning wara l-attentat ta 'goal ta' Carolina Field li falla?")</f>
        <v>Min qabad żewġ passes minn Manning wara l-attentat ta 'goal ta' Carolina Field li falla?</v>
      </c>
    </row>
    <row r="6293" ht="15.75" customHeight="1">
      <c r="A6293" s="2" t="s">
        <v>6293</v>
      </c>
      <c r="B6293" s="2" t="str">
        <f>IFERROR(__xludf.DUMMYFUNCTION("GOOGLETRANSLATE(A6293, ""en"", ""mt"")"),"Matul is-Sajf, għal liema tournaments il-programmi tal-ABC Air jenfasizzaw?")</f>
        <v>Matul is-Sajf, għal liema tournaments il-programmi tal-ABC Air jenfasizzaw?</v>
      </c>
    </row>
    <row r="6294" ht="15.75" customHeight="1">
      <c r="A6294" s="2" t="s">
        <v>6294</v>
      </c>
      <c r="B6294" s="2" t="str">
        <f>IFERROR(__xludf.DUMMYFUNCTION("GOOGLETRANSLATE(A6294, ""en"", ""mt"")"),"Editur tal-gazzetta")</f>
        <v>Editur tal-gazzetta</v>
      </c>
    </row>
    <row r="6295" ht="15.75" customHeight="1">
      <c r="A6295" s="2" t="s">
        <v>6295</v>
      </c>
      <c r="B6295" s="2" t="str">
        <f>IFERROR(__xludf.DUMMYFUNCTION("GOOGLETRANSLATE(A6295, ""en"", ""mt"")"),"180")</f>
        <v>180</v>
      </c>
    </row>
    <row r="6296" ht="15.75" customHeight="1">
      <c r="A6296" s="2" t="s">
        <v>6296</v>
      </c>
      <c r="B6296" s="2" t="str">
        <f>IFERROR(__xludf.DUMMYFUNCTION("GOOGLETRANSLATE(A6296, ""en"", ""mt"")"),"Min għelbu l-Broncos biex jirbħu d-diviżjoni tagħhom fl-2015?")</f>
        <v>Min għelbu l-Broncos biex jirbħu d-diviżjoni tagħhom fl-2015?</v>
      </c>
    </row>
    <row r="6297" ht="15.75" customHeight="1">
      <c r="A6297" s="2" t="s">
        <v>6297</v>
      </c>
      <c r="B6297" s="2" t="str">
        <f>IFERROR(__xludf.DUMMYFUNCTION("GOOGLETRANSLATE(A6297, ""en"", ""mt"")"),"$ 3.5 biljun")</f>
        <v>$ 3.5 biljun</v>
      </c>
    </row>
    <row r="6298" ht="15.75" customHeight="1">
      <c r="A6298" s="2" t="s">
        <v>6298</v>
      </c>
      <c r="B6298" s="2" t="str">
        <f>IFERROR(__xludf.DUMMYFUNCTION("GOOGLETRANSLATE(A6298, ""en"", ""mt"")"),"Meta ġiet rilaxxata s-serje Doctor Who fuq DVD?")</f>
        <v>Meta ġiet rilaxxata s-serje Doctor Who fuq DVD?</v>
      </c>
    </row>
    <row r="6299" ht="15.75" customHeight="1">
      <c r="A6299" s="2" t="s">
        <v>6299</v>
      </c>
      <c r="B6299" s="2" t="str">
        <f>IFERROR(__xludf.DUMMYFUNCTION("GOOGLETRANSLATE(A6299, ""en"", ""mt"")"),"Kalendarju Episkopali (l-Istati Uniti) tal-Qaddisin.")</f>
        <v>Kalendarju Episkopali (l-Istati Uniti) tal-Qaddisin.</v>
      </c>
    </row>
    <row r="6300" ht="15.75" customHeight="1">
      <c r="A6300" s="2" t="s">
        <v>6300</v>
      </c>
      <c r="B6300" s="2" t="str">
        <f>IFERROR(__xludf.DUMMYFUNCTION("GOOGLETRANSLATE(A6300, ""en"", ""mt"")"),"sa nofs")</f>
        <v>sa nofs</v>
      </c>
    </row>
    <row r="6301" ht="15.75" customHeight="1">
      <c r="A6301" s="2" t="s">
        <v>6301</v>
      </c>
      <c r="B6301" s="2" t="str">
        <f>IFERROR(__xludf.DUMMYFUNCTION("GOOGLETRANSLATE(A6301, ""en"", ""mt"")"),"vaċċinazzjoni")</f>
        <v>vaċċinazzjoni</v>
      </c>
    </row>
    <row r="6302" ht="15.75" customHeight="1">
      <c r="A6302" s="2" t="s">
        <v>6302</v>
      </c>
      <c r="B6302" s="2" t="str">
        <f>IFERROR(__xludf.DUMMYFUNCTION("GOOGLETRANSLATE(A6302, ""en"", ""mt"")"),"X'inhi l-akbar skola medika fil-Polonja?")</f>
        <v>X'inhi l-akbar skola medika fil-Polonja?</v>
      </c>
    </row>
    <row r="6303" ht="15.75" customHeight="1">
      <c r="A6303" s="2" t="s">
        <v>6303</v>
      </c>
      <c r="B6303" s="2" t="str">
        <f>IFERROR(__xludf.DUMMYFUNCTION("GOOGLETRANSLATE(A6303, ""en"", ""mt"")"),"1777")</f>
        <v>1777</v>
      </c>
    </row>
    <row r="6304" ht="15.75" customHeight="1">
      <c r="A6304" s="2" t="s">
        <v>6304</v>
      </c>
      <c r="B6304" s="2" t="str">
        <f>IFERROR(__xludf.DUMMYFUNCTION("GOOGLETRANSLATE(A6304, ""en"", ""mt"")"),"fiċ-ċitosol")</f>
        <v>fiċ-ċitosol</v>
      </c>
    </row>
    <row r="6305" ht="15.75" customHeight="1">
      <c r="A6305" s="2" t="s">
        <v>6305</v>
      </c>
      <c r="B6305" s="2" t="str">
        <f>IFERROR(__xludf.DUMMYFUNCTION("GOOGLETRANSLATE(A6305, ""en"", ""mt"")"),"Ideali ewlenin")</f>
        <v>Ideali ewlenin</v>
      </c>
    </row>
    <row r="6306" ht="15.75" customHeight="1">
      <c r="A6306" s="2" t="s">
        <v>6306</v>
      </c>
      <c r="B6306" s="2" t="str">
        <f>IFERROR(__xludf.DUMMYFUNCTION("GOOGLETRANSLATE(A6306, ""en"", ""mt"")"),"l-ispirall,")</f>
        <v>l-ispirall,</v>
      </c>
    </row>
    <row r="6307" ht="15.75" customHeight="1">
      <c r="A6307" s="2" t="s">
        <v>6307</v>
      </c>
      <c r="B6307" s="2" t="str">
        <f>IFERROR(__xludf.DUMMYFUNCTION("GOOGLETRANSLATE(A6307, ""en"", ""mt"")"),"Monitoraġġ tal-laboratorju, konsulenza dwar l-aderenza, u tassisti pazjenti bi strateġiji ta 'l-ispejjeż")</f>
        <v>Monitoraġġ tal-laboratorju, konsulenza dwar l-aderenza, u tassisti pazjenti bi strateġiji ta 'l-ispejjeż</v>
      </c>
    </row>
    <row r="6308" ht="15.75" customHeight="1">
      <c r="A6308" s="2" t="s">
        <v>6308</v>
      </c>
      <c r="B6308" s="2" t="str">
        <f>IFERROR(__xludf.DUMMYFUNCTION("GOOGLETRANSLATE(A6308, ""en"", ""mt"")"),"Dak li għamel lill-istudent jiddeċiedi li jokkupa l-uffiċċju tal-president bħala protesta?")</f>
        <v>Dak li għamel lill-istudent jiddeċiedi li jokkupa l-uffiċċju tal-president bħala protesta?</v>
      </c>
    </row>
    <row r="6309" ht="15.75" customHeight="1">
      <c r="A6309" s="2" t="s">
        <v>6309</v>
      </c>
      <c r="B6309" s="2" t="str">
        <f>IFERROR(__xludf.DUMMYFUNCTION("GOOGLETRANSLATE(A6309, ""en"", ""mt"")"),"Cotchery")</f>
        <v>Cotchery</v>
      </c>
    </row>
    <row r="6310" ht="15.75" customHeight="1">
      <c r="A6310" s="2" t="s">
        <v>6310</v>
      </c>
      <c r="B6310" s="2" t="str">
        <f>IFERROR(__xludf.DUMMYFUNCTION("GOOGLETRANSLATE(A6310, ""en"", ""mt"")"),"Il-kollezzjoni ta 'tessuti tikkonsisti f'aktar minn 53,000 eżempji, prinċipalment l-Ewropa tal-Punent għalkemm il-kontinenti kollha popolati huma rappreżentati, li jmorru mis-seklu 1 WK għall-preżent, din hija l-akbar ġabra bħal din fid-dinja. It-tekniki "&amp;"rappreżentati jinkludu l-insiġ, l-istampar, ir-rakkmu tal-quilting, il-bizzilla, it-tapizzerija u t-twapet. Dawn huma kklassifikati skont it-teknika, il-pajjiżi tal-oriġini u d-data tal-produzzjoni. Il-kollezzjonijiet huma rrappreżentati sew f'dawn iż-żon"&amp;"i: ħarir bikri mil-Lvant Qarib, bizzilla, tapizzeriji Ewropej u rakkmu tal-knisja medjevali Ingliża.")</f>
        <v>Il-kollezzjoni ta 'tessuti tikkonsisti f'aktar minn 53,000 eżempji, prinċipalment l-Ewropa tal-Punent għalkemm il-kontinenti kollha popolati huma rappreżentati, li jmorru mis-seklu 1 WK għall-preżent, din hija l-akbar ġabra bħal din fid-dinja. It-tekniki rappreżentati jinkludu l-insiġ, l-istampar, ir-rakkmu tal-quilting, il-bizzilla, it-tapizzerija u t-twapet. Dawn huma kklassifikati skont it-teknika, il-pajjiżi tal-oriġini u d-data tal-produzzjoni. Il-kollezzjonijiet huma rrappreżentati sew f'dawn iż-żoni: ħarir bikri mil-Lvant Qarib, bizzilla, tapizzeriji Ewropej u rakkmu tal-knisja medjevali Ingliża.</v>
      </c>
    </row>
    <row r="6311" ht="15.75" customHeight="1">
      <c r="A6311" s="2" t="s">
        <v>6311</v>
      </c>
      <c r="B6311" s="2" t="str">
        <f>IFERROR(__xludf.DUMMYFUNCTION("GOOGLETRANSLATE(A6311, ""en"", ""mt"")"),"Proġett tat-Torri Wardenclyffe")</f>
        <v>Proġett tat-Torri Wardenclyffe</v>
      </c>
    </row>
    <row r="6312" ht="15.75" customHeight="1">
      <c r="A6312" s="2" t="s">
        <v>6312</v>
      </c>
      <c r="B6312" s="2" t="str">
        <f>IFERROR(__xludf.DUMMYFUNCTION("GOOGLETRANSLATE(A6312, ""en"", ""mt"")"),"Kemm-il linji tal-ferrovija tal-kejl dojoq kienu proprjetà tal-gvern?")</f>
        <v>Kemm-il linji tal-ferrovija tal-kejl dojoq kienu proprjetà tal-gvern?</v>
      </c>
    </row>
    <row r="6313" ht="15.75" customHeight="1">
      <c r="A6313" s="2" t="s">
        <v>6313</v>
      </c>
      <c r="B6313" s="2" t="str">
        <f>IFERROR(__xludf.DUMMYFUNCTION("GOOGLETRANSLATE(A6313, ""en"", ""mt"")"),"Min ħareġ verżjoni disco tat-tema tat-Tabib Min?")</f>
        <v>Min ħareġ verżjoni disco tat-tema tat-Tabib Min?</v>
      </c>
    </row>
    <row r="6314" ht="15.75" customHeight="1">
      <c r="A6314" s="2" t="s">
        <v>6314</v>
      </c>
      <c r="B6314" s="2" t="str">
        <f>IFERROR(__xludf.DUMMYFUNCTION("GOOGLETRANSLATE(A6314, ""en"", ""mt"")"),"James Watt")</f>
        <v>James Watt</v>
      </c>
    </row>
    <row r="6315" ht="15.75" customHeight="1">
      <c r="A6315" s="2" t="s">
        <v>6315</v>
      </c>
      <c r="B6315" s="2" t="str">
        <f>IFERROR(__xludf.DUMMYFUNCTION("GOOGLETRANSLATE(A6315, ""en"", ""mt"")"),"Fuq xiex kien ibbażat il-logo ta 'ABC wara li l-għaqda ABC-Upt ġiet iffinalizzata?")</f>
        <v>Fuq xiex kien ibbażat il-logo ta 'ABC wara li l-għaqda ABC-Upt ġiet iffinalizzata?</v>
      </c>
    </row>
    <row r="6316" ht="15.75" customHeight="1">
      <c r="A6316" s="2" t="s">
        <v>6316</v>
      </c>
      <c r="B6316" s="2" t="str">
        <f>IFERROR(__xludf.DUMMYFUNCTION("GOOGLETRANSLATE(A6316, ""en"", ""mt"")"),"mhux sinkroniku")</f>
        <v>mhux sinkroniku</v>
      </c>
    </row>
    <row r="6317" ht="15.75" customHeight="1">
      <c r="A6317" s="2" t="s">
        <v>6317</v>
      </c>
      <c r="B6317" s="2" t="str">
        <f>IFERROR(__xludf.DUMMYFUNCTION("GOOGLETRANSLATE(A6317, ""en"", ""mt"")"),"Proteina a")</f>
        <v>Proteina a</v>
      </c>
    </row>
    <row r="6318" ht="15.75" customHeight="1">
      <c r="A6318" s="2" t="s">
        <v>6318</v>
      </c>
      <c r="B6318" s="2" t="str">
        <f>IFERROR(__xludf.DUMMYFUNCTION("GOOGLETRANSLATE(A6318, ""en"", ""mt"")"),"Front Nazzjonali Iżlamiku")</f>
        <v>Front Nazzjonali Iżlamiku</v>
      </c>
    </row>
    <row r="6319" ht="15.75" customHeight="1">
      <c r="A6319" s="2" t="s">
        <v>6319</v>
      </c>
      <c r="B6319" s="2" t="str">
        <f>IFERROR(__xludf.DUMMYFUNCTION("GOOGLETRANSLATE(A6319, ""en"", ""mt"")"),"Dirichlet's")</f>
        <v>Dirichlet's</v>
      </c>
    </row>
    <row r="6320" ht="15.75" customHeight="1">
      <c r="A6320" s="2" t="s">
        <v>6320</v>
      </c>
      <c r="B6320" s="2" t="str">
        <f>IFERROR(__xludf.DUMMYFUNCTION("GOOGLETRANSLATE(A6320, ""en"", ""mt"")"),"Dak li ġeneralment ma jippermettix liċ-ċittadini biex iħarrku ċittadini oħra?")</f>
        <v>Dak li ġeneralment ma jippermettix liċ-ċittadini biex iħarrku ċittadini oħra?</v>
      </c>
    </row>
    <row r="6321" ht="15.75" customHeight="1">
      <c r="A6321" s="2" t="s">
        <v>6321</v>
      </c>
      <c r="B6321" s="2" t="str">
        <f>IFERROR(__xludf.DUMMYFUNCTION("GOOGLETRANSLATE(A6321, ""en"", ""mt"")"),"X'tip ta 'kastig xi kultant jiġi offrut lid-diżubbidjenti ċivili?")</f>
        <v>X'tip ta 'kastig xi kultant jiġi offrut lid-diżubbidjenti ċivili?</v>
      </c>
    </row>
    <row r="6322" ht="15.75" customHeight="1">
      <c r="A6322" s="2" t="s">
        <v>6322</v>
      </c>
      <c r="B6322" s="2" t="str">
        <f>IFERROR(__xludf.DUMMYFUNCTION("GOOGLETRANSLATE(A6322, ""en"", ""mt"")"),"Andrea Palladio")</f>
        <v>Andrea Palladio</v>
      </c>
    </row>
    <row r="6323" ht="15.75" customHeight="1">
      <c r="A6323" s="2" t="s">
        <v>6323</v>
      </c>
      <c r="B6323" s="2" t="str">
        <f>IFERROR(__xludf.DUMMYFUNCTION("GOOGLETRANSLATE(A6323, ""en"", ""mt"")"),"Meta l-Ġermanja sabet l-ewwel soluzzjoni tagħhom?")</f>
        <v>Meta l-Ġermanja sabet l-ewwel soluzzjoni tagħhom?</v>
      </c>
    </row>
    <row r="6324" ht="15.75" customHeight="1">
      <c r="A6324" s="2" t="s">
        <v>6324</v>
      </c>
      <c r="B6324" s="2" t="str">
        <f>IFERROR(__xludf.DUMMYFUNCTION("GOOGLETRANSLATE(A6324, ""en"", ""mt"")"),"Esperiment elettriku")</f>
        <v>Esperiment elettriku</v>
      </c>
    </row>
    <row r="6325" ht="15.75" customHeight="1">
      <c r="A6325" s="2" t="s">
        <v>6325</v>
      </c>
      <c r="B6325" s="2" t="str">
        <f>IFERROR(__xludf.DUMMYFUNCTION("GOOGLETRANSLATE(A6325, ""en"", ""mt"")"),"mehrież u lida u l-karattru ℞ (reċipjent)")</f>
        <v>mehrież u lida u l-karattru ℞ (reċipjent)</v>
      </c>
    </row>
    <row r="6326" ht="15.75" customHeight="1">
      <c r="A6326" s="2" t="s">
        <v>6326</v>
      </c>
      <c r="B6326" s="2" t="str">
        <f>IFERROR(__xludf.DUMMYFUNCTION("GOOGLETRANSLATE(A6326, ""en"", ""mt"")"),"f'Wijk Bij Duurstede")</f>
        <v>f'Wijk Bij Duurstede</v>
      </c>
    </row>
    <row r="6327" ht="15.75" customHeight="1">
      <c r="A6327" s="2" t="s">
        <v>6327</v>
      </c>
      <c r="B6327" s="2" t="str">
        <f>IFERROR(__xludf.DUMMYFUNCTION("GOOGLETRANSLATE(A6327, ""en"", ""mt"")"),"Kemm-il ġurnata wara t-titjira ta ’Gagarin iltaqa’ mal-Kumitat tad-Dar tal-Istati Uniti dwar ix-Xjenza u l-Astronawtika?")</f>
        <v>Kemm-il ġurnata wara t-titjira ta ’Gagarin iltaqa’ mal-Kumitat tad-Dar tal-Istati Uniti dwar ix-Xjenza u l-Astronawtika?</v>
      </c>
    </row>
    <row r="6328" ht="15.75" customHeight="1">
      <c r="A6328" s="2" t="s">
        <v>6328</v>
      </c>
      <c r="B6328" s="2" t="str">
        <f>IFERROR(__xludf.DUMMYFUNCTION("GOOGLETRANSLATE(A6328, ""en"", ""mt"")"),"Gvernijiet ta 'l-Istati Uniti, il-Gran Brittanja, il-Ġermanja u Franza")</f>
        <v>Gvernijiet ta 'l-Istati Uniti, il-Gran Brittanja, il-Ġermanja u Franza</v>
      </c>
    </row>
    <row r="6329" ht="15.75" customHeight="1">
      <c r="A6329" s="2" t="s">
        <v>6329</v>
      </c>
      <c r="B6329" s="2" t="str">
        <f>IFERROR(__xludf.DUMMYFUNCTION("GOOGLETRANSLATE(A6329, ""en"", ""mt"")"),"Antiforms")</f>
        <v>Antiforms</v>
      </c>
    </row>
    <row r="6330" ht="15.75" customHeight="1">
      <c r="A6330" s="2" t="s">
        <v>6330</v>
      </c>
      <c r="B6330" s="2" t="str">
        <f>IFERROR(__xludf.DUMMYFUNCTION("GOOGLETRANSLATE(A6330, ""en"", ""mt"")"),"L-alka ħamra derivata")</f>
        <v>L-alka ħamra derivata</v>
      </c>
    </row>
    <row r="6331" ht="15.75" customHeight="1">
      <c r="A6331" s="2" t="s">
        <v>6331</v>
      </c>
      <c r="B6331" s="2" t="str">
        <f>IFERROR(__xludf.DUMMYFUNCTION("GOOGLETRANSLATE(A6331, ""en"", ""mt"")"),"fanatiżmu")</f>
        <v>fanatiżmu</v>
      </c>
    </row>
    <row r="6332" ht="15.75" customHeight="1">
      <c r="A6332" s="2" t="s">
        <v>6332</v>
      </c>
      <c r="B6332" s="2" t="str">
        <f>IFERROR(__xludf.DUMMYFUNCTION("GOOGLETRANSLATE(A6332, ""en"", ""mt"")"),"passiġġier")</f>
        <v>passiġġier</v>
      </c>
    </row>
    <row r="6333" ht="15.75" customHeight="1">
      <c r="A6333" s="2" t="s">
        <v>6333</v>
      </c>
      <c r="B6333" s="2" t="str">
        <f>IFERROR(__xludf.DUMMYFUNCTION("GOOGLETRANSLATE(A6333, ""en"", ""mt"")"),"Kif huma spjegati l-forzi tal-partikuli u l-aċċelerazzjonijiet kif mill-iskambju tal-bosons tal-kejl?")</f>
        <v>Kif huma spjegati l-forzi tal-partikuli u l-aċċelerazzjonijiet kif mill-iskambju tal-bosons tal-kejl?</v>
      </c>
    </row>
    <row r="6334" ht="15.75" customHeight="1">
      <c r="A6334" s="2" t="s">
        <v>6334</v>
      </c>
      <c r="B6334" s="2" t="str">
        <f>IFERROR(__xludf.DUMMYFUNCTION("GOOGLETRANSLATE(A6334, ""en"", ""mt"")"),"ċirku")</f>
        <v>ċirku</v>
      </c>
    </row>
    <row r="6335" ht="15.75" customHeight="1">
      <c r="A6335" s="2" t="s">
        <v>6335</v>
      </c>
      <c r="B6335" s="2" t="str">
        <f>IFERROR(__xludf.DUMMYFUNCTION("GOOGLETRANSLATE(A6335, ""en"", ""mt"")"),"Ryan Seacrest")</f>
        <v>Ryan Seacrest</v>
      </c>
    </row>
    <row r="6336" ht="15.75" customHeight="1">
      <c r="A6336" s="2" t="s">
        <v>6336</v>
      </c>
      <c r="B6336" s="2" t="str">
        <f>IFERROR(__xludf.DUMMYFUNCTION("GOOGLETRANSLATE(A6336, ""en"", ""mt"")"),"Dak li kien Telenet")</f>
        <v>Dak li kien Telenet</v>
      </c>
    </row>
    <row r="6337" ht="15.75" customHeight="1">
      <c r="A6337" s="2" t="s">
        <v>6337</v>
      </c>
      <c r="B6337" s="2" t="str">
        <f>IFERROR(__xludf.DUMMYFUNCTION("GOOGLETRANSLATE(A6337, ""en"", ""mt"")"),"RST")</f>
        <v>RST</v>
      </c>
    </row>
    <row r="6338" ht="15.75" customHeight="1">
      <c r="A6338" s="2" t="s">
        <v>6338</v>
      </c>
      <c r="B6338" s="2" t="str">
        <f>IFERROR(__xludf.DUMMYFUNCTION("GOOGLETRANSLATE(A6338, ""en"", ""mt"")"),"53% tal-popolazzjoni")</f>
        <v>53% tal-popolazzjoni</v>
      </c>
    </row>
    <row r="6339" ht="15.75" customHeight="1">
      <c r="A6339" s="2" t="s">
        <v>6339</v>
      </c>
      <c r="B6339" s="2" t="str">
        <f>IFERROR(__xludf.DUMMYFUNCTION("GOOGLETRANSLATE(A6339, ""en"", ""mt"")"),"Il-kollezzjoni tal-ġojjelli, li fiha aktar minn 6000 oġġett hija waħda mill-ifjen u l-aktar komprensivi ta 'ġojjelli fid-dinja u tinkludi xogħlijiet li jmorru mill-Eġittu tal-qedem sal-lum, kif ukoll disinji ta' ġojjelli fuq il-karta. Il-mużew jippossjedi"&amp;" biċċiet minn ġojjelli rinomati Cartier, Jean Schlumberger, Peter Carl Fabergé, Hemmerle u Lalique. Oġġetti oħra fil-kollezzjoni jinkludu ornamenti tal-libsa tad-djamanti magħmula għal Catherine l-kbar, bracelet ladarba li jagħmlu parti minn Marie Antoine"&amp;"tte, u l-ġiżirana Emerald Beauharnais ippreżentata minn Napuljun lit-tifla adottata tiegħu Hortense de Beauharnais fl-1806. Il-mużew jiġbor ukoll ġojjelli moderni internazzjonali minn disinjaturi Bħal Gijs Bakker, Onno Boekhoudt, Peter Chang, Gerda Flocki"&amp;"nger, Lucy Sarneel, Dorothea Prühl u Wendy Ramshaw, u l-ġojjelli tradizzjonali Afrikani u Ażjatiċi. Bequests ewlenin jinkludu l-kollezzjoni ta 'Reverend Chauncy Hare Townshend ta' 154 ħaġar prezzjuż fl-1869, ir-rigal ta 'Lady Cory tal-1951 ta' ġojjelli ta"&amp;"d-djamanti maġġuri mis-sekli 18 u 19, u l-istudjuża tal-ġojjelli Dame Joan Evans 'rigal ta' aktar minn 800 ġawhar li jmorru mill-Medju għall-età sa il-bidu tas-seklu 19. Gallerija ġdida tal-ġojjelli, iffinanzjata minn William u Judith Bollinger, infetħet "&amp;"fl-24 ta 'Mejju 2008.")</f>
        <v>Il-kollezzjoni tal-ġojjelli, li fiha aktar minn 6000 oġġett hija waħda mill-ifjen u l-aktar komprensivi ta 'ġojjelli fid-dinja u tinkludi xogħlijiet li jmorru mill-Eġittu tal-qedem sal-lum, kif ukoll disinji ta' ġojjelli fuq il-karta. Il-mużew jippossjedi biċċiet minn ġojjelli rinomati Cartier, Jean Schlumberger, Peter Carl Fabergé, Hemmerle u Lalique. Oġġetti oħra fil-kollezzjoni jinkludu ornamenti tal-libsa tad-djamanti magħmula għal Catherine l-kbar, bracelet ladarba li jagħmlu parti minn Marie Antoinette, u l-ġiżirana Emerald Beauharnais ippreżentata minn Napuljun lit-tifla adottata tiegħu Hortense de Beauharnais fl-1806. Il-mużew jiġbor ukoll ġojjelli moderni internazzjonali minn disinjaturi Bħal Gijs Bakker, Onno Boekhoudt, Peter Chang, Gerda Flockinger, Lucy Sarneel, Dorothea Prühl u Wendy Ramshaw, u l-ġojjelli tradizzjonali Afrikani u Ażjatiċi. Bequests ewlenin jinkludu l-kollezzjoni ta 'Reverend Chauncy Hare Townshend ta' 154 ħaġar prezzjuż fl-1869, ir-rigal ta 'Lady Cory tal-1951 ta' ġojjelli tad-djamanti maġġuri mis-sekli 18 u 19, u l-istudjuża tal-ġojjelli Dame Joan Evans 'rigal ta' aktar minn 800 ġawhar li jmorru mill-Medju għall-età sa il-bidu tas-seklu 19. Gallerija ġdida tal-ġojjelli, iffinanzjata minn William u Judith Bollinger, infetħet fl-24 ta 'Mejju 2008.</v>
      </c>
    </row>
    <row r="6340" ht="15.75" customHeight="1">
      <c r="A6340" s="2" t="s">
        <v>6340</v>
      </c>
      <c r="B6340" s="2" t="str">
        <f>IFERROR(__xludf.DUMMYFUNCTION("GOOGLETRANSLATE(A6340, ""en"", ""mt"")"),"Il-knisja tgħid ukoll li huma ""huma marbuta bl-istess mod li jirrispettaw is-sagrifiċċju tal-ħajja u l-benesseri tal-omm, li għaliha ħsara devastanti tista 'tirriżulta minn tqala inaċċettabbli. B'kontinwità mat-tagħlim Kristjan tal-passat, aħna nirrikono"&amp;"xxu kunflitti traġiċi tal-ħajja magħhom ħajja li tista 'tiġġustifika l-abort, u f'każijiet bħal dawn aħna nappoġġjaw l-għażla legali ta' abort taħt proċeduri mediċi xierqa. "" Bħala tali, żewġ korpi uffiċjali tal-Knisja Metodista Magħquda huma parti mill-"&amp;"koalizzjoni reliġjuża għall-koalizzjoni li tiggverna l-għażla riproduttiva, il-Bord Ġenerali tal-Knisja u s-Soċjetà, u n-Nisa Metodisti Magħquda. Il-Knisja tagħti attenzjoni li ""l-liġijiet u r-regolamenti governattivi ma jipprovdux il-gwida kollha meħtie"&amp;"ġa mill-kuxjenza Nisranija infurmata."" Il-knisja tenfasizza l-ħtieġa li tkun fil-ministeru ta 'appoġġ man-nisa kollha, irrispettivament mill-għażla tagħhom.")</f>
        <v>Il-knisja tgħid ukoll li huma "huma marbuta bl-istess mod li jirrispettaw is-sagrifiċċju tal-ħajja u l-benesseri tal-omm, li għaliha ħsara devastanti tista 'tirriżulta minn tqala inaċċettabbli. B'kontinwità mat-tagħlim Kristjan tal-passat, aħna nirrikonoxxu kunflitti traġiċi tal-ħajja magħhom ħajja li tista 'tiġġustifika l-abort, u f'każijiet bħal dawn aħna nappoġġjaw l-għażla legali ta' abort taħt proċeduri mediċi xierqa. " Bħala tali, żewġ korpi uffiċjali tal-Knisja Metodista Magħquda huma parti mill-koalizzjoni reliġjuża għall-koalizzjoni li tiggverna l-għażla riproduttiva, il-Bord Ġenerali tal-Knisja u s-Soċjetà, u n-Nisa Metodisti Magħquda. Il-Knisja tagħti attenzjoni li "l-liġijiet u r-regolamenti governattivi ma jipprovdux il-gwida kollha meħtieġa mill-kuxjenza Nisranija infurmata." Il-knisja tenfasizza l-ħtieġa li tkun fil-ministeru ta 'appoġġ man-nisa kollha, irrispettivament mill-għażla tagħhom.</v>
      </c>
    </row>
    <row r="6341" ht="15.75" customHeight="1">
      <c r="A6341" s="2" t="s">
        <v>6341</v>
      </c>
      <c r="B6341" s="2" t="str">
        <f>IFERROR(__xludf.DUMMYFUNCTION("GOOGLETRANSLATE(A6341, ""en"", ""mt"")"),"Għal xiex inhu l-AFC qasir?")</f>
        <v>Għal xiex inhu l-AFC qasir?</v>
      </c>
    </row>
    <row r="6342" ht="15.75" customHeight="1">
      <c r="A6342" s="2" t="s">
        <v>6342</v>
      </c>
      <c r="B6342" s="2" t="str">
        <f>IFERROR(__xludf.DUMMYFUNCTION("GOOGLETRANSLATE(A6342, ""en"", ""mt"")"),"kuntratturi")</f>
        <v>kuntratturi</v>
      </c>
    </row>
    <row r="6343" ht="15.75" customHeight="1">
      <c r="A6343" s="2" t="s">
        <v>6343</v>
      </c>
      <c r="B6343" s="2" t="str">
        <f>IFERROR(__xludf.DUMMYFUNCTION("GOOGLETRANSLATE(A6343, ""en"", ""mt"")"),"Mill-129 MSPs, 73 huma eletti biex jirrappreżentaw l-ewwel kostitwenzi tal-passat u huma magħrufa bħala ""kostitwenza MSPs"". Il-votanti jagħżlu membru wieħed biex jirrappreżenta l-kostitwenza, u l-membru bil-biċċa l-kbira tal-voti jintbagħat bħala MSP ta"&amp;"l-kostitwenza. It-73 kostitwenzi tal-Parlament Skoċċiżi qasmu l-istess konfini bħall-kostitwenzi tal-Parlament tar-Renju Unit fl-Iskozja, qabel it-tnaqqis tal-2005 fl-għadd ta 'membri parlamentari Skoċċiżi, bl-eċċezzjoni ta' Orkney u Shetland li kull wieħ"&amp;"ed jirritorna l-MSP tal-kostitwenza tagħhom stess. Bħalissa, il-kostitwenza medja tal-Parlament Skoċċiża tinkludi 55,000 elettur. Minħabba d-distribuzzjoni ġeografika tal-popolazzjoni fl-Iskozja, dan jirriżulta f'kostitwenzi ta 'żona iżgħar fl-artijiet ba"&amp;"xxi ċentrali, fejn tgħix il-biċċa l-kbira tal-popolazzjoni tal-Iskozja, u żoni ta' kostitwenza ferm akbar fit-tramuntana u fil-punent tal-pajjiż, li għandhom densità baxxa tal-popolazzjoni - L-arċipelagos tal-gżira ta 'Orkney, Shetland u l-Gżejjer tal-Pun"&amp;"ent jinkludu numru ferm iżgħar ta' eletturi, minħabba l-popolazzjoni mxerrda tagħhom u d-distanza mill-Parlament Skoċċiż f'Edinburgu. Jekk MSP ta 'kostitwenza jirriżenja mill-Parlament, dan iqajjem elezzjoni każwali fil-kostitwenza tiegħu jew tagħha, fejn"&amp;" MSP ta' sostituzzjoni jintbagħat lura minn waħda mill-partijiet mis-sistema tal-pluralità.")</f>
        <v>Mill-129 MSPs, 73 huma eletti biex jirrappreżentaw l-ewwel kostitwenzi tal-passat u huma magħrufa bħala "kostitwenza MSPs". Il-votanti jagħżlu membru wieħed biex jirrappreżenta l-kostitwenza, u l-membru bil-biċċa l-kbira tal-voti jintbagħat bħala MSP tal-kostitwenza. It-73 kostitwenzi tal-Parlament Skoċċiżi qasmu l-istess konfini bħall-kostitwenzi tal-Parlament tar-Renju Unit fl-Iskozja, qabel it-tnaqqis tal-2005 fl-għadd ta 'membri parlamentari Skoċċiżi, bl-eċċezzjoni ta' Orkney u Shetland li kull wieħed jirritorna l-MSP tal-kostitwenza tagħhom stess. Bħalissa, il-kostitwenza medja tal-Parlament Skoċċiża tinkludi 55,000 elettur. Minħabba d-distribuzzjoni ġeografika tal-popolazzjoni fl-Iskozja, dan jirriżulta f'kostitwenzi ta 'żona iżgħar fl-artijiet baxxi ċentrali, fejn tgħix il-biċċa l-kbira tal-popolazzjoni tal-Iskozja, u żoni ta' kostitwenza ferm akbar fit-tramuntana u fil-punent tal-pajjiż, li għandhom densità baxxa tal-popolazzjoni - L-arċipelagos tal-gżira ta 'Orkney, Shetland u l-Gżejjer tal-Punent jinkludu numru ferm iżgħar ta' eletturi, minħabba l-popolazzjoni mxerrda tagħhom u d-distanza mill-Parlament Skoċċiż f'Edinburgu. Jekk MSP ta 'kostitwenza jirriżenja mill-Parlament, dan iqajjem elezzjoni każwali fil-kostitwenza tiegħu jew tagħha, fejn MSP ta' sostituzzjoni jintbagħat lura minn waħda mill-partijiet mis-sistema tal-pluralità.</v>
      </c>
    </row>
    <row r="6344" ht="15.75" customHeight="1">
      <c r="A6344" s="2" t="s">
        <v>6344</v>
      </c>
      <c r="B6344" s="2" t="str">
        <f>IFERROR(__xludf.DUMMYFUNCTION("GOOGLETRANSLATE(A6344, ""en"", ""mt"")"),"biex ma nitkellmux")</f>
        <v>biex ma nitkellmux</v>
      </c>
    </row>
    <row r="6345" ht="15.75" customHeight="1">
      <c r="A6345" s="2" t="s">
        <v>6345</v>
      </c>
      <c r="B6345" s="2" t="str">
        <f>IFERROR(__xludf.DUMMYFUNCTION("GOOGLETRANSLATE(A6345, ""en"", ""mt"")"),"ċittadin privat")</f>
        <v>ċittadin privat</v>
      </c>
    </row>
    <row r="6346" ht="15.75" customHeight="1">
      <c r="A6346" s="2" t="s">
        <v>6346</v>
      </c>
      <c r="B6346" s="2" t="str">
        <f>IFERROR(__xludf.DUMMYFUNCTION("GOOGLETRANSLATE(A6346, ""en"", ""mt"")"),"All-Gemini Crew Veteran")</f>
        <v>All-Gemini Crew Veteran</v>
      </c>
    </row>
    <row r="6347" ht="15.75" customHeight="1">
      <c r="A6347" s="2" t="s">
        <v>6347</v>
      </c>
      <c r="B6347" s="2" t="str">
        <f>IFERROR(__xludf.DUMMYFUNCTION("GOOGLETRANSLATE(A6347, ""en"", ""mt"")"),"tassisti fil-fabbrikazzjoni ta 'evidenza jew twettaq sperġur")</f>
        <v>tassisti fil-fabbrikazzjoni ta 'evidenza jew twettaq sperġur</v>
      </c>
    </row>
    <row r="6348" ht="15.75" customHeight="1">
      <c r="A6348" s="2" t="s">
        <v>6348</v>
      </c>
      <c r="B6348" s="2" t="str">
        <f>IFERROR(__xludf.DUMMYFUNCTION("GOOGLETRANSLATE(A6348, ""en"", ""mt"")"),"Il-Great North Run")</f>
        <v>Il-Great North Run</v>
      </c>
    </row>
    <row r="6349" ht="15.75" customHeight="1">
      <c r="A6349" s="2" t="s">
        <v>6349</v>
      </c>
      <c r="B6349" s="2" t="str">
        <f>IFERROR(__xludf.DUMMYFUNCTION("GOOGLETRANSLATE(A6349, ""en"", ""mt"")"),"Meta Tesla bdiet taħdem għall-Kontinentali Edison Company?")</f>
        <v>Meta Tesla bdiet taħdem għall-Kontinentali Edison Company?</v>
      </c>
    </row>
    <row r="6350" ht="15.75" customHeight="1">
      <c r="A6350" s="2" t="s">
        <v>6350</v>
      </c>
      <c r="B6350" s="2" t="str">
        <f>IFERROR(__xludf.DUMMYFUNCTION("GOOGLETRANSLATE(A6350, ""en"", ""mt"")"),"1906")</f>
        <v>1906</v>
      </c>
    </row>
    <row r="6351" ht="15.75" customHeight="1">
      <c r="A6351" s="2" t="s">
        <v>6351</v>
      </c>
      <c r="B6351" s="2" t="str">
        <f>IFERROR(__xludf.DUMMYFUNCTION("GOOGLETRANSLATE(A6351, ""en"", ""mt"")"),"Swieq żgħar ħafna kellhom jistennew sa liema għaxar snin jappoġġjaw affiljat ABC?")</f>
        <v>Swieq żgħar ħafna kellhom jistennew sa liema għaxar snin jappoġġjaw affiljat ABC?</v>
      </c>
    </row>
    <row r="6352" ht="15.75" customHeight="1">
      <c r="A6352" s="2" t="s">
        <v>6352</v>
      </c>
      <c r="B6352" s="2" t="str">
        <f>IFERROR(__xludf.DUMMYFUNCTION("GOOGLETRANSLATE(A6352, ""en"", ""mt"")"),"Analiżi bir-reqqa tal-medikazzjoni kollha (preskrizzjoni, nuqqas ta 'preskrizzjoni, u herbals) bħalissa qed tittieħed minn individwu.")</f>
        <v>Analiżi bir-reqqa tal-medikazzjoni kollha (preskrizzjoni, nuqqas ta 'preskrizzjoni, u herbals) bħalissa qed tittieħed minn individwu.</v>
      </c>
    </row>
    <row r="6353" ht="15.75" customHeight="1">
      <c r="A6353" s="2" t="s">
        <v>6353</v>
      </c>
      <c r="B6353" s="2" t="str">
        <f>IFERROR(__xludf.DUMMYFUNCTION("GOOGLETRANSLATE(A6353, ""en"", ""mt"")"),"L-ipoteżi atomika oriġinali ta 'John Dalton assumiet li l-elementi kollha kienu monatomiċi u li l-atomi fil-komposti normalment ikollhom il-proporzjonijiet atomiċi l-aktar sempliċi fir-rigward ta' xulxin. Pereżempju, Dalton assuma li l-formula tal-ilma ki"&amp;"enet HO, li tagħti l-massa atomika ta 'ossiġnu bħala 8 darbiet dik ta' l-idroġenu, minflok il-valur modern ta 'madwar 16. Fl-1805, Joseph Louis Gay-Lussac u Alexander von Humboldt wera li l-ilma huwa ffurmat ta 'żewġ volumi ta' idroġenu u volum wieħed ta "&amp;"'ossiġnu; u sal-1811 Amedeo Avogadro kien wasal għall-interpretazzjoni t-tajba tal-kompożizzjoni tal-ilma, ibbażat fuq dak li issa jissejjaħ il-liġi ta 'Avogadro u l-assunzjoni ta' molekuli elementali diatomiċi. [A]")</f>
        <v>L-ipoteżi atomika oriġinali ta 'John Dalton assumiet li l-elementi kollha kienu monatomiċi u li l-atomi fil-komposti normalment ikollhom il-proporzjonijiet atomiċi l-aktar sempliċi fir-rigward ta' xulxin. Pereżempju, Dalton assuma li l-formula tal-ilma kienet HO, li tagħti l-massa atomika ta 'ossiġnu bħala 8 darbiet dik ta' l-idroġenu, minflok il-valur modern ta 'madwar 16. Fl-1805, Joseph Louis Gay-Lussac u Alexander von Humboldt wera li l-ilma huwa ffurmat ta 'żewġ volumi ta' idroġenu u volum wieħed ta 'ossiġnu; u sal-1811 Amedeo Avogadro kien wasal għall-interpretazzjoni t-tajba tal-kompożizzjoni tal-ilma, ibbażat fuq dak li issa jissejjaħ il-liġi ta 'Avogadro u l-assunzjoni ta' molekuli elementali diatomiċi. [A]</v>
      </c>
    </row>
    <row r="6354" ht="15.75" customHeight="1">
      <c r="A6354" s="2" t="s">
        <v>6354</v>
      </c>
      <c r="B6354" s="2" t="str">
        <f>IFERROR(__xludf.DUMMYFUNCTION("GOOGLETRANSLATE(A6354, ""en"", ""mt"")"),"X'inhuma t-tliet setturi tal-kostruzzjoni?")</f>
        <v>X'inhuma t-tliet setturi tal-kostruzzjoni?</v>
      </c>
    </row>
    <row r="6355" ht="15.75" customHeight="1">
      <c r="A6355" s="2" t="s">
        <v>6355</v>
      </c>
      <c r="B6355" s="2" t="str">
        <f>IFERROR(__xludf.DUMMYFUNCTION("GOOGLETRANSLATE(A6355, ""en"", ""mt"")"),"Newcastle serva bħala fortizza tat-Tramuntana għal liema pajjiż matul il-Medju Evu?")</f>
        <v>Newcastle serva bħala fortizza tat-Tramuntana għal liema pajjiż matul il-Medju Evu?</v>
      </c>
    </row>
    <row r="6356" ht="15.75" customHeight="1">
      <c r="A6356" s="2" t="s">
        <v>6356</v>
      </c>
      <c r="B6356" s="2" t="str">
        <f>IFERROR(__xludf.DUMMYFUNCTION("GOOGLETRANSLATE(A6356, ""en"", ""mt"")"),"Doctor Who and the Pescatons")</f>
        <v>Doctor Who and the Pescatons</v>
      </c>
    </row>
    <row r="6357" ht="15.75" customHeight="1">
      <c r="A6357" s="2" t="s">
        <v>6357</v>
      </c>
      <c r="B6357" s="2" t="str">
        <f>IFERROR(__xludf.DUMMYFUNCTION("GOOGLETRANSLATE(A6357, ""en"", ""mt"")"),"X'kien speċjali dwar il-memorja ta 'Tesla?")</f>
        <v>X'kien speċjali dwar il-memorja ta 'Tesla?</v>
      </c>
    </row>
    <row r="6358" ht="15.75" customHeight="1">
      <c r="A6358" s="2" t="s">
        <v>6358</v>
      </c>
      <c r="B6358" s="2" t="str">
        <f>IFERROR(__xludf.DUMMYFUNCTION("GOOGLETRANSLATE(A6358, ""en"", ""mt"")"),"Liema awtur jargumenta li pitching il-kuxjenza kontra l-kollettiv?")</f>
        <v>Liema awtur jargumenta li pitching il-kuxjenza kontra l-kollettiv?</v>
      </c>
    </row>
    <row r="6359" ht="15.75" customHeight="1">
      <c r="A6359" s="2" t="s">
        <v>6359</v>
      </c>
      <c r="B6359" s="2" t="str">
        <f>IFERROR(__xludf.DUMMYFUNCTION("GOOGLETRANSLATE(A6359, ""en"", ""mt"")"),"tagħmilha iktar diffiċli għal sistema biex tiffunzjona")</f>
        <v>tagħmilha iktar diffiċli għal sistema biex tiffunzjona</v>
      </c>
    </row>
    <row r="6360" ht="15.75" customHeight="1">
      <c r="A6360" s="2" t="s">
        <v>6360</v>
      </c>
      <c r="B6360" s="2" t="str">
        <f>IFERROR(__xludf.DUMMYFUNCTION("GOOGLETRANSLATE(A6360, ""en"", ""mt"")"),"Min iqis il-Kontea ta 'Los Angeles bħala żona metropolitana separata?")</f>
        <v>Min iqis il-Kontea ta 'Los Angeles bħala żona metropolitana separata?</v>
      </c>
    </row>
    <row r="6361" ht="15.75" customHeight="1">
      <c r="A6361" s="2" t="s">
        <v>6361</v>
      </c>
      <c r="B6361" s="2" t="str">
        <f>IFERROR(__xludf.DUMMYFUNCTION("GOOGLETRANSLATE(A6361, ""en"", ""mt"")"),"Fejn jaħżnu l-lamtu tal-kloroplasti tal-kriptofiti?")</f>
        <v>Fejn jaħżnu l-lamtu tal-kloroplasti tal-kriptofiti?</v>
      </c>
    </row>
    <row r="6362" ht="15.75" customHeight="1">
      <c r="A6362" s="2" t="s">
        <v>6362</v>
      </c>
      <c r="B6362" s="2" t="str">
        <f>IFERROR(__xludf.DUMMYFUNCTION("GOOGLETRANSLATE(A6362, ""en"", ""mt"")"),"Lagi kbar")</f>
        <v>Lagi kbar</v>
      </c>
    </row>
    <row r="6363" ht="15.75" customHeight="1">
      <c r="A6363" s="2" t="s">
        <v>6363</v>
      </c>
      <c r="B6363" s="2" t="str">
        <f>IFERROR(__xludf.DUMMYFUNCTION("GOOGLETRANSLATE(A6363, ""en"", ""mt"")"),"Minbarra l-V &amp; A's, li l-kollezzjonijiet tagħhom huma taħt ir-responsabbiltà tal-konservaturi fil-V &amp; A?")</f>
        <v>Minbarra l-V &amp; A's, li l-kollezzjonijiet tagħhom huma taħt ir-responsabbiltà tal-konservaturi fil-V &amp; A?</v>
      </c>
    </row>
    <row r="6364" ht="15.75" customHeight="1">
      <c r="A6364" s="2" t="s">
        <v>6364</v>
      </c>
      <c r="B6364" s="2" t="str">
        <f>IFERROR(__xludf.DUMMYFUNCTION("GOOGLETRANSLATE(A6364, ""en"", ""mt"")"),"pressjoni kostanti")</f>
        <v>pressjoni kostanti</v>
      </c>
    </row>
    <row r="6365" ht="15.75" customHeight="1">
      <c r="A6365" s="2" t="s">
        <v>6365</v>
      </c>
      <c r="B6365" s="2" t="str">
        <f>IFERROR(__xludf.DUMMYFUNCTION("GOOGLETRANSLATE(A6365, ""en"", ""mt"")"),"Għaliex Johann Esch u Heinrich Voes ġew eżegwiti mill-Knisja Kattolika?")</f>
        <v>Għaliex Johann Esch u Heinrich Voes ġew eżegwiti mill-Knisja Kattolika?</v>
      </c>
    </row>
    <row r="6366" ht="15.75" customHeight="1">
      <c r="A6366" s="2" t="s">
        <v>6366</v>
      </c>
      <c r="B6366" s="2" t="str">
        <f>IFERROR(__xludf.DUMMYFUNCTION("GOOGLETRANSLATE(A6366, ""en"", ""mt"")"),"Dak li jġorr ammont sinifikanti tal-fluss tar-Rhine minn Franza?")</f>
        <v>Dak li jġorr ammont sinifikanti tal-fluss tar-Rhine minn Franza?</v>
      </c>
    </row>
    <row r="6367" ht="15.75" customHeight="1">
      <c r="A6367" s="2" t="s">
        <v>6367</v>
      </c>
      <c r="B6367" s="2" t="str">
        <f>IFERROR(__xludf.DUMMYFUNCTION("GOOGLETRANSLATE(A6367, ""en"", ""mt"")"),"X'tip ta 'appoġġ jipprovdi l-ko-tagħlim?")</f>
        <v>X'tip ta 'appoġġ jipprovdi l-ko-tagħlim?</v>
      </c>
    </row>
    <row r="6368" ht="15.75" customHeight="1">
      <c r="A6368" s="2" t="s">
        <v>6368</v>
      </c>
      <c r="B6368" s="2" t="str">
        <f>IFERROR(__xludf.DUMMYFUNCTION("GOOGLETRANSLATE(A6368, ""en"", ""mt"")"),"Ludwig von Nassau-Saarbrücken")</f>
        <v>Ludwig von Nassau-Saarbrücken</v>
      </c>
    </row>
    <row r="6369" ht="15.75" customHeight="1">
      <c r="A6369" s="2" t="s">
        <v>6369</v>
      </c>
      <c r="B6369" s="2" t="str">
        <f>IFERROR(__xludf.DUMMYFUNCTION("GOOGLETRANSLATE(A6369, ""en"", ""mt"")"),"Taħt il-qasam Stagg tal-università")</f>
        <v>Taħt il-qasam Stagg tal-università</v>
      </c>
    </row>
    <row r="6370" ht="15.75" customHeight="1">
      <c r="A6370" s="2" t="s">
        <v>6370</v>
      </c>
      <c r="B6370" s="2" t="str">
        <f>IFERROR(__xludf.DUMMYFUNCTION("GOOGLETRANSLATE(A6370, ""en"", ""mt"")"),"Il-Mongoli tgħallmu mill-magħluq tal-mergħat ħodor abbundanti lil hinn mit-territorju ta ’Bulgar, li jippermettu l-ippjanar għall-konkwista tal-Ungerija u l-Ewropa. Genghis Khan fakkar lil Subutai lura lejn il-Mongolja ftit wara, u Jebe miet fit-triq lura"&amp;" lejn Samarkand. Il-famuża expedition tal-kavallerija mmexxija minn Subutai u Jebe, li fihom huma ċċirkolaw il-Baħar Kaspju kollu li jisfrattaw l-armati kollha fit-triq tagħhom, jibqa 'mingħajr paragun sal-lum, u l-kelma tat-trijonfi tal-Mongolja bdiet ti"&amp;"nżel għal nazzjonijiet oħra, partikolarment l-Ewropa. Dawn iż-żewġ kampanji huma ġeneralment meqjusa bħala kampanji ta 'għarfien li ppruvaw jiksbu l-elementi politiċi u kulturali tar-reġjuni. Fl-1225 iż-żewġ diviżjonijiet irritornaw fil-Mongolja. Dawn l-i"&amp;"nvażjonijiet żiedu Transoxiana u l-Persja ma 'imperu diġà formidabbli waqt li jeqirdu kwalunkwe reżistenza tul it-triq. Aktar tard taħt in-neputi ta 'Genghis Khan Batu u l-Golden Horde, il-Mongoli rritornaw biex jirbħu Volga Bulgarija u Kievan Rus' fl-123"&amp;"7, u kkonkludew il-kampanja fl-1240.")</f>
        <v>Il-Mongoli tgħallmu mill-magħluq tal-mergħat ħodor abbundanti lil hinn mit-territorju ta ’Bulgar, li jippermettu l-ippjanar għall-konkwista tal-Ungerija u l-Ewropa. Genghis Khan fakkar lil Subutai lura lejn il-Mongolja ftit wara, u Jebe miet fit-triq lura lejn Samarkand. Il-famuża expedition tal-kavallerija mmexxija minn Subutai u Jebe, li fihom huma ċċirkolaw il-Baħar Kaspju kollu li jisfrattaw l-armati kollha fit-triq tagħhom, jibqa 'mingħajr paragun sal-lum, u l-kelma tat-trijonfi tal-Mongolja bdiet tinżel għal nazzjonijiet oħra, partikolarment l-Ewropa. Dawn iż-żewġ kampanji huma ġeneralment meqjusa bħala kampanji ta 'għarfien li ppruvaw jiksbu l-elementi politiċi u kulturali tar-reġjuni. Fl-1225 iż-żewġ diviżjonijiet irritornaw fil-Mongolja. Dawn l-invażjonijiet żiedu Transoxiana u l-Persja ma 'imperu diġà formidabbli waqt li jeqirdu kwalunkwe reżistenza tul it-triq. Aktar tard taħt in-neputi ta 'Genghis Khan Batu u l-Golden Horde, il-Mongoli rritornaw biex jirbħu Volga Bulgarija u Kievan Rus' fl-1237, u kkonkludew il-kampanja fl-1240.</v>
      </c>
    </row>
    <row r="6371" ht="15.75" customHeight="1">
      <c r="A6371" s="2" t="s">
        <v>6371</v>
      </c>
      <c r="B6371" s="2" t="str">
        <f>IFERROR(__xludf.DUMMYFUNCTION("GOOGLETRANSLATE(A6371, ""en"", ""mt"")"),"BSKYB juża s-sistema ta 'ġirja tal-videoguard pay-TV li hija proprjetà ta' NDS, kumpanija Cisco Systems. Hemm kontrolli stretti fuq l-użu ta 'decoders tal-vidjow; Mhumiex disponibbli bħala CAMS DVB stand-alone (moduli ta 'aċċess kondizzjonali). BSKYB għan"&amp;"du awtorità tad-disinn fuq ir-riċevituri tas-satellita diġitali kollha li kapaċi jirċievu s-servizz tagħhom. Ir-riċevituri, għalkemm iddisinjati u mibnija minn manifatturi differenti, għandhom jikkonformaw mal-istess interface tal-utent li jħarsu u jħarsu"&amp;" bħall-oħrajn kollha. Dan jestendi għall-offerta personali tal-vidjow (PVR) (Sky tad-ditta +).")</f>
        <v>BSKYB juża s-sistema ta 'ġirja tal-videoguard pay-TV li hija proprjetà ta' NDS, kumpanija Cisco Systems. Hemm kontrolli stretti fuq l-użu ta 'decoders tal-vidjow; Mhumiex disponibbli bħala CAMS DVB stand-alone (moduli ta 'aċċess kondizzjonali). BSKYB għandu awtorità tad-disinn fuq ir-riċevituri tas-satellita diġitali kollha li kapaċi jirċievu s-servizz tagħhom. Ir-riċevituri, għalkemm iddisinjati u mibnija minn manifatturi differenti, għandhom jikkonformaw mal-istess interface tal-utent li jħarsu u jħarsu bħall-oħrajn kollha. Dan jestendi għall-offerta personali tal-vidjow (PVR) (Sky tad-ditta +).</v>
      </c>
    </row>
    <row r="6372" ht="15.75" customHeight="1">
      <c r="A6372" s="2" t="s">
        <v>6372</v>
      </c>
      <c r="B6372" s="2" t="str">
        <f>IFERROR(__xludf.DUMMYFUNCTION("GOOGLETRANSLATE(A6372, ""en"", ""mt"")"),"Saturn ib")</f>
        <v>Saturn ib</v>
      </c>
    </row>
    <row r="6373" ht="15.75" customHeight="1">
      <c r="A6373" s="2" t="s">
        <v>6373</v>
      </c>
      <c r="B6373" s="2" t="str">
        <f>IFERROR(__xludf.DUMMYFUNCTION("GOOGLETRANSLATE(A6373, ""en"", ""mt"")"),"B'forza daqshekk żgħira, il-Mongoli li jinvadu kienu mġiegħla jibdlu l-istrateġiji u jirrikorru għal inċitament ta 'rewwixta interna fost il-partitarji ta' Kuchlug, u ħallew lill-Qara Khitai aktar vulnerabbli għall-konkwista Mongolja. Bħala riżultat, l-ar"&amp;"mata ta 'Kuchlug ġiet megħluba fil-punent ta' Kashgar. Kuchlug ħarab mill-ġdid, iżda malajr ġie kkaċċjat mill-armata ta 'Jebe u eżegwit. Sal-1218, bħala riżultat tat-telfa ta 'Qara Khitai, l-imperu Mongoljan u l-kontroll tiegħu estendew lejn il-punent daq"&amp;"s il-Lag Balkhash, li jmissu mal-Khwarezmia (l-imperu Khwarezmid), stat Musulman li laħaq il-Baħar Kaspjan lejn il-Punent u l-Golf Persjan u Persjan il-Baħar Għarbi fin-nofsinhar.")</f>
        <v>B'forza daqshekk żgħira, il-Mongoli li jinvadu kienu mġiegħla jibdlu l-istrateġiji u jirrikorru għal inċitament ta 'rewwixta interna fost il-partitarji ta' Kuchlug, u ħallew lill-Qara Khitai aktar vulnerabbli għall-konkwista Mongolja. Bħala riżultat, l-armata ta 'Kuchlug ġiet megħluba fil-punent ta' Kashgar. Kuchlug ħarab mill-ġdid, iżda malajr ġie kkaċċjat mill-armata ta 'Jebe u eżegwit. Sal-1218, bħala riżultat tat-telfa ta 'Qara Khitai, l-imperu Mongoljan u l-kontroll tiegħu estendew lejn il-punent daqs il-Lag Balkhash, li jmissu mal-Khwarezmia (l-imperu Khwarezmid), stat Musulman li laħaq il-Baħar Kaspjan lejn il-Punent u l-Golf Persjan u Persjan il-Baħar Għarbi fin-nofsinhar.</v>
      </c>
    </row>
    <row r="6374" ht="15.75" customHeight="1">
      <c r="A6374" s="2" t="s">
        <v>6374</v>
      </c>
      <c r="B6374" s="2" t="str">
        <f>IFERROR(__xludf.DUMMYFUNCTION("GOOGLETRANSLATE(A6374, ""en"", ""mt"")"),"Parti kkmanda maġġoranza parlamentari")</f>
        <v>Parti kkmanda maġġoranza parlamentari</v>
      </c>
    </row>
    <row r="6375" ht="15.75" customHeight="1">
      <c r="A6375" s="2" t="s">
        <v>6375</v>
      </c>
      <c r="B6375" s="2" t="str">
        <f>IFERROR(__xludf.DUMMYFUNCTION("GOOGLETRANSLATE(A6375, ""en"", ""mt"")"),"X’tesla ddisinjat diversi setups sperimentali biex tipproduċi?")</f>
        <v>X’tesla ddisinjat diversi setups sperimentali biex tipproduċi?</v>
      </c>
    </row>
    <row r="6376" ht="15.75" customHeight="1">
      <c r="A6376" s="2" t="s">
        <v>6376</v>
      </c>
      <c r="B6376" s="2" t="str">
        <f>IFERROR(__xludf.DUMMYFUNCTION("GOOGLETRANSLATE(A6376, ""en"", ""mt"")"),"Doctor Who u d-Daleks fis-Seba 'Ċwievet għal Doomsday")</f>
        <v>Doctor Who u d-Daleks fis-Seba 'Ċwievet għal Doomsday</v>
      </c>
    </row>
    <row r="6377" ht="15.75" customHeight="1">
      <c r="A6377" s="2" t="s">
        <v>6377</v>
      </c>
      <c r="B6377" s="2" t="str">
        <f>IFERROR(__xludf.DUMMYFUNCTION("GOOGLETRANSLATE(A6377, ""en"", ""mt"")"),"X'iktar għamlet Tesla għax-xogħol f'dan il-ħin?")</f>
        <v>X'iktar għamlet Tesla għax-xogħol f'dan il-ħin?</v>
      </c>
    </row>
    <row r="6378" ht="15.75" customHeight="1">
      <c r="A6378" s="2" t="s">
        <v>6378</v>
      </c>
      <c r="B6378" s="2" t="str">
        <f>IFERROR(__xludf.DUMMYFUNCTION("GOOGLETRANSLATE(A6378, ""en"", ""mt"")"),"żoni dominanti")</f>
        <v>żoni dominanti</v>
      </c>
    </row>
    <row r="6379" ht="15.75" customHeight="1">
      <c r="A6379" s="2" t="s">
        <v>6379</v>
      </c>
      <c r="B6379" s="2" t="str">
        <f>IFERROR(__xludf.DUMMYFUNCTION("GOOGLETRANSLATE(A6379, ""en"", ""mt"")"),"Qorti tal-Ġustizzja")</f>
        <v>Qorti tal-Ġustizzja</v>
      </c>
    </row>
    <row r="6380" ht="15.75" customHeight="1">
      <c r="A6380" s="2" t="s">
        <v>6380</v>
      </c>
      <c r="B6380" s="2" t="str">
        <f>IFERROR(__xludf.DUMMYFUNCTION("GOOGLETRANSLATE(A6380, ""en"", ""mt"")"),"X'kien l-attakk fuq id-dgħjufija Ingliża?")</f>
        <v>X'kien l-attakk fuq id-dgħjufija Ingliża?</v>
      </c>
    </row>
    <row r="6381" ht="15.75" customHeight="1">
      <c r="A6381" s="2" t="s">
        <v>6381</v>
      </c>
      <c r="B6381" s="2" t="str">
        <f>IFERROR(__xludf.DUMMYFUNCTION("GOOGLETRANSLATE(A6381, ""en"", ""mt"")"),"[256kn + 1, 256k (n + 1) - 1]")</f>
        <v>[256kn + 1, 256k (n + 1) - 1]</v>
      </c>
    </row>
    <row r="6382" ht="15.75" customHeight="1">
      <c r="A6382" s="2" t="s">
        <v>6382</v>
      </c>
      <c r="B6382" s="2" t="str">
        <f>IFERROR(__xludf.DUMMYFUNCTION("GOOGLETRANSLATE(A6382, ""en"", ""mt"")"),"għar-re")</f>
        <v>għar-re</v>
      </c>
    </row>
    <row r="6383" ht="15.75" customHeight="1">
      <c r="A6383" s="2" t="s">
        <v>6383</v>
      </c>
      <c r="B6383" s="2" t="str">
        <f>IFERROR(__xludf.DUMMYFUNCTION("GOOGLETRANSLATE(A6383, ""en"", ""mt"")"),"Sqaq dojoq")</f>
        <v>Sqaq dojoq</v>
      </c>
    </row>
    <row r="6384" ht="15.75" customHeight="1">
      <c r="A6384" s="2" t="s">
        <v>6384</v>
      </c>
      <c r="B6384" s="2" t="str">
        <f>IFERROR(__xludf.DUMMYFUNCTION("GOOGLETRANSLATE(A6384, ""en"", ""mt"")"),"L-awtorità ta 'pajjiż wieħed fuq numru ta' oħrajn jikkostitwixxi l-pajjiż oriġinali?")</f>
        <v>L-awtorità ta 'pajjiż wieħed fuq numru ta' oħrajn jikkostitwixxi l-pajjiż oriġinali?</v>
      </c>
    </row>
    <row r="6385" ht="15.75" customHeight="1">
      <c r="A6385" s="2" t="s">
        <v>6385</v>
      </c>
      <c r="B6385" s="2" t="str">
        <f>IFERROR(__xludf.DUMMYFUNCTION("GOOGLETRANSLATE(A6385, ""en"", ""mt"")"),"Ħarifa tal-1991")</f>
        <v>Ħarifa tal-1991</v>
      </c>
    </row>
    <row r="6386" ht="15.75" customHeight="1">
      <c r="A6386" s="2" t="s">
        <v>6386</v>
      </c>
      <c r="B6386" s="2" t="str">
        <f>IFERROR(__xludf.DUMMYFUNCTION("GOOGLETRANSLATE(A6386, ""en"", ""mt"")"),"X'inhi l-firxa tal-età tal-biċċa l-kbira tal-prostituti fil-Kenja?")</f>
        <v>X'inhi l-firxa tal-età tal-biċċa l-kbira tal-prostituti fil-Kenja?</v>
      </c>
    </row>
    <row r="6387" ht="15.75" customHeight="1">
      <c r="A6387" s="2" t="s">
        <v>6387</v>
      </c>
      <c r="B6387" s="2" t="str">
        <f>IFERROR(__xludf.DUMMYFUNCTION("GOOGLETRANSLATE(A6387, ""en"", ""mt"")"),"F'liema sena Tesla gradwat mill-ogħla ġinnasju reali?")</f>
        <v>F'liema sena Tesla gradwat mill-ogħla ġinnasju reali?</v>
      </c>
    </row>
    <row r="6388" ht="15.75" customHeight="1">
      <c r="A6388" s="2" t="s">
        <v>6388</v>
      </c>
      <c r="B6388" s="2" t="str">
        <f>IFERROR(__xludf.DUMMYFUNCTION("GOOGLETRANSLATE(A6388, ""en"", ""mt"")"),"L-Iskandinavja u l-Ewropa tat-Tramuntana,")</f>
        <v>L-Iskandinavja u l-Ewropa tat-Tramuntana,</v>
      </c>
    </row>
    <row r="6389" ht="15.75" customHeight="1">
      <c r="A6389" s="2" t="s">
        <v>6389</v>
      </c>
      <c r="B6389" s="2" t="str">
        <f>IFERROR(__xludf.DUMMYFUNCTION("GOOGLETRANSLATE(A6389, ""en"", ""mt"")"),"Meta tmur blat, għal xiex hija applikata d-data iżotopika assoluta?")</f>
        <v>Meta tmur blat, għal xiex hija applikata d-data iżotopika assoluta?</v>
      </c>
    </row>
    <row r="6390" ht="15.75" customHeight="1">
      <c r="A6390" s="2" t="s">
        <v>6390</v>
      </c>
      <c r="B6390" s="2" t="str">
        <f>IFERROR(__xludf.DUMMYFUNCTION("GOOGLETRANSLATE(A6390, ""en"", ""mt"")"),"Ippompja l-ilma barra mill-mesoglea")</f>
        <v>Ippompja l-ilma barra mill-mesoglea</v>
      </c>
    </row>
    <row r="6391" ht="15.75" customHeight="1">
      <c r="A6391" s="2" t="s">
        <v>6391</v>
      </c>
      <c r="B6391" s="2" t="str">
        <f>IFERROR(__xludf.DUMMYFUNCTION("GOOGLETRANSLATE(A6391, ""en"", ""mt"")"),"m'għandekx drittijiet tal-vot")</f>
        <v>m'għandekx drittijiet tal-vot</v>
      </c>
    </row>
    <row r="6392" ht="15.75" customHeight="1">
      <c r="A6392" s="2" t="s">
        <v>6392</v>
      </c>
      <c r="B6392" s="2" t="str">
        <f>IFERROR(__xludf.DUMMYFUNCTION("GOOGLETRANSLATE(A6392, ""en"", ""mt"")"),"Amazonia: Raġel u kultura fi ġenna ffalsifikata.")</f>
        <v>Amazonia: Raġel u kultura fi ġenna ffalsifikata.</v>
      </c>
    </row>
    <row r="6393" ht="15.75" customHeight="1">
      <c r="A6393" s="2" t="s">
        <v>6393</v>
      </c>
      <c r="B6393" s="2" t="str">
        <f>IFERROR(__xludf.DUMMYFUNCTION("GOOGLETRANSLATE(A6393, ""en"", ""mt"")"),"terġa 'terġa' tinbena")</f>
        <v>terġa 'terġa' tinbena</v>
      </c>
    </row>
    <row r="6394" ht="15.75" customHeight="1">
      <c r="A6394" s="2" t="s">
        <v>6394</v>
      </c>
      <c r="B6394" s="2" t="str">
        <f>IFERROR(__xludf.DUMMYFUNCTION("GOOGLETRANSLATE(A6394, ""en"", ""mt"")"),"Flimkien mal-Ingliż u l-Matematika, liema suġġett issostitwixxa l-valuri tal-edukazzjoni għall-istudenti tar-raba 'sena?")</f>
        <v>Flimkien mal-Ingliż u l-Matematika, liema suġġett issostitwixxa l-valuri tal-edukazzjoni għall-istudenti tar-raba 'sena?</v>
      </c>
    </row>
    <row r="6395" ht="15.75" customHeight="1">
      <c r="A6395" s="2" t="s">
        <v>6395</v>
      </c>
      <c r="B6395" s="2" t="str">
        <f>IFERROR(__xludf.DUMMYFUNCTION("GOOGLETRANSLATE(A6395, ""en"", ""mt"")"),"Luther meta kiteb l-innu mill-fond ta 'gwaj nibki lilek?")</f>
        <v>Luther meta kiteb l-innu mill-fond ta 'gwaj nibki lilek?</v>
      </c>
    </row>
    <row r="6396" ht="15.75" customHeight="1">
      <c r="A6396" s="2" t="s">
        <v>6396</v>
      </c>
      <c r="B6396" s="2" t="str">
        <f>IFERROR(__xludf.DUMMYFUNCTION("GOOGLETRANSLATE(A6396, ""en"", ""mt"")"),"Fejn kienu l-Persjani aktar ta ’suċċess meta mqabbla maċ-Ċiniż fil-wan?")</f>
        <v>Fejn kienu l-Persjani aktar ta ’suċċess meta mqabbla maċ-Ċiniż fil-wan?</v>
      </c>
    </row>
    <row r="6397" ht="15.75" customHeight="1">
      <c r="A6397" s="2" t="s">
        <v>6397</v>
      </c>
      <c r="B6397" s="2" t="str">
        <f>IFERROR(__xludf.DUMMYFUNCTION("GOOGLETRANSLATE(A6397, ""en"", ""mt"")"),"Terminu ta 'tmien snin")</f>
        <v>Terminu ta 'tmien snin</v>
      </c>
    </row>
    <row r="6398" ht="15.75" customHeight="1">
      <c r="A6398" s="2" t="s">
        <v>6398</v>
      </c>
      <c r="B6398" s="2" t="str">
        <f>IFERROR(__xludf.DUMMYFUNCTION("GOOGLETRANSLATE(A6398, ""en"", ""mt"")"),"X'inhu l-isem tal-programm li jipprovdi xogħol ta 'kuntrattar lill-kumpaniji lokali?")</f>
        <v>X'inhu l-isem tal-programm li jipprovdi xogħol ta 'kuntrattar lill-kumpaniji lokali?</v>
      </c>
    </row>
    <row r="6399" ht="15.75" customHeight="1">
      <c r="A6399" s="2" t="s">
        <v>6399</v>
      </c>
      <c r="B6399" s="2" t="str">
        <f>IFERROR(__xludf.DUMMYFUNCTION("GOOGLETRANSLATE(A6399, ""en"", ""mt"")"),"X'inhu terminu ieħor għas-Sena 12 tal-edukazzjoni?")</f>
        <v>X'inhu terminu ieħor għas-Sena 12 tal-edukazzjoni?</v>
      </c>
    </row>
    <row r="6400" ht="15.75" customHeight="1">
      <c r="A6400" s="2" t="s">
        <v>6400</v>
      </c>
      <c r="B6400" s="2" t="str">
        <f>IFERROR(__xludf.DUMMYFUNCTION("GOOGLETRANSLATE(A6400, ""en"", ""mt"")"),"Fejn saru l-intervisti waqt li l-Parlament kien fil-bini temporanju tiegħu?")</f>
        <v>Fejn saru l-intervisti waqt li l-Parlament kien fil-bini temporanju tiegħu?</v>
      </c>
    </row>
    <row r="6401" ht="15.75" customHeight="1">
      <c r="A6401" s="2" t="s">
        <v>6401</v>
      </c>
      <c r="B6401" s="2" t="str">
        <f>IFERROR(__xludf.DUMMYFUNCTION("GOOGLETRANSLATE(A6401, ""en"", ""mt"")"),"persuni li għandhom ikunu magħrufa.")</f>
        <v>persuni li għandhom ikunu magħrufa.</v>
      </c>
    </row>
    <row r="6402" ht="15.75" customHeight="1">
      <c r="A6402" s="2" t="s">
        <v>6402</v>
      </c>
      <c r="B6402" s="2" t="str">
        <f>IFERROR(__xludf.DUMMYFUNCTION("GOOGLETRANSLATE(A6402, ""en"", ""mt"")"),"mapep")</f>
        <v>mapep</v>
      </c>
    </row>
    <row r="6403" ht="15.75" customHeight="1">
      <c r="A6403" s="2" t="s">
        <v>6403</v>
      </c>
      <c r="B6403" s="2" t="str">
        <f>IFERROR(__xludf.DUMMYFUNCTION("GOOGLETRANSLATE(A6403, ""en"", ""mt"")"),"Kolonizzanti, Influwenza, u Twaħħal partijiet oħra tad-dinja sabiex tikseb poter politiku")</f>
        <v>Kolonizzanti, Influwenza, u Twaħħal partijiet oħra tad-dinja sabiex tikseb poter politiku</v>
      </c>
    </row>
    <row r="6404" ht="15.75" customHeight="1">
      <c r="A6404" s="2" t="s">
        <v>6404</v>
      </c>
      <c r="B6404" s="2" t="str">
        <f>IFERROR(__xludf.DUMMYFUNCTION("GOOGLETRANSLATE(A6404, ""en"", ""mt"")"),"Allokati minn qabel")</f>
        <v>Allokati minn qabel</v>
      </c>
    </row>
    <row r="6405" ht="15.75" customHeight="1">
      <c r="A6405" s="2" t="s">
        <v>6405</v>
      </c>
      <c r="B6405" s="2" t="str">
        <f>IFERROR(__xludf.DUMMYFUNCTION("GOOGLETRANSLATE(A6405, ""en"", ""mt"")"),"X'tip ta 'protesta taqa' taħt diżubbidjenza ċivili mingħajr aggressjoni?")</f>
        <v>X'tip ta 'protesta taqa' taħt diżubbidjenza ċivili mingħajr aggressjoni?</v>
      </c>
    </row>
    <row r="6406" ht="15.75" customHeight="1">
      <c r="A6406" s="2" t="s">
        <v>6406</v>
      </c>
      <c r="B6406" s="2" t="str">
        <f>IFERROR(__xludf.DUMMYFUNCTION("GOOGLETRANSLATE(A6406, ""en"", ""mt"")"),"sedimentarju")</f>
        <v>sedimentarju</v>
      </c>
    </row>
    <row r="6407" ht="15.75" customHeight="1">
      <c r="A6407" s="2" t="s">
        <v>6407</v>
      </c>
      <c r="B6407" s="2" t="str">
        <f>IFERROR(__xludf.DUMMYFUNCTION("GOOGLETRANSLATE(A6407, ""en"", ""mt"")"),"kobor u direzzjoni")</f>
        <v>kobor u direzzjoni</v>
      </c>
    </row>
    <row r="6408" ht="15.75" customHeight="1">
      <c r="A6408" s="2" t="s">
        <v>6408</v>
      </c>
      <c r="B6408" s="2" t="str">
        <f>IFERROR(__xludf.DUMMYFUNCTION("GOOGLETRANSLATE(A6408, ""en"", ""mt"")"),"Jonqos Il-Fondazzjoni Elettronika tal-Fruntiera")</f>
        <v>Jonqos Il-Fondazzjoni Elettronika tal-Fruntiera</v>
      </c>
    </row>
    <row r="6409" ht="15.75" customHeight="1">
      <c r="A6409" s="2" t="s">
        <v>6409</v>
      </c>
      <c r="B6409" s="2" t="str">
        <f>IFERROR(__xludf.DUMMYFUNCTION("GOOGLETRANSLATE(A6409, ""en"", ""mt"")"),"Liema trattament mediku jintuża biex iżżid l-assorbiment ta 'ossiġnu f'pazjent?")</f>
        <v>Liema trattament mediku jintuża biex iżżid l-assorbiment ta 'ossiġnu f'pazjent?</v>
      </c>
    </row>
    <row r="6410" ht="15.75" customHeight="1">
      <c r="A6410" s="2" t="s">
        <v>6410</v>
      </c>
      <c r="B6410" s="2" t="str">
        <f>IFERROR(__xludf.DUMMYFUNCTION("GOOGLETRANSLATE(A6410, ""en"", ""mt"")"),"Liema grupp għandu żewġ saffi ta 'ċelloli b'saff tan-nofs ta' mesoglea?")</f>
        <v>Liema grupp għandu żewġ saffi ta 'ċelloli b'saff tan-nofs ta' mesoglea?</v>
      </c>
    </row>
    <row r="6411" ht="15.75" customHeight="1">
      <c r="A6411" s="2" t="s">
        <v>6411</v>
      </c>
      <c r="B6411" s="2" t="str">
        <f>IFERROR(__xludf.DUMMYFUNCTION("GOOGLETRANSLATE(A6411, ""en"", ""mt"")"),"Minbarra li ħa l-boarders, Katharina kif għenet tappoġġja lill-familja?")</f>
        <v>Minbarra li ħa l-boarders, Katharina kif għenet tappoġġja lill-familja?</v>
      </c>
    </row>
    <row r="6412" ht="15.75" customHeight="1">
      <c r="A6412" s="2" t="s">
        <v>6412</v>
      </c>
      <c r="B6412" s="2" t="str">
        <f>IFERROR(__xludf.DUMMYFUNCTION("GOOGLETRANSLATE(A6412, ""en"", ""mt"")"),"aċċess għall-edukazzjoni")</f>
        <v>aċċess għall-edukazzjoni</v>
      </c>
    </row>
    <row r="6413" ht="15.75" customHeight="1">
      <c r="A6413" s="2" t="s">
        <v>6413</v>
      </c>
      <c r="B6413" s="2" t="str">
        <f>IFERROR(__xludf.DUMMYFUNCTION("GOOGLETRANSLATE(A6413, ""en"", ""mt"")"),"Italo-Norman jismu Raoul")</f>
        <v>Italo-Norman jismu Raoul</v>
      </c>
    </row>
    <row r="6414" ht="15.75" customHeight="1">
      <c r="A6414" s="2" t="s">
        <v>6414</v>
      </c>
      <c r="B6414" s="2" t="str">
        <f>IFERROR(__xludf.DUMMYFUNCTION("GOOGLETRANSLATE(A6414, ""en"", ""mt"")"),"stabbiliti bħala wieħed mill-pilastri tal-istorja")</f>
        <v>stabbiliti bħala wieħed mill-pilastri tal-istorja</v>
      </c>
    </row>
    <row r="6415" ht="15.75" customHeight="1">
      <c r="A6415" s="2" t="s">
        <v>6415</v>
      </c>
      <c r="B6415" s="2" t="str">
        <f>IFERROR(__xludf.DUMMYFUNCTION("GOOGLETRANSLATE(A6415, ""en"", ""mt"")"),"Id-dinastija tal-kanzunetta")</f>
        <v>Id-dinastija tal-kanzunetta</v>
      </c>
    </row>
    <row r="6416" ht="15.75" customHeight="1">
      <c r="A6416" s="2" t="s">
        <v>6416</v>
      </c>
      <c r="B6416" s="2" t="str">
        <f>IFERROR(__xludf.DUMMYFUNCTION("GOOGLETRANSLATE(A6416, ""en"", ""mt"")"),"Reġistru ta 'trasgressuri sesswali")</f>
        <v>Reġistru ta 'trasgressuri sesswali</v>
      </c>
    </row>
    <row r="6417" ht="15.75" customHeight="1">
      <c r="A6417" s="2" t="s">
        <v>6417</v>
      </c>
      <c r="B6417" s="2" t="str">
        <f>IFERROR(__xludf.DUMMYFUNCTION("GOOGLETRANSLATE(A6417, ""en"", ""mt"")"),"Problema hija meqjusa bħala inerenti diffiċli jekk is-soluzzjoni tagħha teħtieġ riżorsi sinifikanti, ikun xi jkun l-algoritmu użat. It-teorija tifformalizza din l-intwizzjoni, billi tintroduċi mudelli matematiċi ta 'komputazzjoni biex tistudja dawn il-pro"&amp;"blemi u tikkwantifika l-ammont ta' riżorsi meħtieġa biex issolvihom, bħal ħin u ħażna. Miżuri oħra ta 'kumplessità jintużaw ukoll, bħall-ammont ta' komunikazzjoni (użat fil-kumplessità tal-komunikazzjoni), in-numru ta 'xtiebi f'ċirkwit (użat fil-kumplessi"&amp;"tà taċ-ċirkwit) u n-numru ta' proċessuri (użati fil-kompjuters paralleli). Wieħed mir-rwoli tat-teorija tal-kumplessità tal-komputazzjoni huwa li jiddetermina l-limiti prattiċi fuq dak li l-kompjuters jistgħu u ma jistgħux jagħmlu.")</f>
        <v>Problema hija meqjusa bħala inerenti diffiċli jekk is-soluzzjoni tagħha teħtieġ riżorsi sinifikanti, ikun xi jkun l-algoritmu użat. It-teorija tifformalizza din l-intwizzjoni, billi tintroduċi mudelli matematiċi ta 'komputazzjoni biex tistudja dawn il-problemi u tikkwantifika l-ammont ta' riżorsi meħtieġa biex issolvihom, bħal ħin u ħażna. Miżuri oħra ta 'kumplessità jintużaw ukoll, bħall-ammont ta' komunikazzjoni (użat fil-kumplessità tal-komunikazzjoni), in-numru ta 'xtiebi f'ċirkwit (użat fil-kumplessità taċ-ċirkwit) u n-numru ta' proċessuri (użati fil-kompjuters paralleli). Wieħed mir-rwoli tat-teorija tal-kumplessità tal-komputazzjoni huwa li jiddetermina l-limiti prattiċi fuq dak li l-kompjuters jistgħu u ma jistgħux jagħmlu.</v>
      </c>
    </row>
    <row r="6418" ht="15.75" customHeight="1">
      <c r="A6418" s="2" t="s">
        <v>6418</v>
      </c>
      <c r="B6418" s="2" t="str">
        <f>IFERROR(__xludf.DUMMYFUNCTION("GOOGLETRANSLATE(A6418, ""en"", ""mt"")"),"spiża għolja tal-mediċini")</f>
        <v>spiża għolja tal-mediċini</v>
      </c>
    </row>
    <row r="6419" ht="15.75" customHeight="1">
      <c r="A6419" s="2" t="s">
        <v>6419</v>
      </c>
      <c r="B6419" s="2" t="str">
        <f>IFERROR(__xludf.DUMMYFUNCTION("GOOGLETRANSLATE(A6419, ""en"", ""mt"")"),"L-akbar sors ta 'investiment dirett barrani")</f>
        <v>L-akbar sors ta 'investiment dirett barrani</v>
      </c>
    </row>
    <row r="6420" ht="15.75" customHeight="1">
      <c r="A6420" s="2" t="s">
        <v>6420</v>
      </c>
      <c r="B6420" s="2" t="str">
        <f>IFERROR(__xludf.DUMMYFUNCTION("GOOGLETRANSLATE(A6420, ""en"", ""mt"")"),"l- ""spin")</f>
        <v>l- "spin</v>
      </c>
    </row>
    <row r="6421" ht="15.75" customHeight="1">
      <c r="A6421" s="2" t="s">
        <v>6421</v>
      </c>
      <c r="B6421" s="2" t="str">
        <f>IFERROR(__xludf.DUMMYFUNCTION("GOOGLETRANSLATE(A6421, ""en"", ""mt"")"),"Liema snin raw l-iktar telf ta 'wirjiet qodma fl-arkivji tal-BBC?")</f>
        <v>Liema snin raw l-iktar telf ta 'wirjiet qodma fl-arkivji tal-BBC?</v>
      </c>
    </row>
    <row r="6422" ht="15.75" customHeight="1">
      <c r="A6422" s="2" t="s">
        <v>6422</v>
      </c>
      <c r="B6422" s="2" t="str">
        <f>IFERROR(__xludf.DUMMYFUNCTION("GOOGLETRANSLATE(A6422, ""en"", ""mt"")"),"Konċentrat o
2 se tippermetti li l-kombustjoni tipproċedi malajr u b'mod enerġetiku. Pajpijiet tal-azzar u bastimenti tal-ħażna użati biex jaħżnu u jittrasmettu kemm ossiġnu gassuż kif ukoll likwidu jaġixxu bħala fjuwil; u għalhekk id-disinn u l-manifattu"&amp;"ra ta 'o
2 sistemi jeħtieġ taħriġ speċjali biex jiżguraw li s-sorsi tat-tqabbid jiġu mminimizzati. In-nar li qatel l-ekwipaġġ ta 'Apollo 1 fit-test tal-pad tal-varar infirex daqshekk malajr minħabba li l-kapsula ġiet taħt pressjoni b'O pur
2 iżda bi ftit "&amp;"iktar mill-pressjoni atmosferika, minflok il-pressjoni normali ta '1⁄3 li kienet tintuża f'missjoni. [K]")</f>
        <v>Konċentrat o
2 se tippermetti li l-kombustjoni tipproċedi malajr u b'mod enerġetiku. Pajpijiet tal-azzar u bastimenti tal-ħażna użati biex jaħżnu u jittrasmettu kemm ossiġnu gassuż kif ukoll likwidu jaġixxu bħala fjuwil; u għalhekk id-disinn u l-manifattura ta 'o
2 sistemi jeħtieġ taħriġ speċjali biex jiżguraw li s-sorsi tat-tqabbid jiġu mminimizzati. In-nar li qatel l-ekwipaġġ ta 'Apollo 1 fit-test tal-pad tal-varar infirex daqshekk malajr minħabba li l-kapsula ġiet taħt pressjoni b'O pur
2 iżda bi ftit iktar mill-pressjoni atmosferika, minflok il-pressjoni normali ta '1⁄3 li kienet tintuża f'missjoni. [K]</v>
      </c>
    </row>
    <row r="6423" ht="15.75" customHeight="1">
      <c r="A6423" s="2" t="s">
        <v>6423</v>
      </c>
      <c r="B6423" s="2" t="str">
        <f>IFERROR(__xludf.DUMMYFUNCTION("GOOGLETRANSLATE(A6423, ""en"", ""mt"")"),"cangue, tip ta 'ħażniet portabbli")</f>
        <v>cangue, tip ta 'ħażniet portabbli</v>
      </c>
    </row>
    <row r="6424" ht="15.75" customHeight="1">
      <c r="A6424" s="2" t="s">
        <v>6424</v>
      </c>
      <c r="B6424" s="2" t="str">
        <f>IFERROR(__xludf.DUMMYFUNCTION("GOOGLETRANSLATE(A6424, ""en"", ""mt"")"),"Il-wiċċ ta 'barra jġorr ġeneralment tmien ringieli tal-moxt, imsejħa pjanċi tal-għawm, li jintużaw għall-għawm. Ir-ringieli huma orjentati biex jimxu minn ħdejn il-ħalq (l- ""arblu orali"") sat-tarf oppost (l- ""arblu aboral""), u huma spazjati ftit jew w"&amp;"isq indaqs madwar il-ġisem, għalkemm ix-xejriet tal-ispazjar ivarjaw skont l-ispeċi u f'ħafna mill-ispeċi Ir-ringieli tal-moxt jestendu biss parti mid-distanza mill-arblu aboral lejn il-ħalq. Il- ""pettnijiet"" (imsejħa wkoll ""ctenes"" jew ""pjanċi tal-m"&amp;"oxt"") jimxu madwar kull ringiela, u kull wieħed jikkonsisti f'eluf ta 'ċili mhux tas-soltu twal, sa 2 millimetri (0.079 in). B'differenza minn cilia konvenzjonali u flagella, li għandha struttura ta 'filament irranġata f'disinn ta' 9 + 2, dawn iċ-ċili hu"&amp;"ma rranġati f'disinn ta '9 + 3, fejn il-filament kompatt żejjed huwa suspettat li għandu funzjoni ta' sostenn. Dawn normalment jegħlbu sabiex il-puplesija tal-propulsjoni tkun 'il bogħod mill-ħalq, għalkemm jistgħu wkoll ibiddlu d-direzzjoni. Għalhekk cte"&amp;"nophores ġeneralment jgħumu fid-direzzjoni li fiha l-ħalq ikun qed jipponta, b'differenza mill-bram. Meta tipprova taħrab mill-predaturi, speċi waħda tista 'tħaffef għal sitt darbiet il-veloċità normali tagħha; Xi speċi oħra jdawru d-direzzjoni bħala part"&amp;"i mill-imġieba tal-ħarba tagħhom, billi jreġġgħu lura l-power puplesija tal-pjanċa tal-moxt.")</f>
        <v>Il-wiċċ ta 'barra jġorr ġeneralment tmien ringieli tal-moxt, imsejħa pjanċi tal-għawm, li jintużaw għall-għawm. Ir-ringieli huma orjentati biex jimxu minn ħdejn il-ħalq (l- "arblu orali") sat-tarf oppost (l- "arblu aboral"), u huma spazjati ftit jew wisq indaqs madwar il-ġisem, għalkemm ix-xejriet tal-ispazjar ivarjaw skont l-ispeċi u f'ħafna mill-ispeċi Ir-ringieli tal-moxt jestendu biss parti mid-distanza mill-arblu aboral lejn il-ħalq. Il- "pettnijiet" (imsejħa wkoll "ctenes" jew "pjanċi tal-moxt") jimxu madwar kull ringiela, u kull wieħed jikkonsisti f'eluf ta 'ċili mhux tas-soltu twal, sa 2 millimetri (0.079 in). B'differenza minn cilia konvenzjonali u flagella, li għandha struttura ta 'filament irranġata f'disinn ta' 9 + 2, dawn iċ-ċili huma rranġati f'disinn ta '9 + 3, fejn il-filament kompatt żejjed huwa suspettat li għandu funzjoni ta' sostenn. Dawn normalment jegħlbu sabiex il-puplesija tal-propulsjoni tkun 'il bogħod mill-ħalq, għalkemm jistgħu wkoll ibiddlu d-direzzjoni. Għalhekk ctenophores ġeneralment jgħumu fid-direzzjoni li fiha l-ħalq ikun qed jipponta, b'differenza mill-bram. Meta tipprova taħrab mill-predaturi, speċi waħda tista 'tħaffef għal sitt darbiet il-veloċità normali tagħha; Xi speċi oħra jdawru d-direzzjoni bħala parti mill-imġieba tal-ħarba tagħhom, billi jreġġgħu lura l-power puplesija tal-pjanċa tal-moxt.</v>
      </c>
    </row>
    <row r="6425" ht="15.75" customHeight="1">
      <c r="A6425" s="2" t="s">
        <v>6425</v>
      </c>
      <c r="B6425" s="2" t="str">
        <f>IFERROR(__xludf.DUMMYFUNCTION("GOOGLETRANSLATE(A6425, ""en"", ""mt"")"),"Liema qorti argumentat li t-Trattat ta 'Ruma ma waqqafx in-nazzjonaliżmu tal-enerġija?")</f>
        <v>Liema qorti argumentat li t-Trattat ta 'Ruma ma waqqafx in-nazzjonaliżmu tal-enerġija?</v>
      </c>
    </row>
    <row r="6426" ht="15.75" customHeight="1">
      <c r="A6426" s="2" t="s">
        <v>6426</v>
      </c>
      <c r="B6426" s="2" t="str">
        <f>IFERROR(__xludf.DUMMYFUNCTION("GOOGLETRANSLATE(A6426, ""en"", ""mt"")"),"Tressqu varjetà ta 'alternattivi għall-Y. Pestis. Twigg issuġġerixxa li l-kawża kienet forma ta 'antrax, u Norman Cantor (2001) ħasbu li setgħet kienet taħlita ta' antrax u pandemiċi oħra. Scott u Duncan argumentaw li l-pandemija kienet forma ta 'mard inf"&amp;"ettiv li jikkaratterizza bħala pesta emorraġika simili għall-Ebola. L-arkeologu Barney Sloane argumenta li m'hemmx biżżejjed evidenza ta 'l-estinzjoni ta' numru kbir ta 'firien fir-rekord arkeoloġiku tal-waterfront medjevali f'Londra u li l-pesta nfirxet "&amp;"malajr wisq biex tappoġġja t-teżi li l-Y. Pestis kien mifrux minn briegħed firien; Huwa jsostni li t-trasmissjoni kellha tkun persuna għal persuna. Madankollu, l-ebda soluzzjoni alternattiva waħda ma kisbet aċċettazzjoni mifruxa. Ħafna studjużi li jargume"&amp;"ntaw għall-Y. Pestis bħala l-aġent ewlieni tal-pandemija jissuġġerixxu li l-firxa u s-sintomi tagħha jistgħu jiġu spjegati permezz ta 'taħlita ta' pesta bubonika ma 'mard ieħor, inklużi tifus, ġidri u infezzjonijiet respiratorji. Minbarra l-infezzjoni bub"&amp;"onika, oħrajn jindikaw settiċemiċi addizzjonali (tip ta '""avvelenament fid-demm"") u pnewmononiċi (pesta fl-ajru li tattakka l-pulmuni quddiem il-bqija tal-ġisem) tifforma l-forom tal-pesta, li ttawwal it-tul ta' tifqigħ madwar l-istaġuni u jgħinu r-rata"&amp;" għolja ta 'mortalità u sintomi rreġistrati addizzjonali tagħha. Fl-2014, xjentisti bis-saħħa pubblika l-Ingilterra ħabbru r-riżultati ta 'eżami ta' 25 korp eżumat miż-żona ta 'Clerkenwell ta' Londra, kif ukoll ta 'testment irreġistrat f'Londra matul il-p"&amp;"erjodu, li appoġġjaw l-ipoteżi pnewmonika.")</f>
        <v>Tressqu varjetà ta 'alternattivi għall-Y. Pestis. Twigg issuġġerixxa li l-kawża kienet forma ta 'antrax, u Norman Cantor (2001) ħasbu li setgħet kienet taħlita ta' antrax u pandemiċi oħra. Scott u Duncan argumentaw li l-pandemija kienet forma ta 'mard infettiv li jikkaratterizza bħala pesta emorraġika simili għall-Ebola. L-arkeologu Barney Sloane argumenta li m'hemmx biżżejjed evidenza ta 'l-estinzjoni ta' numru kbir ta 'firien fir-rekord arkeoloġiku tal-waterfront medjevali f'Londra u li l-pesta nfirxet malajr wisq biex tappoġġja t-teżi li l-Y. Pestis kien mifrux minn briegħed firien; Huwa jsostni li t-trasmissjoni kellha tkun persuna għal persuna. Madankollu, l-ebda soluzzjoni alternattiva waħda ma kisbet aċċettazzjoni mifruxa. Ħafna studjużi li jargumentaw għall-Y. Pestis bħala l-aġent ewlieni tal-pandemija jissuġġerixxu li l-firxa u s-sintomi tagħha jistgħu jiġu spjegati permezz ta 'taħlita ta' pesta bubonika ma 'mard ieħor, inklużi tifus, ġidri u infezzjonijiet respiratorji. Minbarra l-infezzjoni bubonika, oħrajn jindikaw settiċemiċi addizzjonali (tip ta '"avvelenament fid-demm") u pnewmononiċi (pesta fl-ajru li tattakka l-pulmuni quddiem il-bqija tal-ġisem) tifforma l-forom tal-pesta, li ttawwal it-tul ta' tifqigħ madwar l-istaġuni u jgħinu r-rata għolja ta 'mortalità u sintomi rreġistrati addizzjonali tagħha. Fl-2014, xjentisti bis-saħħa pubblika l-Ingilterra ħabbru r-riżultati ta 'eżami ta' 25 korp eżumat miż-żona ta 'Clerkenwell ta' Londra, kif ukoll ta 'testment irreġistrat f'Londra matul il-perjodu, li appoġġjaw l-ipoteżi pnewmonika.</v>
      </c>
    </row>
    <row r="6427" ht="15.75" customHeight="1">
      <c r="A6427" s="2" t="s">
        <v>6427</v>
      </c>
      <c r="B6427" s="2" t="str">
        <f>IFERROR(__xludf.DUMMYFUNCTION("GOOGLETRANSLATE(A6427, ""en"", ""mt"")"),"Fejn jinsabu dawn id-digi?")</f>
        <v>Fejn jinsabu dawn id-digi?</v>
      </c>
    </row>
    <row r="6428" ht="15.75" customHeight="1">
      <c r="A6428" s="2" t="s">
        <v>6428</v>
      </c>
      <c r="B6428" s="2" t="str">
        <f>IFERROR(__xludf.DUMMYFUNCTION("GOOGLETRANSLATE(A6428, ""en"", ""mt"")"),"1569")</f>
        <v>1569</v>
      </c>
    </row>
    <row r="6429" ht="15.75" customHeight="1">
      <c r="A6429" s="2" t="s">
        <v>6429</v>
      </c>
      <c r="B6429" s="2" t="str">
        <f>IFERROR(__xludf.DUMMYFUNCTION("GOOGLETRANSLATE(A6429, ""en"", ""mt"")"),"ismijiet")</f>
        <v>ismijiet</v>
      </c>
    </row>
    <row r="6430" ht="15.75" customHeight="1">
      <c r="A6430" s="2" t="s">
        <v>6430</v>
      </c>
      <c r="B6430" s="2" t="str">
        <f>IFERROR(__xludf.DUMMYFUNCTION("GOOGLETRANSLATE(A6430, ""en"", ""mt"")"),"Kont epidemjoloġiku tal-pesta")</f>
        <v>Kont epidemjoloġiku tal-pesta</v>
      </c>
    </row>
    <row r="6431" ht="15.75" customHeight="1">
      <c r="A6431" s="2" t="s">
        <v>6431</v>
      </c>
      <c r="B6431" s="2" t="str">
        <f>IFERROR(__xludf.DUMMYFUNCTION("GOOGLETRANSLATE(A6431, ""en"", ""mt"")"),"Vojt")</f>
        <v>Vojt</v>
      </c>
    </row>
    <row r="6432" ht="15.75" customHeight="1">
      <c r="A6432" s="2" t="s">
        <v>6432</v>
      </c>
      <c r="B6432" s="2" t="str">
        <f>IFERROR(__xludf.DUMMYFUNCTION("GOOGLETRANSLATE(A6432, ""en"", ""mt"")"),"Beyoncé u Bruno Mars")</f>
        <v>Beyoncé u Bruno Mars</v>
      </c>
    </row>
    <row r="6433" ht="15.75" customHeight="1">
      <c r="A6433" s="2" t="s">
        <v>6433</v>
      </c>
      <c r="B6433" s="2" t="str">
        <f>IFERROR(__xludf.DUMMYFUNCTION("GOOGLETRANSLATE(A6433, ""en"", ""mt"")"),"monossidu tal-karbonju")</f>
        <v>monossidu tal-karbonju</v>
      </c>
    </row>
    <row r="6434" ht="15.75" customHeight="1">
      <c r="A6434" s="2" t="s">
        <v>6434</v>
      </c>
      <c r="B6434" s="2" t="str">
        <f>IFERROR(__xludf.DUMMYFUNCTION("GOOGLETRANSLATE(A6434, ""en"", ""mt"")"),"Mis-snin 1980, id-denominazzjonijiet tal-Knisja Luterana rrifjutaw id-dikjarazzjonijiet ta 'Martin Luther kontra l-Lhud u ċaħdu l-użu tagħhom biex jinċitaw il-mibegħda kontra l-Luterani. L-istħarriġ tal-1970 ta 'Strommen et al. 4,745 Luterani ta' l-Amerik"&amp;"a ta 'Fuq ta' bejn 15 u 65 sena sabu li, meta mqabbel mal-gruppi ta 'minoranza l-oħra taħt konsiderazzjoni, il-Luterani kienu l-inqas preġudikati lejn il-Lhud. Madankollu, il-Professur Richard (Dick) Geary, ex professur tal-istorja moderna fl-Università t"&amp;"a 'Nottingham, l-Ingilterra, u l-awtur ta' Hitler u Nazism (Routledge 1993), kiteb fil-ġurnal History Today artiklu dwar min ivvota għan-Nazi fl-elezzjonijiet Miżmum mill-1928-1933, fejn iddikjara li mir-riċerka tiegħu sab li n-Nazi kisbu voti sproporzjon"&amp;"alment aktar minn Protestanti minn żoni Kattoliċi tal-Ġermanja.")</f>
        <v>Mis-snin 1980, id-denominazzjonijiet tal-Knisja Luterana rrifjutaw id-dikjarazzjonijiet ta 'Martin Luther kontra l-Lhud u ċaħdu l-użu tagħhom biex jinċitaw il-mibegħda kontra l-Luterani. L-istħarriġ tal-1970 ta 'Strommen et al. 4,745 Luterani ta' l-Amerika ta 'Fuq ta' bejn 15 u 65 sena sabu li, meta mqabbel mal-gruppi ta 'minoranza l-oħra taħt konsiderazzjoni, il-Luterani kienu l-inqas preġudikati lejn il-Lhud. Madankollu, il-Professur Richard (Dick) Geary, ex professur tal-istorja moderna fl-Università ta 'Nottingham, l-Ingilterra, u l-awtur ta' Hitler u Nazism (Routledge 1993), kiteb fil-ġurnal History Today artiklu dwar min ivvota għan-Nazi fl-elezzjonijiet Miżmum mill-1928-1933, fejn iddikjara li mir-riċerka tiegħu sab li n-Nazi kisbu voti sproporzjonalment aktar minn Protestanti minn żoni Kattoliċi tal-Ġermanja.</v>
      </c>
    </row>
    <row r="6435" ht="15.75" customHeight="1">
      <c r="A6435" s="2" t="s">
        <v>6435</v>
      </c>
      <c r="B6435" s="2" t="str">
        <f>IFERROR(__xludf.DUMMYFUNCTION("GOOGLETRANSLATE(A6435, ""en"", ""mt"")"),"Matul l-1580s")</f>
        <v>Matul l-1580s</v>
      </c>
    </row>
    <row r="6436" ht="15.75" customHeight="1">
      <c r="A6436" s="2" t="s">
        <v>6436</v>
      </c>
      <c r="B6436" s="2" t="str">
        <f>IFERROR(__xludf.DUMMYFUNCTION("GOOGLETRANSLATE(A6436, ""en"", ""mt"")"),"Meta t-tliet tipi ta 'blat jiġu mdewweb mill-ġdid x'inhu ffurmat?")</f>
        <v>Meta t-tliet tipi ta 'blat jiġu mdewweb mill-ġdid x'inhu ffurmat?</v>
      </c>
    </row>
    <row r="6437" ht="15.75" customHeight="1">
      <c r="A6437" s="2" t="s">
        <v>6437</v>
      </c>
      <c r="B6437" s="2" t="str">
        <f>IFERROR(__xludf.DUMMYFUNCTION("GOOGLETRANSLATE(A6437, ""en"", ""mt"")"),"ħalla lil Graz u qatgħet ir-relazzjonijiet kollha mal-familja tiegħu")</f>
        <v>ħalla lil Graz u qatgħet ir-relazzjonijiet kollha mal-familja tiegħu</v>
      </c>
    </row>
    <row r="6438" ht="15.75" customHeight="1">
      <c r="A6438" s="2" t="s">
        <v>6438</v>
      </c>
      <c r="B6438" s="2" t="str">
        <f>IFERROR(__xludf.DUMMYFUNCTION("GOOGLETRANSLATE(A6438, ""en"", ""mt"")"),"Meta ġiet elenkata l-firxa tas-salarji valida għal (xahar u sena)?")</f>
        <v>Meta ġiet elenkata l-firxa tas-salarji valida għal (xahar u sena)?</v>
      </c>
    </row>
    <row r="6439" ht="15.75" customHeight="1">
      <c r="A6439" s="2" t="s">
        <v>6439</v>
      </c>
      <c r="B6439" s="2" t="str">
        <f>IFERROR(__xludf.DUMMYFUNCTION("GOOGLETRANSLATE(A6439, ""en"", ""mt"")"),"Kemm plejers offensivi mill-Panthers ġew magħżula biex jilagħbu fil-Pro Bowl?")</f>
        <v>Kemm plejers offensivi mill-Panthers ġew magħżula biex jilagħbu fil-Pro Bowl?</v>
      </c>
    </row>
    <row r="6440" ht="15.75" customHeight="1">
      <c r="A6440" s="2" t="s">
        <v>6440</v>
      </c>
      <c r="B6440" s="2" t="str">
        <f>IFERROR(__xludf.DUMMYFUNCTION("GOOGLETRANSLATE(A6440, ""en"", ""mt"")"),"Fuq il-kunsilli u l-knisja")</f>
        <v>Fuq il-kunsilli u l-knisja</v>
      </c>
    </row>
    <row r="6441" ht="15.75" customHeight="1">
      <c r="A6441" s="2" t="s">
        <v>6441</v>
      </c>
      <c r="B6441" s="2" t="str">
        <f>IFERROR(__xludf.DUMMYFUNCTION("GOOGLETRANSLATE(A6441, ""en"", ""mt"")"),"Min kanta l-innu nazzjonali?")</f>
        <v>Min kanta l-innu nazzjonali?</v>
      </c>
    </row>
    <row r="6442" ht="15.75" customHeight="1">
      <c r="A6442" s="2" t="s">
        <v>6442</v>
      </c>
      <c r="B6442" s="2" t="str">
        <f>IFERROR(__xludf.DUMMYFUNCTION("GOOGLETRANSLATE(A6442, ""en"", ""mt"")"),"Meta ġiet iffurmata l-UMC?")</f>
        <v>Meta ġiet iffurmata l-UMC?</v>
      </c>
    </row>
    <row r="6443" ht="15.75" customHeight="1">
      <c r="A6443" s="2" t="s">
        <v>6443</v>
      </c>
      <c r="B6443" s="2" t="str">
        <f>IFERROR(__xludf.DUMMYFUNCTION("GOOGLETRANSLATE(A6443, ""en"", ""mt"")"),"L-iktar tnaqqis użat komunement huwa tnaqqis fil-ħin polinomjali. Dan ifisser li l-proċess ta 'tnaqqis jieħu ħin polinomjali. Pereżempju, il-problema tal-kwadru ta 'numru sħiħ tista' titnaqqas għall-problema li timmultiplika żewġ numri interi. Dan ifisser"&amp;" algoritmu għall-immultiplikazzjoni ta 'żewġ numri interi jista' jintuża biex kwadru numru sħiħ. Tassew, dan jista 'jsir billi tingħata l-istess input għaż-żewġ inputs tal-algoritmu ta' multiplikazzjoni. Għalhekk naraw li l-kwadri mhuwiex iktar diffiċli m"&amp;"ill-multiplikazzjoni, peress li l-kwadri jista 'jitnaqqas għal multiplikazzjoni.")</f>
        <v>L-iktar tnaqqis użat komunement huwa tnaqqis fil-ħin polinomjali. Dan ifisser li l-proċess ta 'tnaqqis jieħu ħin polinomjali. Pereżempju, il-problema tal-kwadru ta 'numru sħiħ tista' titnaqqas għall-problema li timmultiplika żewġ numri interi. Dan ifisser algoritmu għall-immultiplikazzjoni ta 'żewġ numri interi jista' jintuża biex kwadru numru sħiħ. Tassew, dan jista 'jsir billi tingħata l-istess input għaż-żewġ inputs tal-algoritmu ta' multiplikazzjoni. Għalhekk naraw li l-kwadri mhuwiex iktar diffiċli mill-multiplikazzjoni, peress li l-kwadri jista 'jitnaqqas għal multiplikazzjoni.</v>
      </c>
    </row>
    <row r="6444" ht="15.75" customHeight="1">
      <c r="A6444" s="2" t="s">
        <v>6444</v>
      </c>
      <c r="B6444" s="2" t="str">
        <f>IFERROR(__xludf.DUMMYFUNCTION("GOOGLETRANSLATE(A6444, ""en"", ""mt"")"),"Liġi tal-Liġi")</f>
        <v>Liġi tal-Liġi</v>
      </c>
    </row>
    <row r="6445" ht="15.75" customHeight="1">
      <c r="A6445" s="2" t="s">
        <v>6445</v>
      </c>
      <c r="B6445" s="2" t="str">
        <f>IFERROR(__xludf.DUMMYFUNCTION("GOOGLETRANSLATE(A6445, ""en"", ""mt"")"),"Stress fuq ix-xogħol")</f>
        <v>Stress fuq ix-xogħol</v>
      </c>
    </row>
    <row r="6446" ht="15.75" customHeight="1">
      <c r="A6446" s="2" t="s">
        <v>6446</v>
      </c>
      <c r="B6446" s="2" t="str">
        <f>IFERROR(__xludf.DUMMYFUNCTION("GOOGLETRANSLATE(A6446, ""en"", ""mt"")"),"Dokumenti Xjentifiċi u Riżultati Dokumentati b'mod Indipendenti")</f>
        <v>Dokumenti Xjentifiċi u Riżultati Dokumentati b'mod Indipendenti</v>
      </c>
    </row>
    <row r="6447" ht="15.75" customHeight="1">
      <c r="A6447" s="2" t="s">
        <v>6447</v>
      </c>
      <c r="B6447" s="2" t="str">
        <f>IFERROR(__xludf.DUMMYFUNCTION("GOOGLETRANSLATE(A6447, ""en"", ""mt"")"),"ħin esponenzjali")</f>
        <v>ħin esponenzjali</v>
      </c>
    </row>
    <row r="6448" ht="15.75" customHeight="1">
      <c r="A6448" s="2" t="s">
        <v>6448</v>
      </c>
      <c r="B6448" s="2" t="str">
        <f>IFERROR(__xludf.DUMMYFUNCTION("GOOGLETRANSLATE(A6448, ""en"", ""mt"")"),"Ministri ta 'liema fidi ġew imħarrġa mill-università fis-snin bikrin?")</f>
        <v>Ministri ta 'liema fidi ġew imħarrġa mill-università fis-snin bikrin?</v>
      </c>
    </row>
    <row r="6449" ht="15.75" customHeight="1">
      <c r="A6449" s="2" t="s">
        <v>6449</v>
      </c>
      <c r="B6449" s="2" t="str">
        <f>IFERROR(__xludf.DUMMYFUNCTION("GOOGLETRANSLATE(A6449, ""en"", ""mt"")"),"Għal xiex qed jiġi kkumpensat triq waħda billi l-kumitati jservu rwol daqshekk kbir?")</f>
        <v>Għal xiex qed jiġi kkumpensat triq waħda billi l-kumitati jservu rwol daqshekk kbir?</v>
      </c>
    </row>
    <row r="6450" ht="15.75" customHeight="1">
      <c r="A6450" s="2" t="s">
        <v>6450</v>
      </c>
      <c r="B6450" s="2" t="str">
        <f>IFERROR(__xludf.DUMMYFUNCTION("GOOGLETRANSLATE(A6450, ""en"", ""mt"")"),"Kemm ilha ċ-ċaqliq u l-kummerċ liberu għall-iżvilupp Ewropew?")</f>
        <v>Kemm ilha ċ-ċaqliq u l-kummerċ liberu għall-iżvilupp Ewropew?</v>
      </c>
    </row>
    <row r="6451" ht="15.75" customHeight="1">
      <c r="A6451" s="2" t="s">
        <v>6451</v>
      </c>
      <c r="B6451" s="2" t="str">
        <f>IFERROR(__xludf.DUMMYFUNCTION("GOOGLETRANSLATE(A6451, ""en"", ""mt"")"),"Meta jkun mitluf wieħed")</f>
        <v>Meta jkun mitluf wieħed</v>
      </c>
    </row>
    <row r="6452" ht="15.75" customHeight="1">
      <c r="A6452" s="2" t="s">
        <v>6452</v>
      </c>
      <c r="B6452" s="2" t="str">
        <f>IFERROR(__xludf.DUMMYFUNCTION("GOOGLETRANSLATE(A6452, ""en"", ""mt"")"),"Daniel Burke")</f>
        <v>Daniel Burke</v>
      </c>
    </row>
    <row r="6453" ht="15.75" customHeight="1">
      <c r="A6453" s="2" t="s">
        <v>6453</v>
      </c>
      <c r="B6453" s="2" t="str">
        <f>IFERROR(__xludf.DUMMYFUNCTION("GOOGLETRANSLATE(A6453, ""en"", ""mt"")"),"Kemm xkejjer Derek Wolfe irreġistra?")</f>
        <v>Kemm xkejjer Derek Wolfe irreġistra?</v>
      </c>
    </row>
    <row r="6454" ht="15.75" customHeight="1">
      <c r="A6454" s="2" t="s">
        <v>6454</v>
      </c>
      <c r="B6454" s="2" t="str">
        <f>IFERROR(__xludf.DUMMYFUNCTION("GOOGLETRANSLATE(A6454, ""en"", ""mt"")"),"l-Iżraeljani")</f>
        <v>l-Iżraeljani</v>
      </c>
    </row>
    <row r="6455" ht="15.75" customHeight="1">
      <c r="A6455" s="2" t="s">
        <v>6455</v>
      </c>
      <c r="B6455" s="2" t="str">
        <f>IFERROR(__xludf.DUMMYFUNCTION("GOOGLETRANSLATE(A6455, ""en"", ""mt"")"),"Żewġ aġenziji pubbliċi, speċjalment żewġ fergħat ugwalment sovrani tal-gvern, kunflitti")</f>
        <v>Żewġ aġenziji pubbliċi, speċjalment żewġ fergħat ugwalment sovrani tal-gvern, kunflitti</v>
      </c>
    </row>
    <row r="6456" ht="15.75" customHeight="1">
      <c r="A6456" s="2" t="s">
        <v>6456</v>
      </c>
      <c r="B6456" s="2" t="str">
        <f>IFERROR(__xludf.DUMMYFUNCTION("GOOGLETRANSLATE(A6456, ""en"", ""mt"")"),"Min ivvinta l-ewwel reattur nukleari?")</f>
        <v>Min ivvinta l-ewwel reattur nukleari?</v>
      </c>
    </row>
    <row r="6457" ht="15.75" customHeight="1">
      <c r="A6457" s="2" t="s">
        <v>6457</v>
      </c>
      <c r="B6457" s="2" t="str">
        <f>IFERROR(__xludf.DUMMYFUNCTION("GOOGLETRANSLATE(A6457, ""en"", ""mt"")"),"Liema persentaġġ ta 'l-art ikklerjata fl-Amażonja tintuża għat-tkabbir tal-bhejjem?")</f>
        <v>Liema persentaġġ ta 'l-art ikklerjata fl-Amażonja tintuża għat-tkabbir tal-bhejjem?</v>
      </c>
    </row>
    <row r="6458" ht="15.75" customHeight="1">
      <c r="A6458" s="2" t="s">
        <v>6458</v>
      </c>
      <c r="B6458" s="2" t="str">
        <f>IFERROR(__xludf.DUMMYFUNCTION("GOOGLETRANSLATE(A6458, ""en"", ""mt"")"),"Mark Twain's")</f>
        <v>Mark Twain's</v>
      </c>
    </row>
    <row r="6459" ht="15.75" customHeight="1">
      <c r="A6459" s="2" t="s">
        <v>6459</v>
      </c>
      <c r="B6459" s="2" t="str">
        <f>IFERROR(__xludf.DUMMYFUNCTION("GOOGLETRANSLATE(A6459, ""en"", ""mt"")"),"Meta l-V &amp; A akkwistaw il-ġbir tal-kostruf?")</f>
        <v>Meta l-V &amp; A akkwistaw il-ġbir tal-kostruf?</v>
      </c>
    </row>
    <row r="6460" ht="15.75" customHeight="1">
      <c r="A6460" s="2" t="s">
        <v>6460</v>
      </c>
      <c r="B6460" s="2" t="str">
        <f>IFERROR(__xludf.DUMMYFUNCTION("GOOGLETRANSLATE(A6460, ""en"", ""mt"")"),"4.6 biljun sena")</f>
        <v>4.6 biljun sena</v>
      </c>
    </row>
    <row r="6461" ht="15.75" customHeight="1">
      <c r="A6461" s="2" t="s">
        <v>6461</v>
      </c>
      <c r="B6461" s="2" t="str">
        <f>IFERROR(__xludf.DUMMYFUNCTION("GOOGLETRANSLATE(A6461, ""en"", ""mt"")"),"studenti motivati")</f>
        <v>studenti motivati</v>
      </c>
    </row>
    <row r="6462" ht="15.75" customHeight="1">
      <c r="A6462" s="2" t="s">
        <v>6462</v>
      </c>
      <c r="B6462" s="2" t="str">
        <f>IFERROR(__xludf.DUMMYFUNCTION("GOOGLETRANSLATE(A6462, ""en"", ""mt"")"),"Radju ABC")</f>
        <v>Radju ABC</v>
      </c>
    </row>
    <row r="6463" ht="15.75" customHeight="1">
      <c r="A6463" s="2" t="s">
        <v>6463</v>
      </c>
      <c r="B6463" s="2" t="str">
        <f>IFERROR(__xludf.DUMMYFUNCTION("GOOGLETRANSLATE(A6463, ""en"", ""mt"")"),"forza dgħajfa")</f>
        <v>forza dgħajfa</v>
      </c>
    </row>
    <row r="6464" ht="15.75" customHeight="1">
      <c r="A6464" s="2" t="s">
        <v>6464</v>
      </c>
      <c r="B6464" s="2" t="str">
        <f>IFERROR(__xludf.DUMMYFUNCTION("GOOGLETRANSLATE(A6464, ""en"", ""mt"")"),"Storybook")</f>
        <v>Storybook</v>
      </c>
    </row>
    <row r="6465" ht="15.75" customHeight="1">
      <c r="A6465" s="2" t="s">
        <v>6465</v>
      </c>
      <c r="B6465" s="2" t="str">
        <f>IFERROR(__xludf.DUMMYFUNCTION("GOOGLETRANSLATE(A6465, ""en"", ""mt"")"),"Għaliex inħarġu r-rapporti speċjali tal-2011?")</f>
        <v>Għaliex inħarġu r-rapporti speċjali tal-2011?</v>
      </c>
    </row>
    <row r="6466" ht="15.75" customHeight="1">
      <c r="A6466" s="2" t="s">
        <v>6466</v>
      </c>
      <c r="B6466" s="2" t="str">
        <f>IFERROR(__xludf.DUMMYFUNCTION("GOOGLETRANSLATE(A6466, ""en"", ""mt"")"),"Jin Dynasty")</f>
        <v>Jin Dynasty</v>
      </c>
    </row>
    <row r="6467" ht="15.75" customHeight="1">
      <c r="A6467" s="2" t="s">
        <v>6467</v>
      </c>
      <c r="B6467" s="2" t="str">
        <f>IFERROR(__xludf.DUMMYFUNCTION("GOOGLETRANSLATE(A6467, ""en"", ""mt"")"),"X'inhu l-isem tal-President tal-Bord tal-Fiduċjarji?")</f>
        <v>X'inhu l-isem tal-President tal-Bord tal-Fiduċjarji?</v>
      </c>
    </row>
    <row r="6468" ht="15.75" customHeight="1">
      <c r="A6468" s="2" t="s">
        <v>6468</v>
      </c>
      <c r="B6468" s="2" t="str">
        <f>IFERROR(__xludf.DUMMYFUNCTION("GOOGLETRANSLATE(A6468, ""en"", ""mt"")"),"L-ossiġnu huwa preżenti fl-atmosfera fi kwantitajiet ta 'traċċa fil-forma ta' dijossidu tal-karbonju (CO
2). Il-blat tal-qoxra tad-Dinja huwa magħmul f'parti kbira ta 'ossidi tas-silikon (Silica Sio
2, kif misjub fil-granit u l-kwarz), aluminju (ossidu ta"&amp;"l-aluminju al
2o
3, fil-bauxite u l-kurundun), ħadid (ħadid (iii) ossidu Fe
2o
3, fl-ematite u s-sadid), u karbonat tal-kalċju (fil-franka). Il-kumplament tal-qoxra tad-dinja huwa magħmul ukoll minn komposti ta 'ossiġnu, b'mod partikolari diversi silikati"&amp;" kumplessi (f'minerali tas-silikat). Il-mantell tad-Dinja, ta 'massa ferm akbar mill-qoxra, huwa magħmul fil-biċċa l-kbira minn silikati ta' manjeżju u ħadid.")</f>
        <v>L-ossiġnu huwa preżenti fl-atmosfera fi kwantitajiet ta 'traċċa fil-forma ta' dijossidu tal-karbonju (CO
2). Il-blat tal-qoxra tad-Dinja huwa magħmul f'parti kbira ta 'ossidi tas-silikon (Silica Sio
2, kif misjub fil-granit u l-kwarz), aluminju (ossidu tal-aluminju al
2o
3, fil-bauxite u l-kurundun), ħadid (ħadid (iii) ossidu Fe
2o
3, fl-ematite u s-sadid), u karbonat tal-kalċju (fil-franka). Il-kumplament tal-qoxra tad-dinja huwa magħmul ukoll minn komposti ta 'ossiġnu, b'mod partikolari diversi silikati kumplessi (f'minerali tas-silikat). Il-mantell tad-Dinja, ta 'massa ferm akbar mill-qoxra, huwa magħmul fil-biċċa l-kbira minn silikati ta' manjeżju u ħadid.</v>
      </c>
    </row>
    <row r="6469" ht="15.75" customHeight="1">
      <c r="A6469" s="2" t="s">
        <v>6469</v>
      </c>
      <c r="B6469" s="2" t="str">
        <f>IFERROR(__xludf.DUMMYFUNCTION("GOOGLETRANSLATE(A6469, ""en"", ""mt"")"),"Qara Khitai, Kawkasu, Imperu Khwarezmid, XIA tal-Punent u Jin Dynasties")</f>
        <v>Qara Khitai, Kawkasu, Imperu Khwarezmid, XIA tal-Punent u Jin Dynasties</v>
      </c>
    </row>
    <row r="6470" ht="15.75" customHeight="1">
      <c r="A6470" s="2" t="s">
        <v>6470</v>
      </c>
      <c r="B6470" s="2" t="str">
        <f>IFERROR(__xludf.DUMMYFUNCTION("GOOGLETRANSLATE(A6470, ""en"", ""mt"")"),"X'inhu 565 ° C il-limitu ta 'creep?")</f>
        <v>X'inhu 565 ° C il-limitu ta 'creep?</v>
      </c>
    </row>
    <row r="6471" ht="15.75" customHeight="1">
      <c r="A6471" s="2" t="s">
        <v>6471</v>
      </c>
      <c r="B6471" s="2" t="str">
        <f>IFERROR(__xludf.DUMMYFUNCTION("GOOGLETRANSLATE(A6471, ""en"", ""mt"")"),"X'jimbotta n-negozji biex iżidu l-pressjonijiet fuq il-ħaddiema?")</f>
        <v>X'jimbotta n-negozji biex iżidu l-pressjonijiet fuq il-ħaddiema?</v>
      </c>
    </row>
    <row r="6472" ht="15.75" customHeight="1">
      <c r="A6472" s="2" t="s">
        <v>6472</v>
      </c>
      <c r="B6472" s="2" t="str">
        <f>IFERROR(__xludf.DUMMYFUNCTION("GOOGLETRANSLATE(A6472, ""en"", ""mt"")"),"Il-klijent tal-perit u l-kuntrattur ewlieni")</f>
        <v>Il-klijent tal-perit u l-kuntrattur ewlieni</v>
      </c>
    </row>
    <row r="6473" ht="15.75" customHeight="1">
      <c r="A6473" s="2" t="s">
        <v>6473</v>
      </c>
      <c r="B6473" s="2" t="str">
        <f>IFERROR(__xludf.DUMMYFUNCTION("GOOGLETRANSLATE(A6473, ""en"", ""mt"")"),"X'inhi problema waħda bl-ispiżeriji tal-internet?")</f>
        <v>X'inhi problema waħda bl-ispiżeriji tal-internet?</v>
      </c>
    </row>
    <row r="6474" ht="15.75" customHeight="1">
      <c r="A6474" s="2" t="s">
        <v>6474</v>
      </c>
      <c r="B6474" s="2" t="str">
        <f>IFERROR(__xludf.DUMMYFUNCTION("GOOGLETRANSLATE(A6474, ""en"", ""mt"")"),"varjetà wiesgħa ta 'aġenti, magħrufa bħala patoġeni, minn viruses għal dud parassitiku")</f>
        <v>varjetà wiesgħa ta 'aġenti, magħrufa bħala patoġeni, minn viruses għal dud parassitiku</v>
      </c>
    </row>
    <row r="6475" ht="15.75" customHeight="1">
      <c r="A6475" s="2" t="s">
        <v>6475</v>
      </c>
      <c r="B6475" s="2" t="str">
        <f>IFERROR(__xludf.DUMMYFUNCTION("GOOGLETRANSLATE(A6475, ""en"", ""mt"")"),"ippubblikat l-ewwel")</f>
        <v>ippubblikat l-ewwel</v>
      </c>
    </row>
    <row r="6476" ht="15.75" customHeight="1">
      <c r="A6476" s="2" t="s">
        <v>6476</v>
      </c>
      <c r="B6476" s="2" t="str">
        <f>IFERROR(__xludf.DUMMYFUNCTION("GOOGLETRANSLATE(A6476, ""en"", ""mt"")"),"Fuq kampus ta '358-acre (145 ha)")</f>
        <v>Fuq kampus ta '358-acre (145 ha)</v>
      </c>
    </row>
    <row r="6477" ht="15.75" customHeight="1">
      <c r="A6477" s="2" t="s">
        <v>6477</v>
      </c>
      <c r="B6477" s="2" t="str">
        <f>IFERROR(__xludf.DUMMYFUNCTION("GOOGLETRANSLATE(A6477, ""en"", ""mt"")"),"Meta Iqbal ippromwova ideat ta 'għaqda politika Iżlamika akbar, x'ħeġġeġ li jispiċċa?")</f>
        <v>Meta Iqbal ippromwova ideat ta 'għaqda politika Iżlamika akbar, x'ħeġġeġ li jispiċċa?</v>
      </c>
    </row>
    <row r="6478" ht="15.75" customHeight="1">
      <c r="A6478" s="2" t="s">
        <v>6478</v>
      </c>
      <c r="B6478" s="2" t="str">
        <f>IFERROR(__xludf.DUMMYFUNCTION("GOOGLETRANSLATE(A6478, ""en"", ""mt"")"),"Xi joħolqu s-sistemi ta 'fotosintesi li jagħmlu ħsara?")</f>
        <v>Xi joħolqu s-sistemi ta 'fotosintesi li jagħmlu ħsara?</v>
      </c>
    </row>
    <row r="6479" ht="15.75" customHeight="1">
      <c r="A6479" s="2" t="s">
        <v>6479</v>
      </c>
      <c r="B6479" s="2" t="str">
        <f>IFERROR(__xludf.DUMMYFUNCTION("GOOGLETRANSLATE(A6479, ""en"", ""mt"")"),"Super Bowl XLVIII")</f>
        <v>Super Bowl XLVIII</v>
      </c>
    </row>
    <row r="6480" ht="15.75" customHeight="1">
      <c r="A6480" s="2" t="s">
        <v>6480</v>
      </c>
      <c r="B6480" s="2" t="str">
        <f>IFERROR(__xludf.DUMMYFUNCTION("GOOGLETRANSLATE(A6480, ""en"", ""mt"")"),"il-Koran")</f>
        <v>il-Koran</v>
      </c>
    </row>
    <row r="6481" ht="15.75" customHeight="1">
      <c r="A6481" s="2" t="s">
        <v>6481</v>
      </c>
      <c r="B6481" s="2" t="str">
        <f>IFERROR(__xludf.DUMMYFUNCTION("GOOGLETRANSLATE(A6481, ""en"", ""mt"")"),"Grissom, White, u Chaffee")</f>
        <v>Grissom, White, u Chaffee</v>
      </c>
    </row>
    <row r="6482" ht="15.75" customHeight="1">
      <c r="A6482" s="2" t="s">
        <v>6482</v>
      </c>
      <c r="B6482" s="2" t="str">
        <f>IFERROR(__xludf.DUMMYFUNCTION("GOOGLETRANSLATE(A6482, ""en"", ""mt"")"),"Robert Underwood Johnson")</f>
        <v>Robert Underwood Johnson</v>
      </c>
    </row>
    <row r="6483" ht="15.75" customHeight="1">
      <c r="A6483" s="2" t="s">
        <v>6483</v>
      </c>
      <c r="B6483" s="2" t="str">
        <f>IFERROR(__xludf.DUMMYFUNCTION("GOOGLETRANSLATE(A6483, ""en"", ""mt"")"),"Liema alumni kiteb ""L-Għeluq tal-Mind Amerikan""?")</f>
        <v>Liema alumni kiteb "L-Għeluq tal-Mind Amerikan"?</v>
      </c>
    </row>
    <row r="6484" ht="15.75" customHeight="1">
      <c r="A6484" s="2" t="s">
        <v>6484</v>
      </c>
      <c r="B6484" s="2" t="str">
        <f>IFERROR(__xludf.DUMMYFUNCTION("GOOGLETRANSLATE(A6484, ""en"", ""mt"")"),"Liema tribujiet għaqdu Genghis Khan?")</f>
        <v>Liema tribujiet għaqdu Genghis Khan?</v>
      </c>
    </row>
    <row r="6485" ht="15.75" customHeight="1">
      <c r="A6485" s="2" t="s">
        <v>6485</v>
      </c>
      <c r="B6485" s="2" t="str">
        <f>IFERROR(__xludf.DUMMYFUNCTION("GOOGLETRANSLATE(A6485, ""en"", ""mt"")"),"Liema kwistjoni kienet qed ibati l-moviment tad-diżubbidjenza ċivili.")</f>
        <v>Liema kwistjoni kienet qed ibati l-moviment tad-diżubbidjenza ċivili.</v>
      </c>
    </row>
    <row r="6486" ht="15.75" customHeight="1">
      <c r="A6486" s="2" t="s">
        <v>6486</v>
      </c>
      <c r="B6486" s="2" t="str">
        <f>IFERROR(__xludf.DUMMYFUNCTION("GOOGLETRANSLATE(A6486, ""en"", ""mt"")"),"Mickey Smith (Noel Clarke) u Jack Harkness (John Barrowman)")</f>
        <v>Mickey Smith (Noel Clarke) u Jack Harkness (John Barrowman)</v>
      </c>
    </row>
    <row r="6487" ht="15.75" customHeight="1">
      <c r="A6487" s="2" t="s">
        <v>6487</v>
      </c>
      <c r="B6487" s="2" t="str">
        <f>IFERROR(__xludf.DUMMYFUNCTION("GOOGLETRANSLATE(A6487, ""en"", ""mt"")"),"Minbarra r-radikali ma 'Luther ieħor kellu jittratta?")</f>
        <v>Minbarra r-radikali ma 'Luther ieħor kellu jittratta?</v>
      </c>
    </row>
    <row r="6488" ht="15.75" customHeight="1">
      <c r="A6488" s="2" t="s">
        <v>6488</v>
      </c>
      <c r="B6488" s="2" t="str">
        <f>IFERROR(__xludf.DUMMYFUNCTION("GOOGLETRANSLATE(A6488, ""en"", ""mt"")"),"Liema arkeologu magħruf emmen li l-Amażonja ma kellhiex ħafna abitanti?")</f>
        <v>Liema arkeologu magħruf emmen li l-Amażonja ma kellhiex ħafna abitanti?</v>
      </c>
    </row>
    <row r="6489" ht="15.75" customHeight="1">
      <c r="A6489" s="2" t="s">
        <v>6489</v>
      </c>
      <c r="B6489" s="2" t="str">
        <f>IFERROR(__xludf.DUMMYFUNCTION("GOOGLETRANSLATE(A6489, ""en"", ""mt"")"),"L-Iżvezja v. Ir-Russja u l-Alleati")</f>
        <v>L-Iżvezja v. Ir-Russja u l-Alleati</v>
      </c>
    </row>
    <row r="6490" ht="15.75" customHeight="1">
      <c r="A6490" s="2" t="s">
        <v>6490</v>
      </c>
      <c r="B6490" s="2" t="str">
        <f>IFERROR(__xludf.DUMMYFUNCTION("GOOGLETRANSLATE(A6490, ""en"", ""mt"")"),"Ralph Nelson")</f>
        <v>Ralph Nelson</v>
      </c>
    </row>
    <row r="6491" ht="15.75" customHeight="1">
      <c r="A6491" s="2" t="s">
        <v>6491</v>
      </c>
      <c r="B6491" s="2" t="str">
        <f>IFERROR(__xludf.DUMMYFUNCTION("GOOGLETRANSLATE(A6491, ""en"", ""mt"")"),"bejn 96,660 u 128,843")</f>
        <v>bejn 96,660 u 128,843</v>
      </c>
    </row>
    <row r="6492" ht="15.75" customHeight="1">
      <c r="A6492" s="2" t="s">
        <v>6492</v>
      </c>
      <c r="B6492" s="2" t="str">
        <f>IFERROR(__xludf.DUMMYFUNCTION("GOOGLETRANSLATE(A6492, ""en"", ""mt"")"),"In-numru totali ta 'siġġijiet fil-Parlament huma allokati lill-partijiet proporzjonalment man-numru ta' voti riċevuti fit-tieni vot tal-votazzjoni bl-użu tal-metodu D'Hondt. Pereżempju, biex jiġi ddeterminat min jingħata l-ewwel sedil tal-lista, in-numru "&amp;"ta 'voti tal-lista mitfugħa għal kull parti huwa maqsum minn wieħed flimkien mal-għadd ta' siġġijiet li l-partit rebaħ fir-reġjun (f'dan il-punt biss siġġijiet ta 'kostitwenza). Il-partit bl-ogħla kwozjent jingħata s-sedil, li mbagħad jiġi miżjud mas-siġġ"&amp;"ijiet tal-kostitwenza tiegħu fl-allokazzjoni tat-tieni siġġu. Dan huwa ripetut b'mod iterattiv sakemm is-siġġijiet kollha tal-lista disponibbli jiġu allokati.")</f>
        <v>In-numru totali ta 'siġġijiet fil-Parlament huma allokati lill-partijiet proporzjonalment man-numru ta' voti riċevuti fit-tieni vot tal-votazzjoni bl-użu tal-metodu D'Hondt. Pereżempju, biex jiġi ddeterminat min jingħata l-ewwel sedil tal-lista, in-numru ta 'voti tal-lista mitfugħa għal kull parti huwa maqsum minn wieħed flimkien mal-għadd ta' siġġijiet li l-partit rebaħ fir-reġjun (f'dan il-punt biss siġġijiet ta 'kostitwenza). Il-partit bl-ogħla kwozjent jingħata s-sedil, li mbagħad jiġi miżjud mas-siġġijiet tal-kostitwenza tiegħu fl-allokazzjoni tat-tieni siġġu. Dan huwa ripetut b'mod iterattiv sakemm is-siġġijiet kollha tal-lista disponibbli jiġu allokati.</v>
      </c>
    </row>
    <row r="6493" ht="15.75" customHeight="1">
      <c r="A6493" s="2" t="s">
        <v>6493</v>
      </c>
      <c r="B6493" s="2" t="str">
        <f>IFERROR(__xludf.DUMMYFUNCTION("GOOGLETRANSLATE(A6493, ""en"", ""mt"")"),"Fejn Tesla fittxet investituri qabel id-WWI?")</f>
        <v>Fejn Tesla fittxet investituri qabel id-WWI?</v>
      </c>
    </row>
    <row r="6494" ht="15.75" customHeight="1">
      <c r="A6494" s="2" t="s">
        <v>6494</v>
      </c>
      <c r="B6494" s="2" t="str">
        <f>IFERROR(__xludf.DUMMYFUNCTION("GOOGLETRANSLATE(A6494, ""en"", ""mt"")"),"Għalkemm il-biċċa l-kbira mhumiex allinjati, uħud mill-iskejjel indipendenti l-aktar magħrufa jappartjenu wkoll għall-pedamenti reliġjużi l-kbar li ilhom stabbiliti, bħall-Knisja Anglikana, l-għaqda tal-Knisja u l-Knisja Presbiterjana, iżda f'ħafna każiji"&amp;"et, ma jinsistux fuq l-istudenti tagħhom 'lealtà reliġjuża. Dawn l-iskejjel huma tipikament meqjusa bħala 'skejjel elite'. Ħafna mill- ""iskejjel tal-grammatika"" jaqgħu wkoll f'din il-kategorija. Normalment huma skejjel għaljin li għandhom it-tendenza li"&amp;" jkunu fis-suq u fl-istil tradizzjonali, xi skejjel Kattoliċi jaqgħu f'din il-kategorija wkoll, p.e. St Joseph's College, Gregory Terrace, Saint Injatius 'College, Riverview, St Gregory's College, Campbelltown, St Aloysius' College (Sydney) u St Joseph's "&amp;"College, Hunters Hill, kif ukoll Loreto Kirribilli, Monte Sant Angelo Mercy College, St Ursula College, College's u Loreto Normanhurst għall-bniet.")</f>
        <v>Għalkemm il-biċċa l-kbira mhumiex allinjati, uħud mill-iskejjel indipendenti l-aktar magħrufa jappartjenu wkoll għall-pedamenti reliġjużi l-kbar li ilhom stabbiliti, bħall-Knisja Anglikana, l-għaqda tal-Knisja u l-Knisja Presbiterjana, iżda f'ħafna każijiet, ma jinsistux fuq l-istudenti tagħhom 'lealtà reliġjuża. Dawn l-iskejjel huma tipikament meqjusa bħala 'skejjel elite'. Ħafna mill- "iskejjel tal-grammatika" jaqgħu wkoll f'din il-kategorija. Normalment huma skejjel għaljin li għandhom it-tendenza li jkunu fis-suq u fl-istil tradizzjonali, xi skejjel Kattoliċi jaqgħu f'din il-kategorija wkoll, p.e. St Joseph's College, Gregory Terrace, Saint Injatius 'College, Riverview, St Gregory's College, Campbelltown, St Aloysius' College (Sydney) u St Joseph's College, Hunters Hill, kif ukoll Loreto Kirribilli, Monte Sant Angelo Mercy College, St Ursula College, College's u Loreto Normanhurst għall-bniet.</v>
      </c>
    </row>
    <row r="6495" ht="15.75" customHeight="1">
      <c r="A6495" s="2" t="s">
        <v>6495</v>
      </c>
      <c r="B6495" s="2" t="str">
        <f>IFERROR(__xludf.DUMMYFUNCTION("GOOGLETRANSLATE(A6495, ""en"", ""mt"")"),"Bosta strutturi tal-proġett jistgħu jgħinu lis-sid f'din l-integrazzjoni, inklużi l-bini tad-disinn, is-sħubija u l-ġestjoni tal-kostruzzjoni. B'mod ġenerali, kull waħda minn dawn l-istrutturi tal-proġett tippermetti lis-sid jintegra s-servizzi ta 'periti"&amp;", disinjaturi interni, inġiniera u kostrutturi matul id-disinn u l-kostruzzjoni. Bi tweġiba, ħafna kumpaniji qed jikbru lil hinn mill-offerti tradizzjonali tad-disinn jew servizzi ta 'kostruzzjoni waħedhom u qed ipoġġu aktar enfasi fuq l-istabbiliment ta'"&amp;" relazzjonijiet ma 'parteċipanti oħra meħtieġa permezz tal-proċess tal-bini tad-disinn.")</f>
        <v>Bosta strutturi tal-proġett jistgħu jgħinu lis-sid f'din l-integrazzjoni, inklużi l-bini tad-disinn, is-sħubija u l-ġestjoni tal-kostruzzjoni. B'mod ġenerali, kull waħda minn dawn l-istrutturi tal-proġett tippermetti lis-sid jintegra s-servizzi ta 'periti, disinjaturi interni, inġiniera u kostrutturi matul id-disinn u l-kostruzzjoni. Bi tweġiba, ħafna kumpaniji qed jikbru lil hinn mill-offerti tradizzjonali tad-disinn jew servizzi ta 'kostruzzjoni waħedhom u qed ipoġġu aktar enfasi fuq l-istabbiliment ta' relazzjonijiet ma 'parteċipanti oħra meħtieġa permezz tal-proċess tal-bini tad-disinn.</v>
      </c>
    </row>
    <row r="6496" ht="15.75" customHeight="1">
      <c r="A6496" s="2" t="s">
        <v>6496</v>
      </c>
      <c r="B6496" s="2" t="str">
        <f>IFERROR(__xludf.DUMMYFUNCTION("GOOGLETRANSLATE(A6496, ""en"", ""mt"")"),"Vjaġġi ta 'Marco Polo")</f>
        <v>Vjaġġi ta 'Marco Polo</v>
      </c>
    </row>
    <row r="6497" ht="15.75" customHeight="1">
      <c r="A6497" s="2" t="s">
        <v>6497</v>
      </c>
      <c r="B6497" s="2" t="str">
        <f>IFERROR(__xludf.DUMMYFUNCTION("GOOGLETRANSLATE(A6497, ""en"", ""mt"")"),"Kemm uffiċjali tal-belt ġew akkużati minħabba korruzzjoni?")</f>
        <v>Kemm uffiċjali tal-belt ġew akkużati minħabba korruzzjoni?</v>
      </c>
    </row>
    <row r="6498" ht="15.75" customHeight="1">
      <c r="A6498" s="2" t="s">
        <v>6498</v>
      </c>
      <c r="B6498" s="2" t="str">
        <f>IFERROR(__xludf.DUMMYFUNCTION("GOOGLETRANSLATE(A6498, ""en"", ""mt"")"),"It-test tal-plugs-out beda filgħodu tas-27 ta 'Jannar, 1967, u immedjatament kien ibati bi problemi. L-ewwel l-ekwipaġġ innota riħa stramba fl-ispazji tagħhom, li ttardjaw is-siġillar tal-bokkaport. Imbagħad, problemi ta 'komunikazzjoni frustraw lill-astr"&amp;"onawti u ġiegħlu istiva fil-countdown simulat. Matul din l-istiva, nar elettriku beda fil-kabina, u nfirex malajr fil-pressjoni għolja, 100% atmosfera ta 'ossiġnu. Il-pressjoni żdiedet biżżejjed min-nar li l-kabina faqqgħet u n-nar faqqa 'fuq iż-żona tal-"&amp;"kuxxinett, u tentattivi frustranti biex isalvaw l-ekwipaġġ. L-astronawti ġew asfissjati qabel ma setgħet tinfetaħ il-bokkaporti.")</f>
        <v>It-test tal-plugs-out beda filgħodu tas-27 ta 'Jannar, 1967, u immedjatament kien ibati bi problemi. L-ewwel l-ekwipaġġ innota riħa stramba fl-ispazji tagħhom, li ttardjaw is-siġillar tal-bokkaport. Imbagħad, problemi ta 'komunikazzjoni frustraw lill-astronawti u ġiegħlu istiva fil-countdown simulat. Matul din l-istiva, nar elettriku beda fil-kabina, u nfirex malajr fil-pressjoni għolja, 100% atmosfera ta 'ossiġnu. Il-pressjoni żdiedet biżżejjed min-nar li l-kabina faqqgħet u n-nar faqqa 'fuq iż-żona tal-kuxxinett, u tentattivi frustranti biex isalvaw l-ekwipaġġ. L-astronawti ġew asfissjati qabel ma setgħet tinfetaħ il-bokkaporti.</v>
      </c>
    </row>
    <row r="6499" ht="15.75" customHeight="1">
      <c r="A6499" s="2" t="s">
        <v>6499</v>
      </c>
      <c r="B6499" s="2" t="str">
        <f>IFERROR(__xludf.DUMMYFUNCTION("GOOGLETRANSLATE(A6499, ""en"", ""mt"")"),"Fil-klassijiet ta 'konferma u preparazzjoni tas-sħubija,")</f>
        <v>Fil-klassijiet ta 'konferma u preparazzjoni tas-sħubija,</v>
      </c>
    </row>
    <row r="6500" ht="15.75" customHeight="1">
      <c r="A6500" s="2" t="s">
        <v>6500</v>
      </c>
      <c r="B6500" s="2" t="str">
        <f>IFERROR(__xludf.DUMMYFUNCTION("GOOGLETRANSLATE(A6500, ""en"", ""mt"")"),"Fejn tinsab l-eqdem blat magħruf fid-dinja?")</f>
        <v>Fejn tinsab l-eqdem blat magħruf fid-dinja?</v>
      </c>
    </row>
    <row r="6501" ht="15.75" customHeight="1">
      <c r="A6501" s="2" t="s">
        <v>6501</v>
      </c>
      <c r="B6501" s="2" t="str">
        <f>IFERROR(__xludf.DUMMYFUNCTION("GOOGLETRANSLATE(A6501, ""en"", ""mt"")"),"Spazjali Ġenesi")</f>
        <v>Spazjali Ġenesi</v>
      </c>
    </row>
    <row r="6502" ht="15.75" customHeight="1">
      <c r="A6502" s="2" t="s">
        <v>6502</v>
      </c>
      <c r="B6502" s="2" t="str">
        <f>IFERROR(__xludf.DUMMYFUNCTION("GOOGLETRANSLATE(A6502, ""en"", ""mt"")"),"Klima tropikali sħuna u umda fuq il-kosta tal-Oċean Indjan tagħha")</f>
        <v>Klima tropikali sħuna u umda fuq il-kosta tal-Oċean Indjan tagħha</v>
      </c>
    </row>
    <row r="6503" ht="15.75" customHeight="1">
      <c r="A6503" s="2" t="s">
        <v>6503</v>
      </c>
      <c r="B6503" s="2" t="str">
        <f>IFERROR(__xludf.DUMMYFUNCTION("GOOGLETRANSLATE(A6503, ""en"", ""mt"")"),"figuri mill-kleru")</f>
        <v>figuri mill-kleru</v>
      </c>
    </row>
    <row r="6504" ht="15.75" customHeight="1">
      <c r="A6504" s="2" t="s">
        <v>6504</v>
      </c>
      <c r="B6504" s="2" t="str">
        <f>IFERROR(__xludf.DUMMYFUNCTION("GOOGLETRANSLATE(A6504, ""en"", ""mt"")"),"Kumpanija Ohio")</f>
        <v>Kumpanija Ohio</v>
      </c>
    </row>
    <row r="6505" ht="15.75" customHeight="1">
      <c r="A6505" s="2" t="s">
        <v>6505</v>
      </c>
      <c r="B6505" s="2" t="str">
        <f>IFERROR(__xludf.DUMMYFUNCTION("GOOGLETRANSLATE(A6505, ""en"", ""mt"")"),"fehim intuwittiv")</f>
        <v>fehim intuwittiv</v>
      </c>
    </row>
    <row r="6506" ht="15.75" customHeight="1">
      <c r="A6506" s="2" t="s">
        <v>6506</v>
      </c>
      <c r="B6506" s="2" t="str">
        <f>IFERROR(__xludf.DUMMYFUNCTION("GOOGLETRANSLATE(A6506, ""en"", ""mt"")"),"bagħat lil John Bradstreet fuq spedizzjoni li qered b'suċċess Fort Frontenac")</f>
        <v>bagħat lil John Bradstreet fuq spedizzjoni li qered b'suċċess Fort Frontenac</v>
      </c>
    </row>
    <row r="6507" ht="15.75" customHeight="1">
      <c r="A6507" s="2" t="s">
        <v>6507</v>
      </c>
      <c r="B6507" s="2" t="str">
        <f>IFERROR(__xludf.DUMMYFUNCTION("GOOGLETRANSLATE(A6507, ""en"", ""mt"")"),"l-Armata l-Ħamra")</f>
        <v>l-Armata l-Ħamra</v>
      </c>
    </row>
    <row r="6508" ht="15.75" customHeight="1">
      <c r="A6508" s="2" t="s">
        <v>6508</v>
      </c>
      <c r="B6508" s="2" t="str">
        <f>IFERROR(__xludf.DUMMYFUNCTION("GOOGLETRANSLATE(A6508, ""en"", ""mt"")"),"1754-1763")</f>
        <v>1754-1763</v>
      </c>
    </row>
    <row r="6509" ht="15.75" customHeight="1">
      <c r="A6509" s="2" t="s">
        <v>6509</v>
      </c>
      <c r="B6509" s="2" t="str">
        <f>IFERROR(__xludf.DUMMYFUNCTION("GOOGLETRANSLATE(A6509, ""en"", ""mt"")"),"Lil min RCA ta l-bejgħ ta 'NBC Blue sa fl-1941?")</f>
        <v>Lil min RCA ta l-bejgħ ta 'NBC Blue sa fl-1941?</v>
      </c>
    </row>
    <row r="6510" ht="15.75" customHeight="1">
      <c r="A6510" s="2" t="s">
        <v>6510</v>
      </c>
      <c r="B6510" s="2" t="str">
        <f>IFERROR(__xludf.DUMMYFUNCTION("GOOGLETRANSLATE(A6510, ""en"", ""mt"")"),"Id-definizzjoni ta 'l-imperjalizmu ma ġietx finalizzata għal sekli sħaħ u kienet tidher li tirrappreżenta l-politiki ta' poteri ewlenin, jew sempliċement, aggressività ta 'skop ġenerali. Aktar 'il quddiem, xi kittieba [min?] Użaw it-terminu imperjalizmu, "&amp;"b'mod kemmxejn aktar diskriminatorju, biex ifissru kull tip ta' dominazzjoni jew kontroll minn grupp ta 'nies fuq ieħor. Biex tnaddaf din il-konfużjoni dwar id-definizzjoni ta 'l-imperjalizmu wieħed jista' jitkellem dwar l-imperjalizmu ""formali"" u ""inf"&amp;"ormali"", l-ewwel tifsira ta 'kontroll fiżiku jew ""regola kolonjali sħiħa"" filwaqt li t-tieni kienet timplika regola inqas diretta għalkemm għadha fiha tipi ta' dominanza perċeabbli - Ir-regola informali ġeneralment tiswa inqas milli tieħu f'idejha t-te"&amp;"rritorji formalment. Dan għaliex, bir-regola informali, il-kontroll jinfirex b'mod aktar sottili permezz ta 'superjorità teknoloġika, li jinfurzaw uffiċjali tal-art f'dejn kbar li ma jistgħux jitħallsu lura, is-sjieda ta' industriji privati ​​u b'hekk tes"&amp;"pandi ż-żona kkontrollata, jew li l-pajjiżi jaqblu li jaqblu ma 'ftehimiet kummerċjali irregolari b'mod qawwi.")</f>
        <v>Id-definizzjoni ta 'l-imperjalizmu ma ġietx finalizzata għal sekli sħaħ u kienet tidher li tirrappreżenta l-politiki ta' poteri ewlenin, jew sempliċement, aggressività ta 'skop ġenerali. Aktar 'il quddiem, xi kittieba [min?] Użaw it-terminu imperjalizmu, b'mod kemmxejn aktar diskriminatorju, biex ifissru kull tip ta' dominazzjoni jew kontroll minn grupp ta 'nies fuq ieħor. Biex tnaddaf din il-konfużjoni dwar id-definizzjoni ta 'l-imperjalizmu wieħed jista' jitkellem dwar l-imperjalizmu "formali" u "informali", l-ewwel tifsira ta 'kontroll fiżiku jew "regola kolonjali sħiħa" filwaqt li t-tieni kienet timplika regola inqas diretta għalkemm għadha fiha tipi ta' dominanza perċeabbli - Ir-regola informali ġeneralment tiswa inqas milli tieħu f'idejha t-territorji formalment. Dan għaliex, bir-regola informali, il-kontroll jinfirex b'mod aktar sottili permezz ta 'superjorità teknoloġika, li jinfurzaw uffiċjali tal-art f'dejn kbar li ma jistgħux jitħallsu lura, is-sjieda ta' industriji privati ​​u b'hekk tespandi ż-żona kkontrollata, jew li l-pajjiżi jaqblu li jaqblu ma 'ftehimiet kummerċjali irregolari b'mod qawwi.</v>
      </c>
    </row>
    <row r="6511" ht="15.75" customHeight="1">
      <c r="A6511" s="2" t="s">
        <v>6511</v>
      </c>
      <c r="B6511" s="2" t="str">
        <f>IFERROR(__xludf.DUMMYFUNCTION("GOOGLETRANSLATE(A6511, ""en"", ""mt"")"),"diżastru")</f>
        <v>diżastru</v>
      </c>
    </row>
    <row r="6512" ht="15.75" customHeight="1">
      <c r="A6512" s="2" t="s">
        <v>6512</v>
      </c>
      <c r="B6512" s="2" t="str">
        <f>IFERROR(__xludf.DUMMYFUNCTION("GOOGLETRANSLATE(A6512, ""en"", ""mt"")"),"F’liema sena esperimenta Dewar fuq ossiġnu likwidu?")</f>
        <v>F’liema sena esperimenta Dewar fuq ossiġnu likwidu?</v>
      </c>
    </row>
    <row r="6513" ht="15.75" customHeight="1">
      <c r="A6513" s="2" t="s">
        <v>6513</v>
      </c>
      <c r="B6513" s="2" t="str">
        <f>IFERROR(__xludf.DUMMYFUNCTION("GOOGLETRANSLATE(A6513, ""en"", ""mt"")"),"Liema Matematiku li Jirbaħ il-Midalja tal-Qasam huwa membru tal-fakultà f'Harvard?")</f>
        <v>Liema Matematiku li Jirbaħ il-Midalja tal-Qasam huwa membru tal-fakultà f'Harvard?</v>
      </c>
    </row>
    <row r="6514" ht="15.75" customHeight="1">
      <c r="A6514" s="2" t="s">
        <v>6514</v>
      </c>
      <c r="B6514" s="2" t="str">
        <f>IFERROR(__xludf.DUMMYFUNCTION("GOOGLETRANSLATE(A6514, ""en"", ""mt"")"),"X'inhu s-sors ta 'produzzjoni ta' ossiġnu permezz ta 'mezzi elettrokatalitiċi?")</f>
        <v>X'inhu s-sors ta 'produzzjoni ta' ossiġnu permezz ta 'mezzi elettrokatalitiċi?</v>
      </c>
    </row>
    <row r="6515" ht="15.75" customHeight="1">
      <c r="A6515" s="2" t="s">
        <v>6515</v>
      </c>
      <c r="B6515" s="2" t="str">
        <f>IFERROR(__xludf.DUMMYFUNCTION("GOOGLETRANSLATE(A6515, ""en"", ""mt"")"),"DC Elettriku")</f>
        <v>DC Elettriku</v>
      </c>
    </row>
    <row r="6516" ht="15.75" customHeight="1">
      <c r="A6516" s="2" t="s">
        <v>6516</v>
      </c>
      <c r="B6516" s="2" t="str">
        <f>IFERROR(__xludf.DUMMYFUNCTION("GOOGLETRANSLATE(A6516, ""en"", ""mt"")"),"Għaliex għandha tiġi evitata d-diżubbidjenza mill-pubbliku ġenerali?")</f>
        <v>Għaliex għandha tiġi evitata d-diżubbidjenza mill-pubbliku ġenerali?</v>
      </c>
    </row>
    <row r="6517" ht="15.75" customHeight="1">
      <c r="A6517" s="2" t="s">
        <v>6517</v>
      </c>
      <c r="B6517" s="2" t="str">
        <f>IFERROR(__xludf.DUMMYFUNCTION("GOOGLETRANSLATE(A6517, ""en"", ""mt"")"),"Alvaro Martin")</f>
        <v>Alvaro Martin</v>
      </c>
    </row>
    <row r="6518" ht="15.75" customHeight="1">
      <c r="A6518" s="2" t="s">
        <v>6518</v>
      </c>
      <c r="B6518" s="2" t="str">
        <f>IFERROR(__xludf.DUMMYFUNCTION("GOOGLETRANSLATE(A6518, ""en"", ""mt"")"),"X'inhuma żewġ eżempji ta 'tipi differenti ta' tnaqqis?")</f>
        <v>X'inhuma żewġ eżempji ta 'tipi differenti ta' tnaqqis?</v>
      </c>
    </row>
    <row r="6519" ht="15.75" customHeight="1">
      <c r="A6519" s="2" t="s">
        <v>6519</v>
      </c>
      <c r="B6519" s="2" t="str">
        <f>IFERROR(__xludf.DUMMYFUNCTION("GOOGLETRANSLATE(A6519, ""en"", ""mt"")"),"£ 30m")</f>
        <v>£ 30m</v>
      </c>
    </row>
    <row r="6520" ht="15.75" customHeight="1">
      <c r="A6520" s="2" t="s">
        <v>6520</v>
      </c>
      <c r="B6520" s="2" t="str">
        <f>IFERROR(__xludf.DUMMYFUNCTION("GOOGLETRANSLATE(A6520, ""en"", ""mt"")"),"Min tilef gowl fil-grawnd għall-Panthers?")</f>
        <v>Min tilef gowl fil-grawnd għall-Panthers?</v>
      </c>
    </row>
    <row r="6521" ht="15.75" customHeight="1">
      <c r="A6521" s="2" t="s">
        <v>6521</v>
      </c>
      <c r="B6521" s="2" t="str">
        <f>IFERROR(__xludf.DUMMYFUNCTION("GOOGLETRANSLATE(A6521, ""en"", ""mt"")"),"San Lawrenz, bid-difiżi primarji f'Carillon, Quebec, u Louisbourg,")</f>
        <v>San Lawrenz, bid-difiżi primarji f'Carillon, Quebec, u Louisbourg,</v>
      </c>
    </row>
    <row r="6522" ht="15.75" customHeight="1">
      <c r="A6522" s="2" t="s">
        <v>6522</v>
      </c>
      <c r="B6522" s="2" t="str">
        <f>IFERROR(__xludf.DUMMYFUNCTION("GOOGLETRANSLATE(A6522, ""en"", ""mt"")"),"X'inhi t-teorija li l-isem ta 'dan ir-re huwa l-oriġini ta' ""Huguenot"" imsejjaħ?")</f>
        <v>X'inhi t-teorija li l-isem ta 'dan ir-re huwa l-oriġini ta' "Huguenot" imsejjaħ?</v>
      </c>
    </row>
    <row r="6523" ht="15.75" customHeight="1">
      <c r="A6523" s="2" t="s">
        <v>6523</v>
      </c>
      <c r="B6523" s="2" t="str">
        <f>IFERROR(__xludf.DUMMYFUNCTION("GOOGLETRANSLATE(A6523, ""en"", ""mt"")"),"It-Tieni Repubblika")</f>
        <v>It-Tieni Repubblika</v>
      </c>
    </row>
    <row r="6524" ht="15.75" customHeight="1">
      <c r="A6524" s="2" t="s">
        <v>6524</v>
      </c>
      <c r="B6524" s="2" t="str">
        <f>IFERROR(__xludf.DUMMYFUNCTION("GOOGLETRANSLATE(A6524, ""en"", ""mt"")"),"Servizz tal-Librerija Nazzjonali tal-Kenja")</f>
        <v>Servizz tal-Librerija Nazzjonali tal-Kenja</v>
      </c>
    </row>
    <row r="6525" ht="15.75" customHeight="1">
      <c r="A6525" s="2" t="s">
        <v>6525</v>
      </c>
      <c r="B6525" s="2" t="str">
        <f>IFERROR(__xludf.DUMMYFUNCTION("GOOGLETRANSLATE(A6525, ""en"", ""mt"")"),"X'jagħmel il-klorofilla biex tagħmel l-enerġija ħafifa biex tagħmel?")</f>
        <v>X'jagħmel il-klorofilla biex tagħmel l-enerġija ħafifa biex tagħmel?</v>
      </c>
    </row>
    <row r="6526" ht="15.75" customHeight="1">
      <c r="A6526" s="2" t="s">
        <v>6526</v>
      </c>
      <c r="B6526" s="2" t="str">
        <f>IFERROR(__xludf.DUMMYFUNCTION("GOOGLETRANSLATE(A6526, ""en"", ""mt"")"),"Dak li spiċċa qed jintuża għat-triq tat-triq fil-post tas-sistema ta 'Tesla?")</f>
        <v>Dak li spiċċa qed jintuża għat-triq tat-triq fil-post tas-sistema ta 'Tesla?</v>
      </c>
    </row>
    <row r="6527" ht="15.75" customHeight="1">
      <c r="A6527" s="2" t="s">
        <v>6527</v>
      </c>
      <c r="B6527" s="2" t="str">
        <f>IFERROR(__xludf.DUMMYFUNCTION("GOOGLETRANSLATE(A6527, ""en"", ""mt"")"),"F'Mejju 2013, ABC nediet ""Watch ABC"", rilaxx tas-servizzi tradizzjonali tagħha ta 'streaming b'ħafna pjattaformi li jinkludu l-portal ta' streaming eżistenti tan-netwerk fuq ABC.com u app mobbli għal smartphones u kompjuters tal-pilloli; Minbarra li jip"&amp;"provdi episodji ta 'tul sħiħ ta' programmi ABC, is-servizz jippermetti flussi ta 'programmazzjoni ħajjin ta' affiljati lokali ABC fi swieq magħżula (l-ewwel offerta bħal din minn netwerk ta 'xandir ta' l-Istati Uniti). Simili għas-servizz WatchESPN ta 'Ne"&amp;"twork Sister ESPN (li oriġina l-marka ""Watch"" użata mis-servizzi ta' streaming tan-netwerks tat-televiżjoni ta 'Disney), flussi ħajjin ta' stazzjonijiet ABC huma disponibbli biss għal abbonati awtentikati ta 'fornituri tat-televiżjoni bi ħlas parteċipan"&amp;"ti f'ċerti swieq. New York City O&amp;O WABC-TV u Philadelphia O&amp;O WPVI-TV kienu l-ewwel stazzjonijiet li joffru flussi ta 'programmazzjoni tagħhom fuq is-servizz (bi preview b'xejn għal dawk li mhumiex sottoskritti sa Ġunju 2013), bis-sitta li fadal ABC o &amp; "&amp;"os joffru flussi Bidu tal-istaġun 2013–14. Hearst Television laħaq ukoll ftehim biex joffri flussi ta 'affiljati ABC tiegħu (inklużi stazzjonijiet f'Boston, Kansas City, Milwaukee u West Palm Beach) għas-servizz.")</f>
        <v>F'Mejju 2013, ABC nediet "Watch ABC", rilaxx tas-servizzi tradizzjonali tagħha ta 'streaming b'ħafna pjattaformi li jinkludu l-portal ta' streaming eżistenti tan-netwerk fuq ABC.com u app mobbli għal smartphones u kompjuters tal-pilloli; Minbarra li jipprovdi episodji ta 'tul sħiħ ta' programmi ABC, is-servizz jippermetti flussi ta 'programmazzjoni ħajjin ta' affiljati lokali ABC fi swieq magħżula (l-ewwel offerta bħal din minn netwerk ta 'xandir ta' l-Istati Uniti). Simili għas-servizz WatchESPN ta 'Network Sister ESPN (li oriġina l-marka "Watch" użata mis-servizzi ta' streaming tan-netwerks tat-televiżjoni ta 'Disney), flussi ħajjin ta' stazzjonijiet ABC huma disponibbli biss għal abbonati awtentikati ta 'fornituri tat-televiżjoni bi ħlas parteċipanti f'ċerti swieq. New York City O&amp;O WABC-TV u Philadelphia O&amp;O WPVI-TV kienu l-ewwel stazzjonijiet li joffru flussi ta 'programmazzjoni tagħhom fuq is-servizz (bi preview b'xejn għal dawk li mhumiex sottoskritti sa Ġunju 2013), bis-sitta li fadal ABC o &amp; os joffru flussi Bidu tal-istaġun 2013–14. Hearst Television laħaq ukoll ftehim biex joffri flussi ta 'affiljati ABC tiegħu (inklużi stazzjonijiet f'Boston, Kansas City, Milwaukee u West Palm Beach) għas-servizz.</v>
      </c>
    </row>
    <row r="6528" ht="15.75" customHeight="1">
      <c r="A6528" s="2" t="s">
        <v>6528</v>
      </c>
      <c r="B6528" s="2" t="str">
        <f>IFERROR(__xludf.DUMMYFUNCTION("GOOGLETRANSLATE(A6528, ""en"", ""mt"")"),"żewġ raġel")</f>
        <v>żewġ raġel</v>
      </c>
    </row>
    <row r="6529" ht="15.75" customHeight="1">
      <c r="A6529" s="2" t="s">
        <v>6529</v>
      </c>
      <c r="B6529" s="2" t="str">
        <f>IFERROR(__xludf.DUMMYFUNCTION("GOOGLETRANSLATE(A6529, ""en"", ""mt"")"),"Il-Mongoli attakkaw Samarkand billi jużaw għedewwa maqbudin bħala tarki tal-ġisem. Wara diversi jiem biss ftit suldati li fadal, partitarji leali tax-Shah, miżmuma fiċ-Ċittadella. Wara li l-fortizza waqgħet, Genghis allegatament reġa 'rrinunzja fuq it-ter"&amp;"mini ta' ċediment tiegħu u eżegwixxa lil kull suldat li kien ħa l-armi kontrih f'Samarkand. In-nies ta 'Samarkand ġew ordnati jevakwaw u jinġabru fi pjanura barra l-belt, fejn inqatlu u piramidi ta' kapijiet maqtugħin imqajma bħala simbolu tar-rebħa. Ata-"&amp;"Malik Juvayni, uffiċjal għoli fis-servizz tal-imperu Mongoljan, kiteb li f'Termez, fuq l-Oxus, ""in-nies kollha, kemm irġiel kif ukoll nisa, kienu mkeċċija fuq il-pjanura, u maqsuma skond id-drawwa tas-soltu tagħhom , allura dawn kienu kollha maqtula "".")</f>
        <v>Il-Mongoli attakkaw Samarkand billi jużaw għedewwa maqbudin bħala tarki tal-ġisem. Wara diversi jiem biss ftit suldati li fadal, partitarji leali tax-Shah, miżmuma fiċ-Ċittadella. Wara li l-fortizza waqgħet, Genghis allegatament reġa 'rrinunzja fuq it-termini ta' ċediment tiegħu u eżegwixxa lil kull suldat li kien ħa l-armi kontrih f'Samarkand. In-nies ta 'Samarkand ġew ordnati jevakwaw u jinġabru fi pjanura barra l-belt, fejn inqatlu u piramidi ta' kapijiet maqtugħin imqajma bħala simbolu tar-rebħa. Ata-Malik Juvayni, uffiċjal għoli fis-servizz tal-imperu Mongoljan, kiteb li f'Termez, fuq l-Oxus, "in-nies kollha, kemm irġiel kif ukoll nisa, kienu mkeċċija fuq il-pjanura, u maqsuma skond id-drawwa tas-soltu tagħhom , allura dawn kienu kollha maqtula ".</v>
      </c>
    </row>
    <row r="6530" ht="15.75" customHeight="1">
      <c r="A6530" s="2" t="s">
        <v>6530</v>
      </c>
      <c r="B6530" s="2" t="str">
        <f>IFERROR(__xludf.DUMMYFUNCTION("GOOGLETRANSLATE(A6530, ""en"", ""mt"")"),"Arkitettura Neoklassika")</f>
        <v>Arkitettura Neoklassika</v>
      </c>
    </row>
    <row r="6531" ht="15.75" customHeight="1">
      <c r="A6531" s="2" t="s">
        <v>6531</v>
      </c>
      <c r="B6531" s="2" t="str">
        <f>IFERROR(__xludf.DUMMYFUNCTION("GOOGLETRANSLATE(A6531, ""en"", ""mt"")"),"Liema ktieb kiteb Luther bi tweġiba għal Agricola u l-Antinomjani?")</f>
        <v>Liema ktieb kiteb Luther bi tweġiba għal Agricola u l-Antinomjani?</v>
      </c>
    </row>
    <row r="6532" ht="15.75" customHeight="1">
      <c r="A6532" s="2" t="s">
        <v>6532</v>
      </c>
      <c r="B6532" s="2" t="str">
        <f>IFERROR(__xludf.DUMMYFUNCTION("GOOGLETRANSLATE(A6532, ""en"", ""mt"")"),"Min qatel in-nar tal-kabina tal-ossiġnu taħt pressjoni?")</f>
        <v>Min qatel in-nar tal-kabina tal-ossiġnu taħt pressjoni?</v>
      </c>
    </row>
    <row r="6533" ht="15.75" customHeight="1">
      <c r="A6533" s="2" t="s">
        <v>6533</v>
      </c>
      <c r="B6533" s="2" t="str">
        <f>IFERROR(__xludf.DUMMYFUNCTION("GOOGLETRANSLATE(A6533, ""en"", ""mt"")"),"Liema żewġ oqsma tax-xjenza teoretika tal-kompjuter jirriflettu mill-qrib it-teorija tal-kumplessità tal-komputazzjoni?")</f>
        <v>Liema żewġ oqsma tax-xjenza teoretika tal-kompjuter jirriflettu mill-qrib it-teorija tal-kumplessità tal-komputazzjoni?</v>
      </c>
    </row>
    <row r="6534" ht="15.75" customHeight="1">
      <c r="A6534" s="2" t="s">
        <v>6534</v>
      </c>
      <c r="B6534" s="2" t="str">
        <f>IFERROR(__xludf.DUMMYFUNCTION("GOOGLETRANSLATE(A6534, ""en"", ""mt"")"),"X'inhu l-isem ta 'ġeneralizzazzjoni alġebrika waħda li n-numri primarji ispiraw?")</f>
        <v>X'inhu l-isem ta 'ġeneralizzazzjoni alġebrika waħda li n-numri primarji ispiraw?</v>
      </c>
    </row>
    <row r="6535" ht="15.75" customHeight="1">
      <c r="A6535" s="2" t="s">
        <v>6535</v>
      </c>
      <c r="B6535" s="2" t="str">
        <f>IFERROR(__xludf.DUMMYFUNCTION("GOOGLETRANSLATE(A6535, ""en"", ""mt"")"),"X'tip ta 'studju jkun jeħtieġ li għalliem jieħu rwol ta' superviżur?")</f>
        <v>X'tip ta 'studju jkun jeħtieġ li għalliem jieħu rwol ta' superviżur?</v>
      </c>
    </row>
    <row r="6536" ht="15.75" customHeight="1">
      <c r="A6536" s="2" t="s">
        <v>6536</v>
      </c>
      <c r="B6536" s="2" t="str">
        <f>IFERROR(__xludf.DUMMYFUNCTION("GOOGLETRANSLATE(A6536, ""en"", ""mt"")"),"Kemm kellu Elway waqt ir-rebħa tiegħu tas-Super Bowl XXXIII?")</f>
        <v>Kemm kellu Elway waqt ir-rebħa tiegħu tas-Super Bowl XXXIII?</v>
      </c>
    </row>
    <row r="6537" ht="15.75" customHeight="1">
      <c r="A6537" s="2" t="s">
        <v>6537</v>
      </c>
      <c r="B6537" s="2" t="str">
        <f>IFERROR(__xludf.DUMMYFUNCTION("GOOGLETRANSLATE(A6537, ""en"", ""mt"")"),"Fidi waħedha")</f>
        <v>Fidi waħedha</v>
      </c>
    </row>
    <row r="6538" ht="15.75" customHeight="1">
      <c r="A6538" s="2" t="s">
        <v>6538</v>
      </c>
      <c r="B6538" s="2" t="str">
        <f>IFERROR(__xludf.DUMMYFUNCTION("GOOGLETRANSLATE(A6538, ""en"", ""mt"")"),"Ħafna klassijiet ta 'kumplessità importanti jistgħu jiġu definiti billi tillimita l-ħin jew l-ispazju użat mill-algoritmu. Xi klassijiet ta 'kumplessità importanti ta' problemi ta 'deċiżjoni definiti b'dan il-mod huma dawn li ġejjin:")</f>
        <v>Ħafna klassijiet ta 'kumplessità importanti jistgħu jiġu definiti billi tillimita l-ħin jew l-ispazju użat mill-algoritmu. Xi klassijiet ta 'kumplessità importanti ta' problemi ta 'deċiżjoni definiti b'dan il-mod huma dawn li ġejjin:</v>
      </c>
    </row>
    <row r="6539" ht="15.75" customHeight="1">
      <c r="A6539" s="2" t="s">
        <v>6539</v>
      </c>
      <c r="B6539" s="2" t="str">
        <f>IFERROR(__xludf.DUMMYFUNCTION("GOOGLETRANSLATE(A6539, ""en"", ""mt"")"),"Kemm-il darba jista 'jirriġenera l-mulej ta' żmien?")</f>
        <v>Kemm-il darba jista 'jirriġenera l-mulej ta' żmien?</v>
      </c>
    </row>
    <row r="6540" ht="15.75" customHeight="1">
      <c r="A6540" s="2" t="s">
        <v>6540</v>
      </c>
      <c r="B6540" s="2" t="str">
        <f>IFERROR(__xludf.DUMMYFUNCTION("GOOGLETRANSLATE(A6540, ""en"", ""mt"")"),"Xi jfissru l-kliem Kirinyaga, Kirenyaa, u Kiinyaa?")</f>
        <v>Xi jfissru l-kliem Kirinyaga, Kirenyaa, u Kiinyaa?</v>
      </c>
    </row>
    <row r="6541" ht="15.75" customHeight="1">
      <c r="A6541" s="2" t="s">
        <v>6541</v>
      </c>
      <c r="B6541" s="2" t="str">
        <f>IFERROR(__xludf.DUMMYFUNCTION("GOOGLETRANSLATE(A6541, ""en"", ""mt"")"),"Liema kummiedja għal ABC intemmet ix-xandira tagħha fl-1986?")</f>
        <v>Liema kummiedja għal ABC intemmet ix-xandira tagħha fl-1986?</v>
      </c>
    </row>
    <row r="6542" ht="15.75" customHeight="1">
      <c r="A6542" s="2" t="s">
        <v>6542</v>
      </c>
      <c r="B6542" s="2" t="str">
        <f>IFERROR(__xludf.DUMMYFUNCTION("GOOGLETRANSLATE(A6542, ""en"", ""mt"")"),"Ħsarat Ingliżi fl-Amerika ta ’Fuq, flimkien ma’ fallimenti oħra fit-Teatru Ewropew")</f>
        <v>Ħsarat Ingliżi fl-Amerika ta ’Fuq, flimkien ma’ fallimenti oħra fit-Teatru Ewropew</v>
      </c>
    </row>
    <row r="6543" ht="15.75" customHeight="1">
      <c r="A6543" s="2" t="s">
        <v>6543</v>
      </c>
      <c r="B6543" s="2" t="str">
        <f>IFERROR(__xludf.DUMMYFUNCTION("GOOGLETRANSLATE(A6543, ""en"", ""mt"")"),"maġġoranza tas-siġġijiet,")</f>
        <v>maġġoranza tas-siġġijiet,</v>
      </c>
    </row>
    <row r="6544" ht="15.75" customHeight="1">
      <c r="A6544" s="2" t="s">
        <v>6544</v>
      </c>
      <c r="B6544" s="2" t="str">
        <f>IFERROR(__xludf.DUMMYFUNCTION("GOOGLETRANSLATE(A6544, ""en"", ""mt"")"),"Marzu 1974.")</f>
        <v>Marzu 1974.</v>
      </c>
    </row>
    <row r="6545" ht="15.75" customHeight="1">
      <c r="A6545" s="2" t="s">
        <v>6545</v>
      </c>
      <c r="B6545" s="2" t="str">
        <f>IFERROR(__xludf.DUMMYFUNCTION("GOOGLETRANSLATE(A6545, ""en"", ""mt"")"),"Ma 'lepidodinium viride biddel il-kloroplast oriġinali tagħhom?")</f>
        <v>Ma 'lepidodinium viride biddel il-kloroplast oriġinali tagħhom?</v>
      </c>
    </row>
    <row r="6546" ht="15.75" customHeight="1">
      <c r="A6546" s="2" t="s">
        <v>6546</v>
      </c>
      <c r="B6546" s="2" t="str">
        <f>IFERROR(__xludf.DUMMYFUNCTION("GOOGLETRANSLATE(A6546, ""en"", ""mt"")"),"X'tip ta 'votazzjoni jintuża biex jeleġġi l-uffiċjal li jippresiedi u d-deputati tal-parlament?")</f>
        <v>X'tip ta 'votazzjoni jintuża biex jeleġġi l-uffiċjal li jippresiedi u d-deputati tal-parlament?</v>
      </c>
    </row>
    <row r="6547" ht="15.75" customHeight="1">
      <c r="A6547" s="2" t="s">
        <v>6547</v>
      </c>
      <c r="B6547" s="2" t="str">
        <f>IFERROR(__xludf.DUMMYFUNCTION("GOOGLETRANSLATE(A6547, ""en"", ""mt"")"),"Minbarra L.A. Liema kontea oħra jagħmlu ħafna nies jibdlu?")</f>
        <v>Minbarra L.A. Liema kontea oħra jagħmlu ħafna nies jibdlu?</v>
      </c>
    </row>
    <row r="6548" ht="15.75" customHeight="1">
      <c r="A6548" s="2" t="s">
        <v>6548</v>
      </c>
      <c r="B6548" s="2" t="str">
        <f>IFERROR(__xludf.DUMMYFUNCTION("GOOGLETRANSLATE(A6548, ""en"", ""mt"")"),"F'Diċembru 1966, il-missjoni AS-205 ġiet ikkanċellata, peress li l-validazzjoni tas-CSM kienet se titwettaq fl-ewwel titjira ta '14 -il jum, u AS-205 kienet tkun iddedikata għall-esperimenti spazjali u ma tikkontribwixxi l-ebda għarfien ġdid ta 'inġinerij"&amp;"a dwar il-vettura spazjali. L-IB Saturn tagħha ġie allokat għall-missjoni doppja, issa ddisinjat mill-ġdid AS-205/208 jew AS-258, ippjanat għal Awwissu 1967. McDivitt, Scott u Schweickart ġew promossi għall-ekwipaġġ Prime AS-258, u Schirra, Eisele u Cunni"&amp;"ngham ġew assenjati mill-ġdid Bħala l-ekwipaġġ tal-backup Apollo 1.")</f>
        <v>F'Diċembru 1966, il-missjoni AS-205 ġiet ikkanċellata, peress li l-validazzjoni tas-CSM kienet se titwettaq fl-ewwel titjira ta '14 -il jum, u AS-205 kienet tkun iddedikata għall-esperimenti spazjali u ma tikkontribwixxi l-ebda għarfien ġdid ta 'inġinerija dwar il-vettura spazjali. L-IB Saturn tagħha ġie allokat għall-missjoni doppja, issa ddisinjat mill-ġdid AS-205/208 jew AS-258, ippjanat għal Awwissu 1967. McDivitt, Scott u Schweickart ġew promossi għall-ekwipaġġ Prime AS-258, u Schirra, Eisele u Cunningham ġew assenjati mill-ġdid Bħala l-ekwipaġġ tal-backup Apollo 1.</v>
      </c>
    </row>
    <row r="6549" ht="15.75" customHeight="1">
      <c r="A6549" s="2" t="s">
        <v>6549</v>
      </c>
      <c r="B6549" s="2" t="str">
        <f>IFERROR(__xludf.DUMMYFUNCTION("GOOGLETRANSLATE(A6549, ""en"", ""mt"")"),"X’biża ’Luther li ġġiegħlu jevita ż-żwieġ?")</f>
        <v>X’biża ’Luther li ġġiegħlu jevita ż-żwieġ?</v>
      </c>
    </row>
    <row r="6550" ht="15.75" customHeight="1">
      <c r="A6550" s="2" t="s">
        <v>6550</v>
      </c>
      <c r="B6550" s="2" t="str">
        <f>IFERROR(__xludf.DUMMYFUNCTION("GOOGLETRANSLATE(A6550, ""en"", ""mt"")"),"Il-proċess tad-diviżjoni jibda meta l-proteini FTSZ1 u FTSZ2 jinġabru fil-filamenti, u bl-għajnuna ta 'proteina ARC6, jiffurmaw struttura msejħa z-ring fl-istroma tal-kloroplast. Is-sistema Min jimmaniġġja t-tqegħid tar-ring z, u jiżgura li l-kloroplast j"&amp;"inqata 'ftit jew wisq b'mod uniformi. Il-moħħ tal-proteina jipprevjeni lill-FTSZ milli jgħaqqad u jifforma filamenti. Proteina oħra ARC3 tista 'tkun involuta wkoll, iżda mhix mifhuma tajjeb ħafna. Dawn il-proteini huma attivi fl-arbli tal-kloroplast, li j"&amp;"ipprevjenu l-formazzjoni ta 'ring z, iżda ħdejn iċ-ċentru tal-kloroplast, il-mini jinibixxihom, li jippermetti li l-forma ta' Z.")</f>
        <v>Il-proċess tad-diviżjoni jibda meta l-proteini FTSZ1 u FTSZ2 jinġabru fil-filamenti, u bl-għajnuna ta 'proteina ARC6, jiffurmaw struttura msejħa z-ring fl-istroma tal-kloroplast. Is-sistema Min jimmaniġġja t-tqegħid tar-ring z, u jiżgura li l-kloroplast jinqata 'ftit jew wisq b'mod uniformi. Il-moħħ tal-proteina jipprevjeni lill-FTSZ milli jgħaqqad u jifforma filamenti. Proteina oħra ARC3 tista 'tkun involuta wkoll, iżda mhix mifhuma tajjeb ħafna. Dawn il-proteini huma attivi fl-arbli tal-kloroplast, li jipprevjenu l-formazzjoni ta 'ring z, iżda ħdejn iċ-ċentru tal-kloroplast, il-mini jinibixxihom, li jippermetti li l-forma ta' Z.</v>
      </c>
    </row>
    <row r="6551" ht="15.75" customHeight="1">
      <c r="A6551" s="2" t="s">
        <v>6551</v>
      </c>
      <c r="B6551" s="2" t="str">
        <f>IFERROR(__xludf.DUMMYFUNCTION("GOOGLETRANSLATE(A6551, ""en"", ""mt"")"),"Problemi ta 'deċiżjoni")</f>
        <v>Problemi ta 'deċiżjoni</v>
      </c>
    </row>
    <row r="6552" ht="15.75" customHeight="1">
      <c r="A6552" s="2" t="s">
        <v>6552</v>
      </c>
      <c r="B6552" s="2" t="str">
        <f>IFERROR(__xludf.DUMMYFUNCTION("GOOGLETRANSLATE(A6552, ""en"", ""mt"")"),"Meta r-Repubblikani Franċiżi reġgħu bnew l-imperu Franċiż?")</f>
        <v>Meta r-Repubblikani Franċiżi reġgħu bnew l-imperu Franċiż?</v>
      </c>
    </row>
    <row r="6553" ht="15.75" customHeight="1">
      <c r="A6553" s="2" t="s">
        <v>6553</v>
      </c>
      <c r="B6553" s="2" t="str">
        <f>IFERROR(__xludf.DUMMYFUNCTION("GOOGLETRANSLATE(A6553, ""en"", ""mt"")"),"komunikazzjonijiet minn pjaneta oħra")</f>
        <v>komunikazzjonijiet minn pjaneta oħra</v>
      </c>
    </row>
    <row r="6554" ht="15.75" customHeight="1">
      <c r="A6554" s="2" t="s">
        <v>6554</v>
      </c>
      <c r="B6554" s="2" t="str">
        <f>IFERROR(__xludf.DUMMYFUNCTION("GOOGLETRANSLATE(A6554, ""en"", ""mt"")"),"Liema annimali setgħu ġew ittimbrati fuq is-sit tal-qabar ta 'Genghis Khan?")</f>
        <v>Liema annimali setgħu ġew ittimbrati fuq is-sit tal-qabar ta 'Genghis Khan?</v>
      </c>
    </row>
    <row r="6555" ht="15.75" customHeight="1">
      <c r="A6555" s="2" t="s">
        <v>6555</v>
      </c>
      <c r="B6555" s="2" t="str">
        <f>IFERROR(__xludf.DUMMYFUNCTION("GOOGLETRANSLATE(A6555, ""en"", ""mt"")"),"nuqqas ta ’vjolenza")</f>
        <v>nuqqas ta ’vjolenza</v>
      </c>
    </row>
    <row r="6556" ht="15.75" customHeight="1">
      <c r="A6556" s="2" t="s">
        <v>6556</v>
      </c>
      <c r="B6556" s="2" t="str">
        <f>IFERROR(__xludf.DUMMYFUNCTION("GOOGLETRANSLATE(A6556, ""en"", ""mt"")"),"Il-magna oxxillat fil-frekwenza tar-reżonanza tal-bini tiegħu stess")</f>
        <v>Il-magna oxxillat fil-frekwenza tar-reżonanza tal-bini tiegħu stess</v>
      </c>
    </row>
    <row r="6557" ht="15.75" customHeight="1">
      <c r="A6557" s="2" t="s">
        <v>6557</v>
      </c>
      <c r="B6557" s="2" t="str">
        <f>IFERROR(__xludf.DUMMYFUNCTION("GOOGLETRANSLATE(A6557, ""en"", ""mt"")"),"Mekkanika Newtonjana")</f>
        <v>Mekkanika Newtonjana</v>
      </c>
    </row>
    <row r="6558" ht="15.75" customHeight="1">
      <c r="A6558" s="2" t="s">
        <v>6558</v>
      </c>
      <c r="B6558" s="2" t="str">
        <f>IFERROR(__xludf.DUMMYFUNCTION("GOOGLETRANSLATE(A6558, ""en"", ""mt"")"),"Fejn miet Harold II?")</f>
        <v>Fejn miet Harold II?</v>
      </c>
    </row>
    <row r="6559" ht="15.75" customHeight="1">
      <c r="A6559" s="2" t="s">
        <v>6559</v>
      </c>
      <c r="B6559" s="2" t="str">
        <f>IFERROR(__xludf.DUMMYFUNCTION("GOOGLETRANSLATE(A6559, ""en"", ""mt"")"),"sitwazzjoni finanzjarja diżastruża.")</f>
        <v>sitwazzjoni finanzjarja diżastruża.</v>
      </c>
    </row>
    <row r="6560" ht="15.75" customHeight="1">
      <c r="A6560" s="2" t="s">
        <v>6560</v>
      </c>
      <c r="B6560" s="2" t="str">
        <f>IFERROR(__xludf.DUMMYFUNCTION("GOOGLETRANSLATE(A6560, ""en"", ""mt"")"),"Università Yale")</f>
        <v>Università Yale</v>
      </c>
    </row>
    <row r="6561" ht="15.75" customHeight="1">
      <c r="A6561" s="2" t="s">
        <v>6561</v>
      </c>
      <c r="B6561" s="2" t="str">
        <f>IFERROR(__xludf.DUMMYFUNCTION("GOOGLETRANSLATE(A6561, ""en"", ""mt"")"),"Id-delta tar-Rhine-Meuse hija delta tal-marea, iffurmata mhux biss mis-sedimentazzjoni tax-xmajjar, iżda wkoll mill-kurrenti tal-marea. Dan kien ifisser li l-marea għolja ffurmat riskju serju minħabba li kurrenti qawwija tal-marea jistgħu jqattgħu żoni kb"&amp;"ar ta 'art fil-baħar. Qabel il-kostruzzjoni tad-Delta jaħdem, l-influwenza tal-marea kienet palpabbli sa Nijmegen, u anke llum, wara l-azzjoni regolatorja tad-Delta Works, il-marea taġixxi 'l bogħod. Fil-Waal, pereżempju, l-iktar influwenza tal-marea tal-"&amp;"art tista 'tiġi skoperta bejn Brakel u Zaltbommel.")</f>
        <v>Id-delta tar-Rhine-Meuse hija delta tal-marea, iffurmata mhux biss mis-sedimentazzjoni tax-xmajjar, iżda wkoll mill-kurrenti tal-marea. Dan kien ifisser li l-marea għolja ffurmat riskju serju minħabba li kurrenti qawwija tal-marea jistgħu jqattgħu żoni kbar ta 'art fil-baħar. Qabel il-kostruzzjoni tad-Delta jaħdem, l-influwenza tal-marea kienet palpabbli sa Nijmegen, u anke llum, wara l-azzjoni regolatorja tad-Delta Works, il-marea taġixxi 'l bogħod. Fil-Waal, pereżempju, l-iktar influwenza tal-marea tal-art tista 'tiġi skoperta bejn Brakel u Zaltbommel.</v>
      </c>
    </row>
    <row r="6562" ht="15.75" customHeight="1">
      <c r="A6562" s="2" t="s">
        <v>6562</v>
      </c>
      <c r="B6562" s="2" t="str">
        <f>IFERROR(__xludf.DUMMYFUNCTION("GOOGLETRANSLATE(A6562, ""en"", ""mt"")"),"spirtu ta ’protesta")</f>
        <v>spirtu ta ’protesta</v>
      </c>
    </row>
    <row r="6563" ht="15.75" customHeight="1">
      <c r="A6563" s="2" t="s">
        <v>6563</v>
      </c>
      <c r="B6563" s="2" t="str">
        <f>IFERROR(__xludf.DUMMYFUNCTION("GOOGLETRANSLATE(A6563, ""en"", ""mt"")"),"Liema dilemma hija eżempju tajjeb ta 'diżubbidjenza ċivili morali?")</f>
        <v>Liema dilemma hija eżempju tajjeb ta 'diżubbidjenza ċivili morali?</v>
      </c>
    </row>
    <row r="6564" ht="15.75" customHeight="1">
      <c r="A6564" s="2" t="s">
        <v>6564</v>
      </c>
      <c r="B6564" s="2" t="str">
        <f>IFERROR(__xludf.DUMMYFUNCTION("GOOGLETRANSLATE(A6564, ""en"", ""mt"")"),"Waħda mill-applikazzjonijiet l-aktar notevoli tat-teknoloġija tal-istampar kienet il-Chao, il-flus tal-karta tal-wan. Chao kienu magħmula mill-qoxra tas-siġar taċ-ċawsli. Il-gvern tal-wan uża injam tal-injam biex jistampa l-flus tal-karti, iżda qalbu għal"&amp;" pjanċi tal-bronż fl-1275. Il-Mongoli esperimentaw bl-istabbiliment tas-sistema monetarja tal-karti fl-istil Ċiniż fit-territorji kkontrollati mill-Mongolja barra miċ-Ċina. Il-Ministru tal-Yuan Bolad intbagħat lill-Iran, fejn spjega l-flus tal-karti tal-Y"&amp;"uan lill-Qorti tal-IL-Khanate ta 'Gaykhatu. Il-gvern IL-Khanate ħareġ flus fuq il-karta fl-1294, iżda l-fiduċja pubblika tal-munita ġdida eżotika ddestinat l-esperiment.")</f>
        <v>Waħda mill-applikazzjonijiet l-aktar notevoli tat-teknoloġija tal-istampar kienet il-Chao, il-flus tal-karta tal-wan. Chao kienu magħmula mill-qoxra tas-siġar taċ-ċawsli. Il-gvern tal-wan uża injam tal-injam biex jistampa l-flus tal-karti, iżda qalbu għal pjanċi tal-bronż fl-1275. Il-Mongoli esperimentaw bl-istabbiliment tas-sistema monetarja tal-karti fl-istil Ċiniż fit-territorji kkontrollati mill-Mongolja barra miċ-Ċina. Il-Ministru tal-Yuan Bolad intbagħat lill-Iran, fejn spjega l-flus tal-karti tal-Yuan lill-Qorti tal-IL-Khanate ta 'Gaykhatu. Il-gvern IL-Khanate ħareġ flus fuq il-karta fl-1294, iżda l-fiduċja pubblika tal-munita ġdida eżotika ddestinat l-esperiment.</v>
      </c>
    </row>
    <row r="6565" ht="15.75" customHeight="1">
      <c r="A6565" s="2" t="s">
        <v>6565</v>
      </c>
      <c r="B6565" s="2" t="str">
        <f>IFERROR(__xludf.DUMMYFUNCTION("GOOGLETRANSLATE(A6565, ""en"", ""mt"")"),"Liema xjenzat ieħor jinfluwenza lil Frank Burnet meta kien qed jifformula t-teorija tiegħu dwar l-immunità?")</f>
        <v>Liema xjenzat ieħor jinfluwenza lil Frank Burnet meta kien qed jifformula t-teorija tiegħu dwar l-immunità?</v>
      </c>
    </row>
    <row r="6566" ht="15.75" customHeight="1">
      <c r="A6566" s="2" t="s">
        <v>6566</v>
      </c>
      <c r="B6566" s="2" t="str">
        <f>IFERROR(__xludf.DUMMYFUNCTION("GOOGLETRANSLATE(A6566, ""en"", ""mt"")"),"Min kien fit-tmiem li rċieva pass ta ’22 -il tarzna minn Peyton Manning?")</f>
        <v>Min kien fit-tmiem li rċieva pass ta ’22 -il tarzna minn Peyton Manning?</v>
      </c>
    </row>
    <row r="6567" ht="15.75" customHeight="1">
      <c r="A6567" s="2" t="s">
        <v>6567</v>
      </c>
      <c r="B6567" s="2" t="str">
        <f>IFERROR(__xludf.DUMMYFUNCTION("GOOGLETRANSLATE(A6567, ""en"", ""mt"")"),"Kif wieħed jiddeskrivi s-sjuf fi Fresno?")</f>
        <v>Kif wieħed jiddeskrivi s-sjuf fi Fresno?</v>
      </c>
    </row>
    <row r="6568" ht="15.75" customHeight="1">
      <c r="A6568" s="2" t="s">
        <v>6568</v>
      </c>
      <c r="B6568" s="2" t="str">
        <f>IFERROR(__xludf.DUMMYFUNCTION("GOOGLETRANSLATE(A6568, ""en"", ""mt"")"),"il-kumplament tal-ħajja ta ’Tesla")</f>
        <v>il-kumplament tal-ħajja ta ’Tesla</v>
      </c>
    </row>
    <row r="6569" ht="15.75" customHeight="1">
      <c r="A6569" s="2" t="s">
        <v>6569</v>
      </c>
      <c r="B6569" s="2" t="str">
        <f>IFERROR(__xludf.DUMMYFUNCTION("GOOGLETRANSLATE(A6569, ""en"", ""mt"")"),"Kemm għandha kampus l-Università ta 'California?")</f>
        <v>Kemm għandha kampus l-Università ta 'California?</v>
      </c>
    </row>
    <row r="6570" ht="15.75" customHeight="1">
      <c r="A6570" s="2" t="s">
        <v>6570</v>
      </c>
      <c r="B6570" s="2" t="str">
        <f>IFERROR(__xludf.DUMMYFUNCTION("GOOGLETRANSLATE(A6570, ""en"", ""mt"")"),"Fl-2011, min kien l-ewwel plejer li ġie magħżul fl-Abbozz tal-NFL?")</f>
        <v>Fl-2011, min kien l-ewwel plejer li ġie magħżul fl-Abbozz tal-NFL?</v>
      </c>
    </row>
    <row r="6571" ht="15.75" customHeight="1">
      <c r="A6571" s="2" t="s">
        <v>6571</v>
      </c>
      <c r="B6571" s="2" t="str">
        <f>IFERROR(__xludf.DUMMYFUNCTION("GOOGLETRANSLATE(A6571, ""en"", ""mt"")"),"Meta waqa 'l-Imperu Ottoman?")</f>
        <v>Meta waqa 'l-Imperu Ottoman?</v>
      </c>
    </row>
    <row r="6572" ht="15.75" customHeight="1">
      <c r="A6572" s="2" t="s">
        <v>6572</v>
      </c>
      <c r="B6572" s="2" t="str">
        <f>IFERROR(__xludf.DUMMYFUNCTION("GOOGLETRANSLATE(A6572, ""en"", ""mt"")"),"Kemm hemm nies li għexu fir-reġjun tal-Amażonja matul il-1500 AD?")</f>
        <v>Kemm hemm nies li għexu fir-reġjun tal-Amażonja matul il-1500 AD?</v>
      </c>
    </row>
    <row r="6573" ht="15.75" customHeight="1">
      <c r="A6573" s="2" t="s">
        <v>6573</v>
      </c>
      <c r="B6573" s="2" t="str">
        <f>IFERROR(__xludf.DUMMYFUNCTION("GOOGLETRANSLATE(A6573, ""en"", ""mt"")"),"X'kien in-numru totali ta 'djar li kienu ħabbru Sky li kellu Sky + HD f'Marzu tal-2012?")</f>
        <v>X'kien in-numru totali ta 'djar li kienu ħabbru Sky li kellu Sky + HD f'Marzu tal-2012?</v>
      </c>
    </row>
    <row r="6574" ht="15.75" customHeight="1">
      <c r="A6574" s="2" t="s">
        <v>6574</v>
      </c>
      <c r="B6574" s="2" t="str">
        <f>IFERROR(__xludf.DUMMYFUNCTION("GOOGLETRANSLATE(A6574, ""en"", ""mt"")"),"Il-Paramount Building")</f>
        <v>Il-Paramount Building</v>
      </c>
    </row>
    <row r="6575" ht="15.75" customHeight="1">
      <c r="A6575" s="2" t="s">
        <v>6575</v>
      </c>
      <c r="B6575" s="2" t="str">
        <f>IFERROR(__xludf.DUMMYFUNCTION("GOOGLETRANSLATE(A6575, ""en"", ""mt"")"),"It-Tabib tal-Ispiżerija (Pharm. D.) Grad")</f>
        <v>It-Tabib tal-Ispiżerija (Pharm. D.) Grad</v>
      </c>
    </row>
    <row r="6576" ht="15.75" customHeight="1">
      <c r="A6576" s="2" t="s">
        <v>6576</v>
      </c>
      <c r="B6576" s="2" t="str">
        <f>IFERROR(__xludf.DUMMYFUNCTION("GOOGLETRANSLATE(A6576, ""en"", ""mt"")"),"Għal xiex beda jilgħab l-ewwel tim Peyton Manning?")</f>
        <v>Għal xiex beda jilgħab l-ewwel tim Peyton Manning?</v>
      </c>
    </row>
    <row r="6577" ht="15.75" customHeight="1">
      <c r="A6577" s="2" t="s">
        <v>6577</v>
      </c>
      <c r="B6577" s="2" t="str">
        <f>IFERROR(__xludf.DUMMYFUNCTION("GOOGLETRANSLATE(A6577, ""en"", ""mt"")"),"is-soluzzjoni")</f>
        <v>is-soluzzjoni</v>
      </c>
    </row>
    <row r="6578" ht="15.75" customHeight="1">
      <c r="A6578" s="2" t="s">
        <v>6578</v>
      </c>
      <c r="B6578" s="2" t="str">
        <f>IFERROR(__xludf.DUMMYFUNCTION("GOOGLETRANSLATE(A6578, ""en"", ""mt"")"),"Liema amministrazzjoni kienet Ludwig Mies van der Rohe designa Buiding?")</f>
        <v>Liema amministrazzjoni kienet Ludwig Mies van der Rohe designa Buiding?</v>
      </c>
    </row>
    <row r="6579" ht="15.75" customHeight="1">
      <c r="A6579" s="2" t="s">
        <v>6579</v>
      </c>
      <c r="B6579" s="2" t="str">
        <f>IFERROR(__xludf.DUMMYFUNCTION("GOOGLETRANSLATE(A6579, ""en"", ""mt"")"),"ir-rapport uffiċjali")</f>
        <v>ir-rapport uffiċjali</v>
      </c>
    </row>
    <row r="6580" ht="15.75" customHeight="1">
      <c r="A6580" s="2" t="s">
        <v>6580</v>
      </c>
      <c r="B6580" s="2" t="str">
        <f>IFERROR(__xludf.DUMMYFUNCTION("GOOGLETRANSLATE(A6580, ""en"", ""mt"")"),"Ossiġenu triplet")</f>
        <v>Ossiġenu triplet</v>
      </c>
    </row>
    <row r="6581" ht="15.75" customHeight="1">
      <c r="A6581" s="2" t="s">
        <v>6581</v>
      </c>
      <c r="B6581" s="2" t="str">
        <f>IFERROR(__xludf.DUMMYFUNCTION("GOOGLETRANSLATE(A6581, ""en"", ""mt"")"),"Żona ta 'esplorazzjoni")</f>
        <v>Żona ta 'esplorazzjoni</v>
      </c>
    </row>
    <row r="6582" ht="15.75" customHeight="1">
      <c r="A6582" s="2" t="s">
        <v>6582</v>
      </c>
      <c r="B6582" s="2" t="str">
        <f>IFERROR(__xludf.DUMMYFUNCTION("GOOGLETRANSLATE(A6582, ""en"", ""mt"")"),"Bejn wieħed u ieħor kemm oġġetti mid-dinja Iżlamika huma miżmuma fil-kollezzjoni V&amp;A?")</f>
        <v>Bejn wieħed u ieħor kemm oġġetti mid-dinja Iżlamika huma miżmuma fil-kollezzjoni V&amp;A?</v>
      </c>
    </row>
    <row r="6583" ht="15.75" customHeight="1">
      <c r="A6583" s="2" t="s">
        <v>6583</v>
      </c>
      <c r="B6583" s="2" t="str">
        <f>IFERROR(__xludf.DUMMYFUNCTION("GOOGLETRANSLATE(A6583, ""en"", ""mt"")"),"Liema parti hija favorita f'Bedigo u Geelong?")</f>
        <v>Liema parti hija favorita f'Bedigo u Geelong?</v>
      </c>
    </row>
    <row r="6584" ht="15.75" customHeight="1">
      <c r="A6584" s="2" t="s">
        <v>6584</v>
      </c>
      <c r="B6584" s="2" t="str">
        <f>IFERROR(__xludf.DUMMYFUNCTION("GOOGLETRANSLATE(A6584, ""en"", ""mt"")"),"Il-Golf tal-Kampjonat Miftuħ u l-Wimbledon")</f>
        <v>Il-Golf tal-Kampjonat Miftuħ u l-Wimbledon</v>
      </c>
    </row>
    <row r="6585" ht="15.75" customHeight="1">
      <c r="A6585" s="2" t="s">
        <v>6585</v>
      </c>
      <c r="B6585" s="2" t="str">
        <f>IFERROR(__xludf.DUMMYFUNCTION("GOOGLETRANSLATE(A6585, ""en"", ""mt"")"),"Min jaħdem biex il-ħaddiema jiksbu kumpens ogħla?")</f>
        <v>Min jaħdem biex il-ħaddiema jiksbu kumpens ogħla?</v>
      </c>
    </row>
    <row r="6586" ht="15.75" customHeight="1">
      <c r="A6586" s="2" t="s">
        <v>6586</v>
      </c>
      <c r="B6586" s="2" t="str">
        <f>IFERROR(__xludf.DUMMYFUNCTION("GOOGLETRANSLATE(A6586, ""en"", ""mt"")"),"Min jgħallem il-mod xieraq ta ’kif jgħix fl-Iżlam?")</f>
        <v>Min jgħallem il-mod xieraq ta ’kif jgħix fl-Iżlam?</v>
      </c>
    </row>
    <row r="6587" ht="15.75" customHeight="1">
      <c r="A6587" s="2" t="s">
        <v>6587</v>
      </c>
      <c r="B6587" s="2" t="str">
        <f>IFERROR(__xludf.DUMMYFUNCTION("GOOGLETRANSLATE(A6587, ""en"", ""mt"")"),"Kemm kellu Tesla meta sar ċittadin Amerikan?")</f>
        <v>Kemm kellu Tesla meta sar ċittadin Amerikan?</v>
      </c>
    </row>
    <row r="6588" ht="15.75" customHeight="1">
      <c r="A6588" s="2" t="s">
        <v>6588</v>
      </c>
      <c r="B6588" s="2" t="str">
        <f>IFERROR(__xludf.DUMMYFUNCTION("GOOGLETRANSLATE(A6588, ""en"", ""mt"")"),"Atleti Kenjani")</f>
        <v>Atleti Kenjani</v>
      </c>
    </row>
    <row r="6589" ht="15.75" customHeight="1">
      <c r="A6589" s="2" t="s">
        <v>6589</v>
      </c>
      <c r="B6589" s="2" t="str">
        <f>IFERROR(__xludf.DUMMYFUNCTION("GOOGLETRANSLATE(A6589, ""en"", ""mt"")"),"Brownlee")</f>
        <v>Brownlee</v>
      </c>
    </row>
    <row r="6590" ht="15.75" customHeight="1">
      <c r="A6590" s="2" t="s">
        <v>6590</v>
      </c>
      <c r="B6590" s="2" t="str">
        <f>IFERROR(__xludf.DUMMYFUNCTION("GOOGLETRANSLATE(A6590, ""en"", ""mt"")"),"Min iddikjara bidla fit-tul tar-Renu?")</f>
        <v>Min iddikjara bidla fit-tul tar-Renu?</v>
      </c>
    </row>
    <row r="6591" ht="15.75" customHeight="1">
      <c r="A6591" s="2" t="s">
        <v>6591</v>
      </c>
      <c r="B6591" s="2" t="str">
        <f>IFERROR(__xludf.DUMMYFUNCTION("GOOGLETRANSLATE(A6591, ""en"", ""mt"")"),"Kemm kilometru kwadru ta 'foresta tropikali huwa kopert fil-baċin?")</f>
        <v>Kemm kilometru kwadru ta 'foresta tropikali huwa kopert fil-baċin?</v>
      </c>
    </row>
    <row r="6592" ht="15.75" customHeight="1">
      <c r="A6592" s="2" t="s">
        <v>6592</v>
      </c>
      <c r="B6592" s="2" t="str">
        <f>IFERROR(__xludf.DUMMYFUNCTION("GOOGLETRANSLATE(A6592, ""en"", ""mt"")"),"Liema reġjun juża t-terminu 'skejjel privati' biex jirreferi għall-universitajiet?")</f>
        <v>Liema reġjun juża t-terminu 'skejjel privati' biex jirreferi għall-universitajiet?</v>
      </c>
    </row>
    <row r="6593" ht="15.75" customHeight="1">
      <c r="A6593" s="2" t="s">
        <v>6593</v>
      </c>
      <c r="B6593" s="2" t="str">
        <f>IFERROR(__xludf.DUMMYFUNCTION("GOOGLETRANSLATE(A6593, ""en"", ""mt"")"),"Taħdem permezz tal-Modernist Tork Mustafa Kemal Atatürk")</f>
        <v>Taħdem permezz tal-Modernist Tork Mustafa Kemal Atatürk</v>
      </c>
    </row>
    <row r="6594" ht="15.75" customHeight="1">
      <c r="A6594" s="2" t="s">
        <v>6594</v>
      </c>
      <c r="B6594" s="2" t="str">
        <f>IFERROR(__xludf.DUMMYFUNCTION("GOOGLETRANSLATE(A6594, ""en"", ""mt"")"),"Liema komponent ta 'l-ilma huwa aktar solubbli minn nitroġenu?")</f>
        <v>Liema komponent ta 'l-ilma huwa aktar solubbli minn nitroġenu?</v>
      </c>
    </row>
    <row r="6595" ht="15.75" customHeight="1">
      <c r="A6595" s="2" t="s">
        <v>6595</v>
      </c>
      <c r="B6595" s="2" t="str">
        <f>IFERROR(__xludf.DUMMYFUNCTION("GOOGLETRANSLATE(A6595, ""en"", ""mt"")"),"Konferenza Big Ten")</f>
        <v>Konferenza Big Ten</v>
      </c>
    </row>
    <row r="6596" ht="15.75" customHeight="1">
      <c r="A6596" s="2" t="s">
        <v>6596</v>
      </c>
      <c r="B6596" s="2" t="str">
        <f>IFERROR(__xludf.DUMMYFUNCTION("GOOGLETRANSLATE(A6596, ""en"", ""mt"")"),"Il-kontej tagħha ta 'Los Angeles, Orange, San Diego, San Bernardino, u Riverside huma l-ħames l-aktar popolati fl-istat u kollha jinsabu fl-aqwa 15-il kontej l-iktar popolati fl-Istati Uniti.")</f>
        <v>Il-kontej tagħha ta 'Los Angeles, Orange, San Diego, San Bernardino, u Riverside huma l-ħames l-aktar popolati fl-istat u kollha jinsabu fl-aqwa 15-il kontej l-iktar popolati fl-Istati Uniti.</v>
      </c>
    </row>
    <row r="6597" ht="15.75" customHeight="1">
      <c r="A6597" s="2" t="s">
        <v>6597</v>
      </c>
      <c r="B6597" s="2" t="str">
        <f>IFERROR(__xludf.DUMMYFUNCTION("GOOGLETRANSLATE(A6597, ""en"", ""mt"")"),"X'kien ħażin fil-ħamiem?")</f>
        <v>X'kien ħażin fil-ħamiem?</v>
      </c>
    </row>
    <row r="6598" ht="15.75" customHeight="1">
      <c r="A6598" s="2" t="s">
        <v>6598</v>
      </c>
      <c r="B6598" s="2" t="str">
        <f>IFERROR(__xludf.DUMMYFUNCTION("GOOGLETRANSLATE(A6598, ""en"", ""mt"")"),"Ir-realiżmu tas-sens komun ta 'dak il-filosfi Skoċċiżi Agassiz inkorpora fil-fehma doppja tiegħu ta' Knowedge?")</f>
        <v>Ir-realiżmu tas-sens komun ta 'dak il-filosfi Skoċċiżi Agassiz inkorpora fil-fehma doppja tiegħu ta' Knowedge?</v>
      </c>
    </row>
    <row r="6599" ht="15.75" customHeight="1">
      <c r="A6599" s="2" t="s">
        <v>6599</v>
      </c>
      <c r="B6599" s="2" t="str">
        <f>IFERROR(__xludf.DUMMYFUNCTION("GOOGLETRANSLATE(A6599, ""en"", ""mt"")"),"kloroplast tat-tip peridinin")</f>
        <v>kloroplast tat-tip peridinin</v>
      </c>
    </row>
    <row r="6600" ht="15.75" customHeight="1">
      <c r="A6600" s="2" t="s">
        <v>6600</v>
      </c>
      <c r="B6600" s="2" t="str">
        <f>IFERROR(__xludf.DUMMYFUNCTION("GOOGLETRANSLATE(A6600, ""en"", ""mt"")"),"Meta bdiet ir-riforma tal-knisja?")</f>
        <v>Meta bdiet ir-riforma tal-knisja?</v>
      </c>
    </row>
    <row r="6601" ht="15.75" customHeight="1">
      <c r="A6601" s="2" t="s">
        <v>6601</v>
      </c>
      <c r="B6601" s="2" t="str">
        <f>IFERROR(__xludf.DUMMYFUNCTION("GOOGLETRANSLATE(A6601, ""en"", ""mt"")"),"aktar minn ħamsin")</f>
        <v>aktar minn ħamsin</v>
      </c>
    </row>
    <row r="6602" ht="15.75" customHeight="1">
      <c r="A6602" s="2" t="s">
        <v>6602</v>
      </c>
      <c r="B6602" s="2" t="str">
        <f>IFERROR(__xludf.DUMMYFUNCTION("GOOGLETRANSLATE(A6602, ""en"", ""mt"")"),"Sistemi ta 'illuminazzjoni bbażati fuq dawl tal-ark elettriku")</f>
        <v>Sistemi ta 'illuminazzjoni bbażati fuq dawl tal-ark elettriku</v>
      </c>
    </row>
    <row r="6603" ht="15.75" customHeight="1">
      <c r="A6603" s="2" t="s">
        <v>6603</v>
      </c>
      <c r="B6603" s="2" t="str">
        <f>IFERROR(__xludf.DUMMYFUNCTION("GOOGLETRANSLATE(A6603, ""en"", ""mt"")"),"X'inhu n-Nasuwt?")</f>
        <v>X'inhu n-Nasuwt?</v>
      </c>
    </row>
    <row r="6604" ht="15.75" customHeight="1">
      <c r="A6604" s="2" t="s">
        <v>6604</v>
      </c>
      <c r="B6604" s="2" t="str">
        <f>IFERROR(__xludf.DUMMYFUNCTION("GOOGLETRANSLATE(A6604, ""en"", ""mt"")"),"X'inhu inkluż fil-ġestjoni tat-terapija tal-medikazzjoni?")</f>
        <v>X'inhu inkluż fil-ġestjoni tat-terapija tal-medikazzjoni?</v>
      </c>
    </row>
    <row r="6605" ht="15.75" customHeight="1">
      <c r="A6605" s="2" t="s">
        <v>6605</v>
      </c>
      <c r="B6605" s="2" t="str">
        <f>IFERROR(__xludf.DUMMYFUNCTION("GOOGLETRANSLATE(A6605, ""en"", ""mt"")"),"In-natura tal-Ewkaristija")</f>
        <v>In-natura tal-Ewkaristija</v>
      </c>
    </row>
    <row r="6606" ht="15.75" customHeight="1">
      <c r="A6606" s="2" t="s">
        <v>6606</v>
      </c>
      <c r="B6606" s="2" t="str">
        <f>IFERROR(__xludf.DUMMYFUNCTION("GOOGLETRANSLATE(A6606, ""en"", ""mt"")"),"Il-Ġappun ħa parti mill-Gżira Sakhalin mir-Russja")</f>
        <v>Il-Ġappun ħa parti mill-Gżira Sakhalin mir-Russja</v>
      </c>
    </row>
    <row r="6607" ht="15.75" customHeight="1">
      <c r="A6607" s="2" t="s">
        <v>6607</v>
      </c>
      <c r="B6607" s="2" t="str">
        <f>IFERROR(__xludf.DUMMYFUNCTION("GOOGLETRANSLATE(A6607, ""en"", ""mt"")"),"Kumitat Eżekuttiv")</f>
        <v>Kumitat Eżekuttiv</v>
      </c>
    </row>
    <row r="6608" ht="15.75" customHeight="1">
      <c r="A6608" s="2" t="s">
        <v>6608</v>
      </c>
      <c r="B6608" s="2" t="str">
        <f>IFERROR(__xludf.DUMMYFUNCTION("GOOGLETRANSLATE(A6608, ""en"", ""mt"")"),"Kif huwa miktub Genghis Khan f'Pinyin?")</f>
        <v>Kif huwa miktub Genghis Khan f'Pinyin?</v>
      </c>
    </row>
    <row r="6609" ht="15.75" customHeight="1">
      <c r="A6609" s="2" t="s">
        <v>6609</v>
      </c>
      <c r="B6609" s="2" t="str">
        <f>IFERROR(__xludf.DUMMYFUNCTION("GOOGLETRANSLATE(A6609, ""en"", ""mt"")"),"L-Armata l-Ħamra kienet waslet il-belt")</f>
        <v>L-Armata l-Ħamra kienet waslet il-belt</v>
      </c>
    </row>
    <row r="6610" ht="15.75" customHeight="1">
      <c r="A6610" s="2" t="s">
        <v>6610</v>
      </c>
      <c r="B6610" s="2" t="str">
        <f>IFERROR(__xludf.DUMMYFUNCTION("GOOGLETRANSLATE(A6610, ""en"", ""mt"")"),"Fil-15 ta ’Awwissu, 1971")</f>
        <v>Fil-15 ta ’Awwissu, 1971</v>
      </c>
    </row>
    <row r="6611" ht="15.75" customHeight="1">
      <c r="A6611" s="2" t="s">
        <v>6611</v>
      </c>
      <c r="B6611" s="2" t="str">
        <f>IFERROR(__xludf.DUMMYFUNCTION("GOOGLETRANSLATE(A6611, ""en"", ""mt"")"),"Ħamsa mis-sitt missjonijiet li fadal")</f>
        <v>Ħamsa mis-sitt missjonijiet li fadal</v>
      </c>
    </row>
    <row r="6612" ht="15.75" customHeight="1">
      <c r="A6612" s="2" t="s">
        <v>6612</v>
      </c>
      <c r="B6612" s="2" t="str">
        <f>IFERROR(__xludf.DUMMYFUNCTION("GOOGLETRANSLATE(A6612, ""en"", ""mt"")"),"Min jista 'jiddubita dikjarazzjonijiet tal-ewwel ministru jew membri tal-kabinett?")</f>
        <v>Min jista 'jiddubita dikjarazzjonijiet tal-ewwel ministru jew membri tal-kabinett?</v>
      </c>
    </row>
    <row r="6613" ht="15.75" customHeight="1">
      <c r="A6613" s="2" t="s">
        <v>6613</v>
      </c>
      <c r="B6613" s="2" t="str">
        <f>IFERROR(__xludf.DUMMYFUNCTION("GOOGLETRANSLATE(A6613, ""en"", ""mt"")"),"Librerija Pusey")</f>
        <v>Librerija Pusey</v>
      </c>
    </row>
    <row r="6614" ht="15.75" customHeight="1">
      <c r="A6614" s="2" t="s">
        <v>6614</v>
      </c>
      <c r="B6614" s="2" t="str">
        <f>IFERROR(__xludf.DUMMYFUNCTION("GOOGLETRANSLATE(A6614, ""en"", ""mt"")"),"142 libbra")</f>
        <v>142 libbra</v>
      </c>
    </row>
    <row r="6615" ht="15.75" customHeight="1">
      <c r="A6615" s="2" t="s">
        <v>6615</v>
      </c>
      <c r="B6615" s="2" t="str">
        <f>IFERROR(__xludf.DUMMYFUNCTION("GOOGLETRANSLATE(A6615, ""en"", ""mt"")"),"OAPEC")</f>
        <v>OAPEC</v>
      </c>
    </row>
    <row r="6616" ht="15.75" customHeight="1">
      <c r="A6616" s="2" t="s">
        <v>6616</v>
      </c>
      <c r="B6616" s="2" t="str">
        <f>IFERROR(__xludf.DUMMYFUNCTION("GOOGLETRANSLATE(A6616, ""en"", ""mt"")"),"Min kellu għaġla ta '12 -il tarzna fuq din is-sewqan?")</f>
        <v>Min kellu għaġla ta '12 -il tarzna fuq din is-sewqan?</v>
      </c>
    </row>
    <row r="6617" ht="15.75" customHeight="1">
      <c r="A6617" s="2" t="s">
        <v>6617</v>
      </c>
      <c r="B6617" s="2" t="str">
        <f>IFERROR(__xludf.DUMMYFUNCTION("GOOGLETRANSLATE(A6617, ""en"", ""mt"")"),"Età sitt snin")</f>
        <v>Età sitt snin</v>
      </c>
    </row>
    <row r="6618" ht="15.75" customHeight="1">
      <c r="A6618" s="2" t="s">
        <v>6618</v>
      </c>
      <c r="B6618" s="2" t="str">
        <f>IFERROR(__xludf.DUMMYFUNCTION("GOOGLETRANSLATE(A6618, ""en"", ""mt"")"),"Ahai")</f>
        <v>Ahai</v>
      </c>
    </row>
    <row r="6619" ht="15.75" customHeight="1">
      <c r="A6619" s="2" t="s">
        <v>6619</v>
      </c>
      <c r="B6619" s="2" t="str">
        <f>IFERROR(__xludf.DUMMYFUNCTION("GOOGLETRANSLATE(A6619, ""en"", ""mt"")"),"Mewt fil-ġisem u r-ruħ,")</f>
        <v>Mewt fil-ġisem u r-ruħ,</v>
      </c>
    </row>
    <row r="6620" ht="15.75" customHeight="1">
      <c r="A6620" s="2" t="s">
        <v>6620</v>
      </c>
      <c r="B6620" s="2" t="str">
        <f>IFERROR(__xludf.DUMMYFUNCTION("GOOGLETRANSLATE(A6620, ""en"", ""mt"")"),"Miller-Boyett Productions kien studjo affiljat ma 'liema kumpanija?")</f>
        <v>Miller-Boyett Productions kien studjo affiljat ma 'liema kumpanija?</v>
      </c>
    </row>
    <row r="6621" ht="15.75" customHeight="1">
      <c r="A6621" s="2" t="s">
        <v>6621</v>
      </c>
      <c r="B6621" s="2" t="str">
        <f>IFERROR(__xludf.DUMMYFUNCTION("GOOGLETRANSLATE(A6621, ""en"", ""mt"")"),"X'inhu l-eqdem sit tal-wirja f'Varsavja?")</f>
        <v>X'inhu l-eqdem sit tal-wirja f'Varsavja?</v>
      </c>
    </row>
    <row r="6622" ht="15.75" customHeight="1">
      <c r="A6622" s="2" t="s">
        <v>6622</v>
      </c>
      <c r="B6622" s="2" t="str">
        <f>IFERROR(__xludf.DUMMYFUNCTION("GOOGLETRANSLATE(A6622, ""en"", ""mt"")"),"ċelloli infettati bil-patoġeni")</f>
        <v>ċelloli infettati bil-patoġeni</v>
      </c>
    </row>
    <row r="6623" ht="15.75" customHeight="1">
      <c r="A6623" s="2" t="s">
        <v>6623</v>
      </c>
      <c r="B6623" s="2" t="str">
        <f>IFERROR(__xludf.DUMMYFUNCTION("GOOGLETRANSLATE(A6623, ""en"", ""mt"")"),"Darwiniżmu soċjali")</f>
        <v>Darwiniżmu soċjali</v>
      </c>
    </row>
    <row r="6624" ht="15.75" customHeight="1">
      <c r="A6624" s="2" t="s">
        <v>6624</v>
      </c>
      <c r="B6624" s="2" t="str">
        <f>IFERROR(__xludf.DUMMYFUNCTION("GOOGLETRANSLATE(A6624, ""en"", ""mt"")"),"aktar minn 18-il miljun")</f>
        <v>aktar minn 18-il miljun</v>
      </c>
    </row>
    <row r="6625" ht="15.75" customHeight="1">
      <c r="A6625" s="2" t="s">
        <v>6625</v>
      </c>
      <c r="B6625" s="2" t="str">
        <f>IFERROR(__xludf.DUMMYFUNCTION("GOOGLETRANSLATE(A6625, ""en"", ""mt"")"),"Jippermetti tluq mill-iskejjel fil-livelli kollha jew biex ikunu jaħdmu għal rashom jew biex jassiguraw impjieg")</f>
        <v>Jippermetti tluq mill-iskejjel fil-livelli kollha jew biex ikunu jaħdmu għal rashom jew biex jassiguraw impjieg</v>
      </c>
    </row>
    <row r="6626" ht="15.75" customHeight="1">
      <c r="A6626" s="2" t="s">
        <v>6626</v>
      </c>
      <c r="B6626" s="2" t="str">
        <f>IFERROR(__xludf.DUMMYFUNCTION("GOOGLETRANSLATE(A6626, ""en"", ""mt"")"),"X'inhu t-terminu li jiddeskrivi d-differenza bejn dak li jaqilgħu l-ogħla professjonisti mħallsa u aktar baxxi?")</f>
        <v>X'inhu t-terminu li jiddeskrivi d-differenza bejn dak li jaqilgħu l-ogħla professjonisti mħallsa u aktar baxxi?</v>
      </c>
    </row>
    <row r="6627" ht="15.75" customHeight="1">
      <c r="A6627" s="2" t="s">
        <v>6627</v>
      </c>
      <c r="B6627" s="2" t="str">
        <f>IFERROR(__xludf.DUMMYFUNCTION("GOOGLETRANSLATE(A6627, ""en"", ""mt"")"),"Liema attriċi tilgħab il-kaptan tan-nisa?")</f>
        <v>Liema attriċi tilgħab il-kaptan tan-nisa?</v>
      </c>
    </row>
    <row r="6628" ht="15.75" customHeight="1">
      <c r="A6628" s="2" t="s">
        <v>6628</v>
      </c>
      <c r="B6628" s="2" t="str">
        <f>IFERROR(__xludf.DUMMYFUNCTION("GOOGLETRANSLATE(A6628, ""en"", ""mt"")"),"X'evidenza bejn u fost klassijiet ta 'kumplessità tista' tfisser l-ilma teoretiku għat-teorija tal-kumplessità?")</f>
        <v>X'evidenza bejn u fost klassijiet ta 'kumplessità tista' tfisser l-ilma teoretiku għat-teorija tal-kumplessità?</v>
      </c>
    </row>
    <row r="6629" ht="15.75" customHeight="1">
      <c r="A6629" s="2" t="s">
        <v>6629</v>
      </c>
      <c r="B6629" s="2" t="str">
        <f>IFERROR(__xludf.DUMMYFUNCTION("GOOGLETRANSLATE(A6629, ""en"", ""mt"")"),"Poteri Imperjali")</f>
        <v>Poteri Imperjali</v>
      </c>
    </row>
    <row r="6630" ht="15.75" customHeight="1">
      <c r="A6630" s="2" t="s">
        <v>6630</v>
      </c>
      <c r="B6630" s="2" t="str">
        <f>IFERROR(__xludf.DUMMYFUNCTION("GOOGLETRANSLATE(A6630, ""en"", ""mt"")"),"Il-problema ta 'fatturizzazzjoni sħiħa")</f>
        <v>Il-problema ta 'fatturizzazzjoni sħiħa</v>
      </c>
    </row>
    <row r="6631" ht="15.75" customHeight="1">
      <c r="A6631" s="2" t="s">
        <v>6631</v>
      </c>
      <c r="B6631" s="2" t="str">
        <f>IFERROR(__xludf.DUMMYFUNCTION("GOOGLETRANSLATE(A6631, ""en"", ""mt"")"),"Oċeaniku")</f>
        <v>Oċeaniku</v>
      </c>
    </row>
    <row r="6632" ht="15.75" customHeight="1">
      <c r="A6632" s="2" t="s">
        <v>6632</v>
      </c>
      <c r="B6632" s="2" t="str">
        <f>IFERROR(__xludf.DUMMYFUNCTION("GOOGLETRANSLATE(A6632, ""en"", ""mt"")"),"X'inhu użat biex insemmu l-istren tal-gravità relattiva?")</f>
        <v>X'inhu użat biex insemmu l-istren tal-gravità relattiva?</v>
      </c>
    </row>
    <row r="6633" ht="15.75" customHeight="1">
      <c r="A6633" s="2" t="s">
        <v>6633</v>
      </c>
      <c r="B6633" s="2" t="str">
        <f>IFERROR(__xludf.DUMMYFUNCTION("GOOGLETRANSLATE(A6633, ""en"", ""mt"")"),"Johann von Staupitz")</f>
        <v>Johann von Staupitz</v>
      </c>
    </row>
    <row r="6634" ht="15.75" customHeight="1">
      <c r="A6634" s="2" t="s">
        <v>6634</v>
      </c>
      <c r="B6634" s="2" t="str">
        <f>IFERROR(__xludf.DUMMYFUNCTION("GOOGLETRANSLATE(A6634, ""en"", ""mt"")"),"miljuni")</f>
        <v>miljuni</v>
      </c>
    </row>
    <row r="6635" ht="15.75" customHeight="1">
      <c r="A6635" s="2" t="s">
        <v>6635</v>
      </c>
      <c r="B6635" s="2" t="str">
        <f>IFERROR(__xludf.DUMMYFUNCTION("GOOGLETRANSLATE(A6635, ""en"", ""mt"")"),"Liema teorija ta 'Einstein's Tesla tkellmet b'mod kritiku lejn?")</f>
        <v>Liema teorija ta 'Einstein's Tesla tkellmet b'mod kritiku lejn?</v>
      </c>
    </row>
    <row r="6636" ht="15.75" customHeight="1">
      <c r="A6636" s="2" t="s">
        <v>6636</v>
      </c>
      <c r="B6636" s="2" t="str">
        <f>IFERROR(__xludf.DUMMYFUNCTION("GOOGLETRANSLATE(A6636, ""en"", ""mt"")"),"X'imkien ieħor fir-Renju Unit tat-Tramuntana")</f>
        <v>X'imkien ieħor fir-Renju Unit tat-Tramuntana</v>
      </c>
    </row>
    <row r="6637" ht="15.75" customHeight="1">
      <c r="A6637" s="2" t="s">
        <v>6637</v>
      </c>
      <c r="B6637" s="2" t="str">
        <f>IFERROR(__xludf.DUMMYFUNCTION("GOOGLETRANSLATE(A6637, ""en"", ""mt"")"),"X'inhuma l-uniċi stati fejn ABC m'għandux affiljat liċenzjat?")</f>
        <v>X'inhuma l-uniċi stati fejn ABC m'għandux affiljat liċenzjat?</v>
      </c>
    </row>
    <row r="6638" ht="15.75" customHeight="1">
      <c r="A6638" s="2" t="s">
        <v>6638</v>
      </c>
      <c r="B6638" s="2" t="str">
        <f>IFERROR(__xludf.DUMMYFUNCTION("GOOGLETRANSLATE(A6638, ""en"", ""mt"")"),"Louis Pasteur")</f>
        <v>Louis Pasteur</v>
      </c>
    </row>
    <row r="6639" ht="15.75" customHeight="1">
      <c r="A6639" s="2" t="s">
        <v>6639</v>
      </c>
      <c r="B6639" s="2" t="str">
        <f>IFERROR(__xludf.DUMMYFUNCTION("GOOGLETRANSLATE(A6639, ""en"", ""mt"")"),"Westminster")</f>
        <v>Westminster</v>
      </c>
    </row>
    <row r="6640" ht="15.75" customHeight="1">
      <c r="A6640" s="2" t="s">
        <v>6640</v>
      </c>
      <c r="B6640" s="2" t="str">
        <f>IFERROR(__xludf.DUMMYFUNCTION("GOOGLETRANSLATE(A6640, ""en"", ""mt"")"),"""L-Istituzzjonijiet Komprensivi tal-Yuan il-Kbir""")</f>
        <v>"L-Istituzzjonijiet Komprensivi tal-Yuan il-Kbir"</v>
      </c>
    </row>
    <row r="6641" ht="15.75" customHeight="1">
      <c r="A6641" s="2" t="s">
        <v>6641</v>
      </c>
      <c r="B6641" s="2" t="str">
        <f>IFERROR(__xludf.DUMMYFUNCTION("GOOGLETRANSLATE(A6641, ""en"", ""mt"")"),"Grupp tad-Divertiment")</f>
        <v>Grupp tad-Divertiment</v>
      </c>
    </row>
    <row r="6642" ht="15.75" customHeight="1">
      <c r="A6642" s="2" t="s">
        <v>6642</v>
      </c>
      <c r="B6642" s="2" t="str">
        <f>IFERROR(__xludf.DUMMYFUNCTION("GOOGLETRANSLATE(A6642, ""en"", ""mt"")"),"Madwar 75,000")</f>
        <v>Madwar 75,000</v>
      </c>
    </row>
    <row r="6643" ht="15.75" customHeight="1">
      <c r="A6643" s="2" t="s">
        <v>6643</v>
      </c>
      <c r="B6643" s="2" t="str">
        <f>IFERROR(__xludf.DUMMYFUNCTION("GOOGLETRANSLATE(A6643, ""en"", ""mt"")"),"Tours")</f>
        <v>Tours</v>
      </c>
    </row>
    <row r="6644" ht="15.75" customHeight="1">
      <c r="A6644" s="2" t="s">
        <v>6644</v>
      </c>
      <c r="B6644" s="2" t="str">
        <f>IFERROR(__xludf.DUMMYFUNCTION("GOOGLETRANSLATE(A6644, ""en"", ""mt"")"),"Kif ġie ppruvat dan id-dibattitu?")</f>
        <v>Kif ġie ppruvat dan id-dibattitu?</v>
      </c>
    </row>
    <row r="6645" ht="15.75" customHeight="1">
      <c r="A6645" s="2" t="s">
        <v>6645</v>
      </c>
      <c r="B6645" s="2" t="str">
        <f>IFERROR(__xludf.DUMMYFUNCTION("GOOGLETRANSLATE(A6645, ""en"", ""mt"")"),"Xmara Isfar")</f>
        <v>Xmara Isfar</v>
      </c>
    </row>
    <row r="6646" ht="15.75" customHeight="1">
      <c r="A6646" s="2" t="s">
        <v>6646</v>
      </c>
      <c r="B6646" s="2" t="str">
        <f>IFERROR(__xludf.DUMMYFUNCTION("GOOGLETRANSLATE(A6646, ""en"", ""mt"")"),"il-valur assolut")</f>
        <v>il-valur assolut</v>
      </c>
    </row>
    <row r="6647" ht="15.75" customHeight="1">
      <c r="A6647" s="2" t="s">
        <v>6647</v>
      </c>
      <c r="B6647" s="2" t="str">
        <f>IFERROR(__xludf.DUMMYFUNCTION("GOOGLETRANSLATE(A6647, ""en"", ""mt"")"),"Mis-sokits tas-snien fl-iskeletri tal-bniedem")</f>
        <v>Mis-sokits tas-snien fl-iskeletri tal-bniedem</v>
      </c>
    </row>
    <row r="6648" ht="15.75" customHeight="1">
      <c r="A6648" s="2" t="s">
        <v>6648</v>
      </c>
      <c r="B6648" s="2" t="str">
        <f>IFERROR(__xludf.DUMMYFUNCTION("GOOGLETRANSLATE(A6648, ""en"", ""mt"")"),"Genghis Khan Mausoleum")</f>
        <v>Genghis Khan Mausoleum</v>
      </c>
    </row>
    <row r="6649" ht="15.75" customHeight="1">
      <c r="A6649" s="2" t="s">
        <v>6649</v>
      </c>
      <c r="B6649" s="2" t="str">
        <f>IFERROR(__xludf.DUMMYFUNCTION("GOOGLETRANSLATE(A6649, ""en"", ""mt"")"),"Kemm stadji spiċċaw is-Saturn V?")</f>
        <v>Kemm stadji spiċċaw is-Saturn V?</v>
      </c>
    </row>
    <row r="6650" ht="15.75" customHeight="1">
      <c r="A6650" s="2" t="s">
        <v>6650</v>
      </c>
      <c r="B6650" s="2" t="str">
        <f>IFERROR(__xludf.DUMMYFUNCTION("GOOGLETRANSLATE(A6650, ""en"", ""mt"")"),"X'inhu l-isem Ċiniż għad-dinastija Yuan?")</f>
        <v>X'inhu l-isem Ċiniż għad-dinastija Yuan?</v>
      </c>
    </row>
    <row r="6651" ht="15.75" customHeight="1">
      <c r="A6651" s="2" t="s">
        <v>6651</v>
      </c>
      <c r="B6651" s="2" t="str">
        <f>IFERROR(__xludf.DUMMYFUNCTION("GOOGLETRANSLATE(A6651, ""en"", ""mt"")"),"Fl-1758 x'kien il-pjan ta 'Duc de Choiseul għal sforzi militari ffokati?")</f>
        <v>Fl-1758 x'kien il-pjan ta 'Duc de Choiseul għal sforzi militari ffokati?</v>
      </c>
    </row>
    <row r="6652" ht="15.75" customHeight="1">
      <c r="A6652" s="2" t="s">
        <v>6652</v>
      </c>
      <c r="B6652" s="2" t="str">
        <f>IFERROR(__xludf.DUMMYFUNCTION("GOOGLETRANSLATE(A6652, ""en"", ""mt"")"),"Nortman")</f>
        <v>Nortman</v>
      </c>
    </row>
    <row r="6653" ht="15.75" customHeight="1">
      <c r="A6653" s="2" t="s">
        <v>6653</v>
      </c>
      <c r="B6653" s="2" t="str">
        <f>IFERROR(__xludf.DUMMYFUNCTION("GOOGLETRANSLATE(A6653, ""en"", ""mt"")"),"Kemm siġġijiet ħadu l-SNP mid-Demokratiċi Liberali?")</f>
        <v>Kemm siġġijiet ħadu l-SNP mid-Demokratiċi Liberali?</v>
      </c>
    </row>
    <row r="6654" ht="15.75" customHeight="1">
      <c r="A6654" s="2" t="s">
        <v>6654</v>
      </c>
      <c r="B6654" s="2" t="str">
        <f>IFERROR(__xludf.DUMMYFUNCTION("GOOGLETRANSLATE(A6654, ""en"", ""mt"")"),"Jannar 1966")</f>
        <v>Jannar 1966</v>
      </c>
    </row>
    <row r="6655" ht="15.75" customHeight="1">
      <c r="A6655" s="2" t="s">
        <v>6655</v>
      </c>
      <c r="B6655" s="2" t="str">
        <f>IFERROR(__xludf.DUMMYFUNCTION("GOOGLETRANSLATE(A6655, ""en"", ""mt"")"),"perit")</f>
        <v>perit</v>
      </c>
    </row>
    <row r="6656" ht="15.75" customHeight="1">
      <c r="A6656" s="2" t="s">
        <v>6656</v>
      </c>
      <c r="B6656" s="2" t="str">
        <f>IFERROR(__xludf.DUMMYFUNCTION("GOOGLETRANSLATE(A6656, ""en"", ""mt"")"),"Utent jew ospitanti jistgħu jċemplu ospitanti fuq netwerk barrani billi jinkludu d-DNIC tan-netwerk remot bħala parti mill-indirizz tad-destinazzjoni")</f>
        <v>Utent jew ospitanti jistgħu jċemplu ospitanti fuq netwerk barrani billi jinkludu d-DNIC tan-netwerk remot bħala parti mill-indirizz tad-destinazzjoni</v>
      </c>
    </row>
    <row r="6657" ht="15.75" customHeight="1">
      <c r="A6657" s="2" t="s">
        <v>6657</v>
      </c>
      <c r="B6657" s="2" t="str">
        <f>IFERROR(__xludf.DUMMYFUNCTION("GOOGLETRANSLATE(A6657, ""en"", ""mt"")"),"Relazzjonijiet kummerċjali iżgħar mal-ġirien tagħhom")</f>
        <v>Relazzjonijiet kummerċjali iżgħar mal-ġirien tagħhom</v>
      </c>
    </row>
    <row r="6658" ht="15.75" customHeight="1">
      <c r="A6658" s="2" t="s">
        <v>6658</v>
      </c>
      <c r="B6658" s="2" t="str">
        <f>IFERROR(__xludf.DUMMYFUNCTION("GOOGLETRANSLATE(A6658, ""en"", ""mt"")"),"Tnedija mill-ġdid l-ispettaklu")</f>
        <v>Tnedija mill-ġdid l-ispettaklu</v>
      </c>
    </row>
    <row r="6659" ht="15.75" customHeight="1">
      <c r="A6659" s="2" t="s">
        <v>6659</v>
      </c>
      <c r="B6659" s="2" t="str">
        <f>IFERROR(__xludf.DUMMYFUNCTION("GOOGLETRANSLATE(A6659, ""en"", ""mt"")"),"Billi tonqos ir-reżistenza għall-fluss tad-demm fil-pulmuni, liema ammont ta 'xogħol ta' organu jista 'jitnaqqas?")</f>
        <v>Billi tonqos ir-reżistenza għall-fluss tad-demm fil-pulmuni, liema ammont ta 'xogħol ta' organu jista 'jitnaqqas?</v>
      </c>
    </row>
    <row r="6660" ht="15.75" customHeight="1">
      <c r="A6660" s="2" t="s">
        <v>6660</v>
      </c>
      <c r="B6660" s="2" t="str">
        <f>IFERROR(__xludf.DUMMYFUNCTION("GOOGLETRANSLATE(A6660, ""en"", ""mt"")"),"Min iħallas lill-ispiżjara Awstraljani talli għamlu reviżjonijiet ta 'mediċini fid-dar?")</f>
        <v>Min iħallas lill-ispiżjara Awstraljani talli għamlu reviżjonijiet ta 'mediċini fid-dar?</v>
      </c>
    </row>
    <row r="6661" ht="15.75" customHeight="1">
      <c r="A6661" s="2" t="s">
        <v>6661</v>
      </c>
      <c r="B6661" s="2" t="str">
        <f>IFERROR(__xludf.DUMMYFUNCTION("GOOGLETRANSLATE(A6661, ""en"", ""mt"")"),"McInnes Usher McKnight Architects")</f>
        <v>McInnes Usher McKnight Architects</v>
      </c>
    </row>
    <row r="6662" ht="15.75" customHeight="1">
      <c r="A6662" s="2" t="s">
        <v>6662</v>
      </c>
      <c r="B6662" s="2" t="str">
        <f>IFERROR(__xludf.DUMMYFUNCTION("GOOGLETRANSLATE(A6662, ""en"", ""mt"")"),"F'liema tipi ta 'organiżmi l-ewwel evolviet is-sistema immuni adatta?")</f>
        <v>F'liema tipi ta 'organiżmi l-ewwel evolviet is-sistema immuni adatta?</v>
      </c>
    </row>
    <row r="6663" ht="15.75" customHeight="1">
      <c r="A6663" s="2" t="s">
        <v>6663</v>
      </c>
      <c r="B6663" s="2" t="str">
        <f>IFERROR(__xludf.DUMMYFUNCTION("GOOGLETRANSLATE(A6663, ""en"", ""mt"")"),"Bl-istess mod, mhux magħruf jekk L (is-sett tal-problemi kollha li jistgħu jiġu solvuti fl-ispazju logaritmiku) jinsab strettament f'P jew daqs P. ugwali għal P., hemm ħafna klassijiet ta 'kumplessità bejn it-tnejn, bħal NL u NC, u Mhux magħruf jekk humie"&amp;"x klassijiet distinti jew ugwali.")</f>
        <v>Bl-istess mod, mhux magħruf jekk L (is-sett tal-problemi kollha li jistgħu jiġu solvuti fl-ispazju logaritmiku) jinsab strettament f'P jew daqs P. ugwali għal P., hemm ħafna klassijiet ta 'kumplessità bejn it-tnejn, bħal NL u NC, u Mhux magħruf jekk humiex klassijiet distinti jew ugwali.</v>
      </c>
    </row>
    <row r="6664" ht="15.75" customHeight="1">
      <c r="A6664" s="2" t="s">
        <v>6664</v>
      </c>
      <c r="B6664" s="2" t="str">
        <f>IFERROR(__xludf.DUMMYFUNCTION("GOOGLETRANSLATE(A6664, ""en"", ""mt"")"),"X'tip ta 'midja tista' tinstab referenzi għal Tesla")</f>
        <v>X'tip ta 'midja tista' tinstab referenzi għal Tesla</v>
      </c>
    </row>
    <row r="6665" ht="15.75" customHeight="1">
      <c r="A6665" s="2" t="s">
        <v>6665</v>
      </c>
      <c r="B6665" s="2" t="str">
        <f>IFERROR(__xludf.DUMMYFUNCTION("GOOGLETRANSLATE(A6665, ""en"", ""mt"")"),"X'inhu eżempju ta 'parassita li uża l-istrateġija ta' varjazzjoni antiġenika biex tevadi l-qerda?")</f>
        <v>X'inhu eżempju ta 'parassita li uża l-istrateġija ta' varjazzjoni antiġenika biex tevadi l-qerda?</v>
      </c>
    </row>
    <row r="6666" ht="15.75" customHeight="1">
      <c r="A6666" s="2" t="s">
        <v>6666</v>
      </c>
      <c r="B6666" s="2" t="str">
        <f>IFERROR(__xludf.DUMMYFUNCTION("GOOGLETRANSLATE(A6666, ""en"", ""mt"")"),"Selene tal-Aġenzija tal-Esplorazzjoni Aerospazjali tal-Ġappun")</f>
        <v>Selene tal-Aġenzija tal-Esplorazzjoni Aerospazjali tal-Ġappun</v>
      </c>
    </row>
    <row r="6667" ht="15.75" customHeight="1">
      <c r="A6667" s="2" t="s">
        <v>6667</v>
      </c>
      <c r="B6667" s="2" t="str">
        <f>IFERROR(__xludf.DUMMYFUNCTION("GOOGLETRANSLATE(A6667, ""en"", ""mt"")"),"Perjodu Triassiku")</f>
        <v>Perjodu Triassiku</v>
      </c>
    </row>
    <row r="6668" ht="15.75" customHeight="1">
      <c r="A6668" s="2" t="s">
        <v>6668</v>
      </c>
      <c r="B6668" s="2" t="str">
        <f>IFERROR(__xludf.DUMMYFUNCTION("GOOGLETRANSLATE(A6668, ""en"", ""mt"")"),"għoli")</f>
        <v>għoli</v>
      </c>
    </row>
    <row r="6669" ht="15.75" customHeight="1">
      <c r="A6669" s="2" t="s">
        <v>6669</v>
      </c>
      <c r="B6669" s="2" t="str">
        <f>IFERROR(__xludf.DUMMYFUNCTION("GOOGLETRANSLATE(A6669, ""en"", ""mt"")"),"Il-moviment li kien se jsir il-Knisja Metodista Magħquda beda f’nofs is-seklu 18 fil-Knisja tal-Ingilterra. Grupp żgħir ta ’studenti, inklużi John Wesley, Charles Wesley u George Whitefield, iltaqgħu fil-kampus tal-Università ta’ Oxford. Huma ffokaw fuq s"&amp;"tudju tal-Bibbja, studju metodiku tal-Iskrittura u jgħixu ħajja qaddisa. Studenti oħra burlahom, u qalu li kienu l- ""Holy Club"" u ""l-Metodisti"", li huma metodiċi u eċċezzjonalment dettaljati fl-istudju tal-Bibbja tagħhom, opinjonijiet u stil ta 'ħajja"&amp;" dixxiplinati. Eventwalment, l-hekk imsejħa Metodisti bdew soċjetajiet jew klassijiet individwali għall-membri tal-Knisja tal-Ingilterra li riedu jgħixu ħajja aktar reliġjuża.")</f>
        <v>Il-moviment li kien se jsir il-Knisja Metodista Magħquda beda f’nofs is-seklu 18 fil-Knisja tal-Ingilterra. Grupp żgħir ta ’studenti, inklużi John Wesley, Charles Wesley u George Whitefield, iltaqgħu fil-kampus tal-Università ta’ Oxford. Huma ffokaw fuq studju tal-Bibbja, studju metodiku tal-Iskrittura u jgħixu ħajja qaddisa. Studenti oħra burlahom, u qalu li kienu l- "Holy Club" u "l-Metodisti", li huma metodiċi u eċċezzjonalment dettaljati fl-istudju tal-Bibbja tagħhom, opinjonijiet u stil ta 'ħajja dixxiplinati. Eventwalment, l-hekk imsejħa Metodisti bdew soċjetajiet jew klassijiet individwali għall-membri tal-Knisja tal-Ingilterra li riedu jgħixu ħajja aktar reliġjuża.</v>
      </c>
    </row>
    <row r="6670" ht="15.75" customHeight="1">
      <c r="A6670" s="2" t="s">
        <v>6670</v>
      </c>
      <c r="B6670" s="2" t="str">
        <f>IFERROR(__xludf.DUMMYFUNCTION("GOOGLETRANSLATE(A6670, ""en"", ""mt"")"),"Intraprenditorija bbażata fuq l-opportunità")</f>
        <v>Intraprenditorija bbażata fuq l-opportunità</v>
      </c>
    </row>
    <row r="6671" ht="15.75" customHeight="1">
      <c r="A6671" s="2" t="s">
        <v>6671</v>
      </c>
      <c r="B6671" s="2" t="str">
        <f>IFERROR(__xludf.DUMMYFUNCTION("GOOGLETRANSLATE(A6671, ""en"", ""mt"")"),"Deżert")</f>
        <v>Deżert</v>
      </c>
    </row>
    <row r="6672" ht="15.75" customHeight="1">
      <c r="A6672" s="2" t="s">
        <v>6672</v>
      </c>
      <c r="B6672" s="2" t="str">
        <f>IFERROR(__xludf.DUMMYFUNCTION("GOOGLETRANSLATE(A6672, ""en"", ""mt"")"),"Min kien it-tielet tifel ta 'Genghis?")</f>
        <v>Min kien it-tielet tifel ta 'Genghis?</v>
      </c>
    </row>
    <row r="6673" ht="15.75" customHeight="1">
      <c r="A6673" s="2" t="s">
        <v>6673</v>
      </c>
      <c r="B6673" s="2" t="str">
        <f>IFERROR(__xludf.DUMMYFUNCTION("GOOGLETRANSLATE(A6673, ""en"", ""mt"")"),"Li bħalissa ma teżisti l-ebda problema ta 'fatturizzazzjoni sħiħa magħrufa fuq liema sistema użata b'mod komuni?")</f>
        <v>Li bħalissa ma teżisti l-ebda problema ta 'fatturizzazzjoni sħiħa magħrufa fuq liema sistema użata b'mod komuni?</v>
      </c>
    </row>
    <row r="6674" ht="15.75" customHeight="1">
      <c r="A6674" s="2" t="s">
        <v>6674</v>
      </c>
      <c r="B6674" s="2" t="str">
        <f>IFERROR(__xludf.DUMMYFUNCTION("GOOGLETRANSLATE(A6674, ""en"", ""mt"")"),"xjenza tal-prattika tal-ispiżerija u x-xjenza tal-informazzjoni applikata")</f>
        <v>xjenza tal-prattika tal-ispiżerija u x-xjenza tal-informazzjoni applikata</v>
      </c>
    </row>
    <row r="6675" ht="15.75" customHeight="1">
      <c r="A6675" s="2" t="s">
        <v>6675</v>
      </c>
      <c r="B6675" s="2" t="str">
        <f>IFERROR(__xludf.DUMMYFUNCTION("GOOGLETRANSLATE(A6675, ""en"", ""mt"")"),"Skejjel affiljati u denominazzjonali reliġjużament jiffurmaw subkategorija ta 'skejjel privati. Xi skejjel bħal dawn jgħallmu l-edukazzjoni reliġjuża, flimkien mas-suġġetti akkademiċi tas-soltu biex jimpressjonaw it-twemmin u t-tradizzjonijiet tal-fidi pa"&amp;"rtikolari tagħhom fl-istudenti li jattendu. Oħrajn jużaw id-denominazzjoni bħala aktar ta 'tikketta ġenerali biex jiddeskrivu fuq dak li l-fundaturi bbażaw it-twemmin tagħhom, filwaqt li għadhom iżommu distinzjoni fina bejn l-akkademiċi u r-reliġjon. Dawn"&amp;" jinkludu skejjel parrokkjali, terminu li ħafna drabi jintuża biex jindika skejjel Kattoliċi Rumani. Gruppi reliġjużi oħra rappreżentati fis-settur tal-edukazzjoni privata tal-K-12 jinkludu Protestanti, Lhud, Musulmani u l-Insara Ortodossi.")</f>
        <v>Skejjel affiljati u denominazzjonali reliġjużament jiffurmaw subkategorija ta 'skejjel privati. Xi skejjel bħal dawn jgħallmu l-edukazzjoni reliġjuża, flimkien mas-suġġetti akkademiċi tas-soltu biex jimpressjonaw it-twemmin u t-tradizzjonijiet tal-fidi partikolari tagħhom fl-istudenti li jattendu. Oħrajn jużaw id-denominazzjoni bħala aktar ta 'tikketta ġenerali biex jiddeskrivu fuq dak li l-fundaturi bbażaw it-twemmin tagħhom, filwaqt li għadhom iżommu distinzjoni fina bejn l-akkademiċi u r-reliġjon. Dawn jinkludu skejjel parrokkjali, terminu li ħafna drabi jintuża biex jindika skejjel Kattoliċi Rumani. Gruppi reliġjużi oħra rappreżentati fis-settur tal-edukazzjoni privata tal-K-12 jinkludu Protestanti, Lhud, Musulmani u l-Insara Ortodossi.</v>
      </c>
    </row>
    <row r="6676" ht="15.75" customHeight="1">
      <c r="A6676" s="2" t="s">
        <v>6676</v>
      </c>
      <c r="B6676" s="2" t="str">
        <f>IFERROR(__xludf.DUMMYFUNCTION("GOOGLETRANSLATE(A6676, ""en"", ""mt"")"),"Min kien imqabbad iżżewweġ meta wasal fl-età?")</f>
        <v>Min kien imqabbad iżżewweġ meta wasal fl-età?</v>
      </c>
    </row>
    <row r="6677" ht="15.75" customHeight="1">
      <c r="A6677" s="2" t="s">
        <v>6677</v>
      </c>
      <c r="B6677" s="2" t="str">
        <f>IFERROR(__xludf.DUMMYFUNCTION("GOOGLETRANSLATE(A6677, ""en"", ""mt"")"),"jissupplimentah")</f>
        <v>jissupplimentah</v>
      </c>
    </row>
    <row r="6678" ht="15.75" customHeight="1">
      <c r="A6678" s="2" t="s">
        <v>6678</v>
      </c>
      <c r="B6678" s="2" t="str">
        <f>IFERROR(__xludf.DUMMYFUNCTION("GOOGLETRANSLATE(A6678, ""en"", ""mt"")"),"kombinazzjoni ta 'antrax u pandemiċi oħra")</f>
        <v>kombinazzjoni ta 'antrax u pandemiċi oħra</v>
      </c>
    </row>
    <row r="6679" ht="15.75" customHeight="1">
      <c r="A6679" s="2" t="s">
        <v>6679</v>
      </c>
      <c r="B6679" s="2" t="str">
        <f>IFERROR(__xludf.DUMMYFUNCTION("GOOGLETRANSLATE(A6679, ""en"", ""mt"")"),"djar konvertiti jew maqsuma")</f>
        <v>djar konvertiti jew maqsuma</v>
      </c>
    </row>
    <row r="6680" ht="15.75" customHeight="1">
      <c r="A6680" s="2" t="s">
        <v>6680</v>
      </c>
      <c r="B6680" s="2" t="str">
        <f>IFERROR(__xludf.DUMMYFUNCTION("GOOGLETRANSLATE(A6680, ""en"", ""mt"")"),"sospiż")</f>
        <v>sospiż</v>
      </c>
    </row>
    <row r="6681" ht="15.75" customHeight="1">
      <c r="A6681" s="2" t="s">
        <v>6681</v>
      </c>
      <c r="B6681" s="2" t="str">
        <f>IFERROR(__xludf.DUMMYFUNCTION("GOOGLETRANSLATE(A6681, ""en"", ""mt"")"),"Xjentist Mad")</f>
        <v>Xjentist Mad</v>
      </c>
    </row>
    <row r="6682" ht="15.75" customHeight="1">
      <c r="A6682" s="2" t="s">
        <v>6682</v>
      </c>
      <c r="B6682" s="2" t="str">
        <f>IFERROR(__xludf.DUMMYFUNCTION("GOOGLETRANSLATE(A6682, ""en"", ""mt"")"),"agħar każ")</f>
        <v>agħar każ</v>
      </c>
    </row>
    <row r="6683" ht="15.75" customHeight="1">
      <c r="A6683" s="2" t="s">
        <v>6683</v>
      </c>
      <c r="B6683" s="2" t="str">
        <f>IFERROR(__xludf.DUMMYFUNCTION("GOOGLETRANSLATE(A6683, ""en"", ""mt"")"),"antiġen")</f>
        <v>antiġen</v>
      </c>
    </row>
    <row r="6684" ht="15.75" customHeight="1">
      <c r="A6684" s="2" t="s">
        <v>6684</v>
      </c>
      <c r="B6684" s="2" t="str">
        <f>IFERROR(__xludf.DUMMYFUNCTION("GOOGLETRANSLATE(A6684, ""en"", ""mt"")"),"Wara l-għaqda ta 'Disney-ABC Television Group, ABC Studios, u ABC Entertainment, x'kienet l-entità li tirriżulta?")</f>
        <v>Wara l-għaqda ta 'Disney-ABC Television Group, ABC Studios, u ABC Entertainment, x'kienet l-entità li tirriżulta?</v>
      </c>
    </row>
    <row r="6685" ht="15.75" customHeight="1">
      <c r="A6685" s="2" t="s">
        <v>6685</v>
      </c>
      <c r="B6685" s="2" t="str">
        <f>IFERROR(__xludf.DUMMYFUNCTION("GOOGLETRANSLATE(A6685, ""en"", ""mt"")"),"Emissjonijiet relatati mal-karbonju")</f>
        <v>Emissjonijiet relatati mal-karbonju</v>
      </c>
    </row>
    <row r="6686" ht="15.75" customHeight="1">
      <c r="A6686" s="2" t="s">
        <v>6686</v>
      </c>
      <c r="B6686" s="2" t="str">
        <f>IFERROR(__xludf.DUMMYFUNCTION("GOOGLETRANSLATE(A6686, ""en"", ""mt"")"),"Għaliex il-livell tal-baħar attwali qed jiżdied?")</f>
        <v>Għaliex il-livell tal-baħar attwali qed jiżdied?</v>
      </c>
    </row>
    <row r="6687" ht="15.75" customHeight="1">
      <c r="A6687" s="2" t="s">
        <v>6687</v>
      </c>
      <c r="B6687" s="2" t="str">
        <f>IFERROR(__xludf.DUMMYFUNCTION("GOOGLETRANSLATE(A6687, ""en"", ""mt"")"),"Liema linja tal-kruċieri inkludiet Newcastle bħala port tat-tluq mill-2007?")</f>
        <v>Liema linja tal-kruċieri inkludiet Newcastle bħala port tat-tluq mill-2007?</v>
      </c>
    </row>
    <row r="6688" ht="15.75" customHeight="1">
      <c r="A6688" s="2" t="s">
        <v>6688</v>
      </c>
      <c r="B6688" s="2" t="str">
        <f>IFERROR(__xludf.DUMMYFUNCTION("GOOGLETRANSLATE(A6688, ""en"", ""mt"")"),"X'tessa 'Temüjin f'Jamukha wara t-telfa ta' dan tal-aħħar?")</f>
        <v>X'tessa 'Temüjin f'Jamukha wara t-telfa ta' dan tal-aħħar?</v>
      </c>
    </row>
    <row r="6689" ht="15.75" customHeight="1">
      <c r="A6689" s="2" t="s">
        <v>6689</v>
      </c>
      <c r="B6689" s="2" t="str">
        <f>IFERROR(__xludf.DUMMYFUNCTION("GOOGLETRANSLATE(A6689, ""en"", ""mt"")"),"L-investituri wrew ftit interess fl-ideat ta 'Tesla għal tipi ġodda ta' muturi u tagħmir ta 'trasmissjoni elettrika u dehru wkoll jaħsbu li kien aħjar li tiżviluppa utilità elettrika milli tivvinta sistemi ġodda. Huma eventwalment ġiegħlu lil Tesla joħroġ"&amp;" minnu bla penniless. Huwa saħansitra tilef il-kontroll tal-privattivi li kien iġġenera minn meta kien assenjathom lill-kumpanija minflok l-istokk. Huwa kellu jaħdem f'diversi impjiegi ta 'tiswija elettrika u anke bħala tħaffir tal-foss għal $ 2 kuljum. T"&amp;"esla qieset ix-xitwa tal-1886/1887 bħala żmien ta '""uġigħ ta' ras terribbli u dmugħ morr."" Matul dan iż-żmien, huwa ddubita l-valur tal-edukazzjoni tiegħu.")</f>
        <v>L-investituri wrew ftit interess fl-ideat ta 'Tesla għal tipi ġodda ta' muturi u tagħmir ta 'trasmissjoni elettrika u dehru wkoll jaħsbu li kien aħjar li tiżviluppa utilità elettrika milli tivvinta sistemi ġodda. Huma eventwalment ġiegħlu lil Tesla joħroġ minnu bla penniless. Huwa saħansitra tilef il-kontroll tal-privattivi li kien iġġenera minn meta kien assenjathom lill-kumpanija minflok l-istokk. Huwa kellu jaħdem f'diversi impjiegi ta 'tiswija elettrika u anke bħala tħaffir tal-foss għal $ 2 kuljum. Tesla qieset ix-xitwa tal-1886/1887 bħala żmien ta '"uġigħ ta' ras terribbli u dmugħ morr." Matul dan iż-żmien, huwa ddubita l-valur tal-edukazzjoni tiegħu.</v>
      </c>
    </row>
    <row r="6690" ht="15.75" customHeight="1">
      <c r="A6690" s="2" t="s">
        <v>6690</v>
      </c>
      <c r="B6690" s="2" t="str">
        <f>IFERROR(__xludf.DUMMYFUNCTION("GOOGLETRANSLATE(A6690, ""en"", ""mt"")"),"2p - 1,")</f>
        <v>2p - 1,</v>
      </c>
    </row>
    <row r="6691" ht="15.75" customHeight="1">
      <c r="A6691" s="2" t="s">
        <v>6691</v>
      </c>
      <c r="B6691" s="2" t="str">
        <f>IFERROR(__xludf.DUMMYFUNCTION("GOOGLETRANSLATE(A6691, ""en"", ""mt"")"),"X'inhi l-pożizzjoni li tilgħab Derek Wolfe bħalissa?")</f>
        <v>X'inhi l-pożizzjoni li tilgħab Derek Wolfe bħalissa?</v>
      </c>
    </row>
    <row r="6692" ht="15.75" customHeight="1">
      <c r="A6692" s="2" t="s">
        <v>6692</v>
      </c>
      <c r="B6692" s="2" t="str">
        <f>IFERROR(__xludf.DUMMYFUNCTION("GOOGLETRANSLATE(A6692, ""en"", ""mt"")"),"Kemm ġew Musulmani minn madwar id-dinja biex jiġġieldu fl-Afganistan?")</f>
        <v>Kemm ġew Musulmani minn madwar id-dinja biex jiġġieldu fl-Afganistan?</v>
      </c>
    </row>
    <row r="6693" ht="15.75" customHeight="1">
      <c r="A6693" s="2" t="s">
        <v>6693</v>
      </c>
      <c r="B6693" s="2" t="str">
        <f>IFERROR(__xludf.DUMMYFUNCTION("GOOGLETRANSLATE(A6693, ""en"", ""mt"")"),"Il-foresta tropikali tal-Amazon tifforma liema ammont tal-foresti tropikali tad-Dinja?")</f>
        <v>Il-foresta tropikali tal-Amazon tifforma liema ammont tal-foresti tropikali tad-Dinja?</v>
      </c>
    </row>
    <row r="6694" ht="15.75" customHeight="1">
      <c r="A6694" s="2" t="s">
        <v>6694</v>
      </c>
      <c r="B6694" s="2" t="str">
        <f>IFERROR(__xludf.DUMMYFUNCTION("GOOGLETRANSLATE(A6694, ""en"", ""mt"")"),"Liema Karta saret aspett importanti tal-liġi tal-UE?")</f>
        <v>Liema Karta saret aspett importanti tal-liġi tal-UE?</v>
      </c>
    </row>
    <row r="6695" ht="15.75" customHeight="1">
      <c r="A6695" s="2" t="s">
        <v>6695</v>
      </c>
      <c r="B6695" s="2" t="str">
        <f>IFERROR(__xludf.DUMMYFUNCTION("GOOGLETRANSLATE(A6695, ""en"", ""mt"")"),"Jimmy Kimmel")</f>
        <v>Jimmy Kimmel</v>
      </c>
    </row>
    <row r="6696" ht="15.75" customHeight="1">
      <c r="A6696" s="2" t="s">
        <v>6696</v>
      </c>
      <c r="B6696" s="2" t="str">
        <f>IFERROR(__xludf.DUMMYFUNCTION("GOOGLETRANSLATE(A6696, ""en"", ""mt"")"),"Min l-ewwel lagħab il-kaptan fis-serje 2007?")</f>
        <v>Min l-ewwel lagħab il-kaptan fis-serje 2007?</v>
      </c>
    </row>
    <row r="6697" ht="15.75" customHeight="1">
      <c r="A6697" s="2" t="s">
        <v>6697</v>
      </c>
      <c r="B6697" s="2" t="str">
        <f>IFERROR(__xludf.DUMMYFUNCTION("GOOGLETRANSLATE(A6697, ""en"", ""mt"")"),"49–15")</f>
        <v>49–15</v>
      </c>
    </row>
    <row r="6698" ht="15.75" customHeight="1">
      <c r="A6698" s="2" t="s">
        <v>6698</v>
      </c>
      <c r="B6698" s="2" t="str">
        <f>IFERROR(__xludf.DUMMYFUNCTION("GOOGLETRANSLATE(A6698, ""en"", ""mt"")"),"X'inhu simili ATP synthase?")</f>
        <v>X'inhu simili ATP synthase?</v>
      </c>
    </row>
    <row r="6699" ht="15.75" customHeight="1">
      <c r="A6699" s="2" t="s">
        <v>6699</v>
      </c>
      <c r="B6699" s="2" t="str">
        <f>IFERROR(__xludf.DUMMYFUNCTION("GOOGLETRANSLATE(A6699, ""en"", ""mt"")"),"Il-klima aktar mxarrba setgħet ippermettiet li l-foresta tropikali tropikali tinfirex madwar il-kontinent.")</f>
        <v>Il-klima aktar mxarrba setgħet ippermettiet li l-foresta tropikali tropikali tinfirex madwar il-kontinent.</v>
      </c>
    </row>
    <row r="6700" ht="15.75" customHeight="1">
      <c r="A6700" s="2" t="s">
        <v>6700</v>
      </c>
      <c r="B6700" s="2" t="str">
        <f>IFERROR(__xludf.DUMMYFUNCTION("GOOGLETRANSLATE(A6700, ""en"", ""mt"")"),"Kemm iddikjara li l-enerġija mekkanika tista 'tiġi trasmessa?")</f>
        <v>Kemm iddikjara li l-enerġija mekkanika tista 'tiġi trasmessa?</v>
      </c>
    </row>
    <row r="6701" ht="15.75" customHeight="1">
      <c r="A6701" s="2" t="s">
        <v>6701</v>
      </c>
      <c r="B6701" s="2" t="str">
        <f>IFERROR(__xludf.DUMMYFUNCTION("GOOGLETRANSLATE(A6701, ""en"", ""mt"")"),"Gottfried Semper")</f>
        <v>Gottfried Semper</v>
      </c>
    </row>
    <row r="6702" ht="15.75" customHeight="1">
      <c r="A6702" s="2" t="s">
        <v>6702</v>
      </c>
      <c r="B6702" s="2" t="str">
        <f>IFERROR(__xludf.DUMMYFUNCTION("GOOGLETRANSLATE(A6702, ""en"", ""mt"")"),"Ctenophores oħra")</f>
        <v>Ctenophores oħra</v>
      </c>
    </row>
    <row r="6703" ht="15.75" customHeight="1">
      <c r="A6703" s="2" t="s">
        <v>6703</v>
      </c>
      <c r="B6703" s="2" t="str">
        <f>IFERROR(__xludf.DUMMYFUNCTION("GOOGLETRANSLATE(A6703, ""en"", ""mt"")"),"ma riedx irġiel żleali fl-armata tiegħu")</f>
        <v>ma riedx irġiel żleali fl-armata tiegħu</v>
      </c>
    </row>
    <row r="6704" ht="15.75" customHeight="1">
      <c r="A6704" s="2" t="s">
        <v>6704</v>
      </c>
      <c r="B6704" s="2" t="str">
        <f>IFERROR(__xludf.DUMMYFUNCTION("GOOGLETRANSLATE(A6704, ""en"", ""mt"")"),"jippreskrivu u jwarrbu mediċini biss bir-riċetta lill-pazjenti tagħhom minn ġewwa l-prattiki tagħhom")</f>
        <v>jippreskrivu u jwarrbu mediċini biss bir-riċetta lill-pazjenti tagħhom minn ġewwa l-prattiki tagħhom</v>
      </c>
    </row>
    <row r="6705" ht="15.75" customHeight="1">
      <c r="A6705" s="2" t="s">
        <v>6705</v>
      </c>
      <c r="B6705" s="2" t="str">
        <f>IFERROR(__xludf.DUMMYFUNCTION("GOOGLETRANSLATE(A6705, ""en"", ""mt"")"),"Kemm speċi ta 'insetti huma magħrufa fir-reġjun?")</f>
        <v>Kemm speċi ta 'insetti huma magħrufa fir-reġjun?</v>
      </c>
    </row>
    <row r="6706" ht="15.75" customHeight="1">
      <c r="A6706" s="2" t="s">
        <v>6706</v>
      </c>
      <c r="B6706" s="2" t="str">
        <f>IFERROR(__xludf.DUMMYFUNCTION("GOOGLETRANSLATE(A6706, ""en"", ""mt"")"),"Pont Ludendorff")</f>
        <v>Pont Ludendorff</v>
      </c>
    </row>
    <row r="6707" ht="15.75" customHeight="1">
      <c r="A6707" s="2" t="s">
        <v>6707</v>
      </c>
      <c r="B6707" s="2" t="str">
        <f>IFERROR(__xludf.DUMMYFUNCTION("GOOGLETRANSLATE(A6707, ""en"", ""mt"")"),"għal tliet raġunijiet")</f>
        <v>għal tliet raġunijiet</v>
      </c>
    </row>
    <row r="6708" ht="15.75" customHeight="1">
      <c r="A6708" s="2" t="s">
        <v>6708</v>
      </c>
      <c r="B6708" s="2" t="str">
        <f>IFERROR(__xludf.DUMMYFUNCTION("GOOGLETRANSLATE(A6708, ""en"", ""mt"")"),"Lag t'isfel")</f>
        <v>Lag t'isfel</v>
      </c>
    </row>
    <row r="6709" ht="15.75" customHeight="1">
      <c r="A6709" s="2" t="s">
        <v>6709</v>
      </c>
      <c r="B6709" s="2" t="str">
        <f>IFERROR(__xludf.DUMMYFUNCTION("GOOGLETRANSLATE(A6709, ""en"", ""mt"")"),"Mike Nichols")</f>
        <v>Mike Nichols</v>
      </c>
    </row>
    <row r="6710" ht="15.75" customHeight="1">
      <c r="A6710" s="2" t="s">
        <v>6710</v>
      </c>
      <c r="B6710" s="2" t="str">
        <f>IFERROR(__xludf.DUMMYFUNCTION("GOOGLETRANSLATE(A6710, ""en"", ""mt"")"),"Diploblastic")</f>
        <v>Diploblastic</v>
      </c>
    </row>
    <row r="6711" ht="15.75" customHeight="1">
      <c r="A6711" s="2" t="s">
        <v>6711</v>
      </c>
      <c r="B6711" s="2" t="str">
        <f>IFERROR(__xludf.DUMMYFUNCTION("GOOGLETRANSLATE(A6711, ""en"", ""mt"")"),"La Nativité du Seigneur")</f>
        <v>La Nativité du Seigneur</v>
      </c>
    </row>
    <row r="6712" ht="15.75" customHeight="1">
      <c r="A6712" s="2" t="s">
        <v>6712</v>
      </c>
      <c r="B6712" s="2" t="str">
        <f>IFERROR(__xludf.DUMMYFUNCTION("GOOGLETRANSLATE(A6712, ""en"", ""mt"")"),"Is-Semen fih dak li joqtol il-patoġeni?")</f>
        <v>Is-Semen fih dak li joqtol il-patoġeni?</v>
      </c>
    </row>
    <row r="6713" ht="15.75" customHeight="1">
      <c r="A6713" s="2" t="s">
        <v>6713</v>
      </c>
      <c r="B6713" s="2" t="str">
        <f>IFERROR(__xludf.DUMMYFUNCTION("GOOGLETRANSLATE(A6713, ""en"", ""mt"")"),"mijiet")</f>
        <v>mijiet</v>
      </c>
    </row>
    <row r="6714" ht="15.75" customHeight="1">
      <c r="A6714" s="2" t="s">
        <v>6714</v>
      </c>
      <c r="B6714" s="2" t="str">
        <f>IFERROR(__xludf.DUMMYFUNCTION("GOOGLETRANSLATE(A6714, ""en"", ""mt"")"),"Fl-aħħar tal-1949, l-operatur tat-teatru tal-films United Paramount Theaters (UPT) kien sfurzat mill-Qorti Suprema tal-Istati Uniti biex issir entità indipendenti, li tifred lilha nnifisha minn Paramount Pictures. Min-naħa tagħha, ABC kienet f'xifer ta 'f"&amp;"alliment, b'ħames stazzjonijiet ta' proprjetà u mħaddma biss u disa 'affiljati full-time. Id-dħul tagħha, li kien relatat mar-reklamar u ġew indiċjati meta mqabbla man-numru ta 'semmiegħa / telespettaturi, naqas milli jikkumpensa għall-investimenti tqal t"&amp;"iegħu fl-istazzjonijiet tax-xiri u tal-bini. Fl-1951, rumor saħansitra semma li n-netwerk se jinbiegħ lil CBS. Fl-1951, Noble kellu sehem ta '58% ta' sjieda f'ABC, li tah $ 5 miljun biex jipprevjeni lil ABC milli fallut; Hekk kif il-banek irrifjutaw aktar"&amp;" kreditu, dak l-ammont inkiseb permezz ta 'self mill-Kumpanija tal-Assikurazzjoni Prudenzjali tal-Amerika.")</f>
        <v>Fl-aħħar tal-1949, l-operatur tat-teatru tal-films United Paramount Theaters (UPT) kien sfurzat mill-Qorti Suprema tal-Istati Uniti biex issir entità indipendenti, li tifred lilha nnifisha minn Paramount Pictures. Min-naħa tagħha, ABC kienet f'xifer ta 'falliment, b'ħames stazzjonijiet ta' proprjetà u mħaddma biss u disa 'affiljati full-time. Id-dħul tagħha, li kien relatat mar-reklamar u ġew indiċjati meta mqabbla man-numru ta 'semmiegħa / telespettaturi, naqas milli jikkumpensa għall-investimenti tqal tiegħu fl-istazzjonijiet tax-xiri u tal-bini. Fl-1951, rumor saħansitra semma li n-netwerk se jinbiegħ lil CBS. Fl-1951, Noble kellu sehem ta '58% ta' sjieda f'ABC, li tah $ 5 miljun biex jipprevjeni lil ABC milli fallut; Hekk kif il-banek irrifjutaw aktar kreditu, dak l-ammont inkiseb permezz ta 'self mill-Kumpanija tal-Assikurazzjoni Prudenzjali tal-Amerika.</v>
      </c>
    </row>
    <row r="6715" ht="15.75" customHeight="1">
      <c r="A6715" s="2" t="s">
        <v>6715</v>
      </c>
      <c r="B6715" s="2" t="str">
        <f>IFERROR(__xludf.DUMMYFUNCTION("GOOGLETRANSLATE(A6715, ""en"", ""mt"")"),"WLQP-LP")</f>
        <v>WLQP-LP</v>
      </c>
    </row>
    <row r="6716" ht="15.75" customHeight="1">
      <c r="A6716" s="2" t="s">
        <v>6716</v>
      </c>
      <c r="B6716" s="2" t="str">
        <f>IFERROR(__xludf.DUMMYFUNCTION("GOOGLETRANSLATE(A6716, ""en"", ""mt"")"),"Dinja llum")</f>
        <v>Dinja llum</v>
      </c>
    </row>
    <row r="6717" ht="15.75" customHeight="1">
      <c r="A6717" s="2" t="s">
        <v>6717</v>
      </c>
      <c r="B6717" s="2" t="str">
        <f>IFERROR(__xludf.DUMMYFUNCTION("GOOGLETRANSLATE(A6717, ""en"", ""mt"")"),"Assoċjazzjoni tal-Atletika tal-Università (UAA)")</f>
        <v>Assoċjazzjoni tal-Atletika tal-Università (UAA)</v>
      </c>
    </row>
    <row r="6718" ht="15.75" customHeight="1">
      <c r="A6718" s="2" t="s">
        <v>6718</v>
      </c>
      <c r="B6718" s="2" t="str">
        <f>IFERROR(__xludf.DUMMYFUNCTION("GOOGLETRANSLATE(A6718, ""en"", ""mt"")"),"Kontenut ogħla ta 'ossiġnu")</f>
        <v>Kontenut ogħla ta 'ossiġnu</v>
      </c>
    </row>
    <row r="6719" ht="15.75" customHeight="1">
      <c r="A6719" s="2" t="s">
        <v>6719</v>
      </c>
      <c r="B6719" s="2" t="str">
        <f>IFERROR(__xludf.DUMMYFUNCTION("GOOGLETRANSLATE(A6719, ""en"", ""mt"")"),"Tibqa 'mal-istess grupp ta' sħabhom għall-klassijiet kollha")</f>
        <v>Tibqa 'mal-istess grupp ta' sħabhom għall-klassijiet kollha</v>
      </c>
    </row>
    <row r="6720" ht="15.75" customHeight="1">
      <c r="A6720" s="2" t="s">
        <v>6720</v>
      </c>
      <c r="B6720" s="2" t="str">
        <f>IFERROR(__xludf.DUMMYFUNCTION("GOOGLETRANSLATE(A6720, ""en"", ""mt"")"),"F'liema għaxar snin intużaw l-injetturi ħafna fil-magni tal-fwar?")</f>
        <v>F'liema għaxar snin intużaw l-injetturi ħafna fil-magni tal-fwar?</v>
      </c>
    </row>
    <row r="6721" ht="15.75" customHeight="1">
      <c r="A6721" s="2" t="s">
        <v>6721</v>
      </c>
      <c r="B6721" s="2" t="str">
        <f>IFERROR(__xludf.DUMMYFUNCTION("GOOGLETRANSLATE(A6721, ""en"", ""mt"")"),"Sqallija")</f>
        <v>Sqallija</v>
      </c>
    </row>
    <row r="6722" ht="15.75" customHeight="1">
      <c r="A6722" s="2" t="s">
        <v>6722</v>
      </c>
      <c r="B6722" s="2" t="str">
        <f>IFERROR(__xludf.DUMMYFUNCTION("GOOGLETRANSLATE(A6722, ""en"", ""mt"")"),"Kontea tat-Tramuntana")</f>
        <v>Kontea tat-Tramuntana</v>
      </c>
    </row>
    <row r="6723" ht="15.75" customHeight="1">
      <c r="A6723" s="2" t="s">
        <v>6723</v>
      </c>
      <c r="B6723" s="2" t="str">
        <f>IFERROR(__xludf.DUMMYFUNCTION("GOOGLETRANSLATE(A6723, ""en"", ""mt"")"),"1974")</f>
        <v>1974</v>
      </c>
    </row>
    <row r="6724" ht="15.75" customHeight="1">
      <c r="A6724" s="2" t="s">
        <v>6724</v>
      </c>
      <c r="B6724" s="2" t="str">
        <f>IFERROR(__xludf.DUMMYFUNCTION("GOOGLETRANSLATE(A6724, ""en"", ""mt"")"),"Komposti inorganiċi")</f>
        <v>Komposti inorganiċi</v>
      </c>
    </row>
    <row r="6725" ht="15.75" customHeight="1">
      <c r="A6725" s="2" t="s">
        <v>6725</v>
      </c>
      <c r="B6725" s="2" t="str">
        <f>IFERROR(__xludf.DUMMYFUNCTION("GOOGLETRANSLATE(A6725, ""en"", ""mt"")"),"⅓ lil Tesla, ⅓ għal Peck u Brown, u ⅓ biex tiffinanzja l-iżvilupp")</f>
        <v>⅓ lil Tesla, ⅓ għal Peck u Brown, u ⅓ biex tiffinanzja l-iżvilupp</v>
      </c>
    </row>
    <row r="6726" ht="15.75" customHeight="1">
      <c r="A6726" s="2" t="s">
        <v>6726</v>
      </c>
      <c r="B6726" s="2" t="str">
        <f>IFERROR(__xludf.DUMMYFUNCTION("GOOGLETRANSLATE(A6726, ""en"", ""mt"")"),"X'tipi ta 'organizzazzjonijiet qegħdin jonqsu fl-Istati Uniti li jaffettwa ħażin il-mobilità ekonomika?")</f>
        <v>X'tipi ta 'organizzazzjonijiet qegħdin jonqsu fl-Istati Uniti li jaffettwa ħażin il-mobilità ekonomika?</v>
      </c>
    </row>
    <row r="6727" ht="15.75" customHeight="1">
      <c r="A6727" s="2" t="s">
        <v>6727</v>
      </c>
      <c r="B6727" s="2" t="str">
        <f>IFERROR(__xludf.DUMMYFUNCTION("GOOGLETRANSLATE(A6727, ""en"", ""mt"")"),"Tucker")</f>
        <v>Tucker</v>
      </c>
    </row>
    <row r="6728" ht="15.75" customHeight="1">
      <c r="A6728" s="2" t="s">
        <v>6728</v>
      </c>
      <c r="B6728" s="2" t="str">
        <f>IFERROR(__xludf.DUMMYFUNCTION("GOOGLETRANSLATE(A6728, ""en"", ""mt"")"),"Università")</f>
        <v>Università</v>
      </c>
    </row>
    <row r="6729" ht="15.75" customHeight="1">
      <c r="A6729" s="2" t="s">
        <v>6729</v>
      </c>
      <c r="B6729" s="2" t="str">
        <f>IFERROR(__xludf.DUMMYFUNCTION("GOOGLETRANSLATE(A6729, ""en"", ""mt"")"),"Dak li jgħin biex jinħeles il-kapaċità tal-produttività tal-foqra?")</f>
        <v>Dak li jgħin biex jinħeles il-kapaċità tal-produttività tal-foqra?</v>
      </c>
    </row>
    <row r="6730" ht="15.75" customHeight="1">
      <c r="A6730" s="2" t="s">
        <v>6730</v>
      </c>
      <c r="B6730" s="2" t="str">
        <f>IFERROR(__xludf.DUMMYFUNCTION("GOOGLETRANSLATE(A6730, ""en"", ""mt"")"),"lobi")</f>
        <v>lobi</v>
      </c>
    </row>
    <row r="6731" ht="15.75" customHeight="1">
      <c r="A6731" s="2" t="s">
        <v>6731</v>
      </c>
      <c r="B6731" s="2" t="str">
        <f>IFERROR(__xludf.DUMMYFUNCTION("GOOGLETRANSLATE(A6731, ""en"", ""mt"")"),"1685")</f>
        <v>1685</v>
      </c>
    </row>
    <row r="6732" ht="15.75" customHeight="1">
      <c r="A6732" s="2" t="s">
        <v>6732</v>
      </c>
      <c r="B6732" s="2" t="str">
        <f>IFERROR(__xludf.DUMMYFUNCTION("GOOGLETRANSLATE(A6732, ""en"", ""mt"")"),"Gwerra tar-Re Ġorġ")</f>
        <v>Gwerra tar-Re Ġorġ</v>
      </c>
    </row>
    <row r="6733" ht="15.75" customHeight="1">
      <c r="A6733" s="2" t="s">
        <v>6733</v>
      </c>
      <c r="B6733" s="2" t="str">
        <f>IFERROR(__xludf.DUMMYFUNCTION("GOOGLETRANSLATE(A6733, ""en"", ""mt"")"),"Niagara Falls")</f>
        <v>Niagara Falls</v>
      </c>
    </row>
    <row r="6734" ht="15.75" customHeight="1">
      <c r="A6734" s="2" t="s">
        <v>6734</v>
      </c>
      <c r="B6734" s="2" t="str">
        <f>IFERROR(__xludf.DUMMYFUNCTION("GOOGLETRANSLATE(A6734, ""en"", ""mt"")"),"Ġeoloġi strutturali")</f>
        <v>Ġeoloġi strutturali</v>
      </c>
    </row>
    <row r="6735" ht="15.75" customHeight="1">
      <c r="A6735" s="2" t="s">
        <v>6735</v>
      </c>
      <c r="B6735" s="2" t="str">
        <f>IFERROR(__xludf.DUMMYFUNCTION("GOOGLETRANSLATE(A6735, ""en"", ""mt"")"),"iż-żewġ djar tal-Kungress")</f>
        <v>iż-żewġ djar tal-Kungress</v>
      </c>
    </row>
    <row r="6736" ht="15.75" customHeight="1">
      <c r="A6736" s="2" t="s">
        <v>6736</v>
      </c>
      <c r="B6736" s="2" t="str">
        <f>IFERROR(__xludf.DUMMYFUNCTION("GOOGLETRANSLATE(A6736, ""en"", ""mt"")"),"X'għandhom il-kloroplasti tal-kloroplastidan?")</f>
        <v>X'għandhom il-kloroplasti tal-kloroplastidan?</v>
      </c>
    </row>
    <row r="6737" ht="15.75" customHeight="1">
      <c r="A6737" s="2" t="s">
        <v>6737</v>
      </c>
      <c r="B6737" s="2" t="str">
        <f>IFERROR(__xludf.DUMMYFUNCTION("GOOGLETRANSLATE(A6737, ""en"", ""mt"")"),"X'inhuma t-theddid ewlieni li qed tiffaċċja l-Amazon Rainforest fis-seklu attwali?")</f>
        <v>X'inhuma t-theddid ewlieni li qed tiffaċċja l-Amazon Rainforest fis-seklu attwali?</v>
      </c>
    </row>
    <row r="6738" ht="15.75" customHeight="1">
      <c r="A6738" s="2" t="s">
        <v>6738</v>
      </c>
      <c r="B6738" s="2" t="str">
        <f>IFERROR(__xludf.DUMMYFUNCTION("GOOGLETRANSLATE(A6738, ""en"", ""mt"")"),"Disturbi tas-sistema immunitarja jistgħu jirriżultaw f'mard awtoimmuni, mard infjammatorju u kanċer. L-immunodefiċjenza sseħħ meta s-sistema immunitarja tkun inqas attiva min-normal, li tirriżulta f'infezzjonijiet rikorrenti u li jheddu l-ħajja. Fil-bnedm"&amp;"in, l-immunodefiċjenza tista 'tkun jew ir-riżultat ta' marda ġenetika bħal immunodefiċjenza severa kkombinata, kundizzjonijiet akkwistati bħal HIV / AIDS, jew l-użu ta 'medikazzjoni immunosoppressiva. B'kuntrast, l-awtoimmunità tirriżulta minn sistema imm"&amp;"uni iperattiva li tattakka tessuti normali daqs li kieku kienu organiżmi barranin. Mard awtoimmuni komuni jinkludi t-tirojde ta 'Hashimoto, l-artrite rewmatojde, id-dijabete mellitus tat-tip 1, u l-lupus eritematosu sistemiku. L-immunoloġija tkopri l-istu"&amp;"dju tal-aspetti kollha tas-sistema immunitarja.")</f>
        <v>Disturbi tas-sistema immunitarja jistgħu jirriżultaw f'mard awtoimmuni, mard infjammatorju u kanċer. L-immunodefiċjenza sseħħ meta s-sistema immunitarja tkun inqas attiva min-normal, li tirriżulta f'infezzjonijiet rikorrenti u li jheddu l-ħajja. Fil-bnedmin, l-immunodefiċjenza tista 'tkun jew ir-riżultat ta' marda ġenetika bħal immunodefiċjenza severa kkombinata, kundizzjonijiet akkwistati bħal HIV / AIDS, jew l-użu ta 'medikazzjoni immunosoppressiva. B'kuntrast, l-awtoimmunità tirriżulta minn sistema immuni iperattiva li tattakka tessuti normali daqs li kieku kienu organiżmi barranin. Mard awtoimmuni komuni jinkludi t-tirojde ta 'Hashimoto, l-artrite rewmatojde, id-dijabete mellitus tat-tip 1, u l-lupus eritematosu sistemiku. L-immunoloġija tkopri l-istudju tal-aspetti kollha tas-sistema immunitarja.</v>
      </c>
    </row>
    <row r="6739" ht="15.75" customHeight="1">
      <c r="A6739" s="2" t="s">
        <v>6739</v>
      </c>
      <c r="B6739" s="2" t="str">
        <f>IFERROR(__xludf.DUMMYFUNCTION("GOOGLETRANSLATE(A6739, ""en"", ""mt"")"),"X'kien ix-xogħol ta 'Brisbane?")</f>
        <v>X'kien ix-xogħol ta 'Brisbane?</v>
      </c>
    </row>
    <row r="6740" ht="15.75" customHeight="1">
      <c r="A6740" s="2" t="s">
        <v>6740</v>
      </c>
      <c r="B6740" s="2" t="str">
        <f>IFERROR(__xludf.DUMMYFUNCTION("GOOGLETRANSLATE(A6740, ""en"", ""mt"")"),"Liema fortifikazzjoni nbniet fis-seklu 19 wara t-telfa tar-rewwixta ta 'Novembru?")</f>
        <v>Liema fortifikazzjoni nbniet fis-seklu 19 wara t-telfa tar-rewwixta ta 'Novembru?</v>
      </c>
    </row>
    <row r="6741" ht="15.75" customHeight="1">
      <c r="A6741" s="2" t="s">
        <v>6741</v>
      </c>
      <c r="B6741" s="2" t="str">
        <f>IFERROR(__xludf.DUMMYFUNCTION("GOOGLETRANSLATE(A6741, ""en"", ""mt"")"),"Kemm kien jiddikjara li kellu jgħaddi qabel ma ta r-raġġ lid-dinja?")</f>
        <v>Kemm kien jiddikjara li kellu jgħaddi qabel ma ta r-raġġ lid-dinja?</v>
      </c>
    </row>
    <row r="6742" ht="15.75" customHeight="1">
      <c r="A6742" s="2" t="s">
        <v>6742</v>
      </c>
      <c r="B6742" s="2" t="str">
        <f>IFERROR(__xludf.DUMMYFUNCTION("GOOGLETRANSLATE(A6742, ""en"", ""mt"")"),"Inerzja rotazzjonali tal-pjaneta tad-dinja")</f>
        <v>Inerzja rotazzjonali tal-pjaneta tad-dinja</v>
      </c>
    </row>
    <row r="6743" ht="15.75" customHeight="1">
      <c r="A6743" s="2" t="s">
        <v>6743</v>
      </c>
      <c r="B6743" s="2" t="str">
        <f>IFERROR(__xludf.DUMMYFUNCTION("GOOGLETRANSLATE(A6743, ""en"", ""mt"")"),"tevita l-attribuzzjoni")</f>
        <v>tevita l-attribuzzjoni</v>
      </c>
    </row>
    <row r="6744" ht="15.75" customHeight="1">
      <c r="A6744" s="2" t="s">
        <v>6744</v>
      </c>
      <c r="B6744" s="2" t="str">
        <f>IFERROR(__xludf.DUMMYFUNCTION("GOOGLETRANSLATE(A6744, ""en"", ""mt"")"),"anorthosite")</f>
        <v>anorthosite</v>
      </c>
    </row>
    <row r="6745" ht="15.75" customHeight="1">
      <c r="A6745" s="2" t="s">
        <v>6745</v>
      </c>
      <c r="B6745" s="2" t="str">
        <f>IFERROR(__xludf.DUMMYFUNCTION("GOOGLETRANSLATE(A6745, ""en"", ""mt"")"),"Min beda l-fond fiduċjarju tal-IPCC?")</f>
        <v>Min beda l-fond fiduċjarju tal-IPCC?</v>
      </c>
    </row>
    <row r="6746" ht="15.75" customHeight="1">
      <c r="A6746" s="2" t="s">
        <v>6746</v>
      </c>
      <c r="B6746" s="2" t="str">
        <f>IFERROR(__xludf.DUMMYFUNCTION("GOOGLETRANSLATE(A6746, ""en"", ""mt"")"),"F'liema sena ġie mħabbar il-programm Apollo?")</f>
        <v>F'liema sena ġie mħabbar il-programm Apollo?</v>
      </c>
    </row>
    <row r="6747" ht="15.75" customHeight="1">
      <c r="A6747" s="2" t="s">
        <v>6747</v>
      </c>
      <c r="B6747" s="2" t="str">
        <f>IFERROR(__xludf.DUMMYFUNCTION("GOOGLETRANSLATE(A6747, ""en"", ""mt"")"),"Chilaun")</f>
        <v>Chilaun</v>
      </c>
    </row>
    <row r="6748" ht="15.75" customHeight="1">
      <c r="A6748" s="2" t="s">
        <v>6748</v>
      </c>
      <c r="B6748" s="2" t="str">
        <f>IFERROR(__xludf.DUMMYFUNCTION("GOOGLETRANSLATE(A6748, ""en"", ""mt"")"),"Matul ir-rikostruzzjoni u l-età indurata, Jacksonville u l-viċin San Wistin saru resorts popolari tax-xitwa għall-għonja u l-famużi. Il-viżitaturi waslu minn Steamboat u aktar tard bil-ferrovija. Il-President Grover Cleveland attenda l-espożizzjoni sub-tr"&amp;"opikali fil-belt fit-22 ta 'Frar, 1888 waqt il-vjaġġ tiegħu lejn Florida. Dan enfasizza l-viżibbiltà tal-istat bħala post denju għat-turiżmu. It-turiżmu tal-belt, madankollu, ġie ttrattat daqqa kbira fl-aħħar tas-seklu 19 minn tifqigħat tad-deni isfar. Ba"&amp;"rra minn hekk, l-estensjoni tal-Ferrovija tal-Kosta tal-Lvant tal-Florida aktar fin-nofsinhar ġibdet viżitaturi għal żoni oħra. Mill-1893 sal-1938 Jacksonville kien is-sit tas-Suldati Konfederati l-Qadim tal-Florida u l-Baħħara d-dar ma 'ċimiterju fil-qri"&amp;"b.")</f>
        <v>Matul ir-rikostruzzjoni u l-età indurata, Jacksonville u l-viċin San Wistin saru resorts popolari tax-xitwa għall-għonja u l-famużi. Il-viżitaturi waslu minn Steamboat u aktar tard bil-ferrovija. Il-President Grover Cleveland attenda l-espożizzjoni sub-tropikali fil-belt fit-22 ta 'Frar, 1888 waqt il-vjaġġ tiegħu lejn Florida. Dan enfasizza l-viżibbiltà tal-istat bħala post denju għat-turiżmu. It-turiżmu tal-belt, madankollu, ġie ttrattat daqqa kbira fl-aħħar tas-seklu 19 minn tifqigħat tad-deni isfar. Barra minn hekk, l-estensjoni tal-Ferrovija tal-Kosta tal-Lvant tal-Florida aktar fin-nofsinhar ġibdet viżitaturi għal żoni oħra. Mill-1893 sal-1938 Jacksonville kien is-sit tas-Suldati Konfederati l-Qadim tal-Florida u l-Baħħara d-dar ma 'ċimiterju fil-qrib.</v>
      </c>
    </row>
    <row r="6749" ht="15.75" customHeight="1">
      <c r="A6749" s="2" t="s">
        <v>6749</v>
      </c>
      <c r="B6749" s="2" t="str">
        <f>IFERROR(__xludf.DUMMYFUNCTION("GOOGLETRANSLATE(A6749, ""en"", ""mt"")"),"il-Paċifiku t'Isfel")</f>
        <v>il-Paċifiku t'Isfel</v>
      </c>
    </row>
    <row r="6750" ht="15.75" customHeight="1">
      <c r="A6750" s="2" t="s">
        <v>6750</v>
      </c>
      <c r="B6750" s="2" t="str">
        <f>IFERROR(__xludf.DUMMYFUNCTION("GOOGLETRANSLATE(A6750, ""en"", ""mt"")"),"Is-Servizz tal-Ħadd tal-Metodisti fl-Amerika ta ’Fuq")</f>
        <v>Is-Servizz tal-Ħadd tal-Metodisti fl-Amerika ta ’Fuq</v>
      </c>
    </row>
    <row r="6751" ht="15.75" customHeight="1">
      <c r="A6751" s="2" t="s">
        <v>6751</v>
      </c>
      <c r="B6751" s="2" t="str">
        <f>IFERROR(__xludf.DUMMYFUNCTION("GOOGLETRANSLATE(A6751, ""en"", ""mt"")"),"Ġenetika ta 'ommu")</f>
        <v>Ġenetika ta 'ommu</v>
      </c>
    </row>
    <row r="6752" ht="15.75" customHeight="1">
      <c r="A6752" s="2" t="s">
        <v>6752</v>
      </c>
      <c r="B6752" s="2" t="str">
        <f>IFERROR(__xludf.DUMMYFUNCTION("GOOGLETRANSLATE(A6752, ""en"", ""mt"")"),"Iċ-ċentru tal-università f'Beijing jinsab ħdejn il-kampus tal-iskola?")</f>
        <v>Iċ-ċentru tal-università f'Beijing jinsab ħdejn il-kampus tal-iskola?</v>
      </c>
    </row>
    <row r="6753" ht="15.75" customHeight="1">
      <c r="A6753" s="2" t="s">
        <v>6753</v>
      </c>
      <c r="B6753" s="2" t="str">
        <f>IFERROR(__xludf.DUMMYFUNCTION("GOOGLETRANSLATE(A6753, ""en"", ""mt"")"),"200 Troupes de la Marine u 30 Indjan")</f>
        <v>200 Troupes de la Marine u 30 Indjan</v>
      </c>
    </row>
    <row r="6754" ht="15.75" customHeight="1">
      <c r="A6754" s="2" t="s">
        <v>6754</v>
      </c>
      <c r="B6754" s="2" t="str">
        <f>IFERROR(__xludf.DUMMYFUNCTION("GOOGLETRANSLATE(A6754, ""en"", ""mt"")"),"Żieda fil-karozzi importati fl-Amerika ta ’Fuq ġiegħlet lil General Motors, Ford u Chrysler jintroduċu mudelli iżgħar u effiċjenti fil-fjuwil għall-bejgħ domestiku. Id-Dodge Omni / Plymouth Horizon minn Chrysler, il-Ford Fiesta u l-Chevrolet Chevette koll"&amp;"ha kellhom magni b'erba 'ċilindri u spazju għal mill-inqas erba' passiġġieri sa l-aħħar tas-snin sebgħin. Sal-1985, il-vettura Amerikana medja mxiet 17.4 mili għal kull gallun, meta mqabbla ma '13 .5 fl-1970. It-titjib baqa 'minkejja li l-prezz ta' barmil"&amp;" taż-żejt baqa 'kostanti għal $ 12 mill-1974 sal-1979. Bejgħ ta' sedans kbar għal ħafna make (ħlief Chrysler prodotti) irkuprati fi żmien sentejn mudell mill-kriżi tal-1973. Il-Cadillac DeVille u Fleetwood, Buick Electra, Oldsmobile 98, Lincoln Continenta"&amp;"l, Mercury Marquis, u diversi sedans oħra orjentati mill-lussu reġgħu saru popolari f'nofs is-snin sebgħin. L-uniċi mudelli ta 'daqs sħiħ li ma rkuprawx kienu mudelli ta' prezzijiet aktar baxxi bħal Chevrolet Bel Air, u Ford Galaxie 500. Mudelli kemmxejn "&amp;"iżgħar, ta 'daqs medju bħal Oldsmobile Cutlass, Chevrolet Monte Carlo, Ford Thunderbird u diversi mudelli oħra mibjugħa Ukoll.")</f>
        <v>Żieda fil-karozzi importati fl-Amerika ta ’Fuq ġiegħlet lil General Motors, Ford u Chrysler jintroduċu mudelli iżgħar u effiċjenti fil-fjuwil għall-bejgħ domestiku. Id-Dodge Omni / Plymouth Horizon minn Chrysler, il-Ford Fiesta u l-Chevrolet Chevette kollha kellhom magni b'erba 'ċilindri u spazju għal mill-inqas erba' passiġġieri sa l-aħħar tas-snin sebgħin. Sal-1985, il-vettura Amerikana medja mxiet 17.4 mili għal kull gallun, meta mqabbla ma '13 .5 fl-1970. It-titjib baqa 'minkejja li l-prezz ta' barmil taż-żejt baqa 'kostanti għal $ 12 mill-1974 sal-1979. Bejgħ ta' sedans kbar għal ħafna make (ħlief Chrysler prodotti) irkuprati fi żmien sentejn mudell mill-kriżi tal-1973. Il-Cadillac DeVille u Fleetwood, Buick Electra, Oldsmobile 98, Lincoln Continental, Mercury Marquis, u diversi sedans oħra orjentati mill-lussu reġgħu saru popolari f'nofs is-snin sebgħin. L-uniċi mudelli ta 'daqs sħiħ li ma rkuprawx kienu mudelli ta' prezzijiet aktar baxxi bħal Chevrolet Bel Air, u Ford Galaxie 500. Mudelli kemmxejn iżgħar, ta 'daqs medju bħal Oldsmobile Cutlass, Chevrolet Monte Carlo, Ford Thunderbird u diversi mudelli oħra mibjugħa Ukoll.</v>
      </c>
    </row>
    <row r="6755" ht="15.75" customHeight="1">
      <c r="A6755" s="2" t="s">
        <v>6755</v>
      </c>
      <c r="B6755" s="2" t="str">
        <f>IFERROR(__xludf.DUMMYFUNCTION("GOOGLETRANSLATE(A6755, ""en"", ""mt"")"),"Diversi proċeduri jippermettu lill-Parlament Skoċċiż biex jifli l-gvern. L-ewwel ministru jew membri tal-kabinett jistgħu jwasslu dikjarazzjonijiet lill-Parlament li fuqhom l-MSPs huma mistiedna jiddubitaw. Pereżempju, fil-bidu ta 'kull sena parlamentari,"&amp;" l-Ewwel Ministru jagħti dikjarazzjoni lill-kamra li tistabbilixxi l-programm leġiżlattiv tal-gvern għas-sena li ġejja. Wara li ddaħħal id-dikjarazzjoni, il-mexxejja tal-partiti tal-oppożizzjoni u MSPs oħra jiddubitaw lill-ewwel ministru dwar kwistjonijie"&amp;"t relatati mas-sustanza tad-dikjarazzjoni.")</f>
        <v>Diversi proċeduri jippermettu lill-Parlament Skoċċiż biex jifli l-gvern. L-ewwel ministru jew membri tal-kabinett jistgħu jwasslu dikjarazzjonijiet lill-Parlament li fuqhom l-MSPs huma mistiedna jiddubitaw. Pereżempju, fil-bidu ta 'kull sena parlamentari, l-Ewwel Ministru jagħti dikjarazzjoni lill-kamra li tistabbilixxi l-programm leġiżlattiv tal-gvern għas-sena li ġejja. Wara li ddaħħal id-dikjarazzjoni, il-mexxejja tal-partiti tal-oppożizzjoni u MSPs oħra jiddubitaw lill-ewwel ministru dwar kwistjonijiet relatati mas-sustanza tad-dikjarazzjoni.</v>
      </c>
    </row>
    <row r="6756" ht="15.75" customHeight="1">
      <c r="A6756" s="2" t="s">
        <v>6756</v>
      </c>
      <c r="B6756" s="2" t="str">
        <f>IFERROR(__xludf.DUMMYFUNCTION("GOOGLETRANSLATE(A6756, ""en"", ""mt"")"),"Fejn jaqgħu t-twemmin ta 'Khomeini meta mqabbel ma' Mawdudi u Qutb?")</f>
        <v>Fejn jaqgħu t-twemmin ta 'Khomeini meta mqabbel ma' Mawdudi u Qutb?</v>
      </c>
    </row>
    <row r="6757" ht="15.75" customHeight="1">
      <c r="A6757" s="2" t="s">
        <v>6757</v>
      </c>
      <c r="B6757" s="2" t="str">
        <f>IFERROR(__xludf.DUMMYFUNCTION("GOOGLETRANSLATE(A6757, ""en"", ""mt"")"),"X’wassal għal ħolqien ta ’awtostradi fil-foresta tropikali tal-Amażonja?")</f>
        <v>X’wassal għal ħolqien ta ’awtostradi fil-foresta tropikali tal-Amażonja?</v>
      </c>
    </row>
    <row r="6758" ht="15.75" customHeight="1">
      <c r="A6758" s="2" t="s">
        <v>6758</v>
      </c>
      <c r="B6758" s="2" t="str">
        <f>IFERROR(__xludf.DUMMYFUNCTION("GOOGLETRANSLATE(A6758, ""en"", ""mt"")"),"passiv")</f>
        <v>passiv</v>
      </c>
    </row>
    <row r="6759" ht="15.75" customHeight="1">
      <c r="A6759" s="2" t="s">
        <v>6759</v>
      </c>
      <c r="B6759" s="2" t="str">
        <f>IFERROR(__xludf.DUMMYFUNCTION("GOOGLETRANSLATE(A6759, ""en"", ""mt"")"),"kordi ideali")</f>
        <v>kordi ideali</v>
      </c>
    </row>
    <row r="6760" ht="15.75" customHeight="1">
      <c r="A6760" s="2" t="s">
        <v>6760</v>
      </c>
      <c r="B6760" s="2" t="str">
        <f>IFERROR(__xludf.DUMMYFUNCTION("GOOGLETRANSLATE(A6760, ""en"", ""mt"")"),"Radjazzjoni tal-ibbrejkjar")</f>
        <v>Radjazzjoni tal-ibbrejkjar</v>
      </c>
    </row>
    <row r="6761" ht="15.75" customHeight="1">
      <c r="A6761" s="2" t="s">
        <v>6761</v>
      </c>
      <c r="B6761" s="2" t="str">
        <f>IFERROR(__xludf.DUMMYFUNCTION("GOOGLETRANSLATE(A6761, ""en"", ""mt"")"),"300–600 nanometru fid-dijametru")</f>
        <v>300–600 nanometru fid-dijametru</v>
      </c>
    </row>
    <row r="6762" ht="15.75" customHeight="1">
      <c r="A6762" s="2" t="s">
        <v>6762</v>
      </c>
      <c r="B6762" s="2" t="str">
        <f>IFERROR(__xludf.DUMMYFUNCTION("GOOGLETRANSLATE(A6762, ""en"", ""mt"")"),"L-iktar manifestazzjonijiet ħorox fid-dinja.")</f>
        <v>L-iktar manifestazzjonijiet ħorox fid-dinja.</v>
      </c>
    </row>
    <row r="6763" ht="15.75" customHeight="1">
      <c r="A6763" s="2" t="s">
        <v>6763</v>
      </c>
      <c r="B6763" s="2" t="str">
        <f>IFERROR(__xludf.DUMMYFUNCTION("GOOGLETRANSLATE(A6763, ""en"", ""mt"")"),"X'inhi s-sistema mlolongo?")</f>
        <v>X'inhi s-sistema mlolongo?</v>
      </c>
    </row>
    <row r="6764" ht="15.75" customHeight="1">
      <c r="A6764" s="2" t="s">
        <v>6764</v>
      </c>
      <c r="B6764" s="2" t="str">
        <f>IFERROR(__xludf.DUMMYFUNCTION("GOOGLETRANSLATE(A6764, ""en"", ""mt"")"),"Biex twettaq iċ-ċiklu ta 'Calvin u tagħmel iz-zokkor")</f>
        <v>Biex twettaq iċ-ċiklu ta 'Calvin u tagħmel iz-zokkor</v>
      </c>
    </row>
    <row r="6765" ht="15.75" customHeight="1">
      <c r="A6765" s="2" t="s">
        <v>6765</v>
      </c>
      <c r="B6765" s="2" t="str">
        <f>IFERROR(__xludf.DUMMYFUNCTION("GOOGLETRANSLATE(A6765, ""en"", ""mt"")"),"Filwaqt li Photosystem II Photolyzes Water biex tinkiseb u tissaħħaħ elettroni ġodda, il-fotosistema I sempliċement terġa 'tdoqq elettroni mdgħajfa fit-tmiem ta' katina tat-trasport tal-elettroni. Normalment, l-elettroni mill-ġdid huma meħuda minn NADP +,"&amp;" għalkemm xi kultant jistgħu joħorġu lura aktar ktajjen ta 'trasport ta' elettroni H + -puming biex jittrasportaw aktar joni ta 'idroġenu fl-ispazju tat-tilkoid biex jiġġeneraw aktar ATP. Din hija msejħa fotofosforilazzjoni ċiklika minħabba li l-elettroni"&amp;" huma riċiklati. Il-fotofosforilazzjoni ċiklika hija komuni fil-pjanti C4, li għandhom bżonn aktar ATP minn NADPH.")</f>
        <v>Filwaqt li Photosystem II Photolyzes Water biex tinkiseb u tissaħħaħ elettroni ġodda, il-fotosistema I sempliċement terġa 'tdoqq elettroni mdgħajfa fit-tmiem ta' katina tat-trasport tal-elettroni. Normalment, l-elettroni mill-ġdid huma meħuda minn NADP +, għalkemm xi kultant jistgħu joħorġu lura aktar ktajjen ta 'trasport ta' elettroni H + -puming biex jittrasportaw aktar joni ta 'idroġenu fl-ispazju tat-tilkoid biex jiġġeneraw aktar ATP. Din hija msejħa fotofosforilazzjoni ċiklika minħabba li l-elettroni huma riċiklati. Il-fotofosforilazzjoni ċiklika hija komuni fil-pjanti C4, li għandhom bżonn aktar ATP minn NADPH.</v>
      </c>
    </row>
    <row r="6766" ht="15.75" customHeight="1">
      <c r="A6766" s="2" t="s">
        <v>6766</v>
      </c>
      <c r="B6766" s="2" t="str">
        <f>IFERROR(__xludf.DUMMYFUNCTION("GOOGLETRANSLATE(A6766, ""en"", ""mt"")"),"""In-nuqqasijiet jeżistu fid-disinn tal-modulu tal-kmand, l-abbilità u l-kontroll tal-kwalità.""")</f>
        <v>"In-nuqqasijiet jeżistu fid-disinn tal-modulu tal-kmand, l-abbilità u l-kontroll tal-kwalità."</v>
      </c>
    </row>
    <row r="6767" ht="15.75" customHeight="1">
      <c r="A6767" s="2" t="s">
        <v>6767</v>
      </c>
      <c r="B6767" s="2" t="str">
        <f>IFERROR(__xludf.DUMMYFUNCTION("GOOGLETRANSLATE(A6767, ""en"", ""mt"")"),"Immunizzazzjoni")</f>
        <v>Immunizzazzjoni</v>
      </c>
    </row>
    <row r="6768" ht="15.75" customHeight="1">
      <c r="A6768" s="2" t="s">
        <v>6768</v>
      </c>
      <c r="B6768" s="2" t="str">
        <f>IFERROR(__xludf.DUMMYFUNCTION("GOOGLETRANSLATE(A6768, ""en"", ""mt"")"),"Min hu r-rivali primarju tat-tim tal-hockey Crimson Harvard?")</f>
        <v>Min hu r-rivali primarju tat-tim tal-hockey Crimson Harvard?</v>
      </c>
    </row>
    <row r="6769" ht="15.75" customHeight="1">
      <c r="A6769" s="2" t="s">
        <v>6769</v>
      </c>
      <c r="B6769" s="2" t="str">
        <f>IFERROR(__xludf.DUMMYFUNCTION("GOOGLETRANSLATE(A6769, ""en"", ""mt"")"),"Dak li jintroduċi l-inugwaljanza f'pajjiż?")</f>
        <v>Dak li jintroduċi l-inugwaljanza f'pajjiż?</v>
      </c>
    </row>
    <row r="6770" ht="15.75" customHeight="1">
      <c r="A6770" s="2" t="s">
        <v>6770</v>
      </c>
      <c r="B6770" s="2" t="str">
        <f>IFERROR(__xludf.DUMMYFUNCTION("GOOGLETRANSLATE(A6770, ""en"", ""mt"")"),"Skala tal-Indiċi tas-Salarju tal-Qaddejja taċ-Ċivil (BundesBesoldungsordnung)")</f>
        <v>Skala tal-Indiċi tas-Salarju tal-Qaddejja taċ-Ċivil (BundesBesoldungsordnung)</v>
      </c>
    </row>
    <row r="6771" ht="15.75" customHeight="1">
      <c r="A6771" s="2" t="s">
        <v>6771</v>
      </c>
      <c r="B6771" s="2" t="str">
        <f>IFERROR(__xludf.DUMMYFUNCTION("GOOGLETRANSLATE(A6771, ""en"", ""mt"")"),"Infinity Broadcasting Corporation")</f>
        <v>Infinity Broadcasting Corporation</v>
      </c>
    </row>
    <row r="6772" ht="15.75" customHeight="1">
      <c r="A6772" s="2" t="s">
        <v>6772</v>
      </c>
      <c r="B6772" s="2" t="str">
        <f>IFERROR(__xludf.DUMMYFUNCTION("GOOGLETRANSLATE(A6772, ""en"", ""mt"")"),"Ir-rebbieħ tal-Premju Nobel tal-Ekonomija 2013 Robert J. Shiller qal li l-inugwaljanza dejjem tiżdied fl-Istati Uniti u bnadi oħra hija l-iktar problema importanti. L-inugwaljanza dejjem tiżdied tagħmel ħsara lit-tkabbir ekonomiku. Qgħad għoli u persisten"&amp;"ti, li fih l-inugwaljanza tiżdied, għandu effett negattiv fuq tkabbir ekonomiku sussegwenti fit-tul. Il-qgħad jista 'jagħmel ħsara lit-tkabbir mhux biss minħabba li huwa ħela ta' riżorsi, iżda wkoll minħabba li jiġġenera pressjonijiet ridistributtivi u di"&amp;"storsjonijiet sussegwenti, imexxi lin-nies għall-faqar, jillimita l-likwidità li tillimita l-mobilità tax-xogħol, u tnaqqas l-istima personali li tippromwovi d-diżlokazzjoni soċjali, l-inkwiet u l-kunflitt. Il-politiki li jimmiraw biex jikkontrollaw il-qg"&amp;"ħad u b'mod partikolari biex inaqqsu l-effetti assoċjati mal-inugwaljanza tiegħu jappoġġjaw it-tkabbir ekonomiku.")</f>
        <v>Ir-rebbieħ tal-Premju Nobel tal-Ekonomija 2013 Robert J. Shiller qal li l-inugwaljanza dejjem tiżdied fl-Istati Uniti u bnadi oħra hija l-iktar problema importanti.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6773" ht="15.75" customHeight="1">
      <c r="A6773" s="2" t="s">
        <v>6773</v>
      </c>
      <c r="B6773" s="2" t="str">
        <f>IFERROR(__xludf.DUMMYFUNCTION("GOOGLETRANSLATE(A6773, ""en"", ""mt"")"),"Jon Culshaw")</f>
        <v>Jon Culshaw</v>
      </c>
    </row>
    <row r="6774" ht="15.75" customHeight="1">
      <c r="A6774" s="2" t="s">
        <v>6774</v>
      </c>
      <c r="B6774" s="2" t="str">
        <f>IFERROR(__xludf.DUMMYFUNCTION("GOOGLETRANSLATE(A6774, ""en"", ""mt"")"),"Il-Prim Ministru tal-Polonja Donald Tusk")</f>
        <v>Il-Prim Ministru tal-Polonja Donald Tusk</v>
      </c>
    </row>
    <row r="6775" ht="15.75" customHeight="1">
      <c r="A6775" s="2" t="s">
        <v>6775</v>
      </c>
      <c r="B6775" s="2" t="str">
        <f>IFERROR(__xludf.DUMMYFUNCTION("GOOGLETRANSLATE(A6775, ""en"", ""mt"")"),"Terminal dial-up")</f>
        <v>Terminal dial-up</v>
      </c>
    </row>
    <row r="6776" ht="15.75" customHeight="1">
      <c r="A6776" s="2" t="s">
        <v>6776</v>
      </c>
      <c r="B6776" s="2" t="str">
        <f>IFERROR(__xludf.DUMMYFUNCTION("GOOGLETRANSLATE(A6776, ""en"", ""mt"")"),"fl-1041")</f>
        <v>fl-1041</v>
      </c>
    </row>
    <row r="6777" ht="15.75" customHeight="1">
      <c r="A6777" s="2" t="s">
        <v>6777</v>
      </c>
      <c r="B6777" s="2" t="str">
        <f>IFERROR(__xludf.DUMMYFUNCTION("GOOGLETRANSLATE(A6777, ""en"", ""mt"")"),"tmiem is-seklu 19")</f>
        <v>tmiem is-seklu 19</v>
      </c>
    </row>
    <row r="6778" ht="15.75" customHeight="1">
      <c r="A6778" s="2" t="s">
        <v>6778</v>
      </c>
      <c r="B6778" s="2" t="str">
        <f>IFERROR(__xludf.DUMMYFUNCTION("GOOGLETRANSLATE(A6778, ""en"", ""mt"")"),"bejn AD 0–1250")</f>
        <v>bejn AD 0–1250</v>
      </c>
    </row>
    <row r="6779" ht="15.75" customHeight="1">
      <c r="A6779" s="2" t="s">
        <v>6779</v>
      </c>
      <c r="B6779" s="2" t="str">
        <f>IFERROR(__xludf.DUMMYFUNCTION("GOOGLETRANSLATE(A6779, ""en"", ""mt"")"),"Radjazzjoni ultravjola li tħalli impatt fuq molekuli li fihom l-ossiġnu bħal dijossidu tal-karbonju")</f>
        <v>Radjazzjoni ultravjola li tħalli impatt fuq molekuli li fihom l-ossiġnu bħal dijossidu tal-karbonju</v>
      </c>
    </row>
    <row r="6780" ht="15.75" customHeight="1">
      <c r="A6780" s="2" t="s">
        <v>6780</v>
      </c>
      <c r="B6780" s="2" t="str">
        <f>IFERROR(__xludf.DUMMYFUNCTION("GOOGLETRANSLATE(A6780, ""en"", ""mt"")"),"Interventi fuq livell individwali")</f>
        <v>Interventi fuq livell individwali</v>
      </c>
    </row>
    <row r="6781" ht="15.75" customHeight="1">
      <c r="A6781" s="2" t="s">
        <v>6781</v>
      </c>
      <c r="B6781" s="2" t="str">
        <f>IFERROR(__xludf.DUMMYFUNCTION("GOOGLETRANSLATE(A6781, ""en"", ""mt"")"),"Mediċina iperbarika (bi pressjoni għolja)")</f>
        <v>Mediċina iperbarika (bi pressjoni għolja)</v>
      </c>
    </row>
    <row r="6782" ht="15.75" customHeight="1">
      <c r="A6782" s="2" t="s">
        <v>6782</v>
      </c>
      <c r="B6782" s="2" t="str">
        <f>IFERROR(__xludf.DUMMYFUNCTION("GOOGLETRANSLATE(A6782, ""en"", ""mt"")"),"150")</f>
        <v>150</v>
      </c>
    </row>
    <row r="6783" ht="15.75" customHeight="1">
      <c r="A6783" s="2" t="s">
        <v>6783</v>
      </c>
      <c r="B6783" s="2" t="str">
        <f>IFERROR(__xludf.DUMMYFUNCTION("GOOGLETRANSLATE(A6783, ""en"", ""mt"")"),"tiċrita żoni kbar ta 'art fil-baħar.")</f>
        <v>tiċrita żoni kbar ta 'art fil-baħar.</v>
      </c>
    </row>
    <row r="6784" ht="15.75" customHeight="1">
      <c r="A6784" s="2" t="s">
        <v>6784</v>
      </c>
      <c r="B6784" s="2" t="str">
        <f>IFERROR(__xludf.DUMMYFUNCTION("GOOGLETRANSLATE(A6784, ""en"", ""mt"")"),"reazzjonijiet ħfief")</f>
        <v>reazzjonijiet ħfief</v>
      </c>
    </row>
    <row r="6785" ht="15.75" customHeight="1">
      <c r="A6785" s="2" t="s">
        <v>6785</v>
      </c>
      <c r="B6785" s="2" t="str">
        <f>IFERROR(__xludf.DUMMYFUNCTION("GOOGLETRANSLATE(A6785, ""en"", ""mt"")"),"X'inhuma l-Auricles?")</f>
        <v>X'inhuma l-Auricles?</v>
      </c>
    </row>
    <row r="6786" ht="15.75" customHeight="1">
      <c r="A6786" s="2" t="s">
        <v>6786</v>
      </c>
      <c r="B6786" s="2" t="str">
        <f>IFERROR(__xludf.DUMMYFUNCTION("GOOGLETRANSLATE(A6786, ""en"", ""mt"")"),"Kors ta 'ħames snin ta' studju fi")</f>
        <v>Kors ta 'ħames snin ta' studju fi</v>
      </c>
    </row>
    <row r="6787" ht="15.75" customHeight="1">
      <c r="A6787" s="2" t="s">
        <v>6787</v>
      </c>
      <c r="B6787" s="2" t="str">
        <f>IFERROR(__xludf.DUMMYFUNCTION("GOOGLETRANSLATE(A6787, ""en"", ""mt"")"),"Aqbad aktar dawl tax-xemx fl-ilma fond")</f>
        <v>Aqbad aktar dawl tax-xemx fl-ilma fond</v>
      </c>
    </row>
    <row r="6788" ht="15.75" customHeight="1">
      <c r="A6788" s="2" t="s">
        <v>6788</v>
      </c>
      <c r="B6788" s="2" t="str">
        <f>IFERROR(__xludf.DUMMYFUNCTION("GOOGLETRANSLATE(A6788, ""en"", ""mt"")"),"X'inhi l-professjoni ta 'Jake Rosenfield?")</f>
        <v>X'inhi l-professjoni ta 'Jake Rosenfield?</v>
      </c>
    </row>
    <row r="6789" ht="15.75" customHeight="1">
      <c r="A6789" s="2" t="s">
        <v>6789</v>
      </c>
      <c r="B6789" s="2" t="str">
        <f>IFERROR(__xludf.DUMMYFUNCTION("GOOGLETRANSLATE(A6789, ""en"", ""mt"")"),"Valur tal-ispin")</f>
        <v>Valur tal-ispin</v>
      </c>
    </row>
    <row r="6790" ht="15.75" customHeight="1">
      <c r="A6790" s="2" t="s">
        <v>6790</v>
      </c>
      <c r="B6790" s="2" t="str">
        <f>IFERROR(__xludf.DUMMYFUNCTION("GOOGLETRANSLATE(A6790, ""en"", ""mt"")"),"ribelljoni Iżlamika kontra reġim Marxista Allejat")</f>
        <v>ribelljoni Iżlamika kontra reġim Marxista Allejat</v>
      </c>
    </row>
    <row r="6791" ht="15.75" customHeight="1">
      <c r="A6791" s="2" t="s">
        <v>6791</v>
      </c>
      <c r="B6791" s="2" t="str">
        <f>IFERROR(__xludf.DUMMYFUNCTION("GOOGLETRANSLATE(A6791, ""en"", ""mt"")"),"X'inhi l-librerija pubblika li tidher lill-Kenjani?")</f>
        <v>X'inhi l-librerija pubblika li tidher lill-Kenjani?</v>
      </c>
    </row>
    <row r="6792" ht="15.75" customHeight="1">
      <c r="A6792" s="2" t="s">
        <v>6792</v>
      </c>
      <c r="B6792" s="2" t="str">
        <f>IFERROR(__xludf.DUMMYFUNCTION("GOOGLETRANSLATE(A6792, ""en"", ""mt"")"),"Il-Port ta ’Los Angeles")</f>
        <v>Il-Port ta ’Los Angeles</v>
      </c>
    </row>
    <row r="6793" ht="15.75" customHeight="1">
      <c r="A6793" s="2" t="s">
        <v>6793</v>
      </c>
      <c r="B6793" s="2" t="str">
        <f>IFERROR(__xludf.DUMMYFUNCTION("GOOGLETRANSLATE(A6793, ""en"", ""mt"")"),"Meta ttieħdet id-deċiżjoni biex tissostitwixxi r-Rockets Nova ma 'Saturn V?")</f>
        <v>Meta ttieħdet id-deċiżjoni biex tissostitwixxi r-Rockets Nova ma 'Saturn V?</v>
      </c>
    </row>
    <row r="6794" ht="15.75" customHeight="1">
      <c r="A6794" s="2" t="s">
        <v>6794</v>
      </c>
      <c r="B6794" s="2" t="str">
        <f>IFERROR(__xludf.DUMMYFUNCTION("GOOGLETRANSLATE(A6794, ""en"", ""mt"")"),"billi tillimita d-domanda aggregata")</f>
        <v>billi tillimita d-domanda aggregata</v>
      </c>
    </row>
    <row r="6795" ht="15.75" customHeight="1">
      <c r="A6795" s="2" t="s">
        <v>6795</v>
      </c>
      <c r="B6795" s="2" t="str">
        <f>IFERROR(__xludf.DUMMYFUNCTION("GOOGLETRANSLATE(A6795, ""en"", ""mt"")"),"Il-preżentata")</f>
        <v>Il-preżentata</v>
      </c>
    </row>
    <row r="6796" ht="15.75" customHeight="1">
      <c r="A6796" s="2" t="s">
        <v>6796</v>
      </c>
      <c r="B6796" s="2" t="str">
        <f>IFERROR(__xludf.DUMMYFUNCTION("GOOGLETRANSLATE(A6796, ""en"", ""mt"")"),"Kemm-il ġurnata ddum ir-rewwixta ta 'Varsavja?")</f>
        <v>Kemm-il ġurnata ddum ir-rewwixta ta 'Varsavja?</v>
      </c>
    </row>
    <row r="6797" ht="15.75" customHeight="1">
      <c r="A6797" s="2" t="s">
        <v>6797</v>
      </c>
      <c r="B6797" s="2" t="str">
        <f>IFERROR(__xludf.DUMMYFUNCTION("GOOGLETRANSLATE(A6797, ""en"", ""mt"")"),"Eureka Stockade")</f>
        <v>Eureka Stockade</v>
      </c>
    </row>
    <row r="6798" ht="15.75" customHeight="1">
      <c r="A6798" s="2" t="s">
        <v>6798</v>
      </c>
      <c r="B6798" s="2" t="str">
        <f>IFERROR(__xludf.DUMMYFUNCTION("GOOGLETRANSLATE(A6798, ""en"", ""mt"")"),"X'kienet il-popolazzjoni ta 'Varsavja fl-1901?")</f>
        <v>X'kienet il-popolazzjoni ta 'Varsavja fl-1901?</v>
      </c>
    </row>
    <row r="6799" ht="15.75" customHeight="1">
      <c r="A6799" s="2" t="s">
        <v>6799</v>
      </c>
      <c r="B6799" s="2" t="str">
        <f>IFERROR(__xludf.DUMMYFUNCTION("GOOGLETRANSLATE(A6799, ""en"", ""mt"")"),"Ir-raġġi X kienu mewġ lonġitudinali")</f>
        <v>Ir-raġġi X kienu mewġ lonġitudinali</v>
      </c>
    </row>
    <row r="6800" ht="15.75" customHeight="1">
      <c r="A6800" s="2" t="s">
        <v>6800</v>
      </c>
      <c r="B6800" s="2" t="str">
        <f>IFERROR(__xludf.DUMMYFUNCTION("GOOGLETRANSLATE(A6800, ""en"", ""mt"")"),"_____ jgħin lill-Biospher mill-UV.")</f>
        <v>_____ jgħin lill-Biospher mill-UV.</v>
      </c>
    </row>
    <row r="6801" ht="15.75" customHeight="1">
      <c r="A6801" s="2" t="s">
        <v>6801</v>
      </c>
      <c r="B6801" s="2" t="str">
        <f>IFERROR(__xludf.DUMMYFUNCTION("GOOGLETRANSLATE(A6801, ""en"", ""mt"")"),"$ 500,000")</f>
        <v>$ 500,000</v>
      </c>
    </row>
    <row r="6802" ht="15.75" customHeight="1">
      <c r="A6802" s="2" t="s">
        <v>6802</v>
      </c>
      <c r="B6802" s="2" t="str">
        <f>IFERROR(__xludf.DUMMYFUNCTION("GOOGLETRANSLATE(A6802, ""en"", ""mt"")"),"X'inhu fadal mill-kloroplasti tad-dinofisi?")</f>
        <v>X'inhu fadal mill-kloroplasti tad-dinofisi?</v>
      </c>
    </row>
    <row r="6803" ht="15.75" customHeight="1">
      <c r="A6803" s="2" t="s">
        <v>6803</v>
      </c>
      <c r="B6803" s="2" t="str">
        <f>IFERROR(__xludf.DUMMYFUNCTION("GOOGLETRANSLATE(A6803, ""en"", ""mt"")"),"Il-Broncos ħadu vantaġġ bikri fis-Super Bowl 50 u qatt ma ġew imrażżna. Newton kien limitat mid-difiża ta 'Denver, li keċċah seba' darbiet u ġiegħluh fi tliet turnovers, inkluż fumble li rkupraw għal illandjar. Il-linebacker ta 'Denver Von Miller ġie msem"&amp;"mi Super Bowl MVP, li rrekordja ħames indirizzi solo, 2½ xkejjer, u żewġ fumbles sfurzati.")</f>
        <v>Il-Broncos ħadu vantaġġ bikri fis-Super Bowl 50 u qatt ma ġew imrażżna. Newton kien limitat mid-difiża ta 'Denver, li keċċah seba' darbiet u ġiegħluh fi tliet turnovers, inkluż fumble li rkupraw għal illandjar. Il-linebacker ta 'Denver Von Miller ġie msemmi Super Bowl MVP, li rrekordja ħames indirizzi solo, 2½ xkejjer, u żewġ fumbles sfurzati.</v>
      </c>
    </row>
    <row r="6804" ht="15.75" customHeight="1">
      <c r="A6804" s="2" t="s">
        <v>6804</v>
      </c>
      <c r="B6804" s="2" t="str">
        <f>IFERROR(__xludf.DUMMYFUNCTION("GOOGLETRANSLATE(A6804, ""en"", ""mt"")"),"Kemm stadji ta 'espansjoni jintużaw mill-magna ta' espansjoni tripla?")</f>
        <v>Kemm stadji ta 'espansjoni jintużaw mill-magna ta' espansjoni tripla?</v>
      </c>
    </row>
    <row r="6805" ht="15.75" customHeight="1">
      <c r="A6805" s="2" t="s">
        <v>6805</v>
      </c>
      <c r="B6805" s="2" t="str">
        <f>IFERROR(__xludf.DUMMYFUNCTION("GOOGLETRANSLATE(A6805, ""en"", ""mt"")"),"Magni tat-Turing deterministiċi")</f>
        <v>Magni tat-Turing deterministiċi</v>
      </c>
    </row>
    <row r="6806" ht="15.75" customHeight="1">
      <c r="A6806" s="2" t="s">
        <v>6806</v>
      </c>
      <c r="B6806" s="2" t="str">
        <f>IFERROR(__xludf.DUMMYFUNCTION("GOOGLETRANSLATE(A6806, ""en"", ""mt"")"),"Cobham")</f>
        <v>Cobham</v>
      </c>
    </row>
    <row r="6807" ht="15.75" customHeight="1">
      <c r="A6807" s="2" t="s">
        <v>6807</v>
      </c>
      <c r="B6807" s="2" t="str">
        <f>IFERROR(__xludf.DUMMYFUNCTION("GOOGLETRANSLATE(A6807, ""en"", ""mt"")"),"ħafna drabi")</f>
        <v>ħafna drabi</v>
      </c>
    </row>
    <row r="6808" ht="15.75" customHeight="1">
      <c r="A6808" s="2" t="s">
        <v>6808</v>
      </c>
      <c r="B6808" s="2" t="str">
        <f>IFERROR(__xludf.DUMMYFUNCTION("GOOGLETRANSLATE(A6808, ""en"", ""mt"")"),"Liema pajjiż kien l-aħħar li rċieva l-marda?")</f>
        <v>Liema pajjiż kien l-aħħar li rċieva l-marda?</v>
      </c>
    </row>
    <row r="6809" ht="15.75" customHeight="1">
      <c r="A6809" s="2" t="s">
        <v>6809</v>
      </c>
      <c r="B6809" s="2" t="str">
        <f>IFERROR(__xludf.DUMMYFUNCTION("GOOGLETRANSLATE(A6809, ""en"", ""mt"")"),"80.4")</f>
        <v>80.4</v>
      </c>
    </row>
    <row r="6810" ht="15.75" customHeight="1">
      <c r="A6810" s="2" t="s">
        <v>6810</v>
      </c>
      <c r="B6810" s="2" t="str">
        <f>IFERROR(__xludf.DUMMYFUNCTION("GOOGLETRANSLATE(A6810, ""en"", ""mt"")"),"Modi")</f>
        <v>Modi</v>
      </c>
    </row>
    <row r="6811" ht="15.75" customHeight="1">
      <c r="A6811" s="2" t="s">
        <v>6811</v>
      </c>
      <c r="B6811" s="2" t="str">
        <f>IFERROR(__xludf.DUMMYFUNCTION("GOOGLETRANSLATE(A6811, ""en"", ""mt"")"),"Min mar Wittenberg biex jisma 'lil Luther jitkellem?")</f>
        <v>Min mar Wittenberg biex jisma 'lil Luther jitkellem?</v>
      </c>
    </row>
    <row r="6812" ht="15.75" customHeight="1">
      <c r="A6812" s="2" t="s">
        <v>6812</v>
      </c>
      <c r="B6812" s="2" t="str">
        <f>IFERROR(__xludf.DUMMYFUNCTION("GOOGLETRANSLATE(A6812, ""en"", ""mt"")"),"L-UMC jemmen li Ġesù abolixxa l-piena tal-mewt f’liema vers tal-Bibbja?")</f>
        <v>L-UMC jemmen li Ġesù abolixxa l-piena tal-mewt f’liema vers tal-Bibbja?</v>
      </c>
    </row>
    <row r="6813" ht="15.75" customHeight="1">
      <c r="A6813" s="2" t="s">
        <v>6813</v>
      </c>
      <c r="B6813" s="2" t="str">
        <f>IFERROR(__xludf.DUMMYFUNCTION("GOOGLETRANSLATE(A6813, ""en"", ""mt"")"),"Id-Dipartiment għall-Kultura, il-Midja u l-Isport")</f>
        <v>Id-Dipartiment għall-Kultura, il-Midja u l-Isport</v>
      </c>
    </row>
    <row r="6814" ht="15.75" customHeight="1">
      <c r="A6814" s="2" t="s">
        <v>6814</v>
      </c>
      <c r="B6814" s="2" t="str">
        <f>IFERROR(__xludf.DUMMYFUNCTION("GOOGLETRANSLATE(A6814, ""en"", ""mt"")"),"Sal-1954, in-netwerks kollha ta 'l-Istati Uniti reġgħu kisbu l-kontroll tal-ipprogrammar tagħhom, bi dħul ta' reklamar ogħla: id-dħul ta 'ABC żdied b'67% (jaqla' $ 26 miljun), l-NBC's żdied bi 30% ($ 100 miljun) u CBS's żdied b'44% ($ 117 miljun) - Madank"&amp;"ollu dik is-sena, ABC kellha biss 14-il affiljat primarju meta mqabbla mal-74 li ġabu l-maġġoranza tal-programmi CBS u l-71 li kienu primarjament affiljati ma 'NBC. Ħafna swieq barra l-akbar dawk ma kinux kbar biżżejjed biex jappoġġjaw tliet affiljati tan"&amp;"-netwerk full-time. F’xi swieq li kienu kbar biżżejjed għat-tielet affiljat full-time, l-unika allokazzjoni kummerċjali disponibbli kienet fuq il-medda UHF inqas mixtieqa. Sakemm l-Att dwar ir-Riċevitur tal-Kanal kollu (mgħoddi mill-Kungress fl-1961) ta l"&amp;"-inklużjoni ta 'l-irfinar tal-UHF, ħafna telespettaturi kellhom bżonn jixtru konvertitur biex ikunu jistgħu jaraw stazzjonijiet UHF, u l-kwalità tas-sinjal kienet marġinali fl-aħjar anke b'konvertitur. Barra minn hekk, matul l-era tat-televiżjoni analoga,"&amp;" l-istazzjonijiet UHF ma kinux riċevibbli b'mod adegwat f'art imħatteb. Dawn il-fatturi għamlu ħafna sidien ta 'stazzjonijiet prospettivi skittish dwar l-investiment fi stazzjon tal-UHF, speċjalment dak li kien ikollu jieħu affiljazzjoni ma' netwerk aktar"&amp;" dgħajjef.")</f>
        <v>Sal-1954, in-netwerks kollha ta 'l-Istati Uniti reġgħu kisbu l-kontroll tal-ipprogrammar tagħhom, bi dħul ta' reklamar ogħla: id-dħul ta 'ABC żdied b'67% (jaqla' $ 26 miljun), l-NBC's żdied bi 30% ($ 100 miljun) u CBS's żdied b'44% ($ 117 miljun) - Madankollu dik is-sena, ABC kellha biss 14-il affiljat primarju meta mqabbla mal-74 li ġabu l-maġġoranza tal-programmi CBS u l-71 li kienu primarjament affiljati ma 'NBC. Ħafna swieq barra l-akbar dawk ma kinux kbar biżżejjed biex jappoġġjaw tliet affiljati tan-netwerk full-time. F’xi swieq li kienu kbar biżżejjed għat-tielet affiljat full-time, l-unika allokazzjoni kummerċjali disponibbli kienet fuq il-medda UHF inqas mixtieqa. Sakemm l-Att dwar ir-Riċevitur tal-Kanal kollu (mgħoddi mill-Kungress fl-1961) ta l-inklużjoni ta 'l-irfinar tal-UHF, ħafna telespettaturi kellhom bżonn jixtru konvertitur biex ikunu jistgħu jaraw stazzjonijiet UHF, u l-kwalità tas-sinjal kienet marġinali fl-aħjar anke b'konvertitur. Barra minn hekk, matul l-era tat-televiżjoni analoga, l-istazzjonijiet UHF ma kinux riċevibbli b'mod adegwat f'art imħatteb. Dawn il-fatturi għamlu ħafna sidien ta 'stazzjonijiet prospettivi skittish dwar l-investiment fi stazzjon tal-UHF, speċjalment dak li kien ikollu jieħu affiljazzjoni ma' netwerk aktar dgħajjef.</v>
      </c>
    </row>
    <row r="6815" ht="15.75" customHeight="1">
      <c r="A6815" s="2" t="s">
        <v>6815</v>
      </c>
      <c r="B6815" s="2" t="str">
        <f>IFERROR(__xludf.DUMMYFUNCTION("GOOGLETRANSLATE(A6815, ""en"", ""mt"")"),"Intergovernall_panel_on_climate_change")</f>
        <v>Intergovernall_panel_on_climate_change</v>
      </c>
    </row>
    <row r="6816" ht="15.75" customHeight="1">
      <c r="A6816" s="2" t="s">
        <v>6816</v>
      </c>
      <c r="B6816" s="2" t="str">
        <f>IFERROR(__xludf.DUMMYFUNCTION("GOOGLETRANSLATE(A6816, ""en"", ""mt"")"),"Fejn ġew megħluba l-Ingliżi fil-Kanada?")</f>
        <v>Fejn ġew megħluba l-Ingliżi fil-Kanada?</v>
      </c>
    </row>
    <row r="6817" ht="15.75" customHeight="1">
      <c r="A6817" s="2" t="s">
        <v>6817</v>
      </c>
      <c r="B6817" s="2" t="str">
        <f>IFERROR(__xludf.DUMMYFUNCTION("GOOGLETRANSLATE(A6817, ""en"", ""mt"")"),"In-netwerk kien inġinerija u mħaddem minn telekomunikazzjonijiet MCI taħt ftehim kooperattiv mal-NSF")</f>
        <v>In-netwerk kien inġinerija u mħaddem minn telekomunikazzjonijiet MCI taħt ftehim kooperattiv mal-NSF</v>
      </c>
    </row>
    <row r="6818" ht="15.75" customHeight="1">
      <c r="A6818" s="2" t="s">
        <v>6818</v>
      </c>
      <c r="B6818" s="2" t="str">
        <f>IFERROR(__xludf.DUMMYFUNCTION("GOOGLETRANSLATE(A6818, ""en"", ""mt"")"),"Fejn kien midfun Luther?")</f>
        <v>Fejn kien midfun Luther?</v>
      </c>
    </row>
    <row r="6819" ht="15.75" customHeight="1">
      <c r="A6819" s="2" t="s">
        <v>6819</v>
      </c>
      <c r="B6819" s="2" t="str">
        <f>IFERROR(__xludf.DUMMYFUNCTION("GOOGLETRANSLATE(A6819, ""en"", ""mt"")"),"X'inhuma t-tliet espressjonijiet primarji użati biex jirrappreżentaw il-kumplessità tal-każijiet?")</f>
        <v>X'inhuma t-tliet espressjonijiet primarji użati biex jirrappreżentaw il-kumplessità tal-każijiet?</v>
      </c>
    </row>
    <row r="6820" ht="15.75" customHeight="1">
      <c r="A6820" s="2" t="s">
        <v>6820</v>
      </c>
      <c r="B6820" s="2" t="str">
        <f>IFERROR(__xludf.DUMMYFUNCTION("GOOGLETRANSLATE(A6820, ""en"", ""mt"")"),"Liema inventur bena għas-sejbiet ta 'Philo ta' Biżanzju?")</f>
        <v>Liema inventur bena għas-sejbiet ta 'Philo ta' Biżanzju?</v>
      </c>
    </row>
    <row r="6821" ht="15.75" customHeight="1">
      <c r="A6821" s="2" t="s">
        <v>6821</v>
      </c>
      <c r="B6821" s="2" t="str">
        <f>IFERROR(__xludf.DUMMYFUNCTION("GOOGLETRANSLATE(A6821, ""en"", ""mt"")"),"Serje ta 'strajkijiet minn minaturi tal-faħam u ħaddiema tal-ferrovija")</f>
        <v>Serje ta 'strajkijiet minn minaturi tal-faħam u ħaddiema tal-ferrovija</v>
      </c>
    </row>
    <row r="6822" ht="15.75" customHeight="1">
      <c r="A6822" s="2" t="s">
        <v>6822</v>
      </c>
      <c r="B6822" s="2" t="str">
        <f>IFERROR(__xludf.DUMMYFUNCTION("GOOGLETRANSLATE(A6822, ""en"", ""mt"")"),"fotosintetiku")</f>
        <v>fotosintetiku</v>
      </c>
    </row>
    <row r="6823" ht="15.75" customHeight="1">
      <c r="A6823" s="2" t="s">
        <v>6823</v>
      </c>
      <c r="B6823" s="2" t="str">
        <f>IFERROR(__xludf.DUMMYFUNCTION("GOOGLETRANSLATE(A6823, ""en"", ""mt"")"),"18 ta 'Frar")</f>
        <v>18 ta 'Frar</v>
      </c>
    </row>
    <row r="6824" ht="15.75" customHeight="1">
      <c r="A6824" s="2" t="s">
        <v>6824</v>
      </c>
      <c r="B6824" s="2" t="str">
        <f>IFERROR(__xludf.DUMMYFUNCTION("GOOGLETRANSLATE(A6824, ""en"", ""mt"")"),"Kuntratti abbozzati ħażin")</f>
        <v>Kuntratti abbozzati ħażin</v>
      </c>
    </row>
    <row r="6825" ht="15.75" customHeight="1">
      <c r="A6825" s="2" t="s">
        <v>6825</v>
      </c>
      <c r="B6825" s="2" t="str">
        <f>IFERROR(__xludf.DUMMYFUNCTION("GOOGLETRANSLATE(A6825, ""en"", ""mt"")"),"Infermiera jittrattaw 80% tal-popolazzjoni li jżuru dispensarji, ċentri tas-saħħa u kliniċi privati ​​f'żoni urbani rurali u taħt is-servuti. Każijiet ikkumplikati huma riferuti lil uffiċjali kliniċi, uffiċjali mediċi u prattikanti mediċi. Skond l-Uffiċċj"&amp;"u Nazzjonali tal-Istatistika tal-Kenja, fl-2011 kien hemm 65,000 infermiera kwalifikati rreġistrati fil-pajjiż; 8,600 uffiċjal kliniku u 7,000 tobba għall-popolazzjoni ta '43 miljun persuna (dawn iċ-ċifri minn reġistri uffiċjali jinkludu dawk li mietu jew"&amp;" ħallew il-professjoni u għalhekk in-numru attwali ta 'dawn il-ħaddiema jista' jkun inqas).")</f>
        <v>Infermiera jittrattaw 80% tal-popolazzjoni li jżuru dispensarji, ċentri tas-saħħa u kliniċi privati ​​f'żoni urbani rurali u taħt is-servuti. Każijiet ikkumplikati huma riferuti lil uffiċjali kliniċi, uffiċjali mediċi u prattikanti mediċi. Skond l-Uffiċċju Nazzjonali tal-Istatistika tal-Kenja, fl-2011 kien hemm 65,000 infermiera kwalifikati rreġistrati fil-pajjiż; 8,600 uffiċjal kliniku u 7,000 tobba għall-popolazzjoni ta '43 miljun persuna (dawn iċ-ċifri minn reġistri uffiċjali jinkludu dawk li mietu jew ħallew il-professjoni u għalhekk in-numru attwali ta 'dawn il-ħaddiema jista' jkun inqas).</v>
      </c>
    </row>
    <row r="6826" ht="15.75" customHeight="1">
      <c r="A6826" s="2" t="s">
        <v>6826</v>
      </c>
      <c r="B6826" s="2" t="str">
        <f>IFERROR(__xludf.DUMMYFUNCTION("GOOGLETRANSLATE(A6826, ""en"", ""mt"")"),"in-nuqqas ta ’statistika affidabbli minn dan il-perjodu")</f>
        <v>in-nuqqas ta ’statistika affidabbli minn dan il-perjodu</v>
      </c>
    </row>
    <row r="6827" ht="15.75" customHeight="1">
      <c r="A6827" s="2" t="s">
        <v>6827</v>
      </c>
      <c r="B6827" s="2" t="str">
        <f>IFERROR(__xludf.DUMMYFUNCTION("GOOGLETRANSLATE(A6827, ""en"", ""mt"")"),"X'tip ta 'opportunitajiet ikunu mistennija minn dawn il-kontej?")</f>
        <v>X'tip ta 'opportunitajiet ikunu mistennija minn dawn il-kontej?</v>
      </c>
    </row>
    <row r="6828" ht="15.75" customHeight="1">
      <c r="A6828" s="2" t="s">
        <v>6828</v>
      </c>
      <c r="B6828" s="2" t="str">
        <f>IFERROR(__xludf.DUMMYFUNCTION("GOOGLETRANSLATE(A6828, ""en"", ""mt"")"),"madwar terz")</f>
        <v>madwar terz</v>
      </c>
    </row>
    <row r="6829" ht="15.75" customHeight="1">
      <c r="A6829" s="2" t="s">
        <v>6829</v>
      </c>
      <c r="B6829" s="2" t="str">
        <f>IFERROR(__xludf.DUMMYFUNCTION("GOOGLETRANSLATE(A6829, ""en"", ""mt"")"),"Artikolu 30")</f>
        <v>Artikolu 30</v>
      </c>
    </row>
    <row r="6830" ht="15.75" customHeight="1">
      <c r="A6830" s="2" t="s">
        <v>6830</v>
      </c>
      <c r="B6830" s="2" t="str">
        <f>IFERROR(__xludf.DUMMYFUNCTION("GOOGLETRANSLATE(A6830, ""en"", ""mt"")"),"miżata għal kull unità ta 'ħin ta' konnessjoni")</f>
        <v>miżata għal kull unità ta 'ħin ta' konnessjoni</v>
      </c>
    </row>
    <row r="6831" ht="15.75" customHeight="1">
      <c r="A6831" s="2" t="s">
        <v>6831</v>
      </c>
      <c r="B6831" s="2" t="str">
        <f>IFERROR(__xludf.DUMMYFUNCTION("GOOGLETRANSLATE(A6831, ""en"", ""mt"")"),"Min speċifikament HT jimmira biex ibiddel l-opinjoni?")</f>
        <v>Min speċifikament HT jimmira biex ibiddel l-opinjoni?</v>
      </c>
    </row>
    <row r="6832" ht="15.75" customHeight="1">
      <c r="A6832" s="2" t="s">
        <v>6832</v>
      </c>
      <c r="B6832" s="2" t="str">
        <f>IFERROR(__xludf.DUMMYFUNCTION("GOOGLETRANSLATE(A6832, ""en"", ""mt"")"),"Liema xjenzati politiċi magħrufa bħalissa jinsabu fil-fakultà tal-università?")</f>
        <v>Liema xjenzati politiċi magħrufa bħalissa jinsabu fil-fakultà tal-università?</v>
      </c>
    </row>
    <row r="6833" ht="15.75" customHeight="1">
      <c r="A6833" s="2" t="s">
        <v>6833</v>
      </c>
      <c r="B6833" s="2" t="str">
        <f>IFERROR(__xludf.DUMMYFUNCTION("GOOGLETRANSLATE(A6833, ""en"", ""mt"")"),"biex tissintetizza frazzjoni żgħira tal-proteini tagħhom")</f>
        <v>biex tissintetizza frazzjoni żgħira tal-proteini tagħhom</v>
      </c>
    </row>
    <row r="6834" ht="15.75" customHeight="1">
      <c r="A6834" s="2" t="s">
        <v>6834</v>
      </c>
      <c r="B6834" s="2" t="str">
        <f>IFERROR(__xludf.DUMMYFUNCTION("GOOGLETRANSLATE(A6834, ""en"", ""mt"")"),"It-tieni korp leġiżlattiv ewlieni huwa l-kunsill, li huwa magħmul minn ministri differenti tal-istati membri. Il-kapijiet tal-Gvern tal-Istati Membri jlaqqgħu wkoll ""Kunsill Ewropew"" (korp distint) li l-Artikolu 15 tat-TEU jiddefinixxi bħala li jipprovd"&amp;"i l- ""impetu meħtieġ għall-iżvilupp tiegħu u għandu jiddefinixxi d-direzzjonijiet u l-prijoritajiet politiċi ġenerali"". Jiltaqa 'ma' kull sitt xhur u l-president tiegħu (bħalissa l-eks Prim Ministru tal-Polonja Donald Tusk) huwa maħsub biex ""isuq ix-xo"&amp;"għol tiegħu"", iżda huwa nnifsu ""funzjonijiet leġiżlattivi"". Il-Kunsill jagħmel dan: Fil-fatt dan huwa l-gvernijiet tal-Istati Membri, iżda se jkun hemm ministru differenti f'kull laqgħa, skont is-suġġett diskuss (per eżempju għal kwistjonijiet ambjenta"&amp;"li, il-ministri tal-ambjent tal-istati membri jattendu u jivvutaw; għal barranin; Affarijiet, il-Ministri Barranin, eċċ.). Il-Ministru għandu jkollu l-awtorità li jirrappreżenta u jġib l-Istati Membri f'deċiżjonijiet. Meta sseħħ il-votazzjoni huwa peżat b"&amp;"'mod invers għad-daqs tal-istat membru, u għalhekk stati membri iżgħar mhumiex iddominati minn stati membri akbar. B’kollox hemm 352 vot, iżda għal ħafna atti jridu jkun hemm vot ta ’maġġoranza kwalifikata, jekk mhux kunsens. L-Artikolu 16 (4) u l-Artikol"&amp;"u TFEU 238 (3) jiddefinixxu dan biex ifissru mill-inqas 55 fil-mija tal-membri tal-kunsill (mhux voti) li jirrappreżentaw 65 fil-mija tal-popolazzjoni ta 'l-UE: bħalissa dan ifisser madwar 74 fil-mija, jew 260 mill-352 vot. Dan huwa kritiku matul il-proċe"&amp;"ss leġiżlattiv.")</f>
        <v>It-tieni korp leġiżlattiv ewlieni huwa l-kunsill, li huwa magħmul minn ministri differenti tal-istati membri. Il-kapijiet tal-Gvern tal-Istati Membri jlaqqgħu wkoll "Kunsill Ewropew" (korp distint) li l-Artikolu 15 tat-TEU jiddefinixxi bħala li jipprovdi l- "impetu meħtieġ għall-iżvilupp tiegħu u għandu jiddefinixxi d-direzzjonijiet u l-prijoritajiet politiċi ġenerali". Jiltaqa 'ma' kull sitt xhur u l-president tiegħu (bħalissa l-eks Prim Ministru tal-Polonja Donald Tusk) huwa maħsub biex "isuq ix-xogħol tiegħu", iżda huwa nnifsu "funzjonijiet leġiżlattivi". Il-Kunsill jagħmel dan: Fil-fatt dan huwa l-gvernijiet tal-Istati Membri, iżda se jkun hemm ministru differenti f'kull laqgħa, skont is-suġġett diskuss (per eżempju għal kwistjonijiet ambjentali, il-ministri tal-ambjent tal-istati membri jattendu u jivvutaw; għal barranin; Affarijiet, il-Ministri Barranin, eċċ.). Il-Ministru għandu jkollu l-awtorità li jirrappreżenta u jġib l-Istati Membri f'deċiżjonijiet. Meta sseħħ il-votazzjoni huwa peżat b'mod invers għad-daqs tal-istat membru, u għalhekk stati membri iżgħar mhumiex iddominati minn stati membri akbar. B’kollox hemm 352 vot, iżda għal ħafna atti jridu jkun hemm vot ta ’maġġoranza kwalifikata, jekk mhux kunsens. L-Artikolu 16 (4) u l-Artikolu TFEU 238 (3) jiddefinixxu dan biex ifissru mill-inqas 55 fil-mija tal-membri tal-kunsill (mhux voti) li jirrappreżentaw 65 fil-mija tal-popolazzjoni ta 'l-UE: bħalissa dan ifisser madwar 74 fil-mija, jew 260 mill-352 vot. Dan huwa kritiku matul il-proċess leġiżlattiv.</v>
      </c>
    </row>
    <row r="6835" ht="15.75" customHeight="1">
      <c r="A6835" s="2" t="s">
        <v>6835</v>
      </c>
      <c r="B6835" s="2" t="str">
        <f>IFERROR(__xludf.DUMMYFUNCTION("GOOGLETRANSLATE(A6835, ""en"", ""mt"")"),"Fejn twieled x'aktarx Genghis Khan?")</f>
        <v>Fejn twieled x'aktarx Genghis Khan?</v>
      </c>
    </row>
    <row r="6836" ht="15.75" customHeight="1">
      <c r="A6836" s="2" t="s">
        <v>6836</v>
      </c>
      <c r="B6836" s="2" t="str">
        <f>IFERROR(__xludf.DUMMYFUNCTION("GOOGLETRANSLATE(A6836, ""en"", ""mt"")"),"inerzja rotazzjonali tal-pjaneta")</f>
        <v>inerzja rotazzjonali tal-pjaneta</v>
      </c>
    </row>
    <row r="6837" ht="15.75" customHeight="1">
      <c r="A6837" s="2" t="s">
        <v>6837</v>
      </c>
      <c r="B6837" s="2" t="str">
        <f>IFERROR(__xludf.DUMMYFUNCTION("GOOGLETRANSLATE(A6837, ""en"", ""mt"")"),"X'kien l-iskor għal-logħba tal-kampjonat NFC 2015?")</f>
        <v>X'kien l-iskor għal-logħba tal-kampjonat NFC 2015?</v>
      </c>
    </row>
    <row r="6838" ht="15.75" customHeight="1">
      <c r="A6838" s="2" t="s">
        <v>6838</v>
      </c>
      <c r="B6838" s="2" t="str">
        <f>IFERROR(__xludf.DUMMYFUNCTION("GOOGLETRANSLATE(A6838, ""en"", ""mt"")"),"Dak li tfisser l-intrattabilità fil-prattika huwa miftuħ għad-dibattitu. Li tgħid li problema mhix f'P ma timplikax li l-każijiet kbar kollha tal-problema huma iebsa jew saħansitra li ħafna minnhom huma. Pereżempju, il-problema tad-deċiżjoni fl-aritmetika"&amp;" ta 'Presburger intweriet li mhix f'P, iżda ġew miktuba algoritmi li jsolvu l-problema fi żminijiet raġonevoli f'ħafna każijiet. Bl-istess mod, l-algoritmi jistgħu jsolvu l-problema ta 'ħabta kompluta NP fuq firxa wiesgħa ta' daqsijiet f'inqas minn ħin kw"&amp;"adratiku u s-solvers SAT jimmaniġġjaw rutina ta 'każijiet kbar tal-problema ta' sodisfazzjon Boolean NP-komplut.")</f>
        <v>Dak li tfisser l-intrattabilità fil-prattika huwa miftuħ għad-dibattitu. Li tgħid li problema mhix f'P ma timplikax li l-każijiet kbar kollha tal-problema huma iebsa jew saħansitra li ħafna minnhom huma. Pereżempju, il-problema tad-deċiżjoni fl-aritmetika ta 'Presburger intweriet li mhix f'P, iżda ġew miktuba algoritmi li jsolvu l-problema fi żminijiet raġonevoli f'ħafna każijiet. Bl-istess mod, l-algoritmi jistgħu jsolvu l-problema ta 'ħabta kompluta NP fuq firxa wiesgħa ta' daqsijiet f'inqas minn ħin kwadratiku u s-solvers SAT jimmaniġġjaw rutina ta 'każijiet kbar tal-problema ta' sodisfazzjon Boolean NP-komplut.</v>
      </c>
    </row>
    <row r="6839" ht="15.75" customHeight="1">
      <c r="A6839" s="2" t="s">
        <v>6839</v>
      </c>
      <c r="B6839" s="2" t="str">
        <f>IFERROR(__xludf.DUMMYFUNCTION("GOOGLETRANSLATE(A6839, ""en"", ""mt"")"),"2.8")</f>
        <v>2.8</v>
      </c>
    </row>
    <row r="6840" ht="15.75" customHeight="1">
      <c r="A6840" s="2" t="s">
        <v>6840</v>
      </c>
      <c r="B6840" s="2" t="str">
        <f>IFERROR(__xludf.DUMMYFUNCTION("GOOGLETRANSLATE(A6840, ""en"", ""mt"")"),"Mingħajr l-appoġġ ta 'Luther għar-rewwixta, ħafna ribelli stabbilixxew l-armi tagħhom; Oħrajn ħassewhom ingannati. It-telfa tagħhom mill-Lega Swabjana fil-Battalja ta 'Frankenhausen fil-15 ta' Mejju 1525, segwita mill-eżekuzzjoni ta 'Müntzer, ġabet l-ista"&amp;"dju rivoluzzjonarju tar-riforma. Wara dan, ir-radikaliżmu sab kenn fil-moviment Anabaptist u movimenti reliġjużi oħra, filwaqt li r-riforma ta 'Luther iffjorixxiet taħt il-ġwienaħ tal-poteri sekulari.")</f>
        <v>Mingħajr l-appoġġ ta 'Luther għar-rewwixta, ħafna ribelli stabbilixxew l-armi tagħhom; Oħrajn ħassewhom ingannati. It-telfa tagħhom mill-Lega Swabjana fil-Battalja ta 'Frankenhausen fil-15 ta' Mejju 1525, segwita mill-eżekuzzjoni ta 'Müntzer, ġabet l-istadju rivoluzzjonarju tar-riforma. Wara dan, ir-radikaliżmu sab kenn fil-moviment Anabaptist u movimenti reliġjużi oħra, filwaqt li r-riforma ta 'Luther iffjorixxiet taħt il-ġwienaħ tal-poteri sekulari.</v>
      </c>
    </row>
    <row r="6841" ht="15.75" customHeight="1">
      <c r="A6841" s="2" t="s">
        <v>6841</v>
      </c>
      <c r="B6841" s="2" t="str">
        <f>IFERROR(__xludf.DUMMYFUNCTION("GOOGLETRANSLATE(A6841, ""en"", ""mt"")"),"Dorotheenstadt u Friedrichstadt")</f>
        <v>Dorotheenstadt u Friedrichstadt</v>
      </c>
    </row>
    <row r="6842" ht="15.75" customHeight="1">
      <c r="A6842" s="2" t="s">
        <v>6842</v>
      </c>
      <c r="B6842" s="2" t="str">
        <f>IFERROR(__xludf.DUMMYFUNCTION("GOOGLETRANSLATE(A6842, ""en"", ""mt"")"),"Liema persentaġġ tal-popolazzjoni ta 'Varsavja kienet Protestanta fl-1901?")</f>
        <v>Liema persentaġġ tal-popolazzjoni ta 'Varsavja kienet Protestanta fl-1901?</v>
      </c>
    </row>
    <row r="6843" ht="15.75" customHeight="1">
      <c r="A6843" s="2" t="s">
        <v>6843</v>
      </c>
      <c r="B6843" s="2" t="str">
        <f>IFERROR(__xludf.DUMMYFUNCTION("GOOGLETRANSLATE(A6843, ""en"", ""mt"")"),"Il-biċċa l-kbira tal-kollezzjoni tal-mużew ġiet mibgħuta lura sa liema sena?")</f>
        <v>Il-biċċa l-kbira tal-kollezzjoni tal-mużew ġiet mibgħuta lura sa liema sena?</v>
      </c>
    </row>
    <row r="6844" ht="15.75" customHeight="1">
      <c r="A6844" s="2" t="s">
        <v>6844</v>
      </c>
      <c r="B6844" s="2" t="str">
        <f>IFERROR(__xludf.DUMMYFUNCTION("GOOGLETRANSLATE(A6844, ""en"", ""mt"")"),"Honeyeater elmu")</f>
        <v>Honeyeater elmu</v>
      </c>
    </row>
    <row r="6845" ht="15.75" customHeight="1">
      <c r="A6845" s="2" t="s">
        <v>6845</v>
      </c>
      <c r="B6845" s="2" t="str">
        <f>IFERROR(__xludf.DUMMYFUNCTION("GOOGLETRANSLATE(A6845, ""en"", ""mt"")"),"Liema premju rebaħ Peter Higgs?")</f>
        <v>Liema premju rebaħ Peter Higgs?</v>
      </c>
    </row>
    <row r="6846" ht="15.75" customHeight="1">
      <c r="A6846" s="2" t="s">
        <v>6846</v>
      </c>
      <c r="B6846" s="2" t="str">
        <f>IFERROR(__xludf.DUMMYFUNCTION("GOOGLETRANSLATE(A6846, ""en"", ""mt"")"),"bigamy tal-Filippu ta 'Hesse")</f>
        <v>bigamy tal-Filippu ta 'Hesse</v>
      </c>
    </row>
    <row r="6847" ht="15.75" customHeight="1">
      <c r="A6847" s="2" t="s">
        <v>6847</v>
      </c>
      <c r="B6847" s="2" t="str">
        <f>IFERROR(__xludf.DUMMYFUNCTION("GOOGLETRANSLATE(A6847, ""en"", ""mt"")"),"1⁄3")</f>
        <v>1⁄3</v>
      </c>
    </row>
    <row r="6848" ht="15.75" customHeight="1">
      <c r="A6848" s="2" t="s">
        <v>6848</v>
      </c>
      <c r="B6848" s="2" t="str">
        <f>IFERROR(__xludf.DUMMYFUNCTION("GOOGLETRANSLATE(A6848, ""en"", ""mt"")"),"Skultura Ewropea post-klassika")</f>
        <v>Skultura Ewropea post-klassika</v>
      </c>
    </row>
    <row r="6849" ht="15.75" customHeight="1">
      <c r="A6849" s="2" t="s">
        <v>6849</v>
      </c>
      <c r="B6849" s="2" t="str">
        <f>IFERROR(__xludf.DUMMYFUNCTION("GOOGLETRANSLATE(A6849, ""en"", ""mt"")"),"notazzjoni binarja")</f>
        <v>notazzjoni binarja</v>
      </c>
    </row>
    <row r="6850" ht="15.75" customHeight="1">
      <c r="A6850" s="2" t="s">
        <v>6850</v>
      </c>
      <c r="B6850" s="2" t="str">
        <f>IFERROR(__xludf.DUMMYFUNCTION("GOOGLETRANSLATE(A6850, ""en"", ""mt"")"),"Kosta tal-Lvant")</f>
        <v>Kosta tal-Lvant</v>
      </c>
    </row>
    <row r="6851" ht="15.75" customHeight="1">
      <c r="A6851" s="2" t="s">
        <v>6851</v>
      </c>
      <c r="B6851" s="2" t="str">
        <f>IFERROR(__xludf.DUMMYFUNCTION("GOOGLETRANSLATE(A6851, ""en"", ""mt"")"),"Surveyor tal-Kwantità")</f>
        <v>Surveyor tal-Kwantità</v>
      </c>
    </row>
    <row r="6852" ht="15.75" customHeight="1">
      <c r="A6852" s="2" t="s">
        <v>6852</v>
      </c>
      <c r="B6852" s="2" t="str">
        <f>IFERROR(__xludf.DUMMYFUNCTION("GOOGLETRANSLATE(A6852, ""en"", ""mt"")"),"Kif huwa manifestat il-Priciple Esklużjoni Pauli fid-dinja makro?")</f>
        <v>Kif huwa manifestat il-Priciple Esklużjoni Pauli fid-dinja makro?</v>
      </c>
    </row>
    <row r="6853" ht="15.75" customHeight="1">
      <c r="A6853" s="2" t="s">
        <v>6853</v>
      </c>
      <c r="B6853" s="2" t="str">
        <f>IFERROR(__xludf.DUMMYFUNCTION("GOOGLETRANSLATE(A6853, ""en"", ""mt"")"),"Ċelloli tal-qattiel naturali, jew ċelloli NK, huma komponent tas-sistema immuni innata li ma tattakkax direttament il-mikrobi li jinvadu. Anzi, iċ-ċelloli NK jeqirdu ċelloli ospitanti kompromessi, bħal ċelloli tat-tumur jew ċelloli infettati bil-virus, li"&amp;" jirrikonoxxu ċelloli bħal dawn b'kundizzjoni magħrufa bħala ""self nieqes."" Dan it-terminu jiddeskrivi ċelloli b'livelli baxxi ta 'markatur tal-wiċċ taċ-ċellula msejjaħ MHC I (kumpless maġġuri ta' istokompatibilità) - sitwazzjoni li tista 'tinqala' f'in"&amp;"fezzjonijiet virali taċ-ċelloli ospitanti. Huma ġew imsemmija ""Killer Naturali"" minħabba l-kunċett inizjali li ma jeħtiġux attivazzjoni sabiex joqtlu ċelloli li huma ""nieqsa minn rashom."" Għal ħafna snin ma kienx ċar kif iċ-ċelloli NK jirrikonoxxu ċel"&amp;"loli tat-tumur u ċelloli infettati. Issa huwa magħruf li l-għamla MHC fuq il-wiċċ ta 'dawk iċ-ċelloli hija mibdula u ċ-ċelloli NK isiru attivati ​​permezz tar-rikonoxximent ta' ""self nieqes"". Iċ-ċelloli normali tal-ġisem mhumiex rikonoxxuti u attakkati "&amp;"minn ċelloli NK minħabba li jesprimu antiġeni ta 'awto MHC intatti. Dawk l-antiġeni MHC huma rikonoxxuti minn riċetturi ta 'immunoglobulina taċ-ċelloli qattiel (KIR) li essenzjalment ipoġġu l-brejkijiet fuq iċ-ċelloli NK.")</f>
        <v>Ċelloli tal-qattiel naturali, jew ċelloli NK, huma komponent tas-sistema immuni innata li ma tattakkax direttament il-mikrobi li jinvadu. Anzi, iċ-ċelloli NK jeqirdu ċelloli ospitanti kompromessi, bħal ċelloli tat-tumur jew ċelloli infettati bil-virus, li jirrikonoxxu ċelloli bħal dawn b'kundizzjoni magħrufa bħala "self nieqes." Dan it-terminu jiddeskrivi ċelloli b'livelli baxxi ta 'markatur tal-wiċċ taċ-ċellula msejjaħ MHC I (kumpless maġġuri ta' istokompatibilità) - sitwazzjoni li tista 'tinqala' f'infezzjonijiet virali taċ-ċelloli ospitanti. Huma ġew imsemmija "Killer Naturali" minħabba l-kunċett inizjali li ma jeħtiġux attivazzjoni sabiex joqtlu ċelloli li huma "nieqsa minn rashom." Għal ħafna snin ma kienx ċar kif iċ-ċelloli NK jirrikonoxxu ċelloli tat-tumur u ċelloli infettati. Issa huwa magħruf li l-għamla MHC fuq il-wiċċ ta 'dawk iċ-ċelloli hija mibdula u ċ-ċelloli NK isiru attivati ​​permezz tar-rikonoxximent ta' "self nieqes". Iċ-ċelloli normali tal-ġisem mhumiex rikonoxxuti u attakkati minn ċelloli NK minħabba li jesprimu antiġeni ta 'awto MHC intatti. Dawk l-antiġeni MHC huma rikonoxxuti minn riċetturi ta 'immunoglobulina taċ-ċelloli qattiel (KIR) li essenzjalment ipoġġu l-brejkijiet fuq iċ-ċelloli NK.</v>
      </c>
    </row>
    <row r="6854" ht="15.75" customHeight="1">
      <c r="A6854" s="2" t="s">
        <v>6854</v>
      </c>
      <c r="B6854" s="2" t="str">
        <f>IFERROR(__xludf.DUMMYFUNCTION("GOOGLETRANSLATE(A6854, ""en"", ""mt"")"),"ordnijiet reliġjużi medjevali")</f>
        <v>ordnijiet reliġjużi medjevali</v>
      </c>
    </row>
    <row r="6855" ht="15.75" customHeight="1">
      <c r="A6855" s="2" t="s">
        <v>6855</v>
      </c>
      <c r="B6855" s="2" t="str">
        <f>IFERROR(__xludf.DUMMYFUNCTION("GOOGLETRANSLATE(A6855, ""en"", ""mt"")"),"Oħroġhom lura għall-orbita biex joħorġu bil-modulu tal-kmand")</f>
        <v>Oħroġhom lura għall-orbita biex joħorġu bil-modulu tal-kmand</v>
      </c>
    </row>
    <row r="6856" ht="15.75" customHeight="1">
      <c r="A6856" s="2" t="s">
        <v>6856</v>
      </c>
      <c r="B6856" s="2" t="str">
        <f>IFERROR(__xludf.DUMMYFUNCTION("GOOGLETRANSLATE(A6856, ""en"", ""mt"")"),"Bricks għal Varsavja")</f>
        <v>Bricks għal Varsavja</v>
      </c>
    </row>
    <row r="6857" ht="15.75" customHeight="1">
      <c r="A6857" s="2" t="s">
        <v>6857</v>
      </c>
      <c r="B6857" s="2" t="str">
        <f>IFERROR(__xludf.DUMMYFUNCTION("GOOGLETRANSLATE(A6857, ""en"", ""mt"")"),"l-ewwel tiżdied")</f>
        <v>l-ewwel tiżdied</v>
      </c>
    </row>
    <row r="6858" ht="15.75" customHeight="1">
      <c r="A6858" s="2" t="s">
        <v>6858</v>
      </c>
      <c r="B6858" s="2" t="str">
        <f>IFERROR(__xludf.DUMMYFUNCTION("GOOGLETRANSLATE(A6858, ""en"", ""mt"")"),"Sitt darbiet rebbieħa tal-Grammy u nominata tal-Premju tal-Akkademja Lady Gaga wettqet l-innu nazzjonali, filwaqt li r-rebbieħa tal-Akkademja Marlee Matlin ipprovdiet traduzzjoni Amerikana tas-Sinjali (ASL).")</f>
        <v>Sitt darbiet rebbieħa tal-Grammy u nominata tal-Premju tal-Akkademja Lady Gaga wettqet l-innu nazzjonali, filwaqt li r-rebbieħa tal-Akkademja Marlee Matlin ipprovdiet traduzzjoni Amerikana tas-Sinjali (ASL).</v>
      </c>
    </row>
    <row r="6859" ht="15.75" customHeight="1">
      <c r="A6859" s="2" t="s">
        <v>6859</v>
      </c>
      <c r="B6859" s="2" t="str">
        <f>IFERROR(__xludf.DUMMYFUNCTION("GOOGLETRANSLATE(A6859, ""en"", ""mt"")"),"1933")</f>
        <v>1933</v>
      </c>
    </row>
    <row r="6860" ht="15.75" customHeight="1">
      <c r="A6860" s="2" t="s">
        <v>6860</v>
      </c>
      <c r="B6860" s="2" t="str">
        <f>IFERROR(__xludf.DUMMYFUNCTION("GOOGLETRANSLATE(A6860, ""en"", ""mt"")"),"Moviment li jdur kontinwu")</f>
        <v>Moviment li jdur kontinwu</v>
      </c>
    </row>
    <row r="6861" ht="15.75" customHeight="1">
      <c r="A6861" s="2" t="s">
        <v>6861</v>
      </c>
      <c r="B6861" s="2" t="str">
        <f>IFERROR(__xludf.DUMMYFUNCTION("GOOGLETRANSLATE(A6861, ""en"", ""mt"")"),"mhux restawrat mill-awtoritajiet komunisti wara l-gwerra")</f>
        <v>mhux restawrat mill-awtoritajiet komunisti wara l-gwerra</v>
      </c>
    </row>
    <row r="6862" ht="15.75" customHeight="1">
      <c r="A6862" s="2" t="s">
        <v>6862</v>
      </c>
      <c r="B6862" s="2" t="str">
        <f>IFERROR(__xludf.DUMMYFUNCTION("GOOGLETRANSLATE(A6862, ""en"", ""mt"")"),"Kemm hemm konferenzi ċentrali barra mill-Istati Uniti?")</f>
        <v>Kemm hemm konferenzi ċentrali barra mill-Istati Uniti?</v>
      </c>
    </row>
    <row r="6863" ht="15.75" customHeight="1">
      <c r="A6863" s="2" t="s">
        <v>6863</v>
      </c>
      <c r="B6863" s="2" t="str">
        <f>IFERROR(__xludf.DUMMYFUNCTION("GOOGLETRANSLATE(A6863, ""en"", ""mt"")"),"Dak li jiżdied malajr hekk kif id-dħul per capita jiżdied?")</f>
        <v>Dak li jiżdied malajr hekk kif id-dħul per capita jiżdied?</v>
      </c>
    </row>
    <row r="6864" ht="15.75" customHeight="1">
      <c r="A6864" s="2" t="s">
        <v>6864</v>
      </c>
      <c r="B6864" s="2" t="str">
        <f>IFERROR(__xludf.DUMMYFUNCTION("GOOGLETRANSLATE(A6864, ""en"", ""mt"")"),"L-aħħar tal-istaġun tal-1993")</f>
        <v>L-aħħar tal-istaġun tal-1993</v>
      </c>
    </row>
    <row r="6865" ht="15.75" customHeight="1">
      <c r="A6865" s="2" t="s">
        <v>6865</v>
      </c>
      <c r="B6865" s="2" t="str">
        <f>IFERROR(__xludf.DUMMYFUNCTION("GOOGLETRANSLATE(A6865, ""en"", ""mt"")"),"Miasto Stołeczne Warszawa")</f>
        <v>Miasto Stołeczne Warszawa</v>
      </c>
    </row>
    <row r="6866" ht="15.75" customHeight="1">
      <c r="A6866" s="2" t="s">
        <v>6866</v>
      </c>
      <c r="B6866" s="2" t="str">
        <f>IFERROR(__xludf.DUMMYFUNCTION("GOOGLETRANSLATE(A6866, ""en"", ""mt"")"),"Ir-reġjuni distintivi tan-Nofsinhar ta 'California huma maqsuma kulturalment, politikament u liema karatteristika oħra?")</f>
        <v>Ir-reġjuni distintivi tan-Nofsinhar ta 'California huma maqsuma kulturalment, politikament u liema karatteristika oħra?</v>
      </c>
    </row>
    <row r="6867" ht="15.75" customHeight="1">
      <c r="A6867" s="2" t="s">
        <v>6867</v>
      </c>
      <c r="B6867" s="2" t="str">
        <f>IFERROR(__xludf.DUMMYFUNCTION("GOOGLETRANSLATE(A6867, ""en"", ""mt"")"),"It-tobba Ċiniżi nġiebu flimkien kampanji militari mill-Mongoli")</f>
        <v>It-tobba Ċiniżi nġiebu flimkien kampanji militari mill-Mongoli</v>
      </c>
    </row>
    <row r="6868" ht="15.75" customHeight="1">
      <c r="A6868" s="2" t="s">
        <v>6868</v>
      </c>
      <c r="B6868" s="2" t="str">
        <f>IFERROR(__xludf.DUMMYFUNCTION("GOOGLETRANSLATE(A6868, ""en"", ""mt"")"),"espansjonijiet")</f>
        <v>espansjonijiet</v>
      </c>
    </row>
    <row r="6869" ht="15.75" customHeight="1">
      <c r="A6869" s="2" t="s">
        <v>6869</v>
      </c>
      <c r="B6869" s="2" t="str">
        <f>IFERROR(__xludf.DUMMYFUNCTION("GOOGLETRANSLATE(A6869, ""en"", ""mt"")"),"Xi dinofiti, bħal Kryptoperidinium u Durinskia għandhom kloroplast derivat minn diatom (heterokontophy). Dawn il-kloroplasti huma mdawra minn sa ħames membrani, (jiddependi fuq jekk tgħoddx id-diatom kollu endosymbiont bħala l-kloroplast, jew sempliċement"&amp;" il-kloroplast derivat mill-alka ħamra ġewwa fih). Id-diatom endosymbiont tnaqqas relattivament ftit - għadu jżomm il-mitokondrija oriġinali tiegħu, u għandu retikolu endoplasmiku, ribosomi, nukleu, u ovvjament, kloroplasti derivati ​​mill-alka ħamra - pr"&amp;"attikament ċellola sħiħa, kollha ġewwa l-lumen endoplasmiku tar-retikolu endoplasmiku. Madankollu d-diatom endosymbiont ma jistax jaħżen l-ikel tiegħu stess - il-lamtu jinstab fil-granuli fiċ-ċitoplasma tal-host tad-dinophyte minflok. In-nukleu tad-diatom"&amp;" endosymbiont huwa preżenti, iżda probabbilment ma jistax jissejjaħ nukleomorf għaliex ma juri l-ebda sinjal ta 'tnaqqis tal-ġenoma, u jista' jkun saħansitra ġie estiż. Id-dijatomi ġew maħkuma minn dinoflagellati mill-inqas tliet darbiet.")</f>
        <v>Xi dinofiti, bħal Kryptoperidinium u Durinskia għandhom kloroplast derivat minn diatom (heterokontophy). Dawn il-kloroplasti huma mdawra minn sa ħames membrani, (jiddependi fuq jekk tgħoddx id-diatom kollu endosymbiont bħala l-kloroplast, jew sempliċement il-kloroplast derivat mill-alka ħamra ġewwa fih). Id-diatom endosymbiont tnaqqas relattivament ftit - għadu jżomm il-mitokondrija oriġinali tiegħu, u għandu retikolu endoplasmiku, ribosomi, nukleu, u ovvjament, kloroplasti derivati ​​mill-alka ħamra - prattikament ċellola sħiħa, kollha ġewwa l-lumen endoplasmiku tar-retikolu endoplasmiku. Madankollu d-diatom endosymbiont ma jistax jaħżen l-ikel tiegħu stess - il-lamtu jinstab fil-granuli fiċ-ċitoplasma tal-host tad-dinophyte minflok. In-nukleu tad-diatom endosymbiont huwa preżenti, iżda probabbilment ma jistax jissejjaħ nukleomorf għaliex ma juri l-ebda sinjal ta 'tnaqqis tal-ġenoma, u jista' jkun saħansitra ġie estiż. Id-dijatomi ġew maħkuma minn dinoflagellati mill-inqas tliet darbiet.</v>
      </c>
    </row>
    <row r="6870" ht="15.75" customHeight="1">
      <c r="A6870" s="2" t="s">
        <v>6870</v>
      </c>
      <c r="B6870" s="2" t="str">
        <f>IFERROR(__xludf.DUMMYFUNCTION("GOOGLETRANSLATE(A6870, ""en"", ""mt"")"),"Twelid ġdid")</f>
        <v>Twelid ġdid</v>
      </c>
    </row>
    <row r="6871" ht="15.75" customHeight="1">
      <c r="A6871" s="2" t="s">
        <v>6871</v>
      </c>
      <c r="B6871" s="2" t="str">
        <f>IFERROR(__xludf.DUMMYFUNCTION("GOOGLETRANSLATE(A6871, ""en"", ""mt"")"),"Att dwar in-Naturalizzazzjoni ta 'Protestanti Barranin")</f>
        <v>Att dwar in-Naturalizzazzjoni ta 'Protestanti Barranin</v>
      </c>
    </row>
    <row r="6872" ht="15.75" customHeight="1">
      <c r="A6872" s="2" t="s">
        <v>6872</v>
      </c>
      <c r="B6872" s="2" t="str">
        <f>IFERROR(__xludf.DUMMYFUNCTION("GOOGLETRANSLATE(A6872, ""en"", ""mt"")"),"Jannar 2003")</f>
        <v>Jannar 2003</v>
      </c>
    </row>
    <row r="6873" ht="15.75" customHeight="1">
      <c r="A6873" s="2" t="s">
        <v>6873</v>
      </c>
      <c r="B6873" s="2" t="str">
        <f>IFERROR(__xludf.DUMMYFUNCTION("GOOGLETRANSLATE(A6873, ""en"", ""mt"")"),"X’għamel l-NFL għall-qasam tal-logħob fil-Levi's Stadium qabel is-Super Bowl?")</f>
        <v>X’għamel l-NFL għall-qasam tal-logħob fil-Levi's Stadium qabel is-Super Bowl?</v>
      </c>
    </row>
    <row r="6874" ht="15.75" customHeight="1">
      <c r="A6874" s="2" t="s">
        <v>6874</v>
      </c>
      <c r="B6874" s="2" t="str">
        <f>IFERROR(__xludf.DUMMYFUNCTION("GOOGLETRANSLATE(A6874, ""en"", ""mt"")"),"Għalliem")</f>
        <v>Għalliem</v>
      </c>
    </row>
    <row r="6875" ht="15.75" customHeight="1">
      <c r="A6875" s="2" t="s">
        <v>6875</v>
      </c>
      <c r="B6875" s="2" t="str">
        <f>IFERROR(__xludf.DUMMYFUNCTION("GOOGLETRANSLATE(A6875, ""en"", ""mt"")"),"Kompjuters ospitanti")</f>
        <v>Kompjuters ospitanti</v>
      </c>
    </row>
    <row r="6876" ht="15.75" customHeight="1">
      <c r="A6876" s="2" t="s">
        <v>6876</v>
      </c>
      <c r="B6876" s="2" t="str">
        <f>IFERROR(__xludf.DUMMYFUNCTION("GOOGLETRANSLATE(A6876, ""en"", ""mt"")"),"jenfasizzaw l-akkademiċi")</f>
        <v>jenfasizzaw l-akkademiċi</v>
      </c>
    </row>
    <row r="6877" ht="15.75" customHeight="1">
      <c r="A6877" s="2" t="s">
        <v>6877</v>
      </c>
      <c r="B6877" s="2" t="str">
        <f>IFERROR(__xludf.DUMMYFUNCTION("GOOGLETRANSLATE(A6877, ""en"", ""mt"")"),"Fl-arena tal-muturi, il-Kenja hija d-dar tar-rally safari famuż fid-dinja, komunement rikonoxxuta bħala waħda mill-aktar manifestazzjonijiet ħorox fid-dinja. Kien parti mill-Kampjonat Dinji Rally għal ħafna snin sal-esklużjoni tiegħu wara l-avveniment tal"&amp;"-2002 minħabba diffikultajiet finanzjarji. Uħud mill-aqwa sewwieqa tar-rally fid-dinja ħadu sehem u rebħu r-rally, bħal Björn Waldegård, Hannu Mikkola, Tommi Mäkinen, Shekhar Mehta, Carlos Sainz u Colin McRae. Għalkemm ir-rally għadu għaddej kull sena bħa"&amp;"la parti mill-Kampjonat tal-Afrika Rally, l-organizzaturi qed jittamaw li jitħallew jerġgħu jingħaqdu mal-Kampjonat Dinji Rally fil-ftit snin li ġejjin.")</f>
        <v>Fl-arena tal-muturi, il-Kenja hija d-dar tar-rally safari famuż fid-dinja, komunement rikonoxxuta bħala waħda mill-aktar manifestazzjonijiet ħorox fid-dinja. Kien parti mill-Kampjonat Dinji Rally għal ħafna snin sal-esklużjoni tiegħu wara l-avveniment tal-2002 minħabba diffikultajiet finanzjarji. Uħud mill-aqwa sewwieqa tar-rally fid-dinja ħadu sehem u rebħu r-rally, bħal Björn Waldegård, Hannu Mikkola, Tommi Mäkinen, Shekhar Mehta, Carlos Sainz u Colin McRae. Għalkemm ir-rally għadu għaddej kull sena bħala parti mill-Kampjonat tal-Afrika Rally, l-organizzaturi qed jittamaw li jitħallew jerġgħu jingħaqdu mal-Kampjonat Dinji Rally fil-ftit snin li ġejjin.</v>
      </c>
    </row>
    <row r="6878" ht="15.75" customHeight="1">
      <c r="A6878" s="2" t="s">
        <v>6878</v>
      </c>
      <c r="B6878" s="2" t="str">
        <f>IFERROR(__xludf.DUMMYFUNCTION("GOOGLETRANSLATE(A6878, ""en"", ""mt"")"),"Għaliex xi forzi minħabba dan huma impossibbli li jiġu mmudellati?")</f>
        <v>Għaliex xi forzi minħabba dan huma impossibbli li jiġu mmudellati?</v>
      </c>
    </row>
    <row r="6879" ht="15.75" customHeight="1">
      <c r="A6879" s="2" t="s">
        <v>6879</v>
      </c>
      <c r="B6879" s="2" t="str">
        <f>IFERROR(__xludf.DUMMYFUNCTION("GOOGLETRANSLATE(A6879, ""en"", ""mt"")"),"wieqaf u ġġieled għall-aħħar")</f>
        <v>wieqaf u ġġieled għall-aħħar</v>
      </c>
    </row>
    <row r="6880" ht="15.75" customHeight="1">
      <c r="A6880" s="2" t="s">
        <v>6880</v>
      </c>
      <c r="B6880" s="2" t="str">
        <f>IFERROR(__xludf.DUMMYFUNCTION("GOOGLETRANSLATE(A6880, ""en"", ""mt"")"),"Kemm nies kienu jgħixu fi Fresno fl-2000, skond il-Bureau taċ-Ċensiment?")</f>
        <v>Kemm nies kienu jgħixu fi Fresno fl-2000, skond il-Bureau taċ-Ċensiment?</v>
      </c>
    </row>
    <row r="6881" ht="15.75" customHeight="1">
      <c r="A6881" s="2" t="s">
        <v>6881</v>
      </c>
      <c r="B6881" s="2" t="str">
        <f>IFERROR(__xludf.DUMMYFUNCTION("GOOGLETRANSLATE(A6881, ""en"", ""mt"")"),"dmir")</f>
        <v>dmir</v>
      </c>
    </row>
    <row r="6882" ht="15.75" customHeight="1">
      <c r="A6882" s="2" t="s">
        <v>6882</v>
      </c>
      <c r="B6882" s="2" t="str">
        <f>IFERROR(__xludf.DUMMYFUNCTION("GOOGLETRANSLATE(A6882, ""en"", ""mt"")"),"X'inhi r-rispons sistemiku ta 'reżistenza akkwistata ta' sistema immunitarja tal-pjanti?")</f>
        <v>X'inhi r-rispons sistemiku ta 'reżistenza akkwistata ta' sistema immunitarja tal-pjanti?</v>
      </c>
    </row>
    <row r="6883" ht="15.75" customHeight="1">
      <c r="A6883" s="2" t="s">
        <v>6883</v>
      </c>
      <c r="B6883" s="2" t="str">
        <f>IFERROR(__xludf.DUMMYFUNCTION("GOOGLETRANSLATE(A6883, ""en"", ""mt"")"),"Il-Moviment Demokratiku Oranġjo (ODM)")</f>
        <v>Il-Moviment Demokratiku Oranġjo (ODM)</v>
      </c>
    </row>
    <row r="6884" ht="15.75" customHeight="1">
      <c r="A6884" s="2" t="s">
        <v>6884</v>
      </c>
      <c r="B6884" s="2" t="str">
        <f>IFERROR(__xludf.DUMMYFUNCTION("GOOGLETRANSLATE(A6884, ""en"", ""mt"")"),"Bankier ta 'l-Ipoteki")</f>
        <v>Bankier ta 'l-Ipoteki</v>
      </c>
    </row>
    <row r="6885" ht="15.75" customHeight="1">
      <c r="A6885" s="2" t="s">
        <v>6885</v>
      </c>
      <c r="B6885" s="2" t="str">
        <f>IFERROR(__xludf.DUMMYFUNCTION("GOOGLETRANSLATE(A6885, ""en"", ""mt"")"),"Minn xiex hija magħmula l-leġiżlatur tal-Unjoni Ewropea?")</f>
        <v>Minn xiex hija magħmula l-leġiżlatur tal-Unjoni Ewropea?</v>
      </c>
    </row>
    <row r="6886" ht="15.75" customHeight="1">
      <c r="A6886" s="2" t="s">
        <v>6886</v>
      </c>
      <c r="B6886" s="2" t="str">
        <f>IFERROR(__xludf.DUMMYFUNCTION("GOOGLETRANSLATE(A6886, ""en"", ""mt"")"),"Mork &amp; Mindy")</f>
        <v>Mork &amp; Mindy</v>
      </c>
    </row>
    <row r="6887" ht="15.75" customHeight="1">
      <c r="A6887" s="2" t="s">
        <v>6887</v>
      </c>
      <c r="B6887" s="2" t="str">
        <f>IFERROR(__xludf.DUMMYFUNCTION("GOOGLETRANSLATE(A6887, ""en"", ""mt"")"),"Hemm ħafna forom ta 'għalliema spiritwali jew reliġjużi fil-Kristjaneżmu, fit-tliet tradizzjonijiet ewlenin kollha - (Rumani) Kattoliċi, (tal-Lvant) Ortodossi Kattoliċi, u Protestanti / Mhux Denominazzjonali, bi tradizzjoni aktar b'saħħitha ta' formazzjon"&amp;"i spiritwali fl-aktar storiku u awtoritarju / Tradizzjonijiet Kristjani ġerarkiċi bi tradizzjoni twila ta '""dixxerniment ta' spirti"", ta 'vokazzjonijiet, u aspetti oħra tal-ħajja spiritwali, speċjalment il-knejjes Kattoliċi Rumani u Ortodossi. Dawn il-p"&amp;"ożizzjonijiet jinkludu: il-pożizzjoni onorata imma informali ta 'starets jew anzjani - raġel (jew, inqas spiss, mara), ħafna drabi monastiku, meqjus bħala grazzja minn Alla b'ċerti rigali għall-gwida ta' l-erwieħ u l-iskoperta u l-korrezzjoni ta 'prelest "&amp;"(kburija jew qerq spiritwali) - li jaġixxi bħala gwida spiritwali jew missier fit-tradizzjoni Kattolika Ortodossa, speċjalment l-ortodossija Russa (ara l-Monasteru Opina, li kellu linja twila ta 'starets imsemmija); il-qassis jew il-konfessur fil-Kattoliċ"&amp;"iżmu Ruman, li ħafna drabi huwa raġel f'ordnijiet qaddisa iżda jista 'jkun persuna monastika jew oħra rispettata għall-kisbiet jew id-dehen spiritwali tiegħu (anke l-Papa ta' Ruma għandu konfessur, li mhux dejjem huwa isqof, u,, u,, Minħabba l-istruttura "&amp;"ġerarkika tal-knisja Rumana, ma tistax tkun l-ugwali tiegħu fl-awtorità), li ħafna drabi hija semi-uffiċjali għall-pożizzjoni uffiċjali, għall-kuntrarju tal-pożizzjonijiet mhux uffiċjali ta 'gwidi spiritwali fit-tradizzjonijiet Kattoliċi u Protestanti Ort"&amp;"odossi; u l-arranġamenti kważi esklussivament informali (ġeneralment formali biss f'membri li huma taħt xi forma ta 'dixxiplina tal-knisja) ta' mentoring (kemm ta 'adulti kif ukoll ta' tfal, fl-aħħar każ ta 'spiss ragħaj taż-żgħażagħ) fit-tradizzjonijiet "&amp;"Protestanti u mhux denominazzjonali, li Il-konfini jistgħu jiġu mċajpra bil-pożizzjoni ta '""konfessur"" aktar tipikament Rumana f'xi wħud mill-knejjes ta' riformazzjoni aktar storiċi u konservattivi, bħal uħud mill-Luterani u l-Anglikani. B'konformità ma"&amp;"n-natura individwalista tal-biċċa l-kbira tad-denominazzjonijiet Protestanti, l-enfasi fuq li tkun iggwidat fl-iżvilupp spiritwali hija żgħira, b'enfasi qawwija mqiegħda fuq qari tqil u interpretazzjoni personali, imdawla bl-ispirtu tal-Bibbja Mqaddsa.")</f>
        <v>Hemm ħafna forom ta 'għalliema spiritwali jew reliġjużi fil-Kristjaneżmu, fit-tliet tradizzjonijiet ewlenin kollha - (Rumani) Kattoliċi, (tal-Lvant) Ortodossi Kattoliċi, u Protestanti / Mhux Denominazzjonali, bi tradizzjoni aktar b'saħħitha ta' formazzjoni spiritwali fl-aktar storiku u awtoritarju / Tradizzjonijiet Kristjani ġerarkiċi bi tradizzjoni twila ta '"dixxerniment ta' spirti", ta 'vokazzjonijiet, u aspetti oħra tal-ħajja spiritwali, speċjalment il-knejjes Kattoliċi Rumani u Ortodossi. Dawn il-pożizzjonijiet jinkludu: il-pożizzjoni onorata imma informali ta 'starets jew anzjani - raġel (jew, inqas spiss, mara), ħafna drabi monastiku, meqjus bħala grazzja minn Alla b'ċerti rigali għall-gwida ta' l-erwieħ u l-iskoperta u l-korrezzjoni ta 'prelest (kburija jew qerq spiritwali) - li jaġixxi bħala gwida spiritwali jew missier fit-tradizzjoni Kattolika Ortodossa, speċjalment l-ortodossija Russa (ara l-Monasteru Opina, li kellu linja twila ta 'starets imsemmija); il-qassis jew il-konfessur fil-Kattoliċiżmu Ruman, li ħafna drabi huwa raġel f'ordnijiet qaddisa iżda jista 'jkun persuna monastika jew oħra rispettata għall-kisbiet jew id-dehen spiritwali tiegħu (anke l-Papa ta' Ruma għandu konfessur, li mhux dejjem huwa isqof, u,, u,, Minħabba l-istruttura ġerarkika tal-knisja Rumana, ma tistax tkun l-ugwali tiegħu fl-awtorità), li ħafna drabi hija semi-uffiċjali għall-pożizzjoni uffiċjali, għall-kuntrarju tal-pożizzjonijiet mhux uffiċjali ta 'gwidi spiritwali fit-tradizzjonijiet Kattoliċi u Protestanti Ortodossi; u l-arranġamenti kważi esklussivament informali (ġeneralment formali biss f'membri li huma taħt xi forma ta 'dixxiplina tal-knisja) ta' mentoring (kemm ta 'adulti kif ukoll ta' tfal, fl-aħħar każ ta 'spiss ragħaj taż-żgħażagħ) fit-tradizzjonijiet Protestanti u mhux denominazzjonali, li Il-konfini jistgħu jiġu mċajpra bil-pożizzjoni ta '"konfessur" aktar tipikament Rumana f'xi wħud mill-knejjes ta' riformazzjoni aktar storiċi u konservattivi, bħal uħud mill-Luterani u l-Anglikani. B'konformità man-natura individwalista tal-biċċa l-kbira tad-denominazzjonijiet Protestanti, l-enfasi fuq li tkun iggwidat fl-iżvilupp spiritwali hija żgħira, b'enfasi qawwija mqiegħda fuq qari tqil u interpretazzjoni personali, imdawla bl-ispirtu tal-Bibbja Mqaddsa.</v>
      </c>
    </row>
    <row r="6888" ht="15.75" customHeight="1">
      <c r="A6888" s="2" t="s">
        <v>6888</v>
      </c>
      <c r="B6888" s="2" t="str">
        <f>IFERROR(__xludf.DUMMYFUNCTION("GOOGLETRANSLATE(A6888, ""en"", ""mt"")"),"Miocene")</f>
        <v>Miocene</v>
      </c>
    </row>
    <row r="6889" ht="15.75" customHeight="1">
      <c r="A6889" s="2" t="s">
        <v>6889</v>
      </c>
      <c r="B6889" s="2" t="str">
        <f>IFERROR(__xludf.DUMMYFUNCTION("GOOGLETRANSLATE(A6889, ""en"", ""mt"")"),"ikkonfermat")</f>
        <v>ikkonfermat</v>
      </c>
    </row>
    <row r="6890" ht="15.75" customHeight="1">
      <c r="A6890" s="2" t="s">
        <v>6890</v>
      </c>
      <c r="B6890" s="2" t="str">
        <f>IFERROR(__xludf.DUMMYFUNCTION("GOOGLETRANSLATE(A6890, ""en"", ""mt"")"),"L-anzjan / djaknu proviżorju")</f>
        <v>L-anzjan / djaknu proviżorju</v>
      </c>
    </row>
    <row r="6891" ht="15.75" customHeight="1">
      <c r="A6891" s="2" t="s">
        <v>6891</v>
      </c>
      <c r="B6891" s="2" t="str">
        <f>IFERROR(__xludf.DUMMYFUNCTION("GOOGLETRANSLATE(A6891, ""en"", ""mt"")"),"L-Att tal-Iskozja 1998")</f>
        <v>L-Att tal-Iskozja 1998</v>
      </c>
    </row>
    <row r="6892" ht="15.75" customHeight="1">
      <c r="A6892" s="2" t="s">
        <v>6892</v>
      </c>
      <c r="B6892" s="2" t="str">
        <f>IFERROR(__xludf.DUMMYFUNCTION("GOOGLETRANSLATE(A6892, ""en"", ""mt"")"),"Rowan Atkinson")</f>
        <v>Rowan Atkinson</v>
      </c>
    </row>
    <row r="6893" ht="15.75" customHeight="1">
      <c r="A6893" s="2" t="s">
        <v>6893</v>
      </c>
      <c r="B6893" s="2" t="str">
        <f>IFERROR(__xludf.DUMMYFUNCTION("GOOGLETRANSLATE(A6893, ""en"", ""mt"")"),"X'għandu jkollu l-adozzjoni ta 'liġijiet li se jkollhom effett legali fl-UE?")</f>
        <v>X'għandu jkollu l-adozzjoni ta 'liġijiet li se jkollhom effett legali fl-UE?</v>
      </c>
    </row>
    <row r="6894" ht="15.75" customHeight="1">
      <c r="A6894" s="2" t="s">
        <v>6894</v>
      </c>
      <c r="B6894" s="2" t="str">
        <f>IFERROR(__xludf.DUMMYFUNCTION("GOOGLETRANSLATE(A6894, ""en"", ""mt"")"),"1951")</f>
        <v>1951</v>
      </c>
    </row>
    <row r="6895" ht="15.75" customHeight="1">
      <c r="A6895" s="2" t="s">
        <v>6895</v>
      </c>
      <c r="B6895" s="2" t="str">
        <f>IFERROR(__xludf.DUMMYFUNCTION("GOOGLETRANSLATE(A6895, ""en"", ""mt"")"),"Meta Richard Dean Adams għamel l-inkjesta tiegħu?")</f>
        <v>Meta Richard Dean Adams għamel l-inkjesta tiegħu?</v>
      </c>
    </row>
    <row r="6896" ht="15.75" customHeight="1">
      <c r="A6896" s="2" t="s">
        <v>6896</v>
      </c>
      <c r="B6896" s="2" t="str">
        <f>IFERROR(__xludf.DUMMYFUNCTION("GOOGLETRANSLATE(A6896, ""en"", ""mt"")"),"Carmichael")</f>
        <v>Carmichael</v>
      </c>
    </row>
    <row r="6897" ht="15.75" customHeight="1">
      <c r="A6897" s="2" t="s">
        <v>6897</v>
      </c>
      <c r="B6897" s="2" t="str">
        <f>IFERROR(__xludf.DUMMYFUNCTION("GOOGLETRANSLATE(A6897, ""en"", ""mt"")"),"Fejn il-kloroplasti jagħmlu l-aċidi amminiċi?")</f>
        <v>Fejn il-kloroplasti jagħmlu l-aċidi amminiċi?</v>
      </c>
    </row>
    <row r="6898" ht="15.75" customHeight="1">
      <c r="A6898" s="2" t="s">
        <v>6898</v>
      </c>
      <c r="B6898" s="2" t="str">
        <f>IFERROR(__xludf.DUMMYFUNCTION("GOOGLETRANSLATE(A6898, ""en"", ""mt"")"),"għaxra")</f>
        <v>għaxra</v>
      </c>
    </row>
    <row r="6899" ht="15.75" customHeight="1">
      <c r="A6899" s="2" t="s">
        <v>6899</v>
      </c>
      <c r="B6899" s="2" t="str">
        <f>IFERROR(__xludf.DUMMYFUNCTION("GOOGLETRANSLATE(A6899, ""en"", ""mt"")"),"8-15 għal kull ċellula")</f>
        <v>8-15 għal kull ċellula</v>
      </c>
    </row>
    <row r="6900" ht="15.75" customHeight="1">
      <c r="A6900" s="2" t="s">
        <v>6900</v>
      </c>
      <c r="B6900" s="2" t="str">
        <f>IFERROR(__xludf.DUMMYFUNCTION("GOOGLETRANSLATE(A6900, ""en"", ""mt"")"),"Qarib Erie tal-lum, Pennsylvania")</f>
        <v>Qarib Erie tal-lum, Pennsylvania</v>
      </c>
    </row>
    <row r="6901" ht="15.75" customHeight="1">
      <c r="A6901" s="2" t="s">
        <v>6901</v>
      </c>
      <c r="B6901" s="2" t="str">
        <f>IFERROR(__xludf.DUMMYFUNCTION("GOOGLETRANSLATE(A6901, ""en"", ""mt"")"),"il-Bibbja")</f>
        <v>il-Bibbja</v>
      </c>
    </row>
    <row r="6902" ht="15.75" customHeight="1">
      <c r="A6902" s="2" t="s">
        <v>6902</v>
      </c>
      <c r="B6902" s="2" t="str">
        <f>IFERROR(__xludf.DUMMYFUNCTION("GOOGLETRANSLATE(A6902, ""en"", ""mt"")"),"Fil-50 sena tiegħu fl-1906, Tesla wera l-200 horsepower tiegħu (150 kilowatts) 16,000 RPM turbina bla xkiel. Matul l-1910–1911 fil-Waterside Power Station fi New York, bosta magni tat-turbini bla xkiel tiegħu ġew ittestjati f'100-5,000 hp.")</f>
        <v>Fil-50 sena tiegħu fl-1906, Tesla wera l-200 horsepower tiegħu (150 kilowatts) 16,000 RPM turbina bla xkiel. Matul l-1910–1911 fil-Waterside Power Station fi New York, bosta magni tat-turbini bla xkiel tiegħu ġew ittestjati f'100-5,000 hp.</v>
      </c>
    </row>
    <row r="6903" ht="15.75" customHeight="1">
      <c r="A6903" s="2" t="s">
        <v>6903</v>
      </c>
      <c r="B6903" s="2" t="str">
        <f>IFERROR(__xludf.DUMMYFUNCTION("GOOGLETRANSLATE(A6903, ""en"", ""mt"")"),"jirrendu ċerti liġijiet ineffettivi, biex jikkawżaw ir-revoka tagħhom")</f>
        <v>jirrendu ċerti liġijiet ineffettivi, biex jikkawżaw ir-revoka tagħhom</v>
      </c>
    </row>
    <row r="6904" ht="15.75" customHeight="1">
      <c r="A6904" s="2" t="s">
        <v>6904</v>
      </c>
      <c r="B6904" s="2" t="str">
        <f>IFERROR(__xludf.DUMMYFUNCTION("GOOGLETRANSLATE(A6904, ""en"", ""mt"")"),"Dak li mexxa żieda fil-prezzijiet tal-kiri fil-Lvant ta ’New York?")</f>
        <v>Dak li mexxa żieda fil-prezzijiet tal-kiri fil-Lvant ta ’New York?</v>
      </c>
    </row>
    <row r="6905" ht="15.75" customHeight="1">
      <c r="A6905" s="2" t="s">
        <v>6905</v>
      </c>
      <c r="B6905" s="2" t="str">
        <f>IFERROR(__xludf.DUMMYFUNCTION("GOOGLETRANSLATE(A6905, ""en"", ""mt"")"),"X'kienet in-nazzjonalità ta 'Jerónimo de Ayanz y Beaumont?")</f>
        <v>X'kienet in-nazzjonalità ta 'Jerónimo de Ayanz y Beaumont?</v>
      </c>
    </row>
    <row r="6906" ht="15.75" customHeight="1">
      <c r="A6906" s="2" t="s">
        <v>6906</v>
      </c>
      <c r="B6906" s="2" t="str">
        <f>IFERROR(__xludf.DUMMYFUNCTION("GOOGLETRANSLATE(A6906, ""en"", ""mt"")"),"Progressività ta 'taxxa aktar wieqfa")</f>
        <v>Progressività ta 'taxxa aktar wieqfa</v>
      </c>
    </row>
    <row r="6907" ht="15.75" customHeight="1">
      <c r="A6907" s="2" t="s">
        <v>6907</v>
      </c>
      <c r="B6907" s="2" t="str">
        <f>IFERROR(__xludf.DUMMYFUNCTION("GOOGLETRANSLATE(A6907, ""en"", ""mt"")"),"Librerija tax-Xjenza Cabot, Librerija Lamont, u Librerija Widener")</f>
        <v>Librerija tax-Xjenza Cabot, Librerija Lamont, u Librerija Widener</v>
      </c>
    </row>
    <row r="6908" ht="15.75" customHeight="1">
      <c r="A6908" s="2" t="s">
        <v>6908</v>
      </c>
      <c r="B6908" s="2" t="str">
        <f>IFERROR(__xludf.DUMMYFUNCTION("GOOGLETRANSLATE(A6908, ""en"", ""mt"")"),"siġar oranġjo u lumi")</f>
        <v>siġar oranġjo u lumi</v>
      </c>
    </row>
    <row r="6909" ht="15.75" customHeight="1">
      <c r="A6909" s="2" t="s">
        <v>6909</v>
      </c>
      <c r="B6909" s="2" t="str">
        <f>IFERROR(__xludf.DUMMYFUNCTION("GOOGLETRANSLATE(A6909, ""en"", ""mt"")"),"Kif huma ffinanzjati ErgänZungsschulen?")</f>
        <v>Kif huma ffinanzjati ErgänZungsschulen?</v>
      </c>
    </row>
    <row r="6910" ht="15.75" customHeight="1">
      <c r="A6910" s="2" t="s">
        <v>6910</v>
      </c>
      <c r="B6910" s="2" t="str">
        <f>IFERROR(__xludf.DUMMYFUNCTION("GOOGLETRANSLATE(A6910, ""en"", ""mt"")"),"Kemm korpi ta 'ilma jiffurmaw il-Lag Constance?")</f>
        <v>Kemm korpi ta 'ilma jiffurmaw il-Lag Constance?</v>
      </c>
    </row>
    <row r="6911" ht="15.75" customHeight="1">
      <c r="A6911" s="2" t="s">
        <v>6911</v>
      </c>
      <c r="B6911" s="2" t="str">
        <f>IFERROR(__xludf.DUMMYFUNCTION("GOOGLETRANSLATE(A6911, ""en"", ""mt"")"),"L-innijiet ta 'Luther kienu spiss evokati minn avvenimenti partikolari f'ħajtu u r-riforma li qed tiżvolġi. Din l-imġieba bdiet bit-tagħlim tiegħu dwar l-eżekuzzjoni ta 'Johann Esch u Heinrich Voes, l-ewwel individwi li ġew martirjati mill-Knisja Kattolik"&amp;"a Rumana għall-fehmiet Luterani, li wasslu lil Luther biex jikteb l-innu ""Ein Neues gideb Wir Heben an"" (""Kanzunetta ġdida Aħna ngħollu ""), li ġeneralment hija magħrufa bl-Ingliż mit-traduzzjoni ta 'John C. Messenger bit-titlu u l-ewwel linja"" mitfug"&amp;"ħa għall-irjieħ bla heed ""u kantata għall-melodija Ibstone komposta fl-1875 minn Maria C. Tiddeman.")</f>
        <v>L-innijiet ta 'Luther kienu spiss evokati minn avvenimenti partikolari f'ħajtu u r-riforma li qed tiżvolġi. Din l-imġieba bdiet bit-tagħlim tiegħu dwar l-eżekuzzjoni ta 'Johann Esch u Heinrich Voes, l-ewwel individwi li ġew martirjati mill-Knisja Kattolika Rumana għall-fehmiet Luterani, li wasslu lil Luther biex jikteb l-innu "Ein Neues gideb Wir Heben an" ("Kanzunetta ġdida Aħna ngħollu "), li ġeneralment hija magħrufa bl-Ingliż mit-traduzzjoni ta 'John C. Messenger bit-titlu u l-ewwel linja" mitfugħa għall-irjieħ bla heed "u kantata għall-melodija Ibstone komposta fl-1875 minn Maria C. Tiddeman.</v>
      </c>
    </row>
    <row r="6912" ht="15.75" customHeight="1">
      <c r="A6912" s="2" t="s">
        <v>6912</v>
      </c>
      <c r="B6912" s="2" t="str">
        <f>IFERROR(__xludf.DUMMYFUNCTION("GOOGLETRANSLATE(A6912, ""en"", ""mt"")"),"Drittijiet ta 'ċittadinanza sħiħa")</f>
        <v>Drittijiet ta 'ċittadinanza sħiħa</v>
      </c>
    </row>
    <row r="6913" ht="15.75" customHeight="1">
      <c r="A6913" s="2" t="s">
        <v>6913</v>
      </c>
      <c r="B6913" s="2" t="str">
        <f>IFERROR(__xludf.DUMMYFUNCTION("GOOGLETRANSLATE(A6913, ""en"", ""mt"")"),"żieda")</f>
        <v>żieda</v>
      </c>
    </row>
    <row r="6914" ht="15.75" customHeight="1">
      <c r="A6914" s="2" t="s">
        <v>6914</v>
      </c>
      <c r="B6914" s="2" t="str">
        <f>IFERROR(__xludf.DUMMYFUNCTION("GOOGLETRANSLATE(A6914, ""en"", ""mt"")"),"X'inhu deċiż ukoll mill-uffiċjal li jippresiedi?")</f>
        <v>X'inhu deċiż ukoll mill-uffiċjal li jippresiedi?</v>
      </c>
    </row>
    <row r="6915" ht="15.75" customHeight="1">
      <c r="A6915" s="2" t="s">
        <v>6915</v>
      </c>
      <c r="B6915" s="2" t="str">
        <f>IFERROR(__xludf.DUMMYFUNCTION("GOOGLETRANSLATE(A6915, ""en"", ""mt"")"),"Il-Bord Ġenerali tal-Knisja u s-Soċjetà, u n-Nisa Metodisti Magħquda")</f>
        <v>Il-Bord Ġenerali tal-Knisja u s-Soċjetà, u n-Nisa Metodisti Magħquda</v>
      </c>
    </row>
    <row r="6916" ht="15.75" customHeight="1">
      <c r="A6916" s="2" t="s">
        <v>6916</v>
      </c>
      <c r="B6916" s="2" t="str">
        <f>IFERROR(__xludf.DUMMYFUNCTION("GOOGLETRANSLATE(A6916, ""en"", ""mt"")"),"Kif jaħdmu l-ko-għalliema ma 'xulxin biex jissodisfaw il-bżonnijiet tal-istudenti?")</f>
        <v>Kif jaħdmu l-ko-għalliema ma 'xulxin biex jissodisfaw il-bżonnijiet tal-istudenti?</v>
      </c>
    </row>
    <row r="6917" ht="15.75" customHeight="1">
      <c r="A6917" s="2" t="s">
        <v>6917</v>
      </c>
      <c r="B6917" s="2" t="str">
        <f>IFERROR(__xludf.DUMMYFUNCTION("GOOGLETRANSLATE(A6917, ""en"", ""mt"")"),"Aġenti ta ’S.H.I.E.L.D.")</f>
        <v>Aġenti ta ’S.H.I.E.L.D.</v>
      </c>
    </row>
    <row r="6918" ht="15.75" customHeight="1">
      <c r="A6918" s="2" t="s">
        <v>6918</v>
      </c>
      <c r="B6918" s="2" t="str">
        <f>IFERROR(__xludf.DUMMYFUNCTION("GOOGLETRANSLATE(A6918, ""en"", ""mt"")"),"2 sa 6")</f>
        <v>2 sa 6</v>
      </c>
    </row>
    <row r="6919" ht="15.75" customHeight="1">
      <c r="A6919" s="2" t="s">
        <v>6919</v>
      </c>
      <c r="B6919" s="2" t="str">
        <f>IFERROR(__xludf.DUMMYFUNCTION("GOOGLETRANSLATE(A6919, ""en"", ""mt"")"),"CD4")</f>
        <v>CD4</v>
      </c>
    </row>
    <row r="6920" ht="15.75" customHeight="1">
      <c r="A6920" s="2" t="s">
        <v>6920</v>
      </c>
      <c r="B6920" s="2" t="str">
        <f>IFERROR(__xludf.DUMMYFUNCTION("GOOGLETRANSLATE(A6920, ""en"", ""mt"")"),"X'inhu jinstab biss fil-kloroplasti tat-tip peridinin?")</f>
        <v>X'inhu jinstab biss fil-kloroplasti tat-tip peridinin?</v>
      </c>
    </row>
    <row r="6921" ht="15.75" customHeight="1">
      <c r="A6921" s="2" t="s">
        <v>6921</v>
      </c>
      <c r="B6921" s="2" t="str">
        <f>IFERROR(__xludf.DUMMYFUNCTION("GOOGLETRANSLATE(A6921, ""en"", ""mt"")"),"X'tipi ta 'funzjonijiet ta' l-ispiżerija bdew jiġu esternalizzati?")</f>
        <v>X'tipi ta 'funzjonijiet ta' l-ispiżerija bdew jiġu esternalizzati?</v>
      </c>
    </row>
    <row r="6922" ht="15.75" customHeight="1">
      <c r="A6922" s="2" t="s">
        <v>6922</v>
      </c>
      <c r="B6922" s="2" t="str">
        <f>IFERROR(__xludf.DUMMYFUNCTION("GOOGLETRANSLATE(A6922, ""en"", ""mt"")"),"Evakwa ċ-ċilindru")</f>
        <v>Evakwa ċ-ċilindru</v>
      </c>
    </row>
    <row r="6923" ht="15.75" customHeight="1">
      <c r="A6923" s="2" t="s">
        <v>6923</v>
      </c>
      <c r="B6923" s="2" t="str">
        <f>IFERROR(__xludf.DUMMYFUNCTION("GOOGLETRANSLATE(A6923, ""en"", ""mt"")"),"Biex tippermetti t-tfassil mill-ġdid tal-karattru ewlieni")</f>
        <v>Biex tippermetti t-tfassil mill-ġdid tal-karattru ewlieni</v>
      </c>
    </row>
    <row r="6924" ht="15.75" customHeight="1">
      <c r="A6924" s="2" t="s">
        <v>6924</v>
      </c>
      <c r="B6924" s="2" t="str">
        <f>IFERROR(__xludf.DUMMYFUNCTION("GOOGLETRANSLATE(A6924, ""en"", ""mt"")"),"Kif jistgħu jirreplikaw il-pirenojdi?")</f>
        <v>Kif jistgħu jirreplikaw il-pirenojdi?</v>
      </c>
    </row>
    <row r="6925" ht="15.75" customHeight="1">
      <c r="A6925" s="2" t="s">
        <v>6925</v>
      </c>
      <c r="B6925" s="2" t="str">
        <f>IFERROR(__xludf.DUMMYFUNCTION("GOOGLETRANSLATE(A6925, ""en"", ""mt"")"),"Luther x'numni r-ribelli?")</f>
        <v>Luther x'numni r-ribelli?</v>
      </c>
    </row>
    <row r="6926" ht="15.75" customHeight="1">
      <c r="A6926" s="2" t="s">
        <v>6926</v>
      </c>
      <c r="B6926" s="2" t="str">
        <f>IFERROR(__xludf.DUMMYFUNCTION("GOOGLETRANSLATE(A6926, ""en"", ""mt"")"),"evidenza")</f>
        <v>evidenza</v>
      </c>
    </row>
    <row r="6927" ht="15.75" customHeight="1">
      <c r="A6927" s="2" t="s">
        <v>6927</v>
      </c>
      <c r="B6927" s="2" t="str">
        <f>IFERROR(__xludf.DUMMYFUNCTION("GOOGLETRANSLATE(A6927, ""en"", ""mt"")"),"Mexxejja Bolshevik")</f>
        <v>Mexxejja Bolshevik</v>
      </c>
    </row>
    <row r="6928" ht="15.75" customHeight="1">
      <c r="A6928" s="2" t="s">
        <v>6928</v>
      </c>
      <c r="B6928" s="2" t="str">
        <f>IFERROR(__xludf.DUMMYFUNCTION("GOOGLETRANSLATE(A6928, ""en"", ""mt"")"),"Ippjana li niġbor il-kitbiet tiegħi f'volumi")</f>
        <v>Ippjana li niġbor il-kitbiet tiegħi f'volumi</v>
      </c>
    </row>
    <row r="6929" ht="15.75" customHeight="1">
      <c r="A6929" s="2" t="s">
        <v>6929</v>
      </c>
      <c r="B6929" s="2" t="str">
        <f>IFERROR(__xludf.DUMMYFUNCTION("GOOGLETRANSLATE(A6929, ""en"", ""mt"")"),"Ftit wara li n-Normanni bdew jidħlu fl-Italja, huma daħlu fl-Imperu Biżantin u mbagħad l-Armenja, jiġġieldu kontra l-Pechenegs, il-Bulgars, u speċjalment it-Torok Seljuk. Il-merċenarji Norman ġew imħeġġa l-ewwel biex jidħlu fin-nofsinhar mill-Lombardi bie"&amp;"x jaġixxu kontra l-Biżantini, iżda malajr ġġieldu fis-servizz Biżantin fi Sqallija. Kienu prominenti flimkien mal-kontinġenti Varangian u Lombard fil-kampanja Sqallija ta 'George Maniaces fl-1038-40. Hemm dibattitu jekk in-Normanni fis-servizz Grieg fil-f"&amp;"att kinux mill-Italja Norman, u issa jidher li x'aktarx ftit ġew minn hemm. Mhuwiex magħruf ukoll kemm mill-Franki "", kif sejħilhom il-Biżantini, kienu Normanni u mhux Franċiżi oħra.")</f>
        <v>Ftit wara li n-Normanni bdew jidħlu fl-Italja, huma daħlu fl-Imperu Biżantin u mbagħad l-Armenja, jiġġieldu kontra l-Pechenegs, il-Bulgars, u speċjalment it-Torok Seljuk. Il-merċenarji Norman ġew imħeġġa l-ewwel biex jidħlu fin-nofsinhar mill-Lombardi biex jaġixxu kontra l-Biżantini, iżda malajr ġġieldu fis-servizz Biżantin fi Sqallija. Kienu prominenti flimkien mal-kontinġenti Varangian u Lombard fil-kampanja Sqallija ta 'George Maniaces fl-1038-40. Hemm dibattitu jekk in-Normanni fis-servizz Grieg fil-fatt kinux mill-Italja Norman, u issa jidher li x'aktarx ftit ġew minn hemm. Mhuwiex magħruf ukoll kemm mill-Franki ", kif sejħilhom il-Biżantini, kienu Normanni u mhux Franċiżi oħra.</v>
      </c>
    </row>
    <row r="6930" ht="15.75" customHeight="1">
      <c r="A6930" s="2" t="s">
        <v>6930</v>
      </c>
      <c r="B6930" s="2" t="str">
        <f>IFERROR(__xludf.DUMMYFUNCTION("GOOGLETRANSLATE(A6930, ""en"", ""mt"")"),"Ħaxix naturali")</f>
        <v>Ħaxix naturali</v>
      </c>
    </row>
    <row r="6931" ht="15.75" customHeight="1">
      <c r="A6931" s="2" t="s">
        <v>6931</v>
      </c>
      <c r="B6931" s="2" t="str">
        <f>IFERROR(__xludf.DUMMYFUNCTION("GOOGLETRANSLATE(A6931, ""en"", ""mt"")"),"Genghis Khan kien fil-proċess li jieħu liema belt kapitali meta miet?")</f>
        <v>Genghis Khan kien fil-proċess li jieħu liema belt kapitali meta miet?</v>
      </c>
    </row>
    <row r="6932" ht="15.75" customHeight="1">
      <c r="A6932" s="2" t="s">
        <v>6932</v>
      </c>
      <c r="B6932" s="2" t="str">
        <f>IFERROR(__xludf.DUMMYFUNCTION("GOOGLETRANSLATE(A6932, ""en"", ""mt"")"),"Old estremament")</f>
        <v>Old estremament</v>
      </c>
    </row>
    <row r="6933" ht="15.75" customHeight="1">
      <c r="A6933" s="2" t="s">
        <v>6933</v>
      </c>
      <c r="B6933" s="2" t="str">
        <f>IFERROR(__xludf.DUMMYFUNCTION("GOOGLETRANSLATE(A6933, ""en"", ""mt"")"),"Fejn tinsab l-ewwel reazzjoni nukleari magħmula minnha nnifisha magħmula mill-bniedem?")</f>
        <v>Fejn tinsab l-ewwel reazzjoni nukleari magħmula minnha nnifisha magħmula mill-bniedem?</v>
      </c>
    </row>
    <row r="6934" ht="15.75" customHeight="1">
      <c r="A6934" s="2" t="s">
        <v>6934</v>
      </c>
      <c r="B6934" s="2" t="str">
        <f>IFERROR(__xludf.DUMMYFUNCTION("GOOGLETRANSLATE(A6934, ""en"", ""mt"")"),"nomadi u b'hekk ma kellhom l-ebda esperjenza li tirregola l-ibliet")</f>
        <v>nomadi u b'hekk ma kellhom l-ebda esperjenza li tirregola l-ibliet</v>
      </c>
    </row>
    <row r="6935" ht="15.75" customHeight="1">
      <c r="A6935" s="2" t="s">
        <v>6935</v>
      </c>
      <c r="B6935" s="2" t="str">
        <f>IFERROR(__xludf.DUMMYFUNCTION("GOOGLETRANSLATE(A6935, ""en"", ""mt"")"),"il-partijiet tan-netwerk tal-kanali interni taħt ir-ringieli tal-moxt")</f>
        <v>il-partijiet tan-netwerk tal-kanali interni taħt ir-ringieli tal-moxt</v>
      </c>
    </row>
    <row r="6936" ht="15.75" customHeight="1">
      <c r="A6936" s="2" t="s">
        <v>6936</v>
      </c>
      <c r="B6936" s="2" t="str">
        <f>IFERROR(__xludf.DUMMYFUNCTION("GOOGLETRANSLATE(A6936, ""en"", ""mt"")"),"Kemm mili fin-Nofsinhar ta 'San Jose jinsab il-punt tan-nofsinhar tat-tramuntana?")</f>
        <v>Kemm mili fin-Nofsinhar ta 'San Jose jinsab il-punt tan-nofsinhar tat-tramuntana?</v>
      </c>
    </row>
    <row r="6937" ht="15.75" customHeight="1">
      <c r="A6937" s="2" t="s">
        <v>6937</v>
      </c>
      <c r="B6937" s="2" t="str">
        <f>IFERROR(__xludf.DUMMYFUNCTION("GOOGLETRANSLATE(A6937, ""en"", ""mt"")"),"X'ħeġġeġ il-Karta tal-Ħamas mingħajr kompromess?")</f>
        <v>X'ħeġġeġ il-Karta tal-Ħamas mingħajr kompromess?</v>
      </c>
    </row>
    <row r="6938" ht="15.75" customHeight="1">
      <c r="A6938" s="2" t="s">
        <v>6938</v>
      </c>
      <c r="B6938" s="2" t="str">
        <f>IFERROR(__xludf.DUMMYFUNCTION("GOOGLETRANSLATE(A6938, ""en"", ""mt"")"),"Nofs")</f>
        <v>Nofs</v>
      </c>
    </row>
    <row r="6939" ht="15.75" customHeight="1">
      <c r="A6939" s="2" t="s">
        <v>6939</v>
      </c>
      <c r="B6939" s="2" t="str">
        <f>IFERROR(__xludf.DUMMYFUNCTION("GOOGLETRANSLATE(A6939, ""en"", ""mt"")"),"Sabiex tkun ikkunsidrata fl-aqwa perċentili, persuna jkollha bżonn tiġbor kemm flus kull sena?")</f>
        <v>Sabiex tkun ikkunsidrata fl-aqwa perċentili, persuna jkollha bżonn tiġbor kemm flus kull sena?</v>
      </c>
    </row>
    <row r="6940" ht="15.75" customHeight="1">
      <c r="A6940" s="2" t="s">
        <v>6940</v>
      </c>
      <c r="B6940" s="2" t="str">
        <f>IFERROR(__xludf.DUMMYFUNCTION("GOOGLETRANSLATE(A6940, ""en"", ""mt"")"),"1,000 m3 / s (35,000 cu ft / s)")</f>
        <v>1,000 m3 / s (35,000 cu ft / s)</v>
      </c>
    </row>
    <row r="6941" ht="15.75" customHeight="1">
      <c r="A6941" s="2" t="s">
        <v>6941</v>
      </c>
      <c r="B6941" s="2" t="str">
        <f>IFERROR(__xludf.DUMMYFUNCTION("GOOGLETRANSLATE(A6941, ""en"", ""mt"")"),"Liema Trattat jipproteġi l-libertà tal-istabbiliment u l-libertà li jipprovdu servizzi?")</f>
        <v>Liema Trattat jipproteġi l-libertà tal-istabbiliment u l-libertà li jipprovdu servizzi?</v>
      </c>
    </row>
    <row r="6942" ht="15.75" customHeight="1">
      <c r="A6942" s="2" t="s">
        <v>6942</v>
      </c>
      <c r="B6942" s="2" t="str">
        <f>IFERROR(__xludf.DUMMYFUNCTION("GOOGLETRANSLATE(A6942, ""en"", ""mt"")"),"Meta kienet il-Gwerra tar-Re Ġorġ?")</f>
        <v>Meta kienet il-Gwerra tar-Re Ġorġ?</v>
      </c>
    </row>
    <row r="6943" ht="15.75" customHeight="1">
      <c r="A6943" s="2" t="s">
        <v>6943</v>
      </c>
      <c r="B6943" s="2" t="str">
        <f>IFERROR(__xludf.DUMMYFUNCTION("GOOGLETRANSLATE(A6943, ""en"", ""mt"")"),"X'qed żdied biex ikun fattur fit-tagħlim illum?")</f>
        <v>X'qed żdied biex ikun fattur fit-tagħlim illum?</v>
      </c>
    </row>
    <row r="6944" ht="15.75" customHeight="1">
      <c r="A6944" s="2" t="s">
        <v>6944</v>
      </c>
      <c r="B6944" s="2" t="str">
        <f>IFERROR(__xludf.DUMMYFUNCTION("GOOGLETRANSLATE(A6944, ""en"", ""mt"")"),"James Hutton ippubblika verżjoni ta '2 volum tat-teoriji tiegħu f'liema sena?")</f>
        <v>James Hutton ippubblika verżjoni ta '2 volum tat-teoriji tiegħu f'liema sena?</v>
      </c>
    </row>
    <row r="6945" ht="15.75" customHeight="1">
      <c r="A6945" s="2" t="s">
        <v>6945</v>
      </c>
      <c r="B6945" s="2" t="str">
        <f>IFERROR(__xludf.DUMMYFUNCTION("GOOGLETRANSLATE(A6945, ""en"", ""mt"")"),"Meta ġiet imħabbra l-ewwel għaqda Disney u ABC?")</f>
        <v>Meta ġiet imħabbra l-ewwel għaqda Disney u ABC?</v>
      </c>
    </row>
    <row r="6946" ht="15.75" customHeight="1">
      <c r="A6946" s="2" t="s">
        <v>6946</v>
      </c>
      <c r="B6946" s="2" t="str">
        <f>IFERROR(__xludf.DUMMYFUNCTION("GOOGLETRANSLATE(A6946, ""en"", ""mt"")"),"Meta Kibaki u Odinga kantaw ftehim dwar il-formazzjoni tal-gvern?")</f>
        <v>Meta Kibaki u Odinga kantaw ftehim dwar il-formazzjoni tal-gvern?</v>
      </c>
    </row>
    <row r="6947" ht="15.75" customHeight="1">
      <c r="A6947" s="2" t="s">
        <v>6947</v>
      </c>
      <c r="B6947" s="2" t="str">
        <f>IFERROR(__xludf.DUMMYFUNCTION("GOOGLETRANSLATE(A6947, ""en"", ""mt"")"),"Fredericia (id-Danimarka), Berlin, Stokkolma, Hamburg, Frankfurt, Ħelsinki, u Emden")</f>
        <v>Fredericia (id-Danimarka), Berlin, Stokkolma, Hamburg, Frankfurt, Ħelsinki, u Emden</v>
      </c>
    </row>
    <row r="6948" ht="15.75" customHeight="1">
      <c r="A6948" s="2" t="s">
        <v>6948</v>
      </c>
      <c r="B6948" s="2" t="str">
        <f>IFERROR(__xludf.DUMMYFUNCTION("GOOGLETRANSLATE(A6948, ""en"", ""mt"")"),"9 ta ’Ottubru 2006")</f>
        <v>9 ta ’Ottubru 2006</v>
      </c>
    </row>
    <row r="6949" ht="15.75" customHeight="1">
      <c r="A6949" s="2" t="s">
        <v>6949</v>
      </c>
      <c r="B6949" s="2" t="str">
        <f>IFERROR(__xludf.DUMMYFUNCTION("GOOGLETRANSLATE(A6949, ""en"", ""mt"")"),"kaxxa tal-pulizija")</f>
        <v>kaxxa tal-pulizija</v>
      </c>
    </row>
    <row r="6950" ht="15.75" customHeight="1">
      <c r="A6950" s="2" t="s">
        <v>6950</v>
      </c>
      <c r="B6950" s="2" t="str">
        <f>IFERROR(__xludf.DUMMYFUNCTION("GOOGLETRANSLATE(A6950, ""en"", ""mt"")"),"X'kien l-isem tal-kolonja ta 'Florida Huguenot?")</f>
        <v>X'kien l-isem tal-kolonja ta 'Florida Huguenot?</v>
      </c>
    </row>
    <row r="6951" ht="15.75" customHeight="1">
      <c r="A6951" s="2" t="s">
        <v>6951</v>
      </c>
      <c r="B6951" s="2" t="str">
        <f>IFERROR(__xludf.DUMMYFUNCTION("GOOGLETRANSLATE(A6951, ""en"", ""mt"")"),"X'inhi l-Knisja Metodista Magħquda?")</f>
        <v>X'inhi l-Knisja Metodista Magħquda?</v>
      </c>
    </row>
    <row r="6952" ht="15.75" customHeight="1">
      <c r="A6952" s="2" t="s">
        <v>6952</v>
      </c>
      <c r="B6952" s="2" t="str">
        <f>IFERROR(__xludf.DUMMYFUNCTION("GOOGLETRANSLATE(A6952, ""en"", ""mt"")"),"Bl-istess linji, il-KO-NP hija l-klassi li fiha l-problemi ta 'komplement (i.e. problemi bit-tweġibiet iva / le maqluba) ta' problemi ta 'NP. Huwa maħsub li l-NP mhuwiex daqs il-KO-NP; Madankollu, għadu ma ġiex ippruvat. Intwera li jekk dawn iż-żewġ klass"&amp;"ijiet ta 'kumplessità mhumiex ugwali allura P mhux daqs NP.")</f>
        <v>Bl-istess linji, il-KO-NP hija l-klassi li fiha l-problemi ta 'komplement (i.e. problemi bit-tweġibiet iva / le maqluba) ta' problemi ta 'NP. Huwa maħsub li l-NP mhuwiex daqs il-KO-NP; Madankollu, għadu ma ġiex ippruvat. Intwera li jekk dawn iż-żewġ klassijiet ta 'kumplessità mhumiex ugwali allura P mhux daqs NP.</v>
      </c>
    </row>
    <row r="6953" ht="15.75" customHeight="1">
      <c r="A6953" s="2" t="s">
        <v>6953</v>
      </c>
      <c r="B6953" s="2" t="str">
        <f>IFERROR(__xludf.DUMMYFUNCTION("GOOGLETRANSLATE(A6953, ""en"", ""mt"")"),"Fl-1211, wara l-konkwista tal-Punent Xia, Genghis Khan ippjana mill-ġdid biex jirbaħ id-dinastija Jin. Il-kmandant tal-armata tad-dinastija Jin għamel żball tattiku meta ma jattakkax lill-Mongoli fl-ewwel opportunità. Minflok, il-kmandant tal-Jin bagħat m"&amp;"essaġġier, Ming-Tan, lejn in-naħa tal-Mongolja, li ddefetta u qal lill-Mongoli li l-armata Jin kienet qed tistenna fuq in-naħa l-oħra tal-pass. F’dan l-impenn ġġieled fil-Badger Pass il-Mongoli massakrati mijiet ta ’eluf ta’ truppi Jin. Fl-1215 Genghis as"&amp;"sedja, maqbud, u keċċa l-kapitali Jin ta 'Zhongdu (il-ġurnata moderna ta' Beijing). Dan ġiegħel lill-Imperatur Xuanzong imexxi l-kapitali tiegħu fin-nofsinhar lejn Kaifeng, billi jabbanduna n-nofs tat-tramuntana tar-renju tiegħu lill-Mongoli. Bejn l-1232 "&amp;"u l-1233, Kaifeng waqa 'mal-Mongoli taħt ir-renju tat-tielet iben ta' Genghis, Ögedei Khan. Id-dinastija Jin waqgħet fl-1234, wara l-assedju ta ’Caizhou.")</f>
        <v>Fl-1211, wara l-konkwista tal-Punent Xia, Genghis Khan ippjana mill-ġdid biex jirbaħ id-dinastija Jin. Il-kmandant tal-armata tad-dinastija Jin għamel żball tattiku meta ma jattakkax lill-Mongoli fl-ewwel opportunità. Minflok, il-kmandant tal-Jin bagħat messaġġier, Ming-Tan, lejn in-naħa tal-Mongolja, li ddefetta u qal lill-Mongoli li l-armata Jin kienet qed tistenna fuq in-naħa l-oħra tal-pass. F’dan l-impenn ġġieled fil-Badger Pass il-Mongoli massakrati mijiet ta ’eluf ta’ truppi Jin. Fl-1215 Genghis assedja, maqbud, u keċċa l-kapitali Jin ta 'Zhongdu (il-ġurnata moderna ta' Beijing). Dan ġiegħel lill-Imperatur Xuanzong imexxi l-kapitali tiegħu fin-nofsinhar lejn Kaifeng, billi jabbanduna n-nofs tat-tramuntana tar-renju tiegħu lill-Mongoli. Bejn l-1232 u l-1233, Kaifeng waqa 'mal-Mongoli taħt ir-renju tat-tielet iben ta' Genghis, Ögedei Khan. Id-dinastija Jin waqgħet fl-1234, wara l-assedju ta ’Caizhou.</v>
      </c>
    </row>
    <row r="6954" ht="15.75" customHeight="1">
      <c r="A6954" s="2" t="s">
        <v>6954</v>
      </c>
      <c r="B6954" s="2" t="str">
        <f>IFERROR(__xludf.DUMMYFUNCTION("GOOGLETRANSLATE(A6954, ""en"", ""mt"")"),"Niels Jerne")</f>
        <v>Niels Jerne</v>
      </c>
    </row>
    <row r="6955" ht="15.75" customHeight="1">
      <c r="A6955" s="2" t="s">
        <v>6955</v>
      </c>
      <c r="B6955" s="2" t="str">
        <f>IFERROR(__xludf.DUMMYFUNCTION("GOOGLETRANSLATE(A6955, ""en"", ""mt"")"),"Ir-Rivoluzzjoni Amerikana")</f>
        <v>Ir-Rivoluzzjoni Amerikana</v>
      </c>
    </row>
    <row r="6956" ht="15.75" customHeight="1">
      <c r="A6956" s="2" t="s">
        <v>6956</v>
      </c>
      <c r="B6956" s="2" t="str">
        <f>IFERROR(__xludf.DUMMYFUNCTION("GOOGLETRANSLATE(A6956, ""en"", ""mt"")"),"Għaliex il-pulizija ġabu lil Tesla lura għand Gospic?")</f>
        <v>Għaliex il-pulizija ġabu lil Tesla lura għand Gospic?</v>
      </c>
    </row>
    <row r="6957" ht="15.75" customHeight="1">
      <c r="A6957" s="2" t="s">
        <v>6957</v>
      </c>
      <c r="B6957" s="2" t="str">
        <f>IFERROR(__xludf.DUMMYFUNCTION("GOOGLETRANSLATE(A6957, ""en"", ""mt"")"),"l-ewwel nofs tas-seklu 10")</f>
        <v>l-ewwel nofs tas-seklu 10</v>
      </c>
    </row>
    <row r="6958" ht="15.75" customHeight="1">
      <c r="A6958" s="2" t="s">
        <v>6958</v>
      </c>
      <c r="B6958" s="2" t="str">
        <f>IFERROR(__xludf.DUMMYFUNCTION("GOOGLETRANSLATE(A6958, ""en"", ""mt"")"),"Dwar il-libertà ta 'Nisrani")</f>
        <v>Dwar il-libertà ta 'Nisrani</v>
      </c>
    </row>
    <row r="6959" ht="15.75" customHeight="1">
      <c r="A6959" s="2" t="s">
        <v>6959</v>
      </c>
      <c r="B6959" s="2" t="str">
        <f>IFERROR(__xludf.DUMMYFUNCTION("GOOGLETRANSLATE(A6959, ""en"", ""mt"")"),"X'kien id-daqs medju tal-familja?")</f>
        <v>X'kien id-daqs medju tal-familja?</v>
      </c>
    </row>
    <row r="6960" ht="15.75" customHeight="1">
      <c r="A6960" s="2" t="s">
        <v>6960</v>
      </c>
      <c r="B6960" s="2" t="str">
        <f>IFERROR(__xludf.DUMMYFUNCTION("GOOGLETRANSLATE(A6960, ""en"", ""mt"")"),"konkorrenti, valutazzjonijiet iżgħar ta 'problemi speċjali")</f>
        <v>konkorrenti, valutazzjonijiet iżgħar ta 'problemi speċjali</v>
      </c>
    </row>
    <row r="6961" ht="15.75" customHeight="1">
      <c r="A6961" s="2" t="s">
        <v>6961</v>
      </c>
      <c r="B6961" s="2" t="str">
        <f>IFERROR(__xludf.DUMMYFUNCTION("GOOGLETRANSLATE(A6961, ""en"", ""mt"")"),"Iżda l-limiti tal-ħin tal-komputazzjoni hawn fuq minn xi funzjoni konkreta F (n) ħafna drabi tagħti klassijiet ta 'kumplessità li jiddependu fuq il-mudell tal-magna magħżula. Pereżempju, il-lingwa {xx | X huwa kwalunkwe sekwenza binarja} tista 'tissolva f"&amp;"il-ħin lineari fuq magna b'ħafna tape, iżda neċessarjament teħtieġ ħin kwadratiku fil-mudell ta' magni tat-tejp ta 'tejp wieħed. Jekk inħallu varjazzjonijiet polinomjali fil-ħin ta 'tħaddim, it-teżi ta' Cobham-Edmonds tiddikjara li ""l-kumplessitajiet tal"&amp;"-ħin fi kwalunkwe żewġ mudelli raġonevoli u ġenerali ta 'komputazzjoni huma relatati mal-polinomjalment"" (Goldreich 2008, Kapitolu 1.2). Dan jifforma l-bażi għall-Klassi tal-Kumplessità P, li hija s-sett ta 'problemi ta' deċiżjoni li tista 'tissolva perm"&amp;"ezz ta' magna tat-Turing deterministika fi żmien polinomjali. Is-sett korrispondenti ta 'problemi ta' funzjoni huwa FP.")</f>
        <v>Iżda l-limiti tal-ħin tal-komputazzjoni hawn fuq minn xi funzjoni konkreta F (n) ħafna drabi tagħti klassijiet ta 'kumplessità li jiddependu fuq il-mudell tal-magna magħżula. Pereżempju, il-lingwa {xx | X huwa kwalunkwe sekwenza binarja} tista 'tissolva fil-ħin lineari fuq magna b'ħafna tape, iżda neċessarjament teħtieġ ħin kwadratiku fil-mudell ta' magni tat-tejp ta 'tejp wieħed. Jekk inħallu varjazzjonijiet polinomjali fil-ħin ta 'tħaddim, it-teżi ta' Cobham-Edmonds tiddikjara li "l-kumplessitajiet tal-ħin fi kwalunkwe żewġ mudelli raġonevoli u ġenerali ta 'komputazzjoni huma relatati mal-polinomjalment" (Goldreich 2008, Kapitolu 1.2). Dan jifforma l-bażi għall-Klassi tal-Kumplessità P, li hija s-sett ta 'problemi ta' deċiżjoni li tista 'tissolva permezz ta' magna tat-Turing deterministika fi żmien polinomjali. Is-sett korrispondenti ta 'problemi ta' funzjoni huwa FP.</v>
      </c>
    </row>
    <row r="6962" ht="15.75" customHeight="1">
      <c r="A6962" s="2" t="s">
        <v>6962</v>
      </c>
      <c r="B6962" s="2" t="str">
        <f>IFERROR(__xludf.DUMMYFUNCTION("GOOGLETRANSLATE(A6962, ""en"", ""mt"")"),"X'inhu l-assi ta 'Varsavja li jaqsamha f'żewġ partijiet?")</f>
        <v>X'inhu l-assi ta 'Varsavja li jaqsamha f'żewġ partijiet?</v>
      </c>
    </row>
    <row r="6963" ht="15.75" customHeight="1">
      <c r="A6963" s="2" t="s">
        <v>6963</v>
      </c>
      <c r="B6963" s="2" t="str">
        <f>IFERROR(__xludf.DUMMYFUNCTION("GOOGLETRANSLATE(A6963, ""en"", ""mt"")"),"Modulu tas-Servizz Ċilindriku")</f>
        <v>Modulu tas-Servizz Ċilindriku</v>
      </c>
    </row>
    <row r="6964" ht="15.75" customHeight="1">
      <c r="A6964" s="2" t="s">
        <v>6964</v>
      </c>
      <c r="B6964" s="2" t="str">
        <f>IFERROR(__xludf.DUMMYFUNCTION("GOOGLETRANSLATE(A6964, ""en"", ""mt"")"),"influwenti ħafna")</f>
        <v>influwenti ħafna</v>
      </c>
    </row>
    <row r="6965" ht="15.75" customHeight="1">
      <c r="A6965" s="2" t="s">
        <v>6965</v>
      </c>
      <c r="B6965" s="2" t="str">
        <f>IFERROR(__xludf.DUMMYFUNCTION("GOOGLETRANSLATE(A6965, ""en"", ""mt"")"),"Meta kien il-Moviment tal-Edukazzjoni tal-Iskola Sekondarja tal-Massa?")</f>
        <v>Meta kien il-Moviment tal-Edukazzjoni tal-Iskola Sekondarja tal-Massa?</v>
      </c>
    </row>
    <row r="6966" ht="15.75" customHeight="1">
      <c r="A6966" s="2" t="s">
        <v>6966</v>
      </c>
      <c r="B6966" s="2" t="str">
        <f>IFERROR(__xludf.DUMMYFUNCTION("GOOGLETRANSLATE(A6966, ""en"", ""mt"")"),"1936")</f>
        <v>1936</v>
      </c>
    </row>
    <row r="6967" ht="15.75" customHeight="1">
      <c r="A6967" s="2" t="s">
        <v>6967</v>
      </c>
      <c r="B6967" s="2" t="str">
        <f>IFERROR(__xludf.DUMMYFUNCTION("GOOGLETRANSLATE(A6967, ""en"", ""mt"")"),"Imperjalizmu u kolonjaliżmu")</f>
        <v>Imperjalizmu u kolonjaliżmu</v>
      </c>
    </row>
    <row r="6968" ht="15.75" customHeight="1">
      <c r="A6968" s="2" t="s">
        <v>6968</v>
      </c>
      <c r="B6968" s="2" t="str">
        <f>IFERROR(__xludf.DUMMYFUNCTION("GOOGLETRANSLATE(A6968, ""en"", ""mt"")"),"Mozzjoni kontinwa tul it-tort")</f>
        <v>Mozzjoni kontinwa tul it-tort</v>
      </c>
    </row>
    <row r="6969" ht="15.75" customHeight="1">
      <c r="A6969" s="2" t="s">
        <v>6969</v>
      </c>
      <c r="B6969" s="2" t="str">
        <f>IFERROR(__xludf.DUMMYFUNCTION("GOOGLETRANSLATE(A6969, ""en"", ""mt"")"),"1963 sal-1989")</f>
        <v>1963 sal-1989</v>
      </c>
    </row>
    <row r="6970" ht="15.75" customHeight="1">
      <c r="A6970" s="2" t="s">
        <v>6970</v>
      </c>
      <c r="B6970" s="2" t="str">
        <f>IFERROR(__xludf.DUMMYFUNCTION("GOOGLETRANSLATE(A6970, ""en"", ""mt"")"),"Sala")</f>
        <v>Sala</v>
      </c>
    </row>
    <row r="6971" ht="15.75" customHeight="1">
      <c r="A6971" s="2" t="s">
        <v>6971</v>
      </c>
      <c r="B6971" s="2" t="str">
        <f>IFERROR(__xludf.DUMMYFUNCTION("GOOGLETRANSLATE(A6971, ""en"", ""mt"")"),"Nagħmlu l-Paċi ma 'l-Iżrael")</f>
        <v>Nagħmlu l-Paċi ma 'l-Iżrael</v>
      </c>
    </row>
    <row r="6972" ht="15.75" customHeight="1">
      <c r="A6972" s="2" t="s">
        <v>6972</v>
      </c>
      <c r="B6972" s="2" t="str">
        <f>IFERROR(__xludf.DUMMYFUNCTION("GOOGLETRANSLATE(A6972, ""en"", ""mt"")"),"X'tessa 'Temüjin x'toffri lin-nies li ħakmu sabiex jaqilgħu l-lealtà tagħhom?")</f>
        <v>X'tessa 'Temüjin x'toffri lin-nies li ħakmu sabiex jaqilgħu l-lealtà tagħhom?</v>
      </c>
    </row>
    <row r="6973" ht="15.75" customHeight="1">
      <c r="A6973" s="2" t="s">
        <v>6973</v>
      </c>
      <c r="B6973" s="2" t="str">
        <f>IFERROR(__xludf.DUMMYFUNCTION("GOOGLETRANSLATE(A6973, ""en"", ""mt"")"),"Bit-tema, skultura tal-qabar, ritratt, skultura tal-ġnien u mitoloġija")</f>
        <v>Bit-tema, skultura tal-qabar, ritratt, skultura tal-ġnien u mitoloġija</v>
      </c>
    </row>
    <row r="6974" ht="15.75" customHeight="1">
      <c r="A6974" s="2" t="s">
        <v>6974</v>
      </c>
      <c r="B6974" s="2" t="str">
        <f>IFERROR(__xludf.DUMMYFUNCTION("GOOGLETRANSLATE(A6974, ""en"", ""mt"")"),"Relatività Ġenerali")</f>
        <v>Relatività Ġenerali</v>
      </c>
    </row>
    <row r="6975" ht="15.75" customHeight="1">
      <c r="A6975" s="2" t="s">
        <v>6975</v>
      </c>
      <c r="B6975" s="2" t="str">
        <f>IFERROR(__xludf.DUMMYFUNCTION("GOOGLETRANSLATE(A6975, ""en"", ""mt"")"),"Problemi kapaċi għal soluzzjonijiet teoretiċi iżda li jikkunsmaw ħin mhux raġonevoli fl-applikazzjoni prattika huma magħrufa bħala?")</f>
        <v>Problemi kapaċi għal soluzzjonijiet teoretiċi iżda li jikkunsmaw ħin mhux raġonevoli fl-applikazzjoni prattika huma magħrufa bħala?</v>
      </c>
    </row>
    <row r="6976" ht="15.75" customHeight="1">
      <c r="A6976" s="2" t="s">
        <v>6976</v>
      </c>
      <c r="B6976" s="2" t="str">
        <f>IFERROR(__xludf.DUMMYFUNCTION("GOOGLETRANSLATE(A6976, ""en"", ""mt"")"),"Meta l-Fratellanza rrinunzjat il-vjolenza bħala mezz biex tilħaq l-għanijiet tagħha?")</f>
        <v>Meta l-Fratellanza rrinunzjat il-vjolenza bħala mezz biex tilħaq l-għanijiet tagħha?</v>
      </c>
    </row>
    <row r="6977" ht="15.75" customHeight="1">
      <c r="A6977" s="2" t="s">
        <v>6977</v>
      </c>
      <c r="B6977" s="2" t="str">
        <f>IFERROR(__xludf.DUMMYFUNCTION("GOOGLETRANSLATE(A6977, ""en"", ""mt"")"),"11.5 pulzieri (292.1 mm)")</f>
        <v>11.5 pulzieri (292.1 mm)</v>
      </c>
    </row>
    <row r="6978" ht="15.75" customHeight="1">
      <c r="A6978" s="2" t="s">
        <v>6978</v>
      </c>
      <c r="B6978" s="2" t="str">
        <f>IFERROR(__xludf.DUMMYFUNCTION("GOOGLETRANSLATE(A6978, ""en"", ""mt"")"),"It-Trattat ta 'Aix-La-Chapelle")</f>
        <v>It-Trattat ta 'Aix-La-Chapelle</v>
      </c>
    </row>
    <row r="6979" ht="15.75" customHeight="1">
      <c r="A6979" s="2" t="s">
        <v>6979</v>
      </c>
      <c r="B6979" s="2" t="str">
        <f>IFERROR(__xludf.DUMMYFUNCTION("GOOGLETRANSLATE(A6979, ""en"", ""mt"")"),"Armata Ġermaniża")</f>
        <v>Armata Ġermaniża</v>
      </c>
    </row>
    <row r="6980" ht="15.75" customHeight="1">
      <c r="A6980" s="2" t="s">
        <v>6980</v>
      </c>
      <c r="B6980" s="2" t="str">
        <f>IFERROR(__xludf.DUMMYFUNCTION("GOOGLETRANSLATE(A6980, ""en"", ""mt"")"),"Id-disponibbiltà tal-Bibbja f'lingwi vernakulari")</f>
        <v>Id-disponibbiltà tal-Bibbja f'lingwi vernakulari</v>
      </c>
    </row>
    <row r="6981" ht="15.75" customHeight="1">
      <c r="A6981" s="2" t="s">
        <v>6981</v>
      </c>
      <c r="B6981" s="2" t="str">
        <f>IFERROR(__xludf.DUMMYFUNCTION("GOOGLETRANSLATE(A6981, ""en"", ""mt"")"),"182 miljun")</f>
        <v>182 miljun</v>
      </c>
    </row>
    <row r="6982" ht="15.75" customHeight="1">
      <c r="A6982" s="2" t="s">
        <v>6982</v>
      </c>
      <c r="B6982" s="2" t="str">
        <f>IFERROR(__xludf.DUMMYFUNCTION("GOOGLETRANSLATE(A6982, ""en"", ""mt"")"),"Liema sena seħħet l-għargħar li ħalla l-Meuse?")</f>
        <v>Liema sena seħħet l-għargħar li ħalla l-Meuse?</v>
      </c>
    </row>
    <row r="6983" ht="15.75" customHeight="1">
      <c r="A6983" s="2" t="s">
        <v>6983</v>
      </c>
      <c r="B6983" s="2" t="str">
        <f>IFERROR(__xludf.DUMMYFUNCTION("GOOGLETRANSLATE(A6983, ""en"", ""mt"")"),"Mekkaniżmi ta 'silenzjar ta' l-RNA")</f>
        <v>Mekkaniżmi ta 'silenzjar ta' l-RNA</v>
      </c>
    </row>
    <row r="6984" ht="15.75" customHeight="1">
      <c r="A6984" s="2" t="s">
        <v>6984</v>
      </c>
      <c r="B6984" s="2" t="str">
        <f>IFERROR(__xludf.DUMMYFUNCTION("GOOGLETRANSLATE(A6984, ""en"", ""mt"")"),"Dmugħ")</f>
        <v>Dmugħ</v>
      </c>
    </row>
    <row r="6985" ht="15.75" customHeight="1">
      <c r="A6985" s="2" t="s">
        <v>6985</v>
      </c>
      <c r="B6985" s="2" t="str">
        <f>IFERROR(__xludf.DUMMYFUNCTION("GOOGLETRANSLATE(A6985, ""en"", ""mt"")"),"Lindisfarne huma grupp folk-rock b'konnessjoni qawwija ta 'Tyneside. L-iktar kanzunetta famuża tagħhom, ""Fog on the Tyne"" (1971), kienet koperta mill-ex-futballer ta 'Geordie Paul Gascoigne fl-1990. Venom, ikkunsidrata minn ħafna bħala l-oriġinaturi ta'"&amp;" l-Iswed tal-Metall u estremament influwenti għax-xena tal-metall estremi kollha , iffurmat fi Newcastle fl-1979. Il-banda tal-metall folkloristiku Skyclad, ħafna drabi meqjusa bħala l-ewwel band folkloristiku tal-metall, iffurmata wkoll fi Newcastle wara"&amp;" t-tifrik tal-banda Martin Walkyier Thrash Metal, Sabbat. Andy Taylor, ex kitarrista taċ-ċomb ta 'Duran Duran twieled hawn fl-1961. Brian Johnson kien membru tal-band rock lokali Geordie qabel sar il-vokalista taċ-ċomb ta' AC / DC.")</f>
        <v>Lindisfarne huma grupp folk-rock b'konnessjoni qawwija ta 'Tyneside. L-iktar kanzunetta famuża tagħhom, "Fog on the Tyne" (1971), kienet koperta mill-ex-futballer ta 'Geordie Paul Gascoigne fl-1990. Venom, ikkunsidrata minn ħafna bħala l-oriġinaturi ta' l-Iswed tal-Metall u estremament influwenti għax-xena tal-metall estremi kollha , iffurmat fi Newcastle fl-1979. Il-banda tal-metall folkloristiku Skyclad, ħafna drabi meqjusa bħala l-ewwel band folkloristiku tal-metall, iffurmata wkoll fi Newcastle wara t-tifrik tal-banda Martin Walkyier Thrash Metal, Sabbat. Andy Taylor, ex kitarrista taċ-ċomb ta 'Duran Duran twieled hawn fl-1961. Brian Johnson kien membru tal-band rock lokali Geordie qabel sar il-vokalista taċ-ċomb ta' AC / DC.</v>
      </c>
    </row>
    <row r="6986" ht="15.75" customHeight="1">
      <c r="A6986" s="2" t="s">
        <v>6986</v>
      </c>
      <c r="B6986" s="2" t="str">
        <f>IFERROR(__xludf.DUMMYFUNCTION("GOOGLETRANSLATE(A6986, ""en"", ""mt"")"),"Charly")</f>
        <v>Charly</v>
      </c>
    </row>
    <row r="6987" ht="15.75" customHeight="1">
      <c r="A6987" s="2" t="s">
        <v>6987</v>
      </c>
      <c r="B6987" s="2" t="str">
        <f>IFERROR(__xludf.DUMMYFUNCTION("GOOGLETRANSLATE(A6987, ""en"", ""mt"")"),"Ħafna mit-tribujiet nomadi tal-Asja tal-Grigal.")</f>
        <v>Ħafna mit-tribujiet nomadi tal-Asja tal-Grigal.</v>
      </c>
    </row>
    <row r="6988" ht="15.75" customHeight="1">
      <c r="A6988" s="2" t="s">
        <v>6988</v>
      </c>
      <c r="B6988" s="2" t="str">
        <f>IFERROR(__xludf.DUMMYFUNCTION("GOOGLETRANSLATE(A6988, ""en"", ""mt"")"),"Liema sforz kien Luther mhux partikolarment favur?")</f>
        <v>Liema sforz kien Luther mhux partikolarment favur?</v>
      </c>
    </row>
    <row r="6989" ht="15.75" customHeight="1">
      <c r="A6989" s="2" t="s">
        <v>6989</v>
      </c>
      <c r="B6989" s="2" t="str">
        <f>IFERROR(__xludf.DUMMYFUNCTION("GOOGLETRANSLATE(A6989, ""en"", ""mt"")"),"Minn liema konsorzju ġie eskluż BSKYB?")</f>
        <v>Minn liema konsorzju ġie eskluż BSKYB?</v>
      </c>
    </row>
    <row r="6990" ht="15.75" customHeight="1">
      <c r="A6990" s="2" t="s">
        <v>6990</v>
      </c>
      <c r="B6990" s="2" t="str">
        <f>IFERROR(__xludf.DUMMYFUNCTION("GOOGLETRANSLATE(A6990, ""en"", ""mt"")"),"X'inhu eżempju ta 'kejl fi ħdan klassi ta' kumplessità li toħloq sett ikbar ta 'problemi jekk il-limiti jkunu rilassati?")</f>
        <v>X'inhu eżempju ta 'kejl fi ħdan klassi ta' kumplessità li toħloq sett ikbar ta 'problemi jekk il-limiti jkunu rilassati?</v>
      </c>
    </row>
    <row r="6991" ht="15.75" customHeight="1">
      <c r="A6991" s="2" t="s">
        <v>6991</v>
      </c>
      <c r="B6991" s="2" t="str">
        <f>IFERROR(__xludf.DUMMYFUNCTION("GOOGLETRANSLATE(A6991, ""en"", ""mt"")"),"qoxra baxxa")</f>
        <v>qoxra baxxa</v>
      </c>
    </row>
    <row r="6992" ht="15.75" customHeight="1">
      <c r="A6992" s="2" t="s">
        <v>6992</v>
      </c>
      <c r="B6992" s="2" t="str">
        <f>IFERROR(__xludf.DUMMYFUNCTION("GOOGLETRANSLATE(A6992, ""en"", ""mt"")"),"Tifel bla heda")</f>
        <v>Tifel bla heda</v>
      </c>
    </row>
    <row r="6993" ht="15.75" customHeight="1">
      <c r="A6993" s="2" t="s">
        <v>6993</v>
      </c>
      <c r="B6993" s="2" t="str">
        <f>IFERROR(__xludf.DUMMYFUNCTION("GOOGLETRANSLATE(A6993, ""en"", ""mt"")"),"Fil-bidu ta 'kull sessjoni parlamentari")</f>
        <v>Fil-bidu ta 'kull sessjoni parlamentari</v>
      </c>
    </row>
    <row r="6994" ht="15.75" customHeight="1">
      <c r="A6994" s="2" t="s">
        <v>6994</v>
      </c>
      <c r="B6994" s="2" t="str">
        <f>IFERROR(__xludf.DUMMYFUNCTION("GOOGLETRANSLATE(A6994, ""en"", ""mt"")"),"Liema vaganza ħabtet mal-ewwel wirja tas-serje tnejn?")</f>
        <v>Liema vaganza ħabtet mal-ewwel wirja tas-serje tnejn?</v>
      </c>
    </row>
    <row r="6995" ht="15.75" customHeight="1">
      <c r="A6995" s="2" t="s">
        <v>6995</v>
      </c>
      <c r="B6995" s="2" t="str">
        <f>IFERROR(__xludf.DUMMYFUNCTION("GOOGLETRANSLATE(A6995, ""en"", ""mt"")"),"Fil-pjanti tal-art, il-kloroplasti huma ġeneralment forma ta 'lenti, 5-8 μm fid-dijametru u 1-3 μm ħoxnin. Diversità ikbar fil-forom tal-kloroplast teżisti fost l-alka, li ħafna drabi jkun fiha kloroplast wieħed li jista 'jkun iffurmat bħal xibka (e.g., o"&amp;"edogonium), tazza (e.g., Chlamydomonas), spirali bħal żigarella madwar it-truf taċ-ċellula (e.g. , Spirogyra), jew faxex kemmxejn mibrumin fit-truf taċ-ċelloli (per eżempju, sirogonium). Xi alka għandhom żewġ kloroplasti f'kull ċellula; Huma forma ta 'sti"&amp;"lla f'Zygnema, jew jistgħu jsegwu l-forma ta' nofs iċ-ċellula fl-ordni Desmidiales. F’xi alka, il-kloroplast jieħu l-biċċa l-kbira taċ-ċellula, bil-bwiet għan-nukleu u organelli oħra (pereżempju xi speċi ta ’klorella għandhom kloroplast b’forma ta’ tazza "&amp;"li tokkupa ħafna miċ-ċellula).")</f>
        <v>Fil-pjanti tal-art, il-kloroplasti huma ġeneralment forma ta 'lenti, 5-8 μm fid-dijametru u 1-3 μm ħoxnin. Diversità ikbar fil-forom tal-kloroplast teżisti fost l-alka, li ħafna drabi jkun fiha kloroplast wieħed li jista 'jkun iffurmat bħal xibka (e.g., oedogonium), tazza (e.g., Chlamydomonas), spirali bħal żigarella madwar it-truf taċ-ċellula (e.g. , Spirogyra), jew faxex kemmxejn mibrumin fit-truf taċ-ċelloli (per eżempju, sirogonium). Xi alka għandhom żewġ kloroplasti f'kull ċellula; Huma forma ta 'stilla f'Zygnema, jew jistgħu jsegwu l-forma ta' nofs iċ-ċellula fl-ordni Desmidiales. F’xi alka, il-kloroplast jieħu l-biċċa l-kbira taċ-ċellula, bil-bwiet għan-nukleu u organelli oħra (pereżempju xi speċi ta ’klorella għandhom kloroplast b’forma ta’ tazza li tokkupa ħafna miċ-ċellula).</v>
      </c>
    </row>
    <row r="6996" ht="15.75" customHeight="1">
      <c r="A6996" s="2" t="s">
        <v>6996</v>
      </c>
      <c r="B6996" s="2" t="str">
        <f>IFERROR(__xludf.DUMMYFUNCTION("GOOGLETRANSLATE(A6996, ""en"", ""mt"")"),"F'liema teorija hija l-idea ta 'numru skambjat ma' dik ta 'ideal?")</f>
        <v>F'liema teorija hija l-idea ta 'numru skambjat ma' dik ta 'ideal?</v>
      </c>
    </row>
    <row r="6997" ht="15.75" customHeight="1">
      <c r="A6997" s="2" t="s">
        <v>6997</v>
      </c>
      <c r="B6997" s="2" t="str">
        <f>IFERROR(__xludf.DUMMYFUNCTION("GOOGLETRANSLATE(A6997, ""en"", ""mt"")"),"Hemm ħafna xebh u differenzi fost l-għalliema madwar id-dinja. Fi kważi l-pajjiżi l-għalliema huma edukati f'università jew kulleġġ. Il-gvernijiet jistgħu jeħtieġu ċertifikazzjoni minn korp rikonoxxut qabel ma jkunu jistgħu jgħallmu fi skola. F’ħafna pajj"&amp;"iżi, ċertifikat ta ’edukazzjoni skolastika elementari jinkiseb wara t-tlestija tal-iskola għolja. L-istudent tal-iskola sekondarja jsegwi track ta 'speċjalità ta' edukazzjoni, jikseb il-prerekwiżit ta '""studenti"" ħin, u jirċievi diploma speċjali biex ji"&amp;"bda jgħallem wara l-gradwazzjoni. Minbarra ċ-ċertifikazzjoni, ħafna istituzzjonijiet edukattivi speċjalment fl-Istati Uniti, jirrikjedu li l-għalliema prospettivi jgħaddu kontroll tal-isfond u evalwazzjoni psikjatrika biex ikunu jistgħu jgħallmu fil-klass"&amp;"i. Dan mhux dejjem il-każ ma 'istituzzjonijiet ta' tagħlim ulterjuri għall-adulti iżda qed isir malajr in-norma f'ħafna pajjiżi hekk kif tikber it-tħassib dwar is-sigurtà.")</f>
        <v>Hemm ħafna xebh u differenzi fost l-għalliema madwar id-dinja. Fi kważi l-pajjiżi l-għalliema huma edukati f'università jew kulleġġ. Il-gvernijiet jistgħu jeħtieġu ċertifikazzjoni minn korp rikonoxxut qabel ma jkunu jistgħu jgħallmu fi skola. F’ħafna pajjiżi, ċertifikat ta ’edukazzjoni skolastika elementari jinkiseb wara t-tlestija tal-iskola għolja. L-istudent tal-iskola sekondarja jsegwi track ta 'speċjalità ta' edukazzjoni, jikseb il-prerekwiżit ta '"studenti" ħin, u jirċievi diploma speċjali biex jibda jgħallem wara l-gradwazzjoni. Minbarra ċ-ċertifikazzjoni, ħafna istituzzjonijiet edukattivi speċjalment fl-Istati Uniti, jirrikjedu li l-għalliema prospettivi jgħaddu kontroll tal-isfond u evalwazzjoni psikjatrika biex ikunu jistgħu jgħallmu fil-klassi. Dan mhux dejjem il-każ ma 'istituzzjonijiet ta' tagħlim ulterjuri għall-adulti iżda qed isir malajr in-norma f'ħafna pajjiżi hekk kif tikber it-tħassib dwar is-sigurtà.</v>
      </c>
    </row>
    <row r="6998" ht="15.75" customHeight="1">
      <c r="A6998" s="2" t="s">
        <v>6998</v>
      </c>
      <c r="B6998" s="2" t="str">
        <f>IFERROR(__xludf.DUMMYFUNCTION("GOOGLETRANSLATE(A6998, ""en"", ""mt"")"),"Il-biċċa l-kbira tal-platyctenida għandhom korpi ovali li huma ċċattjati fid-direzzjoni orali-aborat, b'par ta 'tentakli li jġorru t-tentilla fuq il-wiċċ aboral. Huma jaqbdu u jkabbru fuq uċuħ billi jtaffu l-farinġi u jużawha bħala ""sieq"" muskolari. L-i"&amp;"speċi kollha tal-platyctenid magħrufa kollha kemm huma nieqsa mill-moxt. Il-platyctenids huma ġeneralment ikkuluriti kriptikament, jgħixu fuq blat, alka, jew l-uċuħ tal-ġisem ta 'invertebrati oħra, u ħafna drabi jiġu żvelati bit-tentakli twal tagħhom b'ħa"&amp;"fna sidebranches, li jidhru streaming barra minn wara tal-ctenophore fil-kurrent.")</f>
        <v>Il-biċċa l-kbira tal-platyctenida għandhom korpi ovali li huma ċċattjati fid-direzzjoni orali-aborat, b'par ta 'tentakli li jġorru t-tentilla fuq il-wiċċ aboral. Huma jaqbdu u jkabbru fuq uċuħ billi jtaffu l-farinġi u jużawha bħala "sieq" muskolari. L-ispeċi kollha tal-platyctenid magħrufa kollha kemm huma nieqsa mill-moxt. Il-platyctenids huma ġeneralment ikkuluriti kriptikament, jgħixu fuq blat, alka, jew l-uċuħ tal-ġisem ta 'invertebrati oħra, u ħafna drabi jiġu żvelati bit-tentakli twal tagħhom b'ħafna sidebranches, li jidhru streaming barra minn wara tal-ctenophore fil-kurrent.</v>
      </c>
    </row>
    <row r="6999" ht="15.75" customHeight="1">
      <c r="A6999" s="2" t="s">
        <v>6999</v>
      </c>
      <c r="B6999" s="2" t="str">
        <f>IFERROR(__xludf.DUMMYFUNCTION("GOOGLETRANSLATE(A6999, ""en"", ""mt"")"),"il-grupp tal-ibliet tal-qalba Ingliża")</f>
        <v>il-grupp tal-ibliet tal-qalba Ingliża</v>
      </c>
    </row>
    <row r="7000" ht="15.75" customHeight="1">
      <c r="A7000" s="2" t="s">
        <v>7000</v>
      </c>
      <c r="B7000" s="2" t="str">
        <f>IFERROR(__xludf.DUMMYFUNCTION("GOOGLETRANSLATE(A7000, ""en"", ""mt"")"),"Isem Gaulish rēnos")</f>
        <v>Isem Gaulish rēnos</v>
      </c>
    </row>
    <row r="7001" ht="15.75" customHeight="1">
      <c r="A7001" s="2" t="s">
        <v>7001</v>
      </c>
      <c r="B7001" s="2" t="str">
        <f>IFERROR(__xludf.DUMMYFUNCTION("GOOGLETRANSLATE(A7001, ""en"", ""mt"")"),"cricket, rally, futbol, ​​unjoni tar-rugby u boxing")</f>
        <v>cricket, rally, futbol, ​​unjoni tar-rugby u boxing</v>
      </c>
    </row>
    <row r="7002" ht="15.75" customHeight="1">
      <c r="A7002" s="2" t="s">
        <v>7002</v>
      </c>
      <c r="B7002" s="2" t="str">
        <f>IFERROR(__xludf.DUMMYFUNCTION("GOOGLETRANSLATE(A7002, ""en"", ""mt"")"),"L-Islam Konservattiv jikklassifika l-Musulmani li jsegwu l-interpretazzjoni Shia?")</f>
        <v>L-Islam Konservattiv jikklassifika l-Musulmani li jsegwu l-interpretazzjoni Shia?</v>
      </c>
    </row>
    <row r="7003" ht="15.75" customHeight="1">
      <c r="A7003" s="2" t="s">
        <v>7003</v>
      </c>
      <c r="B7003" s="2" t="str">
        <f>IFERROR(__xludf.DUMMYFUNCTION("GOOGLETRANSLATE(A7003, ""en"", ""mt"")"),"Fl-approċċ tal-kapaċitajiet, it-tkabbir u d-dħul huma meqjusa bħala mezz biex jintemm aktar milli?")</f>
        <v>Fl-approċċ tal-kapaċitajiet, it-tkabbir u d-dħul huma meqjusa bħala mezz biex jintemm aktar milli?</v>
      </c>
    </row>
    <row r="7004" ht="15.75" customHeight="1">
      <c r="A7004" s="2" t="s">
        <v>7004</v>
      </c>
      <c r="B7004" s="2" t="str">
        <f>IFERROR(__xludf.DUMMYFUNCTION("GOOGLETRANSLATE(A7004, ""en"", ""mt"")"),"Diepoldsau")</f>
        <v>Diepoldsau</v>
      </c>
    </row>
    <row r="7005" ht="15.75" customHeight="1">
      <c r="A7005" s="2" t="s">
        <v>7005</v>
      </c>
      <c r="B7005" s="2" t="str">
        <f>IFERROR(__xludf.DUMMYFUNCTION("GOOGLETRANSLATE(A7005, ""en"", ""mt"")"),"L-Iskrittura illustrata bil-lingwa Franċiża ta 'Jean de Rely ġew ippubblikati l-ewwel f'liema belt?")</f>
        <v>L-Iskrittura illustrata bil-lingwa Franċiża ta 'Jean de Rely ġew ippubblikati l-ewwel f'liema belt?</v>
      </c>
    </row>
    <row r="7006" ht="15.75" customHeight="1">
      <c r="A7006" s="2" t="s">
        <v>7006</v>
      </c>
      <c r="B7006" s="2" t="str">
        <f>IFERROR(__xludf.DUMMYFUNCTION("GOOGLETRANSLATE(A7006, ""en"", ""mt"")"),"X'inhuma l-akbar tliet żoni urbani fil-Kenja?")</f>
        <v>X'inhuma l-akbar tliet żoni urbani fil-Kenja?</v>
      </c>
    </row>
    <row r="7007" ht="15.75" customHeight="1">
      <c r="A7007" s="2" t="s">
        <v>7007</v>
      </c>
      <c r="B7007" s="2" t="str">
        <f>IFERROR(__xludf.DUMMYFUNCTION("GOOGLETRANSLATE(A7007, ""en"", ""mt"")"),"1 ta ’Ottubru 1998")</f>
        <v>1 ta ’Ottubru 1998</v>
      </c>
    </row>
    <row r="7008" ht="15.75" customHeight="1">
      <c r="A7008" s="2" t="s">
        <v>7008</v>
      </c>
      <c r="B7008" s="2" t="str">
        <f>IFERROR(__xludf.DUMMYFUNCTION("GOOGLETRANSLATE(A7008, ""en"", ""mt"")"),"X'inhu l-proċess tal-kostruzzjoni ta 'bini jew infrastruttura?")</f>
        <v>X'inhu l-proċess tal-kostruzzjoni ta 'bini jew infrastruttura?</v>
      </c>
    </row>
    <row r="7009" ht="15.75" customHeight="1">
      <c r="A7009" s="2" t="s">
        <v>7009</v>
      </c>
      <c r="B7009" s="2" t="str">
        <f>IFERROR(__xludf.DUMMYFUNCTION("GOOGLETRANSLATE(A7009, ""en"", ""mt"")"),"Kemm universitajiet joffru programm inizjali għall-edukazzjoni tal-għalliema (ITE)?")</f>
        <v>Kemm universitajiet joffru programm inizjali għall-edukazzjoni tal-għalliema (ITE)?</v>
      </c>
    </row>
    <row r="7010" ht="15.75" customHeight="1">
      <c r="A7010" s="2" t="s">
        <v>7010</v>
      </c>
      <c r="B7010" s="2" t="str">
        <f>IFERROR(__xludf.DUMMYFUNCTION("GOOGLETRANSLATE(A7010, ""en"", ""mt"")"),"Eisleben, Sassonja")</f>
        <v>Eisleben, Sassonja</v>
      </c>
    </row>
    <row r="7011" ht="15.75" customHeight="1">
      <c r="A7011" s="2" t="s">
        <v>7011</v>
      </c>
      <c r="B7011" s="2" t="str">
        <f>IFERROR(__xludf.DUMMYFUNCTION("GOOGLETRANSLATE(A7011, ""en"", ""mt"")"),"1858")</f>
        <v>1858</v>
      </c>
    </row>
    <row r="7012" ht="15.75" customHeight="1">
      <c r="A7012" s="2" t="s">
        <v>7012</v>
      </c>
      <c r="B7012" s="2" t="str">
        <f>IFERROR(__xludf.DUMMYFUNCTION("GOOGLETRANSLATE(A7012, ""en"", ""mt"")"),"Kemm hemm MSPs?")</f>
        <v>Kemm hemm MSPs?</v>
      </c>
    </row>
    <row r="7013" ht="15.75" customHeight="1">
      <c r="A7013" s="2" t="s">
        <v>7013</v>
      </c>
      <c r="B7013" s="2" t="str">
        <f>IFERROR(__xludf.DUMMYFUNCTION("GOOGLETRANSLATE(A7013, ""en"", ""mt"")"),"Infrastruttura ta 'transitu msaħħa, shuttles possibbli miftuħa għall-pubbliku, u spazju għall-park li se jkun aċċessibbli wkoll għall-pubbliku.")</f>
        <v>Infrastruttura ta 'transitu msaħħa, shuttles possibbli miftuħa għall-pubbliku, u spazju għall-park li se jkun aċċessibbli wkoll għall-pubbliku.</v>
      </c>
    </row>
    <row r="7014" ht="15.75" customHeight="1">
      <c r="A7014" s="2" t="s">
        <v>7014</v>
      </c>
      <c r="B7014" s="2" t="str">
        <f>IFERROR(__xludf.DUMMYFUNCTION("GOOGLETRANSLATE(A7014, ""en"", ""mt"")"),"Min kiteb dwar il-Pompa tal-Ilma tas-Savery fit-Tranżazzjonijiet Filosofiċi tal-1751?")</f>
        <v>Min kiteb dwar il-Pompa tal-Ilma tas-Savery fit-Tranżazzjonijiet Filosofiċi tal-1751?</v>
      </c>
    </row>
    <row r="7015" ht="15.75" customHeight="1">
      <c r="A7015" s="2" t="s">
        <v>7015</v>
      </c>
      <c r="B7015" s="2" t="str">
        <f>IFERROR(__xludf.DUMMYFUNCTION("GOOGLETRANSLATE(A7015, ""en"", ""mt"")"),"is-servizzi kliniċi li l-ispiżjara jistgħu jipprovdu għall-pazjenti tagħhom")</f>
        <v>is-servizzi kliniċi li l-ispiżjara jistgħu jipprovdu għall-pazjenti tagħhom</v>
      </c>
    </row>
    <row r="7016" ht="15.75" customHeight="1">
      <c r="A7016" s="2" t="s">
        <v>7016</v>
      </c>
      <c r="B7016" s="2" t="str">
        <f>IFERROR(__xludf.DUMMYFUNCTION("GOOGLETRANSLATE(A7016, ""en"", ""mt"")"),"Vantaġġ politiku huwa attribut ta 'liema politiki tal-istat?")</f>
        <v>Vantaġġ politiku huwa attribut ta 'liema politiki tal-istat?</v>
      </c>
    </row>
    <row r="7017" ht="15.75" customHeight="1">
      <c r="A7017" s="2" t="s">
        <v>7017</v>
      </c>
      <c r="B7017" s="2" t="str">
        <f>IFERROR(__xludf.DUMMYFUNCTION("GOOGLETRANSLATE(A7017, ""en"", ""mt"")"),"żewġ membrani taċ-ċelloli")</f>
        <v>żewġ membrani taċ-ċelloli</v>
      </c>
    </row>
    <row r="7018" ht="15.75" customHeight="1">
      <c r="A7018" s="2" t="s">
        <v>7018</v>
      </c>
      <c r="B7018" s="2" t="str">
        <f>IFERROR(__xludf.DUMMYFUNCTION("GOOGLETRANSLATE(A7018, ""en"", ""mt"")"),"Prodotti sekondarji perikolużi ta 'użu ta' ossiġnu f'organiżmi")</f>
        <v>Prodotti sekondarji perikolużi ta 'użu ta' ossiġnu f'organiżmi</v>
      </c>
    </row>
    <row r="7019" ht="15.75" customHeight="1">
      <c r="A7019" s="2" t="s">
        <v>7019</v>
      </c>
      <c r="B7019" s="2" t="str">
        <f>IFERROR(__xludf.DUMMYFUNCTION("GOOGLETRANSLATE(A7019, ""en"", ""mt"")"),"Kaxxa tal-Pulizija Brittanika Blu")</f>
        <v>Kaxxa tal-Pulizija Brittanika Blu</v>
      </c>
    </row>
    <row r="7020" ht="15.75" customHeight="1">
      <c r="A7020" s="2" t="s">
        <v>7020</v>
      </c>
      <c r="B7020" s="2" t="str">
        <f>IFERROR(__xludf.DUMMYFUNCTION("GOOGLETRANSLATE(A7020, ""en"", ""mt"")"),"il-post ċentrali tiegħu")</f>
        <v>il-post ċentrali tiegħu</v>
      </c>
    </row>
    <row r="7021" ht="15.75" customHeight="1">
      <c r="A7021" s="2" t="s">
        <v>7021</v>
      </c>
      <c r="B7021" s="2" t="str">
        <f>IFERROR(__xludf.DUMMYFUNCTION("GOOGLETRANSLATE(A7021, ""en"", ""mt"")"),"4.5 miljun")</f>
        <v>4.5 miljun</v>
      </c>
    </row>
    <row r="7022" ht="15.75" customHeight="1">
      <c r="A7022" s="2" t="s">
        <v>7022</v>
      </c>
      <c r="B7022" s="2" t="str">
        <f>IFERROR(__xludf.DUMMYFUNCTION("GOOGLETRANSLATE(A7022, ""en"", ""mt"")"),"X'inhu sottożin?")</f>
        <v>X'inhu sottożin?</v>
      </c>
    </row>
    <row r="7023" ht="15.75" customHeight="1">
      <c r="A7023" s="2" t="s">
        <v>7023</v>
      </c>
      <c r="B7023" s="2" t="str">
        <f>IFERROR(__xludf.DUMMYFUNCTION("GOOGLETRANSLATE(A7023, ""en"", ""mt"")"),"Xmara Colorado")</f>
        <v>Xmara Colorado</v>
      </c>
    </row>
    <row r="7024" ht="15.75" customHeight="1">
      <c r="A7024" s="2" t="s">
        <v>7024</v>
      </c>
      <c r="B7024" s="2" t="str">
        <f>IFERROR(__xludf.DUMMYFUNCTION("GOOGLETRANSLATE(A7024, ""en"", ""mt"")"),"Ma jkun hemm l-ebda punteġġ aktar fit-tielet kwart, iżda kmieni fir-raba ', il-Broncos saq lejn il-linja ta' 41-tarzna tal-Panthers. Fil-logħob li jmiss, Ealy ħabbat il-ballun minn idejn Manning hekk kif kien qed jagħlaq għal pass, u mbagħad irkuprah għal"&amp;" Carolina fuq il-linja ta '50 -yard. Akkoljenza ta '16 -il tarzna minn Devin Funchess u 12-il tarzna mmexxija minn Stewart imbagħad waqqfu l-gowl ta 'Gano 39-yard, li qatgħu d-defiċit tal-Panthers għal skor wieħed f'16-110. It-tliet drives li ġejjin tal-l"&amp;"ogħba jispiċċaw fil-punti.")</f>
        <v>Ma jkun hemm l-ebda punteġġ aktar fit-tielet kwart, iżda kmieni fir-raba ', il-Broncos saq lejn il-linja ta' 41-tarzna tal-Panthers. Fil-logħob li jmiss, Ealy ħabbat il-ballun minn idejn Manning hekk kif kien qed jagħlaq għal pass, u mbagħad irkuprah għal Carolina fuq il-linja ta '50 -yard. Akkoljenza ta '16 -il tarzna minn Devin Funchess u 12-il tarzna mmexxija minn Stewart imbagħad waqqfu l-gowl ta 'Gano 39-yard, li qatgħu d-defiċit tal-Panthers għal skor wieħed f'16-110. It-tliet drives li ġejjin tal-logħba jispiċċaw fil-punti.</v>
      </c>
    </row>
    <row r="7025" ht="15.75" customHeight="1">
      <c r="A7025" s="2" t="s">
        <v>7025</v>
      </c>
      <c r="B7025" s="2" t="str">
        <f>IFERROR(__xludf.DUMMYFUNCTION("GOOGLETRANSLATE(A7025, ""en"", ""mt"")"),"sa n = 4 (jew 216 + 1)")</f>
        <v>sa n = 4 (jew 216 + 1)</v>
      </c>
    </row>
    <row r="7026" ht="15.75" customHeight="1">
      <c r="A7026" s="2" t="s">
        <v>7026</v>
      </c>
      <c r="B7026" s="2" t="str">
        <f>IFERROR(__xludf.DUMMYFUNCTION("GOOGLETRANSLATE(A7026, ""en"", ""mt"")"),"soċjali")</f>
        <v>soċjali</v>
      </c>
    </row>
    <row r="7027" ht="15.75" customHeight="1">
      <c r="A7027" s="2" t="s">
        <v>7027</v>
      </c>
      <c r="B7027" s="2" t="str">
        <f>IFERROR(__xludf.DUMMYFUNCTION("GOOGLETRANSLATE(A7027, ""en"", ""mt"")"),"qawwi u dgħajjef")</f>
        <v>qawwi u dgħajjef</v>
      </c>
    </row>
    <row r="7028" ht="15.75" customHeight="1">
      <c r="A7028" s="2" t="s">
        <v>7028</v>
      </c>
      <c r="B7028" s="2" t="str">
        <f>IFERROR(__xludf.DUMMYFUNCTION("GOOGLETRANSLATE(A7028, ""en"", ""mt"")"),"b'diżabilità tal-propulsjoni tal-vettura spazjali u l-appoġġ tal-ħajja")</f>
        <v>b'diżabilità tal-propulsjoni tal-vettura spazjali u l-appoġġ tal-ħajja</v>
      </c>
    </row>
    <row r="7029" ht="15.75" customHeight="1">
      <c r="A7029" s="2" t="s">
        <v>7029</v>
      </c>
      <c r="B7029" s="2" t="str">
        <f>IFERROR(__xludf.DUMMYFUNCTION("GOOGLETRANSLATE(A7029, ""en"", ""mt"")"),"Imperaturi Mughal")</f>
        <v>Imperaturi Mughal</v>
      </c>
    </row>
    <row r="7030" ht="15.75" customHeight="1">
      <c r="A7030" s="2" t="s">
        <v>7030</v>
      </c>
      <c r="B7030" s="2" t="str">
        <f>IFERROR(__xludf.DUMMYFUNCTION("GOOGLETRANSLATE(A7030, ""en"", ""mt"")"),"X'inhi s-sistema li biha l-prokarioti jżommu frammenti tal-ġeni tal-fagi li qabel kienu jiġu f'kuntatt magħhom?")</f>
        <v>X'inhi s-sistema li biha l-prokarioti jżommu frammenti tal-ġeni tal-fagi li qabel kienu jiġu f'kuntatt magħhom?</v>
      </c>
    </row>
    <row r="7031" ht="15.75" customHeight="1">
      <c r="A7031" s="2" t="s">
        <v>7031</v>
      </c>
      <c r="B7031" s="2" t="str">
        <f>IFERROR(__xludf.DUMMYFUNCTION("GOOGLETRANSLATE(A7031, ""en"", ""mt"")"),"F'taxxa progressiva, dak li jiżdied hekk kif jiżdied l-ammont ta 'bażi ​​taxxabbli?")</f>
        <v>F'taxxa progressiva, dak li jiżdied hekk kif jiżdied l-ammont ta 'bażi ​​taxxabbli?</v>
      </c>
    </row>
    <row r="7032" ht="15.75" customHeight="1">
      <c r="A7032" s="2" t="s">
        <v>7032</v>
      </c>
      <c r="B7032" s="2" t="str">
        <f>IFERROR(__xludf.DUMMYFUNCTION("GOOGLETRANSLATE(A7032, ""en"", ""mt"")"),"X'kienet Varsavja l-iktar diversa fil-Polonja?")</f>
        <v>X'kienet Varsavja l-iktar diversa fil-Polonja?</v>
      </c>
    </row>
    <row r="7033" ht="15.75" customHeight="1">
      <c r="A7033" s="2" t="s">
        <v>7033</v>
      </c>
      <c r="B7033" s="2" t="str">
        <f>IFERROR(__xludf.DUMMYFUNCTION("GOOGLETRANSLATE(A7033, ""en"", ""mt"")"),"Parlament Skoċċiż")</f>
        <v>Parlament Skoċċiż</v>
      </c>
    </row>
    <row r="7034" ht="15.75" customHeight="1">
      <c r="A7034" s="2" t="s">
        <v>7034</v>
      </c>
      <c r="B7034" s="2" t="str">
        <f>IFERROR(__xludf.DUMMYFUNCTION("GOOGLETRANSLATE(A7034, ""en"", ""mt"")"),"Min żviluppa indikatur tal-magna bil-fwar ta 'suċċess għal Charles Porter?")</f>
        <v>Min żviluppa indikatur tal-magna bil-fwar ta 'suċċess għal Charles Porter?</v>
      </c>
    </row>
    <row r="7035" ht="15.75" customHeight="1">
      <c r="A7035" s="2" t="s">
        <v>7035</v>
      </c>
      <c r="B7035" s="2" t="str">
        <f>IFERROR(__xludf.DUMMYFUNCTION("GOOGLETRANSLATE(A7035, ""en"", ""mt"")"),"Meta l-blat jingħalaq fil-fond fid-dinja jista 'jintewa wieħed minn żewġ modi, meta jegħleb' il fuq dan joħloq?")</f>
        <v>Meta l-blat jingħalaq fil-fond fid-dinja jista 'jintewa wieħed minn żewġ modi, meta jegħleb' il fuq dan joħloq?</v>
      </c>
    </row>
    <row r="7036" ht="15.75" customHeight="1">
      <c r="A7036" s="2" t="s">
        <v>7036</v>
      </c>
      <c r="B7036" s="2" t="str">
        <f>IFERROR(__xludf.DUMMYFUNCTION("GOOGLETRANSLATE(A7036, ""en"", ""mt"")"),"Films ABC Circle")</f>
        <v>Films ABC Circle</v>
      </c>
    </row>
    <row r="7037" ht="15.75" customHeight="1">
      <c r="A7037" s="2" t="s">
        <v>7037</v>
      </c>
      <c r="B7037" s="2" t="str">
        <f>IFERROR(__xludf.DUMMYFUNCTION("GOOGLETRANSLATE(A7037, ""en"", ""mt"")"),"X'tixtieq li l-missier ta 'Tesla oriġinarjament ried li jagħmel?")</f>
        <v>X'tixtieq li l-missier ta 'Tesla oriġinarjament ried li jagħmel?</v>
      </c>
    </row>
    <row r="7038" ht="15.75" customHeight="1">
      <c r="A7038" s="2" t="s">
        <v>7038</v>
      </c>
      <c r="B7038" s="2" t="str">
        <f>IFERROR(__xludf.DUMMYFUNCTION("GOOGLETRANSLATE(A7038, ""en"", ""mt"")"),"Petitcodiac fl-1755 u fi Bloody Creek qrib Annapolis Royal fl-1757")</f>
        <v>Petitcodiac fl-1755 u fi Bloody Creek qrib Annapolis Royal fl-1757</v>
      </c>
    </row>
    <row r="7039" ht="15.75" customHeight="1">
      <c r="A7039" s="2" t="s">
        <v>7039</v>
      </c>
      <c r="B7039" s="2" t="str">
        <f>IFERROR(__xludf.DUMMYFUNCTION("GOOGLETRANSLATE(A7039, ""en"", ""mt"")"),"Tech Coast")</f>
        <v>Tech Coast</v>
      </c>
    </row>
    <row r="7040" ht="15.75" customHeight="1">
      <c r="A7040" s="2" t="s">
        <v>7040</v>
      </c>
      <c r="B7040" s="2" t="str">
        <f>IFERROR(__xludf.DUMMYFUNCTION("GOOGLETRANSLATE(A7040, ""en"", ""mt"")"),"Ħafna mix-xogħol tal-Parlament Skoċċiż isir fil-kumitat. Ir-rwol tal-kumitati huwa aktar b'saħħtu fil-Parlament Skoċċiż milli f'sistemi parlamentari oħra, parzjalment bħala mezz biex isaħħaħ ir-rwol ta 'backbenchers fl-iskrutinju tagħhom tal-gvern u parzj"&amp;"alment biex jikkumpensaw għall-fatt li m'hemm l-ebda kamra ta' reviżjoni. Ir-rwol ewlieni tal-kumitati fil-Parlament Skoċċiż huwa li tieħu xhieda minn xhieda, twettaq inkjesti u tifli l-leġiżlazzjoni. Il-laqgħat tal-kumitat isiru nhar it-Tlieta, l-Erbgħa "&amp;"u l-Ħamis filgħodu meta l-Parlament ikun bilqiegħda. Il-kumitati jistgħu wkoll jiltaqgħu f’postijiet oħra madwar l-Iskozja.")</f>
        <v>Ħafna mix-xogħol tal-Parlament Skoċċiż isir fil-kumitat. Ir-rwol tal-kumitati huwa aktar b'saħħtu fil-Parlament Skoċċiż milli f'sistemi parlamentari oħra, parzjalment bħala mezz biex isaħħaħ ir-rwol ta 'backbenchers fl-iskrutinju tagħhom tal-gvern u parzjalment biex jikkumpensaw għall-fatt li m'hemm l-ebda kamra ta' reviżjoni. Ir-rwol ewlieni tal-kumitati fil-Parlament Skoċċiż huwa li tieħu xhieda minn xhieda, twettaq inkjesti u tifli l-leġiżlazzjoni. Il-laqgħat tal-kumitat isiru nhar it-Tlieta, l-Erbgħa u l-Ħamis filgħodu meta l-Parlament ikun bilqiegħda. Il-kumitati jistgħu wkoll jiltaqgħu f’postijiet oħra madwar l-Iskozja.</v>
      </c>
    </row>
    <row r="7041" ht="15.75" customHeight="1">
      <c r="A7041" s="2" t="s">
        <v>7041</v>
      </c>
      <c r="B7041" s="2" t="str">
        <f>IFERROR(__xludf.DUMMYFUNCTION("GOOGLETRANSLATE(A7041, ""en"", ""mt"")"),"Is-silta ta 'liema att ta lil Victoria l-gvern tiegħu stess?")</f>
        <v>Is-silta ta 'liema att ta lil Victoria l-gvern tiegħu stess?</v>
      </c>
    </row>
    <row r="7042" ht="15.75" customHeight="1">
      <c r="A7042" s="2" t="s">
        <v>7042</v>
      </c>
      <c r="B7042" s="2" t="str">
        <f>IFERROR(__xludf.DUMMYFUNCTION("GOOGLETRANSLATE(A7042, ""en"", ""mt"")"),"Kellu jaħdem f'diversi impjiegi ta 'tiswija elettrika")</f>
        <v>Kellu jaħdem f'diversi impjiegi ta 'tiswija elettrika</v>
      </c>
    </row>
    <row r="7043" ht="15.75" customHeight="1">
      <c r="A7043" s="2" t="s">
        <v>7043</v>
      </c>
      <c r="B7043" s="2" t="str">
        <f>IFERROR(__xludf.DUMMYFUNCTION("GOOGLETRANSLATE(A7043, ""en"", ""mt"")"),"220 mil (350 km)")</f>
        <v>220 mil (350 km)</v>
      </c>
    </row>
    <row r="7044" ht="15.75" customHeight="1">
      <c r="A7044" s="2" t="s">
        <v>7044</v>
      </c>
      <c r="B7044" s="2" t="str">
        <f>IFERROR(__xludf.DUMMYFUNCTION("GOOGLETRANSLATE(A7044, ""en"", ""mt"")"),"It-Tlieta wara nofsinhar qabel il-logħba")</f>
        <v>It-Tlieta wara nofsinhar qabel il-logħba</v>
      </c>
    </row>
    <row r="7045" ht="15.75" customHeight="1">
      <c r="A7045" s="2" t="s">
        <v>7045</v>
      </c>
      <c r="B7045" s="2" t="str">
        <f>IFERROR(__xludf.DUMMYFUNCTION("GOOGLETRANSLATE(A7045, ""en"", ""mt"")"),"L-Gżejjer Brittaniċi")</f>
        <v>L-Gżejjer Brittaniċi</v>
      </c>
    </row>
    <row r="7046" ht="15.75" customHeight="1">
      <c r="A7046" s="2" t="s">
        <v>7046</v>
      </c>
      <c r="B7046" s="2" t="str">
        <f>IFERROR(__xludf.DUMMYFUNCTION("GOOGLETRANSLATE(A7046, ""en"", ""mt"")"),"Liema grupp ta 'ctenophore huma l-aktar diffiċli biex jiġu studjati?")</f>
        <v>Liema grupp ta 'ctenophore huma l-aktar diffiċli biex jiġu studjati?</v>
      </c>
    </row>
    <row r="7047" ht="15.75" customHeight="1">
      <c r="A7047" s="2" t="s">
        <v>7047</v>
      </c>
      <c r="B7047" s="2" t="str">
        <f>IFERROR(__xludf.DUMMYFUNCTION("GOOGLETRANSLATE(A7047, ""en"", ""mt"")"),"Ilkhanate")</f>
        <v>Ilkhanate</v>
      </c>
    </row>
    <row r="7048" ht="15.75" customHeight="1">
      <c r="A7048" s="2" t="s">
        <v>7048</v>
      </c>
      <c r="B7048" s="2" t="str">
        <f>IFERROR(__xludf.DUMMYFUNCTION("GOOGLETRANSLATE(A7048, ""en"", ""mt"")"),"135 pied twil")</f>
        <v>135 pied twil</v>
      </c>
    </row>
    <row r="7049" ht="15.75" customHeight="1">
      <c r="A7049" s="2" t="s">
        <v>7049</v>
      </c>
      <c r="B7049" s="2" t="str">
        <f>IFERROR(__xludf.DUMMYFUNCTION("GOOGLETRANSLATE(A7049, ""en"", ""mt"")"),"imdawwar minn membrana doppja")</f>
        <v>imdawwar minn membrana doppja</v>
      </c>
    </row>
    <row r="7050" ht="15.75" customHeight="1">
      <c r="A7050" s="2" t="s">
        <v>7050</v>
      </c>
      <c r="B7050" s="2" t="str">
        <f>IFERROR(__xludf.DUMMYFUNCTION("GOOGLETRANSLATE(A7050, ""en"", ""mt"")"),"Esplorazzjoni")</f>
        <v>Esplorazzjoni</v>
      </c>
    </row>
    <row r="7051" ht="15.75" customHeight="1">
      <c r="A7051" s="2" t="s">
        <v>7051</v>
      </c>
      <c r="B7051" s="2" t="str">
        <f>IFERROR(__xludf.DUMMYFUNCTION("GOOGLETRANSLATE(A7051, ""en"", ""mt"")"),"Liema belt fit-tramuntana ta 'New York ġiet solvuta minn Huguenots?")</f>
        <v>Liema belt fit-tramuntana ta 'New York ġiet solvuta minn Huguenots?</v>
      </c>
    </row>
    <row r="7052" ht="15.75" customHeight="1">
      <c r="A7052" s="2" t="s">
        <v>7052</v>
      </c>
      <c r="B7052" s="2" t="str">
        <f>IFERROR(__xludf.DUMMYFUNCTION("GOOGLETRANSLATE(A7052, ""en"", ""mt"")"),"3 ijiem.")</f>
        <v>3 ijiem.</v>
      </c>
    </row>
    <row r="7053" ht="15.75" customHeight="1">
      <c r="A7053" s="2" t="s">
        <v>7053</v>
      </c>
      <c r="B7053" s="2" t="str">
        <f>IFERROR(__xludf.DUMMYFUNCTION("GOOGLETRANSLATE(A7053, ""en"", ""mt"")"),"raġġ")</f>
        <v>raġġ</v>
      </c>
    </row>
    <row r="7054" ht="15.75" customHeight="1">
      <c r="A7054" s="2" t="s">
        <v>7054</v>
      </c>
      <c r="B7054" s="2" t="str">
        <f>IFERROR(__xludf.DUMMYFUNCTION("GOOGLETRANSLATE(A7054, ""en"", ""mt"")"),"Ħsarat ta 'Puente Hills")</f>
        <v>Ħsarat ta 'Puente Hills</v>
      </c>
    </row>
    <row r="7055" ht="15.75" customHeight="1">
      <c r="A7055" s="2" t="s">
        <v>7055</v>
      </c>
      <c r="B7055" s="2" t="str">
        <f>IFERROR(__xludf.DUMMYFUNCTION("GOOGLETRANSLATE(A7055, ""en"", ""mt"")"),"Il-ġurnata tal-midja tal-logħba, li tipikament kienet issir nhar it-Tlieta wara nofsinhar qabel il-logħba, ġiet imċaqalqa għat-Tnejn filgħaxija u reġgħet marret bħala l-lejl tal-ftuħ tas-Super Bowl. L-avveniment sar fl-1 ta 'Frar, 2016 fiċ-Ċentru SAP f'Sa"&amp;"n Jose. Flimkien mad-disponibbilitajiet tradizzjonali tal-midja, l-avveniment deher ċerimonja tal-ftuħ bl-introduzzjonijiet tal-plejers fuq replika tal-Golden Gate Bridge.")</f>
        <v>Il-ġurnata tal-midja tal-logħba, li tipikament kienet issir nhar it-Tlieta wara nofsinhar qabel il-logħba, ġiet imċaqalqa għat-Tnejn filgħaxija u reġgħet marret bħala l-lejl tal-ftuħ tas-Super Bowl. L-avveniment sar fl-1 ta 'Frar, 2016 fiċ-Ċentru SAP f'San Jose. Flimkien mad-disponibbilitajiet tradizzjonali tal-midja, l-avveniment deher ċerimonja tal-ftuħ bl-introduzzjonijiet tal-plejers fuq replika tal-Golden Gate Bridge.</v>
      </c>
    </row>
    <row r="7056" ht="15.75" customHeight="1">
      <c r="A7056" s="2" t="s">
        <v>7056</v>
      </c>
      <c r="B7056" s="2" t="str">
        <f>IFERROR(__xludf.DUMMYFUNCTION("GOOGLETRANSLATE(A7056, ""en"", ""mt"")"),"Min hu l-Edukazzjoni Medja Welsh disponibbli għalih?")</f>
        <v>Min hu l-Edukazzjoni Medja Welsh disponibbli għalih?</v>
      </c>
    </row>
    <row r="7057" ht="15.75" customHeight="1">
      <c r="A7057" s="2" t="s">
        <v>7057</v>
      </c>
      <c r="B7057" s="2" t="str">
        <f>IFERROR(__xludf.DUMMYFUNCTION("GOOGLETRANSLATE(A7057, ""en"", ""mt"")"),"Brittanja")</f>
        <v>Brittanja</v>
      </c>
    </row>
    <row r="7058" ht="15.75" customHeight="1">
      <c r="A7058" s="2" t="s">
        <v>7058</v>
      </c>
      <c r="B7058" s="2" t="str">
        <f>IFERROR(__xludf.DUMMYFUNCTION("GOOGLETRANSLATE(A7058, ""en"", ""mt"")"),"Baħar tal-Ġappun")</f>
        <v>Baħar tal-Ġappun</v>
      </c>
    </row>
    <row r="7059" ht="15.75" customHeight="1">
      <c r="A7059" s="2" t="s">
        <v>7059</v>
      </c>
      <c r="B7059" s="2" t="str">
        <f>IFERROR(__xludf.DUMMYFUNCTION("GOOGLETRANSLATE(A7059, ""en"", ""mt"")"),"X'tip ta 'proċess kien involut fit-tnaqqis tal-ossiġnu tax-xemx 16?")</f>
        <v>X'tip ta 'proċess kien involut fit-tnaqqis tal-ossiġnu tax-xemx 16?</v>
      </c>
    </row>
    <row r="7060" ht="15.75" customHeight="1">
      <c r="A7060" s="2" t="s">
        <v>7060</v>
      </c>
      <c r="B7060" s="2" t="str">
        <f>IFERROR(__xludf.DUMMYFUNCTION("GOOGLETRANSLATE(A7060, ""en"", ""mt"")"),"aktar minn ħames miljun")</f>
        <v>aktar minn ħames miljun</v>
      </c>
    </row>
    <row r="7061" ht="15.75" customHeight="1">
      <c r="A7061" s="2" t="s">
        <v>7061</v>
      </c>
      <c r="B7061" s="2" t="str">
        <f>IFERROR(__xludf.DUMMYFUNCTION("GOOGLETRANSLATE(A7061, ""en"", ""mt"")"),"Miżuri ta 'kumplessità")</f>
        <v>Miżuri ta 'kumplessità</v>
      </c>
    </row>
    <row r="7062" ht="15.75" customHeight="1">
      <c r="A7062" s="2" t="s">
        <v>7062</v>
      </c>
      <c r="B7062" s="2" t="str">
        <f>IFERROR(__xludf.DUMMYFUNCTION("GOOGLETRANSLATE(A7062, ""en"", ""mt"")"),"Uċuħ tar-raba 'modifikati ġenetikament")</f>
        <v>Uċuħ tar-raba 'modifikati ġenetikament</v>
      </c>
    </row>
    <row r="7063" ht="15.75" customHeight="1">
      <c r="A7063" s="2" t="s">
        <v>7063</v>
      </c>
      <c r="B7063" s="2" t="str">
        <f>IFERROR(__xludf.DUMMYFUNCTION("GOOGLETRANSLATE(A7063, ""en"", ""mt"")"),"Biex tifformalizza front unifikat fil-kummerċ u n-negozjati ma 'diversi Indjani")</f>
        <v>Biex tifformalizza front unifikat fil-kummerċ u n-negozjati ma 'diversi Indjani</v>
      </c>
    </row>
    <row r="7064" ht="15.75" customHeight="1">
      <c r="A7064" s="2" t="s">
        <v>7064</v>
      </c>
      <c r="B7064" s="2" t="str">
        <f>IFERROR(__xludf.DUMMYFUNCTION("GOOGLETRANSLATE(A7064, ""en"", ""mt"")"),"Kemm kienet twila Tesla?")</f>
        <v>Kemm kienet twila Tesla?</v>
      </c>
    </row>
    <row r="7065" ht="15.75" customHeight="1">
      <c r="A7065" s="2" t="s">
        <v>7065</v>
      </c>
      <c r="B7065" s="2" t="str">
        <f>IFERROR(__xludf.DUMMYFUNCTION("GOOGLETRANSLATE(A7065, ""en"", ""mt"")"),"Sir Isaac Newton")</f>
        <v>Sir Isaac Newton</v>
      </c>
    </row>
    <row r="7066" ht="15.75" customHeight="1">
      <c r="A7066" s="2" t="s">
        <v>7066</v>
      </c>
      <c r="B7066" s="2" t="str">
        <f>IFERROR(__xludf.DUMMYFUNCTION("GOOGLETRANSLATE(A7066, ""en"", ""mt"")"),"Lbiċ ta ’Franza")</f>
        <v>Lbiċ ta ’Franza</v>
      </c>
    </row>
    <row r="7067" ht="15.75" customHeight="1">
      <c r="A7067" s="2" t="s">
        <v>7067</v>
      </c>
      <c r="B7067" s="2" t="str">
        <f>IFERROR(__xludf.DUMMYFUNCTION("GOOGLETRANSLATE(A7067, ""en"", ""mt"")"),"von Staupitz")</f>
        <v>von Staupitz</v>
      </c>
    </row>
    <row r="7068" ht="15.75" customHeight="1">
      <c r="A7068" s="2" t="s">
        <v>7068</v>
      </c>
      <c r="B7068" s="2" t="str">
        <f>IFERROR(__xludf.DUMMYFUNCTION("GOOGLETRANSLATE(A7068, ""en"", ""mt"")"),"X'inhi kelma oħra għal intrużjonijiet igneous fit-tul?")</f>
        <v>X'inhi kelma oħra għal intrużjonijiet igneous fit-tul?</v>
      </c>
    </row>
    <row r="7069" ht="15.75" customHeight="1">
      <c r="A7069" s="2" t="s">
        <v>7069</v>
      </c>
      <c r="B7069" s="2" t="str">
        <f>IFERROR(__xludf.DUMMYFUNCTION("GOOGLETRANSLATE(A7069, ""en"", ""mt"")"),"Estrazzjoni ta 'ilma, faħam u idrokarburi")</f>
        <v>Estrazzjoni ta 'ilma, faħam u idrokarburi</v>
      </c>
    </row>
    <row r="7070" ht="15.75" customHeight="1">
      <c r="A7070" s="2" t="s">
        <v>7070</v>
      </c>
      <c r="B7070" s="2" t="str">
        <f>IFERROR(__xludf.DUMMYFUNCTION("GOOGLETRANSLATE(A7070, ""en"", ""mt"")"),"Liema teorema kienet implikata mill-assiomi ta 'Manuel Blum?")</f>
        <v>Liema teorema kienet implikata mill-assiomi ta 'Manuel Blum?</v>
      </c>
    </row>
    <row r="7071" ht="15.75" customHeight="1">
      <c r="A7071" s="2" t="s">
        <v>7071</v>
      </c>
      <c r="B7071" s="2" t="str">
        <f>IFERROR(__xludf.DUMMYFUNCTION("GOOGLETRANSLATE(A7071, ""en"", ""mt"")"),"8.10 p.m.")</f>
        <v>8.10 p.m.</v>
      </c>
    </row>
    <row r="7072" ht="15.75" customHeight="1">
      <c r="A7072" s="2" t="s">
        <v>7072</v>
      </c>
      <c r="B7072" s="2" t="str">
        <f>IFERROR(__xludf.DUMMYFUNCTION("GOOGLETRANSLATE(A7072, ""en"", ""mt"")"),"Phycobilin")</f>
        <v>Phycobilin</v>
      </c>
    </row>
    <row r="7073" ht="15.75" customHeight="1">
      <c r="A7073" s="2" t="s">
        <v>7073</v>
      </c>
      <c r="B7073" s="2" t="str">
        <f>IFERROR(__xludf.DUMMYFUNCTION("GOOGLETRANSLATE(A7073, ""en"", ""mt"")"),"Blat sedimentarji")</f>
        <v>Blat sedimentarji</v>
      </c>
    </row>
    <row r="7074" ht="15.75" customHeight="1">
      <c r="A7074" s="2" t="s">
        <v>7074</v>
      </c>
      <c r="B7074" s="2" t="str">
        <f>IFERROR(__xludf.DUMMYFUNCTION("GOOGLETRANSLATE(A7074, ""en"", ""mt"")"),"Mewt Ray")</f>
        <v>Mewt Ray</v>
      </c>
    </row>
    <row r="7075" ht="15.75" customHeight="1">
      <c r="A7075" s="2" t="s">
        <v>7075</v>
      </c>
      <c r="B7075" s="2" t="str">
        <f>IFERROR(__xludf.DUMMYFUNCTION("GOOGLETRANSLATE(A7075, ""en"", ""mt"")"),"il-Mingo")</f>
        <v>il-Mingo</v>
      </c>
    </row>
    <row r="7076" ht="15.75" customHeight="1">
      <c r="A7076" s="2" t="s">
        <v>7076</v>
      </c>
      <c r="B7076" s="2" t="str">
        <f>IFERROR(__xludf.DUMMYFUNCTION("GOOGLETRANSLATE(A7076, ""en"", ""mt"")"),"Liema koalizzjoni żdiedet biex topponi Franza ta 'Louis XIV?")</f>
        <v>Liema koalizzjoni żdiedet biex topponi Franza ta 'Louis XIV?</v>
      </c>
    </row>
    <row r="7077" ht="15.75" customHeight="1">
      <c r="A7077" s="2" t="s">
        <v>7077</v>
      </c>
      <c r="B7077" s="2" t="str">
        <f>IFERROR(__xludf.DUMMYFUNCTION("GOOGLETRANSLATE(A7077, ""en"", ""mt"")"),"X'inhu kunċett ġenerali wieħed li japplika għal elementi ta 'ċrieki kommutattivi?")</f>
        <v>X'inhu kunċett ġenerali wieħed li japplika għal elementi ta 'ċrieki kommutattivi?</v>
      </c>
    </row>
    <row r="7078" ht="15.75" customHeight="1">
      <c r="A7078" s="2" t="s">
        <v>7078</v>
      </c>
      <c r="B7078" s="2" t="str">
        <f>IFERROR(__xludf.DUMMYFUNCTION("GOOGLETRANSLATE(A7078, ""en"", ""mt"")"),"Wieħed mill-vantaġġi ewlenin li r-Rankine Cycle jżomm fuq oħrajn huwa li matul l-istadju tal-kompressjoni huwa meħtieġ xogħol relattivament żgħir biex issuq il-pompa, il-fluwidu tax-xogħol qiegħed fil-fażi likwida tiegħu f'dan il-punt. Billi tikkondensa l"&amp;"-fluwidu, ix-xogħol meħtieġ mill-pompa jikkonsma biss 1% sa 3% tal-qawwa tat-turbina u jikkontribwixxi għal effiċjenza ferm ogħla għal ċiklu reali. Il-benefiċċju ta 'dan jintilef xi ftit minħabba t-temperatura ta' żieda tas-sħana aktar baxxa. Turbini tal-"&amp;"gass, pereżempju, għandhom temperaturi tad-dħul tat-turbina li joqorbu 1500 ° C. Madankollu, l-effiċjenzi ta 'ċikli kbar tal-fwar attwali u turbini tal-gass moderni kbar huma mqabbla sew. [Ċitazzjoni meħtieġa]")</f>
        <v>Wieħed mill-vantaġġi ewlenin li r-Rankine Cycle jżomm fuq oħrajn huwa li matul l-istadju tal-kompressjoni huwa meħtieġ xogħol relattivament żgħir biex issuq il-pompa, il-fluwidu tax-xogħol qiegħed fil-fażi likwida tiegħu f'dan il-punt. Billi tikkondensa l-fluwidu, ix-xogħol meħtieġ mill-pompa jikkonsma biss 1% sa 3% tal-qawwa tat-turbina u jikkontribwixxi għal effiċjenza ferm ogħla għal ċiklu reali. Il-benefiċċju ta 'dan jintilef xi ftit minħabba t-temperatura ta' żieda tas-sħana aktar baxxa. Turbini tal-gass, pereżempju, għandhom temperaturi tad-dħul tat-turbina li joqorbu 1500 ° C. Madankollu, l-effiċjenzi ta 'ċikli kbar tal-fwar attwali u turbini tal-gass moderni kbar huma mqabbla sew. [Ċitazzjoni meħtieġa]</v>
      </c>
    </row>
    <row r="7079" ht="15.75" customHeight="1">
      <c r="A7079" s="2" t="s">
        <v>7079</v>
      </c>
      <c r="B7079" s="2" t="str">
        <f>IFERROR(__xludf.DUMMYFUNCTION("GOOGLETRANSLATE(A7079, ""en"", ""mt"")"),"Tipprevjeni l-kompetizzjoni tal-griżmejn maqtugħin")</f>
        <v>Tipprevjeni l-kompetizzjoni tal-griżmejn maqtugħin</v>
      </c>
    </row>
    <row r="7080" ht="15.75" customHeight="1">
      <c r="A7080" s="2" t="s">
        <v>7080</v>
      </c>
      <c r="B7080" s="2" t="str">
        <f>IFERROR(__xludf.DUMMYFUNCTION("GOOGLETRANSLATE(A7080, ""en"", ""mt"")"),"Madame de Pompadour")</f>
        <v>Madame de Pompadour</v>
      </c>
    </row>
    <row r="7081" ht="15.75" customHeight="1">
      <c r="A7081" s="2" t="s">
        <v>7081</v>
      </c>
      <c r="B7081" s="2" t="str">
        <f>IFERROR(__xludf.DUMMYFUNCTION("GOOGLETRANSLATE(A7081, ""en"", ""mt"")"),"Duttrina Monroe")</f>
        <v>Duttrina Monroe</v>
      </c>
    </row>
    <row r="7082" ht="15.75" customHeight="1">
      <c r="A7082" s="2" t="s">
        <v>7082</v>
      </c>
      <c r="B7082" s="2" t="str">
        <f>IFERROR(__xludf.DUMMYFUNCTION("GOOGLETRANSLATE(A7082, ""en"", ""mt"")"),"Il-foresta tropikali tal-Amazon")</f>
        <v>Il-foresta tropikali tal-Amazon</v>
      </c>
    </row>
    <row r="7083" ht="15.75" customHeight="1">
      <c r="A7083" s="2" t="s">
        <v>7083</v>
      </c>
      <c r="B7083" s="2" t="str">
        <f>IFERROR(__xludf.DUMMYFUNCTION("GOOGLETRANSLATE(A7083, ""en"", ""mt"")"),"X'għandek tagħmel Luther biex tevita l-exkomunikazzjoni?")</f>
        <v>X'għandek tagħmel Luther biex tevita l-exkomunikazzjoni?</v>
      </c>
    </row>
    <row r="7084" ht="15.75" customHeight="1">
      <c r="A7084" s="2" t="s">
        <v>7084</v>
      </c>
      <c r="B7084" s="2" t="str">
        <f>IFERROR(__xludf.DUMMYFUNCTION("GOOGLETRANSLATE(A7084, ""en"", ""mt"")"),"kapaċi jiffinanzjaw vjaġġaturi")</f>
        <v>kapaċi jiffinanzjaw vjaġġaturi</v>
      </c>
    </row>
    <row r="7085" ht="15.75" customHeight="1">
      <c r="A7085" s="2" t="s">
        <v>7085</v>
      </c>
      <c r="B7085" s="2" t="str">
        <f>IFERROR(__xludf.DUMMYFUNCTION("GOOGLETRANSLATE(A7085, ""en"", ""mt"")"),"Membri mgħammdin")</f>
        <v>Membri mgħammdin</v>
      </c>
    </row>
    <row r="7086" ht="15.75" customHeight="1">
      <c r="A7086" s="2" t="s">
        <v>7086</v>
      </c>
      <c r="B7086" s="2" t="str">
        <f>IFERROR(__xludf.DUMMYFUNCTION("GOOGLETRANSLATE(A7086, ""en"", ""mt"")"),"Il-klassifikazzjoni tal-aspetti tal-foresta tal-Amażonja hija importanti għall-immappjar liema tip ta 'emissjoni?")</f>
        <v>Il-klassifikazzjoni tal-aspetti tal-foresta tal-Amażonja hija importanti għall-immappjar liema tip ta 'emissjoni?</v>
      </c>
    </row>
    <row r="7087" ht="15.75" customHeight="1">
      <c r="A7087" s="2" t="s">
        <v>7087</v>
      </c>
      <c r="B7087" s="2" t="str">
        <f>IFERROR(__xludf.DUMMYFUNCTION("GOOGLETRANSLATE(A7087, ""en"", ""mt"")"),"F'liema żewġ kodiċi ġew ikkodifikati r-rwoli tal-ispiżjara?")</f>
        <v>F'liema żewġ kodiċi ġew ikkodifikati r-rwoli tal-ispiżjara?</v>
      </c>
    </row>
    <row r="7088" ht="15.75" customHeight="1">
      <c r="A7088" s="2" t="s">
        <v>7088</v>
      </c>
      <c r="B7088" s="2" t="str">
        <f>IFERROR(__xludf.DUMMYFUNCTION("GOOGLETRANSLATE(A7088, ""en"", ""mt"")"),"Il-ħtija timplika tagħmel ħażin")</f>
        <v>Il-ħtija timplika tagħmel ħażin</v>
      </c>
    </row>
    <row r="7089" ht="15.75" customHeight="1">
      <c r="A7089" s="2" t="s">
        <v>7089</v>
      </c>
      <c r="B7089" s="2" t="str">
        <f>IFERROR(__xludf.DUMMYFUNCTION("GOOGLETRANSLATE(A7089, ""en"", ""mt"")"),"Jin Dynasty.")</f>
        <v>Jin Dynasty.</v>
      </c>
    </row>
    <row r="7090" ht="15.75" customHeight="1">
      <c r="A7090" s="2" t="s">
        <v>7090</v>
      </c>
      <c r="B7090" s="2" t="str">
        <f>IFERROR(__xludf.DUMMYFUNCTION("GOOGLETRANSLATE(A7090, ""en"", ""mt"")"),"Min ġie mkeċċi hekk kif skada l-ewwel nofs l-arloġġ?")</f>
        <v>Min ġie mkeċċi hekk kif skada l-ewwel nofs l-arloġġ?</v>
      </c>
    </row>
    <row r="7091" ht="15.75" customHeight="1">
      <c r="A7091" s="2" t="s">
        <v>7091</v>
      </c>
      <c r="B7091" s="2" t="str">
        <f>IFERROR(__xludf.DUMMYFUNCTION("GOOGLETRANSLATE(A7091, ""en"", ""mt"")"),"X'kienet it-tielet belt li kienet ikkunsidrata?")</f>
        <v>X'kienet it-tielet belt li kienet ikkunsidrata?</v>
      </c>
    </row>
    <row r="7092" ht="15.75" customHeight="1">
      <c r="A7092" s="2" t="s">
        <v>7092</v>
      </c>
      <c r="B7092" s="2" t="str">
        <f>IFERROR(__xludf.DUMMYFUNCTION("GOOGLETRANSLATE(A7092, ""en"", ""mt"")"),"Att dwar ir-riċevitur tal-kanali kollha")</f>
        <v>Att dwar ir-riċevitur tal-kanali kollha</v>
      </c>
    </row>
    <row r="7093" ht="15.75" customHeight="1">
      <c r="A7093" s="2" t="s">
        <v>7093</v>
      </c>
      <c r="B7093" s="2" t="str">
        <f>IFERROR(__xludf.DUMMYFUNCTION("GOOGLETRANSLATE(A7093, ""en"", ""mt"")"),"Min se jkun il-produttur eżekuttiv il-ġdid ta 'Doctor Who fl-2018?")</f>
        <v>Min se jkun il-produttur eżekuttiv il-ġdid ta 'Doctor Who fl-2018?</v>
      </c>
    </row>
    <row r="7094" ht="15.75" customHeight="1">
      <c r="A7094" s="2" t="s">
        <v>7094</v>
      </c>
      <c r="B7094" s="2" t="str">
        <f>IFERROR(__xludf.DUMMYFUNCTION("GOOGLETRANSLATE(A7094, ""en"", ""mt"")"),"Il-klima fi Newcastle hija oċeanika (Köppen CFB) u sinifikament aktar ħafifa minn xi postijiet oħra fid-dinja b'latitudni simili, minħabba l-influwenza tat-tisħin tal-fluss tal-Golf (permezz tad-drift tal-Atlantiku tat-Tramuntana). Li tkun fid-dell tax-xi"&amp;"ta tal-Pennines tat-Tramuntana, hija fost l-ibliet l-aktar niexfa fir-Renju Unit. L-estremi tat-temperatura rreġistrati fiċ-Ċentru tat-Temp ta 'Newcastle jinkludu 32.5 ° C (90.5 ° F) matul Awwissu 1990' l isfel għal -12.6 ° C (9.3 ° F) matul Jannar 1982. "&amp;"B'kuntrast ma 'żoni oħra influwenzati mill-fluss tal-Golf, bħalma huma l-iskandinavia interna, bħal skandinavia interna, Newcastle għandu xtiewi ħfief u sjuf li jkessaħ, simili għall-bqija tal-Gżejjer Brittaniċi.")</f>
        <v>Il-klima fi Newcastle hija oċeanika (Köppen CFB) u sinifikament aktar ħafifa minn xi postijiet oħra fid-dinja b'latitudni simili, minħabba l-influwenza tat-tisħin tal-fluss tal-Golf (permezz tad-drift tal-Atlantiku tat-Tramuntana). Li tkun fid-dell tax-xita tal-Pennines tat-Tramuntana, hija fost l-ibliet l-aktar niexfa fir-Renju Unit. L-estremi tat-temperatura rreġistrati fiċ-Ċentru tat-Temp ta 'Newcastle jinkludu 32.5 ° C (90.5 ° F) matul Awwissu 1990' l isfel għal -12.6 ° C (9.3 ° F) matul Jannar 1982. B'kuntrast ma 'żoni oħra influwenzati mill-fluss tal-Golf, bħalma huma l-iskandinavia interna, bħal skandinavia interna, Newcastle għandu xtiewi ħfief u sjuf li jkessaħ, simili għall-bqija tal-Gżejjer Brittaniċi.</v>
      </c>
    </row>
    <row r="7095" ht="15.75" customHeight="1">
      <c r="A7095" s="2" t="s">
        <v>7095</v>
      </c>
      <c r="B7095" s="2" t="str">
        <f>IFERROR(__xludf.DUMMYFUNCTION("GOOGLETRANSLATE(A7095, ""en"", ""mt"")"),"Iż-żejt kien ipprezzat f'dollari, id-dħul reali tal-produtturi taż-żejt naqas")</f>
        <v>Iż-żejt kien ipprezzat f'dollari, id-dħul reali tal-produtturi taż-żejt naqas</v>
      </c>
    </row>
    <row r="7096" ht="15.75" customHeight="1">
      <c r="A7096" s="2" t="s">
        <v>7096</v>
      </c>
      <c r="B7096" s="2" t="str">
        <f>IFERROR(__xludf.DUMMYFUNCTION("GOOGLETRANSLATE(A7096, ""en"", ""mt"")"),"X’sib li jista ’jikkostitwixxi periklu?")</f>
        <v>X’sib li jista ’jikkostitwixxi periklu?</v>
      </c>
    </row>
    <row r="7097" ht="15.75" customHeight="1">
      <c r="A7097" s="2" t="s">
        <v>7097</v>
      </c>
      <c r="B7097" s="2" t="str">
        <f>IFERROR(__xludf.DUMMYFUNCTION("GOOGLETRANSLATE(A7097, ""en"", ""mt"")"),"li ma jkollokx permess ta 'residenza")</f>
        <v>li ma jkollokx permess ta 'residenza</v>
      </c>
    </row>
    <row r="7098" ht="15.75" customHeight="1">
      <c r="A7098" s="2" t="s">
        <v>7098</v>
      </c>
      <c r="B7098" s="2" t="str">
        <f>IFERROR(__xludf.DUMMYFUNCTION("GOOGLETRANSLATE(A7098, ""en"", ""mt"")"),"madwar mija")</f>
        <v>madwar mija</v>
      </c>
    </row>
    <row r="7099" ht="15.75" customHeight="1">
      <c r="A7099" s="2" t="s">
        <v>7099</v>
      </c>
      <c r="B7099" s="2" t="str">
        <f>IFERROR(__xludf.DUMMYFUNCTION("GOOGLETRANSLATE(A7099, ""en"", ""mt"")"),"Minbarra x-xmajjar, x'inhi s-sedimentazzjoni tax-xmajjar?")</f>
        <v>Minbarra x-xmajjar, x'inhi s-sedimentazzjoni tax-xmajjar?</v>
      </c>
    </row>
    <row r="7100" ht="15.75" customHeight="1">
      <c r="A7100" s="2" t="s">
        <v>7100</v>
      </c>
      <c r="B7100" s="2" t="str">
        <f>IFERROR(__xludf.DUMMYFUNCTION("GOOGLETRANSLATE(A7100, ""en"", ""mt"")"),"1835")</f>
        <v>1835</v>
      </c>
    </row>
    <row r="7101" ht="15.75" customHeight="1">
      <c r="A7101" s="2" t="s">
        <v>7101</v>
      </c>
      <c r="B7101" s="2" t="str">
        <f>IFERROR(__xludf.DUMMYFUNCTION("GOOGLETRANSLATE(A7101, ""en"", ""mt"")"),"In-netwerk għandu d-distinzjoni mhux tas-soltu li jkollu affiljati separatament u operati li jservu l-istess suq f'Tampa, Florida (WFTS-TV u WWSB) u Grand Rapids, Michigan (WZZM u WOTV), b'sitwazzjoni analoga li tinqala 'fi Kansas City, Missouri, Missouri"&amp;" (KMBC-TV u KQTV). KQTV huwa liċenzjat lil San Ġużepp, Missouri, li huwa magħżul minn Nielsen bħala suq separat minn Kansas City minkejja li jinsab fi 55 mil (89 km) ta 'xulxin, filwaqt li WWSB u WOTV iservu żoni li ma jirċievu sinjal adegwat minn L-affil"&amp;"jat primarju tal-ABC tas-suq tagħhom (fil-każ tal-WWSB, dan imur lura meta WTSP kien l-affiljat primarju tal-ABC ta 'Tampa qabel l-1994, bl-ewwel wieħed ikun meħtieġ biex iservi l-parti tan-nofsinhar tas-suq ta' Tampa inkluż il-belt tal-istazzjon tal-liċe"&amp;"nzja, Sarasota, Minħabba li t-trasmettitur ta 'WTSP huwa spazjat qasir biex jevita li jinterferixxi mas-sinjal analogu ta' Miami affiljat WPLG - li bħal WTSP, imxandar fuq VHF Channel 10).")</f>
        <v>In-netwerk għandu d-distinzjoni mhux tas-soltu li jkollu affiljati separatament u operati li jservu l-istess suq f'Tampa, Florida (WFTS-TV u WWSB) u Grand Rapids, Michigan (WZZM u WOTV), b'sitwazzjoni analoga li tinqala 'fi Kansas City, Missouri, Missouri (KMBC-TV u KQTV). KQTV huwa liċenzjat lil San Ġużepp, Missouri, li huwa magħżul minn Nielsen bħala suq separat minn Kansas City minkejja li jinsab fi 55 mil (89 km) ta 'xulxin, filwaqt li WWSB u WOTV iservu żoni li ma jirċievu sinjal adegwat minn L-affiljat primarju tal-ABC tas-suq tagħhom (fil-każ tal-WWSB, dan imur lura meta WTSP kien l-affiljat primarju tal-ABC ta 'Tampa qabel l-1994, bl-ewwel wieħed ikun meħtieġ biex iservi l-parti tan-nofsinhar tas-suq ta' Tampa inkluż il-belt tal-istazzjon tal-liċenzja, Sarasota, Minħabba li t-trasmettitur ta 'WTSP huwa spazjat qasir biex jevita li jinterferixxi mas-sinjal analogu ta' Miami affiljat WPLG - li bħal WTSP, imxandar fuq VHF Channel 10).</v>
      </c>
    </row>
    <row r="7102" ht="15.75" customHeight="1">
      <c r="A7102" s="2" t="s">
        <v>7102</v>
      </c>
      <c r="B7102" s="2" t="str">
        <f>IFERROR(__xludf.DUMMYFUNCTION("GOOGLETRANSLATE(A7102, ""en"", ""mt"")"),"X'inhu l-isem tax-xmara li tinsab kompletament ġewwa Jacksonville?")</f>
        <v>X'inhu l-isem tax-xmara li tinsab kompletament ġewwa Jacksonville?</v>
      </c>
    </row>
    <row r="7103" ht="15.75" customHeight="1">
      <c r="A7103" s="2" t="s">
        <v>7103</v>
      </c>
      <c r="B7103" s="2" t="str">
        <f>IFERROR(__xludf.DUMMYFUNCTION("GOOGLETRANSLATE(A7103, ""en"", ""mt"")"),"Liema dokument Olandiż ikkundanna l-Inkwiżizzjoni Spanjola?")</f>
        <v>Liema dokument Olandiż ikkundanna l-Inkwiżizzjoni Spanjola?</v>
      </c>
    </row>
    <row r="7104" ht="15.75" customHeight="1">
      <c r="A7104" s="2" t="s">
        <v>7104</v>
      </c>
      <c r="B7104" s="2" t="str">
        <f>IFERROR(__xludf.DUMMYFUNCTION("GOOGLETRANSLATE(A7104, ""en"", ""mt"")"),"Knisja Kattolika qaddisa (jew universali)")</f>
        <v>Knisja Kattolika qaddisa (jew universali)</v>
      </c>
    </row>
    <row r="7105" ht="15.75" customHeight="1">
      <c r="A7105" s="2" t="s">
        <v>7105</v>
      </c>
      <c r="B7105" s="2" t="str">
        <f>IFERROR(__xludf.DUMMYFUNCTION("GOOGLETRANSLATE(A7105, ""en"", ""mt"")"),"Liema għodda kejjel l-ammont ta 'trab li jivvjaġġa mis-Saħara għall-Amażonja?")</f>
        <v>Liema għodda kejjel l-ammont ta 'trab li jivvjaġġa mis-Saħara għall-Amażonja?</v>
      </c>
    </row>
    <row r="7106" ht="15.75" customHeight="1">
      <c r="A7106" s="2" t="s">
        <v>7106</v>
      </c>
      <c r="B7106" s="2" t="str">
        <f>IFERROR(__xludf.DUMMYFUNCTION("GOOGLETRANSLATE(A7106, ""en"", ""mt"")"),"id-diatom kollu endosymbiont bħala l-kloroplast")</f>
        <v>id-diatom kollu endosymbiont bħala l-kloroplast</v>
      </c>
    </row>
    <row r="7107" ht="15.75" customHeight="1">
      <c r="A7107" s="2" t="s">
        <v>7107</v>
      </c>
      <c r="B7107" s="2" t="str">
        <f>IFERROR(__xludf.DUMMYFUNCTION("GOOGLETRANSLATE(A7107, ""en"", ""mt"")"),"Newcastlegateshead")</f>
        <v>Newcastlegateshead</v>
      </c>
    </row>
    <row r="7108" ht="15.75" customHeight="1">
      <c r="A7108" s="2" t="s">
        <v>7108</v>
      </c>
      <c r="B7108" s="2" t="str">
        <f>IFERROR(__xludf.DUMMYFUNCTION("GOOGLETRANSLATE(A7108, ""en"", ""mt"")"),"X'inhu xi kultant użat interkambjabbli ma '' plastidi '?")</f>
        <v>X'inhu xi kultant użat interkambjabbli ma '' plastidi '?</v>
      </c>
    </row>
    <row r="7109" ht="15.75" customHeight="1">
      <c r="A7109" s="2" t="s">
        <v>7109</v>
      </c>
      <c r="B7109" s="2" t="str">
        <f>IFERROR(__xludf.DUMMYFUNCTION("GOOGLETRANSLATE(A7109, ""en"", ""mt"")"),"Min jista 'jkun akkużat li jakkredita programmi ta' edukazzjoni tal-għalliema?")</f>
        <v>Min jista 'jkun akkużat li jakkredita programmi ta' edukazzjoni tal-għalliema?</v>
      </c>
    </row>
    <row r="7110" ht="15.75" customHeight="1">
      <c r="A7110" s="2" t="s">
        <v>7110</v>
      </c>
      <c r="B7110" s="2" t="str">
        <f>IFERROR(__xludf.DUMMYFUNCTION("GOOGLETRANSLATE(A7110, ""en"", ""mt"")"),"Ir-Renu")</f>
        <v>Ir-Renu</v>
      </c>
    </row>
    <row r="7111" ht="15.75" customHeight="1">
      <c r="A7111" s="2" t="s">
        <v>7111</v>
      </c>
      <c r="B7111" s="2" t="str">
        <f>IFERROR(__xludf.DUMMYFUNCTION("GOOGLETRANSLATE(A7111, ""en"", ""mt"")"),"X'inhu l-kunċett tal-knisja viżibbli u inviżibbli?")</f>
        <v>X'inhu l-kunċett tal-knisja viżibbli u inviżibbli?</v>
      </c>
    </row>
    <row r="7112" ht="15.75" customHeight="1">
      <c r="A7112" s="2" t="s">
        <v>7112</v>
      </c>
      <c r="B7112" s="2" t="str">
        <f>IFERROR(__xludf.DUMMYFUNCTION("GOOGLETRANSLATE(A7112, ""en"", ""mt"")"),"Kull kapitolu għandu numru ta ’awturi li huma responsabbli għall-kitba u l-editjar tal-materjal. Kapitolu tipikament għandu żewġ ""awturi ewlenin li jikkoordinaw"", għaxra sa ħmistax ""awturi ewlenin"", u numru kemmxejn ikbar ta '""awturi li jikkontribwix"&amp;"xu"". L-awturi ewlenin li jikkoordinaw huma responsabbli biex jiġbru l-kontribuzzjonijiet tal-awturi l-oħra, u jiżguraw li jissodisfaw ir-rekwiżiti stilistiċi u l-ifformattjar, u jirrappurtaw lis-siġġijiet tal-grupp ta 'ħidma. L-awturi ewlenin huma respon"&amp;"sabbli biex jiktbu sezzjonijiet ta ’kapitoli. L-awturi li jikkontribwixxu jħejju test, graffs jew dejta għall-inklużjoni mill-awturi ewlenin.")</f>
        <v>Kull kapitolu għandu numru ta ’awturi li huma responsabbli għall-kitba u l-editjar tal-materjal. Kapitolu tipikament għandu żewġ "awturi ewlenin li jikkoordinaw", għaxra sa ħmistax "awturi ewlenin", u numru kemmxejn ikbar ta '"awturi li jikkontribwixxu". L-awturi ewlenin li jikkoordinaw huma responsabbli biex jiġbru l-kontribuzzjonijiet tal-awturi l-oħra, u jiżguraw li jissodisfaw ir-rekwiżiti stilistiċi u l-ifformattjar, u jirrappurtaw lis-siġġijiet tal-grupp ta 'ħidma. L-awturi ewlenin huma responsabbli biex jiktbu sezzjonijiet ta ’kapitoli. L-awturi li jikkontribwixxu jħejju test, graffs jew dejta għall-inklużjoni mill-awturi ewlenin.</v>
      </c>
    </row>
    <row r="7113" ht="15.75" customHeight="1">
      <c r="A7113" s="2" t="s">
        <v>7113</v>
      </c>
      <c r="B7113" s="2" t="str">
        <f>IFERROR(__xludf.DUMMYFUNCTION("GOOGLETRANSLATE(A7113, ""en"", ""mt"")"),"Silikati tal-manjeżju u tal-ħadid jagħmlu l-art tad-dinja ___")</f>
        <v>Silikati tal-manjeżju u tal-ħadid jagħmlu l-art tad-dinja ___</v>
      </c>
    </row>
    <row r="7114" ht="15.75" customHeight="1">
      <c r="A7114" s="2" t="s">
        <v>7114</v>
      </c>
      <c r="B7114" s="2" t="str">
        <f>IFERROR(__xludf.DUMMYFUNCTION("GOOGLETRANSLATE(A7114, ""en"", ""mt"")"),"permess ta 'okkupazzjoni")</f>
        <v>permess ta 'okkupazzjoni</v>
      </c>
    </row>
    <row r="7115" ht="15.75" customHeight="1">
      <c r="A7115" s="2" t="s">
        <v>7115</v>
      </c>
      <c r="B7115" s="2" t="str">
        <f>IFERROR(__xludf.DUMMYFUNCTION("GOOGLETRANSLATE(A7115, ""en"", ""mt"")"),"It-Trofew Vince Lombardi")</f>
        <v>It-Trofew Vince Lombardi</v>
      </c>
    </row>
    <row r="7116" ht="15.75" customHeight="1">
      <c r="A7116" s="2" t="s">
        <v>7116</v>
      </c>
      <c r="B7116" s="2" t="str">
        <f>IFERROR(__xludf.DUMMYFUNCTION("GOOGLETRANSLATE(A7116, ""en"", ""mt"")"),"ħsad fqir")</f>
        <v>ħsad fqir</v>
      </c>
    </row>
    <row r="7117" ht="15.75" customHeight="1">
      <c r="A7117" s="2" t="s">
        <v>7117</v>
      </c>
      <c r="B7117" s="2" t="str">
        <f>IFERROR(__xludf.DUMMYFUNCTION("GOOGLETRANSLATE(A7117, ""en"", ""mt"")"),"Il-kuntatti estensivi tal-Asja u Ewropej tal-Mongoli tal-Mongoli")</f>
        <v>Il-kuntatti estensivi tal-Asja u Ewropej tal-Mongoli tal-Mongoli</v>
      </c>
    </row>
    <row r="7118" ht="15.75" customHeight="1">
      <c r="A7118" s="2" t="s">
        <v>7118</v>
      </c>
      <c r="B7118" s="2" t="str">
        <f>IFERROR(__xludf.DUMMYFUNCTION("GOOGLETRANSLATE(A7118, ""en"", ""mt"")"),"Lehramtstudien (Studji dwar l-Edukazzjoni tat-Tagħlim)")</f>
        <v>Lehramtstudien (Studji dwar l-Edukazzjoni tat-Tagħlim)</v>
      </c>
    </row>
    <row r="7119" ht="15.75" customHeight="1">
      <c r="A7119" s="2" t="s">
        <v>7119</v>
      </c>
      <c r="B7119" s="2" t="str">
        <f>IFERROR(__xludf.DUMMYFUNCTION("GOOGLETRANSLATE(A7119, ""en"", ""mt"")"),"X'kien l-għan tal-proklamazzjoni rjali tal-1763?")</f>
        <v>X'kien l-għan tal-proklamazzjoni rjali tal-1763?</v>
      </c>
    </row>
    <row r="7120" ht="15.75" customHeight="1">
      <c r="A7120" s="2" t="s">
        <v>7120</v>
      </c>
      <c r="B7120" s="2" t="str">
        <f>IFERROR(__xludf.DUMMYFUNCTION("GOOGLETRANSLATE(A7120, ""en"", ""mt"")"),"Liema jum tal-ġimgħa debutt fuq Shark Tank?")</f>
        <v>Liema jum tal-ġimgħa debutt fuq Shark Tank?</v>
      </c>
    </row>
    <row r="7121" ht="15.75" customHeight="1">
      <c r="A7121" s="2" t="s">
        <v>7121</v>
      </c>
      <c r="B7121" s="2" t="str">
        <f>IFERROR(__xludf.DUMMYFUNCTION("GOOGLETRANSLATE(A7121, ""en"", ""mt"")"),"riżorsi mhux tas-soltu")</f>
        <v>riżorsi mhux tas-soltu</v>
      </c>
    </row>
    <row r="7122" ht="15.75" customHeight="1">
      <c r="A7122" s="2" t="s">
        <v>7122</v>
      </c>
      <c r="B7122" s="2" t="str">
        <f>IFERROR(__xludf.DUMMYFUNCTION("GOOGLETRANSLATE(A7122, ""en"", ""mt"")"),"Liema stil ta 'bizzilla huwa maħsub bi żball minn uħud li għandhom influwenza ta' Huguenot?")</f>
        <v>Liema stil ta 'bizzilla huwa maħsub bi żball minn uħud li għandhom influwenza ta' Huguenot?</v>
      </c>
    </row>
    <row r="7123" ht="15.75" customHeight="1">
      <c r="A7123" s="2" t="s">
        <v>7123</v>
      </c>
      <c r="B7123" s="2" t="str">
        <f>IFERROR(__xludf.DUMMYFUNCTION("GOOGLETRANSLATE(A7123, ""en"", ""mt"")"),"Relazzjoni tan-numru mal-valur korrispondenti tiegħu tal-funzjoni totjenti ta 'Euler")</f>
        <v>Relazzjoni tan-numru mal-valur korrispondenti tiegħu tal-funzjoni totjenti ta 'Euler</v>
      </c>
    </row>
    <row r="7124" ht="15.75" customHeight="1">
      <c r="A7124" s="2" t="s">
        <v>7124</v>
      </c>
      <c r="B7124" s="2" t="str">
        <f>IFERROR(__xludf.DUMMYFUNCTION("GOOGLETRANSLATE(A7124, ""en"", ""mt"")"),"X'tip ta 'wirt għandu Tyneside?")</f>
        <v>X'tip ta 'wirt għandu Tyneside?</v>
      </c>
    </row>
    <row r="7125" ht="15.75" customHeight="1">
      <c r="A7125" s="2" t="s">
        <v>7125</v>
      </c>
      <c r="B7125" s="2" t="str">
        <f>IFERROR(__xludf.DUMMYFUNCTION("GOOGLETRANSLATE(A7125, ""en"", ""mt"")"),"tnaqqis fil-pagi")</f>
        <v>tnaqqis fil-pagi</v>
      </c>
    </row>
    <row r="7126" ht="15.75" customHeight="1">
      <c r="A7126" s="2" t="s">
        <v>7126</v>
      </c>
      <c r="B7126" s="2" t="str">
        <f>IFERROR(__xludf.DUMMYFUNCTION("GOOGLETRANSLATE(A7126, ""en"", ""mt"")"),"F'liema lukanda baqgħu l-Panthers għas-Super Bowl?")</f>
        <v>F'liema lukanda baqgħu l-Panthers għas-Super Bowl?</v>
      </c>
    </row>
    <row r="7127" ht="15.75" customHeight="1">
      <c r="A7127" s="2" t="s">
        <v>7127</v>
      </c>
      <c r="B7127" s="2" t="str">
        <f>IFERROR(__xludf.DUMMYFUNCTION("GOOGLETRANSLATE(A7127, ""en"", ""mt"")"),"Kemm hemm ċinemas attwalment alloġġjati fuq sit wieħed?")</f>
        <v>Kemm hemm ċinemas attwalment alloġġjati fuq sit wieħed?</v>
      </c>
    </row>
    <row r="7128" ht="15.75" customHeight="1">
      <c r="A7128" s="2" t="s">
        <v>7128</v>
      </c>
      <c r="B7128" s="2" t="str">
        <f>IFERROR(__xludf.DUMMYFUNCTION("GOOGLETRANSLATE(A7128, ""en"", ""mt"")"),"Skirmish tal-knisja tal-briks")</f>
        <v>Skirmish tal-knisja tal-briks</v>
      </c>
    </row>
    <row r="7129" ht="15.75" customHeight="1">
      <c r="A7129" s="2" t="s">
        <v>7129</v>
      </c>
      <c r="B7129" s="2" t="str">
        <f>IFERROR(__xludf.DUMMYFUNCTION("GOOGLETRANSLATE(A7129, ""en"", ""mt"")"),"Il-pjan li d-delegati qablu li qatt ma kien irratifikat")</f>
        <v>Il-pjan li d-delegati qablu li qatt ma kien irratifikat</v>
      </c>
    </row>
    <row r="7130" ht="15.75" customHeight="1">
      <c r="A7130" s="2" t="s">
        <v>7130</v>
      </c>
      <c r="B7130" s="2" t="str">
        <f>IFERROR(__xludf.DUMMYFUNCTION("GOOGLETRANSLATE(A7130, ""en"", ""mt"")"),"Liema terminu uża għal dak li kien jemmen li se jkunu l-mexxejja futuri tal-umanità?")</f>
        <v>Liema terminu uża għal dak li kien jemmen li se jkunu l-mexxejja futuri tal-umanità?</v>
      </c>
    </row>
    <row r="7131" ht="15.75" customHeight="1">
      <c r="A7131" s="2" t="s">
        <v>7131</v>
      </c>
      <c r="B7131" s="2" t="str">
        <f>IFERROR(__xludf.DUMMYFUNCTION("GOOGLETRANSLATE(A7131, ""en"", ""mt"")"),"X'inhi parti waħda mis-sistema immuni innata li ma tattakkax il-mikrobi direttament?")</f>
        <v>X'inhi parti waħda mis-sistema immuni innata li ma tattakkax il-mikrobi direttament?</v>
      </c>
    </row>
    <row r="7132" ht="15.75" customHeight="1">
      <c r="A7132" s="2" t="s">
        <v>7132</v>
      </c>
      <c r="B7132" s="2" t="str">
        <f>IFERROR(__xludf.DUMMYFUNCTION("GOOGLETRANSLATE(A7132, ""en"", ""mt"")"),"F'liema sena Lavoisier ippubblika x-xogħol tiegħu fuq il-kombustjoni?")</f>
        <v>F'liema sena Lavoisier ippubblika x-xogħol tiegħu fuq il-kombustjoni?</v>
      </c>
    </row>
    <row r="7133" ht="15.75" customHeight="1">
      <c r="A7133" s="2" t="s">
        <v>7133</v>
      </c>
      <c r="B7133" s="2" t="str">
        <f>IFERROR(__xludf.DUMMYFUNCTION("GOOGLETRANSLATE(A7133, ""en"", ""mt"")"),"1500 ° C.")</f>
        <v>1500 ° C.</v>
      </c>
    </row>
    <row r="7134" ht="15.75" customHeight="1">
      <c r="A7134" s="2" t="s">
        <v>7134</v>
      </c>
      <c r="B7134" s="2" t="str">
        <f>IFERROR(__xludf.DUMMYFUNCTION("GOOGLETRANSLATE(A7134, ""en"", ""mt"")"),"Kemm mili kwadru kbir ir-reġjun kellu impatt min-nixfa tal-2010?")</f>
        <v>Kemm mili kwadru kbir ir-reġjun kellu impatt min-nixfa tal-2010?</v>
      </c>
    </row>
    <row r="7135" ht="15.75" customHeight="1">
      <c r="A7135" s="2" t="s">
        <v>7135</v>
      </c>
      <c r="B7135" s="2" t="str">
        <f>IFERROR(__xludf.DUMMYFUNCTION("GOOGLETRANSLATE(A7135, ""en"", ""mt"")"),"Madwar bejn wieħed u ieħor kemm studenti jirreġistraw kull sena fi klassijiet ta 'arti kreattivi u spettakli?")</f>
        <v>Madwar bejn wieħed u ieħor kemm studenti jirreġistraw kull sena fi klassijiet ta 'arti kreattivi u spettakli?</v>
      </c>
    </row>
    <row r="7136" ht="15.75" customHeight="1">
      <c r="A7136" s="2" t="s">
        <v>7136</v>
      </c>
      <c r="B7136" s="2" t="str">
        <f>IFERROR(__xludf.DUMMYFUNCTION("GOOGLETRANSLATE(A7136, ""en"", ""mt"")"),"Liema nies ġabu wieħed mill-ewwel eżempji ta 'diżubbidjenza ċivili?")</f>
        <v>Liema nies ġabu wieħed mill-ewwel eżempji ta 'diżubbidjenza ċivili?</v>
      </c>
    </row>
    <row r="7137" ht="15.75" customHeight="1">
      <c r="A7137" s="2" t="s">
        <v>7137</v>
      </c>
      <c r="B7137" s="2" t="str">
        <f>IFERROR(__xludf.DUMMYFUNCTION("GOOGLETRANSLATE(A7137, ""en"", ""mt"")"),"kitba")</f>
        <v>kitba</v>
      </c>
    </row>
    <row r="7138" ht="15.75" customHeight="1">
      <c r="A7138" s="2" t="s">
        <v>7138</v>
      </c>
      <c r="B7138" s="2" t="str">
        <f>IFERROR(__xludf.DUMMYFUNCTION("GOOGLETRANSLATE(A7138, ""en"", ""mt"")"),"X'jikkawża l-ossiġnu biex tifforma fuq il-metalli?")</f>
        <v>X'jikkawża l-ossiġnu biex tifforma fuq il-metalli?</v>
      </c>
    </row>
    <row r="7139" ht="15.75" customHeight="1">
      <c r="A7139" s="2" t="s">
        <v>7139</v>
      </c>
      <c r="B7139" s="2" t="str">
        <f>IFERROR(__xludf.DUMMYFUNCTION("GOOGLETRANSLATE(A7139, ""en"", ""mt"")"),"Ma kienx sa Jannar 1518 li Friends of Luther tradotta t-teżi tal-95 mil-Latin fil-Ġermaniż u stampat u kkupjathom ħafna, u għamel il-kontroversja waħda mill-ewwel fl-istorja li tkun megħjuna mill-istampar. Fi żmien ġimgħatejn, kopji tat-teżijiet kienu mif"&amp;"ruxa mal-Ġermanja kollha; Fi żmien xahrejn, huma kienu nfirxu madwar l-Ewropa.")</f>
        <v>Ma kienx sa Jannar 1518 li Friends of Luther tradotta t-teżi tal-95 mil-Latin fil-Ġermaniż u stampat u kkupjathom ħafna, u għamel il-kontroversja waħda mill-ewwel fl-istorja li tkun megħjuna mill-istampar. Fi żmien ġimgħatejn, kopji tat-teżijiet kienu mifruxa mal-Ġermanja kollha; Fi żmien xahrejn, huma kienu nfirxu madwar l-Ewropa.</v>
      </c>
    </row>
    <row r="7140" ht="15.75" customHeight="1">
      <c r="A7140" s="2" t="s">
        <v>7140</v>
      </c>
      <c r="B7140" s="2" t="str">
        <f>IFERROR(__xludf.DUMMYFUNCTION("GOOGLETRANSLATE(A7140, ""en"", ""mt"")"),"Matul liema sena qalu li ċ-ċittadini jew il-korporazzjonijiet ma jkunux jistgħu jġibu talbiet kontra partijiet oħra mhux tal-istat?")</f>
        <v>Matul liema sena qalu li ċ-ċittadini jew il-korporazzjonijiet ma jkunux jistgħu jġibu talbiet kontra partijiet oħra mhux tal-istat?</v>
      </c>
    </row>
    <row r="7141" ht="15.75" customHeight="1">
      <c r="A7141" s="2" t="s">
        <v>7141</v>
      </c>
      <c r="B7141" s="2" t="str">
        <f>IFERROR(__xludf.DUMMYFUNCTION("GOOGLETRANSLATE(A7141, ""en"", ""mt"")"),"X’ma jikkostitwixxix bħala diżubbidjenza ċivili?")</f>
        <v>X’ma jikkostitwixxix bħala diżubbidjenza ċivili?</v>
      </c>
    </row>
    <row r="7142" ht="15.75" customHeight="1">
      <c r="A7142" s="2" t="s">
        <v>7142</v>
      </c>
      <c r="B7142" s="2" t="str">
        <f>IFERROR(__xludf.DUMMYFUNCTION("GOOGLETRANSLATE(A7142, ""en"", ""mt"")"),"Standards ta 'sigurtà federali, bħall-istandard tas-sigurtà tal-vetturi bil-mutur federali tal-NHTSA 215 (li għandhom x'jaqsmu ma' bumpers tas-sigurtà), u kumpatti bħall-Mustang I tal-1974 kienu preludju għar-reviżjoni ""Dot"" inaqqsu d-daqs ""tal-kategor"&amp;"iji tal-vetturi. Sal-1977, il-karozzi ta 'daqs sħiħ ta' GM kienu jirriflettu l-kriżi. Sal-1979, kważi l-karozzi Amerikani ""ta 'daqs sħiħ"" kienu naqsu, li jinkludu magni iżgħar u dimensjonijiet iżgħar barra. Chrysler temm il-produzzjoni tas-sedans lussuż"&amp;"i ta 'daqs sħiħ tagħhom fl-aħħar tas-sena tal-mudell tal-1981, u marru minflok għal formazzjoni sħiħa ta' sewqan tar-roti ta 'quddiem għall-1982 (ħlief għad-diplomatiku Dodge tal-korp M / Plymouth Gran Fury u Chrysler New Yorker Fifth Avenue sedans).")</f>
        <v>Standards ta 'sigurtà federali, bħall-istandard tas-sigurtà tal-vetturi bil-mutur federali tal-NHTSA 215 (li għandhom x'jaqsmu ma' bumpers tas-sigurtà), u kumpatti bħall-Mustang I tal-1974 kienu preludju għar-reviżjoni "Dot" inaqqsu d-daqs "tal-kategoriji tal-vetturi. Sal-1977, il-karozzi ta 'daqs sħiħ ta' GM kienu jirriflettu l-kriżi. Sal-1979, kważi l-karozzi Amerikani "ta 'daqs sħiħ" kienu naqsu, li jinkludu magni iżgħar u dimensjonijiet iżgħar barra. Chrysler temm il-produzzjoni tas-sedans lussużi ta 'daqs sħiħ tagħhom fl-aħħar tas-sena tal-mudell tal-1981, u marru minflok għal formazzjoni sħiħa ta' sewqan tar-roti ta 'quddiem għall-1982 (ħlief għad-diplomatiku Dodge tal-korp M / Plymouth Gran Fury u Chrysler New Yorker Fifth Avenue sedans).</v>
      </c>
    </row>
    <row r="7143" ht="15.75" customHeight="1">
      <c r="A7143" s="2" t="s">
        <v>7143</v>
      </c>
      <c r="B7143" s="2" t="str">
        <f>IFERROR(__xludf.DUMMYFUNCTION("GOOGLETRANSLATE(A7143, ""en"", ""mt"")"),"X’installa n-netwerk fl-1999")</f>
        <v>X’installa n-netwerk fl-1999</v>
      </c>
    </row>
    <row r="7144" ht="15.75" customHeight="1">
      <c r="A7144" s="2" t="s">
        <v>7144</v>
      </c>
      <c r="B7144" s="2" t="str">
        <f>IFERROR(__xludf.DUMMYFUNCTION("GOOGLETRANSLATE(A7144, ""en"", ""mt"")"),"Kemm hi popolata Victoria meta mqabbla ma 'stati Awstraljani oħra?")</f>
        <v>Kemm hi popolata Victoria meta mqabbla ma 'stati Awstraljani oħra?</v>
      </c>
    </row>
    <row r="7145" ht="15.75" customHeight="1">
      <c r="A7145" s="2" t="s">
        <v>7145</v>
      </c>
      <c r="B7145" s="2" t="str">
        <f>IFERROR(__xludf.DUMMYFUNCTION("GOOGLETRANSLATE(A7145, ""en"", ""mt"")"),"Għaliex l-Uighurs kienu kklassifikati ogħla mill-Mongoli?")</f>
        <v>Għaliex l-Uighurs kienu kklassifikati ogħla mill-Mongoli?</v>
      </c>
    </row>
    <row r="7146" ht="15.75" customHeight="1">
      <c r="A7146" s="2" t="s">
        <v>7146</v>
      </c>
      <c r="B7146" s="2" t="str">
        <f>IFERROR(__xludf.DUMMYFUNCTION("GOOGLETRANSLATE(A7146, ""en"", ""mt"")"),"Riżultati tal-mudell")</f>
        <v>Riżultati tal-mudell</v>
      </c>
    </row>
    <row r="7147" ht="15.75" customHeight="1">
      <c r="A7147" s="2" t="s">
        <v>7147</v>
      </c>
      <c r="B7147" s="2" t="str">
        <f>IFERROR(__xludf.DUMMYFUNCTION("GOOGLETRANSLATE(A7147, ""en"", ""mt"")"),"madwar 300-600 nanometru fid-dijametru")</f>
        <v>madwar 300-600 nanometru fid-dijametru</v>
      </c>
    </row>
    <row r="7148" ht="15.75" customHeight="1">
      <c r="A7148" s="2" t="s">
        <v>7148</v>
      </c>
      <c r="B7148" s="2" t="str">
        <f>IFERROR(__xludf.DUMMYFUNCTION("GOOGLETRANSLATE(A7148, ""en"", ""mt"")"),"86 km twil")</f>
        <v>86 km twil</v>
      </c>
    </row>
    <row r="7149" ht="15.75" customHeight="1">
      <c r="A7149" s="2" t="s">
        <v>7149</v>
      </c>
      <c r="B7149" s="2" t="str">
        <f>IFERROR(__xludf.DUMMYFUNCTION("GOOGLETRANSLATE(A7149, ""en"", ""mt"")"),"Peyton Manning")</f>
        <v>Peyton Manning</v>
      </c>
    </row>
    <row r="7150" ht="15.75" customHeight="1">
      <c r="A7150" s="2" t="s">
        <v>7150</v>
      </c>
      <c r="B7150" s="2" t="str">
        <f>IFERROR(__xludf.DUMMYFUNCTION("GOOGLETRANSLATE(A7150, ""en"", ""mt"")"),"X'inhi r-Repubblika tal-Kenja msemmija wara?")</f>
        <v>X'inhi r-Repubblika tal-Kenja msemmija wara?</v>
      </c>
    </row>
    <row r="7151" ht="15.75" customHeight="1">
      <c r="A7151" s="2" t="s">
        <v>7151</v>
      </c>
      <c r="B7151" s="2" t="str">
        <f>IFERROR(__xludf.DUMMYFUNCTION("GOOGLETRANSLATE(A7151, ""en"", ""mt"")"),"Y. Pestis")</f>
        <v>Y. Pestis</v>
      </c>
    </row>
    <row r="7152" ht="15.75" customHeight="1">
      <c r="A7152" s="2" t="s">
        <v>7152</v>
      </c>
      <c r="B7152" s="2" t="str">
        <f>IFERROR(__xludf.DUMMYFUNCTION("GOOGLETRANSLATE(A7152, ""en"", ""mt"")"),"Imsejjaħ wara r-Reġina Victoria u l-Prinċep Albert")</f>
        <v>Imsejjaħ wara r-Reġina Victoria u l-Prinċep Albert</v>
      </c>
    </row>
    <row r="7153" ht="15.75" customHeight="1">
      <c r="A7153" s="2" t="s">
        <v>7153</v>
      </c>
      <c r="B7153" s="2" t="str">
        <f>IFERROR(__xludf.DUMMYFUNCTION("GOOGLETRANSLATE(A7153, ""en"", ""mt"")"),"Afrikans")</f>
        <v>Afrikans</v>
      </c>
    </row>
    <row r="7154" ht="15.75" customHeight="1">
      <c r="A7154" s="2" t="s">
        <v>7154</v>
      </c>
      <c r="B7154" s="2" t="str">
        <f>IFERROR(__xludf.DUMMYFUNCTION("GOOGLETRANSLATE(A7154, ""en"", ""mt"")"),"biedja")</f>
        <v>biedja</v>
      </c>
    </row>
    <row r="7155" ht="15.75" customHeight="1">
      <c r="A7155" s="2" t="s">
        <v>7155</v>
      </c>
      <c r="B7155" s="2" t="str">
        <f>IFERROR(__xludf.DUMMYFUNCTION("GOOGLETRANSLATE(A7155, ""en"", ""mt"")"),"Kemm ikunu akbar popolazzjonijiet ta 'predaturi ta' cicada jekk tifqigħat ta 'cicada seħħew f'intervalli ta' 14 u 15-il sena?")</f>
        <v>Kemm ikunu akbar popolazzjonijiet ta 'predaturi ta' cicada jekk tifqigħat ta 'cicada seħħew f'intervalli ta' 14 u 15-il sena?</v>
      </c>
    </row>
    <row r="7156" ht="15.75" customHeight="1">
      <c r="A7156" s="2" t="s">
        <v>7156</v>
      </c>
      <c r="B7156" s="2" t="str">
        <f>IFERROR(__xludf.DUMMYFUNCTION("GOOGLETRANSLATE(A7156, ""en"", ""mt"")"),"Min ABC biegħ id-drittijiet lil uliedi kollha u ħajja waħda biex ngħixu?")</f>
        <v>Min ABC biegħ id-drittijiet lil uliedi kollha u ħajja waħda biex ngħixu?</v>
      </c>
    </row>
    <row r="7157" ht="15.75" customHeight="1">
      <c r="A7157" s="2" t="s">
        <v>7157</v>
      </c>
      <c r="B7157" s="2" t="str">
        <f>IFERROR(__xludf.DUMMYFUNCTION("GOOGLETRANSLATE(A7157, ""en"", ""mt"")"),"X'tip ta 'immaġini ta' Luther intużaw biex jirreklamaw il-Protestantiżmu?")</f>
        <v>X'tip ta 'immaġini ta' Luther intużaw biex jirreklamaw il-Protestantiżmu?</v>
      </c>
    </row>
    <row r="7158" ht="15.75" customHeight="1">
      <c r="A7158" s="2" t="s">
        <v>7158</v>
      </c>
      <c r="B7158" s="2" t="str">
        <f>IFERROR(__xludf.DUMMYFUNCTION("GOOGLETRANSLATE(A7158, ""en"", ""mt"")"),"Lbies ta 'taħt imkessaħ bl-ilma")</f>
        <v>Lbies ta 'taħt imkessaħ bl-ilma</v>
      </c>
    </row>
    <row r="7159" ht="15.75" customHeight="1">
      <c r="A7159" s="2" t="s">
        <v>7159</v>
      </c>
      <c r="B7159" s="2" t="str">
        <f>IFERROR(__xludf.DUMMYFUNCTION("GOOGLETRANSLATE(A7159, ""en"", ""mt"")"),"Liema tifel maskili ta 'Ghengis Khan u Börte twieled l-aħħar?")</f>
        <v>Liema tifel maskili ta 'Ghengis Khan u Börte twieled l-aħħar?</v>
      </c>
    </row>
    <row r="7160" ht="15.75" customHeight="1">
      <c r="A7160" s="2" t="s">
        <v>7160</v>
      </c>
      <c r="B7160" s="2" t="str">
        <f>IFERROR(__xludf.DUMMYFUNCTION("GOOGLETRANSLATE(A7160, ""en"", ""mt"")"),"2.45 A.M.")</f>
        <v>2.45 A.M.</v>
      </c>
    </row>
    <row r="7161" ht="15.75" customHeight="1">
      <c r="A7161" s="2" t="s">
        <v>7161</v>
      </c>
      <c r="B7161" s="2" t="str">
        <f>IFERROR(__xludf.DUMMYFUNCTION("GOOGLETRANSLATE(A7161, ""en"", ""mt"")"),"it-twemmin tagħhom fil-validità tal-kuntratt soċjali")</f>
        <v>it-twemmin tagħhom fil-validità tal-kuntratt soċjali</v>
      </c>
    </row>
    <row r="7162" ht="15.75" customHeight="1">
      <c r="A7162" s="2" t="s">
        <v>7162</v>
      </c>
      <c r="B7162" s="2" t="str">
        <f>IFERROR(__xludf.DUMMYFUNCTION("GOOGLETRANSLATE(A7162, ""en"", ""mt"")"),"ħtieġa ewlenija għall-ammissjoni għall-istandard wieħed (l-ewwel grad)")</f>
        <v>ħtieġa ewlenija għall-ammissjoni għall-istandard wieħed (l-ewwel grad)</v>
      </c>
    </row>
    <row r="7163" ht="15.75" customHeight="1">
      <c r="A7163" s="2" t="s">
        <v>7163</v>
      </c>
      <c r="B7163" s="2" t="str">
        <f>IFERROR(__xludf.DUMMYFUNCTION("GOOGLETRANSLATE(A7163, ""en"", ""mt"")"),"Awwissu 2010")</f>
        <v>Awwissu 2010</v>
      </c>
    </row>
    <row r="7164" ht="15.75" customHeight="1">
      <c r="A7164" s="2" t="s">
        <v>7164</v>
      </c>
      <c r="B7164" s="2" t="str">
        <f>IFERROR(__xludf.DUMMYFUNCTION("GOOGLETRANSLATE(A7164, ""en"", ""mt"")"),"Numru Prim")</f>
        <v>Numru Prim</v>
      </c>
    </row>
    <row r="7165" ht="15.75" customHeight="1">
      <c r="A7165" s="2" t="s">
        <v>7165</v>
      </c>
      <c r="B7165" s="2" t="str">
        <f>IFERROR(__xludf.DUMMYFUNCTION("GOOGLETRANSLATE(A7165, ""en"", ""mt"")"),"Il-Konferenza tal-UMC tal-Baltimore-Washington")</f>
        <v>Il-Konferenza tal-UMC tal-Baltimore-Washington</v>
      </c>
    </row>
    <row r="7166" ht="15.75" customHeight="1">
      <c r="A7166" s="2" t="s">
        <v>7166</v>
      </c>
      <c r="B7166" s="2" t="str">
        <f>IFERROR(__xludf.DUMMYFUNCTION("GOOGLETRANSLATE(A7166, ""en"", ""mt"")"),"Għoli ħafna")</f>
        <v>Għoli ħafna</v>
      </c>
    </row>
    <row r="7167" ht="15.75" customHeight="1">
      <c r="A7167" s="2" t="s">
        <v>7167</v>
      </c>
      <c r="B7167" s="2" t="str">
        <f>IFERROR(__xludf.DUMMYFUNCTION("GOOGLETRANSLATE(A7167, ""en"", ""mt"")"),"Kemm modi Luther jiġġustifika l-oppożizzjoni tiegħu għar-rewwixta?")</f>
        <v>Kemm modi Luther jiġġustifika l-oppożizzjoni tiegħu għar-rewwixta?</v>
      </c>
    </row>
    <row r="7168" ht="15.75" customHeight="1">
      <c r="A7168" s="2" t="s">
        <v>7168</v>
      </c>
      <c r="B7168" s="2" t="str">
        <f>IFERROR(__xludf.DUMMYFUNCTION("GOOGLETRANSLATE(A7168, ""en"", ""mt"")"),"Liema drama minn Aaron Ortografija ddebutta fuq ABC fis-snin 80?")</f>
        <v>Liema drama minn Aaron Ortografija ddebutta fuq ABC fis-snin 80?</v>
      </c>
    </row>
    <row r="7169" ht="15.75" customHeight="1">
      <c r="A7169" s="2" t="s">
        <v>7169</v>
      </c>
      <c r="B7169" s="2" t="str">
        <f>IFERROR(__xludf.DUMMYFUNCTION("GOOGLETRANSLATE(A7169, ""en"", ""mt"")"),"Novembru 2006")</f>
        <v>Novembru 2006</v>
      </c>
    </row>
    <row r="7170" ht="15.75" customHeight="1">
      <c r="A7170" s="2" t="s">
        <v>7170</v>
      </c>
      <c r="B7170" s="2" t="str">
        <f>IFERROR(__xludf.DUMMYFUNCTION("GOOGLETRANSLATE(A7170, ""en"", ""mt"")"),"il-pulizija u l-forzi armati")</f>
        <v>il-pulizija u l-forzi armati</v>
      </c>
    </row>
    <row r="7171" ht="15.75" customHeight="1">
      <c r="A7171" s="2" t="s">
        <v>7171</v>
      </c>
      <c r="B7171" s="2" t="str">
        <f>IFERROR(__xludf.DUMMYFUNCTION("GOOGLETRANSLATE(A7171, ""en"", ""mt"")"),"il-wieqfa")</f>
        <v>il-wieqfa</v>
      </c>
    </row>
    <row r="7172" ht="15.75" customHeight="1">
      <c r="A7172" s="2" t="s">
        <v>7172</v>
      </c>
      <c r="B7172" s="2" t="str">
        <f>IFERROR(__xludf.DUMMYFUNCTION("GOOGLETRANSLATE(A7172, ""en"", ""mt"")"),"indaqs")</f>
        <v>indaqs</v>
      </c>
    </row>
    <row r="7173" ht="15.75" customHeight="1">
      <c r="A7173" s="2" t="s">
        <v>7173</v>
      </c>
      <c r="B7173" s="2" t="str">
        <f>IFERROR(__xludf.DUMMYFUNCTION("GOOGLETRANSLATE(A7173, ""en"", ""mt"")"),"Liema battalja barra l-Belt ta 'Quebec tilfu l-Ingliżi fl-1760?")</f>
        <v>Liema battalja barra l-Belt ta 'Quebec tilfu l-Ingliżi fl-1760?</v>
      </c>
    </row>
    <row r="7174" ht="15.75" customHeight="1">
      <c r="A7174" s="2" t="s">
        <v>7174</v>
      </c>
      <c r="B7174" s="2" t="str">
        <f>IFERROR(__xludf.DUMMYFUNCTION("GOOGLETRANSLATE(A7174, ""en"", ""mt"")"),"Luther kien l-iktar awtur li qara l-ġenerazzjoni tiegħu, u fil-Ġermanja huwa akkwista l-istatus ta 'profeta. Skond il-fehma prevalenti fost l-istoriċi, ir-retorika anti-Lhudija tiegħu kkontribwixxiet b'mod sinifikanti għall-iżvilupp ta 'antisemitiżmu fil-"&amp;"Ġermanja, u fis-snin 30 u 1940 ipprovdew ""irfid ideali"" għall-attakki tan-Nazi fuq il-Lhud. Reinhold Lewin jikteb li kull min ""kiteb kontra l-Lhud għal kwalunkwe raġuni emmen li kellu d-dritt li jiġġustifika lilu nnifsu billi jirreferi trijonfanti għal"&amp;" Luther."" Skond Michael, kważi kull ktieb anti-Lhudi stampat fit-Tielet Reich kien fih referenzi għal u kwotazzjonijiet minn Luther. Heinrich Himmler kiteb b'mod ammirabbli mill-kitbiet u l-priedki tiegħu fuq il-Lhud fl-1940. Il-belt ta 'Nuremberg ippreż"&amp;"entat l-ewwel edizzjoni ta' On The Lhud u l-gideb tagħhom lil Julius Streicher, editur tal-gazzetta Nażista Der Stürmer, f'għeluq l-1937 fl-1937; Il-gazzetta ddeskrivietha bħala l-iktar passaġġ antisemitiku radikalment li qatt ġie ppubblikat. Ġie esebit p"&amp;"ubblikament f'każ tal-ħġieġ fil-manifestazzjonijiet ta 'Nuremberg u kkwotat fi spjegazzjoni ta '54 paġna tal-liġi ta' Aryan minn Dr E.H. Schulz u Dr R. Frercks.")</f>
        <v>Luther kien l-iktar awtur li qara l-ġenerazzjoni tiegħu, u fil-Ġermanja huwa akkwista l-istatus ta 'profeta. Skond il-fehma prevalenti fost l-istoriċi, ir-retorika anti-Lhudija tiegħu kkontribwixxiet b'mod sinifikanti għall-iżvilupp ta 'antisemitiżmu fil-Ġermanja, u fis-snin 30 u 1940 ipprovdew "irfid ideali" għall-attakki tan-Nazi fuq il-Lhud. Reinhold Lewin jikteb li kull min "kiteb kontra l-Lhud għal kwalunkwe raġuni emmen li kellu d-dritt li jiġġustifika lilu nnifsu billi jirreferi trijonfanti għal Luther." Skond Michael, kważi kull ktieb anti-Lhudi stampat fit-Tielet Reich kien fih referenzi għal u kwotazzjonijiet minn Luther. Heinrich Himmler kiteb b'mod ammirabbli mill-kitbiet u l-priedki tiegħu fuq il-Lhud fl-1940. Il-belt ta 'Nuremberg ippreżentat l-ewwel edizzjoni ta' On The Lhud u l-gideb tagħhom lil Julius Streicher, editur tal-gazzetta Nażista Der Stürmer, f'għeluq l-1937 fl-1937; Il-gazzetta ddeskrivietha bħala l-iktar passaġġ antisemitiku radikalment li qatt ġie ppubblikat. Ġie esebit pubblikament f'każ tal-ħġieġ fil-manifestazzjonijiet ta 'Nuremberg u kkwotat fi spjegazzjoni ta '54 paġna tal-liġi ta' Aryan minn Dr E.H. Schulz u Dr R. Frercks.</v>
      </c>
    </row>
    <row r="7175" ht="15.75" customHeight="1">
      <c r="A7175" s="2" t="s">
        <v>7175</v>
      </c>
      <c r="B7175" s="2" t="str">
        <f>IFERROR(__xludf.DUMMYFUNCTION("GOOGLETRANSLATE(A7175, ""en"", ""mt"")"),"Trasmissjoni orjentata lejn il-konnessjoni teħtieġ fażi ta 'setup f'kull punt involut qabel ma jiġi trasferit kwalunkwe pakkett biex jistabbilixxi l-parametri tal-komunikazzjoni. Il-pakketti jinkludu identifikatur tal-konnessjoni aktar milli informazzjoni"&amp;" dwar l-indirizz u huma nnegozjati bejn il-punti finali sabiex dawn jiġu kkonsenjati fl-ordni u bl-iċċekkjar tal-iżbalji. L-informazzjoni dwar l-indirizz hija trasferita biss għal kull għoqda matul il-fażi ta 'twaqqif ta' konnessjoni, meta tiġi skoperta r"&amp;"-rotta lejn id-destinazzjoni u dħul jiġi miżjud mat-tabella tal-iswiċċ f'kull nodu tan-netwerk li minnu tgħaddi l-konnessjoni. Il-protokolli tas-sinjalar użati jippermettu li l-applikazzjoni tispeċifika r-rekwiżiti tagħha u tiskopri parametri tal-link. Va"&amp;"luri aċċettabbli għall-parametri tas-servizz jistgħu jiġu nnegozjati. Ir-rotta ta 'pakkett teħtieġ li l-għoqda tfittex l-ID tal-konnessjoni f'tabella. L-intestatura tal-pakkett tista 'tkun żgħira, peress li teħtieġ biss li tinkludi dan il-kodiċi u kwalunk"&amp;"we informazzjoni, bħal tul, timestamp, jew numru ta' sekwenza, li huwa differenti għal pakketti differenti.")</f>
        <v>Trasmissjoni orjentata lejn il-konnessjoni teħtieġ fażi ta 'setup f'kull punt involut qabel ma jiġi trasferit kwalunkwe pakkett biex jistabbilixxi l-parametri tal-komunikazzjoni. Il-pakketti jinkludu identifikatur tal-konnessjoni aktar milli informazzjoni dwar l-indirizz u huma nnegozjati bejn il-punti finali sabiex dawn jiġu kkonsenjati fl-ordni u bl-iċċekkjar tal-iżbalji. L-informazzjoni dwar l-indirizz hija trasferita biss għal kull għoqda matul il-fażi ta 'twaqqif ta' konnessjoni, meta tiġi skoperta r-rotta lejn id-destinazzjoni u dħul jiġi miżjud mat-tabella tal-iswiċċ f'kull nodu tan-netwerk li minnu tgħaddi l-konnessjoni. Il-protokolli tas-sinjalar użati jippermettu li l-applikazzjoni tispeċifika r-rekwiżiti tagħha u tiskopri parametri tal-link. Valuri aċċettabbli għall-parametri tas-servizz jistgħu jiġu nnegozjati. Ir-rotta ta 'pakkett teħtieġ li l-għoqda tfittex l-ID tal-konnessjoni f'tabella. L-intestatura tal-pakkett tista 'tkun żgħira, peress li teħtieġ biss li tinkludi dan il-kodiċi u kwalunkwe informazzjoni, bħal tul, timestamp, jew numru ta' sekwenza, li huwa differenti għal pakketti differenti.</v>
      </c>
    </row>
    <row r="7176" ht="15.75" customHeight="1">
      <c r="A7176" s="2" t="s">
        <v>7176</v>
      </c>
      <c r="B7176" s="2" t="str">
        <f>IFERROR(__xludf.DUMMYFUNCTION("GOOGLETRANSLATE(A7176, ""en"", ""mt"")"),"Il-Festival tal-Birra Newcastle, organizzat minn CaMRA, iseħħ f'April. F'Mejju, Newcastle u Gateshead jospitaw il-Festival tal-Evolution, festival tal-mużika li sar fuq il-Quaysides ta 'Newcastle u Gateshead fuq il-Holiday Bank Spring, b'wirjiet minn atti"&amp;" mid-dinja tal-mużika rock, indie u dance. Il-Biennali AV Festival ta 'l-Art Elettronika Internazzjonali, li fih esibizzjonijiet, kunċerti, konferenzi u screenings tal-films, sar f'Marzu. L-Expo Art tal-Grigal, festival tal-arti u d-disinn mir-reġjuni art"&amp;"isti professjonali, isir fl-aħħar ta 'Mejju. Kul! Newcastlegateshead, festival ta 'ikel u xorb, jibda għal 2 ġimgħat kull sena f'nofs Ġunju.")</f>
        <v>Il-Festival tal-Birra Newcastle, organizzat minn CaMRA, iseħħ f'April. F'Mejju, Newcastle u Gateshead jospitaw il-Festival tal-Evolution, festival tal-mużika li sar fuq il-Quaysides ta 'Newcastle u Gateshead fuq il-Holiday Bank Spring, b'wirjiet minn atti mid-dinja tal-mużika rock, indie u dance. Il-Biennali AV Festival ta 'l-Art Elettronika Internazzjonali, li fih esibizzjonijiet, kunċerti, konferenzi u screenings tal-films, sar f'Marzu. L-Expo Art tal-Grigal, festival tal-arti u d-disinn mir-reġjuni artisti professjonali, isir fl-aħħar ta 'Mejju. Kul! Newcastlegateshead, festival ta 'ikel u xorb, jibda għal 2 ġimgħat kull sena f'nofs Ġunju.</v>
      </c>
    </row>
    <row r="7177" ht="15.75" customHeight="1">
      <c r="A7177" s="2" t="s">
        <v>7177</v>
      </c>
      <c r="B7177" s="2" t="str">
        <f>IFERROR(__xludf.DUMMYFUNCTION("GOOGLETRANSLATE(A7177, ""en"", ""mt"")"),"Cam Newton")</f>
        <v>Cam Newton</v>
      </c>
    </row>
    <row r="7178" ht="15.75" customHeight="1">
      <c r="A7178" s="2" t="s">
        <v>7178</v>
      </c>
      <c r="B7178" s="2" t="str">
        <f>IFERROR(__xludf.DUMMYFUNCTION("GOOGLETRANSLATE(A7178, ""en"", ""mt"")"),"Liema Doctor Who Show ġie kkanċellat għaliex kien ikkunsidrat razzist?")</f>
        <v>Liema Doctor Who Show ġie kkanċellat għaliex kien ikkunsidrat razzist?</v>
      </c>
    </row>
    <row r="7179" ht="15.75" customHeight="1">
      <c r="A7179" s="2" t="s">
        <v>7179</v>
      </c>
      <c r="B7179" s="2" t="str">
        <f>IFERROR(__xludf.DUMMYFUNCTION("GOOGLETRANSLATE(A7179, ""en"", ""mt"")"),"Meta twaqqfet l-FIS?")</f>
        <v>Meta twaqqfet l-FIS?</v>
      </c>
    </row>
    <row r="7180" ht="15.75" customHeight="1">
      <c r="A7180" s="2" t="s">
        <v>7180</v>
      </c>
      <c r="B7180" s="2" t="str">
        <f>IFERROR(__xludf.DUMMYFUNCTION("GOOGLETRANSLATE(A7180, ""en"", ""mt"")"),"X'tip ta 'burokrazija l-Istitut Normanni?")</f>
        <v>X'tip ta 'burokrazija l-Istitut Normanni?</v>
      </c>
    </row>
    <row r="7181" ht="15.75" customHeight="1">
      <c r="A7181" s="2" t="s">
        <v>7181</v>
      </c>
      <c r="B7181" s="2" t="str">
        <f>IFERROR(__xludf.DUMMYFUNCTION("GOOGLETRANSLATE(A7181, ""en"", ""mt"")"),"Liema pajjiżi jużaw is-salib aħdar Grieg bħala simbolu tal-ispiżerija?")</f>
        <v>Liema pajjiżi jużaw is-salib aħdar Grieg bħala simbolu tal-ispiżerija?</v>
      </c>
    </row>
    <row r="7182" ht="15.75" customHeight="1">
      <c r="A7182" s="2" t="s">
        <v>7182</v>
      </c>
      <c r="B7182" s="2" t="str">
        <f>IFERROR(__xludf.DUMMYFUNCTION("GOOGLETRANSLATE(A7182, ""en"", ""mt"")"),"pjan tal-lezzjoni")</f>
        <v>pjan tal-lezzjoni</v>
      </c>
    </row>
    <row r="7183" ht="15.75" customHeight="1">
      <c r="A7183" s="2" t="s">
        <v>7183</v>
      </c>
      <c r="B7183" s="2" t="str">
        <f>IFERROR(__xludf.DUMMYFUNCTION("GOOGLETRANSLATE(A7183, ""en"", ""mt"")"),"X'kienet l-iktar skoperta importanti li wasslet għall-fehim li l-litosfera tad-Dinja hija separata fi pjanċi tettoniċi?")</f>
        <v>X'kienet l-iktar skoperta importanti li wasslet għall-fehim li l-litosfera tad-Dinja hija separata fi pjanċi tettoniċi?</v>
      </c>
    </row>
    <row r="7184" ht="15.75" customHeight="1">
      <c r="A7184" s="2" t="s">
        <v>7184</v>
      </c>
      <c r="B7184" s="2" t="str">
        <f>IFERROR(__xludf.DUMMYFUNCTION("GOOGLETRANSLATE(A7184, ""en"", ""mt"")"),"fil-biċċa l-kbira numru ewlieni")</f>
        <v>fil-biċċa l-kbira numru ewlieni</v>
      </c>
    </row>
    <row r="7185" ht="15.75" customHeight="1">
      <c r="A7185" s="2" t="s">
        <v>7185</v>
      </c>
      <c r="B7185" s="2" t="str">
        <f>IFERROR(__xludf.DUMMYFUNCTION("GOOGLETRANSLATE(A7185, ""en"", ""mt"")"),"Liema nobbli għen biex jistabbilixxi l-ftehim Huguenot f'Saarland?")</f>
        <v>Liema nobbli għen biex jistabbilixxi l-ftehim Huguenot f'Saarland?</v>
      </c>
    </row>
    <row r="7186" ht="15.75" customHeight="1">
      <c r="A7186" s="2" t="s">
        <v>7186</v>
      </c>
      <c r="B7186" s="2" t="str">
        <f>IFERROR(__xludf.DUMMYFUNCTION("GOOGLETRANSLATE(A7186, ""en"", ""mt"")"),"Albarellos mis-sekli 16 u 17, kotba ta ’preskrizzjoni qodma u drogi antiki")</f>
        <v>Albarellos mis-sekli 16 u 17, kotba ta ’preskrizzjoni qodma u drogi antiki</v>
      </c>
    </row>
    <row r="7187" ht="15.75" customHeight="1">
      <c r="A7187" s="2" t="s">
        <v>7187</v>
      </c>
      <c r="B7187" s="2" t="str">
        <f>IFERROR(__xludf.DUMMYFUNCTION("GOOGLETRANSLATE(A7187, ""en"", ""mt"")"),"Sal-età ta '16")</f>
        <v>Sal-età ta '16</v>
      </c>
    </row>
    <row r="7188" ht="15.75" customHeight="1">
      <c r="A7188" s="2" t="s">
        <v>7188</v>
      </c>
      <c r="B7188" s="2" t="str">
        <f>IFERROR(__xludf.DUMMYFUNCTION("GOOGLETRANSLATE(A7188, ""en"", ""mt"")"),"Liema isem ta 'era Ċiniża adotta Kublai?")</f>
        <v>Liema isem ta 'era Ċiniża adotta Kublai?</v>
      </c>
    </row>
    <row r="7189" ht="15.75" customHeight="1">
      <c r="A7189" s="2" t="s">
        <v>7189</v>
      </c>
      <c r="B7189" s="2" t="str">
        <f>IFERROR(__xludf.DUMMYFUNCTION("GOOGLETRANSLATE(A7189, ""en"", ""mt"")"),"naqqsu l-metaboliżmu tal-annimal")</f>
        <v>naqqsu l-metaboliżmu tal-annimal</v>
      </c>
    </row>
    <row r="7190" ht="15.75" customHeight="1">
      <c r="A7190" s="2" t="s">
        <v>7190</v>
      </c>
      <c r="B7190" s="2" t="str">
        <f>IFERROR(__xludf.DUMMYFUNCTION("GOOGLETRANSLATE(A7190, ""en"", ""mt"")"),"Minn fejn bagħat l-ewwel vjeġġ ta 'minerali?")</f>
        <v>Minn fejn bagħat l-ewwel vjeġġ ta 'minerali?</v>
      </c>
    </row>
    <row r="7191" ht="15.75" customHeight="1">
      <c r="A7191" s="2" t="s">
        <v>7191</v>
      </c>
      <c r="B7191" s="2" t="str">
        <f>IFERROR(__xludf.DUMMYFUNCTION("GOOGLETRANSLATE(A7191, ""en"", ""mt"")"),"Żgura li fl-interpretazzjoni u l-applikazzjoni tat-trattati tkun osservata l-liġi")</f>
        <v>Żgura li fl-interpretazzjoni u l-applikazzjoni tat-trattati tkun osservata l-liġi</v>
      </c>
    </row>
    <row r="7192" ht="15.75" customHeight="1">
      <c r="A7192" s="2" t="s">
        <v>7192</v>
      </c>
      <c r="B7192" s="2" t="str">
        <f>IFERROR(__xludf.DUMMYFUNCTION("GOOGLETRANSLATE(A7192, ""en"", ""mt"")"),"munita")</f>
        <v>munita</v>
      </c>
    </row>
    <row r="7193" ht="15.75" customHeight="1">
      <c r="A7193" s="2" t="s">
        <v>7193</v>
      </c>
      <c r="B7193" s="2" t="str">
        <f>IFERROR(__xludf.DUMMYFUNCTION("GOOGLETRANSLATE(A7193, ""en"", ""mt"")"),"li dewmien jiswa l-flus, u f'każijiet ta 'konġestjonijiet, id-dewmien jista' jiswa ħafna")</f>
        <v>li dewmien jiswa l-flus, u f'każijiet ta 'konġestjonijiet, id-dewmien jista' jiswa ħafna</v>
      </c>
    </row>
    <row r="7194" ht="15.75" customHeight="1">
      <c r="A7194" s="2" t="s">
        <v>7194</v>
      </c>
      <c r="B7194" s="2" t="str">
        <f>IFERROR(__xludf.DUMMYFUNCTION("GOOGLETRANSLATE(A7194, ""en"", ""mt"")"),"Eżekuzzjoni ta 'Müntzer")</f>
        <v>Eżekuzzjoni ta 'Müntzer</v>
      </c>
    </row>
    <row r="7195" ht="15.75" customHeight="1">
      <c r="A7195" s="2" t="s">
        <v>7195</v>
      </c>
      <c r="B7195" s="2" t="str">
        <f>IFERROR(__xludf.DUMMYFUNCTION("GOOGLETRANSLATE(A7195, ""en"", ""mt"")"),"Liema grupp ibbenefika mill-fondi mqassma mill-karità reliġjuża, Fondazzjoni Al-Haramain?")</f>
        <v>Liema grupp ibbenefika mill-fondi mqassma mill-karità reliġjuża, Fondazzjoni Al-Haramain?</v>
      </c>
    </row>
    <row r="7196" ht="15.75" customHeight="1">
      <c r="A7196" s="2" t="s">
        <v>7196</v>
      </c>
      <c r="B7196" s="2" t="str">
        <f>IFERROR(__xludf.DUMMYFUNCTION("GOOGLETRANSLATE(A7196, ""en"", ""mt"")"),"X'kienet is-Super Bowl elast fejn il-Broncos kienu jilbsu uniformijiet bojod?")</f>
        <v>X'kienet is-Super Bowl elast fejn il-Broncos kienu jilbsu uniformijiet bojod?</v>
      </c>
    </row>
    <row r="7197" ht="15.75" customHeight="1">
      <c r="A7197" s="2" t="s">
        <v>7197</v>
      </c>
      <c r="B7197" s="2" t="str">
        <f>IFERROR(__xludf.DUMMYFUNCTION("GOOGLETRANSLATE(A7197, ""en"", ""mt"")"),"frekwenza u severità tal-impatti tal-mikrometeoriti")</f>
        <v>frekwenza u severità tal-impatti tal-mikrometeoriti</v>
      </c>
    </row>
    <row r="7198" ht="15.75" customHeight="1">
      <c r="A7198" s="2" t="s">
        <v>7198</v>
      </c>
      <c r="B7198" s="2" t="str">
        <f>IFERROR(__xludf.DUMMYFUNCTION("GOOGLETRANSLATE(A7198, ""en"", ""mt"")"),"xhur")</f>
        <v>xhur</v>
      </c>
    </row>
    <row r="7199" ht="15.75" customHeight="1">
      <c r="A7199" s="2" t="s">
        <v>7199</v>
      </c>
      <c r="B7199" s="2" t="str">
        <f>IFERROR(__xludf.DUMMYFUNCTION("GOOGLETRANSLATE(A7199, ""en"", ""mt"")"),"Meta għamel ir-rimarki kkwotati dwar Super Bowl 50?")</f>
        <v>Meta għamel ir-rimarki kkwotati dwar Super Bowl 50?</v>
      </c>
    </row>
    <row r="7200" ht="15.75" customHeight="1">
      <c r="A7200" s="2" t="s">
        <v>7200</v>
      </c>
      <c r="B7200" s="2" t="str">
        <f>IFERROR(__xludf.DUMMYFUNCTION("GOOGLETRANSLATE(A7200, ""en"", ""mt"")"),"Liema nazzjonalità kienet Arthur Woolf?")</f>
        <v>Liema nazzjonalità kienet Arthur Woolf?</v>
      </c>
    </row>
    <row r="7201" ht="15.75" customHeight="1">
      <c r="A7201" s="2" t="s">
        <v>7201</v>
      </c>
      <c r="B7201" s="2" t="str">
        <f>IFERROR(__xludf.DUMMYFUNCTION("GOOGLETRANSLATE(A7201, ""en"", ""mt"")"),"Kemm kumpaniji kienu parti mill-konkors QuickBooks?")</f>
        <v>Kemm kumpaniji kienu parti mill-konkors QuickBooks?</v>
      </c>
    </row>
    <row r="7202" ht="15.75" customHeight="1">
      <c r="A7202" s="2" t="s">
        <v>7202</v>
      </c>
      <c r="B7202" s="2" t="str">
        <f>IFERROR(__xludf.DUMMYFUNCTION("GOOGLETRANSLATE(A7202, ""en"", ""mt"")"),"Meta kien ir-rapport speċjali dwar il-ġestjoni tar-riskji ta 'avvenimenti u diżastri estremi biex javvanza l-adattament tal-bidla fil-klima (SREX)?")</f>
        <v>Meta kien ir-rapport speċjali dwar il-ġestjoni tar-riskji ta 'avvenimenti u diżastri estremi biex javvanza l-adattament tal-bidla fil-klima (SREX)?</v>
      </c>
    </row>
    <row r="7203" ht="15.75" customHeight="1">
      <c r="A7203" s="2" t="s">
        <v>7203</v>
      </c>
      <c r="B7203" s="2" t="str">
        <f>IFERROR(__xludf.DUMMYFUNCTION("GOOGLETRANSLATE(A7203, ""en"", ""mt"")"),"X'inhuma l-fitoplankton?")</f>
        <v>X'inhuma l-fitoplankton?</v>
      </c>
    </row>
    <row r="7204" ht="15.75" customHeight="1">
      <c r="A7204" s="2" t="s">
        <v>7204</v>
      </c>
      <c r="B7204" s="2" t="str">
        <f>IFERROR(__xludf.DUMMYFUNCTION("GOOGLETRANSLATE(A7204, ""en"", ""mt"")"),"X'kien maħsub li kien il-kawża ta 'devastazzjoni għaċ-ċiviltà?")</f>
        <v>X'kien maħsub li kien il-kawża ta 'devastazzjoni għaċ-ċiviltà?</v>
      </c>
    </row>
    <row r="7205" ht="15.75" customHeight="1">
      <c r="A7205" s="2" t="s">
        <v>7205</v>
      </c>
      <c r="B7205" s="2" t="str">
        <f>IFERROR(__xludf.DUMMYFUNCTION("GOOGLETRANSLATE(A7205, ""en"", ""mt"")"),"L-angolu huwa l-ekwivalenti rotazzjonali għall-pożizzjoni")</f>
        <v>L-angolu huwa l-ekwivalenti rotazzjonali għall-pożizzjoni</v>
      </c>
    </row>
    <row r="7206" ht="15.75" customHeight="1">
      <c r="A7206" s="2" t="s">
        <v>7206</v>
      </c>
      <c r="B7206" s="2" t="str">
        <f>IFERROR(__xludf.DUMMYFUNCTION("GOOGLETRANSLATE(A7206, ""en"", ""mt"")"),"id-diffikultà inerenti tagħhom")</f>
        <v>id-diffikultà inerenti tagħhom</v>
      </c>
    </row>
    <row r="7207" ht="15.75" customHeight="1">
      <c r="A7207" s="2" t="s">
        <v>7207</v>
      </c>
      <c r="B7207" s="2" t="str">
        <f>IFERROR(__xludf.DUMMYFUNCTION("GOOGLETRANSLATE(A7207, ""en"", ""mt"")"),"Proplastidi mhux differenzjati misjuba fiż-żygote")</f>
        <v>Proplastidi mhux differenzjati misjuba fiż-żygote</v>
      </c>
    </row>
    <row r="7208" ht="15.75" customHeight="1">
      <c r="A7208" s="2" t="s">
        <v>7208</v>
      </c>
      <c r="B7208" s="2" t="str">
        <f>IFERROR(__xludf.DUMMYFUNCTION("GOOGLETRANSLATE(A7208, ""en"", ""mt"")"),"Molekuli tal-Klassi I MHC")</f>
        <v>Molekuli tal-Klassi I MHC</v>
      </c>
    </row>
    <row r="7209" ht="15.75" customHeight="1">
      <c r="A7209" s="2" t="s">
        <v>7209</v>
      </c>
      <c r="B7209" s="2" t="str">
        <f>IFERROR(__xludf.DUMMYFUNCTION("GOOGLETRANSLATE(A7209, ""en"", ""mt"")"),"Fir-Renju Unit u diversi pajjiżi oħra tal-Commonwealth inkluż l-Awstralja u l-Kanada, l-użu tat-terminu huwa ġeneralment ristrett għal-livelli edukattivi primarji u sekondarji; Huwa kważi qatt ma jintuża minn universitajiet u istituzzjonijiet terzjarji oħ"&amp;"ra. L-edukazzjoni privata fl-Amerika ta ’Fuq tkopri l-firxa sħiħa ta’ attività edukattiva, li tvarja minn istituzzjonijiet ta ’qabel l-iskola għal istituzzjonijiet ta’ livell terzjarju. It-tariffi annwali tat-tagħlim fl-iskejjel K-12 ivarjaw minn xejn fl-"&amp;"iskejjel 'mingħajr tagħlim' għal aktar minn $ 45,000 f'diversi skejjel preparatorji ta 'New England.")</f>
        <v>Fir-Renju Unit u diversi pajjiżi oħra tal-Commonwealth inkluż l-Awstralja u l-Kanada, l-użu tat-terminu huwa ġeneralment ristrett għal-livelli edukattivi primarji u sekondarji; Huwa kważi qatt ma jintuża minn universitajiet u istituzzjonijiet terzjarji oħra. L-edukazzjoni privata fl-Amerika ta ’Fuq tkopri l-firxa sħiħa ta’ attività edukattiva, li tvarja minn istituzzjonijiet ta ’qabel l-iskola għal istituzzjonijiet ta’ livell terzjarju. It-tariffi annwali tat-tagħlim fl-iskejjel K-12 ivarjaw minn xejn fl-iskejjel 'mingħajr tagħlim' għal aktar minn $ 45,000 f'diversi skejjel preparatorji ta 'New England.</v>
      </c>
    </row>
    <row r="7210" ht="15.75" customHeight="1">
      <c r="A7210" s="2" t="s">
        <v>7210</v>
      </c>
      <c r="B7210" s="2" t="str">
        <f>IFERROR(__xludf.DUMMYFUNCTION("GOOGLETRANSLATE(A7210, ""en"", ""mt"")"),"Liema dijagrammi jintużaw biex jissimplifikaw l-interazzjonijiet tal-partikuli fuq livell fundamentali?")</f>
        <v>Liema dijagrammi jintużaw biex jissimplifikaw l-interazzjonijiet tal-partikuli fuq livell fundamentali?</v>
      </c>
    </row>
    <row r="7211" ht="15.75" customHeight="1">
      <c r="A7211" s="2" t="s">
        <v>7211</v>
      </c>
      <c r="B7211" s="2" t="str">
        <f>IFERROR(__xludf.DUMMYFUNCTION("GOOGLETRANSLATE(A7211, ""en"", ""mt"")"),"V8 u sitt magni taċ-ċilindru")</f>
        <v>V8 u sitt magni taċ-ċilindru</v>
      </c>
    </row>
    <row r="7212" ht="15.75" customHeight="1">
      <c r="A7212" s="2" t="s">
        <v>7212</v>
      </c>
      <c r="B7212" s="2" t="str">
        <f>IFERROR(__xludf.DUMMYFUNCTION("GOOGLETRANSLATE(A7212, ""en"", ""mt"")"),"L-arrest tiegħu ma kien kopert fl-ebda gazzetti fil-jiem, ġimgħat u xhur wara li ġara")</f>
        <v>L-arrest tiegħu ma kien kopert fl-ebda gazzetti fil-jiem, ġimgħat u xhur wara li ġara</v>
      </c>
    </row>
    <row r="7213" ht="15.75" customHeight="1">
      <c r="A7213" s="2" t="s">
        <v>7213</v>
      </c>
      <c r="B7213" s="2" t="str">
        <f>IFERROR(__xludf.DUMMYFUNCTION("GOOGLETRANSLATE(A7213, ""en"", ""mt"")"),"Meta seħħ il-moviment tal-edukazzjoni tal-iskola sekondarja?")</f>
        <v>Meta seħħ il-moviment tal-edukazzjoni tal-iskola sekondarja?</v>
      </c>
    </row>
    <row r="7214" ht="15.75" customHeight="1">
      <c r="A7214" s="2" t="s">
        <v>7214</v>
      </c>
      <c r="B7214" s="2" t="str">
        <f>IFERROR(__xludf.DUMMYFUNCTION("GOOGLETRANSLATE(A7214, ""en"", ""mt"")"),"Li tillimita")</f>
        <v>Li tillimita</v>
      </c>
    </row>
    <row r="7215" ht="15.75" customHeight="1">
      <c r="A7215" s="2" t="s">
        <v>7215</v>
      </c>
      <c r="B7215" s="2" t="str">
        <f>IFERROR(__xludf.DUMMYFUNCTION("GOOGLETRANSLATE(A7215, ""en"", ""mt"")"),"Min rebaħ il-battalja ħdejn il-Muntanji Helan?")</f>
        <v>Min rebaħ il-battalja ħdejn il-Muntanji Helan?</v>
      </c>
    </row>
    <row r="7216" ht="15.75" customHeight="1">
      <c r="A7216" s="2" t="s">
        <v>7216</v>
      </c>
      <c r="B7216" s="2" t="str">
        <f>IFERROR(__xludf.DUMMYFUNCTION("GOOGLETRANSLATE(A7216, ""en"", ""mt"")"),"Żewġ membrani tal-lipidi lipidi-lost")</f>
        <v>Żewġ membrani tal-lipidi lipidi-lost</v>
      </c>
    </row>
    <row r="7217" ht="15.75" customHeight="1">
      <c r="A7217" s="2" t="s">
        <v>7217</v>
      </c>
      <c r="B7217" s="2" t="str">
        <f>IFERROR(__xludf.DUMMYFUNCTION("GOOGLETRANSLATE(A7217, ""en"", ""mt"")"),"F'liema ġurnata saret il-lejl tal-ftuħ tas-Super Bowl?")</f>
        <v>F'liema ġurnata saret il-lejl tal-ftuħ tas-Super Bowl?</v>
      </c>
    </row>
    <row r="7218" ht="15.75" customHeight="1">
      <c r="A7218" s="2" t="s">
        <v>7218</v>
      </c>
      <c r="B7218" s="2" t="str">
        <f>IFERROR(__xludf.DUMMYFUNCTION("GOOGLETRANSLATE(A7218, ""en"", ""mt"")"),"Il-verżjoni tal-2005 ta 'Doctor Who hija kontinwazzjoni ta' plott dirett tas-serje oriġinali 1963–1989 [Nota 2] u t-Telefilm tal-1996. Dan huwa simili għat-tkomplija tal-1988 tal-Missjoni Impossibbli, iżda huwa differenti mill-biċċa l-kbira tas-serje l-oħ"&amp;"ra li jew ingħataw mill-ġdid (per eżempju, Battlestar Galactica u l-mara bijonika [ċitazzjoni meħtieġa]) jew imwaqqfa fl-istess univers bħall-oriġinal iżda fi differenti Perjodu ta 'żmien u b'karattri differenti (pereżempju, Star Trek: Il-Ġenerazzjoni li "&amp;"Jmiss u l-Spin-Offs [Ċitazzjoni meħtieġa]).")</f>
        <v>Il-verżjoni tal-2005 ta 'Doctor Who hija kontinwazzjoni ta' plott dirett tas-serje oriġinali 1963–1989 [Nota 2] u t-Telefilm tal-1996. Dan huwa simili għat-tkomplija tal-1988 tal-Missjoni Impossibbli, iżda huwa differenti mill-biċċa l-kbira tas-serje l-oħra li jew ingħataw mill-ġdid (per eżempju, Battlestar Galactica u l-mara bijonika [ċitazzjoni meħtieġa]) jew imwaqqfa fl-istess univers bħall-oriġinal iżda fi differenti Perjodu ta 'żmien u b'karattri differenti (pereżempju, Star Trek: Il-Ġenerazzjoni li Jmiss u l-Spin-Offs [Ċitazzjoni meħtieġa]).</v>
      </c>
    </row>
    <row r="7219" ht="15.75" customHeight="1">
      <c r="A7219" s="2" t="s">
        <v>7219</v>
      </c>
      <c r="B7219" s="2" t="str">
        <f>IFERROR(__xludf.DUMMYFUNCTION("GOOGLETRANSLATE(A7219, ""en"", ""mt"")"),"Meta l-NFL ħabbret li ma tużax numri Rumani biex tinnomina n-numru tas-Super Bowl?")</f>
        <v>Meta l-NFL ħabbret li ma tużax numri Rumani biex tinnomina n-numru tas-Super Bowl?</v>
      </c>
    </row>
    <row r="7220" ht="15.75" customHeight="1">
      <c r="A7220" s="2" t="s">
        <v>7220</v>
      </c>
      <c r="B7220" s="2" t="str">
        <f>IFERROR(__xludf.DUMMYFUNCTION("GOOGLETRANSLATE(A7220, ""en"", ""mt"")"),"Meta r-Rhineland kienet soġġetta għat-Trattat ta 'Versailles?")</f>
        <v>Meta r-Rhineland kienet soġġetta għat-Trattat ta 'Versailles?</v>
      </c>
    </row>
    <row r="7221" ht="15.75" customHeight="1">
      <c r="A7221" s="2" t="s">
        <v>7221</v>
      </c>
      <c r="B7221" s="2" t="str">
        <f>IFERROR(__xludf.DUMMYFUNCTION("GOOGLETRANSLATE(A7221, ""en"", ""mt"")"),"counterflow")</f>
        <v>counterflow</v>
      </c>
    </row>
    <row r="7222" ht="15.75" customHeight="1">
      <c r="A7222" s="2" t="s">
        <v>7222</v>
      </c>
      <c r="B7222" s="2" t="str">
        <f>IFERROR(__xludf.DUMMYFUNCTION("GOOGLETRANSLATE(A7222, ""en"", ""mt"")"),"X’għamel dan il-ftehim?")</f>
        <v>X’għamel dan il-ftehim?</v>
      </c>
    </row>
    <row r="7223" ht="15.75" customHeight="1">
      <c r="A7223" s="2" t="s">
        <v>7223</v>
      </c>
      <c r="B7223" s="2" t="str">
        <f>IFERROR(__xludf.DUMMYFUNCTION("GOOGLETRANSLATE(A7223, ""en"", ""mt"")"),"Gimgha")</f>
        <v>Gimgha</v>
      </c>
    </row>
    <row r="7224" ht="15.75" customHeight="1">
      <c r="A7224" s="2" t="s">
        <v>7224</v>
      </c>
      <c r="B7224" s="2" t="str">
        <f>IFERROR(__xludf.DUMMYFUNCTION("GOOGLETRANSLATE(A7224, ""en"", ""mt"")"),"Mill-ħolqien tal-karattru tad-Doctor Who mill-BBC Television fil-bidu tas-snin 1960, ġie ppubblikat numru kbir rumanzi, komiks, stejjer qosra, kotba awdjo, logħob tar-radju, logħob tal-kompjuter interattiv, kotba tal-logħob, webcasts, DVD extras, u saħans"&amp;"itra wirjiet tal-palk. F'dan ir-rigward ta 'min jinnota li l-BBC ma tieħu l-ebda pożizzjoni dwar il-kanoniċità ta' xi stejjer bħal dawn, u l-produtturi tal-ispettaklu esprimew id-diżgust għall-idea.")</f>
        <v>Mill-ħolqien tal-karattru tad-Doctor Who mill-BBC Television fil-bidu tas-snin 1960, ġie ppubblikat numru kbir rumanzi, komiks, stejjer qosra, kotba awdjo, logħob tar-radju, logħob tal-kompjuter interattiv, kotba tal-logħob, webcasts, DVD extras, u saħansitra wirjiet tal-palk. F'dan ir-rigward ta 'min jinnota li l-BBC ma tieħu l-ebda pożizzjoni dwar il-kanoniċità ta' xi stejjer bħal dawn, u l-produtturi tal-ispettaklu esprimew id-diżgust għall-idea.</v>
      </c>
    </row>
    <row r="7225" ht="15.75" customHeight="1">
      <c r="A7225" s="2" t="s">
        <v>7225</v>
      </c>
      <c r="B7225" s="2" t="str">
        <f>IFERROR(__xludf.DUMMYFUNCTION("GOOGLETRANSLATE(A7225, ""en"", ""mt"")"),"It-Tieni Gwerra Dinjija")</f>
        <v>It-Tieni Gwerra Dinjija</v>
      </c>
    </row>
    <row r="7226" ht="15.75" customHeight="1">
      <c r="A7226" s="2" t="s">
        <v>7226</v>
      </c>
      <c r="B7226" s="2" t="str">
        <f>IFERROR(__xludf.DUMMYFUNCTION("GOOGLETRANSLATE(A7226, ""en"", ""mt"")"),"Staġun 1995–96")</f>
        <v>Staġun 1995–96</v>
      </c>
    </row>
    <row r="7227" ht="15.75" customHeight="1">
      <c r="A7227" s="2" t="s">
        <v>7227</v>
      </c>
      <c r="B7227" s="2" t="str">
        <f>IFERROR(__xludf.DUMMYFUNCTION("GOOGLETRANSLATE(A7227, ""en"", ""mt"")"),"Il-Mużew Nikola Tesla")</f>
        <v>Il-Mużew Nikola Tesla</v>
      </c>
    </row>
    <row r="7228" ht="15.75" customHeight="1">
      <c r="A7228" s="2" t="s">
        <v>7228</v>
      </c>
      <c r="B7228" s="2" t="str">
        <f>IFERROR(__xludf.DUMMYFUNCTION("GOOGLETRANSLATE(A7228, ""en"", ""mt"")"),"Meta kienet il-politika Russa ""indiġenizzazzjoni""?")</f>
        <v>Meta kienet il-politika Russa "indiġenizzazzjoni"?</v>
      </c>
    </row>
    <row r="7229" ht="15.75" customHeight="1">
      <c r="A7229" s="2" t="s">
        <v>7229</v>
      </c>
      <c r="B7229" s="2" t="str">
        <f>IFERROR(__xludf.DUMMYFUNCTION("GOOGLETRANSLATE(A7229, ""en"", ""mt"")"),"X'tip ta 'algoritmu huwa diviżjoni ta' prova?")</f>
        <v>X'tip ta 'algoritmu huwa diviżjoni ta' prova?</v>
      </c>
    </row>
    <row r="7230" ht="15.75" customHeight="1">
      <c r="A7230" s="2" t="s">
        <v>7230</v>
      </c>
      <c r="B7230" s="2" t="str">
        <f>IFERROR(__xludf.DUMMYFUNCTION("GOOGLETRANSLATE(A7230, ""en"", ""mt"")"),"terz grupp ta 'pigmenti")</f>
        <v>terz grupp ta 'pigmenti</v>
      </c>
    </row>
    <row r="7231" ht="15.75" customHeight="1">
      <c r="A7231" s="2" t="s">
        <v>7231</v>
      </c>
      <c r="B7231" s="2" t="str">
        <f>IFERROR(__xludf.DUMMYFUNCTION("GOOGLETRANSLATE(A7231, ""en"", ""mt"")"),"Liema motivazzjoni hija mmexxija mill-intraprenditorija bbażata fuq l-opportunità?")</f>
        <v>Liema motivazzjoni hija mmexxija mill-intraprenditorija bbażata fuq l-opportunità?</v>
      </c>
    </row>
    <row r="7232" ht="15.75" customHeight="1">
      <c r="A7232" s="2" t="s">
        <v>7232</v>
      </c>
      <c r="B7232" s="2" t="str">
        <f>IFERROR(__xludf.DUMMYFUNCTION("GOOGLETRANSLATE(A7232, ""en"", ""mt"")"),"43")</f>
        <v>43</v>
      </c>
    </row>
    <row r="7233" ht="15.75" customHeight="1">
      <c r="A7233" s="2" t="s">
        <v>7233</v>
      </c>
      <c r="B7233" s="2" t="str">
        <f>IFERROR(__xludf.DUMMYFUNCTION("GOOGLETRANSLATE(A7233, ""en"", ""mt"")"),"Il-qrati ddistingwew bejn żewġ tipi ta 'diżubbidjenza ċivili: ""Id-diżubbidjenza ċivili indiretta tinvolvi li tikser liġi li mhix, fiha nnifisha, l-oġġett ta' protesta, filwaqt li d-diżubbidjenza ċivili diretta tinvolvi li tipprotesta l-eżistenza ta 'liġi"&amp;" partikolari billi tikser dik il-liġi."" Matul il-Gwerra tal-Vjetnam, il-qrati tipikament irrifjutaw li jiskużaw lill-awturi ta ’protesti illegali mill-kastig abbażi tal-isfida tagħhom il-legalità tal-Gwerra tal-Vjetnam; Il-qrati ddeċidew li kienet kwistj"&amp;"oni politika. Id-difiża tal-ħtieġa xi kultant intużat bħala difiża dell minn diżubbidjenti ċivili biex tiċħad il-ħtija mingħajr ma tinnunzja l-atti motivati ​​politikament tagħhom, u biex tippreżenta t-twemmin politiku tagħhom fl-awla. Madankollu, każijie"&amp;"t tal-qorti bħall-Istati Uniti v. Schoon naqqsu ħafna d-disponibbiltà tad-difiża tal-ħtieġa politika. Bl-istess mod, meta Carter Wentworth ġie akkużat għar-rwol tiegħu fl-okkupazzjoni illegali tal-1977 tal-Alleanza Clamshell fl-impjant nukleari tal-istazz"&amp;"jon ta 'Seabrook, l-imħallef ta struzzjonijiet lill-ġurija biex tinjora d-difiża tal-ħsara li tikkompeti tiegħu, u nstab ħati. Attivisti tal-assoċjazzjoni tal-ġurija infurmati bis-sħiħ xi kultant ingħataw fuljetti edukattivi ġewwa l-kmamar tal-qorti minke"&amp;"jja li ma jagħtux; Skond il-Fija, ħafna minnhom ħarbu mill-prosekuzzjoni minħabba li ""l-prosekuturi rraġunaw (b'mod korrett) li jekk jarrestaw fuljetti tal-ġurija infurmati bis-sħiħ, il-fuljetti għandhom jingħataw lill-ġurija tal-fuljett stess bħala evid"&amp;"enza.""")</f>
        <v>Il-qrati ddistingwew bejn żewġ tipi ta 'diżubbidjenza ċivili: "Id-diżubbidjenza ċivili indiretta tinvolvi li tikser liġi li mhix, fiha nnifisha, l-oġġett ta' protesta, filwaqt li d-diżubbidjenza ċivili diretta tinvolvi li tipprotesta l-eżistenza ta 'liġi partikolari billi tikser dik il-liġi." Matul il-Gwerra tal-Vjetnam, il-qrati tipikament irrifjutaw li jiskużaw lill-awturi ta ’protesti illegali mill-kastig abbażi tal-isfida tagħhom il-legalità tal-Gwerra tal-Vjetnam; Il-qrati ddeċidew li kienet kwistjoni politika. Id-difiża tal-ħtieġa xi kultant intużat bħala difiża dell minn diżubbidjenti ċivili biex tiċħad il-ħtija mingħajr ma tinnunzja l-atti motivati ​​politikament tagħhom, u biex tippreżenta t-twemmin politiku tagħhom fl-awla. Madankollu, każijiet tal-qorti bħall-Istati Uniti v. Schoon naqqsu ħafna d-disponibbiltà tad-difiża tal-ħtieġa politika. Bl-istess mod, meta Carter Wentworth ġie akkużat għar-rwol tiegħu fl-okkupazzjoni illegali tal-1977 tal-Alleanza Clamshell fl-impjant nukleari tal-istazzjon ta 'Seabrook, l-imħallef ta struzzjonijiet lill-ġurija biex tinjora d-difiża tal-ħsara li tikkompeti tiegħu, u nstab ħati. Attivisti tal-assoċjazzjoni tal-ġurija infurmati bis-sħiħ xi kultant ingħataw fuljetti edukattivi ġewwa l-kmamar tal-qorti minkejja li ma jagħtux; Skond il-Fija, ħafna minnhom ħarbu mill-prosekuzzjoni minħabba li "l-prosekuturi rraġunaw (b'mod korrett) li jekk jarrestaw fuljetti tal-ġurija infurmati bis-sħiħ, il-fuljetti għandhom jingħataw lill-ġurija tal-fuljett stess bħala evidenza."</v>
      </c>
    </row>
    <row r="7234" ht="15.75" customHeight="1">
      <c r="A7234" s="2" t="s">
        <v>7234</v>
      </c>
      <c r="B7234" s="2" t="str">
        <f>IFERROR(__xludf.DUMMYFUNCTION("GOOGLETRANSLATE(A7234, ""en"", ""mt"")"),"X'kien il-kreditu ewlieni ta 'Michael Eisner fil-ħin tiegħu f'ABC?")</f>
        <v>X'kien il-kreditu ewlieni ta 'Michael Eisner fil-ħin tiegħu f'ABC?</v>
      </c>
    </row>
    <row r="7235" ht="15.75" customHeight="1">
      <c r="A7235" s="2" t="s">
        <v>7235</v>
      </c>
      <c r="B7235" s="2" t="str">
        <f>IFERROR(__xludf.DUMMYFUNCTION("GOOGLETRANSLATE(A7235, ""en"", ""mt"")"),"X'inhu jiddeskrivi l-proporzjonalità ta 'aċċellerazzjoni għall-forza u l-massa?")</f>
        <v>X'inhu jiddeskrivi l-proporzjonalità ta 'aċċellerazzjoni għall-forza u l-massa?</v>
      </c>
    </row>
    <row r="7236" ht="15.75" customHeight="1">
      <c r="A7236" s="2" t="s">
        <v>7236</v>
      </c>
      <c r="B7236" s="2" t="str">
        <f>IFERROR(__xludf.DUMMYFUNCTION("GOOGLETRANSLATE(A7236, ""en"", ""mt"")"),"ertjat")</f>
        <v>ertjat</v>
      </c>
    </row>
    <row r="7237" ht="15.75" customHeight="1">
      <c r="A7237" s="2" t="s">
        <v>7237</v>
      </c>
      <c r="B7237" s="2" t="str">
        <f>IFERROR(__xludf.DUMMYFUNCTION("GOOGLETRANSLATE(A7237, ""en"", ""mt"")"),"60's")</f>
        <v>60's</v>
      </c>
    </row>
    <row r="7238" ht="15.75" customHeight="1">
      <c r="A7238" s="2" t="s">
        <v>7238</v>
      </c>
      <c r="B7238" s="2" t="str">
        <f>IFERROR(__xludf.DUMMYFUNCTION("GOOGLETRANSLATE(A7238, ""en"", ""mt"")"),"Ferra anti-komunista")</f>
        <v>Ferra anti-komunista</v>
      </c>
    </row>
    <row r="7239" ht="15.75" customHeight="1">
      <c r="A7239" s="2" t="s">
        <v>7239</v>
      </c>
      <c r="B7239" s="2" t="str">
        <f>IFERROR(__xludf.DUMMYFUNCTION("GOOGLETRANSLATE(A7239, ""en"", ""mt"")"),"Fejn hi r-regolazzjoni tal-kanal ta 'fuq tar-Renu?")</f>
        <v>Fejn hi r-regolazzjoni tal-kanal ta 'fuq tar-Renu?</v>
      </c>
    </row>
    <row r="7240" ht="15.75" customHeight="1">
      <c r="A7240" s="2" t="s">
        <v>7240</v>
      </c>
      <c r="B7240" s="2" t="str">
        <f>IFERROR(__xludf.DUMMYFUNCTION("GOOGLETRANSLATE(A7240, ""en"", ""mt"")"),"Tesla kompla jsegwi l-ideat tiegħu ta 'dawl bla fili u distribuzzjoni ta' l-elettriku fl-esperimenti ta 'enerġija ta' frekwenza għolja tiegħu fi New York u Colorado Springs, u għamel pronunzji bikrija (1893) dwar il-possibbiltà ta 'komunikazzjoni mingħajr"&amp;" fili mat-tagħmir tiegħu. Huwa pprova jpoġġi dawn l-ideat għal użu prattiku f'tentattiv ħażin ta 'trasmissjoni bla fili interkontinentali, il-proġett tiegħu mhux mitmum Wardenclyffe Tower. Fil-laboratorju tiegħu huwa mexxa wkoll firxa ta 'esperimenti ma' "&amp;"oxxillaturi / ġeneraturi mekkaniċi, tubi ta 'kwittanza elettrika, u immaġini bikrija tar-raġġi X. Huwa bena wkoll dgħajsa kkontrollata mingħajr fili, waħda mill-ewwel li qatt kienet esibita.")</f>
        <v>Tesla kompla jsegwi l-ideat tiegħu ta 'dawl bla fili u distribuzzjoni ta' l-elettriku fl-esperimenti ta 'enerġija ta' frekwenza għolja tiegħu fi New York u Colorado Springs, u għamel pronunzji bikrija (1893) dwar il-possibbiltà ta 'komunikazzjoni mingħajr fili mat-tagħmir tiegħu. Huwa pprova jpoġġi dawn l-ideat għal użu prattiku f'tentattiv ħażin ta 'trasmissjoni bla fili interkontinentali, il-proġett tiegħu mhux mitmum Wardenclyffe Tower. Fil-laboratorju tiegħu huwa mexxa wkoll firxa ta 'esperimenti ma' oxxillaturi / ġeneraturi mekkaniċi, tubi ta 'kwittanza elettrika, u immaġini bikrija tar-raġġi X. Huwa bena wkoll dgħajsa kkontrollata mingħajr fili, waħda mill-ewwel li qatt kienet esibita.</v>
      </c>
    </row>
    <row r="7241" ht="15.75" customHeight="1">
      <c r="A7241" s="2" t="s">
        <v>7241</v>
      </c>
      <c r="B7241" s="2" t="str">
        <f>IFERROR(__xludf.DUMMYFUNCTION("GOOGLETRANSLATE(A7241, ""en"", ""mt"")"),"X'inhu differenti dwar Paulinella Chromatophora?")</f>
        <v>X'inhu differenti dwar Paulinella Chromatophora?</v>
      </c>
    </row>
    <row r="7242" ht="15.75" customHeight="1">
      <c r="A7242" s="2" t="s">
        <v>7242</v>
      </c>
      <c r="B7242" s="2" t="str">
        <f>IFERROR(__xludf.DUMMYFUNCTION("GOOGLETRANSLATE(A7242, ""en"", ""mt"")"),"kastità")</f>
        <v>kastità</v>
      </c>
    </row>
    <row r="7243" ht="15.75" customHeight="1">
      <c r="A7243" s="2" t="s">
        <v>7243</v>
      </c>
      <c r="B7243" s="2" t="str">
        <f>IFERROR(__xludf.DUMMYFUNCTION("GOOGLETRANSLATE(A7243, ""en"", ""mt"")"),"F'Novembru 2006, l-elezzjonijiet tal-Kunsill Leġiżlattiv Vittorjan saru taħt sistema ta 'rappreżentanza proporzjonali b'ħafna membri. L-istat tar-Rabat kien maqsum fi tmien elettorati ma 'kull elettorat irrappreżentat minn ħames rappreżentanti eletti b'vo"&amp;"t trasferibbli wieħed. In-numru totali ta 'membri ta' Upper House tnaqqas minn 44 għal 40 u l-mandat tagħhom issa huwa l-istess bħall-membri ta 'l-Isfond tad-Dar - erba' snin. L-elezzjonijiet għall-Parlament Vittorjan issa huma ffissati u jseħħu f'Novembr"&amp;"u kull erba 'snin. Qabel l-elezzjoni tal-2006, il-Kunsill Leġiżlattiv kien jikkonsisti minn 44 membru eletti għal termini ta 'tmien snin minn 22 elettorat ta' żewġ membri.")</f>
        <v>F'Novembru 2006, l-elezzjonijiet tal-Kunsill Leġiżlattiv Vittorjan saru taħt sistema ta 'rappreżentanza proporzjonali b'ħafna membri. L-istat tar-Rabat kien maqsum fi tmien elettorati ma 'kull elettorat irrappreżentat minn ħames rappreżentanti eletti b'vot trasferibbli wieħed. In-numru totali ta 'membri ta' Upper House tnaqqas minn 44 għal 40 u l-mandat tagħhom issa huwa l-istess bħall-membri ta 'l-Isfond tad-Dar - erba' snin. L-elezzjonijiet għall-Parlament Vittorjan issa huma ffissati u jseħħu f'Novembru kull erba 'snin. Qabel l-elezzjoni tal-2006, il-Kunsill Leġiżlattiv kien jikkonsisti minn 44 membru eletti għal termini ta 'tmien snin minn 22 elettorat ta' żewġ membri.</v>
      </c>
    </row>
    <row r="7244" ht="15.75" customHeight="1">
      <c r="A7244" s="2" t="s">
        <v>7244</v>
      </c>
      <c r="B7244" s="2" t="str">
        <f>IFERROR(__xludf.DUMMYFUNCTION("GOOGLETRANSLATE(A7244, ""en"", ""mt"")"),"1,600")</f>
        <v>1,600</v>
      </c>
    </row>
    <row r="7245" ht="15.75" customHeight="1">
      <c r="A7245" s="2" t="s">
        <v>7245</v>
      </c>
      <c r="B7245" s="2" t="str">
        <f>IFERROR(__xludf.DUMMYFUNCTION("GOOGLETRANSLATE(A7245, ""en"", ""mt"")"),"Kemm qatlet din l-epidemija fiċ-Ċina?")</f>
        <v>Kemm qatlet din l-epidemija fiċ-Ċina?</v>
      </c>
    </row>
    <row r="7246" ht="15.75" customHeight="1">
      <c r="A7246" s="2" t="s">
        <v>7246</v>
      </c>
      <c r="B7246" s="2" t="str">
        <f>IFERROR(__xludf.DUMMYFUNCTION("GOOGLETRANSLATE(A7246, ""en"", ""mt"")"),"Xmara Thames")</f>
        <v>Xmara Thames</v>
      </c>
    </row>
    <row r="7247" ht="15.75" customHeight="1">
      <c r="A7247" s="2" t="s">
        <v>7247</v>
      </c>
      <c r="B7247" s="2" t="str">
        <f>IFERROR(__xludf.DUMMYFUNCTION("GOOGLETRANSLATE(A7247, ""en"", ""mt"")"),"Iddgħajjef il-liġi billi tinkoraġġixxi d-diżubbidjenza ġenerali")</f>
        <v>Iddgħajjef il-liġi billi tinkoraġġixxi d-diżubbidjenza ġenerali</v>
      </c>
    </row>
    <row r="7248" ht="15.75" customHeight="1">
      <c r="A7248" s="2" t="s">
        <v>7248</v>
      </c>
      <c r="B7248" s="2" t="str">
        <f>IFERROR(__xludf.DUMMYFUNCTION("GOOGLETRANSLATE(A7248, ""en"", ""mt"")"),"X'inhuma eżempji ta 'ċelloli effetturi differenzjati li jilħqu l-quċċata matul il-perjodi ta' qawmien?")</f>
        <v>X'inhuma eżempji ta 'ċelloli effetturi differenzjati li jilħqu l-quċċata matul il-perjodi ta' qawmien?</v>
      </c>
    </row>
    <row r="7249" ht="15.75" customHeight="1">
      <c r="A7249" s="2" t="s">
        <v>7249</v>
      </c>
      <c r="B7249" s="2" t="str">
        <f>IFERROR(__xludf.DUMMYFUNCTION("GOOGLETRANSLATE(A7249, ""en"", ""mt"")"),"L-alka cyanophora, glaukofit, hija maħsuba li hija waħda mill-ewwel organiżmi li kien fihom kloroplast. Il-grupp tal-kloroplast tal-glaukofit huwa l-iżgħar mit-tliet nisel tal-kloroplast primarju, li jinstab fi 13-il speċi biss, u huwa maħsub li huwa dak "&amp;"li ferraħ mill-ewwel. Il-glakofiti għandhom kloroplasti li jżommu ħajt peptidoglycan bejn il-membrani doppji tagħhom, bħall-ġenitur ċjanobatteriku tagħhom. Għal din ir-raġuni, il-kloroplasti tal-glaukofit huma magħrufa wkoll bħala muroplasti. Il-kloroplas"&amp;"ti tal-glakofite fihom ukoll thylakoids mhux stacked konċentriċi, li jdawru karbossiżoma - struttura icosahedral li l-kloroplasti tal-glaukofite u ċ-ċjanobatterji jżommu l-iffissar tal-karbonju tagħhom fl-iffissar tal-enzima rubisco. Il-lamtu li huma sint"&amp;"etizzati jiġbru barra l-kloroplast. Bħal cyanobacteria, it-tilakoids tal-kloroplast tal-glaukofit huma studded bi strutturi ta 'ġbir tad-dawl imsejħa phycobilisomes. Għal dawn ir-raġunijiet, il-kloroplasti tal-glaukofit huma kkunsidrati intermedju primitt"&amp;"iv bejn iċ-ċjanobatterji u l-kloroplasti aktar evolvuti fl-alka u l-pjanti ħomor.")</f>
        <v>L-alka cyanophora, glaukofit, hija maħsuba li hija waħda mill-ewwel organiżmi li kien fihom kloroplast. Il-grupp tal-kloroplast tal-glaukofit huwa l-iżgħar mit-tliet nisel tal-kloroplast primarju, li jinstab fi 13-il speċi biss, u huwa maħsub li huwa dak li ferraħ mill-ewwel. Il-glakofiti għandhom kloroplasti li jżommu ħajt peptidoglycan bejn il-membrani doppji tagħhom, bħall-ġenitur ċjanobatteriku tagħhom. Għal din ir-raġuni, il-kloroplasti tal-glaukofit huma magħrufa wkoll bħala muroplasti. Il-kloroplasti tal-glakofite fihom ukoll thylakoids mhux stacked konċentriċi, li jdawru karbossiżoma - struttura icosahedral li l-kloroplasti tal-glaukofite u ċ-ċjanobatterji jżommu l-iffissar tal-karbonju tagħhom fl-iffissar tal-enzima rubisco. Il-lamtu li huma sintetizzati jiġbru barra l-kloroplast. Bħal cyanobacteria, it-tilakoids tal-kloroplast tal-glaukofit huma studded bi strutturi ta 'ġbir tad-dawl imsejħa phycobilisomes. Għal dawn ir-raġunijiet, il-kloroplasti tal-glaukofit huma kkunsidrati intermedju primittiv bejn iċ-ċjanobatterji u l-kloroplasti aktar evolvuti fl-alka u l-pjanti ħomor.</v>
      </c>
    </row>
    <row r="7250" ht="15.75" customHeight="1">
      <c r="A7250" s="2" t="s">
        <v>7250</v>
      </c>
      <c r="B7250" s="2" t="str">
        <f>IFERROR(__xludf.DUMMYFUNCTION("GOOGLETRANSLATE(A7250, ""en"", ""mt"")"),"Liema artikolu tat-Trattat dwar l-Unjoni Ewropea jiddikjara li l-kummissarji għandhom ikunu kompletament indipendenti u ma jieħdu struzzjonijiet minn xi gvern?")</f>
        <v>Liema artikolu tat-Trattat dwar l-Unjoni Ewropea jiddikjara li l-kummissarji għandhom ikunu kompletament indipendenti u ma jieħdu struzzjonijiet minn xi gvern?</v>
      </c>
    </row>
    <row r="7251" ht="15.75" customHeight="1">
      <c r="A7251" s="2" t="s">
        <v>7251</v>
      </c>
      <c r="B7251" s="2" t="str">
        <f>IFERROR(__xludf.DUMMYFUNCTION("GOOGLETRANSLATE(A7251, ""en"", ""mt"")"),"Strutturali")</f>
        <v>Strutturali</v>
      </c>
    </row>
    <row r="7252" ht="15.75" customHeight="1">
      <c r="A7252" s="2" t="s">
        <v>7252</v>
      </c>
      <c r="B7252" s="2" t="str">
        <f>IFERROR(__xludf.DUMMYFUNCTION("GOOGLETRANSLATE(A7252, ""en"", ""mt"")"),"iżomm lil Luther responsabbli")</f>
        <v>iżomm lil Luther responsabbli</v>
      </c>
    </row>
    <row r="7253" ht="15.75" customHeight="1">
      <c r="A7253" s="2" t="s">
        <v>7253</v>
      </c>
      <c r="B7253" s="2" t="str">
        <f>IFERROR(__xludf.DUMMYFUNCTION("GOOGLETRANSLATE(A7253, ""en"", ""mt"")"),"Petrografiku")</f>
        <v>Petrografiku</v>
      </c>
    </row>
    <row r="7254" ht="15.75" customHeight="1">
      <c r="A7254" s="2" t="s">
        <v>7254</v>
      </c>
      <c r="B7254" s="2" t="str">
        <f>IFERROR(__xludf.DUMMYFUNCTION("GOOGLETRANSLATE(A7254, ""en"", ""mt"")"),"riżultat tal-biċċa l-kbira tal-voti")</f>
        <v>riżultat tal-biċċa l-kbira tal-voti</v>
      </c>
    </row>
    <row r="7255" ht="15.75" customHeight="1">
      <c r="A7255" s="2" t="s">
        <v>7255</v>
      </c>
      <c r="B7255" s="2" t="str">
        <f>IFERROR(__xludf.DUMMYFUNCTION("GOOGLETRANSLATE(A7255, ""en"", ""mt"")"),"Kemm mili fin-Nofsinhar ta 'Edinburgh huwa Newcastle?")</f>
        <v>Kemm mili fin-Nofsinhar ta 'Edinburgh huwa Newcastle?</v>
      </c>
    </row>
    <row r="7256" ht="15.75" customHeight="1">
      <c r="A7256" s="2" t="s">
        <v>7256</v>
      </c>
      <c r="B7256" s="2" t="str">
        <f>IFERROR(__xludf.DUMMYFUNCTION("GOOGLETRANSLATE(A7256, ""en"", ""mt"")"),"Min ordna r-reviżjoni tal-poppa?")</f>
        <v>Min ordna r-reviżjoni tal-poppa?</v>
      </c>
    </row>
    <row r="7257" ht="15.75" customHeight="1">
      <c r="A7257" s="2" t="s">
        <v>7257</v>
      </c>
      <c r="B7257" s="2" t="str">
        <f>IFERROR(__xludf.DUMMYFUNCTION("GOOGLETRANSLATE(A7257, ""en"", ""mt"")"),"Xi jfisser l-innu ta ’Luther Christ Unser Herr Zum Jordan Kam?")</f>
        <v>Xi jfisser l-innu ta ’Luther Christ Unser Herr Zum Jordan Kam?</v>
      </c>
    </row>
    <row r="7258" ht="15.75" customHeight="1">
      <c r="A7258" s="2" t="s">
        <v>7258</v>
      </c>
      <c r="B7258" s="2" t="str">
        <f>IFERROR(__xludf.DUMMYFUNCTION("GOOGLETRANSLATE(A7258, ""en"", ""mt"")"),"Rendezvous")</f>
        <v>Rendezvous</v>
      </c>
    </row>
    <row r="7259" ht="15.75" customHeight="1">
      <c r="A7259" s="2" t="s">
        <v>7259</v>
      </c>
      <c r="B7259" s="2" t="str">
        <f>IFERROR(__xludf.DUMMYFUNCTION("GOOGLETRANSLATE(A7259, ""en"", ""mt"")"),"Liema persentaġġ ta 'ossiġnu se jipproduċi passatur taż-żeoliti?")</f>
        <v>Liema persentaġġ ta 'ossiġnu se jipproduċi passatur taż-żeoliti?</v>
      </c>
    </row>
    <row r="7260" ht="15.75" customHeight="1">
      <c r="A7260" s="2" t="s">
        <v>7260</v>
      </c>
      <c r="B7260" s="2" t="str">
        <f>IFERROR(__xludf.DUMMYFUNCTION("GOOGLETRANSLATE(A7260, ""en"", ""mt"")"),"X'inhi l-akbar skola indipendenti ko-ed fi Newcastle?")</f>
        <v>X'inhi l-akbar skola indipendenti ko-ed fi Newcastle?</v>
      </c>
    </row>
    <row r="7261" ht="15.75" customHeight="1">
      <c r="A7261" s="2" t="s">
        <v>7261</v>
      </c>
      <c r="B7261" s="2" t="str">
        <f>IFERROR(__xludf.DUMMYFUNCTION("GOOGLETRANSLATE(A7261, ""en"", ""mt"")"),"X'inhu l-isem tal-kittieb u s-satirist Amerikan li huwa wkoll alumni tal-università?")</f>
        <v>X'inhu l-isem tal-kittieb u s-satirist Amerikan li huwa wkoll alumni tal-università?</v>
      </c>
    </row>
    <row r="7262" ht="15.75" customHeight="1">
      <c r="A7262" s="2" t="s">
        <v>7262</v>
      </c>
      <c r="B7262" s="2" t="str">
        <f>IFERROR(__xludf.DUMMYFUNCTION("GOOGLETRANSLATE(A7262, ""en"", ""mt"")"),"Att tal-Kolonja tar-Rabat 1855")</f>
        <v>Att tal-Kolonja tar-Rabat 1855</v>
      </c>
    </row>
    <row r="7263" ht="15.75" customHeight="1">
      <c r="A7263" s="2" t="s">
        <v>7263</v>
      </c>
      <c r="B7263" s="2" t="str">
        <f>IFERROR(__xludf.DUMMYFUNCTION("GOOGLETRANSLATE(A7263, ""en"", ""mt"")"),"Tnaqqis fid-domanda tal-Punent")</f>
        <v>Tnaqqis fid-domanda tal-Punent</v>
      </c>
    </row>
    <row r="7264" ht="15.75" customHeight="1">
      <c r="A7264" s="2" t="s">
        <v>7264</v>
      </c>
      <c r="B7264" s="2" t="str">
        <f>IFERROR(__xludf.DUMMYFUNCTION("GOOGLETRANSLATE(A7264, ""en"", ""mt"")"),"APCs")</f>
        <v>APCs</v>
      </c>
    </row>
    <row r="7265" ht="15.75" customHeight="1">
      <c r="A7265" s="2" t="s">
        <v>7265</v>
      </c>
      <c r="B7265" s="2" t="str">
        <f>IFERROR(__xludf.DUMMYFUNCTION("GOOGLETRANSLATE(A7265, ""en"", ""mt"")"),"djar tal-bidu tas-seklu għoxrin")</f>
        <v>djar tal-bidu tas-seklu għoxrin</v>
      </c>
    </row>
    <row r="7266" ht="15.75" customHeight="1">
      <c r="A7266" s="2" t="s">
        <v>7266</v>
      </c>
      <c r="B7266" s="2" t="str">
        <f>IFERROR(__xludf.DUMMYFUNCTION("GOOGLETRANSLATE(A7266, ""en"", ""mt"")"),"Il-Knisja Metodista Magħquda")</f>
        <v>Il-Knisja Metodista Magħquda</v>
      </c>
    </row>
    <row r="7267" ht="15.75" customHeight="1">
      <c r="A7267" s="2" t="s">
        <v>7267</v>
      </c>
      <c r="B7267" s="2" t="str">
        <f>IFERROR(__xludf.DUMMYFUNCTION("GOOGLETRANSLATE(A7267, ""en"", ""mt"")"),"sid tal-propjetà")</f>
        <v>sid tal-propjetà</v>
      </c>
    </row>
    <row r="7268" ht="15.75" customHeight="1">
      <c r="A7268" s="2" t="s">
        <v>7268</v>
      </c>
      <c r="B7268" s="2" t="str">
        <f>IFERROR(__xludf.DUMMYFUNCTION("GOOGLETRANSLATE(A7268, ""en"", ""mt"")"),"Ossiġnu")</f>
        <v>Ossiġnu</v>
      </c>
    </row>
    <row r="7269" ht="15.75" customHeight="1">
      <c r="A7269" s="2" t="s">
        <v>7269</v>
      </c>
      <c r="B7269" s="2" t="str">
        <f>IFERROR(__xludf.DUMMYFUNCTION("GOOGLETRANSLATE(A7269, ""en"", ""mt"")"),"In-nisġa")</f>
        <v>In-nisġa</v>
      </c>
    </row>
    <row r="7270" ht="15.75" customHeight="1">
      <c r="A7270" s="2" t="s">
        <v>7270</v>
      </c>
      <c r="B7270" s="2" t="str">
        <f>IFERROR(__xludf.DUMMYFUNCTION("GOOGLETRANSLATE(A7270, ""en"", ""mt"")"),"avveniment ta 'tqabbid")</f>
        <v>avveniment ta 'tqabbid</v>
      </c>
    </row>
    <row r="7271" ht="15.75" customHeight="1">
      <c r="A7271" s="2" t="s">
        <v>7271</v>
      </c>
      <c r="B7271" s="2" t="str">
        <f>IFERROR(__xludf.DUMMYFUNCTION("GOOGLETRANSLATE(A7271, ""en"", ""mt"")"),"In-neputi ta 'Genghis Khan Batu")</f>
        <v>In-neputi ta 'Genghis Khan Batu</v>
      </c>
    </row>
    <row r="7272" ht="15.75" customHeight="1">
      <c r="A7272" s="2" t="s">
        <v>7272</v>
      </c>
      <c r="B7272" s="2" t="str">
        <f>IFERROR(__xludf.DUMMYFUNCTION("GOOGLETRANSLATE(A7272, ""en"", ""mt"")"),"Liġijiet inġusti")</f>
        <v>Liġijiet inġusti</v>
      </c>
    </row>
    <row r="7273" ht="15.75" customHeight="1">
      <c r="A7273" s="2" t="s">
        <v>7273</v>
      </c>
      <c r="B7273" s="2" t="str">
        <f>IFERROR(__xludf.DUMMYFUNCTION("GOOGLETRANSLATE(A7273, ""en"", ""mt"")"),"1892")</f>
        <v>1892</v>
      </c>
    </row>
    <row r="7274" ht="15.75" customHeight="1">
      <c r="A7274" s="2" t="s">
        <v>7274</v>
      </c>
      <c r="B7274" s="2" t="str">
        <f>IFERROR(__xludf.DUMMYFUNCTION("GOOGLETRANSLATE(A7274, ""en"", ""mt"")"),"Nofs il-Faħam")</f>
        <v>Nofs il-Faħam</v>
      </c>
    </row>
    <row r="7275" ht="15.75" customHeight="1">
      <c r="A7275" s="2" t="s">
        <v>7275</v>
      </c>
      <c r="B7275" s="2" t="str">
        <f>IFERROR(__xludf.DUMMYFUNCTION("GOOGLETRANSLATE(A7275, ""en"", ""mt"")"),"L-invażjoni falliet kemm militarment kif ukoll politikament")</f>
        <v>L-invażjoni falliet kemm militarment kif ukoll politikament</v>
      </c>
    </row>
    <row r="7276" ht="15.75" customHeight="1">
      <c r="A7276" s="2" t="s">
        <v>7276</v>
      </c>
      <c r="B7276" s="2" t="str">
        <f>IFERROR(__xludf.DUMMYFUNCTION("GOOGLETRANSLATE(A7276, ""en"", ""mt"")"),"Għat-tliet mitt sena li ġejjin, l-Iskozja kienet direttament regolata mill-Parlament tal-Gran Brittanja u l-Parlament Sussegwenti tar-Renju Unit, it-tnejn bilqiegħda f'Westminster, u n-nuqqas ta 'Parlament ta' l-Iskozja baqa 'element importanti fl-identit"&amp;"à nazzjonali Skoċċiża. Suġġerimenti għal parlament 'devolut' saru qabel l-1914, iżda ġew imkabbra minħabba t-tifqigħa tal-Ewwel Gwerra Dinjija. Żieda qawwija fin-nazzjonaliżmu fl-Iskozja matul l-aħħar tas-snin 1960 xprunat it-talbiet għal xi forma ta 'reg"&amp;"ola tad-dar jew indipendenza sħiħa, u fl-1969 wasslet lill-gvern Laburista eżistenti ta' Harold Wilson biex iwaqqaf il-Kummissjoni Kilbrandon biex tikkunsidra l-Kostituzzjoni Ingliża. Wieħed mill-għanijiet ewlenin tal-Kummissjoni kien li jeżamina modi kif"&amp;" tippermetti aktar awto-gvern għall-Iskozja, fl-istat unitarju tar-Renju Unit. Kilbrandon ippubblika r-rapport tiegħu fl-1973 li rrakkomanda t-twaqqif ta 'assemblea Skoċċiża eletta direttament biex tilleġiżla għall-maġġoranza tal-affarijiet Skoċċiżi domes"&amp;"tiċi.")</f>
        <v>Għat-tliet mitt sena li ġejjin, l-Iskozja kienet direttament regolata mill-Parlament tal-Gran Brittanja u l-Parlament Sussegwenti tar-Renju Unit, it-tnejn bilqiegħda f'Westminster, u n-nuqqas ta 'Parlament ta' l-Iskozja baqa 'element importanti fl-identità nazzjonali Skoċċiża. Suġġerimenti għal parlament 'devolut' saru qabel l-1914, iżda ġew imkabbra minħabba t-tifqigħa tal-Ewwel Gwerra Dinjija. Żieda qawwija fin-nazzjonaliżmu fl-Iskozja matul l-aħħar tas-snin 1960 xprunat it-talbiet għal xi forma ta 'regola tad-dar jew indipendenza sħiħa, u fl-1969 wasslet lill-gvern Laburista eżistenti ta' Harold Wilson biex iwaqqaf il-Kummissjoni Kilbrandon biex tikkunsidra l-Kostituzzjoni Ingliża. Wieħed mill-għanijiet ewlenin tal-Kummissjoni kien li jeżamina modi kif tippermetti aktar awto-gvern għall-Iskozja, fl-istat unitarju tar-Renju Unit. Kilbrandon ippubblika r-rapport tiegħu fl-1973 li rrakkomanda t-twaqqif ta 'assemblea Skoċċiża eletta direttament biex tilleġiżla għall-maġġoranza tal-affarijiet Skoċċiżi domestiċi.</v>
      </c>
    </row>
    <row r="7277" ht="15.75" customHeight="1">
      <c r="A7277" s="2" t="s">
        <v>7277</v>
      </c>
      <c r="B7277" s="2" t="str">
        <f>IFERROR(__xludf.DUMMYFUNCTION("GOOGLETRANSLATE(A7277, ""en"", ""mt"")"),"F'liema pajjiż modern twieled Tesla?")</f>
        <v>F'liema pajjiż modern twieled Tesla?</v>
      </c>
    </row>
    <row r="7278" ht="15.75" customHeight="1">
      <c r="A7278" s="2" t="s">
        <v>7278</v>
      </c>
      <c r="B7278" s="2" t="str">
        <f>IFERROR(__xludf.DUMMYFUNCTION("GOOGLETRANSLATE(A7278, ""en"", ""mt"")"),"Ross")</f>
        <v>Ross</v>
      </c>
    </row>
    <row r="7279" ht="15.75" customHeight="1">
      <c r="A7279" s="2" t="s">
        <v>7279</v>
      </c>
      <c r="B7279" s="2" t="str">
        <f>IFERROR(__xludf.DUMMYFUNCTION("GOOGLETRANSLATE(A7279, ""en"", ""mt"")"),"Xi jfisser is-Salafiżmu fl-agħar forma tiegħu li jħeġġeġ lis-segwaċi tiegħu biex jaraw ir-reliġjon ta 'ħaddieħor?")</f>
        <v>Xi jfisser is-Salafiżmu fl-agħar forma tiegħu li jħeġġeġ lis-segwaċi tiegħu biex jaraw ir-reliġjon ta 'ħaddieħor?</v>
      </c>
    </row>
    <row r="7280" ht="15.75" customHeight="1">
      <c r="A7280" s="2" t="s">
        <v>7280</v>
      </c>
      <c r="B7280" s="2" t="str">
        <f>IFERROR(__xludf.DUMMYFUNCTION("GOOGLETRANSLATE(A7280, ""en"", ""mt"")"),"X'inhuma t-tentakli ta 'ctenophores b'ċidipped ġeneralment huma fringed?")</f>
        <v>X'inhuma t-tentakli ta 'ctenophores b'ċidipped ġeneralment huma fringed?</v>
      </c>
    </row>
    <row r="7281" ht="15.75" customHeight="1">
      <c r="A7281" s="2" t="s">
        <v>7281</v>
      </c>
      <c r="B7281" s="2" t="str">
        <f>IFERROR(__xludf.DUMMYFUNCTION("GOOGLETRANSLATE(A7281, ""en"", ""mt"")"),"Għaliex Al-Qaeda qal lil ISIL biex tieħu tlugħ?")</f>
        <v>Għaliex Al-Qaeda qal lil ISIL biex tieħu tlugħ?</v>
      </c>
    </row>
    <row r="7282" ht="15.75" customHeight="1">
      <c r="A7282" s="2" t="s">
        <v>7282</v>
      </c>
      <c r="B7282" s="2" t="str">
        <f>IFERROR(__xludf.DUMMYFUNCTION("GOOGLETRANSLATE(A7282, ""en"", ""mt"")"),"Liema xmara tinsab fil-viċinanza tal-iskola?")</f>
        <v>Liema xmara tinsab fil-viċinanza tal-iskola?</v>
      </c>
    </row>
    <row r="7283" ht="15.75" customHeight="1">
      <c r="A7283" s="2" t="s">
        <v>7283</v>
      </c>
      <c r="B7283" s="2" t="str">
        <f>IFERROR(__xludf.DUMMYFUNCTION("GOOGLETRANSLATE(A7283, ""en"", ""mt"")"),"għandu jgħix")</f>
        <v>għandu jgħix</v>
      </c>
    </row>
    <row r="7284" ht="15.75" customHeight="1">
      <c r="A7284" s="2" t="s">
        <v>7284</v>
      </c>
      <c r="B7284" s="2" t="str">
        <f>IFERROR(__xludf.DUMMYFUNCTION("GOOGLETRANSLATE(A7284, ""en"", ""mt"")"),"Porzjonijiet tal-Punent tar-Reġjun tal-Lagi l-Kbar")</f>
        <v>Porzjonijiet tal-Punent tar-Reġjun tal-Lagi l-Kbar</v>
      </c>
    </row>
    <row r="7285" ht="15.75" customHeight="1">
      <c r="A7285" s="2" t="s">
        <v>7285</v>
      </c>
      <c r="B7285" s="2" t="str">
        <f>IFERROR(__xludf.DUMMYFUNCTION("GOOGLETRANSLATE(A7285, ""en"", ""mt"")"),"injorat it-twissija.")</f>
        <v>injorat it-twissija.</v>
      </c>
    </row>
    <row r="7286" ht="15.75" customHeight="1">
      <c r="A7286" s="2" t="s">
        <v>7286</v>
      </c>
      <c r="B7286" s="2" t="str">
        <f>IFERROR(__xludf.DUMMYFUNCTION("GOOGLETRANSLATE(A7286, ""en"", ""mt"")"),"L-ewwel liġi")</f>
        <v>L-ewwel liġi</v>
      </c>
    </row>
    <row r="7287" ht="15.75" customHeight="1">
      <c r="A7287" s="2" t="s">
        <v>7287</v>
      </c>
      <c r="B7287" s="2" t="str">
        <f>IFERROR(__xludf.DUMMYFUNCTION("GOOGLETRANSLATE(A7287, ""en"", ""mt"")"),"Xi tfisser il-pressjoni politika biex testendi biex tikkumpensa għall-istaġnar tal-poter tax-xiri?")</f>
        <v>Xi tfisser il-pressjoni politika biex testendi biex tikkumpensa għall-istaġnar tal-poter tax-xiri?</v>
      </c>
    </row>
    <row r="7288" ht="15.75" customHeight="1">
      <c r="A7288" s="2" t="s">
        <v>7288</v>
      </c>
      <c r="B7288" s="2" t="str">
        <f>IFERROR(__xludf.DUMMYFUNCTION("GOOGLETRANSLATE(A7288, ""en"", ""mt"")"),"F'liema każ ġie kkonstatat li d-dispożizzjonijiet tat-trattati huma effettivi direttament jekk huma ċari, inkondizzjonati, u m'għandhomx bżonn aktar azzjoni mill-UE jew mill-awtoritajiet nazzjonali?")</f>
        <v>F'liema każ ġie kkonstatat li d-dispożizzjonijiet tat-trattati huma effettivi direttament jekk huma ċari, inkondizzjonati, u m'għandhomx bżonn aktar azzjoni mill-UE jew mill-awtoritajiet nazzjonali?</v>
      </c>
    </row>
    <row r="7289" ht="15.75" customHeight="1">
      <c r="A7289" s="2" t="s">
        <v>7289</v>
      </c>
      <c r="B7289" s="2" t="str">
        <f>IFERROR(__xludf.DUMMYFUNCTION("GOOGLETRANSLATE(A7289, ""en"", ""mt"")"),"Kemm diviżjonijiet kienu jinkludu l-armata ta 'Genghis Khan f'Khwarezmia?")</f>
        <v>Kemm diviżjonijiet kienu jinkludu l-armata ta 'Genghis Khan f'Khwarezmia?</v>
      </c>
    </row>
    <row r="7290" ht="15.75" customHeight="1">
      <c r="A7290" s="2" t="s">
        <v>7290</v>
      </c>
      <c r="B7290" s="2" t="str">
        <f>IFERROR(__xludf.DUMMYFUNCTION("GOOGLETRANSLATE(A7290, ""en"", ""mt"")"),"Kemm trab tal-kanun inqered fl-attakk?")</f>
        <v>Kemm trab tal-kanun inqered fl-attakk?</v>
      </c>
    </row>
    <row r="7291" ht="15.75" customHeight="1">
      <c r="A7291" s="2" t="s">
        <v>7291</v>
      </c>
      <c r="B7291" s="2" t="str">
        <f>IFERROR(__xludf.DUMMYFUNCTION("GOOGLETRANSLATE(A7291, ""en"", ""mt"")"),"Liema kelma Mongoljana li tfisser tixrid wiesa 'tista' kkontribwixxiet għall-appell Genghis?")</f>
        <v>Liema kelma Mongoljana li tfisser tixrid wiesa 'tista' kkontribwixxiet għall-appell Genghis?</v>
      </c>
    </row>
    <row r="7292" ht="15.75" customHeight="1">
      <c r="A7292" s="2" t="s">
        <v>7292</v>
      </c>
      <c r="B7292" s="2" t="str">
        <f>IFERROR(__xludf.DUMMYFUNCTION("GOOGLETRANSLATE(A7292, ""en"", ""mt"")"),"Analiżi tal-algoritmi")</f>
        <v>Analiżi tal-algoritmi</v>
      </c>
    </row>
    <row r="7293" ht="15.75" customHeight="1">
      <c r="A7293" s="2" t="s">
        <v>7293</v>
      </c>
      <c r="B7293" s="2" t="str">
        <f>IFERROR(__xludf.DUMMYFUNCTION("GOOGLETRANSLATE(A7293, ""en"", ""mt"")"),"Leonard Goldenson, il-president tal-UPT (li fittex li jiddiversifika ruħu dak iż-żmien), avviċina lil Noble fl-1951 fuq proposta għal UPT biex tixtri ABC. Noble rċieva offerti oħra, inkluż wieħed mill-fundatur tas-CBS William S. Paley; Madankollu, għaqda "&amp;"ma 'CBS kienet ġiegħlet lil dik in-netwerk tbiegħ l-istazzjonijiet tagħha ta' New York City u Los Angeles għall-inqas. Goldenson u Noble laħqu ftehim tentattiv fl-aħħar tar-rebbiegħa tal-1951 li fih il-UPT jakkwistaw ABC u jibdluha f'sussidjarja tal-kumpa"&amp;"nija li żżomm l-awtonomija fil-ġestjoni tagħha. Fis-6 ta 'Ġunju, 1951, il-ftehim tentattiv ġie approvat mill-bord tad-diretturi tal-UPT. Madankollu, it-tranżazzjoni kellha tiġi approvata mill-FCC minħabba l-preżenza ta 'netwerks tat-televiżjoni u s-separa"&amp;"zzjoni reċenti bejn Paramount u UPT. Safejn Paramount Pictures kien diġà azzjonist fin-Netwerk tat-Televiżjoni Dumont, l-FCC mexxiet serje ta 'seduti biex tiżgura jekk Paramount kien tassew separat mit-teatri tal-Paramount United, u jekk kienx qed jikser "&amp;"il-liġijiet antitrust.")</f>
        <v>Leonard Goldenson, il-president tal-UPT (li fittex li jiddiversifika ruħu dak iż-żmien), avviċina lil Noble fl-1951 fuq proposta għal UPT biex tixtri ABC. Noble rċieva offerti oħra, inkluż wieħed mill-fundatur tas-CBS William S. Paley; Madankollu, għaqda ma 'CBS kienet ġiegħlet lil dik in-netwerk tbiegħ l-istazzjonijiet tagħha ta' New York City u Los Angeles għall-inqas. Goldenson u Noble laħqu ftehim tentattiv fl-aħħar tar-rebbiegħa tal-1951 li fih il-UPT jakkwistaw ABC u jibdluha f'sussidjarja tal-kumpanija li żżomm l-awtonomija fil-ġestjoni tagħha. Fis-6 ta 'Ġunju, 1951, il-ftehim tentattiv ġie approvat mill-bord tad-diretturi tal-UPT. Madankollu, it-tranżazzjoni kellha tiġi approvata mill-FCC minħabba l-preżenza ta 'netwerks tat-televiżjoni u s-separazzjoni reċenti bejn Paramount u UPT. Safejn Paramount Pictures kien diġà azzjonist fin-Netwerk tat-Televiżjoni Dumont, l-FCC mexxiet serje ta 'seduti biex tiżgura jekk Paramount kien tassew separat mit-teatri tal-Paramount United, u jekk kienx qed jikser il-liġijiet antitrust.</v>
      </c>
    </row>
    <row r="7294" ht="15.75" customHeight="1">
      <c r="A7294" s="2" t="s">
        <v>7294</v>
      </c>
      <c r="B7294" s="2" t="str">
        <f>IFERROR(__xludf.DUMMYFUNCTION("GOOGLETRANSLATE(A7294, ""en"", ""mt"")"),"X'għandhom studji dwar l-inugwaljanza fid-dħul kultant sabu evidenza li tikkonferma?")</f>
        <v>X'għandhom studji dwar l-inugwaljanza fid-dħul kultant sabu evidenza li tikkonferma?</v>
      </c>
    </row>
    <row r="7295" ht="15.75" customHeight="1">
      <c r="A7295" s="2" t="s">
        <v>7295</v>
      </c>
      <c r="B7295" s="2" t="str">
        <f>IFERROR(__xludf.DUMMYFUNCTION("GOOGLETRANSLATE(A7295, ""en"", ""mt"")"),"Impass kostituzzjonali huwa differenti mid-diżubbidjenza ċivili għaliex ma jinkludix liema tip ta 'persuna?")</f>
        <v>Impass kostituzzjonali huwa differenti mid-diżubbidjenza ċivili għaliex ma jinkludix liema tip ta 'persuna?</v>
      </c>
    </row>
    <row r="7296" ht="15.75" customHeight="1">
      <c r="A7296" s="2" t="s">
        <v>7296</v>
      </c>
      <c r="B7296" s="2" t="str">
        <f>IFERROR(__xludf.DUMMYFUNCTION("GOOGLETRANSLATE(A7296, ""en"", ""mt"")"),"Francisco de Orellana")</f>
        <v>Francisco de Orellana</v>
      </c>
    </row>
    <row r="7297" ht="15.75" customHeight="1">
      <c r="A7297" s="2" t="s">
        <v>7297</v>
      </c>
      <c r="B7297" s="2" t="str">
        <f>IFERROR(__xludf.DUMMYFUNCTION("GOOGLETRANSLATE(A7297, ""en"", ""mt"")"),"Abolizzjoni tal-Kalifat Ottoman")</f>
        <v>Abolizzjoni tal-Kalifat Ottoman</v>
      </c>
    </row>
    <row r="7298" ht="15.75" customHeight="1">
      <c r="A7298" s="2" t="s">
        <v>7298</v>
      </c>
      <c r="B7298" s="2" t="str">
        <f>IFERROR(__xludf.DUMMYFUNCTION("GOOGLETRANSLATE(A7298, ""en"", ""mt"")"),"Liema żona ta 'Khwarezmia għamlet l-ewwel u t-tieni diviżjoni tal-Armata Mongoljana fil-mira ta' attakk ta 'pincer?")</f>
        <v>Liema żona ta 'Khwarezmia għamlet l-ewwel u t-tieni diviżjoni tal-Armata Mongoljana fil-mira ta' attakk ta 'pincer?</v>
      </c>
    </row>
    <row r="7299" ht="15.75" customHeight="1">
      <c r="A7299" s="2" t="s">
        <v>7299</v>
      </c>
      <c r="B7299" s="2" t="str">
        <f>IFERROR(__xludf.DUMMYFUNCTION("GOOGLETRANSLATE(A7299, ""en"", ""mt"")"),"sid")</f>
        <v>sid</v>
      </c>
    </row>
    <row r="7300" ht="15.75" customHeight="1">
      <c r="A7300" s="2" t="s">
        <v>7300</v>
      </c>
      <c r="B7300" s="2" t="str">
        <f>IFERROR(__xludf.DUMMYFUNCTION("GOOGLETRANSLATE(A7300, ""en"", ""mt"")"),"X'inhi l-profezija f'Daniel li interessa lil Luther?")</f>
        <v>X'inhi l-profezija f'Daniel li interessa lil Luther?</v>
      </c>
    </row>
    <row r="7301" ht="15.75" customHeight="1">
      <c r="A7301" s="2" t="s">
        <v>7301</v>
      </c>
      <c r="B7301" s="2" t="str">
        <f>IFERROR(__xludf.DUMMYFUNCTION("GOOGLETRANSLATE(A7301, ""en"", ""mt"")"),"L-enfasi fuq il-mentoring spiritwali fl-Induiżmu hija għolja jew baxxa?")</f>
        <v>L-enfasi fuq il-mentoring spiritwali fl-Induiżmu hija għolja jew baxxa?</v>
      </c>
    </row>
    <row r="7302" ht="15.75" customHeight="1">
      <c r="A7302" s="2" t="s">
        <v>7302</v>
      </c>
      <c r="B7302" s="2" t="str">
        <f>IFERROR(__xludf.DUMMYFUNCTION("GOOGLETRANSLATE(A7302, ""en"", ""mt"")"),"jibqgħu siekta")</f>
        <v>jibqgħu siekta</v>
      </c>
    </row>
    <row r="7303" ht="15.75" customHeight="1">
      <c r="A7303" s="2" t="s">
        <v>7303</v>
      </c>
      <c r="B7303" s="2" t="str">
        <f>IFERROR(__xludf.DUMMYFUNCTION("GOOGLETRANSLATE(A7303, ""en"", ""mt"")"),"2 millimetri (0.079 in)")</f>
        <v>2 millimetri (0.079 in)</v>
      </c>
    </row>
    <row r="7304" ht="15.75" customHeight="1">
      <c r="A7304" s="2" t="s">
        <v>7304</v>
      </c>
      <c r="B7304" s="2" t="str">
        <f>IFERROR(__xludf.DUMMYFUNCTION("GOOGLETRANSLATE(A7304, ""en"", ""mt"")"),"Xi jfisser l-ATP synthase fl-ATP?")</f>
        <v>Xi jfisser l-ATP synthase fl-ATP?</v>
      </c>
    </row>
    <row r="7305" ht="15.75" customHeight="1">
      <c r="A7305" s="2" t="s">
        <v>7305</v>
      </c>
      <c r="B7305" s="2" t="str">
        <f>IFERROR(__xludf.DUMMYFUNCTION("GOOGLETRANSLATE(A7305, ""en"", ""mt"")"),"Min ġie nominat bħala t-tim tad-dar fis-Super Bowl?")</f>
        <v>Min ġie nominat bħala t-tim tad-dar fis-Super Bowl?</v>
      </c>
    </row>
    <row r="7306" ht="15.75" customHeight="1">
      <c r="A7306" s="2" t="s">
        <v>7306</v>
      </c>
      <c r="B7306" s="2" t="str">
        <f>IFERROR(__xludf.DUMMYFUNCTION("GOOGLETRANSLATE(A7306, ""en"", ""mt"")"),"F'liema sena ABC stilizza l-logo tiegħu bħala ABC?")</f>
        <v>F'liema sena ABC stilizza l-logo tiegħu bħala ABC?</v>
      </c>
    </row>
    <row r="7307" ht="15.75" customHeight="1">
      <c r="A7307" s="2" t="s">
        <v>7307</v>
      </c>
      <c r="B7307" s="2" t="str">
        <f>IFERROR(__xludf.DUMMYFUNCTION("GOOGLETRANSLATE(A7307, ""en"", ""mt"")"),"Mark Woods")</f>
        <v>Mark Woods</v>
      </c>
    </row>
    <row r="7308" ht="15.75" customHeight="1">
      <c r="A7308" s="2" t="s">
        <v>7308</v>
      </c>
      <c r="B7308" s="2" t="str">
        <f>IFERROR(__xludf.DUMMYFUNCTION("GOOGLETRANSLATE(A7308, ""en"", ""mt"")"),"X’wassal is-separazzjoni tal-Metodisti fil-kolonji Amerikani?")</f>
        <v>X’wassal is-separazzjoni tal-Metodisti fil-kolonji Amerikani?</v>
      </c>
    </row>
    <row r="7309" ht="15.75" customHeight="1">
      <c r="A7309" s="2" t="s">
        <v>7309</v>
      </c>
      <c r="B7309" s="2" t="str">
        <f>IFERROR(__xludf.DUMMYFUNCTION("GOOGLETRANSLATE(A7309, ""en"", ""mt"")"),"Min oġġezzjona għall-kollezzjonijiet ta 'flus ta' Tetzel biex jeħles l-erwieħ mill-purgatorju?")</f>
        <v>Min oġġezzjona għall-kollezzjonijiet ta 'flus ta' Tetzel biex jeħles l-erwieħ mill-purgatorju?</v>
      </c>
    </row>
    <row r="7310" ht="15.75" customHeight="1">
      <c r="A7310" s="2" t="s">
        <v>7310</v>
      </c>
      <c r="B7310" s="2" t="str">
        <f>IFERROR(__xludf.DUMMYFUNCTION("GOOGLETRANSLATE(A7310, ""en"", ""mt"")"),"Xi jfisser rapport taċ-Ċensiment tal-Istati Uniti li anke wara fatturi oħra għad hemm dan bejn il-qligħ tal-irġiel u n-nisa?")</f>
        <v>Xi jfisser rapport taċ-Ċensiment tal-Istati Uniti li anke wara fatturi oħra għad hemm dan bejn il-qligħ tal-irġiel u n-nisa?</v>
      </c>
    </row>
    <row r="7311" ht="15.75" customHeight="1">
      <c r="A7311" s="2" t="s">
        <v>7311</v>
      </c>
      <c r="B7311" s="2" t="str">
        <f>IFERROR(__xludf.DUMMYFUNCTION("GOOGLETRANSLATE(A7311, ""en"", ""mt"")"),"Teorija tal-Kompjuter")</f>
        <v>Teorija tal-Kompjuter</v>
      </c>
    </row>
    <row r="7312" ht="15.75" customHeight="1">
      <c r="A7312" s="2" t="s">
        <v>7312</v>
      </c>
      <c r="B7312" s="2" t="str">
        <f>IFERROR(__xludf.DUMMYFUNCTION("GOOGLETRANSLATE(A7312, ""en"", ""mt"")"),"X'kien l-interess ċentrali tal-Ġermanja?")</f>
        <v>X'kien l-interess ċentrali tal-Ġermanja?</v>
      </c>
    </row>
    <row r="7313" ht="15.75" customHeight="1">
      <c r="A7313" s="2" t="s">
        <v>7313</v>
      </c>
      <c r="B7313" s="2" t="str">
        <f>IFERROR(__xludf.DUMMYFUNCTION("GOOGLETRANSLATE(A7313, ""en"", ""mt"")"),"Il-verżjoni tal-2005 ta 'Doctor Who")</f>
        <v>Il-verżjoni tal-2005 ta 'Doctor Who</v>
      </c>
    </row>
    <row r="7314" ht="15.75" customHeight="1">
      <c r="A7314" s="2" t="s">
        <v>7314</v>
      </c>
      <c r="B7314" s="2" t="str">
        <f>IFERROR(__xludf.DUMMYFUNCTION("GOOGLETRANSLATE(A7314, ""en"", ""mt"")"),"24 sena mandat.")</f>
        <v>24 sena mandat.</v>
      </c>
    </row>
    <row r="7315" ht="15.75" customHeight="1">
      <c r="A7315" s="2" t="s">
        <v>7315</v>
      </c>
      <c r="B7315" s="2" t="str">
        <f>IFERROR(__xludf.DUMMYFUNCTION("GOOGLETRANSLATE(A7315, ""en"", ""mt"")"),"Applikazzjoni tal-elettriku")</f>
        <v>Applikazzjoni tal-elettriku</v>
      </c>
    </row>
    <row r="7316" ht="15.75" customHeight="1">
      <c r="A7316" s="2" t="s">
        <v>7316</v>
      </c>
      <c r="B7316" s="2" t="str">
        <f>IFERROR(__xludf.DUMMYFUNCTION("GOOGLETRANSLATE(A7316, ""en"", ""mt"")"),"Xi tfisser l-istorja sigrieta tgħid li Genghis Khan kien qed jagħmel meta ġarrab il-ġrieħi mortali tiegħu?")</f>
        <v>Xi tfisser l-istorja sigrieta tgħid li Genghis Khan kien qed jagħmel meta ġarrab il-ġrieħi mortali tiegħu?</v>
      </c>
    </row>
    <row r="7317" ht="15.75" customHeight="1">
      <c r="A7317" s="2" t="s">
        <v>7317</v>
      </c>
      <c r="B7317" s="2" t="str">
        <f>IFERROR(__xludf.DUMMYFUNCTION("GOOGLETRANSLATE(A7317, ""en"", ""mt"")"),"John Vanderbank")</f>
        <v>John Vanderbank</v>
      </c>
    </row>
    <row r="7318" ht="15.75" customHeight="1">
      <c r="A7318" s="2" t="s">
        <v>7318</v>
      </c>
      <c r="B7318" s="2" t="str">
        <f>IFERROR(__xludf.DUMMYFUNCTION("GOOGLETRANSLATE(A7318, ""en"", ""mt"")"),"X'implikat Luther dwar Philip I?")</f>
        <v>X'implikat Luther dwar Philip I?</v>
      </c>
    </row>
    <row r="7319" ht="15.75" customHeight="1">
      <c r="A7319" s="2" t="s">
        <v>7319</v>
      </c>
      <c r="B7319" s="2" t="str">
        <f>IFERROR(__xludf.DUMMYFUNCTION("GOOGLETRANSLATE(A7319, ""en"", ""mt"")"),"X'inhu isem ġenerali ieħor għal għalliem reliġjuż?")</f>
        <v>X'inhu isem ġenerali ieħor għal għalliem reliġjuż?</v>
      </c>
    </row>
    <row r="7320" ht="15.75" customHeight="1">
      <c r="A7320" s="2" t="s">
        <v>7320</v>
      </c>
      <c r="B7320" s="2" t="str">
        <f>IFERROR(__xludf.DUMMYFUNCTION("GOOGLETRANSLATE(A7320, ""en"", ""mt"")"),"Leonardo da Vinci")</f>
        <v>Leonardo da Vinci</v>
      </c>
    </row>
    <row r="7321" ht="15.75" customHeight="1">
      <c r="A7321" s="2" t="s">
        <v>7321</v>
      </c>
      <c r="B7321" s="2" t="str">
        <f>IFERROR(__xludf.DUMMYFUNCTION("GOOGLETRANSLATE(A7321, ""en"", ""mt"")"),"Kemm passiġġieri fis-sena jimmaniġġa l-ajruport ta 'Newcastle?")</f>
        <v>Kemm passiġġieri fis-sena jimmaniġġa l-ajruport ta 'Newcastle?</v>
      </c>
    </row>
    <row r="7322" ht="15.75" customHeight="1">
      <c r="A7322" s="2" t="s">
        <v>7322</v>
      </c>
      <c r="B7322" s="2" t="str">
        <f>IFERROR(__xludf.DUMMYFUNCTION("GOOGLETRANSLATE(A7322, ""en"", ""mt"")"),"""zip"" il-ħalq jingħalaq meta l-annimal ma jkunx qed jitma '")</f>
        <v>"zip" il-ħalq jingħalaq meta l-annimal ma jkunx qed jitma '</v>
      </c>
    </row>
    <row r="7323" ht="15.75" customHeight="1">
      <c r="A7323" s="2" t="s">
        <v>7323</v>
      </c>
      <c r="B7323" s="2" t="str">
        <f>IFERROR(__xludf.DUMMYFUNCTION("GOOGLETRANSLATE(A7323, ""en"", ""mt"")"),"ma 'cangue, tip ta' ħażniet portabbli")</f>
        <v>ma 'cangue, tip ta' ħażniet portabbli</v>
      </c>
    </row>
    <row r="7324" ht="15.75" customHeight="1">
      <c r="A7324" s="2" t="s">
        <v>7324</v>
      </c>
      <c r="B7324" s="2" t="str">
        <f>IFERROR(__xludf.DUMMYFUNCTION("GOOGLETRANSLATE(A7324, ""en"", ""mt"")"),"forom inġusti ta 'awtorità")</f>
        <v>forom inġusti ta 'awtorità</v>
      </c>
    </row>
    <row r="7325" ht="15.75" customHeight="1">
      <c r="A7325" s="2" t="s">
        <v>7325</v>
      </c>
      <c r="B7325" s="2" t="str">
        <f>IFERROR(__xludf.DUMMYFUNCTION("GOOGLETRANSLATE(A7325, ""en"", ""mt"")"),"Murray Gold u Ben Foster")</f>
        <v>Murray Gold u Ben Foster</v>
      </c>
    </row>
    <row r="7326" ht="15.75" customHeight="1">
      <c r="A7326" s="2" t="s">
        <v>7326</v>
      </c>
      <c r="B7326" s="2" t="str">
        <f>IFERROR(__xludf.DUMMYFUNCTION("GOOGLETRANSLATE(A7326, ""en"", ""mt"")"),"bejn wieħed u ieħor 80%")</f>
        <v>bejn wieħed u ieħor 80%</v>
      </c>
    </row>
    <row r="7327" ht="15.75" customHeight="1">
      <c r="A7327" s="2" t="s">
        <v>7327</v>
      </c>
      <c r="B7327" s="2" t="str">
        <f>IFERROR(__xludf.DUMMYFUNCTION("GOOGLETRANSLATE(A7327, ""en"", ""mt"")"),"mill-inqas erba 'passiġġieri")</f>
        <v>mill-inqas erba 'passiġġieri</v>
      </c>
    </row>
    <row r="7328" ht="15.75" customHeight="1">
      <c r="A7328" s="2" t="s">
        <v>7328</v>
      </c>
      <c r="B7328" s="2" t="str">
        <f>IFERROR(__xludf.DUMMYFUNCTION("GOOGLETRANSLATE(A7328, ""en"", ""mt"")"),"Kontijiet")</f>
        <v>Kontijiet</v>
      </c>
    </row>
    <row r="7329" ht="15.75" customHeight="1">
      <c r="A7329" s="2" t="s">
        <v>7329</v>
      </c>
      <c r="B7329" s="2" t="str">
        <f>IFERROR(__xludf.DUMMYFUNCTION("GOOGLETRANSLATE(A7329, ""en"", ""mt"")"),"Fejn saru l-laqgħat tar-rebbiegħa tas-sidien tal-NFL?")</f>
        <v>Fejn saru l-laqgħat tar-rebbiegħa tas-sidien tal-NFL?</v>
      </c>
    </row>
    <row r="7330" ht="15.75" customHeight="1">
      <c r="A7330" s="2" t="s">
        <v>7330</v>
      </c>
      <c r="B7330" s="2" t="str">
        <f>IFERROR(__xludf.DUMMYFUNCTION("GOOGLETRANSLATE(A7330, ""en"", ""mt"")"),"Il- ""Ħames Big""")</f>
        <v>Il- "Ħames Big"</v>
      </c>
    </row>
    <row r="7331" ht="15.75" customHeight="1">
      <c r="A7331" s="2" t="s">
        <v>7331</v>
      </c>
      <c r="B7331" s="2" t="str">
        <f>IFERROR(__xludf.DUMMYFUNCTION("GOOGLETRANSLATE(A7331, ""en"", ""mt"")"),"iħallas il-kera tiegħu")</f>
        <v>iħallas il-kera tiegħu</v>
      </c>
    </row>
    <row r="7332" ht="15.75" customHeight="1">
      <c r="A7332" s="2" t="s">
        <v>7332</v>
      </c>
      <c r="B7332" s="2" t="str">
        <f>IFERROR(__xludf.DUMMYFUNCTION("GOOGLETRANSLATE(A7332, ""en"", ""mt"")"),"Meta ġraw is-serje ta 'strajkijiet?")</f>
        <v>Meta ġraw is-serje ta 'strajkijiet?</v>
      </c>
    </row>
    <row r="7333" ht="15.75" customHeight="1">
      <c r="A7333" s="2" t="s">
        <v>7333</v>
      </c>
      <c r="B7333" s="2" t="str">
        <f>IFERROR(__xludf.DUMMYFUNCTION("GOOGLETRANSLATE(A7333, ""en"", ""mt"")"),"Ed Whitfield")</f>
        <v>Ed Whitfield</v>
      </c>
    </row>
    <row r="7334" ht="15.75" customHeight="1">
      <c r="A7334" s="2" t="s">
        <v>7334</v>
      </c>
      <c r="B7334" s="2" t="str">
        <f>IFERROR(__xludf.DUMMYFUNCTION("GOOGLETRANSLATE(A7334, ""en"", ""mt"")"),"Medjevali")</f>
        <v>Medjevali</v>
      </c>
    </row>
    <row r="7335" ht="15.75" customHeight="1">
      <c r="A7335" s="2" t="s">
        <v>7335</v>
      </c>
      <c r="B7335" s="2" t="str">
        <f>IFERROR(__xludf.DUMMYFUNCTION("GOOGLETRANSLATE(A7335, ""en"", ""mt"")"),"John u Charles Wesley fl-Ingilterra")</f>
        <v>John u Charles Wesley fl-Ingilterra</v>
      </c>
    </row>
    <row r="7336" ht="15.75" customHeight="1">
      <c r="A7336" s="2" t="s">
        <v>7336</v>
      </c>
      <c r="B7336" s="2" t="str">
        <f>IFERROR(__xludf.DUMMYFUNCTION("GOOGLETRANSLATE(A7336, ""en"", ""mt"")"),"Luther x’sejjaħ il-Quddiesa minflok is-sagrifiċċju?")</f>
        <v>Luther x’sejjaħ il-Quddiesa minflok is-sagrifiċċju?</v>
      </c>
    </row>
    <row r="7337" ht="15.75" customHeight="1">
      <c r="A7337" s="2" t="s">
        <v>7337</v>
      </c>
      <c r="B7337" s="2" t="str">
        <f>IFERROR(__xludf.DUMMYFUNCTION("GOOGLETRANSLATE(A7337, ""en"", ""mt"")"),"Kristjaneżmu")</f>
        <v>Kristjaneżmu</v>
      </c>
    </row>
    <row r="7338" ht="15.75" customHeight="1">
      <c r="A7338" s="2" t="s">
        <v>7338</v>
      </c>
      <c r="B7338" s="2" t="str">
        <f>IFERROR(__xludf.DUMMYFUNCTION("GOOGLETRANSLATE(A7338, ""en"", ""mt"")"),"5-ċilindru")</f>
        <v>5-ċilindru</v>
      </c>
    </row>
    <row r="7339" ht="15.75" customHeight="1">
      <c r="A7339" s="2" t="s">
        <v>7339</v>
      </c>
      <c r="B7339" s="2" t="str">
        <f>IFERROR(__xludf.DUMMYFUNCTION("GOOGLETRANSLATE(A7339, ""en"", ""mt"")"),"Meta ġie ppruvat it-teorema tan-numru ewlieni?")</f>
        <v>Meta ġie ppruvat it-teorema tan-numru ewlieni?</v>
      </c>
    </row>
    <row r="7340" ht="15.75" customHeight="1">
      <c r="A7340" s="2" t="s">
        <v>7340</v>
      </c>
      <c r="B7340" s="2" t="str">
        <f>IFERROR(__xludf.DUMMYFUNCTION("GOOGLETRANSLATE(A7340, ""en"", ""mt"")"),"X'inhu l-liberaliżmu ekonomiku wieħed mill-kawżi ta '?")</f>
        <v>X'inhu l-liberaliżmu ekonomiku wieħed mill-kawżi ta '?</v>
      </c>
    </row>
    <row r="7341" ht="15.75" customHeight="1">
      <c r="A7341" s="2" t="s">
        <v>7341</v>
      </c>
      <c r="B7341" s="2" t="str">
        <f>IFERROR(__xludf.DUMMYFUNCTION("GOOGLETRANSLATE(A7341, ""en"", ""mt"")"),"F'liema proċess huma riċiklati l-elettroni?")</f>
        <v>F'liema proċess huma riċiklati l-elettroni?</v>
      </c>
    </row>
    <row r="7342" ht="15.75" customHeight="1">
      <c r="A7342" s="2" t="s">
        <v>7342</v>
      </c>
      <c r="B7342" s="2" t="str">
        <f>IFERROR(__xludf.DUMMYFUNCTION("GOOGLETRANSLATE(A7342, ""en"", ""mt"")"),"Liema storja ta 'Doctor Who mill-1970 hija disponibbli fuq Blu-ray?")</f>
        <v>Liema storja ta 'Doctor Who mill-1970 hija disponibbli fuq Blu-ray?</v>
      </c>
    </row>
    <row r="7343" ht="15.75" customHeight="1">
      <c r="A7343" s="2" t="s">
        <v>7343</v>
      </c>
      <c r="B7343" s="2" t="str">
        <f>IFERROR(__xludf.DUMMYFUNCTION("GOOGLETRANSLATE(A7343, ""en"", ""mt"")"),"L-ekonomista Joseph Stiglitz jargumenta li minflok ma jispjega konċentrazzjonijiet ta 'ġid u dħul, il-forzi tas-suq għandhom iservu ta' brejk fuq din il-konċentrazzjoni, li tista 'tkun spjegata aħjar mill-forza mhux tas-suq magħrufa bħala ""tfittxija tal-"&amp;"kera"". Filwaqt li s-suq se joffri kumpens għall-ħiliet rari u mixtieqa biex jippremja l-ħolqien tal-ġid, produttività akbar, eċċ., Huwa jipprevjeni wkoll lill-intraprendituri ta 'suċċess milli jaqilgħu profitti żejda billi jrawmu l-kompetizzjoni biex ina"&amp;"qqsu l-prezzijiet, il-profitti u kumpens kbir. Spjegatur aħjar tal-inugwaljanza dejjem tikber, skond Stiglitz, huwa l-użu tal-poter politiku ġġenerat mill-ġid minn ċerti gruppi biex jiffurmaw politiki tal-gvern ta 'benefiċċju finanzjarju għalihom. Dan il-"&amp;"proċess, magħruf għall-ekonomisti bħala li jfittex il-kera, iġib dħul mhux mill-ħolqien tal-ġid iżda minn ""jaqbad sehem akbar mill-ġid li kieku kien jiġi prodott mingħajr l-isforz tagħhom""")</f>
        <v>L-ekonomista Joseph Stiglitz jargumenta li minflok ma jispjega konċentrazzjonijiet ta 'ġid u dħul, il-forzi tas-suq għandhom iservu ta' brejk fuq din il-konċentrazzjoni, li tista 'tkun spjegata aħjar mill-forza mhux tas-suq magħrufa bħala "tfittxija tal-kera". Filwaqt li s-suq se joffri kumpens għall-ħiliet rari u mixtieqa biex jippremja l-ħolqien tal-ġid, produttività akbar, eċċ., Huwa jipprevjeni wkoll lill-intraprendituri ta 'suċċess milli jaqilgħu profitti żejda billi jrawmu l-kompetizzjoni biex inaqqsu l-prezzijiet, il-profitti u kumpens kbir. Spjegatur aħjar tal-inugwaljanza dejjem tikber, skond Stiglitz, huwa l-użu tal-poter politiku ġġenerat mill-ġid minn ċerti gruppi biex jiffurmaw politiki tal-gvern ta 'benefiċċju finanzjarju għalihom. Dan il-proċess, magħruf għall-ekonomisti bħala li jfittex il-kera, iġib dħul mhux mill-ħolqien tal-ġid iżda minn "jaqbad sehem akbar mill-ġid li kieku kien jiġi prodott mingħajr l-isforz tagħhom"</v>
      </c>
    </row>
    <row r="7344" ht="15.75" customHeight="1">
      <c r="A7344" s="2" t="s">
        <v>7344</v>
      </c>
      <c r="B7344" s="2" t="str">
        <f>IFERROR(__xludf.DUMMYFUNCTION("GOOGLETRANSLATE(A7344, ""en"", ""mt"")"),"Meta Franza ħadet il-kontroll tal-Alġerija?")</f>
        <v>Meta Franza ħadet il-kontroll tal-Alġerija?</v>
      </c>
    </row>
    <row r="7345" ht="15.75" customHeight="1">
      <c r="A7345" s="2" t="s">
        <v>7345</v>
      </c>
      <c r="B7345" s="2" t="str">
        <f>IFERROR(__xludf.DUMMYFUNCTION("GOOGLETRANSLATE(A7345, ""en"", ""mt"")"),"X’bnew it-tliet katidrali kollha fi Newcastle?")</f>
        <v>X’bnew it-tliet katidrali kollha fi Newcastle?</v>
      </c>
    </row>
    <row r="7346" ht="15.75" customHeight="1">
      <c r="A7346" s="2" t="s">
        <v>7346</v>
      </c>
      <c r="B7346" s="2" t="str">
        <f>IFERROR(__xludf.DUMMYFUNCTION("GOOGLETRANSLATE(A7346, ""en"", ""mt"")"),"Maududi kien imħarreġ bħala avukat, imma għażel liema professjonist għalih innifsu minflok?")</f>
        <v>Maududi kien imħarreġ bħala avukat, imma għażel liema professjonist għalih innifsu minflok?</v>
      </c>
    </row>
    <row r="7347" ht="15.75" customHeight="1">
      <c r="A7347" s="2" t="s">
        <v>7347</v>
      </c>
      <c r="B7347" s="2" t="str">
        <f>IFERROR(__xludf.DUMMYFUNCTION("GOOGLETRANSLATE(A7347, ""en"", ""mt"")"),"Goldenson ippropona għaqda bejn UPT u liema netwerk f'Ottubru 1954?")</f>
        <v>Goldenson ippropona għaqda bejn UPT u liema netwerk f'Ottubru 1954?</v>
      </c>
    </row>
    <row r="7348" ht="15.75" customHeight="1">
      <c r="A7348" s="2" t="s">
        <v>7348</v>
      </c>
      <c r="B7348" s="2" t="str">
        <f>IFERROR(__xludf.DUMMYFUNCTION("GOOGLETRANSLATE(A7348, ""en"", ""mt"")"),"preventiv")</f>
        <v>preventiv</v>
      </c>
    </row>
    <row r="7349" ht="15.75" customHeight="1">
      <c r="A7349" s="2" t="s">
        <v>7349</v>
      </c>
      <c r="B7349" s="2" t="str">
        <f>IFERROR(__xludf.DUMMYFUNCTION("GOOGLETRANSLATE(A7349, ""en"", ""mt"")"),"Lhud")</f>
        <v>Lhud</v>
      </c>
    </row>
    <row r="7350" ht="15.75" customHeight="1">
      <c r="A7350" s="2" t="s">
        <v>7350</v>
      </c>
      <c r="B7350" s="2" t="str">
        <f>IFERROR(__xludf.DUMMYFUNCTION("GOOGLETRANSLATE(A7350, ""en"", ""mt"")"),"Fejn Franza rebħet gwerra fil-ħamsinijiet")</f>
        <v>Fejn Franza rebħet gwerra fil-ħamsinijiet</v>
      </c>
    </row>
    <row r="7351" ht="15.75" customHeight="1">
      <c r="A7351" s="2" t="s">
        <v>7351</v>
      </c>
      <c r="B7351" s="2" t="str">
        <f>IFERROR(__xludf.DUMMYFUNCTION("GOOGLETRANSLATE(A7351, ""en"", ""mt"")"),"billi tirbaħ l-artijiet tal-istat l-ieħor")</f>
        <v>billi tirbaħ l-artijiet tal-istat l-ieħor</v>
      </c>
    </row>
    <row r="7352" ht="15.75" customHeight="1">
      <c r="A7352" s="2" t="s">
        <v>7352</v>
      </c>
      <c r="B7352" s="2" t="str">
        <f>IFERROR(__xludf.DUMMYFUNCTION("GOOGLETRANSLATE(A7352, ""en"", ""mt"")"),"importanti")</f>
        <v>importanti</v>
      </c>
    </row>
    <row r="7353" ht="15.75" customHeight="1">
      <c r="A7353" s="2" t="s">
        <v>7353</v>
      </c>
      <c r="B7353" s="2" t="str">
        <f>IFERROR(__xludf.DUMMYFUNCTION("GOOGLETRANSLATE(A7353, ""en"", ""mt"")"),"Postijiet oħra madwar l-Iskozja")</f>
        <v>Postijiet oħra madwar l-Iskozja</v>
      </c>
    </row>
    <row r="7354" ht="15.75" customHeight="1">
      <c r="A7354" s="2" t="s">
        <v>7354</v>
      </c>
      <c r="B7354" s="2" t="str">
        <f>IFERROR(__xludf.DUMMYFUNCTION("GOOGLETRANSLATE(A7354, ""en"", ""mt"")"),"Kummerċ tal-Port")</f>
        <v>Kummerċ tal-Port</v>
      </c>
    </row>
    <row r="7355" ht="15.75" customHeight="1">
      <c r="A7355" s="2" t="s">
        <v>7355</v>
      </c>
      <c r="B7355" s="2" t="str">
        <f>IFERROR(__xludf.DUMMYFUNCTION("GOOGLETRANSLATE(A7355, ""en"", ""mt"")"),"Muqali")</f>
        <v>Muqali</v>
      </c>
    </row>
    <row r="7356" ht="15.75" customHeight="1">
      <c r="A7356" s="2" t="s">
        <v>7356</v>
      </c>
      <c r="B7356" s="2" t="str">
        <f>IFERROR(__xludf.DUMMYFUNCTION("GOOGLETRANSLATE(A7356, ""en"", ""mt"")"),"Min Tesla rrifjutat li tara wara l-inċident?")</f>
        <v>Min Tesla rrifjutat li tara wara l-inċident?</v>
      </c>
    </row>
    <row r="7357" ht="15.75" customHeight="1">
      <c r="A7357" s="2" t="s">
        <v>7357</v>
      </c>
      <c r="B7357" s="2" t="str">
        <f>IFERROR(__xludf.DUMMYFUNCTION("GOOGLETRANSLATE(A7357, ""en"", ""mt"")"),"Università Charles-Ferdinand")</f>
        <v>Università Charles-Ferdinand</v>
      </c>
    </row>
    <row r="7358" ht="15.75" customHeight="1">
      <c r="A7358" s="2" t="s">
        <v>7358</v>
      </c>
      <c r="B7358" s="2" t="str">
        <f>IFERROR(__xludf.DUMMYFUNCTION("GOOGLETRANSLATE(A7358, ""en"", ""mt"")"),"Spiritus Nitroaereus")</f>
        <v>Spiritus Nitroaereus</v>
      </c>
    </row>
    <row r="7359" ht="15.75" customHeight="1">
      <c r="A7359" s="2" t="s">
        <v>7359</v>
      </c>
      <c r="B7359" s="2" t="str">
        <f>IFERROR(__xludf.DUMMYFUNCTION("GOOGLETRANSLATE(A7359, ""en"", ""mt"")"),"Nafzger")</f>
        <v>Nafzger</v>
      </c>
    </row>
    <row r="7360" ht="15.75" customHeight="1">
      <c r="A7360" s="2" t="s">
        <v>7360</v>
      </c>
      <c r="B7360" s="2" t="str">
        <f>IFERROR(__xludf.DUMMYFUNCTION("GOOGLETRANSLATE(A7360, ""en"", ""mt"")"),"X’talab Jamukha mingħand Temüjin minflok il-ħbiberija?")</f>
        <v>X’talab Jamukha mingħand Temüjin minflok il-ħbiberija?</v>
      </c>
    </row>
    <row r="7361" ht="15.75" customHeight="1">
      <c r="A7361" s="2" t="s">
        <v>7361</v>
      </c>
      <c r="B7361" s="2" t="str">
        <f>IFERROR(__xludf.DUMMYFUNCTION("GOOGLETRANSLATE(A7361, ""en"", ""mt"")"),"Għal liema gżira l-fluss tal-ilma kiesaħ tar-Rhine u l-Lag Constance joħroġ?")</f>
        <v>Għal liema gżira l-fluss tal-ilma kiesaħ tar-Rhine u l-Lag Constance joħroġ?</v>
      </c>
    </row>
    <row r="7362" ht="15.75" customHeight="1">
      <c r="A7362" s="2" t="s">
        <v>7362</v>
      </c>
      <c r="B7362" s="2" t="str">
        <f>IFERROR(__xludf.DUMMYFUNCTION("GOOGLETRANSLATE(A7362, ""en"", ""mt"")"),"it-tabib tal-gwerra")</f>
        <v>it-tabib tal-gwerra</v>
      </c>
    </row>
    <row r="7363" ht="15.75" customHeight="1">
      <c r="A7363" s="2" t="s">
        <v>7363</v>
      </c>
      <c r="B7363" s="2" t="str">
        <f>IFERROR(__xludf.DUMMYFUNCTION("GOOGLETRANSLATE(A7363, ""en"", ""mt"")"),"X'ġara fil-programm Apollo għall-bqija tal-1970 wara l-inċident rigward Apollo 13?")</f>
        <v>X'ġara fil-programm Apollo għall-bqija tal-1970 wara l-inċident rigward Apollo 13?</v>
      </c>
    </row>
    <row r="7364" ht="15.75" customHeight="1">
      <c r="A7364" s="2" t="s">
        <v>7364</v>
      </c>
      <c r="B7364" s="2" t="str">
        <f>IFERROR(__xludf.DUMMYFUNCTION("GOOGLETRANSLATE(A7364, ""en"", ""mt"")"),"""Super Bowl City")</f>
        <v>"Super Bowl City</v>
      </c>
    </row>
    <row r="7365" ht="15.75" customHeight="1">
      <c r="A7365" s="2" t="s">
        <v>7365</v>
      </c>
      <c r="B7365" s="2" t="str">
        <f>IFERROR(__xludf.DUMMYFUNCTION("GOOGLETRANSLATE(A7365, ""en"", ""mt"")"),"Liema post ospita Super Bowl tal-ftuħ tal-lejl?")</f>
        <v>Liema post ospita Super Bowl tal-ftuħ tal-lejl?</v>
      </c>
    </row>
    <row r="7366" ht="15.75" customHeight="1">
      <c r="A7366" s="2" t="s">
        <v>7366</v>
      </c>
      <c r="B7366" s="2" t="str">
        <f>IFERROR(__xludf.DUMMYFUNCTION("GOOGLETRANSLATE(A7366, ""en"", ""mt"")"),"Min kien Edward the Confessor's Half-Brother?")</f>
        <v>Min kien Edward the Confessor's Half-Brother?</v>
      </c>
    </row>
    <row r="7367" ht="15.75" customHeight="1">
      <c r="A7367" s="2" t="s">
        <v>7367</v>
      </c>
      <c r="B7367" s="2" t="str">
        <f>IFERROR(__xludf.DUMMYFUNCTION("GOOGLETRANSLATE(A7367, ""en"", ""mt"")"),"Il-ħajt ta 'min għandu frammenti viżibbli f'postijiet madwar Newcastle anke llum?")</f>
        <v>Il-ħajt ta 'min għandu frammenti viżibbli f'postijiet madwar Newcastle anke llum?</v>
      </c>
    </row>
    <row r="7368" ht="15.75" customHeight="1">
      <c r="A7368" s="2" t="s">
        <v>7368</v>
      </c>
      <c r="B7368" s="2" t="str">
        <f>IFERROR(__xludf.DUMMYFUNCTION("GOOGLETRANSLATE(A7368, ""en"", ""mt"")"),"Kif kienet tipikament l-effiċjenza ta 'magna tal-fwar?")</f>
        <v>Kif kienet tipikament l-effiċjenza ta 'magna tal-fwar?</v>
      </c>
    </row>
    <row r="7369" ht="15.75" customHeight="1">
      <c r="A7369" s="2" t="s">
        <v>7369</v>
      </c>
      <c r="B7369" s="2" t="str">
        <f>IFERROR(__xludf.DUMMYFUNCTION("GOOGLETRANSLATE(A7369, ""en"", ""mt"")"),"Liema żieda fil-piż tal-materjal waqt is-sadid kienet ħjiel bikri li t-teorija ta 'Philogiston kienet ħażina?")</f>
        <v>Liema żieda fil-piż tal-materjal waqt is-sadid kienet ħjiel bikri li t-teorija ta 'Philogiston kienet ħażina?</v>
      </c>
    </row>
    <row r="7370" ht="15.75" customHeight="1">
      <c r="A7370" s="2" t="s">
        <v>7370</v>
      </c>
      <c r="B7370" s="2" t="str">
        <f>IFERROR(__xludf.DUMMYFUNCTION("GOOGLETRANSLATE(A7370, ""en"", ""mt"")"),"(Ruman) Kattoliku, (Lvant) Kattoliku Ortodoss, u Protestant / Mhux Denominazzjonali")</f>
        <v>(Ruman) Kattoliku, (Lvant) Kattoliku Ortodoss, u Protestant / Mhux Denominazzjonali</v>
      </c>
    </row>
    <row r="7371" ht="15.75" customHeight="1">
      <c r="A7371" s="2" t="s">
        <v>7371</v>
      </c>
      <c r="B7371" s="2" t="str">
        <f>IFERROR(__xludf.DUMMYFUNCTION("GOOGLETRANSLATE(A7371, ""en"", ""mt"")"),"Liema terminoloġija oħra hija meqjusa ħafna iktar distruttiva?")</f>
        <v>Liema terminoloġija oħra hija meqjusa ħafna iktar distruttiva?</v>
      </c>
    </row>
    <row r="7372" ht="15.75" customHeight="1">
      <c r="A7372" s="2" t="s">
        <v>7372</v>
      </c>
      <c r="B7372" s="2" t="str">
        <f>IFERROR(__xludf.DUMMYFUNCTION("GOOGLETRANSLATE(A7372, ""en"", ""mt"")"),"FMCG Manifattura")</f>
        <v>FMCG Manifattura</v>
      </c>
    </row>
    <row r="7373" ht="15.75" customHeight="1">
      <c r="A7373" s="2" t="s">
        <v>7373</v>
      </c>
      <c r="B7373" s="2" t="str">
        <f>IFERROR(__xludf.DUMMYFUNCTION("GOOGLETRANSLATE(A7373, ""en"", ""mt"")"),"Il-Konferenza Ġenerali")</f>
        <v>Il-Konferenza Ġenerali</v>
      </c>
    </row>
    <row r="7374" ht="15.75" customHeight="1">
      <c r="A7374" s="2" t="s">
        <v>7374</v>
      </c>
      <c r="B7374" s="2" t="str">
        <f>IFERROR(__xludf.DUMMYFUNCTION("GOOGLETRANSLATE(A7374, ""en"", ""mt"")"),"Meta Doctor Who rebaħ premju għall-Aħjar Drama Series?")</f>
        <v>Meta Doctor Who rebaħ premju għall-Aħjar Drama Series?</v>
      </c>
    </row>
    <row r="7375" ht="15.75" customHeight="1">
      <c r="A7375" s="2" t="s">
        <v>7375</v>
      </c>
      <c r="B7375" s="2" t="str">
        <f>IFERROR(__xludf.DUMMYFUNCTION("GOOGLETRANSLATE(A7375, ""en"", ""mt"")"),"respirazzjoni ċellulari")</f>
        <v>respirazzjoni ċellulari</v>
      </c>
    </row>
    <row r="7376" ht="15.75" customHeight="1">
      <c r="A7376" s="2" t="s">
        <v>7376</v>
      </c>
      <c r="B7376" s="2" t="str">
        <f>IFERROR(__xludf.DUMMYFUNCTION("GOOGLETRANSLATE(A7376, ""en"", ""mt"")"),"Fi ħdan il-passaġġi ġenitourinarji u gastro-intestinali, il-flora commensal isservi bħala ostakli bijoloġiċi billi tikkompeti ma 'batterji patoġeniċi għall-ikel u l-ispazju u, f'xi każijiet, billi tbiddel il-kundizzjonijiet fl-ambjent tagħhom, bħal pH jew"&amp;" ħadid disponibbli. Dan inaqqas il-probabbiltà li l-patoġeni jilħqu numri suffiċjenti biex jikkawżaw mard. Madankollu, peress li l-biċċa l-kbira tal-antibijotiċi mhux speċifikament jimmiraw batterji u ma jaffettwawx il-fungi, l-antibijotiċi orali jistgħu "&amp;"jwasslu għal ""żieda żejda"" ta 'fungi u jikkawżaw kundizzjonijiet bħal kandidjażi vaġinali (infezzjoni tal-ħmira). Hemm evidenza tajba li l-introduzzjoni mill-ġdid ta 'flora probijotika, bħal kulturi puri tal-lactobacilli li normalment jinstabu fil-jogur"&amp;"t mhux pasturizzat, jgħin biex jerġa' jġib bilanċ b'saħħtu ta 'popolazzjonijiet mikrobjali f'infezzjonijiet intestinali fit-tfal u jinkoraġġixxi dejta preliminari fi studji dwar gastroenterite batterika, bowel infjammatorju Mard, infezzjoni fl-apparat uri"&amp;"narju u infezzjonijiet post-kirurġiċi.")</f>
        <v>Fi ħdan il-passaġġi ġenitourinarji u gastro-intestinali, il-flora commensal isservi bħala ostakli bijoloġiċi billi tikkompeti ma 'batterji patoġeniċi għall-ikel u l-ispazju u, f'xi każijiet, billi tbiddel il-kundizzjonijiet fl-ambjent tagħhom, bħal pH jew ħadid disponibbli. Dan inaqqas il-probabbiltà li l-patoġeni jilħqu numri suffiċjenti biex jikkawżaw mard. Madankollu, peress li l-biċċa l-kbira tal-antibijotiċi mhux speċifikament jimmiraw batterji u ma jaffettwawx il-fungi, l-antibijotiċi orali jistgħu jwasslu għal "żieda żejda" ta 'fungi u jikkawżaw kundizzjonijiet bħal kandidjażi vaġinali (infezzjoni tal-ħmira). Hemm evidenza tajba li l-introduzzjoni mill-ġdid ta 'flora probijotika, bħal kulturi puri tal-lactobacilli li normalment jinstabu fil-jogurt mhux pasturizzat, jgħin biex jerġa' jġib bilanċ b'saħħtu ta 'popolazzjonijiet mikrobjali f'infezzjonijiet intestinali fit-tfal u jinkoraġġixxi dejta preliminari fi studji dwar gastroenterite batterika, bowel infjammatorju Mard, infezzjoni fl-apparat urinarju u infezzjonijiet post-kirurġiċi.</v>
      </c>
    </row>
    <row r="7377" ht="15.75" customHeight="1">
      <c r="A7377" s="2" t="s">
        <v>7377</v>
      </c>
      <c r="B7377" s="2" t="str">
        <f>IFERROR(__xludf.DUMMYFUNCTION("GOOGLETRANSLATE(A7377, ""en"", ""mt"")"),"L-ipprogrammar sportiv huwa pprovdut ukoll f'xi wara nofsinhar ta 'tmiem il-ġimgħa fi kwalunkwe ħin minn 12:00 sas-6.00 p.m. Ħin tal-Lvant (mid-9.00 a.m. sat-3.00 p.m. il-Paċifiku) u, matul l-istaġun tal-futbol tal-kulleġġ, matul il-ħin ewlieni nhar is-Si"&amp;"bt filgħaxija bħala parti mill-pakkett tal-futbol tas-Sibt bil-lejl. Minħabba l-iskedar erratiku u (barra mill-istaġun tal-futbol tal-kulleġġ) inkonsistenti ħafna ta 'programmazzjoni sportiva fil-weekend wara nofsinhar minn meta ESPN ħa f'idejh ir-respons"&amp;"abbiltajiet għad-diviżjoni sportiva ta' ABC fl-2006, ABC iġġorr il-blokka tas-Sibt Sports ESPN nhar is-Sibt tard wara nofsinhar (li fih diversi ESPN Prodott Dokumentarji), u l-Ħdud jew Encores of Primetime Realit Biex tixxandar jew iktar reċentement, l-is"&amp;"kejjel tal-figura u l-ispeċjalitajiet tal-ġinnastika fornuti mill-iskejjar tad-Disson, meta l-ebda telekomunikazzjoni sportiva ma tkun skedata, ġeneralment tixxandar bejn l-4.00 u s-6.00 p.m. Ħin tal-Lvant u tal-Paċifiku. Matul is-sajf, ABC Airs ESPN ippr"&amp;"oduċiet programmi ta 'kumpilazzjoni għall-Open Championship Golf u t-tournaments tat-tennis ta' Wimbledon biex jipprovdu xi preżenza għaż-żewġ avvenimenti fuq it-televiżjoni tax-xandir Amerikan. ABC iġġorr ukoll diversi avvenimenti ta ’Logħob X ta’ tmiem "&amp;"il-ġimgħa mhux imxandra minn ESPN. ABC Airs NBA Games fil-Ħdud, normalment jibdew f'Jannar bħala ""NBA Sunday Showcase"" matul l-istaġun regolari, u juri logħob tal-Milied, regolarment bejn is-2-7 PM ET, u l-logħob tal-playoff tal-NBA matul il-ġimgħa, u d"&amp;"rittijiet esklussivi għall-NBA Finali.")</f>
        <v>L-ipprogrammar sportiv huwa pprovdut ukoll f'xi wara nofsinhar ta 'tmiem il-ġimgħa fi kwalunkwe ħin minn 12:00 sas-6.00 p.m. Ħin tal-Lvant (mid-9.00 a.m. sat-3.00 p.m. il-Paċifiku) u, matul l-istaġun tal-futbol tal-kulleġġ, matul il-ħin ewlieni nhar is-Sibt filgħaxija bħala parti mill-pakkett tal-futbol tas-Sibt bil-lejl. Minħabba l-iskedar erratiku u (barra mill-istaġun tal-futbol tal-kulleġġ) inkonsistenti ħafna ta 'programmazzjoni sportiva fil-weekend wara nofsinhar minn meta ESPN ħa f'idejh ir-responsabbiltajiet għad-diviżjoni sportiva ta' ABC fl-2006, ABC iġġorr il-blokka tas-Sibt Sports ESPN nhar is-Sibt tard wara nofsinhar (li fih diversi ESPN Prodott Dokumentarji), u l-Ħdud jew Encores of Primetime Realit Biex tixxandar jew iktar reċentement, l-iskejjel tal-figura u l-ispeċjalitajiet tal-ġinnastika fornuti mill-iskejjar tad-Disson, meta l-ebda telekomunikazzjoni sportiva ma tkun skedata, ġeneralment tixxandar bejn l-4.00 u s-6.00 p.m. Ħin tal-Lvant u tal-Paċifiku. Matul is-sajf, ABC Airs ESPN ipproduċiet programmi ta 'kumpilazzjoni għall-Open Championship Golf u t-tournaments tat-tennis ta' Wimbledon biex jipprovdu xi preżenza għaż-żewġ avvenimenti fuq it-televiżjoni tax-xandir Amerikan. ABC iġġorr ukoll diversi avvenimenti ta ’Logħob X ta’ tmiem il-ġimgħa mhux imxandra minn ESPN. ABC Airs NBA Games fil-Ħdud, normalment jibdew f'Jannar bħala "NBA Sunday Showcase" matul l-istaġun regolari, u juri logħob tal-Milied, regolarment bejn is-2-7 PM ET, u l-logħob tal-playoff tal-NBA matul il-ġimgħa, u drittijiet esklussivi għall-NBA Finali.</v>
      </c>
    </row>
    <row r="7378" ht="15.75" customHeight="1">
      <c r="A7378" s="2" t="s">
        <v>7378</v>
      </c>
      <c r="B7378" s="2" t="str">
        <f>IFERROR(__xludf.DUMMYFUNCTION("GOOGLETRANSLATE(A7378, ""en"", ""mt"")"),"Nisel tal-kloroplast tal-alka ħamra")</f>
        <v>Nisel tal-kloroplast tal-alka ħamra</v>
      </c>
    </row>
    <row r="7379" ht="15.75" customHeight="1">
      <c r="A7379" s="2" t="s">
        <v>7379</v>
      </c>
      <c r="B7379" s="2" t="str">
        <f>IFERROR(__xludf.DUMMYFUNCTION("GOOGLETRANSLATE(A7379, ""en"", ""mt"")"),"Xi wħud jemmnu li t-Trattat ta 'Versailles assistit fih?")</f>
        <v>Xi wħud jemmnu li t-Trattat ta 'Versailles assistit fih?</v>
      </c>
    </row>
    <row r="7380" ht="15.75" customHeight="1">
      <c r="A7380" s="2" t="s">
        <v>7380</v>
      </c>
      <c r="B7380" s="2" t="str">
        <f>IFERROR(__xludf.DUMMYFUNCTION("GOOGLETRANSLATE(A7380, ""en"", ""mt"")"),"Skond it-teorija, xi jfisser l-isem ""Huguenot""?")</f>
        <v>Skond it-teorija, xi jfisser l-isem "Huguenot"?</v>
      </c>
    </row>
    <row r="7381" ht="15.75" customHeight="1">
      <c r="A7381" s="2" t="s">
        <v>7381</v>
      </c>
      <c r="B7381" s="2" t="str">
        <f>IFERROR(__xludf.DUMMYFUNCTION("GOOGLETRANSLATE(A7381, ""en"", ""mt"")"),"Huwa ħabbar rebbieħ")</f>
        <v>Huwa ħabbar rebbieħ</v>
      </c>
    </row>
    <row r="7382" ht="15.75" customHeight="1">
      <c r="A7382" s="2" t="s">
        <v>7382</v>
      </c>
      <c r="B7382" s="2" t="str">
        <f>IFERROR(__xludf.DUMMYFUNCTION("GOOGLETRANSLATE(A7382, ""en"", ""mt"")"),"1 ta ’Settembru 1939")</f>
        <v>1 ta ’Settembru 1939</v>
      </c>
    </row>
    <row r="7383" ht="15.75" customHeight="1">
      <c r="A7383" s="2" t="s">
        <v>7383</v>
      </c>
      <c r="B7383" s="2" t="str">
        <f>IFERROR(__xludf.DUMMYFUNCTION("GOOGLETRANSLATE(A7383, ""en"", ""mt"")"),"Liema sistema Tesla rrakkomandat lil Niagara Falls fl-1893?")</f>
        <v>Liema sistema Tesla rrakkomandat lil Niagara Falls fl-1893?</v>
      </c>
    </row>
    <row r="7384" ht="15.75" customHeight="1">
      <c r="A7384" s="2" t="s">
        <v>7384</v>
      </c>
      <c r="B7384" s="2" t="str">
        <f>IFERROR(__xludf.DUMMYFUNCTION("GOOGLETRANSLATE(A7384, ""en"", ""mt"")"),"bħala knejjes parrokkjali")</f>
        <v>bħala knejjes parrokkjali</v>
      </c>
    </row>
    <row r="7385" ht="15.75" customHeight="1">
      <c r="A7385" s="2" t="s">
        <v>7385</v>
      </c>
      <c r="B7385" s="2" t="str">
        <f>IFERROR(__xludf.DUMMYFUNCTION("GOOGLETRANSLATE(A7385, ""en"", ""mt"")"),"Kif is-soċjalisti jaħsbu li l-mezzi ta 'produzzjoni għandhom ikunu proprjetà?")</f>
        <v>Kif is-soċjalisti jaħsbu li l-mezzi ta 'produzzjoni għandhom ikunu proprjetà?</v>
      </c>
    </row>
    <row r="7386" ht="15.75" customHeight="1">
      <c r="A7386" s="2" t="s">
        <v>7386</v>
      </c>
      <c r="B7386" s="2" t="str">
        <f>IFERROR(__xludf.DUMMYFUNCTION("GOOGLETRANSLATE(A7386, ""en"", ""mt"")"),"George, Margrave ta 'Brandenburg-Ansbach")</f>
        <v>George, Margrave ta 'Brandenburg-Ansbach</v>
      </c>
    </row>
    <row r="7387" ht="15.75" customHeight="1">
      <c r="A7387" s="2" t="s">
        <v>7387</v>
      </c>
      <c r="B7387" s="2" t="str">
        <f>IFERROR(__xludf.DUMMYFUNCTION("GOOGLETRANSLATE(A7387, ""en"", ""mt"")"),"bjankerija")</f>
        <v>bjankerija</v>
      </c>
    </row>
    <row r="7388" ht="15.75" customHeight="1">
      <c r="A7388" s="2" t="s">
        <v>7388</v>
      </c>
      <c r="B7388" s="2" t="str">
        <f>IFERROR(__xludf.DUMMYFUNCTION("GOOGLETRANSLATE(A7388, ""en"", ""mt"")"),"Meta beda l-bug tal-logo jidher matul il-programm kollu għall-wirjiet ABC?")</f>
        <v>Meta beda l-bug tal-logo jidher matul il-programm kollu għall-wirjiet ABC?</v>
      </c>
    </row>
    <row r="7389" ht="15.75" customHeight="1">
      <c r="A7389" s="2" t="s">
        <v>7389</v>
      </c>
      <c r="B7389" s="2" t="str">
        <f>IFERROR(__xludf.DUMMYFUNCTION("GOOGLETRANSLATE(A7389, ""en"", ""mt"")"),"Tesla kienet asocial u suxxettibbli li tiskopri ruħu max-xogħol tiegħu. Madankollu, meta kien jimpenja ruħu f'ħajja soċjali, ħafna nies tkellmu b'mod pożittiv u ammirabbli ħafna minn Tesla. Robert Underwood Johnson iddeskrivah bħala li kiseb ""ħlewwa dist"&amp;"inta, sinċerità, pudur, irfinar, ġenerożità, u forza."" Is-segretarju leali tiegħu, Dorothy Skerrit, kiteb: ""It-tbissima ġenjali tiegħu u n-nobbli li jġorru dejjem innotaw il-karatteristiċi gentlemanly li kienu tant għeruq fir-ruħ tiegħu."" Il-ħabib ta '"&amp;"Tesla, Julian Hawthorne, kiteb, ""Rari wieħed jiltaqa' ma 'xjenzat jew inġinier li kien ukoll poeta, filosofu, apprezzatur tal-mużika fina, lingwista, u magħruf ta' ikel u xorb."": 80")</f>
        <v>Tesla kienet asocial u suxxettibbli li tiskopri ruħu max-xogħol tiegħu. Madankollu, meta kien jimpenja ruħu f'ħajja soċjali, ħafna nies tkellmu b'mod pożittiv u ammirabbli ħafna minn Tesla. Robert Underwood Johnson iddeskrivah bħala li kiseb "ħlewwa distinta, sinċerità, pudur, irfinar, ġenerożità, u forza." Is-segretarju leali tiegħu, Dorothy Skerrit, kiteb: "It-tbissima ġenjali tiegħu u n-nobbli li jġorru dejjem innotaw il-karatteristiċi gentlemanly li kienu tant għeruq fir-ruħ tiegħu." Il-ħabib ta 'Tesla, Julian Hawthorne, kiteb, "Rari wieħed jiltaqa' ma 'xjenzat jew inġinier li kien ukoll poeta, filosofu, apprezzatur tal-mużika fina, lingwista, u magħruf ta' ikel u xorb.": 80</v>
      </c>
    </row>
    <row r="7390" ht="15.75" customHeight="1">
      <c r="A7390" s="2" t="s">
        <v>7390</v>
      </c>
      <c r="B7390" s="2" t="str">
        <f>IFERROR(__xludf.DUMMYFUNCTION("GOOGLETRANSLATE(A7390, ""en"", ""mt"")"),"Interazzjonijiet potenzjali tal-mediċina")</f>
        <v>Interazzjonijiet potenzjali tal-mediċina</v>
      </c>
    </row>
    <row r="7391" ht="15.75" customHeight="1">
      <c r="A7391" s="2" t="s">
        <v>7391</v>
      </c>
      <c r="B7391" s="2" t="str">
        <f>IFERROR(__xludf.DUMMYFUNCTION("GOOGLETRANSLATE(A7391, ""en"", ""mt"")"),"Meta l-Kunsill Ewropew kompitu entità bl-abbozzar ta 'Karta Ewropea tad-Drittijiet tal-Bniedem?")</f>
        <v>Meta l-Kunsill Ewropew kompitu entità bl-abbozzar ta 'Karta Ewropea tad-Drittijiet tal-Bniedem?</v>
      </c>
    </row>
    <row r="7392" ht="15.75" customHeight="1">
      <c r="A7392" s="2" t="s">
        <v>7392</v>
      </c>
      <c r="B7392" s="2" t="str">
        <f>IFERROR(__xludf.DUMMYFUNCTION("GOOGLETRANSLATE(A7392, ""en"", ""mt"")"),"Il-kriżi taż-żejt tal-1973 bdiet f'Ottubru 1973 meta l-membri tal-Organizzazzjoni tal-Pajjiżi Esportanti tal-Petrolju Għarab (OAPEC, li jikkonsistu mill-membri Għarab tal-OPEC flimkien mal-Eġittu u s-Sirja) ipproklamaw embargo taż-żejt. Sa tmiem l-embargo"&amp;" f'Marzu 1974, il-prezz taż-żejt kien żdied minn US $ 3 kull barmil għal kważi $ 12 globalment; Il-prezzijiet tal-Istati Uniti kienu sinifikament ogħla. L-embargo kkawża kriżi taż-żejt, jew ""xokk"", b'ħafna effetti għal żmien qasir u fit-tul fuq il-polit"&amp;"ika globali u l-ekonomija globali. Aktar tard ġie msejjaħ ""l-ewwel xokk taż-żejt"", segwit mill-kriżi taż-żejt tal-1979, imsejjaħ it- ""Tieni Xokk taż-Żejt.""")</f>
        <v>Il-kriżi taż-żejt tal-1973 bdiet f'Ottubru 1973 meta l-membri tal-Organizzazzjoni tal-Pajjiżi Esportanti tal-Petrolju Għarab (OAPEC, li jikkonsistu mill-membri Għarab tal-OPEC flimkien mal-Eġittu u s-Sirja) ipproklamaw embargo taż-żejt. Sa tmiem l-embargo f'Marzu 1974, il-prezz taż-żejt kien żdied minn US $ 3 kull barmil għal kważi $ 12 globalment; Il-prezzijiet tal-Istati Uniti kienu sinifikament ogħla. L-embargo kkawża kriżi taż-żejt, jew "xokk", b'ħafna effetti għal żmien qasir u fit-tul fuq il-politika globali u l-ekonomija globali. Aktar tard ġie msejjaħ "l-ewwel xokk taż-żejt", segwit mill-kriżi taż-żejt tal-1979, imsejjaħ it- "Tieni Xokk taż-Żejt."</v>
      </c>
    </row>
    <row r="7393" ht="15.75" customHeight="1">
      <c r="A7393" s="2" t="s">
        <v>7393</v>
      </c>
      <c r="B7393" s="2" t="str">
        <f>IFERROR(__xludf.DUMMYFUNCTION("GOOGLETRANSLATE(A7393, ""en"", ""mt"")"),"Kemm kien twil l-ewwel awdjo ta 'storja ta' tabib min?")</f>
        <v>Kemm kien twil l-ewwel awdjo ta 'storja ta' tabib min?</v>
      </c>
    </row>
    <row r="7394" ht="15.75" customHeight="1">
      <c r="A7394" s="2" t="s">
        <v>7394</v>
      </c>
      <c r="B7394" s="2" t="str">
        <f>IFERROR(__xludf.DUMMYFUNCTION("GOOGLETRANSLATE(A7394, ""en"", ""mt"")"),"Dixxiplina stretta")</f>
        <v>Dixxiplina stretta</v>
      </c>
    </row>
    <row r="7395" ht="15.75" customHeight="1">
      <c r="A7395" s="2" t="s">
        <v>7395</v>
      </c>
      <c r="B7395" s="2" t="str">
        <f>IFERROR(__xludf.DUMMYFUNCTION("GOOGLETRANSLATE(A7395, ""en"", ""mt"")"),"Rappreżentanti eletti għal kull Kamra tal-Parlament")</f>
        <v>Rappreżentanti eletti għal kull Kamra tal-Parlament</v>
      </c>
    </row>
    <row r="7396" ht="15.75" customHeight="1">
      <c r="A7396" s="2" t="s">
        <v>7396</v>
      </c>
      <c r="B7396" s="2" t="str">
        <f>IFERROR(__xludf.DUMMYFUNCTION("GOOGLETRANSLATE(A7396, ""en"", ""mt"")"),"Liema partijiet tal-Quddiesa Kattolika oriġinali Luther ħalla barra mill-Quddiesa l-Ġdida tiegħu?")</f>
        <v>Liema partijiet tal-Quddiesa Kattolika oriġinali Luther ħalla barra mill-Quddiesa l-Ġdida tiegħu?</v>
      </c>
    </row>
    <row r="7397" ht="15.75" customHeight="1">
      <c r="A7397" s="2" t="s">
        <v>7397</v>
      </c>
      <c r="B7397" s="2" t="str">
        <f>IFERROR(__xludf.DUMMYFUNCTION("GOOGLETRANSLATE(A7397, ""en"", ""mt"")"),"Kemm diviżjonijiet ġew ristrutturati r-radju ABC fl-2005?")</f>
        <v>Kemm diviżjonijiet ġew ristrutturati r-radju ABC fl-2005?</v>
      </c>
    </row>
    <row r="7398" ht="15.75" customHeight="1">
      <c r="A7398" s="2" t="s">
        <v>7398</v>
      </c>
      <c r="B7398" s="2" t="str">
        <f>IFERROR(__xludf.DUMMYFUNCTION("GOOGLETRANSLATE(A7398, ""en"", ""mt"")"),"X'kienet elenkata l-belt il-qadima ta 'Varsavja bħal fl-1980?")</f>
        <v>X'kienet elenkata l-belt il-qadima ta 'Varsavja bħal fl-1980?</v>
      </c>
    </row>
    <row r="7399" ht="15.75" customHeight="1">
      <c r="A7399" s="2" t="s">
        <v>7399</v>
      </c>
      <c r="B7399" s="2" t="str">
        <f>IFERROR(__xludf.DUMMYFUNCTION("GOOGLETRANSLATE(A7399, ""en"", ""mt"")"),"L-isem Gaulish rēnos")</f>
        <v>L-isem Gaulish rēnos</v>
      </c>
    </row>
    <row r="7400" ht="15.75" customHeight="1">
      <c r="A7400" s="2" t="s">
        <v>7400</v>
      </c>
      <c r="B7400" s="2" t="str">
        <f>IFERROR(__xludf.DUMMYFUNCTION("GOOGLETRANSLATE(A7400, ""en"", ""mt"")"),"X'kien l-isem għall-kampanja tal-immaġini li beda l-ABC fl-2007?")</f>
        <v>X'kien l-isem għall-kampanja tal-immaġini li beda l-ABC fl-2007?</v>
      </c>
    </row>
    <row r="7401" ht="15.75" customHeight="1">
      <c r="A7401" s="2" t="s">
        <v>7401</v>
      </c>
      <c r="B7401" s="2" t="str">
        <f>IFERROR(__xludf.DUMMYFUNCTION("GOOGLETRANSLATE(A7401, ""en"", ""mt"")"),"L-embargo ma kienx uniformi madwar l-Ewropa. Mid-disa 'membri tal-Komunità Ekonomika Ewropea (KEE), l-Olanda ffaċċjaw embargo komplet, ir-Renju Unit u Franza rċevew provvisti kważi bla interruzzjoni (wara li rrifjutaw li jippermettu lill-Amerika tuża l-mi"&amp;"tjar tal-ajru u l-armi u l-provvisti embargoed tagħhom kemm lill-Għarab kif ukoll lill-Iżraeljani ), filwaqt li s-sitta l-oħra ffaċċjaw cutbacks parzjali. Ir-Renju Unit kien tradizzjonalment alleat tal-Iżrael, u l-gvern ta 'Harold Wilson appoġġa lill-Iżra"&amp;"eljani matul il-gwerra ta' sitt ijiem. Is-suċċessur tiegħu, Ted Heath, qaleb din il-politika fl-1970, u talab lill-Iżrael biex jirtira għall-fruntieri tiegħu qabel l-1967.")</f>
        <v>L-embargo ma kienx uniformi madwar l-Ewropa. Mid-disa 'membri tal-Komunità Ekonomika Ewropea (KEE), l-Olanda ffaċċjaw embargo komplet, ir-Renju Unit u Franza rċevew provvisti kważi bla interruzzjoni (wara li rrifjutaw li jippermettu lill-Amerika tuża l-mitjar tal-ajru u l-armi u l-provvisti embargoed tagħhom kemm lill-Għarab kif ukoll lill-Iżraeljani ), filwaqt li s-sitta l-oħra ffaċċjaw cutbacks parzjali. Ir-Renju Unit kien tradizzjonalment alleat tal-Iżrael, u l-gvern ta 'Harold Wilson appoġġa lill-Iżraeljani matul il-gwerra ta' sitt ijiem. Is-suċċessur tiegħu, Ted Heath, qaleb din il-politika fl-1970, u talab lill-Iżrael biex jirtira għall-fruntieri tiegħu qabel l-1967.</v>
      </c>
    </row>
    <row r="7402" ht="15.75" customHeight="1">
      <c r="A7402" s="2" t="s">
        <v>7402</v>
      </c>
      <c r="B7402" s="2" t="str">
        <f>IFERROR(__xludf.DUMMYFUNCTION("GOOGLETRANSLATE(A7402, ""en"", ""mt"")"),"Meta nbiegħet ir-Rhine ta ’Fuq lil Burgundy?")</f>
        <v>Meta nbiegħet ir-Rhine ta ’Fuq lil Burgundy?</v>
      </c>
    </row>
    <row r="7403" ht="15.75" customHeight="1">
      <c r="A7403" s="2" t="s">
        <v>7403</v>
      </c>
      <c r="B7403" s="2" t="str">
        <f>IFERROR(__xludf.DUMMYFUNCTION("GOOGLETRANSLATE(A7403, ""en"", ""mt"")"),"X'tip ta 'faċilità kienet Wardenclyffe?")</f>
        <v>X'tip ta 'faċilità kienet Wardenclyffe?</v>
      </c>
    </row>
    <row r="7404" ht="15.75" customHeight="1">
      <c r="A7404" s="2" t="s">
        <v>7404</v>
      </c>
      <c r="B7404" s="2" t="str">
        <f>IFERROR(__xludf.DUMMYFUNCTION("GOOGLETRANSLATE(A7404, ""en"", ""mt"")"),"F'liema età r-reazzjonijiet immuni ġeneralment jibdew jonqsu?")</f>
        <v>F'liema età r-reazzjonijiet immuni ġeneralment jibdew jonqsu?</v>
      </c>
    </row>
    <row r="7405" ht="15.75" customHeight="1">
      <c r="A7405" s="2" t="s">
        <v>7405</v>
      </c>
      <c r="B7405" s="2" t="str">
        <f>IFERROR(__xludf.DUMMYFUNCTION("GOOGLETRANSLATE(A7405, ""en"", ""mt"")"),"Il-politika Ingliża perċepita li tkun f'idejha mill-popolazzjoni Musulmana tagħha rriżultat f'liema terminu derogatorju għal Londra?")</f>
        <v>Il-politika Ingliża perċepita li tkun f'idejha mill-popolazzjoni Musulmana tagħha rriżultat f'liema terminu derogatorju għal Londra?</v>
      </c>
    </row>
    <row r="7406" ht="15.75" customHeight="1">
      <c r="A7406" s="2" t="s">
        <v>7406</v>
      </c>
      <c r="B7406" s="2" t="str">
        <f>IFERROR(__xludf.DUMMYFUNCTION("GOOGLETRANSLATE(A7406, ""en"", ""mt"")"),"Kważi $ 41 triljun")</f>
        <v>Kważi $ 41 triljun</v>
      </c>
    </row>
    <row r="7407" ht="15.75" customHeight="1">
      <c r="A7407" s="2" t="s">
        <v>7407</v>
      </c>
      <c r="B7407" s="2" t="str">
        <f>IFERROR(__xludf.DUMMYFUNCTION("GOOGLETRANSLATE(A7407, ""en"", ""mt"")"),"ultravjola")</f>
        <v>ultravjola</v>
      </c>
    </row>
    <row r="7408" ht="15.75" customHeight="1">
      <c r="A7408" s="2" t="s">
        <v>7408</v>
      </c>
      <c r="B7408" s="2" t="str">
        <f>IFERROR(__xludf.DUMMYFUNCTION("GOOGLETRANSLATE(A7408, ""en"", ""mt"")"),"X'tip ta 'lokomottiva kienet Salamanca?")</f>
        <v>X'tip ta 'lokomottiva kienet Salamanca?</v>
      </c>
    </row>
    <row r="7409" ht="15.75" customHeight="1">
      <c r="A7409" s="2" t="s">
        <v>7409</v>
      </c>
      <c r="B7409" s="2" t="str">
        <f>IFERROR(__xludf.DUMMYFUNCTION("GOOGLETRANSLATE(A7409, ""en"", ""mt"")"),"wieqaf")</f>
        <v>wieqaf</v>
      </c>
    </row>
    <row r="7410" ht="15.75" customHeight="1">
      <c r="A7410" s="2" t="s">
        <v>7410</v>
      </c>
      <c r="B7410" s="2" t="str">
        <f>IFERROR(__xludf.DUMMYFUNCTION("GOOGLETRANSLATE(A7410, ""en"", ""mt"")"),"L-Għargħar ta ’Santa Eliżabetta")</f>
        <v>L-Għargħar ta ’Santa Eliżabetta</v>
      </c>
    </row>
    <row r="7411" ht="15.75" customHeight="1">
      <c r="A7411" s="2" t="s">
        <v>7411</v>
      </c>
      <c r="B7411" s="2" t="str">
        <f>IFERROR(__xludf.DUMMYFUNCTION("GOOGLETRANSLATE(A7411, ""en"", ""mt"")"),"Immunodefiċjenzi jseħħu meta wieħed jew aktar mill-komponenti tas-sistema immuni huma inattivi. L-abbiltà tas-sistema immuni biex tirreaġixxi għal patoġeni hija mnaqqsa kemm fiż-żgħażagħ kif ukoll fl-anzjani, b'reazzjonijiet immuni li jibdew jonqsu għal m"&amp;"adwar 50 sena minħabba l-immunosenescence. Fil-pajjiżi żviluppati, l-obeżità, l-alkoħoliżmu, u l-użu tad-droga huma kawżi komuni ta 'funzjoni immuni ħażina. Madankollu, il-malnutrizzjoni hija l-iktar kawża komuni ta 'immunodefiċjenza f'pajjiżi li qed jiżv"&amp;"iluppaw. Dieti li m'għandhomx biżżejjed proteina huma assoċjati ma 'immunità medjata minn ċelloli indebolita, attività ta' komplement, funzjoni tal-fagoċiti, konċentrazzjonijiet ta 'antikorpi IgA, u produzzjoni ta' ċitokini. Barra minn hekk, it-telf tat-t"&amp;"imu f'età bikrija permezz ta 'mutazzjoni ġenetika jew tneħħija kirurġika jirriżulta f'immunodefiċjenza severa u suxxettibilità għolja għall-infezzjoni.")</f>
        <v>Immunodefiċjenzi jseħħu meta wieħed jew aktar mill-komponenti tas-sistema immuni huma inattivi. L-abbiltà tas-sistema immuni biex tirreaġixxi għal patoġeni hija mnaqqsa kemm fiż-żgħażagħ kif ukoll fl-anzjani, b'reazzjonijiet immuni li jibdew jonqsu għal madwar 50 sena minħabba l-immunosenescence. Fil-pajjiżi żviluppati, l-obeżità, l-alkoħoliżmu, u l-użu tad-droga huma kawżi komuni ta 'funzjoni immuni ħażina. Madankollu, il-malnutrizzjoni hija l-iktar kawża komuni ta 'immunodefiċjenza f'pajjiżi li qed jiżviluppaw. Dieti li m'għandhomx biżżejjed proteina huma assoċjati ma 'immunità medjata minn ċelloli indebolita, attività ta' komplement, funzjoni tal-fagoċiti, konċentrazzjonijiet ta 'antikorpi IgA, u produzzjoni ta' ċitokini. Barra minn hekk, it-telf tat-timu f'età bikrija permezz ta 'mutazzjoni ġenetika jew tneħħija kirurġika jirriżulta f'immunodefiċjenza severa u suxxettibilità għolja għall-infezzjoni.</v>
      </c>
    </row>
    <row r="7412" ht="15.75" customHeight="1">
      <c r="A7412" s="2" t="s">
        <v>7412</v>
      </c>
      <c r="B7412" s="2" t="str">
        <f>IFERROR(__xludf.DUMMYFUNCTION("GOOGLETRANSLATE(A7412, ""en"", ""mt"")"),"Kalifat")</f>
        <v>Kalifat</v>
      </c>
    </row>
    <row r="7413" ht="15.75" customHeight="1">
      <c r="A7413" s="2" t="s">
        <v>7413</v>
      </c>
      <c r="B7413" s="2" t="str">
        <f>IFERROR(__xludf.DUMMYFUNCTION("GOOGLETRANSLATE(A7413, ""en"", ""mt"")"),"Liema huwa iktar għali, formali, jew l-imperjalizmu informali?")</f>
        <v>Liema huwa iktar għali, formali, jew l-imperjalizmu informali?</v>
      </c>
    </row>
    <row r="7414" ht="15.75" customHeight="1">
      <c r="A7414" s="2" t="s">
        <v>7414</v>
      </c>
      <c r="B7414" s="2" t="str">
        <f>IFERROR(__xludf.DUMMYFUNCTION("GOOGLETRANSLATE(A7414, ""en"", ""mt"")"),"It-tielet grupp ta 'pigmenti misjuba fiċ-ċjanobatterji, u glaukofite, alka ħamra, u kloroplasti tal-kriptofiti")</f>
        <v>It-tielet grupp ta 'pigmenti misjuba fiċ-ċjanobatterji, u glaukofite, alka ħamra, u kloroplasti tal-kriptofiti</v>
      </c>
    </row>
    <row r="7415" ht="15.75" customHeight="1">
      <c r="A7415" s="2" t="s">
        <v>7415</v>
      </c>
      <c r="B7415" s="2" t="str">
        <f>IFERROR(__xludf.DUMMYFUNCTION("GOOGLETRANSLATE(A7415, ""en"", ""mt"")"),"Kemm ilma jagħti l-AARE lir-Renu?")</f>
        <v>Kemm ilma jagħti l-AARE lir-Renu?</v>
      </c>
    </row>
    <row r="7416" ht="15.75" customHeight="1">
      <c r="A7416" s="2" t="s">
        <v>7416</v>
      </c>
      <c r="B7416" s="2" t="str">
        <f>IFERROR(__xludf.DUMMYFUNCTION("GOOGLETRANSLATE(A7416, ""en"", ""mt"")"),"Forzi irregolari Franċiżi")</f>
        <v>Forzi irregolari Franċiżi</v>
      </c>
    </row>
    <row r="7417" ht="15.75" customHeight="1">
      <c r="A7417" s="2" t="s">
        <v>7417</v>
      </c>
      <c r="B7417" s="2" t="str">
        <f>IFERROR(__xludf.DUMMYFUNCTION("GOOGLETRANSLATE(A7417, ""en"", ""mt"")"),"Fl-1 ta 'Mejju, 1953, l-istazzjonijiet ewlenin ta' ABC ta 'New York City - WJZ, WJZ-FM u WJZ-TV - biddlu l-linji rispettivi tagħhom għal WABC, WABC-FM u WABC-TV, u mxew l-operazzjonijiet tagħhom għal faċilitajiet fis-7 West 66th Street, Blokk wieħed 'il b"&amp;"ogħod mill-Park Ċentrali. L-ittri ta 'telefonati tal-WABC kienu użati qabel mill-istazzjon ewlieni tar-radju CBS (issa WCBS (AM)) sal-1946. Is-sejħiet WJZ aktar tard jiġu assenjati lill-affiljat ta' dak iż-żmien ABC f'Baltimore fl-1959, f'nod storiku għal"&amp;"l-fatt li WJZ kien oriġinarjament stabbilit mis-sid tal-Istazzjon ta 'Baltimore dak iż-żmien, Westinghouse.")</f>
        <v>Fl-1 ta 'Mejju, 1953, l-istazzjonijiet ewlenin ta' ABC ta 'New York City - WJZ, WJZ-FM u WJZ-TV - biddlu l-linji rispettivi tagħhom għal WABC, WABC-FM u WABC-TV, u mxew l-operazzjonijiet tagħhom għal faċilitajiet fis-7 West 66th Street, Blokk wieħed 'il bogħod mill-Park Ċentrali. L-ittri ta 'telefonati tal-WABC kienu użati qabel mill-istazzjon ewlieni tar-radju CBS (issa WCBS (AM)) sal-1946. Is-sejħiet WJZ aktar tard jiġu assenjati lill-affiljat ta' dak iż-żmien ABC f'Baltimore fl-1959, f'nod storiku għall-fatt li WJZ kien oriġinarjament stabbilit mis-sid tal-Istazzjon ta 'Baltimore dak iż-żmien, Westinghouse.</v>
      </c>
    </row>
    <row r="7418" ht="15.75" customHeight="1">
      <c r="A7418" s="2" t="s">
        <v>7418</v>
      </c>
      <c r="B7418" s="2" t="str">
        <f>IFERROR(__xludf.DUMMYFUNCTION("GOOGLETRANSLATE(A7418, ""en"", ""mt"")"),"Newcastle u Gateshead")</f>
        <v>Newcastle u Gateshead</v>
      </c>
    </row>
    <row r="7419" ht="15.75" customHeight="1">
      <c r="A7419" s="2" t="s">
        <v>7419</v>
      </c>
      <c r="B7419" s="2" t="str">
        <f>IFERROR(__xludf.DUMMYFUNCTION("GOOGLETRANSLATE(A7419, ""en"", ""mt"")"),"Il-Karta tad-Drittijiet Fundamentali tal-Unjoni Ewropea")</f>
        <v>Il-Karta tad-Drittijiet Fundamentali tal-Unjoni Ewropea</v>
      </c>
    </row>
    <row r="7420" ht="15.75" customHeight="1">
      <c r="A7420" s="2" t="s">
        <v>7420</v>
      </c>
      <c r="B7420" s="2" t="str">
        <f>IFERROR(__xludf.DUMMYFUNCTION("GOOGLETRANSLATE(A7420, ""en"", ""mt"")"),"Prinċipju lokali-globali")</f>
        <v>Prinċipju lokali-globali</v>
      </c>
    </row>
    <row r="7421" ht="15.75" customHeight="1">
      <c r="A7421" s="2" t="s">
        <v>7421</v>
      </c>
      <c r="B7421" s="2" t="str">
        <f>IFERROR(__xludf.DUMMYFUNCTION("GOOGLETRANSLATE(A7421, ""en"", ""mt"")"),"Meta l-ammont preżenti ta 'finanzjament ma jistax ikopri l-ispejjeż kurrenti għax-xogħol u l-materjali")</f>
        <v>Meta l-ammont preżenti ta 'finanzjament ma jistax ikopri l-ispejjeż kurrenti għax-xogħol u l-materjali</v>
      </c>
    </row>
    <row r="7422" ht="15.75" customHeight="1">
      <c r="A7422" s="2" t="s">
        <v>7422</v>
      </c>
      <c r="B7422" s="2" t="str">
        <f>IFERROR(__xludf.DUMMYFUNCTION("GOOGLETRANSLATE(A7422, ""en"", ""mt"")"),"Diversi prinċpijiet ta 'l-Art Imqaddsa waslu f'Limassol fl-istess ħin, b'mod partikolari Guy de Lusignan. Kollha ddikjaraw l-appoġġ tagħhom għal Richard ipprovda li huwa jappoġġja lil Guy kontra r-rivali tiegħu Conrad ta 'Montferrat. Il-baruni lokali abba"&amp;"ndunaw lil Isaac, li kkunsidra li jagħmel il-paċi ma 'Richard, jingħaqad miegħu fuq il-kruċjata, u joffri lil bintu fiż-żwieġ mal-persuna msemmija minn Richard. Imma Isaac biddel fehmtu u pprova jaħrab. Richard imbagħad ipproċeda biex jirbaħ il-gżira koll"&amp;"ha, it-truppi tiegħu huma mmexxija minn Guy de Lusignan. Isaac ċeda u kien limitat bil-ktajjen tal-fidda, għax Richard kien wiegħed li mhux se jpoġġih fil-mogħdija. Sal-1 ta ’Ġunju, Richard kien ħakem il-gżira kollha. L-isfruttament tiegħu ġie rreklamat s"&amp;"ew u kkontribwixxa għar-reputazzjoni tiegħu; Huwa ħareġ ukoll qligħ finanzjarju sinifikanti mill-konkwista tal-gżira. Richard telaq għal Acre fil-5 ta 'Ġunju, bl-alleati tiegħu. Qabel it-tluq tiegħu, huwa semma tnejn mill-ġenerali Norman tiegħu, Richard d"&amp;"e Camville u Robert de Thornham, bħala gvernaturi ta 'Ċipru.")</f>
        <v>Diversi prinċpijiet ta 'l-Art Imqaddsa waslu f'Limassol fl-istess ħin, b'mod partikolari Guy de Lusignan. Kollha ddikjaraw l-appoġġ tagħhom għal Richard ipprovda li huwa jappoġġja lil Guy kontra r-rivali tiegħu Conrad ta 'Montferrat. Il-baruni lokali abbandunaw lil Isaac, li kkunsidra li jagħmel il-paċi ma 'Richard, jingħaqad miegħu fuq il-kruċjata, u joffri lil bintu fiż-żwieġ mal-persuna msemmija minn Richard. Imma Isaac biddel fehmtu u pprova jaħrab. Richard imbagħad ipproċeda biex jirbaħ il-gżira kollha, it-truppi tiegħu huma mmexxija minn Guy de Lusignan. Isaac ċeda u kien limitat bil-ktajjen tal-fidda, għax Richard kien wiegħed li mhux se jpoġġih fil-mogħdija. Sal-1 ta ’Ġunju, Richard kien ħakem il-gżira kollha. L-isfruttament tiegħu ġie rreklamat sew u kkontribwixxa għar-reputazzjoni tiegħu; Huwa ħareġ ukoll qligħ finanzjarju sinifikanti mill-konkwista tal-gżira. Richard telaq għal Acre fil-5 ta 'Ġunju, bl-alleati tiegħu. Qabel it-tluq tiegħu, huwa semma tnejn mill-ġenerali Norman tiegħu, Richard de Camville u Robert de Thornham, bħala gvernaturi ta 'Ċipru.</v>
      </c>
    </row>
    <row r="7423" ht="15.75" customHeight="1">
      <c r="A7423" s="2" t="s">
        <v>7423</v>
      </c>
      <c r="B7423" s="2" t="str">
        <f>IFERROR(__xludf.DUMMYFUNCTION("GOOGLETRANSLATE(A7423, ""en"", ""mt"")"),"Il-petroloġi jistgħu wkoll jużaw dejta dwar l-inklużjoni tal-fluwidi u jwettqu temperatura għolja u pressjoni esperimenti fiżiċi biex jifhmu t-temperaturi u l-pressjonijiet li fihom jidhru fażijiet minerali differenti, u kif jinbidlu permezz ta 'proċessi "&amp;"igneous u metamorfiċi. Din ir-riċerka tista 'tiġi estrapolata fil-qasam biex tifhem il-proċessi metamorfiċi u l-kundizzjonijiet tal-kristallizzazzjoni ta' blat igneous. Dan ix-xogħol jista 'jgħin ukoll biex jispjega proċessi li jseħħu fid-dinja, bħas-subd"&amp;"uction u l-evoluzzjoni tal-kamra tal-magma.")</f>
        <v>Il-petroloġi jistgħu wkoll jużaw dejta dwar l-inklużjoni tal-fluwidi u jwettqu temperatura għolja u pressjoni esperimenti fiżiċi biex jifhmu t-temperaturi u l-pressjonijiet li fihom jidhru fażijiet minerali differenti, u kif jinbidlu permezz ta 'proċessi igneous u metamorfiċi. Din ir-riċerka tista 'tiġi estrapolata fil-qasam biex tifhem il-proċessi metamorfiċi u l-kundizzjonijiet tal-kristallizzazzjoni ta' blat igneous. Dan ix-xogħol jista 'jgħin ukoll biex jispjega proċessi li jseħħu fid-dinja, bħas-subduction u l-evoluzzjoni tal-kamra tal-magma.</v>
      </c>
    </row>
    <row r="7424" ht="15.75" customHeight="1">
      <c r="A7424" s="2" t="s">
        <v>7424</v>
      </c>
      <c r="B7424" s="2" t="str">
        <f>IFERROR(__xludf.DUMMYFUNCTION("GOOGLETRANSLATE(A7424, ""en"", ""mt"")"),"2,900 kilometru")</f>
        <v>2,900 kilometru</v>
      </c>
    </row>
    <row r="7425" ht="15.75" customHeight="1">
      <c r="A7425" s="2" t="s">
        <v>7425</v>
      </c>
      <c r="B7425" s="2" t="str">
        <f>IFERROR(__xludf.DUMMYFUNCTION("GOOGLETRANSLATE(A7425, ""en"", ""mt"")"),"Magnetophon Tape Recorder")</f>
        <v>Magnetophon Tape Recorder</v>
      </c>
    </row>
    <row r="7426" ht="15.75" customHeight="1">
      <c r="A7426" s="2" t="s">
        <v>7426</v>
      </c>
      <c r="B7426" s="2" t="str">
        <f>IFERROR(__xludf.DUMMYFUNCTION("GOOGLETRANSLATE(A7426, ""en"", ""mt"")"),"dawk li jinvolvu kunjardi orogeniċi")</f>
        <v>dawk li jinvolvu kunjardi orogeniċi</v>
      </c>
    </row>
    <row r="7427" ht="15.75" customHeight="1">
      <c r="A7427" s="2" t="s">
        <v>7427</v>
      </c>
      <c r="B7427" s="2" t="str">
        <f>IFERROR(__xludf.DUMMYFUNCTION("GOOGLETRANSLATE(A7427, ""en"", ""mt"")"),"Kemm kien stmat it-terremot tal-1994 li kien jiswa?")</f>
        <v>Kemm kien stmat it-terremot tal-1994 li kien jiswa?</v>
      </c>
    </row>
    <row r="7428" ht="15.75" customHeight="1">
      <c r="A7428" s="2" t="s">
        <v>7428</v>
      </c>
      <c r="B7428" s="2" t="str">
        <f>IFERROR(__xludf.DUMMYFUNCTION("GOOGLETRANSLATE(A7428, ""en"", ""mt"")"),"X'tip ta 'dixxiplina jridu jaraw il-kritiċi?")</f>
        <v>X'tip ta 'dixxiplina jridu jaraw il-kritiċi?</v>
      </c>
    </row>
    <row r="7429" ht="15.75" customHeight="1">
      <c r="A7429" s="2" t="s">
        <v>7429</v>
      </c>
      <c r="B7429" s="2" t="str">
        <f>IFERROR(__xludf.DUMMYFUNCTION("GOOGLETRANSLATE(A7429, ""en"", ""mt"")"),"Min għandu l-istorja bħala responsabbli għall-iżball li għamilt Philip u l-parir ta 'Luther fil-kwistjoni?")</f>
        <v>Min għandu l-istorja bħala responsabbli għall-iżball li għamilt Philip u l-parir ta 'Luther fil-kwistjoni?</v>
      </c>
    </row>
    <row r="7430" ht="15.75" customHeight="1">
      <c r="A7430" s="2" t="s">
        <v>7430</v>
      </c>
      <c r="B7430" s="2" t="str">
        <f>IFERROR(__xludf.DUMMYFUNCTION("GOOGLETRANSLATE(A7430, ""en"", ""mt"")"),"Anġina")</f>
        <v>Anġina</v>
      </c>
    </row>
    <row r="7431" ht="15.75" customHeight="1">
      <c r="A7431" s="2" t="s">
        <v>7431</v>
      </c>
      <c r="B7431" s="2" t="str">
        <f>IFERROR(__xludf.DUMMYFUNCTION("GOOGLETRANSLATE(A7431, ""en"", ""mt"")"),"Perjodu Ediacaran")</f>
        <v>Perjodu Ediacaran</v>
      </c>
    </row>
    <row r="7432" ht="15.75" customHeight="1">
      <c r="A7432" s="2" t="s">
        <v>7432</v>
      </c>
      <c r="B7432" s="2" t="str">
        <f>IFERROR(__xludf.DUMMYFUNCTION("GOOGLETRANSLATE(A7432, ""en"", ""mt"")"),"Università Medika ta 'Varsavja")</f>
        <v>Università Medika ta 'Varsavja</v>
      </c>
    </row>
    <row r="7433" ht="15.75" customHeight="1">
      <c r="A7433" s="2" t="s">
        <v>7433</v>
      </c>
      <c r="B7433" s="2" t="str">
        <f>IFERROR(__xludf.DUMMYFUNCTION("GOOGLETRANSLATE(A7433, ""en"", ""mt"")"),"Tesla vvinta oxxillatur mekkaniku li jaħdem bil-fwar - l-oxxillatur ta 'Tesla. Waqt li esperimenta ma 'oxxillaturi mekkaniċi fil-laboratorju tiegħu ta' Triq Houston, Tesla allegatament iġġenera reżonanza ta 'diversi binjiet. Hekk kif il-veloċità kibret, j"&amp;"ingħad li l-magna oxxillat fil-frekwenza tar-reżonanza tal-bini tiegħu stess u, billi rrealizza tard il-periklu, huwa ġie mġiegħel juża martell ta 'slitta biex itemm l-esperiment, hekk kif waslet il-pulizija.: 162-164 Fi Frar tal-1912, artiklu - ""Nikola "&amp;"Tesla, Dreamer"" minn Allan L. Benson - ġie ppubblikat fid-Dinja Illum, li fih l-illustrazzjoni ta 'artist tidher li turi d-Dinja kollha xquq bin-nofs bit-titlu, ""Tesla ssostni li fi ftit ġimgħat Huwa seta 'jwaqqaf il-qoxra tad-Dinja f'tali stat ta' vibr"&amp;"azzjoni li kienet titla 'u taqa' mijiet ta 'saqajn u prattikament teqred iċ-ċiviltà. Tkomplija ta' dan il-proċess tkun, qal, eventwalment taqsam id-Dinja fi tnejn. """)</f>
        <v>Tesla vvinta oxxillatur mekkaniku li jaħdem bil-fwar - l-oxxillatur ta 'Tesla. Waqt li esperimenta ma 'oxxillaturi mekkaniċi fil-laboratorju tiegħu ta' Triq Houston, Tesla allegatament iġġenera reżonanza ta 'diversi binjiet. Hekk kif il-veloċità kibret, jingħad li l-magna oxxillat fil-frekwenza tar-reżonanza tal-bini tiegħu stess u, billi rrealizza tard il-periklu, huwa ġie mġiegħel juża martell ta 'slitta biex itemm l-esperiment, hekk kif waslet il-pulizija.: 162-164 Fi Frar tal-1912, artiklu - "Nikola Tesla, Dreamer" minn Allan L. Benson - ġie ppubblikat fid-Dinja Illum, li fih l-illustrazzjoni ta 'artist tidher li turi d-Dinja kollha xquq bin-nofs bit-titlu, "Tesla ssostni li fi ftit ġimgħat Huwa seta 'jwaqqaf il-qoxra tad-Dinja f'tali stat ta' vibrazzjoni li kienet titla 'u taqa' mijiet ta 'saqajn u prattikament teqred iċ-ċiviltà. Tkomplija ta' dan il-proċess tkun, qal, eventwalment taqsam id-Dinja fi tnejn. "</v>
      </c>
    </row>
    <row r="7434" ht="15.75" customHeight="1">
      <c r="A7434" s="2" t="s">
        <v>7434</v>
      </c>
      <c r="B7434" s="2" t="str">
        <f>IFERROR(__xludf.DUMMYFUNCTION("GOOGLETRANSLATE(A7434, ""en"", ""mt"")"),"detenzjoni")</f>
        <v>detenzjoni</v>
      </c>
    </row>
    <row r="7435" ht="15.75" customHeight="1">
      <c r="A7435" s="2" t="s">
        <v>7435</v>
      </c>
      <c r="B7435" s="2" t="str">
        <f>IFERROR(__xludf.DUMMYFUNCTION("GOOGLETRANSLATE(A7435, ""en"", ""mt"")"),"Minn ~ 3000 yr bp (= snin qabel il-preżent), l-impatt tal-bniedem jidher fid-delta. Bħala riżultat taż-żieda fit-tneħħija tal-art (l-agrikoltura tal-Età tal-Bronż), fiż-żoni tal-art (il-Ġermanja Ċentrali), it-tagħbija tas-sediment tar-Renu żdiedet bil-qaw"&amp;"wa u t-tkabbir tad-delta ħaffef. Dan ikkawża żieda fl-għargħar u s-sedimentazzjoni, li tispiċċa l-formazzjoni tal-pit fid-delta. Iċ-ċaqliq tal-kanali tax-xmajjar għal postijiet ġodda, fuq il-pjan ta 'l-għargħar (imsejjaħ avulżjoni), kien il-proċess ewlien"&amp;"i li jqassam is-sediment madwar id-delta subrekenti. Matul l-aħħar 6000 sena, seħħew madwar 80 avulsjoni. L-impatt dirett tal-bniedem fid-delta beda bil-minjieri tal-pit, għall-melħ u l-fjuwil, minn żminijiet Rumani 'l quddiem. Dan kien segwit minn moll, "&amp;"tad-distributuri ewlenin u d-damming ta 'distributarji minuri, li seħħew fis-seklu 11-13 WK. Wara dan, il-kanali ġew imħaffra, il-liwjiet kienu maqtugħin qosra u nbnew groynes, biex ma jħallux il-kanali tax-xmara milli jemigraw jew jitilqu.")</f>
        <v>Minn ~ 3000 yr bp (= snin qabel il-preżent), l-impatt tal-bniedem jidher fid-delta. Bħala riżultat taż-żieda fit-tneħħija tal-art (l-agrikoltura tal-Età tal-Bronż), fiż-żoni tal-art (il-Ġermanja Ċentrali), it-tagħbija tas-sediment tar-Renu żdiedet bil-qawwa u t-tkabbir tad-delta ħaffef. Dan ikkawża żieda fl-għargħar u s-sedimentazzjoni, li tispiċċa l-formazzjoni tal-pit fid-delta. Iċ-ċaqliq tal-kanali tax-xmajjar għal postijiet ġodda, fuq il-pjan ta 'l-għargħar (imsejjaħ avulżjoni), kien il-proċess ewlieni li jqassam is-sediment madwar id-delta subrekenti. Matul l-aħħar 6000 sena, seħħew madwar 80 avulsjoni. L-impatt dirett tal-bniedem fid-delta beda bil-minjieri tal-pit, għall-melħ u l-fjuwil, minn żminijiet Rumani 'l quddiem. Dan kien segwit minn moll, tad-distributuri ewlenin u d-damming ta 'distributarji minuri, li seħħew fis-seklu 11-13 WK. Wara dan, il-kanali ġew imħaffra, il-liwjiet kienu maqtugħin qosra u nbnew groynes, biex ma jħallux il-kanali tax-xmara milli jemigraw jew jitilqu.</v>
      </c>
    </row>
    <row r="7436" ht="15.75" customHeight="1">
      <c r="A7436" s="2" t="s">
        <v>7436</v>
      </c>
      <c r="B7436" s="2" t="str">
        <f>IFERROR(__xludf.DUMMYFUNCTION("GOOGLETRANSLATE(A7436, ""en"", ""mt"")"),"Fuq liema huma r-rati miżjuda ta 'impjieg indipendenti?")</f>
        <v>Fuq liema huma r-rati miżjuda ta 'impjieg indipendenti?</v>
      </c>
    </row>
    <row r="7437" ht="15.75" customHeight="1">
      <c r="A7437" s="2" t="s">
        <v>7437</v>
      </c>
      <c r="B7437" s="2" t="str">
        <f>IFERROR(__xludf.DUMMYFUNCTION("GOOGLETRANSLATE(A7437, ""en"", ""mt"")"),"Min iddisinja u skolpita n-nar tal-irħam fil-kamra ta 'refreshment taċ-ċentru?")</f>
        <v>Min iddisinja u skolpita n-nar tal-irħam fil-kamra ta 'refreshment taċ-ċentru?</v>
      </c>
    </row>
    <row r="7438" ht="15.75" customHeight="1">
      <c r="A7438" s="2" t="s">
        <v>7438</v>
      </c>
      <c r="B7438" s="2" t="str">
        <f>IFERROR(__xludf.DUMMYFUNCTION("GOOGLETRANSLATE(A7438, ""en"", ""mt"")"),"bl-esperjenza")</f>
        <v>bl-esperjenza</v>
      </c>
    </row>
    <row r="7439" ht="15.75" customHeight="1">
      <c r="A7439" s="2" t="s">
        <v>7439</v>
      </c>
      <c r="B7439" s="2" t="str">
        <f>IFERROR(__xludf.DUMMYFUNCTION("GOOGLETRANSLATE(A7439, ""en"", ""mt"")"),"Fl-1781 James Watt brevettat magna tal-fwar li pproduċiet moviment li jdur kontinwu. Il-magni ta 'għaxar horsepower ta' Watt ippermettew firxa wiesgħa ta 'makkinarju tal-manifattura. Il-magni jistgħu jinstabu kullimkien li l-ilma u l-faħam jew fjuwil tal-"&amp;"injam jistgħu jinkisbu. Sal-1883, magni li setgħu jipprovdu 10,000 hp kienu fattibbli. Il-magna tal-fwar wieqfa kienet komponent ewlieni tar-rivoluzzjoni industrijali, li ppermettiet lill-fabbriki biex jinstabu fejn l-enerġija tal-ilma ma kinitx disponibb"&amp;"li. Il-magni atmosferiċi ta 'Newcomen u Watt kienu kbar meta mqabbla ma' l-ammont ta 'enerġija li pproduċew, iżda magni tal-fwar bi pressjoni għolja kienu ħfief biżżejjed biex jiġu applikati għal vetturi bħal magni tat-trazzjoni u l-lokomottivi tal-ferrov"&amp;"ija.")</f>
        <v>Fl-1781 James Watt brevettat magna tal-fwar li pproduċiet moviment li jdur kontinwu. Il-magni ta 'għaxar horsepower ta' Watt ippermettew firxa wiesgħa ta 'makkinarju tal-manifattura. Il-magni jistgħu jinstabu kullimkien li l-ilma u l-faħam jew fjuwil tal-injam jistgħu jinkisbu. Sal-1883, magni li setgħu jipprovdu 10,000 hp kienu fattibbli. Il-magna tal-fwar wieqfa kienet komponent ewlieni tar-rivoluzzjoni industrijali, li ppermettiet lill-fabbriki biex jinstabu fejn l-enerġija tal-ilma ma kinitx disponibbli. Il-magni atmosferiċi ta 'Newcomen u Watt kienu kbar meta mqabbla ma' l-ammont ta 'enerġija li pproduċew, iżda magni tal-fwar bi pressjoni għolja kienu ħfief biżżejjed biex jiġu applikati għal vetturi bħal magni tat-trazzjoni u l-lokomottivi tal-ferrovija.</v>
      </c>
    </row>
    <row r="7440" ht="15.75" customHeight="1">
      <c r="A7440" s="2" t="s">
        <v>7440</v>
      </c>
      <c r="B7440" s="2" t="str">
        <f>IFERROR(__xludf.DUMMYFUNCTION("GOOGLETRANSLATE(A7440, ""en"", ""mt"")"),"Liema qasam jinvolvi l-istudju tas-sistema immuni?")</f>
        <v>Liema qasam jinvolvi l-istudju tas-sistema immuni?</v>
      </c>
    </row>
    <row r="7441" ht="15.75" customHeight="1">
      <c r="A7441" s="2" t="s">
        <v>7441</v>
      </c>
      <c r="B7441" s="2" t="str">
        <f>IFERROR(__xludf.DUMMYFUNCTION("GOOGLETRANSLATE(A7441, ""en"", ""mt"")"),"Meta l-wan beda juża pjanċi tal-istampar tal-bronż għal flusha?")</f>
        <v>Meta l-wan beda juża pjanċi tal-istampar tal-bronż għal flusha?</v>
      </c>
    </row>
    <row r="7442" ht="15.75" customHeight="1">
      <c r="A7442" s="2" t="s">
        <v>7442</v>
      </c>
      <c r="B7442" s="2" t="str">
        <f>IFERROR(__xludf.DUMMYFUNCTION("GOOGLETRANSLATE(A7442, ""en"", ""mt"")"),"Membrani tal-Lipidi-Bilayer")</f>
        <v>Membrani tal-Lipidi-Bilayer</v>
      </c>
    </row>
    <row r="7443" ht="15.75" customHeight="1">
      <c r="A7443" s="2" t="s">
        <v>7443</v>
      </c>
      <c r="B7443" s="2" t="str">
        <f>IFERROR(__xludf.DUMMYFUNCTION("GOOGLETRANSLATE(A7443, ""en"", ""mt"")"),"konferma u xi kultant il-professjoni tal-fidi")</f>
        <v>konferma u xi kultant il-professjoni tal-fidi</v>
      </c>
    </row>
    <row r="7444" ht="15.75" customHeight="1">
      <c r="A7444" s="2" t="s">
        <v>7444</v>
      </c>
      <c r="B7444" s="2" t="str">
        <f>IFERROR(__xludf.DUMMYFUNCTION("GOOGLETRANSLATE(A7444, ""en"", ""mt"")"),"Wahhabism")</f>
        <v>Wahhabism</v>
      </c>
    </row>
    <row r="7445" ht="15.75" customHeight="1">
      <c r="A7445" s="2" t="s">
        <v>7445</v>
      </c>
      <c r="B7445" s="2" t="str">
        <f>IFERROR(__xludf.DUMMYFUNCTION("GOOGLETRANSLATE(A7445, ""en"", ""mt"")"),"L-ewwel mappa ġeoloġika ta 'l-Istati Uniti ġiet prodotta fl-1809 minn William MacLure. Fl-1807, MacLure beda l-kompitu impost minnu nnifsu li jagħmel stħarriġ ġeoloġiku ta 'l-Istati Uniti. Kważi kull stat fl-unjoni kien traversat u mmappjat minnu, il-Munt"&amp;"anji Allegheny qed jinqasmu u rreklamaw xi 50 darba. Ir-riżultati tal-ħaddiema mingħajr għajnuna tiegħu ġew sottomessi lis-Soċjetà Filosofika Amerikana f'Memoir intitolat Osservazzjonijiet dwar il-Ġeoloġija ta 'l-Istati Uniti Spjegazzjoni ta' Mappa Ġeoloġ"&amp;"ika, u ppubblikati fit-Tranżazzjonijiet tas-Soċjetà, flimkien mal-ewwel mappa ġeoloġika tan-nazzjon. Din l-antedates tal-mappa ġeoloġika ta 'William Smith ta' l-Ingilterra b'sitt snin, għalkemm ġiet mibnija bl-użu ta 'klassifikazzjoni differenti ta' blat.")</f>
        <v>L-ewwel mappa ġeoloġika ta 'l-Istati Uniti ġiet prodotta fl-1809 minn William MacLure. Fl-1807, MacLure beda l-kompitu impost minnu nnifsu li jagħmel stħarriġ ġeoloġiku ta 'l-Istati Uniti. Kważi kull stat fl-unjoni kien traversat u mmappjat minnu, il-Muntanji Allegheny qed jinqasmu u rreklamaw xi 50 darba. Ir-riżultati tal-ħaddiema mingħajr għajnuna tiegħu ġew sottomessi lis-Soċjetà Filosofika Amerikana f'Memoir intitolat Osservazzjonijiet dwar il-Ġeoloġija ta 'l-Istati Uniti Spjegazzjoni ta' Mappa Ġeoloġika, u ppubblikati fit-Tranżazzjonijiet tas-Soċjetà, flimkien mal-ewwel mappa ġeoloġika tan-nazzjon. Din l-antedates tal-mappa ġeoloġika ta 'William Smith ta' l-Ingilterra b'sitt snin, għalkemm ġiet mibnija bl-użu ta 'klassifikazzjoni differenti ta' blat.</v>
      </c>
    </row>
    <row r="7446" ht="15.75" customHeight="1">
      <c r="A7446" s="2" t="s">
        <v>7446</v>
      </c>
      <c r="B7446" s="2" t="str">
        <f>IFERROR(__xludf.DUMMYFUNCTION("GOOGLETRANSLATE(A7446, ""en"", ""mt"")"),"L-ewwel sett ta 'avvenimenti endosimbijotiċi")</f>
        <v>L-ewwel sett ta 'avvenimenti endosimbijotiċi</v>
      </c>
    </row>
    <row r="7447" ht="15.75" customHeight="1">
      <c r="A7447" s="2" t="s">
        <v>7447</v>
      </c>
      <c r="B7447" s="2" t="str">
        <f>IFERROR(__xludf.DUMMYFUNCTION("GOOGLETRANSLATE(A7447, ""en"", ""mt"")"),"Jekk intużaw numri Rumani, kif jissejħu Super Bowl 50?")</f>
        <v>Jekk intużaw numri Rumani, kif jissejħu Super Bowl 50?</v>
      </c>
    </row>
    <row r="7448" ht="15.75" customHeight="1">
      <c r="A7448" s="2" t="s">
        <v>7448</v>
      </c>
      <c r="B7448" s="2" t="str">
        <f>IFERROR(__xludf.DUMMYFUNCTION("GOOGLETRANSLATE(A7448, ""en"", ""mt"")"),"Elfejn persuna")</f>
        <v>Elfejn persuna</v>
      </c>
    </row>
    <row r="7449" ht="15.75" customHeight="1">
      <c r="A7449" s="2" t="s">
        <v>7449</v>
      </c>
      <c r="B7449" s="2" t="str">
        <f>IFERROR(__xludf.DUMMYFUNCTION("GOOGLETRANSLATE(A7449, ""en"", ""mt"")"),"Ġeneral Amherst")</f>
        <v>Ġeneral Amherst</v>
      </c>
    </row>
    <row r="7450" ht="15.75" customHeight="1">
      <c r="A7450" s="2" t="s">
        <v>7450</v>
      </c>
      <c r="B7450" s="2" t="str">
        <f>IFERROR(__xludf.DUMMYFUNCTION("GOOGLETRANSLATE(A7450, ""en"", ""mt"")"),"Min jaħdmu l-ispiżjara kliniċi ma 'ħafna mill-ħin?")</f>
        <v>Min jaħdmu l-ispiżjara kliniċi ma 'ħafna mill-ħin?</v>
      </c>
    </row>
    <row r="7451" ht="15.75" customHeight="1">
      <c r="A7451" s="2" t="s">
        <v>7451</v>
      </c>
      <c r="B7451" s="2" t="str">
        <f>IFERROR(__xludf.DUMMYFUNCTION("GOOGLETRANSLATE(A7451, ""en"", ""mt"")"),"rikurrenti")</f>
        <v>rikurrenti</v>
      </c>
    </row>
    <row r="7452" ht="15.75" customHeight="1">
      <c r="A7452" s="2" t="s">
        <v>7452</v>
      </c>
      <c r="B7452" s="2" t="str">
        <f>IFERROR(__xludf.DUMMYFUNCTION("GOOGLETRANSLATE(A7452, ""en"", ""mt"")"),"Akkademja Imperjali tal-Mediċina")</f>
        <v>Akkademja Imperjali tal-Mediċina</v>
      </c>
    </row>
    <row r="7453" ht="15.75" customHeight="1">
      <c r="A7453" s="2" t="s">
        <v>7453</v>
      </c>
      <c r="B7453" s="2" t="str">
        <f>IFERROR(__xludf.DUMMYFUNCTION("GOOGLETRANSLATE(A7453, ""en"", ""mt"")"),"infinitament")</f>
        <v>infinitament</v>
      </c>
    </row>
    <row r="7454" ht="15.75" customHeight="1">
      <c r="A7454" s="2" t="s">
        <v>7454</v>
      </c>
      <c r="B7454" s="2" t="str">
        <f>IFERROR(__xludf.DUMMYFUNCTION("GOOGLETRANSLATE(A7454, ""en"", ""mt"")"),"Iċ-ċiklu ta 'Calvin jibda billi juża l-enzima rubisco biex jiffissa CO2 f'molekuli ta' ħames karbonju ta 'ribulose bisfosfat (RUBP). Ir-riżultat huwa molekuli instabbli ta 'sitt karboniċi li immedjatament jinqasmu fi molekuli ta' tliet karbonji msejħa aċi"&amp;"du 3-fosfogliċeriku, jew 3-PGA. L-ATP u n-NADPH magħmulin fir-reazzjonijiet tad-dawl jintużaw biex jikkonvertu t-3-PGA fi glyceraldehyde-3-fosfat, jew molekuli taz-zokkor G3P. Il-biċċa l-kbira tal-molekuli G3P huma riċiklati lura fl-RUBP bl-użu ta 'enerġi"&amp;"ja minn aktar ATP, iżda wieħed minn kull sitt prodott weraq iċ-ċiklu - il-prodott finali tar-reazzjonijiet mudlama.")</f>
        <v>Iċ-ċiklu ta 'Calvin jibda billi juża l-enzima rubisco biex jiffissa CO2 f'molekuli ta' ħames karbonju ta 'ribulose bisfosfat (RUBP). Ir-riżultat huwa molekuli instabbli ta 'sitt karboniċi li immedjatament jinqasmu fi molekuli ta' tliet karbonji msejħa aċidu 3-fosfogliċeriku, jew 3-PGA. L-ATP u n-NADPH magħmulin fir-reazzjonijiet tad-dawl jintużaw biex jikkonvertu t-3-PGA fi glyceraldehyde-3-fosfat, jew molekuli taz-zokkor G3P. Il-biċċa l-kbira tal-molekuli G3P huma riċiklati lura fl-RUBP bl-użu ta 'enerġija minn aktar ATP, iżda wieħed minn kull sitt prodott weraq iċ-ċiklu - il-prodott finali tar-reazzjonijiet mudlama.</v>
      </c>
    </row>
    <row r="7455" ht="15.75" customHeight="1">
      <c r="A7455" s="2" t="s">
        <v>7455</v>
      </c>
      <c r="B7455" s="2" t="str">
        <f>IFERROR(__xludf.DUMMYFUNCTION("GOOGLETRANSLATE(A7455, ""en"", ""mt"")"),"diversi operaturi tal-ferrovija privati ​​u pubbliċi")</f>
        <v>diversi operaturi tal-ferrovija privati ​​u pubbliċi</v>
      </c>
    </row>
    <row r="7456" ht="15.75" customHeight="1">
      <c r="A7456" s="2" t="s">
        <v>7456</v>
      </c>
      <c r="B7456" s="2" t="str">
        <f>IFERROR(__xludf.DUMMYFUNCTION("GOOGLETRANSLATE(A7456, ""en"", ""mt"")"),"Interattiv")</f>
        <v>Interattiv</v>
      </c>
    </row>
    <row r="7457" ht="15.75" customHeight="1">
      <c r="A7457" s="2" t="s">
        <v>7457</v>
      </c>
      <c r="B7457" s="2" t="str">
        <f>IFERROR(__xludf.DUMMYFUNCTION("GOOGLETRANSLATE(A7457, ""en"", ""mt"")"),"Kemm-il darba Thomas Davis qatta 'l-ACL tiegħu fil-karriera tiegħu?")</f>
        <v>Kemm-il darba Thomas Davis qatta 'l-ACL tiegħu fil-karriera tiegħu?</v>
      </c>
    </row>
    <row r="7458" ht="15.75" customHeight="1">
      <c r="A7458" s="2" t="s">
        <v>7458</v>
      </c>
      <c r="B7458" s="2" t="str">
        <f>IFERROR(__xludf.DUMMYFUNCTION("GOOGLETRANSLATE(A7458, ""en"", ""mt"")"),"Alkoħol u nightclubs")</f>
        <v>Alkoħol u nightclubs</v>
      </c>
    </row>
    <row r="7459" ht="15.75" customHeight="1">
      <c r="A7459" s="2" t="s">
        <v>7459</v>
      </c>
      <c r="B7459" s="2" t="str">
        <f>IFERROR(__xludf.DUMMYFUNCTION("GOOGLETRANSLATE(A7459, ""en"", ""mt"")"),"ACL imqatta '")</f>
        <v>ACL imqatta '</v>
      </c>
    </row>
    <row r="7460" ht="15.75" customHeight="1">
      <c r="A7460" s="2" t="s">
        <v>7460</v>
      </c>
      <c r="B7460" s="2" t="str">
        <f>IFERROR(__xludf.DUMMYFUNCTION("GOOGLETRANSLATE(A7460, ""en"", ""mt"")"),"Għal liema sena huwa d-data tal-Becket Casket?")</f>
        <v>Għal liema sena huwa d-data tal-Becket Casket?</v>
      </c>
    </row>
    <row r="7461" ht="15.75" customHeight="1">
      <c r="A7461" s="2" t="s">
        <v>7461</v>
      </c>
      <c r="B7461" s="2" t="str">
        <f>IFERROR(__xludf.DUMMYFUNCTION("GOOGLETRANSLATE(A7461, ""en"", ""mt"")"),"Biex tfixkel lil Montcalm")</f>
        <v>Biex tfixkel lil Montcalm</v>
      </c>
    </row>
    <row r="7462" ht="15.75" customHeight="1">
      <c r="A7462" s="2" t="s">
        <v>7462</v>
      </c>
      <c r="B7462" s="2" t="str">
        <f>IFERROR(__xludf.DUMMYFUNCTION("GOOGLETRANSLATE(A7462, ""en"", ""mt"")"),"Lvant-Punent")</f>
        <v>Lvant-Punent</v>
      </c>
    </row>
    <row r="7463" ht="15.75" customHeight="1">
      <c r="A7463" s="2" t="s">
        <v>7463</v>
      </c>
      <c r="B7463" s="2" t="str">
        <f>IFERROR(__xludf.DUMMYFUNCTION("GOOGLETRANSLATE(A7463, ""en"", ""mt"")"),"X'influwenza l-imġieba tal-kloroplasti?")</f>
        <v>X'influwenza l-imġieba tal-kloroplasti?</v>
      </c>
    </row>
    <row r="7464" ht="15.75" customHeight="1">
      <c r="A7464" s="2" t="s">
        <v>7464</v>
      </c>
      <c r="B7464" s="2" t="str">
        <f>IFERROR(__xludf.DUMMYFUNCTION("GOOGLETRANSLATE(A7464, ""en"", ""mt"")"),"jispjegaw l-azzjonijiet tagħhom")</f>
        <v>jispjegaw l-azzjonijiet tagħhom</v>
      </c>
    </row>
    <row r="7465" ht="15.75" customHeight="1">
      <c r="A7465" s="2" t="s">
        <v>7465</v>
      </c>
      <c r="B7465" s="2" t="str">
        <f>IFERROR(__xludf.DUMMYFUNCTION("GOOGLETRANSLATE(A7465, ""en"", ""mt"")"),"Xogħol")</f>
        <v>Xogħol</v>
      </c>
    </row>
    <row r="7466" ht="15.75" customHeight="1">
      <c r="A7466" s="2" t="s">
        <v>7466</v>
      </c>
      <c r="B7466" s="2" t="str">
        <f>IFERROR(__xludf.DUMMYFUNCTION("GOOGLETRANSLATE(A7466, ""en"", ""mt"")"),"It-titlu tal-proġett ta 'diġitizzazzjoni kien referenza għal liema artist?")</f>
        <v>It-titlu tal-proġett ta 'diġitizzazzjoni kien referenza għal liema artist?</v>
      </c>
    </row>
    <row r="7467" ht="15.75" customHeight="1">
      <c r="A7467" s="2" t="s">
        <v>7467</v>
      </c>
      <c r="B7467" s="2" t="str">
        <f>IFERROR(__xludf.DUMMYFUNCTION("GOOGLETRANSLATE(A7467, ""en"", ""mt"")"),"Anorthite")</f>
        <v>Anorthite</v>
      </c>
    </row>
    <row r="7468" ht="15.75" customHeight="1">
      <c r="A7468" s="2" t="s">
        <v>7468</v>
      </c>
      <c r="B7468" s="2" t="str">
        <f>IFERROR(__xludf.DUMMYFUNCTION("GOOGLETRANSLATE(A7468, ""en"", ""mt"")"),"Ossidu Merkuriku")</f>
        <v>Ossidu Merkuriku</v>
      </c>
    </row>
    <row r="7469" ht="15.75" customHeight="1">
      <c r="A7469" s="2" t="s">
        <v>7469</v>
      </c>
      <c r="B7469" s="2" t="str">
        <f>IFERROR(__xludf.DUMMYFUNCTION("GOOGLETRANSLATE(A7469, ""en"", ""mt"")"),"F'liema format huwa trasmess l-għalf kaptan ta 'ABC?")</f>
        <v>F'liema format huwa trasmess l-għalf kaptan ta 'ABC?</v>
      </c>
    </row>
    <row r="7470" ht="15.75" customHeight="1">
      <c r="A7470" s="2" t="s">
        <v>7470</v>
      </c>
      <c r="B7470" s="2" t="str">
        <f>IFERROR(__xludf.DUMMYFUNCTION("GOOGLETRANSLATE(A7470, ""en"", ""mt"")"),"Min ikkalkula l-veloċità tad-dawl?")</f>
        <v>Min ikkalkula l-veloċità tad-dawl?</v>
      </c>
    </row>
    <row r="7471" ht="15.75" customHeight="1">
      <c r="A7471" s="2" t="s">
        <v>7471</v>
      </c>
      <c r="B7471" s="2" t="str">
        <f>IFERROR(__xludf.DUMMYFUNCTION("GOOGLETRANSLATE(A7471, ""en"", ""mt"")"),"Il-President Amerikan Barack Obama")</f>
        <v>Il-President Amerikan Barack Obama</v>
      </c>
    </row>
    <row r="7472" ht="15.75" customHeight="1">
      <c r="A7472" s="2" t="s">
        <v>7472</v>
      </c>
      <c r="B7472" s="2" t="str">
        <f>IFERROR(__xludf.DUMMYFUNCTION("GOOGLETRANSLATE(A7472, ""en"", ""mt"")"),"Mit-12 sas-16")</f>
        <v>Mit-12 sas-16</v>
      </c>
    </row>
    <row r="7473" ht="15.75" customHeight="1">
      <c r="A7473" s="2" t="s">
        <v>7473</v>
      </c>
      <c r="B7473" s="2" t="str">
        <f>IFERROR(__xludf.DUMMYFUNCTION("GOOGLETRANSLATE(A7473, ""en"", ""mt"")"),"il-moviment tat-tempra")</f>
        <v>il-moviment tat-tempra</v>
      </c>
    </row>
    <row r="7474" ht="15.75" customHeight="1">
      <c r="A7474" s="2" t="s">
        <v>7474</v>
      </c>
      <c r="B7474" s="2" t="str">
        <f>IFERROR(__xludf.DUMMYFUNCTION("GOOGLETRANSLATE(A7474, ""en"", ""mt"")"),"Min hu l-quarterback għall-Panthers?")</f>
        <v>Min hu l-quarterback għall-Panthers?</v>
      </c>
    </row>
    <row r="7475" ht="15.75" customHeight="1">
      <c r="A7475" s="2" t="s">
        <v>7475</v>
      </c>
      <c r="B7475" s="2" t="str">
        <f>IFERROR(__xludf.DUMMYFUNCTION("GOOGLETRANSLATE(A7475, ""en"", ""mt"")"),"Modulu tal-Kmand / Servizz (")</f>
        <v>Modulu tal-Kmand / Servizz (</v>
      </c>
    </row>
    <row r="7476" ht="15.75" customHeight="1">
      <c r="A7476" s="2" t="s">
        <v>7476</v>
      </c>
      <c r="B7476" s="2" t="str">
        <f>IFERROR(__xludf.DUMMYFUNCTION("GOOGLETRANSLATE(A7476, ""en"", ""mt"")"),"L-ispeċjal tal-Milied tal-2013 ""The Time of the Doctor""")</f>
        <v>L-ispeċjal tal-Milied tal-2013 "The Time of the Doctor"</v>
      </c>
    </row>
    <row r="7477" ht="15.75" customHeight="1">
      <c r="A7477" s="2" t="s">
        <v>7477</v>
      </c>
      <c r="B7477" s="2" t="str">
        <f>IFERROR(__xludf.DUMMYFUNCTION("GOOGLETRANSLATE(A7477, ""en"", ""mt"")"),"F'liema sena sar il-proġett kbir ta 'tfittxija ta' l-internet Mersenne?")</f>
        <v>F'liema sena sar il-proġett kbir ta 'tfittxija ta' l-internet Mersenne?</v>
      </c>
    </row>
    <row r="7478" ht="15.75" customHeight="1">
      <c r="A7478" s="2" t="s">
        <v>7478</v>
      </c>
      <c r="B7478" s="2" t="str">
        <f>IFERROR(__xludf.DUMMYFUNCTION("GOOGLETRANSLATE(A7478, ""en"", ""mt"")"),"X'inhu t-terminu għat-trab minfuħ tar-riħ fi tundra?")</f>
        <v>X'inhu t-terminu għat-trab minfuħ tar-riħ fi tundra?</v>
      </c>
    </row>
    <row r="7479" ht="15.75" customHeight="1">
      <c r="A7479" s="2" t="s">
        <v>7479</v>
      </c>
      <c r="B7479" s="2" t="str">
        <f>IFERROR(__xludf.DUMMYFUNCTION("GOOGLETRANSLATE(A7479, ""en"", ""mt"")"),"Haeckelia priża l-aktar fuq liema annimal?")</f>
        <v>Haeckelia priża l-aktar fuq liema annimal?</v>
      </c>
    </row>
    <row r="7480" ht="15.75" customHeight="1">
      <c r="A7480" s="2" t="s">
        <v>7480</v>
      </c>
      <c r="B7480" s="2" t="str">
        <f>IFERROR(__xludf.DUMMYFUNCTION("GOOGLETRANSLATE(A7480, ""en"", ""mt"")"),"Konferenza tal-Knisja")</f>
        <v>Konferenza tal-Knisja</v>
      </c>
    </row>
    <row r="7481" ht="15.75" customHeight="1">
      <c r="A7481" s="2" t="s">
        <v>7481</v>
      </c>
      <c r="B7481" s="2" t="str">
        <f>IFERROR(__xludf.DUMMYFUNCTION("GOOGLETRANSLATE(A7481, ""en"", ""mt"")"),"tħassib")</f>
        <v>tħassib</v>
      </c>
    </row>
    <row r="7482" ht="15.75" customHeight="1">
      <c r="A7482" s="2" t="s">
        <v>7482</v>
      </c>
      <c r="B7482" s="2" t="str">
        <f>IFERROR(__xludf.DUMMYFUNCTION("GOOGLETRANSLATE(A7482, ""en"", ""mt"")"),"Min iddisinja ċ-Ċentru tal-Mużika Sage Gateshead?")</f>
        <v>Min iddisinja ċ-Ċentru tal-Mużika Sage Gateshead?</v>
      </c>
    </row>
    <row r="7483" ht="15.75" customHeight="1">
      <c r="A7483" s="2" t="s">
        <v>7483</v>
      </c>
      <c r="B7483" s="2" t="str">
        <f>IFERROR(__xludf.DUMMYFUNCTION("GOOGLETRANSLATE(A7483, ""en"", ""mt"")"),"Kemm stazzjonijiet tal-mużika ABC kienu proprjetà u mħaddma fl-1968?")</f>
        <v>Kemm stazzjonijiet tal-mużika ABC kienu proprjetà u mħaddma fl-1968?</v>
      </c>
    </row>
    <row r="7484" ht="15.75" customHeight="1">
      <c r="A7484" s="2" t="s">
        <v>7484</v>
      </c>
      <c r="B7484" s="2" t="str">
        <f>IFERROR(__xludf.DUMMYFUNCTION("GOOGLETRANSLATE(A7484, ""en"", ""mt"")"),"il- ""graff tal-hockey stick""")</f>
        <v>il- "graff tal-hockey stick"</v>
      </c>
    </row>
    <row r="7485" ht="15.75" customHeight="1">
      <c r="A7485" s="2" t="s">
        <v>7485</v>
      </c>
      <c r="B7485" s="2" t="str">
        <f>IFERROR(__xludf.DUMMYFUNCTION("GOOGLETRANSLATE(A7485, ""en"", ""mt"")"),"S.W.A.T.")</f>
        <v>S.W.A.T.</v>
      </c>
    </row>
    <row r="7486" ht="15.75" customHeight="1">
      <c r="A7486" s="2" t="s">
        <v>7486</v>
      </c>
      <c r="B7486" s="2" t="str">
        <f>IFERROR(__xludf.DUMMYFUNCTION("GOOGLETRANSLATE(A7486, ""en"", ""mt"")"),"L-esploratur Franċiż Huguenot Jean Ribault ikklassifika x-Xmara San Ġwann fl-1562 billi sejħilha x-xmara ta 'Mejju għax skopraha f'Mejju. Ribault tella ’kolonna tal-ġebel qrib Jacksonville preżenti fejn sostniet l-art li għadha kemm ġiet skoperta għal Fra"&amp;"nza. Fl-1564, René Goulaine de Laudonnière stabbilixxiet l-ewwel ftehim Ewropew, Fort Caroline, fuq il-San Ġwann ħdejn il-villaġġ ewlieni tas-Saturawa. Filippu II ta ’Spanja ordna lil Pedro Menéndez de Avilés biex jipproteġi l-interess ta’ Spanja billi ja"&amp;"ttakka l-preżenza Franċiża fil-Fort Caroline. Fl-20 ta 'Settembru, 1565, forza Spanjola mill-issetiljar Spanjol fil-viċin ta' Santu Wistin attakkat lil Fort Caroline, u qatlet kważi s-suldati Franċiżi kollha li jiddefenduha. L-Ispanjol semmieh il-Fort San"&amp;" Mateo, u wara l-effett tal-Franċiż, il-pożizzjoni ta ’Santu Wistin bħala l-iktar ftehim importanti fi Florida ġie ssolidifikat. Il-post ta 'Fort Caroline huwa soġġett għal dibattitu iżda ġiet stabbilita rikostruzzjoni tal-forti fuq ix-Xmara San Ġwann fl-"&amp;"1964.")</f>
        <v>L-esploratur Franċiż Huguenot Jean Ribault ikklassifika x-Xmara San Ġwann fl-1562 billi sejħilha x-xmara ta 'Mejju għax skopraha f'Mejju. Ribault tella ’kolonna tal-ġebel qrib Jacksonville preżenti fejn sostniet l-art li għadha kemm ġiet skoperta għal Franza. Fl-1564, René Goulaine de Laudonnière stabbilixxiet l-ewwel ftehim Ewropew, Fort Caroline, fuq il-San Ġwann ħdejn il-villaġġ ewlieni tas-Saturawa. Filippu II ta ’Spanja ordna lil Pedro Menéndez de Avilés biex jipproteġi l-interess ta’ Spanja billi jattakka l-preżenza Franċiża fil-Fort Caroline. Fl-20 ta 'Settembru, 1565, forza Spanjola mill-issetiljar Spanjol fil-viċin ta' Santu Wistin attakkat lil Fort Caroline, u qatlet kważi s-suldati Franċiżi kollha li jiddefenduha. L-Ispanjol semmieh il-Fort San Mateo, u wara l-effett tal-Franċiż, il-pożizzjoni ta ’Santu Wistin bħala l-iktar ftehim importanti fi Florida ġie ssolidifikat. Il-post ta 'Fort Caroline huwa soġġett għal dibattitu iżda ġiet stabbilita rikostruzzjoni tal-forti fuq ix-Xmara San Ġwann fl-1964.</v>
      </c>
    </row>
    <row r="7487" ht="15.75" customHeight="1">
      <c r="A7487" s="2" t="s">
        <v>7487</v>
      </c>
      <c r="B7487" s="2" t="str">
        <f>IFERROR(__xludf.DUMMYFUNCTION("GOOGLETRANSLATE(A7487, ""en"", ""mt"")"),"mhux irreġistrat")</f>
        <v>mhux irreġistrat</v>
      </c>
    </row>
    <row r="7488" ht="15.75" customHeight="1">
      <c r="A7488" s="2" t="s">
        <v>7488</v>
      </c>
      <c r="B7488" s="2" t="str">
        <f>IFERROR(__xludf.DUMMYFUNCTION("GOOGLETRANSLATE(A7488, ""en"", ""mt"")"),"Matul l-istadju tal-kompressjoni huwa meħtieġ xogħol relattivament żgħir biex issuq il-pompa")</f>
        <v>Matul l-istadju tal-kompressjoni huwa meħtieġ xogħol relattivament żgħir biex issuq il-pompa</v>
      </c>
    </row>
    <row r="7489" ht="15.75" customHeight="1">
      <c r="A7489" s="2" t="s">
        <v>7489</v>
      </c>
      <c r="B7489" s="2" t="str">
        <f>IFERROR(__xludf.DUMMYFUNCTION("GOOGLETRANSLATE(A7489, ""en"", ""mt"")"),"Liema ammont minuri ta 'ossiġnu likwidu ġie prodott minn esperimentaturi Franċiżi bikrija?")</f>
        <v>Liema ammont minuri ta 'ossiġnu likwidu ġie prodott minn esperimentaturi Franċiżi bikrija?</v>
      </c>
    </row>
    <row r="7490" ht="15.75" customHeight="1">
      <c r="A7490" s="2" t="s">
        <v>7490</v>
      </c>
      <c r="B7490" s="2" t="str">
        <f>IFERROR(__xludf.DUMMYFUNCTION("GOOGLETRANSLATE(A7490, ""en"", ""mt"")"),"L-ewwel vjaġġar irreġistrat mill-Ewropej lejn iċ-Ċina u d-data ta 'wara minn dan iż-żmien. L-iktar vjaġġatur famuż tal-perjodu kien il-Venezjan Marco Polo, li r-rendikont tiegħu tal-vjaġġ tiegħu lejn ""Cambaluc,"" il-kapitali tal-Khan il-Kbir, u tal-ħajja"&amp;" hemm stagħġeb lin-nies tal-Ewropa. Ir-rendikont tal-ivvjaġġar tiegħu, IL Milione (jew, il-miljun, magħruf bl-Ingliż bħala l-ivvjaġġar ta 'Marco Polo), deher madwar is-sena 1299. Xi wħud jargumentaw fuq l-eżattezza tal-kontijiet ta' Marco Polo minħabba n-"&amp;"nuqqas li jsemmu l-Ħajt il-Kbir ta ' Iċ-Ċina, djar tat-te, li kienu jkunu vista prominenti peress li l-Ewropej kienu għadhom iridu jadottaw kultura tat-te, kif ukoll il-prattika ta 'marda li torbot min-nisa fil-kapitali tal-Khan il-Kbir. Xi wħud jissuġġer"&amp;"ixxu li Marco Polo akkwista ħafna mill-għarfien tiegħu permezz ta 'kuntatt ma' negozjanti Persjani peress li ħafna mill-postijiet li hu jismu kienu fil-Persjan.")</f>
        <v>L-ewwel vjaġġar irreġistrat mill-Ewropej lejn iċ-Ċina u d-data ta 'wara minn dan iż-żmien. L-iktar vjaġġatur famuż tal-perjodu kien il-Venezjan Marco Polo, li r-rendikont tiegħu tal-vjaġġ tiegħu lejn "Cambaluc," il-kapitali tal-Khan il-Kbir, u tal-ħajja hemm stagħġeb lin-nies tal-Ewropa. Ir-rendikont tal-ivvjaġġar tiegħu, IL Milione (jew, il-miljun, magħruf bl-Ingliż bħala l-ivvjaġġar ta 'Marco Polo), deher madwar is-sena 1299. Xi wħud jargumentaw fuq l-eżattezza tal-kontijiet ta' Marco Polo minħabba n-nuqqas li jsemmu l-Ħajt il-Kbir ta ' Iċ-Ċina, djar tat-te, li kienu jkunu vista prominenti peress li l-Ewropej kienu għadhom iridu jadottaw kultura tat-te, kif ukoll il-prattika ta 'marda li torbot min-nisa fil-kapitali tal-Khan il-Kbir. Xi wħud jissuġġerixxu li Marco Polo akkwista ħafna mill-għarfien tiegħu permezz ta 'kuntatt ma' negozjanti Persjani peress li ħafna mill-postijiet li hu jismu kienu fil-Persjan.</v>
      </c>
    </row>
    <row r="7491" ht="15.75" customHeight="1">
      <c r="A7491" s="2" t="s">
        <v>7491</v>
      </c>
      <c r="B7491" s="2" t="str">
        <f>IFERROR(__xludf.DUMMYFUNCTION("GOOGLETRANSLATE(A7491, ""en"", ""mt"")"),"Rebbiegħa tal-1349")</f>
        <v>Rebbiegħa tal-1349</v>
      </c>
    </row>
    <row r="7492" ht="15.75" customHeight="1">
      <c r="A7492" s="2" t="s">
        <v>7492</v>
      </c>
      <c r="B7492" s="2" t="str">
        <f>IFERROR(__xludf.DUMMYFUNCTION("GOOGLETRANSLATE(A7492, ""en"", ""mt"")"),"Liema snin ta 'Doctor Who rebaħ ħames premjijiet konsekuttivi?")</f>
        <v>Liema snin ta 'Doctor Who rebaħ ħames premjijiet konsekuttivi?</v>
      </c>
    </row>
    <row r="7493" ht="15.75" customHeight="1">
      <c r="A7493" s="2" t="s">
        <v>7493</v>
      </c>
      <c r="B7493" s="2" t="str">
        <f>IFERROR(__xludf.DUMMYFUNCTION("GOOGLETRANSLATE(A7493, ""en"", ""mt"")"),"In-numri ewlenin influwenzaw ħafna artisti u kittieba. Il-kompożitur Franċiż Olivier Messiaen uża n-numri ewlenin biex joħloq mużika ametrika permezz ta '""fenomeni naturali"". F'xogħlijiet bħal La Nativité du Seigneur (1935) u Quatre Études de Rythme (19"&amp;"49-50), huwa fl-istess ħin jimpjega motivi b'tulijiet mogħtija minn numri primarji differenti biex joħolqu ritmi imprevedibbli: il-Primes 41, 43, 47 u 53 jidhru fil-Primes It-tielet Étude, ""Neumes Rythmiques"". Skond Messiaen dan il-mod ta 'kompożizzjoni"&amp;" kien ""ispirat mill-movimenti tan-natura, movimenti ta' tul ta 'żmien ħieles u mhux ugwali"".")</f>
        <v>In-numri ewlenin influwenzaw ħafna artisti u kittieba. Il-kompożitur Franċiż Olivier Messiaen uża n-numri ewlenin biex joħloq mużika ametrika permezz ta '"fenomeni naturali". F'xogħlijiet bħal La Nativité du Seigneur (1935) u Quatre Études de Rythme (1949-50), huwa fl-istess ħin jimpjega motivi b'tulijiet mogħtija minn numri primarji differenti biex joħolqu ritmi imprevedibbli: il-Primes 41, 43, 47 u 53 jidhru fil-Primes It-tielet Étude, "Neumes Rythmiques". Skond Messiaen dan il-mod ta 'kompożizzjoni kien "ispirat mill-movimenti tan-natura, movimenti ta' tul ta 'żmien ħieles u mhux ugwali".</v>
      </c>
    </row>
    <row r="7494" ht="15.75" customHeight="1">
      <c r="A7494" s="2" t="s">
        <v>7494</v>
      </c>
      <c r="B7494" s="2" t="str">
        <f>IFERROR(__xludf.DUMMYFUNCTION("GOOGLETRANSLATE(A7494, ""en"", ""mt"")"),"Kien hemm talbiet sussegwenti mill-bijografi Tesla li Edison u Tesla kienu r-riċevituri oriġinali u li l-ebda ma ngħata l-għotja minħabba l-animozità tagħhom lejn xulxin; li kull wieħed fittex li jimminimizza l-kisbiet tal-ieħor u d-dritt li jirbaħ il-pre"&amp;"mju; li t-tnejn irrifjutaw li qatt jaċċettaw il-premju jekk l-ieħor irċievah l-ewwel; li t-tnejn ċaħdu kull possibbiltà li jaqsmuha; u anke li Edison sinjur irrifjutah li jżomm lil Tesla milli tikseb il-premju ta '$ 20,000.")</f>
        <v>Kien hemm talbiet sussegwenti mill-bijografi Tesla li Edison u Tesla kienu r-riċevituri oriġinali u li l-ebda ma ngħata l-għotja minħabba l-animozità tagħhom lejn xulxin; li kull wieħed fittex li jimminimizza l-kisbiet tal-ieħor u d-dritt li jirbaħ il-premju; li t-tnejn irrifjutaw li qatt jaċċettaw il-premju jekk l-ieħor irċievah l-ewwel; li t-tnejn ċaħdu kull possibbiltà li jaqsmuha; u anke li Edison sinjur irrifjutah li jżomm lil Tesla milli tikseb il-premju ta '$ 20,000.</v>
      </c>
    </row>
    <row r="7495" ht="15.75" customHeight="1">
      <c r="A7495" s="2" t="s">
        <v>7495</v>
      </c>
      <c r="B7495" s="2" t="str">
        <f>IFERROR(__xludf.DUMMYFUNCTION("GOOGLETRANSLATE(A7495, ""en"", ""mt"")"),"Dixxiplini varji tal-ispiżerija")</f>
        <v>Dixxiplini varji tal-ispiżerija</v>
      </c>
    </row>
    <row r="7496" ht="15.75" customHeight="1">
      <c r="A7496" s="2" t="s">
        <v>7496</v>
      </c>
      <c r="B7496" s="2" t="str">
        <f>IFERROR(__xludf.DUMMYFUNCTION("GOOGLETRANSLATE(A7496, ""en"", ""mt"")"),"Kony Ealy")</f>
        <v>Kony Ealy</v>
      </c>
    </row>
    <row r="7497" ht="15.75" customHeight="1">
      <c r="A7497" s="2" t="s">
        <v>7497</v>
      </c>
      <c r="B7497" s="2" t="str">
        <f>IFERROR(__xludf.DUMMYFUNCTION("GOOGLETRANSLATE(A7497, ""en"", ""mt"")"),"Iċ-ċittadinanza ta 'l-UE kienet dejjem aktar meqjusa bħala status ""fundamentali"" ta' ċittadini tal-istat membru mill-Qorti tal-Ġustizzja, u għalhekk żiedet in-numru ta 'servizzi soċjali li n-nies jistgħu jaċċessaw kull fejn jimxu. Il-qorti kienet teħtie"&amp;"ġ li l-edukazzjoni għolja, flimkien ma 'forom oħra ta' taħriġ vokazzjonali, għandha tkun aktar aċċess, għalkemm b'perjodi ta 'kwalifikazzjoni. Fil-Kummissjoni vs l-Awstrija l-qorti qalet li l-Awstrija ma kellhiex id-dritt li tillimita postijiet fl-univers"&amp;"itajiet Awstrijaċi għal studenti Awstrijaċi biex tevita ""problemi strutturali, ta 'persunal u finanzjarji"" jekk (prinċipalment Ġermaniżi) studenti barranin applikaw għal postijiet minħabba li kien hemm ftit evidenza ta' problema attwali Jonqos")</f>
        <v>Iċ-ċittadinanza ta 'l-UE kienet dejjem aktar meqjusa bħala status "fundamentali" ta' ċittadini tal-istat membru mill-Qorti tal-Ġustizzja, u għalhekk żiedet in-numru ta 'servizzi soċjali li n-nies jistgħu jaċċessaw kull fejn jimxu. Il-qorti kienet teħtieġ li l-edukazzjoni għolja, flimkien ma 'forom oħra ta' taħriġ vokazzjonali, għandha tkun aktar aċċess, għalkemm b'perjodi ta 'kwalifikazzjoni. Fil-Kummissjoni vs l-Awstrija l-qorti qalet li l-Awstrija ma kellhiex id-dritt li tillimita postijiet fl-universitajiet Awstrijaċi għal studenti Awstrijaċi biex tevita "problemi strutturali, ta 'persunal u finanzjarji" jekk (prinċipalment Ġermaniżi) studenti barranin applikaw għal postijiet minħabba li kien hemm ftit evidenza ta' problema attwali Jonqos</v>
      </c>
    </row>
    <row r="7498" ht="15.75" customHeight="1">
      <c r="A7498" s="2" t="s">
        <v>7498</v>
      </c>
      <c r="B7498" s="2" t="str">
        <f>IFERROR(__xludf.DUMMYFUNCTION("GOOGLETRANSLATE(A7498, ""en"", ""mt"")"),"X'kienu l-miżati annwali tal-ġarr għall-kanali?")</f>
        <v>X'kienu l-miżati annwali tal-ġarr għall-kanali?</v>
      </c>
    </row>
    <row r="7499" ht="15.75" customHeight="1">
      <c r="A7499" s="2" t="s">
        <v>7499</v>
      </c>
      <c r="B7499" s="2" t="str">
        <f>IFERROR(__xludf.DUMMYFUNCTION("GOOGLETRANSLATE(A7499, ""en"", ""mt"")"),"Fil-ħin tal-formazzjoni tagħha, kemm kellhom kongregazzjonijiet l-UMC?")</f>
        <v>Fil-ħin tal-formazzjoni tagħha, kemm kellhom kongregazzjonijiet l-UMC?</v>
      </c>
    </row>
    <row r="7500" ht="15.75" customHeight="1">
      <c r="A7500" s="2" t="s">
        <v>7500</v>
      </c>
      <c r="B7500" s="2" t="str">
        <f>IFERROR(__xludf.DUMMYFUNCTION("GOOGLETRANSLATE(A7500, ""en"", ""mt"")"),"Il-futbol tat-Tnejn filgħaxija")</f>
        <v>Il-futbol tat-Tnejn filgħaxija</v>
      </c>
    </row>
    <row r="7501" ht="15.75" customHeight="1">
      <c r="A7501" s="2" t="s">
        <v>7501</v>
      </c>
      <c r="B7501" s="2" t="str">
        <f>IFERROR(__xludf.DUMMYFUNCTION("GOOGLETRANSLATE(A7501, ""en"", ""mt"")"),"demografija u rabtiet ekonomiċi")</f>
        <v>demografija u rabtiet ekonomiċi</v>
      </c>
    </row>
    <row r="7502" ht="15.75" customHeight="1">
      <c r="A7502" s="2" t="s">
        <v>7502</v>
      </c>
      <c r="B7502" s="2" t="str">
        <f>IFERROR(__xludf.DUMMYFUNCTION("GOOGLETRANSLATE(A7502, ""en"", ""mt"")"),"magna gun")</f>
        <v>magna gun</v>
      </c>
    </row>
    <row r="7503" ht="15.75" customHeight="1">
      <c r="A7503" s="2" t="s">
        <v>7503</v>
      </c>
      <c r="B7503" s="2" t="str">
        <f>IFERROR(__xludf.DUMMYFUNCTION("GOOGLETRANSLATE(A7503, ""en"", ""mt"")"),"kważi 60,000")</f>
        <v>kważi 60,000</v>
      </c>
    </row>
    <row r="7504" ht="15.75" customHeight="1">
      <c r="A7504" s="2" t="s">
        <v>7504</v>
      </c>
      <c r="B7504" s="2" t="str">
        <f>IFERROR(__xludf.DUMMYFUNCTION("GOOGLETRANSLATE(A7504, ""en"", ""mt"")"),"Liema għodda tintuża fil-kastig korporali?")</f>
        <v>Liema għodda tintuża fil-kastig korporali?</v>
      </c>
    </row>
    <row r="7505" ht="15.75" customHeight="1">
      <c r="A7505" s="2" t="s">
        <v>7505</v>
      </c>
      <c r="B7505" s="2" t="str">
        <f>IFERROR(__xludf.DUMMYFUNCTION("GOOGLETRANSLATE(A7505, ""en"", ""mt"")"),"Dgħajjes tal-fwar")</f>
        <v>Dgħajjes tal-fwar</v>
      </c>
    </row>
    <row r="7506" ht="15.75" customHeight="1">
      <c r="A7506" s="2" t="s">
        <v>7506</v>
      </c>
      <c r="B7506" s="2" t="str">
        <f>IFERROR(__xludf.DUMMYFUNCTION("GOOGLETRANSLATE(A7506, ""en"", ""mt"")"),"X'inhuma xi faċilitajiet eżistenti?")</f>
        <v>X'inhuma xi faċilitajiet eżistenti?</v>
      </c>
    </row>
    <row r="7507" ht="15.75" customHeight="1">
      <c r="A7507" s="2" t="s">
        <v>7507</v>
      </c>
      <c r="B7507" s="2" t="str">
        <f>IFERROR(__xludf.DUMMYFUNCTION("GOOGLETRANSLATE(A7507, ""en"", ""mt"")"),"kura farmaċewtika jew spiżerija klinika")</f>
        <v>kura farmaċewtika jew spiżerija klinika</v>
      </c>
    </row>
    <row r="7508" ht="15.75" customHeight="1">
      <c r="A7508" s="2" t="s">
        <v>7508</v>
      </c>
      <c r="B7508" s="2" t="str">
        <f>IFERROR(__xludf.DUMMYFUNCTION("GOOGLETRANSLATE(A7508, ""en"", ""mt"")"),"Kemm il-premjijiet BAFTA CYMRU irċieva lit-Tabib li rċieva?")</f>
        <v>Kemm il-premjijiet BAFTA CYMRU irċieva lit-Tabib li rċieva?</v>
      </c>
    </row>
    <row r="7509" ht="15.75" customHeight="1">
      <c r="A7509" s="2" t="s">
        <v>7509</v>
      </c>
      <c r="B7509" s="2" t="str">
        <f>IFERROR(__xludf.DUMMYFUNCTION("GOOGLETRANSLATE(A7509, ""en"", ""mt"")"),"Għall-kuntrarju tax-xandiriet tas-serje Primetime, CBS ixandar episodji speċjali tat-talk-shows tard tagħha bħala l-programmi ta 'tmexxija tagħha għal Super Bowl 50, li jibda b'episodju speċjali ta' The Late Show ma 'Stephen Colbert wara l-logħba. Wara wa"&amp;"qfa għall-ipprogrammar lokali tard, CBS xandar ukoll episodju speċjali ta 'The Late Late Show ma' James Corden.")</f>
        <v>Għall-kuntrarju tax-xandiriet tas-serje Primetime, CBS ixandar episodji speċjali tat-talk-shows tard tagħha bħala l-programmi ta 'tmexxija tagħha għal Super Bowl 50, li jibda b'episodju speċjali ta' The Late Show ma 'Stephen Colbert wara l-logħba. Wara waqfa għall-ipprogrammar lokali tard, CBS xandar ukoll episodju speċjali ta 'The Late Late Show ma' James Corden.</v>
      </c>
    </row>
    <row r="7510" ht="15.75" customHeight="1">
      <c r="A7510" s="2" t="s">
        <v>7510</v>
      </c>
      <c r="B7510" s="2" t="str">
        <f>IFERROR(__xludf.DUMMYFUNCTION("GOOGLETRANSLATE(A7510, ""en"", ""mt"")"),"Meta ġiet imnedija s-sistema 8-4-4?")</f>
        <v>Meta ġiet imnedija s-sistema 8-4-4?</v>
      </c>
    </row>
    <row r="7511" ht="15.75" customHeight="1">
      <c r="A7511" s="2" t="s">
        <v>7511</v>
      </c>
      <c r="B7511" s="2" t="str">
        <f>IFERROR(__xludf.DUMMYFUNCTION("GOOGLETRANSLATE(A7511, ""en"", ""mt"")"),"Min kien it-tifel ta 'Ayurbarwada?")</f>
        <v>Min kien it-tifel ta 'Ayurbarwada?</v>
      </c>
    </row>
    <row r="7512" ht="15.75" customHeight="1">
      <c r="A7512" s="2" t="s">
        <v>7512</v>
      </c>
      <c r="B7512" s="2" t="str">
        <f>IFERROR(__xludf.DUMMYFUNCTION("GOOGLETRANSLATE(A7512, ""en"", ""mt"")"),"ABC x’kontribwixxa għall-20 anniversarju speċjali?")</f>
        <v>ABC x’kontribwixxa għall-20 anniversarju speċjali?</v>
      </c>
    </row>
    <row r="7513" ht="15.75" customHeight="1">
      <c r="A7513" s="2" t="s">
        <v>7513</v>
      </c>
      <c r="B7513" s="2" t="str">
        <f>IFERROR(__xludf.DUMMYFUNCTION("GOOGLETRANSLATE(A7513, ""en"", ""mt"")"),"Is-Sultan Muhammad kien diġà mejjet fl-1223")</f>
        <v>Is-Sultan Muhammad kien diġà mejjet fl-1223</v>
      </c>
    </row>
    <row r="7514" ht="15.75" customHeight="1">
      <c r="A7514" s="2" t="s">
        <v>7514</v>
      </c>
      <c r="B7514" s="2" t="str">
        <f>IFERROR(__xludf.DUMMYFUNCTION("GOOGLETRANSLATE(A7514, ""en"", ""mt"")"),"Xi tixbah il-parti ta ’barra tat-TARDIS?")</f>
        <v>Xi tixbah il-parti ta ’barra tat-TARDIS?</v>
      </c>
    </row>
    <row r="7515" ht="15.75" customHeight="1">
      <c r="A7515" s="2" t="s">
        <v>7515</v>
      </c>
      <c r="B7515" s="2" t="str">
        <f>IFERROR(__xludf.DUMMYFUNCTION("GOOGLETRANSLATE(A7515, ""en"", ""mt"")"),"Uffiċjali tal-Gvern u Esperti tat-Tibdil fil-Klima")</f>
        <v>Uffiċjali tal-Gvern u Esperti tat-Tibdil fil-Klima</v>
      </c>
    </row>
    <row r="7516" ht="15.75" customHeight="1">
      <c r="A7516" s="2" t="s">
        <v>7516</v>
      </c>
      <c r="B7516" s="2" t="str">
        <f>IFERROR(__xludf.DUMMYFUNCTION("GOOGLETRANSLATE(A7516, ""en"", ""mt"")"),"komunikazzjoni")</f>
        <v>komunikazzjoni</v>
      </c>
    </row>
    <row r="7517" ht="15.75" customHeight="1">
      <c r="A7517" s="2" t="s">
        <v>7517</v>
      </c>
      <c r="B7517" s="2" t="str">
        <f>IFERROR(__xludf.DUMMYFUNCTION("GOOGLETRANSLATE(A7517, ""en"", ""mt"")"),"Ma 'min ingħaqad in-Normanni f'Anatolia?")</f>
        <v>Ma 'min ingħaqad in-Normanni f'Anatolia?</v>
      </c>
    </row>
    <row r="7518" ht="15.75" customHeight="1">
      <c r="A7518" s="2" t="s">
        <v>7518</v>
      </c>
      <c r="B7518" s="2" t="str">
        <f>IFERROR(__xludf.DUMMYFUNCTION("GOOGLETRANSLATE(A7518, ""en"", ""mt"")"),"Mina ta 'livell profond")</f>
        <v>Mina ta 'livell profond</v>
      </c>
    </row>
    <row r="7519" ht="15.75" customHeight="1">
      <c r="A7519" s="2" t="s">
        <v>7519</v>
      </c>
      <c r="B7519" s="2" t="str">
        <f>IFERROR(__xludf.DUMMYFUNCTION("GOOGLETRANSLATE(A7519, ""en"", ""mt"")"),"833,500")</f>
        <v>833,500</v>
      </c>
    </row>
    <row r="7520" ht="15.75" customHeight="1">
      <c r="A7520" s="2" t="s">
        <v>7520</v>
      </c>
      <c r="B7520" s="2" t="str">
        <f>IFERROR(__xludf.DUMMYFUNCTION("GOOGLETRANSLATE(A7520, ""en"", ""mt"")"),"Tmiem il-Gwerra tal-Messiku")</f>
        <v>Tmiem il-Gwerra tal-Messiku</v>
      </c>
    </row>
    <row r="7521" ht="15.75" customHeight="1">
      <c r="A7521" s="2" t="s">
        <v>7521</v>
      </c>
      <c r="B7521" s="2" t="str">
        <f>IFERROR(__xludf.DUMMYFUNCTION("GOOGLETRANSLATE(A7521, ""en"", ""mt"")"),"domanda għolja")</f>
        <v>domanda għolja</v>
      </c>
    </row>
    <row r="7522" ht="15.75" customHeight="1">
      <c r="A7522" s="2" t="s">
        <v>7522</v>
      </c>
      <c r="B7522" s="2" t="str">
        <f>IFERROR(__xludf.DUMMYFUNCTION("GOOGLETRANSLATE(A7522, ""en"", ""mt"")"),"ferita tal-vleġġa")</f>
        <v>ferita tal-vleġġa</v>
      </c>
    </row>
    <row r="7523" ht="15.75" customHeight="1">
      <c r="A7523" s="2" t="s">
        <v>7523</v>
      </c>
      <c r="B7523" s="2" t="str">
        <f>IFERROR(__xludf.DUMMYFUNCTION("GOOGLETRANSLATE(A7523, ""en"", ""mt"")"),"Fl-1846 il-lezzjonijiet tal-istorja naturali min ġew milqugħin fi New York u Harvard?")</f>
        <v>Fl-1846 il-lezzjonijiet tal-istorja naturali min ġew milqugħin fi New York u Harvard?</v>
      </c>
    </row>
    <row r="7524" ht="15.75" customHeight="1">
      <c r="A7524" s="2" t="s">
        <v>7524</v>
      </c>
      <c r="B7524" s="2" t="str">
        <f>IFERROR(__xludf.DUMMYFUNCTION("GOOGLETRANSLATE(A7524, ""en"", ""mt"")"),"X'inhu t-tributarju ewlieni għar-Renu?")</f>
        <v>X'inhu t-tributarju ewlieni għar-Renu?</v>
      </c>
    </row>
    <row r="7525" ht="15.75" customHeight="1">
      <c r="A7525" s="2" t="s">
        <v>7525</v>
      </c>
      <c r="B7525" s="2" t="str">
        <f>IFERROR(__xludf.DUMMYFUNCTION("GOOGLETRANSLATE(A7525, ""en"", ""mt"")"),"Stalin kien ostili għall-idea ta 'Polonja indipendenti")</f>
        <v>Stalin kien ostili għall-idea ta 'Polonja indipendenti</v>
      </c>
    </row>
    <row r="7526" ht="15.75" customHeight="1">
      <c r="A7526" s="2" t="s">
        <v>7526</v>
      </c>
      <c r="B7526" s="2" t="str">
        <f>IFERROR(__xludf.DUMMYFUNCTION("GOOGLETRANSLATE(A7526, ""en"", ""mt"")"),"CBSE")</f>
        <v>CBSE</v>
      </c>
    </row>
    <row r="7527" ht="15.75" customHeight="1">
      <c r="A7527" s="2" t="s">
        <v>7527</v>
      </c>
      <c r="B7527" s="2" t="str">
        <f>IFERROR(__xludf.DUMMYFUNCTION("GOOGLETRANSLATE(A7527, ""en"", ""mt"")"),"Indiġeni")</f>
        <v>Indiġeni</v>
      </c>
    </row>
    <row r="7528" ht="15.75" customHeight="1">
      <c r="A7528" s="2" t="s">
        <v>7528</v>
      </c>
      <c r="B7528" s="2" t="str">
        <f>IFERROR(__xludf.DUMMYFUNCTION("GOOGLETRANSLATE(A7528, ""en"", ""mt"")"),"Kemm iż-żona tkopri l-Ġnien tal-Librerija tal-Università?")</f>
        <v>Kemm iż-żona tkopri l-Ġnien tal-Librerija tal-Università?</v>
      </c>
    </row>
    <row r="7529" ht="15.75" customHeight="1">
      <c r="A7529" s="2" t="s">
        <v>7529</v>
      </c>
      <c r="B7529" s="2" t="str">
        <f>IFERROR(__xludf.DUMMYFUNCTION("GOOGLETRANSLATE(A7529, ""en"", ""mt"")"),"bħala gluons")</f>
        <v>bħala gluons</v>
      </c>
    </row>
    <row r="7530" ht="15.75" customHeight="1">
      <c r="A7530" s="2" t="s">
        <v>7530</v>
      </c>
      <c r="B7530" s="2" t="str">
        <f>IFERROR(__xludf.DUMMYFUNCTION("GOOGLETRANSLATE(A7530, ""en"", ""mt"")"),"l-iktar abbundanti")</f>
        <v>l-iktar abbundanti</v>
      </c>
    </row>
    <row r="7531" ht="15.75" customHeight="1">
      <c r="A7531" s="2" t="s">
        <v>7531</v>
      </c>
      <c r="B7531" s="2" t="str">
        <f>IFERROR(__xludf.DUMMYFUNCTION("GOOGLETRANSLATE(A7531, ""en"", ""mt"")"),"Irqajja tal-ġilda vjola")</f>
        <v>Irqajja tal-ġilda vjola</v>
      </c>
    </row>
    <row r="7532" ht="15.75" customHeight="1">
      <c r="A7532" s="2" t="s">
        <v>7532</v>
      </c>
      <c r="B7532" s="2" t="str">
        <f>IFERROR(__xludf.DUMMYFUNCTION("GOOGLETRANSLATE(A7532, ""en"", ""mt"")"),"Difosfat tal-adenosine tal-fosforilat")</f>
        <v>Difosfat tal-adenosine tal-fosforilat</v>
      </c>
    </row>
    <row r="7533" ht="15.75" customHeight="1">
      <c r="A7533" s="2" t="s">
        <v>7533</v>
      </c>
      <c r="B7533" s="2" t="str">
        <f>IFERROR(__xludf.DUMMYFUNCTION("GOOGLETRANSLATE(A7533, ""en"", ""mt"")"),"Dan ikkontribwixxa għax- ""xokk taż-żejt"". Wara l-1971, l-OPEC kien bil-mod biex jirranġa l-prezzijiet biex jirrifletti din id-deprezzament. Mill-1947 sal-1967, il-prezz tad-dollaru taż-żejt żdied b'inqas minn tnejn fil-mija fis-sena. Sakemm ix-xokk taż-"&amp;"żejt, il-prezz kien ukoll baqa 'pjuttost stabbli kontra muniti u prodotti oħra. Il-ministri tal-OPEC ma żviluppawx mekkaniżmi istituzzjonali biex jaġġornaw il-prezzijiet fis-sinkronizzazzjoni mal-kundizzjonijiet tas-suq li qed jinbidlu, u għalhekk id-dħul"&amp;" reali tagħhom baqa 'lura. Iż-żidiet sostanzjali fil-prezz tal-1973–1974 reġgħu rritornaw il-prezzijiet tagħhom u d-dħul korrispondenti għal-livelli ta 'Bretton Woods f'termini ta' prodotti bħad-deheb.")</f>
        <v>Dan ikkontribwixxa għax- "xokk taż-żejt". Wara l-1971, l-OPEC kien bil-mod biex jirranġa l-prezzijiet biex jirrifletti din id-deprezzament. Mill-1947 sal-1967, il-prezz tad-dollaru taż-żejt żdied b'inqas minn tnejn fil-mija fis-sena. Sakemm ix-xokk taż-żejt, il-prezz kien ukoll baqa 'pjuttost stabbli kontra muniti u prodotti oħra. Il-ministri tal-OPEC ma żviluppawx mekkaniżmi istituzzjonali biex jaġġornaw il-prezzijiet fis-sinkronizzazzjoni mal-kundizzjonijiet tas-suq li qed jinbidlu, u għalhekk id-dħul reali tagħhom baqa 'lura. Iż-żidiet sostanzjali fil-prezz tal-1973–1974 reġgħu rritornaw il-prezzijiet tagħhom u d-dħul korrispondenti għal-livelli ta 'Bretton Woods f'termini ta' prodotti bħad-deheb.</v>
      </c>
    </row>
    <row r="7534" ht="15.75" customHeight="1">
      <c r="A7534" s="2" t="s">
        <v>7534</v>
      </c>
      <c r="B7534" s="2" t="str">
        <f>IFERROR(__xludf.DUMMYFUNCTION("GOOGLETRANSLATE(A7534, ""en"", ""mt"")"),"Min sar gvernatur ta 'Samarqand?")</f>
        <v>Min sar gvernatur ta 'Samarqand?</v>
      </c>
    </row>
    <row r="7535" ht="15.75" customHeight="1">
      <c r="A7535" s="2" t="s">
        <v>7535</v>
      </c>
      <c r="B7535" s="2" t="str">
        <f>IFERROR(__xludf.DUMMYFUNCTION("GOOGLETRANSLATE(A7535, ""en"", ""mt"")"),"Liema Tim tad-Disinn tal-Għamara Moderna tar-Raġel u l-Mara huma rrappreżentati fil-Kollezzjoni tal-Għamara V&amp;A?")</f>
        <v>Liema Tim tad-Disinn tal-Għamara Moderna tar-Raġel u l-Mara huma rrappreżentati fil-Kollezzjoni tal-Għamara V&amp;A?</v>
      </c>
    </row>
    <row r="7536" ht="15.75" customHeight="1">
      <c r="A7536" s="2" t="s">
        <v>7536</v>
      </c>
      <c r="B7536" s="2" t="str">
        <f>IFERROR(__xludf.DUMMYFUNCTION("GOOGLETRANSLATE(A7536, ""en"", ""mt"")"),"infinitament ħafna")</f>
        <v>infinitament ħafna</v>
      </c>
    </row>
    <row r="7537" ht="15.75" customHeight="1">
      <c r="A7537" s="2" t="s">
        <v>7537</v>
      </c>
      <c r="B7537" s="2" t="str">
        <f>IFERROR(__xludf.DUMMYFUNCTION("GOOGLETRANSLATE(A7537, ""en"", ""mt"")"),"Bejn wieħed u ieħor, kemm ossiġnu jifforma l-qoxra tad-dinja?")</f>
        <v>Bejn wieħed u ieħor, kemm ossiġnu jifforma l-qoxra tad-dinja?</v>
      </c>
    </row>
    <row r="7538" ht="15.75" customHeight="1">
      <c r="A7538" s="2" t="s">
        <v>7538</v>
      </c>
      <c r="B7538" s="2" t="str">
        <f>IFERROR(__xludf.DUMMYFUNCTION("GOOGLETRANSLATE(A7538, ""en"", ""mt"")"),"Ma 'liema sistema Mongoljana għamlet kompromess il-gvern ta' Kublai?")</f>
        <v>Ma 'liema sistema Mongoljana għamlet kompromess il-gvern ta' Kublai?</v>
      </c>
    </row>
    <row r="7539" ht="15.75" customHeight="1">
      <c r="A7539" s="2" t="s">
        <v>7539</v>
      </c>
      <c r="B7539" s="2" t="str">
        <f>IFERROR(__xludf.DUMMYFUNCTION("GOOGLETRANSLATE(A7539, ""en"", ""mt"")"),"Min kien figura bikrija importanti fil-qawmien mill-ġdid Iżlamiku fl-Indja?")</f>
        <v>Min kien figura bikrija importanti fil-qawmien mill-ġdid Iżlamiku fl-Indja?</v>
      </c>
    </row>
    <row r="7540" ht="15.75" customHeight="1">
      <c r="A7540" s="2" t="s">
        <v>7540</v>
      </c>
      <c r="B7540" s="2" t="str">
        <f>IFERROR(__xludf.DUMMYFUNCTION("GOOGLETRANSLATE(A7540, ""en"", ""mt"")"),"In-nukleu tad-dinophyte")</f>
        <v>In-nukleu tad-dinophyte</v>
      </c>
    </row>
    <row r="7541" ht="15.75" customHeight="1">
      <c r="A7541" s="2" t="s">
        <v>7541</v>
      </c>
      <c r="B7541" s="2" t="str">
        <f>IFERROR(__xludf.DUMMYFUNCTION("GOOGLETRANSLATE(A7541, ""en"", ""mt"")"),"Ħajja fuq Tyneside,")</f>
        <v>Ħajja fuq Tyneside,</v>
      </c>
    </row>
    <row r="7542" ht="15.75" customHeight="1">
      <c r="A7542" s="2" t="s">
        <v>7542</v>
      </c>
      <c r="B7542" s="2" t="str">
        <f>IFERROR(__xludf.DUMMYFUNCTION("GOOGLETRANSLATE(A7542, ""en"", ""mt"")"),"X'għandek iż-żieda tal-prezzijiet ikkawżata?")</f>
        <v>X'għandek iż-żieda tal-prezzijiet ikkawżata?</v>
      </c>
    </row>
    <row r="7543" ht="15.75" customHeight="1">
      <c r="A7543" s="2" t="s">
        <v>7543</v>
      </c>
      <c r="B7543" s="2" t="str">
        <f>IFERROR(__xludf.DUMMYFUNCTION("GOOGLETRANSLATE(A7543, ""en"", ""mt"")"),"X'kienet waħda mill-esportazzjonijiet ewlenin tan-Norman?")</f>
        <v>X'kienet waħda mill-esportazzjonijiet ewlenin tan-Norman?</v>
      </c>
    </row>
    <row r="7544" ht="15.75" customHeight="1">
      <c r="A7544" s="2" t="s">
        <v>7544</v>
      </c>
      <c r="B7544" s="2" t="str">
        <f>IFERROR(__xludf.DUMMYFUNCTION("GOOGLETRANSLATE(A7544, ""en"", ""mt"")"),"Imperu Etjopjan")</f>
        <v>Imperu Etjopjan</v>
      </c>
    </row>
    <row r="7545" ht="15.75" customHeight="1">
      <c r="A7545" s="2" t="s">
        <v>7545</v>
      </c>
      <c r="B7545" s="2" t="str">
        <f>IFERROR(__xludf.DUMMYFUNCTION("GOOGLETRANSLATE(A7545, ""en"", ""mt"")"),"X'kienet parti mill-konsegwenzi tal-elezzjonijiet fl-2007?")</f>
        <v>X'kienet parti mill-konsegwenzi tal-elezzjonijiet fl-2007?</v>
      </c>
    </row>
    <row r="7546" ht="15.75" customHeight="1">
      <c r="A7546" s="2" t="s">
        <v>7546</v>
      </c>
      <c r="B7546" s="2" t="str">
        <f>IFERROR(__xludf.DUMMYFUNCTION("GOOGLETRANSLATE(A7546, ""en"", ""mt"")"),"Moviment tad-Drittijiet Ċivili")</f>
        <v>Moviment tad-Drittijiet Ċivili</v>
      </c>
    </row>
    <row r="7547" ht="15.75" customHeight="1">
      <c r="A7547" s="2" t="s">
        <v>7547</v>
      </c>
      <c r="B7547" s="2" t="str">
        <f>IFERROR(__xludf.DUMMYFUNCTION("GOOGLETRANSLATE(A7547, ""en"", ""mt"")"),"F'liema seklu saret il-mekkanika kwantistika?")</f>
        <v>F'liema seklu saret il-mekkanika kwantistika?</v>
      </c>
    </row>
    <row r="7548" ht="15.75" customHeight="1">
      <c r="A7548" s="2" t="s">
        <v>7548</v>
      </c>
      <c r="B7548" s="2" t="str">
        <f>IFERROR(__xludf.DUMMYFUNCTION("GOOGLETRANSLATE(A7548, ""en"", ""mt"")"),"Xi tfisser CBD?")</f>
        <v>Xi tfisser CBD?</v>
      </c>
    </row>
    <row r="7549" ht="15.75" customHeight="1">
      <c r="A7549" s="2" t="s">
        <v>7549</v>
      </c>
      <c r="B7549" s="2" t="str">
        <f>IFERROR(__xludf.DUMMYFUNCTION("GOOGLETRANSLATE(A7549, ""en"", ""mt"")"),"X'inhuma l-istatturi marbuta magħhom?")</f>
        <v>X'inhuma l-istatturi marbuta magħhom?</v>
      </c>
    </row>
    <row r="7550" ht="15.75" customHeight="1">
      <c r="A7550" s="2" t="s">
        <v>7550</v>
      </c>
      <c r="B7550" s="2" t="str">
        <f>IFERROR(__xludf.DUMMYFUNCTION("GOOGLETRANSLATE(A7550, ""en"", ""mt"")"),"Porzjon sostanzjali tal-Asja Ċentrali u ċ-Ċina")</f>
        <v>Porzjon sostanzjali tal-Asja Ċentrali u ċ-Ċina</v>
      </c>
    </row>
    <row r="7551" ht="15.75" customHeight="1">
      <c r="A7551" s="2" t="s">
        <v>7551</v>
      </c>
      <c r="B7551" s="2" t="str">
        <f>IFERROR(__xludf.DUMMYFUNCTION("GOOGLETRANSLATE(A7551, ""en"", ""mt"")"),"Madwar 200-300")</f>
        <v>Madwar 200-300</v>
      </c>
    </row>
    <row r="7552" ht="15.75" customHeight="1">
      <c r="A7552" s="2" t="s">
        <v>7552</v>
      </c>
      <c r="B7552" s="2" t="str">
        <f>IFERROR(__xludf.DUMMYFUNCTION("GOOGLETRANSLATE(A7552, ""en"", ""mt"")"),"Pjan Swynnerton")</f>
        <v>Pjan Swynnerton</v>
      </c>
    </row>
    <row r="7553" ht="15.75" customHeight="1">
      <c r="A7553" s="2" t="s">
        <v>7553</v>
      </c>
      <c r="B7553" s="2" t="str">
        <f>IFERROR(__xludf.DUMMYFUNCTION("GOOGLETRANSLATE(A7553, ""en"", ""mt"")"),"Fejn tinsab il-ħalq fuq il-Pleuobrachia?")</f>
        <v>Fejn tinsab il-ħalq fuq il-Pleuobrachia?</v>
      </c>
    </row>
    <row r="7554" ht="15.75" customHeight="1">
      <c r="A7554" s="2" t="s">
        <v>7554</v>
      </c>
      <c r="B7554" s="2" t="str">
        <f>IFERROR(__xludf.DUMMYFUNCTION("GOOGLETRANSLATE(A7554, ""en"", ""mt"")"),"Min kien l-Elettur il-ġdid tas-Sassonja?")</f>
        <v>Min kien l-Elettur il-ġdid tas-Sassonja?</v>
      </c>
    </row>
    <row r="7555" ht="15.75" customHeight="1">
      <c r="A7555" s="2" t="s">
        <v>7555</v>
      </c>
      <c r="B7555" s="2" t="str">
        <f>IFERROR(__xludf.DUMMYFUNCTION("GOOGLETRANSLATE(A7555, ""en"", ""mt"")"),"Att dwar in-Naturalizzazzjoni ta 'Protestanti Barranin,")</f>
        <v>Att dwar in-Naturalizzazzjoni ta 'Protestanti Barranin,</v>
      </c>
    </row>
    <row r="7556" ht="15.75" customHeight="1">
      <c r="A7556" s="2" t="s">
        <v>7556</v>
      </c>
      <c r="B7556" s="2" t="str">
        <f>IFERROR(__xludf.DUMMYFUNCTION("GOOGLETRANSLATE(A7556, ""en"", ""mt"")"),"għexieren ta ’eluf")</f>
        <v>għexieren ta ’eluf</v>
      </c>
    </row>
    <row r="7557" ht="15.75" customHeight="1">
      <c r="A7557" s="2" t="s">
        <v>7557</v>
      </c>
      <c r="B7557" s="2" t="str">
        <f>IFERROR(__xludf.DUMMYFUNCTION("GOOGLETRANSLATE(A7557, ""en"", ""mt"")"),"Min mexxa l-Broncos b'105 riċevimenti?")</f>
        <v>Min mexxa l-Broncos b'105 riċevimenti?</v>
      </c>
    </row>
    <row r="7558" ht="15.75" customHeight="1">
      <c r="A7558" s="2" t="s">
        <v>7558</v>
      </c>
      <c r="B7558" s="2" t="str">
        <f>IFERROR(__xludf.DUMMYFUNCTION("GOOGLETRANSLATE(A7558, ""en"", ""mt"")"),"Liema grupp għandu żagħżugħ li jitwieled mingħajr tentakli u ħalq kbir?")</f>
        <v>Liema grupp għandu żagħżugħ li jitwieled mingħajr tentakli u ħalq kbir?</v>
      </c>
    </row>
    <row r="7559" ht="15.75" customHeight="1">
      <c r="A7559" s="2" t="s">
        <v>7559</v>
      </c>
      <c r="B7559" s="2" t="str">
        <f>IFERROR(__xludf.DUMMYFUNCTION("GOOGLETRANSLATE(A7559, ""en"", ""mt"")"),"Liema reġjuni jagħmlu l-parti tal-Lvant tal-Grigal tal-bord tal-pajjiż?")</f>
        <v>Liema reġjuni jagħmlu l-parti tal-Lvant tal-Grigal tal-bord tal-pajjiż?</v>
      </c>
    </row>
    <row r="7560" ht="15.75" customHeight="1">
      <c r="A7560" s="2" t="s">
        <v>7560</v>
      </c>
      <c r="B7560" s="2" t="str">
        <f>IFERROR(__xludf.DUMMYFUNCTION("GOOGLETRANSLATE(A7560, ""en"", ""mt"")"),"X'inhi konfigurazzjoni tipika")</f>
        <v>X'inhi konfigurazzjoni tipika</v>
      </c>
    </row>
    <row r="7561" ht="15.75" customHeight="1">
      <c r="A7561" s="2" t="s">
        <v>7561</v>
      </c>
      <c r="B7561" s="2" t="str">
        <f>IFERROR(__xludf.DUMMYFUNCTION("GOOGLETRANSLATE(A7561, ""en"", ""mt"")"),"X'tip ta 'struttura hija karboxysome?")</f>
        <v>X'tip ta 'struttura hija karboxysome?</v>
      </c>
    </row>
    <row r="7562" ht="15.75" customHeight="1">
      <c r="A7562" s="2" t="s">
        <v>7562</v>
      </c>
      <c r="B7562" s="2" t="str">
        <f>IFERROR(__xludf.DUMMYFUNCTION("GOOGLETRANSLATE(A7562, ""en"", ""mt"")"),"Meta sseħħ l-akbar fiera tal-ivvjaġġar fl-Ewropa?")</f>
        <v>Meta sseħħ l-akbar fiera tal-ivvjaġġar fl-Ewropa?</v>
      </c>
    </row>
    <row r="7563" ht="15.75" customHeight="1">
      <c r="A7563" s="2" t="s">
        <v>7563</v>
      </c>
      <c r="B7563" s="2" t="str">
        <f>IFERROR(__xludf.DUMMYFUNCTION("GOOGLETRANSLATE(A7563, ""en"", ""mt"")"),"Liema att jistabbilixxi l-funzjonijiet tal-Parlament Skoċċiż?")</f>
        <v>Liema att jistabbilixxi l-funzjonijiet tal-Parlament Skoċċiż?</v>
      </c>
    </row>
    <row r="7564" ht="15.75" customHeight="1">
      <c r="A7564" s="2" t="s">
        <v>7564</v>
      </c>
      <c r="B7564" s="2" t="str">
        <f>IFERROR(__xludf.DUMMYFUNCTION("GOOGLETRANSLATE(A7564, ""en"", ""mt"")"),"Liema sena seħħet l-ewwel titjira Apollo bl-ekwipaġġ?")</f>
        <v>Liema sena seħħet l-ewwel titjira Apollo bl-ekwipaġġ?</v>
      </c>
    </row>
    <row r="7565" ht="15.75" customHeight="1">
      <c r="A7565" s="2" t="s">
        <v>7565</v>
      </c>
      <c r="B7565" s="2" t="str">
        <f>IFERROR(__xludf.DUMMYFUNCTION("GOOGLETRANSLATE(A7565, ""en"", ""mt"")"),"Minn xiex jiddependi t-test tal-primalità Fermat?")</f>
        <v>Minn xiex jiddependi t-test tal-primalità Fermat?</v>
      </c>
    </row>
    <row r="7566" ht="15.75" customHeight="1">
      <c r="A7566" s="2" t="s">
        <v>7566</v>
      </c>
      <c r="B7566" s="2" t="str">
        <f>IFERROR(__xludf.DUMMYFUNCTION("GOOGLETRANSLATE(A7566, ""en"", ""mt"")"),"Fuq kemm speċi ta 'siġar jistgħu jinstabu fil-ġnien tas-Sassonu?")</f>
        <v>Fuq kemm speċi ta 'siġar jistgħu jinstabu fil-ġnien tas-Sassonu?</v>
      </c>
    </row>
    <row r="7567" ht="15.75" customHeight="1">
      <c r="A7567" s="2" t="s">
        <v>7567</v>
      </c>
      <c r="B7567" s="2" t="str">
        <f>IFERROR(__xludf.DUMMYFUNCTION("GOOGLETRANSLATE(A7567, ""en"", ""mt"")"),"thylakoid jew ma 'plastoglobulus ieħor imwaħħal ma' thylakoid")</f>
        <v>thylakoid jew ma 'plastoglobulus ieħor imwaħħal ma' thylakoid</v>
      </c>
    </row>
    <row r="7568" ht="15.75" customHeight="1">
      <c r="A7568" s="2" t="s">
        <v>7568</v>
      </c>
      <c r="B7568" s="2" t="str">
        <f>IFERROR(__xludf.DUMMYFUNCTION("GOOGLETRANSLATE(A7568, ""en"", ""mt"")"),"Teatru ħaj")</f>
        <v>Teatru ħaj</v>
      </c>
    </row>
    <row r="7569" ht="15.75" customHeight="1">
      <c r="A7569" s="2" t="s">
        <v>7569</v>
      </c>
      <c r="B7569" s="2" t="str">
        <f>IFERROR(__xludf.DUMMYFUNCTION("GOOGLETRANSLATE(A7569, ""en"", ""mt"")"),"elettrifikat")</f>
        <v>elettrifikat</v>
      </c>
    </row>
    <row r="7570" ht="15.75" customHeight="1">
      <c r="A7570" s="2" t="s">
        <v>7570</v>
      </c>
      <c r="B7570" s="2" t="str">
        <f>IFERROR(__xludf.DUMMYFUNCTION("GOOGLETRANSLATE(A7570, ""en"", ""mt"")"),"Basel")</f>
        <v>Basel</v>
      </c>
    </row>
    <row r="7571" ht="15.75" customHeight="1">
      <c r="A7571" s="2" t="s">
        <v>7571</v>
      </c>
      <c r="B7571" s="2" t="str">
        <f>IFERROR(__xludf.DUMMYFUNCTION("GOOGLETRANSLATE(A7571, ""en"", ""mt"")"),"Liema sejbiet issuġġerew li r-reġjun kien popolat densament?")</f>
        <v>Liema sejbiet issuġġerew li r-reġjun kien popolat densament?</v>
      </c>
    </row>
    <row r="7572" ht="15.75" customHeight="1">
      <c r="A7572" s="2" t="s">
        <v>7572</v>
      </c>
      <c r="B7572" s="2" t="str">
        <f>IFERROR(__xludf.DUMMYFUNCTION("GOOGLETRANSLATE(A7572, ""en"", ""mt"")"),"50,000")</f>
        <v>50,000</v>
      </c>
    </row>
    <row r="7573" ht="15.75" customHeight="1">
      <c r="A7573" s="2" t="s">
        <v>7573</v>
      </c>
      <c r="B7573" s="2" t="str">
        <f>IFERROR(__xludf.DUMMYFUNCTION("GOOGLETRANSLATE(A7573, ""en"", ""mt"")"),"Vistula")</f>
        <v>Vistula</v>
      </c>
    </row>
    <row r="7574" ht="15.75" customHeight="1">
      <c r="A7574" s="2" t="s">
        <v>7574</v>
      </c>
      <c r="B7574" s="2" t="str">
        <f>IFERROR(__xludf.DUMMYFUNCTION("GOOGLETRANSLATE(A7574, ""en"", ""mt"")"),"Id-dgħajsa tal-imħabba")</f>
        <v>Id-dgħajsa tal-imħabba</v>
      </c>
    </row>
    <row r="7575" ht="15.75" customHeight="1">
      <c r="A7575" s="2" t="s">
        <v>7575</v>
      </c>
      <c r="B7575" s="2" t="str">
        <f>IFERROR(__xludf.DUMMYFUNCTION("GOOGLETRANSLATE(A7575, ""en"", ""mt"")"),"Meta l-Ġermanja invadiet il-Polonja u meta għamlet hekk tibda t-Tieni Gwerra Dinjija?")</f>
        <v>Meta l-Ġermanja invadiet il-Polonja u meta għamlet hekk tibda t-Tieni Gwerra Dinjija?</v>
      </c>
    </row>
    <row r="7576" ht="15.75" customHeight="1">
      <c r="A7576" s="2" t="s">
        <v>7576</v>
      </c>
      <c r="B7576" s="2" t="str">
        <f>IFERROR(__xludf.DUMMYFUNCTION("GOOGLETRANSLATE(A7576, ""en"", ""mt"")"),"tħeġġeġ l-investiment")</f>
        <v>tħeġġeġ l-investiment</v>
      </c>
    </row>
    <row r="7577" ht="15.75" customHeight="1">
      <c r="A7577" s="2" t="s">
        <v>7577</v>
      </c>
      <c r="B7577" s="2" t="str">
        <f>IFERROR(__xludf.DUMMYFUNCTION("GOOGLETRANSLATE(A7577, ""en"", ""mt"")"),"Min x'aktarx parteċipanti fil-ħolqien ta 'pjan ġenerali għall-ġestjoni finanzjarja tal-proġett tal-kostruzzjoni tal-bini?")</f>
        <v>Min x'aktarx parteċipanti fil-ħolqien ta 'pjan ġenerali għall-ġestjoni finanzjarja tal-proġett tal-kostruzzjoni tal-bini?</v>
      </c>
    </row>
    <row r="7578" ht="15.75" customHeight="1">
      <c r="A7578" s="2" t="s">
        <v>7578</v>
      </c>
      <c r="B7578" s="2" t="str">
        <f>IFERROR(__xludf.DUMMYFUNCTION("GOOGLETRANSLATE(A7578, ""en"", ""mt"")"),"Minn liema pjaneta huwa tabib min?")</f>
        <v>Minn liema pjaneta huwa tabib min?</v>
      </c>
    </row>
    <row r="7579" ht="15.75" customHeight="1">
      <c r="A7579" s="2" t="s">
        <v>7579</v>
      </c>
      <c r="B7579" s="2" t="str">
        <f>IFERROR(__xludf.DUMMYFUNCTION("GOOGLETRANSLATE(A7579, ""en"", ""mt"")"),"kważi 8")</f>
        <v>kważi 8</v>
      </c>
    </row>
    <row r="7580" ht="15.75" customHeight="1">
      <c r="A7580" s="2" t="s">
        <v>7580</v>
      </c>
      <c r="B7580" s="2" t="str">
        <f>IFERROR(__xludf.DUMMYFUNCTION("GOOGLETRANSLATE(A7580, ""en"", ""mt"")"),"1696")</f>
        <v>1696</v>
      </c>
    </row>
    <row r="7581" ht="15.75" customHeight="1">
      <c r="A7581" s="2" t="s">
        <v>7581</v>
      </c>
      <c r="B7581" s="2" t="str">
        <f>IFERROR(__xludf.DUMMYFUNCTION("GOOGLETRANSLATE(A7581, ""en"", ""mt"")"),"X'kien l-isem tal-ewwel episodju ta 'The New Doctor Who Series?")</f>
        <v>X'kien l-isem tal-ewwel episodju ta 'The New Doctor Who Series?</v>
      </c>
    </row>
    <row r="7582" ht="15.75" customHeight="1">
      <c r="A7582" s="2" t="s">
        <v>7582</v>
      </c>
      <c r="B7582" s="2" t="str">
        <f>IFERROR(__xludf.DUMMYFUNCTION("GOOGLETRANSLATE(A7582, ""en"", ""mt"")"),"X’għamel l-innu, aus tiefer ma jesprimix?")</f>
        <v>X’għamel l-innu, aus tiefer ma jesprimix?</v>
      </c>
    </row>
    <row r="7583" ht="15.75" customHeight="1">
      <c r="A7583" s="2" t="s">
        <v>7583</v>
      </c>
      <c r="B7583" s="2" t="str">
        <f>IFERROR(__xludf.DUMMYFUNCTION("GOOGLETRANSLATE(A7583, ""en"", ""mt"")"),"Għaliex wieħed għandu jiġi eskluż sabiex tiġi ppreservata l-uniċità tat-teorema fundamentali?")</f>
        <v>Għaliex wieħed għandu jiġi eskluż sabiex tiġi ppreservata l-uniċità tat-teorema fundamentali?</v>
      </c>
    </row>
    <row r="7584" ht="15.75" customHeight="1">
      <c r="A7584" s="2" t="s">
        <v>7584</v>
      </c>
      <c r="B7584" s="2" t="str">
        <f>IFERROR(__xludf.DUMMYFUNCTION("GOOGLETRANSLATE(A7584, ""en"", ""mt"")"),"Bellomy Field")</f>
        <v>Bellomy Field</v>
      </c>
    </row>
    <row r="7585" ht="15.75" customHeight="1">
      <c r="A7585" s="2" t="s">
        <v>7585</v>
      </c>
      <c r="B7585" s="2" t="str">
        <f>IFERROR(__xludf.DUMMYFUNCTION("GOOGLETRANSLATE(A7585, ""en"", ""mt"")"),"Fejn daqqet il-Kenja fuq l-iskala tas-CPI?")</f>
        <v>Fejn daqqet il-Kenja fuq l-iskala tas-CPI?</v>
      </c>
    </row>
    <row r="7586" ht="15.75" customHeight="1">
      <c r="A7586" s="2" t="s">
        <v>7586</v>
      </c>
      <c r="B7586" s="2" t="str">
        <f>IFERROR(__xludf.DUMMYFUNCTION("GOOGLETRANSLATE(A7586, ""en"", ""mt"")"),"X'inhi l-ugwaljanza tal-forzi bejn żewġ oġġetti li jeżerċitaw forza fuq xulxin ??")</f>
        <v>X'inhi l-ugwaljanza tal-forzi bejn żewġ oġġetti li jeżerċitaw forza fuq xulxin ??</v>
      </c>
    </row>
    <row r="7587" ht="15.75" customHeight="1">
      <c r="A7587" s="2" t="s">
        <v>7587</v>
      </c>
      <c r="B7587" s="2" t="str">
        <f>IFERROR(__xludf.DUMMYFUNCTION("GOOGLETRANSLATE(A7587, ""en"", ""mt"")"),"Kemm innijiet kiteb Luther ibbażat fuq l-Għaxar Kmandamenti?")</f>
        <v>Kemm innijiet kiteb Luther ibbażat fuq l-Għaxar Kmandamenti?</v>
      </c>
    </row>
    <row r="7588" ht="15.75" customHeight="1">
      <c r="A7588" s="2" t="s">
        <v>7588</v>
      </c>
      <c r="B7588" s="2" t="str">
        <f>IFERROR(__xludf.DUMMYFUNCTION("GOOGLETRANSLATE(A7588, ""en"", ""mt"")"),"F'liema sena l-ENR ikkompila d-dejta f'disa 'segmenti tas-suq?")</f>
        <v>F'liema sena l-ENR ikkompila d-dejta f'disa 'segmenti tas-suq?</v>
      </c>
    </row>
    <row r="7589" ht="15.75" customHeight="1">
      <c r="A7589" s="2" t="s">
        <v>7589</v>
      </c>
      <c r="B7589" s="2" t="str">
        <f>IFERROR(__xludf.DUMMYFUNCTION("GOOGLETRANSLATE(A7589, ""en"", ""mt"")"),"Organizzazzjonijiet tal-istudenti rikonoxxuti")</f>
        <v>Organizzazzjonijiet tal-istudenti rikonoxxuti</v>
      </c>
    </row>
    <row r="7590" ht="15.75" customHeight="1">
      <c r="A7590" s="2" t="s">
        <v>7590</v>
      </c>
      <c r="B7590" s="2" t="str">
        <f>IFERROR(__xludf.DUMMYFUNCTION("GOOGLETRANSLATE(A7590, ""en"", ""mt"")"),"Kif jissejħu l-istadji fil-magna kompost?")</f>
        <v>Kif jissejħu l-istadji fil-magna kompost?</v>
      </c>
    </row>
    <row r="7591" ht="15.75" customHeight="1">
      <c r="A7591" s="2" t="s">
        <v>7591</v>
      </c>
      <c r="B7591" s="2" t="str">
        <f>IFERROR(__xludf.DUMMYFUNCTION("GOOGLETRANSLATE(A7591, ""en"", ""mt"")"),"Wara l-1279")</f>
        <v>Wara l-1279</v>
      </c>
    </row>
    <row r="7592" ht="15.75" customHeight="1">
      <c r="A7592" s="2" t="s">
        <v>7592</v>
      </c>
      <c r="B7592" s="2" t="str">
        <f>IFERROR(__xludf.DUMMYFUNCTION("GOOGLETRANSLATE(A7592, ""en"", ""mt"")"),"knisja stabbilita")</f>
        <v>knisja stabbilita</v>
      </c>
    </row>
    <row r="7593" ht="15.75" customHeight="1">
      <c r="A7593" s="2" t="s">
        <v>7593</v>
      </c>
      <c r="B7593" s="2" t="str">
        <f>IFERROR(__xludf.DUMMYFUNCTION("GOOGLETRANSLATE(A7593, ""en"", ""mt"")"),"X'inhuma l-aqwa 4-5% studenti li jiggradwaw?")</f>
        <v>X'inhuma l-aqwa 4-5% studenti li jiggradwaw?</v>
      </c>
    </row>
    <row r="7594" ht="15.75" customHeight="1">
      <c r="A7594" s="2" t="s">
        <v>7594</v>
      </c>
      <c r="B7594" s="2" t="str">
        <f>IFERROR(__xludf.DUMMYFUNCTION("GOOGLETRANSLATE(A7594, ""en"", ""mt"")"),"Meta ġie stabbilit ġnien żooloġiku fil-Park Praga?")</f>
        <v>Meta ġie stabbilit ġnien żooloġiku fil-Park Praga?</v>
      </c>
    </row>
    <row r="7595" ht="15.75" customHeight="1">
      <c r="A7595" s="2" t="s">
        <v>7595</v>
      </c>
      <c r="B7595" s="2" t="str">
        <f>IFERROR(__xludf.DUMMYFUNCTION("GOOGLETRANSLATE(A7595, ""en"", ""mt"")"),"injorat")</f>
        <v>injorat</v>
      </c>
    </row>
    <row r="7596" ht="15.75" customHeight="1">
      <c r="A7596" s="2" t="s">
        <v>7596</v>
      </c>
      <c r="B7596" s="2" t="str">
        <f>IFERROR(__xludf.DUMMYFUNCTION("GOOGLETRANSLATE(A7596, ""en"", ""mt"")"),"il-klijent tal-perit u l-kuntrattur ewlieni")</f>
        <v>il-klijent tal-perit u l-kuntrattur ewlieni</v>
      </c>
    </row>
    <row r="7597" ht="15.75" customHeight="1">
      <c r="A7597" s="2" t="s">
        <v>7597</v>
      </c>
      <c r="B7597" s="2" t="str">
        <f>IFERROR(__xludf.DUMMYFUNCTION("GOOGLETRANSLATE(A7597, ""en"", ""mt"")"),"fraġli")</f>
        <v>fraġli</v>
      </c>
    </row>
    <row r="7598" ht="15.75" customHeight="1">
      <c r="A7598" s="2" t="s">
        <v>7598</v>
      </c>
      <c r="B7598" s="2" t="str">
        <f>IFERROR(__xludf.DUMMYFUNCTION("GOOGLETRANSLATE(A7598, ""en"", ""mt"")"),"Kemm korpi saħħet is-saħħa pubblika l-Ingilterra?")</f>
        <v>Kemm korpi saħħet is-saħħa pubblika l-Ingilterra?</v>
      </c>
    </row>
    <row r="7599" ht="15.75" customHeight="1">
      <c r="A7599" s="2" t="s">
        <v>7599</v>
      </c>
      <c r="B7599" s="2" t="str">
        <f>IFERROR(__xludf.DUMMYFUNCTION("GOOGLETRANSLATE(A7599, ""en"", ""mt"")"),"Dispost ħażin ħafna lejn il-Franċiżi")</f>
        <v>Dispost ħażin ħafna lejn il-Franċiżi</v>
      </c>
    </row>
    <row r="7600" ht="15.75" customHeight="1">
      <c r="A7600" s="2" t="s">
        <v>7600</v>
      </c>
      <c r="B7600" s="2" t="str">
        <f>IFERROR(__xludf.DUMMYFUNCTION("GOOGLETRANSLATE(A7600, ""en"", ""mt"")"),"Il-Knisja Kattolika fi Franza u ħafna mill-membri tagħha opponew il-Huguenots. Xi predikaturi u kongreganti Huguenot ġew attakkati waqt li ppruvaw jiltaqgħu għall-qima. L-eqqel ta 'din il-persekuzzjoni kien il-massakru ta' Jum San Bartolomew meta nqatlu 5"&amp;",000 sa 30,000, għalkemm kien hemm ukoll raġunijiet politiċi sottostanti għal dan ukoll, peress li wħud mill-Huguenots kienu nobbli li ppruvaw jistabbilixxu ċentri separati ta 'poter fin-Nofsinhar ta' Franza. Ir-ritaljazzjoni kontra l-Kattoliċi Franċiżi, "&amp;"il-Huguenots kellhom il-milizja tagħhom stess.")</f>
        <v>Il-Knisja Kattolika fi Franza u ħafna mill-membri tagħha opponew il-Huguenots. Xi predikaturi u kongreganti Huguenot ġew attakkati waqt li ppruvaw jiltaqgħu għall-qima. L-eqqel ta 'din il-persekuzzjoni kien il-massakru ta' Jum San Bartolomew meta nqatlu 5,000 sa 30,000, għalkemm kien hemm ukoll raġunijiet politiċi sottostanti għal dan ukoll, peress li wħud mill-Huguenots kienu nobbli li ppruvaw jistabbilixxu ċentri separati ta 'poter fin-Nofsinhar ta' Franza. Ir-ritaljazzjoni kontra l-Kattoliċi Franċiżi, il-Huguenots kellhom il-milizja tagħhom stess.</v>
      </c>
    </row>
    <row r="7601" ht="15.75" customHeight="1">
      <c r="A7601" s="2" t="s">
        <v>7601</v>
      </c>
      <c r="B7601" s="2" t="str">
        <f>IFERROR(__xludf.DUMMYFUNCTION("GOOGLETRANSLATE(A7601, ""en"", ""mt"")"),"Iż-żona hija magħrufa wkoll għad-djar tal-bidu tas-seklu għoxrin tagħha, li ħafna minnhom ġew restawrati fl-aħħar għexieren ta ’snin. Iż-żona tinkludi ħafna djar tal-istil tal-bungalow u artiġjani Amerikani tal-Kalifornja, arkitettura tal-istil tal-qawmie"&amp;"n mill-ġdid Spanjol, arkitettura tal-istil tal-qawmien mill-ġdid tal-Mediterran, arkitettura tal-istil tal-qawmien mill-ġdid tal-missjoni, u ħafna djar tal-istejjer iddisinjati minn Fresno Architects, Hilliard, Taylor &amp; Wheeler. L-arkitettura residenzjali"&amp;" tad-distrett tat-Torri tikkuntrasta maż-żoni l-aktar ġodda tad-djar tal-passaġġ urbani fiż-żoni tat-tramuntana u tal-lvant ta 'Fresno.")</f>
        <v>Iż-żona hija magħrufa wkoll għad-djar tal-bidu tas-seklu għoxrin tagħha, li ħafna minnhom ġew restawrati fl-aħħar għexieren ta ’snin. Iż-żona tinkludi ħafna djar tal-istil tal-bungalow u artiġjani Amerikani tal-Kalifornja, arkitettura tal-istil tal-qawmien mill-ġdid Spanjol, arkitettura tal-istil tal-qawmien mill-ġdid tal-Mediterran, arkitettura tal-istil tal-qawmien mill-ġdid tal-missjoni, u ħafna djar tal-istejjer iddisinjati minn Fresno Architects, Hilliard, Taylor &amp; Wheeler. L-arkitettura residenzjali tad-distrett tat-Torri tikkuntrasta maż-żoni l-aktar ġodda tad-djar tal-passaġġ urbani fiż-żoni tat-tramuntana u tal-lvant ta 'Fresno.</v>
      </c>
    </row>
    <row r="7602" ht="15.75" customHeight="1">
      <c r="A7602" s="2" t="s">
        <v>7602</v>
      </c>
      <c r="B7602" s="2" t="str">
        <f>IFERROR(__xludf.DUMMYFUNCTION("GOOGLETRANSLATE(A7602, ""en"", ""mt"")"),"maqlub")</f>
        <v>maqlub</v>
      </c>
    </row>
    <row r="7603" ht="15.75" customHeight="1">
      <c r="A7603" s="2" t="s">
        <v>7603</v>
      </c>
      <c r="B7603" s="2" t="str">
        <f>IFERROR(__xludf.DUMMYFUNCTION("GOOGLETRANSLATE(A7603, ""en"", ""mt"")"),"Li tillimita l-qatla halal u prattiki Iżlamiċi oħra bħaċ-ċirkonċiżjoni")</f>
        <v>Li tillimita l-qatla halal u prattiki Iżlamiċi oħra bħaċ-ċirkonċiżjoni</v>
      </c>
    </row>
    <row r="7604" ht="15.75" customHeight="1">
      <c r="A7604" s="2" t="s">
        <v>7604</v>
      </c>
      <c r="B7604" s="2" t="str">
        <f>IFERROR(__xludf.DUMMYFUNCTION("GOOGLETRANSLATE(A7604, ""en"", ""mt"")"),"oranġjo")</f>
        <v>oranġjo</v>
      </c>
    </row>
    <row r="7605" ht="15.75" customHeight="1">
      <c r="A7605" s="2" t="s">
        <v>7605</v>
      </c>
      <c r="B7605" s="2" t="str">
        <f>IFERROR(__xludf.DUMMYFUNCTION("GOOGLETRANSLATE(A7605, ""en"", ""mt"")"),"bħala likwidu")</f>
        <v>bħala likwidu</v>
      </c>
    </row>
    <row r="7606" ht="15.75" customHeight="1">
      <c r="A7606" s="2" t="s">
        <v>7606</v>
      </c>
      <c r="B7606" s="2" t="str">
        <f>IFERROR(__xludf.DUMMYFUNCTION("GOOGLETRANSLATE(A7606, ""en"", ""mt"")"),"X'tista stabbilixxa Tesla wara l-esperimenti ta 'Colorado tiegħu?")</f>
        <v>X'tista stabbilixxa Tesla wara l-esperimenti ta 'Colorado tiegħu?</v>
      </c>
    </row>
    <row r="7607" ht="15.75" customHeight="1">
      <c r="A7607" s="2" t="s">
        <v>7607</v>
      </c>
      <c r="B7607" s="2" t="str">
        <f>IFERROR(__xludf.DUMMYFUNCTION("GOOGLETRANSLATE(A7607, ""en"", ""mt"")"),"Linja waħda tgħaqqad San Bernardino, Riverside u liema kontea oħra?")</f>
        <v>Linja waħda tgħaqqad San Bernardino, Riverside u liema kontea oħra?</v>
      </c>
    </row>
    <row r="7608" ht="15.75" customHeight="1">
      <c r="A7608" s="2" t="s">
        <v>7608</v>
      </c>
      <c r="B7608" s="2" t="str">
        <f>IFERROR(__xludf.DUMMYFUNCTION("GOOGLETRANSLATE(A7608, ""en"", ""mt"")"),"Politika tat-Taxxa tal-Propjetà Ad Valorem")</f>
        <v>Politika tat-Taxxa tal-Propjetà Ad Valorem</v>
      </c>
    </row>
    <row r="7609" ht="15.75" customHeight="1">
      <c r="A7609" s="2" t="s">
        <v>7609</v>
      </c>
      <c r="B7609" s="2" t="str">
        <f>IFERROR(__xludf.DUMMYFUNCTION("GOOGLETRANSLATE(A7609, ""en"", ""mt"")"),"British Sky Broadcasting Group Plc")</f>
        <v>British Sky Broadcasting Group Plc</v>
      </c>
    </row>
    <row r="7610" ht="15.75" customHeight="1">
      <c r="A7610" s="2" t="s">
        <v>7610</v>
      </c>
      <c r="B7610" s="2" t="str">
        <f>IFERROR(__xludf.DUMMYFUNCTION("GOOGLETRANSLATE(A7610, ""en"", ""mt"")"),"L-OPEC malajr tilfet il-pożizzjoni preeminenti tagħha, u fl-1981, il-produzzjoni tagħha nqabżet minn dik ta 'pajjiżi oħra. Barra minn hekk, in-nazzjonijiet membri tagħha stess ġew maqsuma. L-Arabja Sawdita, tipprova tirkupra s-sehem tas-suq, żieda fil-pro"&amp;"duzzjoni, timbotta l-prezzijiet 'l isfel, tonqos jew telimina l-profitti għal produtturi bi prezz għoli. Il-prezz dinji, li kien laħaq il-quċċata matul il-kriżi tal-enerġija tal-1979 għal kważi $ 40 kull barmil, naqas matul is-snin 1980 għal inqas minn $ "&amp;"10 kull barmil. Aġġustat għall-inflazzjoni, iż-żejt waqa 'fil-qosor lura għal-livelli ta' qabel l-1973. Dan il-prezz ta '""bejgħ"" kien windfall għan-nazzjonijiet li jimportaw iż-żejt, kemm żviluppati kif ukoll żviluppati.")</f>
        <v>L-OPEC malajr tilfet il-pożizzjoni preeminenti tagħha, u fl-1981, il-produzzjoni tagħha nqabżet minn dik ta 'pajjiżi oħra. Barra minn hekk, in-nazzjonijiet membri tagħha stess ġew maqsuma. L-Arabja Sawdita, tipprova tirkupra s-sehem tas-suq, żieda fil-produzzjoni, timbotta l-prezzijiet 'l isfel, tonqos jew telimina l-profitti għal produtturi bi prezz għoli. Il-prezz dinji, li kien laħaq il-quċċata matul il-kriżi tal-enerġija tal-1979 għal kważi $ 40 kull barmil, naqas matul is-snin 1980 għal inqas minn $ 10 kull barmil. Aġġustat għall-inflazzjoni, iż-żejt waqa 'fil-qosor lura għal-livelli ta' qabel l-1973. Dan il-prezz ta '"bejgħ" kien windfall għan-nazzjonijiet li jimportaw iż-żejt, kemm żviluppati kif ukoll żviluppati.</v>
      </c>
    </row>
    <row r="7611" ht="15.75" customHeight="1">
      <c r="A7611" s="2" t="s">
        <v>7611</v>
      </c>
      <c r="B7611" s="2" t="str">
        <f>IFERROR(__xludf.DUMMYFUNCTION("GOOGLETRANSLATE(A7611, ""en"", ""mt"")"),"L-aħħar vjaġġ ta 'Luther, lejn Mansfeld, ittieħed minħabba t-tħassib tiegħu għall-familji ta' aħwa tiegħu li jkomplu fil-kummerċ tal-minjieri tar-ram ta 'missierhom Hans Luther. L-għajxien tagħhom kien mhedded mill-Konti Albrecht ta ’Mansfeld li ġab l-ind"&amp;"ustrija taħt il-kontroll tiegħu stess. Il-kontroversja li rriżultat kienet tinvolvi l-erba 'għadd ta' Mansfeld: Albrecht, Philip, John George, u Gerhard. Luther ivvjaġġa lejn Mansfeld darbtejn fl-1545 tard biex jipparteċipa fin-negozjati għal ftehim, u ki"&amp;"enet meħtieġa t-tielet żjara fil-bidu tal-1546 għat-tlestija tagħhom.")</f>
        <v>L-aħħar vjaġġ ta 'Luther, lejn Mansfeld, ittieħed minħabba t-tħassib tiegħu għall-familji ta' aħwa tiegħu li jkomplu fil-kummerċ tal-minjieri tar-ram ta 'missierhom Hans Luther. L-għajxien tagħhom kien mhedded mill-Konti Albrecht ta ’Mansfeld li ġab l-industrija taħt il-kontroll tiegħu stess. Il-kontroversja li rriżultat kienet tinvolvi l-erba 'għadd ta' Mansfeld: Albrecht, Philip, John George, u Gerhard. Luther ivvjaġġa lejn Mansfeld darbtejn fl-1545 tard biex jipparteċipa fin-negozjati għal ftehim, u kienet meħtieġa t-tielet żjara fil-bidu tal-1546 għat-tlestija tagħhom.</v>
      </c>
    </row>
    <row r="7612" ht="15.75" customHeight="1">
      <c r="A7612" s="2" t="s">
        <v>7612</v>
      </c>
      <c r="B7612" s="2" t="str">
        <f>IFERROR(__xludf.DUMMYFUNCTION("GOOGLETRANSLATE(A7612, ""en"", ""mt"")"),"""Ċittadinanza""")</f>
        <v>"Ċittadinanza"</v>
      </c>
    </row>
    <row r="7613" ht="15.75" customHeight="1">
      <c r="A7613" s="2" t="s">
        <v>7613</v>
      </c>
      <c r="B7613" s="2" t="str">
        <f>IFERROR(__xludf.DUMMYFUNCTION("GOOGLETRANSLATE(A7613, ""en"", ""mt"")"),"Newcastle Mela, li saret fil-weekend tal-vaganzi tal-bank tal-aħħar ta ’Awwissu, huwa avveniment multikulturali annwali ta’ jumejn, li jħallat drama, mużika u ikel mill-Punġabi, Pakistani, Bengali u kulturi hindu. Newcastlegateshead għandha wkoll fiera ta"&amp;"l-arti internazzjonali annwali. L-avveniment tal-2009 se jkun fiċ-Ċentru tal-Mużika u l-Arti ta 'Sage Gateshead ta' Norman Foster iddisinjat f'Settembru. F'Ottubru, hemm il-Festival tal-Avvenimenti tad-Disinn - festival annwali li jipprovdi lill-pubbliku "&amp;"l-opportunità li jara xogħol minn disinjaturi reġjonali, nazzjonali u internazzjonali. Il-Festival SAMA, festival kulturali tal-Asja tal-Lvant isir ukoll fil-bidu ta 'Ottubru.")</f>
        <v>Newcastle Mela, li saret fil-weekend tal-vaganzi tal-bank tal-aħħar ta ’Awwissu, huwa avveniment multikulturali annwali ta’ jumejn, li jħallat drama, mużika u ikel mill-Punġabi, Pakistani, Bengali u kulturi hindu. Newcastlegateshead għandha wkoll fiera tal-arti internazzjonali annwali. L-avveniment tal-2009 se jkun fiċ-Ċentru tal-Mużika u l-Arti ta 'Sage Gateshead ta' Norman Foster iddisinjat f'Settembru. F'Ottubru, hemm il-Festival tal-Avvenimenti tad-Disinn - festival annwali li jipprovdi lill-pubbliku l-opportunità li jara xogħol minn disinjaturi reġjonali, nazzjonali u internazzjonali. Il-Festival SAMA, festival kulturali tal-Asja tal-Lvant isir ukoll fil-bidu ta 'Ottubru.</v>
      </c>
    </row>
    <row r="7614" ht="15.75" customHeight="1">
      <c r="A7614" s="2" t="s">
        <v>7614</v>
      </c>
      <c r="B7614" s="2" t="str">
        <f>IFERROR(__xludf.DUMMYFUNCTION("GOOGLETRANSLATE(A7614, ""en"", ""mt"")"),"Beatrix Potter")</f>
        <v>Beatrix Potter</v>
      </c>
    </row>
    <row r="7615" ht="15.75" customHeight="1">
      <c r="A7615" s="2" t="s">
        <v>7615</v>
      </c>
      <c r="B7615" s="2" t="str">
        <f>IFERROR(__xludf.DUMMYFUNCTION("GOOGLETRANSLATE(A7615, ""en"", ""mt"")"),"Kemm għandha siġġu Victoria fis-Senat?")</f>
        <v>Kemm għandha siġġu Victoria fis-Senat?</v>
      </c>
    </row>
    <row r="7616" ht="15.75" customHeight="1">
      <c r="A7616" s="2" t="s">
        <v>7616</v>
      </c>
      <c r="B7616" s="2" t="str">
        <f>IFERROR(__xludf.DUMMYFUNCTION("GOOGLETRANSLATE(A7616, ""en"", ""mt"")"),"Min normalment jaħdem flimkien?")</f>
        <v>Min normalment jaħdem flimkien?</v>
      </c>
    </row>
    <row r="7617" ht="15.75" customHeight="1">
      <c r="A7617" s="2" t="s">
        <v>7617</v>
      </c>
      <c r="B7617" s="2" t="str">
        <f>IFERROR(__xludf.DUMMYFUNCTION("GOOGLETRANSLATE(A7617, ""en"", ""mt"")"),"F'każ tal-ħġieġ")</f>
        <v>F'każ tal-ħġieġ</v>
      </c>
    </row>
    <row r="7618" ht="15.75" customHeight="1">
      <c r="A7618" s="2" t="s">
        <v>7618</v>
      </c>
      <c r="B7618" s="2" t="str">
        <f>IFERROR(__xludf.DUMMYFUNCTION("GOOGLETRANSLATE(A7618, ""en"", ""mt"")"),"Fucoxanthin Dinophyte")</f>
        <v>Fucoxanthin Dinophyte</v>
      </c>
    </row>
    <row r="7619" ht="15.75" customHeight="1">
      <c r="A7619" s="2" t="s">
        <v>7619</v>
      </c>
      <c r="B7619" s="2" t="str">
        <f>IFERROR(__xludf.DUMMYFUNCTION("GOOGLETRANSLATE(A7619, ""en"", ""mt"")"),"L-isem ma kienx korrett")</f>
        <v>L-isem ma kienx korrett</v>
      </c>
    </row>
    <row r="7620" ht="15.75" customHeight="1">
      <c r="A7620" s="2" t="s">
        <v>7620</v>
      </c>
      <c r="B7620" s="2" t="str">
        <f>IFERROR(__xludf.DUMMYFUNCTION("GOOGLETRANSLATE(A7620, ""en"", ""mt"")"),"Kampus tal-Università ta ’Chicago")</f>
        <v>Kampus tal-Università ta ’Chicago</v>
      </c>
    </row>
    <row r="7621" ht="15.75" customHeight="1">
      <c r="A7621" s="2" t="s">
        <v>7621</v>
      </c>
      <c r="B7621" s="2" t="str">
        <f>IFERROR(__xludf.DUMMYFUNCTION("GOOGLETRANSLATE(A7621, ""en"", ""mt"")"),"Rows moxt")</f>
        <v>Rows moxt</v>
      </c>
    </row>
    <row r="7622" ht="15.75" customHeight="1">
      <c r="A7622" s="2" t="s">
        <v>7622</v>
      </c>
      <c r="B7622" s="2" t="str">
        <f>IFERROR(__xludf.DUMMYFUNCTION("GOOGLETRANSLATE(A7622, ""en"", ""mt"")"),"Waħda mill-ewwel implimentazzjonijiet massivi tagħha ġiet ikkawżata mill-Eġizzjani kontra l-okkupazzjoni Ingliża fir-rivoluzzjoni tal-1919. Id-diżubbidjenza ċivili hija waħda mill-ħafna modi kif in-nies irribellaw kontra dak li jqisu li huma liġijiet inġu"&amp;"sti. Intuża f'ħafna movimenti ta 'reżistenza mhux vjolenti fl-Indja (il-kampanji ta' Gandhi għall-Indipendenza mill-Imperu Brittaniku), fir-rivoluzzjoni tal-bellus taċ-Ċekoslovakkja u fil-Ġermanja tal-Lvant biex jitneħħew il-gvernijiet komunisti tagħhom, "&amp;"fl-Afrika t'Isfel fil-ġlieda kontra l-apartheid, fid-drittijiet ċivili Amerikani Amerikani Moviment, fir-rivoluzzjoni tal-kant biex iġġib l-indipendenza lill-pajjiżi tal-Baltiku mill-Unjoni Sovjetika, reċentement bir-Rivoluzzjoni tal-Rose tal-2003 fil-Ġeo"&amp;"rġja u r-Rivoluzzjoni Orange tal-2004 fl-Ukrajna, fost movimenti varji oħra mad-dinja kollha.")</f>
        <v>Waħda mill-ewwel implimentazzjonijiet massivi tagħha ġiet ikkawżata mill-Eġizzjani kontra l-okkupazzjoni Ingliża fir-rivoluzzjoni tal-1919. Id-diżubbidjenza ċivili hija waħda mill-ħafna modi kif in-nies irribellaw kontra dak li jqisu li huma liġijiet inġusti. Intuża f'ħafna movimenti ta 'reżistenza mhux vjolenti fl-Indja (il-kampanji ta' Gandhi għall-Indipendenza mill-Imperu Brittaniku), fir-rivoluzzjoni tal-bellus taċ-Ċekoslovakkja u fil-Ġermanja tal-Lvant biex jitneħħew il-gvernijiet komunisti tagħhom, fl-Afrika t'Isfel fil-ġlieda kontra l-apartheid, fid-drittijiet ċivili Amerikani Amerikani Moviment, fir-rivoluzzjoni tal-kant biex iġġib l-indipendenza lill-pajjiżi tal-Baltiku mill-Unjoni Sovjetika, reċentement bir-Rivoluzzjoni tal-Rose tal-2003 fil-Ġeorġja u r-Rivoluzzjoni Orange tal-2004 fl-Ukrajna, fost movimenti varji oħra mad-dinja kollha.</v>
      </c>
    </row>
    <row r="7623" ht="15.75" customHeight="1">
      <c r="A7623" s="2" t="s">
        <v>7623</v>
      </c>
      <c r="B7623" s="2" t="str">
        <f>IFERROR(__xludf.DUMMYFUNCTION("GOOGLETRANSLATE(A7623, ""en"", ""mt"")"),"Tmien snin fl-iskola primarja u erba 'snin fl-iskola għolja")</f>
        <v>Tmien snin fl-iskola primarja u erba 'snin fl-iskola għolja</v>
      </c>
    </row>
    <row r="7624" ht="15.75" customHeight="1">
      <c r="A7624" s="2" t="s">
        <v>7624</v>
      </c>
      <c r="B7624" s="2" t="str">
        <f>IFERROR(__xludf.DUMMYFUNCTION("GOOGLETRANSLATE(A7624, ""en"", ""mt"")"),"Bini tal-Imperu")</f>
        <v>Bini tal-Imperu</v>
      </c>
    </row>
    <row r="7625" ht="15.75" customHeight="1">
      <c r="A7625" s="2" t="s">
        <v>7625</v>
      </c>
      <c r="B7625" s="2" t="str">
        <f>IFERROR(__xludf.DUMMYFUNCTION("GOOGLETRANSLATE(A7625, ""en"", ""mt"")"),"Il-Gwerer tar-Reliġjon")</f>
        <v>Il-Gwerer tar-Reliġjon</v>
      </c>
    </row>
    <row r="7626" ht="15.75" customHeight="1">
      <c r="A7626" s="2" t="s">
        <v>7626</v>
      </c>
      <c r="B7626" s="2" t="str">
        <f>IFERROR(__xludf.DUMMYFUNCTION("GOOGLETRANSLATE(A7626, ""en"", ""mt"")"),"Ferrovija tal-Kosta tal-Lvant tal-Florida")</f>
        <v>Ferrovija tal-Kosta tal-Lvant tal-Florida</v>
      </c>
    </row>
    <row r="7627" ht="15.75" customHeight="1">
      <c r="A7627" s="2" t="s">
        <v>7627</v>
      </c>
      <c r="B7627" s="2" t="str">
        <f>IFERROR(__xludf.DUMMYFUNCTION("GOOGLETRANSLATE(A7627, ""en"", ""mt"")"),"Għaliex l-alleanza rrappurtata ta 'Jochi mal-Musulmani hija storikament suspettata?")</f>
        <v>Għaliex l-alleanza rrappurtata ta 'Jochi mal-Musulmani hija storikament suspettata?</v>
      </c>
    </row>
    <row r="7628" ht="15.75" customHeight="1">
      <c r="A7628" s="2" t="s">
        <v>7628</v>
      </c>
      <c r="B7628" s="2" t="str">
        <f>IFERROR(__xludf.DUMMYFUNCTION("GOOGLETRANSLATE(A7628, ""en"", ""mt"")"),"Żid l-erja tal-wiċċ tal-kloroplast għat-trasport tal-membrana bejn l-istoma u ċ-ċitoplasma taċ-ċellula")</f>
        <v>Żid l-erja tal-wiċċ tal-kloroplast għat-trasport tal-membrana bejn l-istoma u ċ-ċitoplasma taċ-ċellula</v>
      </c>
    </row>
    <row r="7629" ht="15.75" customHeight="1">
      <c r="A7629" s="2" t="s">
        <v>7629</v>
      </c>
      <c r="B7629" s="2" t="str">
        <f>IFERROR(__xludf.DUMMYFUNCTION("GOOGLETRANSLATE(A7629, ""en"", ""mt"")"),"Fejn ġie stabbilit il-laboratorju ta 'Tesla?")</f>
        <v>Fejn ġie stabbilit il-laboratorju ta 'Tesla?</v>
      </c>
    </row>
    <row r="7630" ht="15.75" customHeight="1">
      <c r="A7630" s="2" t="s">
        <v>7630</v>
      </c>
      <c r="B7630" s="2" t="str">
        <f>IFERROR(__xludf.DUMMYFUNCTION("GOOGLETRANSLATE(A7630, ""en"", ""mt"")"),"IBERIA Musulmana")</f>
        <v>IBERIA Musulmana</v>
      </c>
    </row>
    <row r="7631" ht="15.75" customHeight="1">
      <c r="A7631" s="2" t="s">
        <v>7631</v>
      </c>
      <c r="B7631" s="2" t="str">
        <f>IFERROR(__xludf.DUMMYFUNCTION("GOOGLETRANSLATE(A7631, ""en"", ""mt"")"),"Dak li l-kompjuters jistgħu u ma jistgħux jagħmlu")</f>
        <v>Dak li l-kompjuters jistgħu u ma jistgħux jagħmlu</v>
      </c>
    </row>
    <row r="7632" ht="15.75" customHeight="1">
      <c r="A7632" s="2" t="s">
        <v>7632</v>
      </c>
      <c r="B7632" s="2" t="str">
        <f>IFERROR(__xludf.DUMMYFUNCTION("GOOGLETRANSLATE(A7632, ""en"", ""mt"")"),"Steymann v Staatssecretaris Van Justitie")</f>
        <v>Steymann v Staatssecretaris Van Justitie</v>
      </c>
    </row>
    <row r="7633" ht="15.75" customHeight="1">
      <c r="A7633" s="2" t="s">
        <v>7633</v>
      </c>
      <c r="B7633" s="2" t="str">
        <f>IFERROR(__xludf.DUMMYFUNCTION("GOOGLETRANSLATE(A7633, ""en"", ""mt"")"),"51.6%")</f>
        <v>51.6%</v>
      </c>
    </row>
    <row r="7634" ht="15.75" customHeight="1">
      <c r="A7634" s="2" t="s">
        <v>7634</v>
      </c>
      <c r="B7634" s="2" t="str">
        <f>IFERROR(__xludf.DUMMYFUNCTION("GOOGLETRANSLATE(A7634, ""en"", ""mt"")"),"bejn 3 u 14-il siegħa fil-ġimgħa")</f>
        <v>bejn 3 u 14-il siegħa fil-ġimgħa</v>
      </c>
    </row>
    <row r="7635" ht="15.75" customHeight="1">
      <c r="A7635" s="2" t="s">
        <v>7635</v>
      </c>
      <c r="B7635" s="2" t="str">
        <f>IFERROR(__xludf.DUMMYFUNCTION("GOOGLETRANSLATE(A7635, ""en"", ""mt"")"),"Meta kienu jeżistu s-sitt ministeri?")</f>
        <v>Meta kienu jeżistu s-sitt ministeri?</v>
      </c>
    </row>
    <row r="7636" ht="15.75" customHeight="1">
      <c r="A7636" s="2" t="s">
        <v>7636</v>
      </c>
      <c r="B7636" s="2" t="str">
        <f>IFERROR(__xludf.DUMMYFUNCTION("GOOGLETRANSLATE(A7636, ""en"", ""mt"")"),"fil-karità u xogħlijiet tajbin")</f>
        <v>fil-karità u xogħlijiet tajbin</v>
      </c>
    </row>
    <row r="7637" ht="15.75" customHeight="1">
      <c r="A7637" s="2" t="s">
        <v>7637</v>
      </c>
      <c r="B7637" s="2" t="str">
        <f>IFERROR(__xludf.DUMMYFUNCTION("GOOGLETRANSLATE(A7637, ""en"", ""mt"")"),"Mill-2005 sal-2014, kien hemm żewġ timijiet tal-futbol tal-kampjonat maġġuri f'Los Angeles - il-La Galaxy u Chivas USA - li t-tnejn lagħbu fiċ-Ċentru Stubhub u kienu rivali lokali. Madankollu, Chivas ġew sospiżi wara l-istaġun tal-MLS 2014, bit-tieni tim "&amp;"tal-MLS skedat li jirritorna fl-2018.")</f>
        <v>Mill-2005 sal-2014, kien hemm żewġ timijiet tal-futbol tal-kampjonat maġġuri f'Los Angeles - il-La Galaxy u Chivas USA - li t-tnejn lagħbu fiċ-Ċentru Stubhub u kienu rivali lokali. Madankollu, Chivas ġew sospiżi wara l-istaġun tal-MLS 2014, bit-tieni tim tal-MLS skedat li jirritorna fl-2018.</v>
      </c>
    </row>
    <row r="7638" ht="15.75" customHeight="1">
      <c r="A7638" s="2" t="s">
        <v>7638</v>
      </c>
      <c r="B7638" s="2" t="str">
        <f>IFERROR(__xludf.DUMMYFUNCTION("GOOGLETRANSLATE(A7638, ""en"", ""mt"")"),"Fejn għadha tintuża l-ABC b'erba 'noti?")</f>
        <v>Fejn għadha tintuża l-ABC b'erba 'noti?</v>
      </c>
    </row>
    <row r="7639" ht="15.75" customHeight="1">
      <c r="A7639" s="2" t="s">
        <v>7639</v>
      </c>
      <c r="B7639" s="2" t="str">
        <f>IFERROR(__xludf.DUMMYFUNCTION("GOOGLETRANSLATE(A7639, ""en"", ""mt"")"),"Ir-ritratt tal-1758 tiegħu minn François Boucher kien parti minn Jones Bequest?")</f>
        <v>Ir-ritratt tal-1758 tiegħu minn François Boucher kien parti minn Jones Bequest?</v>
      </c>
    </row>
    <row r="7640" ht="15.75" customHeight="1">
      <c r="A7640" s="2" t="s">
        <v>7640</v>
      </c>
      <c r="B7640" s="2" t="str">
        <f>IFERROR(__xludf.DUMMYFUNCTION("GOOGLETRANSLATE(A7640, ""en"", ""mt"")"),"Andrew Alper")</f>
        <v>Andrew Alper</v>
      </c>
    </row>
    <row r="7641" ht="15.75" customHeight="1">
      <c r="A7641" s="2" t="s">
        <v>7641</v>
      </c>
      <c r="B7641" s="2" t="str">
        <f>IFERROR(__xludf.DUMMYFUNCTION("GOOGLETRANSLATE(A7641, ""en"", ""mt"")"),"It-torri tal-knisja")</f>
        <v>It-torri tal-knisja</v>
      </c>
    </row>
    <row r="7642" ht="15.75" customHeight="1">
      <c r="A7642" s="2" t="s">
        <v>7642</v>
      </c>
      <c r="B7642" s="2" t="str">
        <f>IFERROR(__xludf.DUMMYFUNCTION("GOOGLETRANSLATE(A7642, ""en"", ""mt"")"),"università jew kulleġġ.")</f>
        <v>università jew kulleġġ.</v>
      </c>
    </row>
    <row r="7643" ht="15.75" customHeight="1">
      <c r="A7643" s="2" t="s">
        <v>7643</v>
      </c>
      <c r="B7643" s="2" t="str">
        <f>IFERROR(__xludf.DUMMYFUNCTION("GOOGLETRANSLATE(A7643, ""en"", ""mt"")"),"Newcastle Eagles")</f>
        <v>Newcastle Eagles</v>
      </c>
    </row>
    <row r="7644" ht="15.75" customHeight="1">
      <c r="A7644" s="2" t="s">
        <v>7644</v>
      </c>
      <c r="B7644" s="2" t="str">
        <f>IFERROR(__xludf.DUMMYFUNCTION("GOOGLETRANSLATE(A7644, ""en"", ""mt"")"),"Lbies ta 'taħt imkessaħ bl-ilma.")</f>
        <v>Lbies ta 'taħt imkessaħ bl-ilma.</v>
      </c>
    </row>
    <row r="7645" ht="15.75" customHeight="1">
      <c r="A7645" s="2" t="s">
        <v>7645</v>
      </c>
      <c r="B7645" s="2" t="str">
        <f>IFERROR(__xludf.DUMMYFUNCTION("GOOGLETRANSLATE(A7645, ""en"", ""mt"")"),"Meta ntbagħtet Johann Tetzel mill-Knisja Kattolika Rumana lill-Ġermanja biex tbiegħ indulġenzi?")</f>
        <v>Meta ntbagħtet Johann Tetzel mill-Knisja Kattolika Rumana lill-Ġermanja biex tbiegħ indulġenzi?</v>
      </c>
    </row>
    <row r="7646" ht="15.75" customHeight="1">
      <c r="A7646" s="2" t="s">
        <v>7646</v>
      </c>
      <c r="B7646" s="2" t="str">
        <f>IFERROR(__xludf.DUMMYFUNCTION("GOOGLETRANSLATE(A7646, ""en"", ""mt"")"),"X'inhu PPP?")</f>
        <v>X'inhu PPP?</v>
      </c>
    </row>
    <row r="7647" ht="15.75" customHeight="1">
      <c r="A7647" s="2" t="s">
        <v>7647</v>
      </c>
      <c r="B7647" s="2" t="str">
        <f>IFERROR(__xludf.DUMMYFUNCTION("GOOGLETRANSLATE(A7647, ""en"", ""mt"")"),"F'liema tip ta 'sistema ta' partiċelli m'hemmx forzi iinternali żbilanċjati?")</f>
        <v>F'liema tip ta 'sistema ta' partiċelli m'hemmx forzi iinternali żbilanċjati?</v>
      </c>
    </row>
    <row r="7648" ht="15.75" customHeight="1">
      <c r="A7648" s="2" t="s">
        <v>7648</v>
      </c>
      <c r="B7648" s="2" t="str">
        <f>IFERROR(__xludf.DUMMYFUNCTION("GOOGLETRANSLATE(A7648, ""en"", ""mt"")"),"Kemm hemm sodod l-Istitut ta 'l-Onkoloġija ta' Maria Sklodowska-Curie?")</f>
        <v>Kemm hemm sodod l-Istitut ta 'l-Onkoloġija ta' Maria Sklodowska-Curie?</v>
      </c>
    </row>
    <row r="7649" ht="15.75" customHeight="1">
      <c r="A7649" s="2" t="s">
        <v>7649</v>
      </c>
      <c r="B7649" s="2" t="str">
        <f>IFERROR(__xludf.DUMMYFUNCTION("GOOGLETRANSLATE(A7649, ""en"", ""mt"")"),"9.6%")</f>
        <v>9.6%</v>
      </c>
    </row>
    <row r="7650" ht="15.75" customHeight="1">
      <c r="A7650" s="2" t="s">
        <v>7650</v>
      </c>
      <c r="B7650" s="2" t="str">
        <f>IFERROR(__xludf.DUMMYFUNCTION("GOOGLETRANSLATE(A7650, ""en"", ""mt"")"),"Kif kienu s-servizzi ta 'NTL?")</f>
        <v>Kif kienu s-servizzi ta 'NTL?</v>
      </c>
    </row>
    <row r="7651" ht="15.75" customHeight="1">
      <c r="A7651" s="2" t="s">
        <v>7651</v>
      </c>
      <c r="B7651" s="2" t="str">
        <f>IFERROR(__xludf.DUMMYFUNCTION("GOOGLETRANSLATE(A7651, ""en"", ""mt"")"),"L-għan huwa tipikament kors ta 'studju, pjan ta' lezzjoni, jew ħila prattika. Għalliem jista 'jsegwi kurrikuli standardizzati kif determinat mill-awtorità rilevanti. L-għalliem jista 'jinteraġixxi ma' studenti ta 'etajiet differenti, minn trabi għal adult"&amp;"i, studenti b'ħiliet differenti u studenti b'diżabilità fit-tagħlim.")</f>
        <v>L-għan huwa tipikament kors ta 'studju, pjan ta' lezzjoni, jew ħila prattika. Għalliem jista 'jsegwi kurrikuli standardizzati kif determinat mill-awtorità rilevanti. L-għalliem jista 'jinteraġixxi ma' studenti ta 'etajiet differenti, minn trabi għal adulti, studenti b'ħiliet differenti u studenti b'diżabilità fit-tagħlim.</v>
      </c>
    </row>
    <row r="7652" ht="15.75" customHeight="1">
      <c r="A7652" s="2" t="s">
        <v>7652</v>
      </c>
      <c r="B7652" s="2" t="str">
        <f>IFERROR(__xludf.DUMMYFUNCTION("GOOGLETRANSLATE(A7652, ""en"", ""mt"")"),"Università ta ’Stanford")</f>
        <v>Università ta ’Stanford</v>
      </c>
    </row>
    <row r="7653" ht="15.75" customHeight="1">
      <c r="A7653" s="2" t="s">
        <v>7653</v>
      </c>
      <c r="B7653" s="2" t="str">
        <f>IFERROR(__xludf.DUMMYFUNCTION("GOOGLETRANSLATE(A7653, ""en"", ""mt"")"),"4-momentum fir-relatività u l-momentum ta 'partiċelli virtwali fl-elettrodinamiċità kwantistika")</f>
        <v>4-momentum fir-relatività u l-momentum ta 'partiċelli virtwali fl-elettrodinamiċità kwantistika</v>
      </c>
    </row>
    <row r="7654" ht="15.75" customHeight="1">
      <c r="A7654" s="2" t="s">
        <v>7654</v>
      </c>
      <c r="B7654" s="2" t="str">
        <f>IFERROR(__xludf.DUMMYFUNCTION("GOOGLETRANSLATE(A7654, ""en"", ""mt"")"),"Liema qorti kapaċi tinterpreta l-liġi tal-Unjoni Ewropea?")</f>
        <v>Liema qorti kapaċi tinterpreta l-liġi tal-Unjoni Ewropea?</v>
      </c>
    </row>
    <row r="7655" ht="15.75" customHeight="1">
      <c r="A7655" s="2" t="s">
        <v>7655</v>
      </c>
      <c r="B7655" s="2" t="str">
        <f>IFERROR(__xludf.DUMMYFUNCTION("GOOGLETRANSLATE(A7655, ""en"", ""mt"")"),"Meta għadda l-att tal-Kunsill tat-Tagħlim?")</f>
        <v>Meta għadda l-att tal-Kunsill tat-Tagħlim?</v>
      </c>
    </row>
    <row r="7656" ht="15.75" customHeight="1">
      <c r="A7656" s="2" t="s">
        <v>7656</v>
      </c>
      <c r="B7656" s="2" t="str">
        <f>IFERROR(__xludf.DUMMYFUNCTION("GOOGLETRANSLATE(A7656, ""en"", ""mt"")"),"Kull membru tal-Gvern Skoċċiż")</f>
        <v>Kull membru tal-Gvern Skoċċiż</v>
      </c>
    </row>
    <row r="7657" ht="15.75" customHeight="1">
      <c r="A7657" s="2" t="s">
        <v>7657</v>
      </c>
      <c r="B7657" s="2" t="str">
        <f>IFERROR(__xludf.DUMMYFUNCTION("GOOGLETRANSLATE(A7657, ""en"", ""mt"")"),"Ammont kbir minnu")</f>
        <v>Ammont kbir minnu</v>
      </c>
    </row>
    <row r="7658" ht="15.75" customHeight="1">
      <c r="A7658" s="2" t="s">
        <v>7658</v>
      </c>
      <c r="B7658" s="2" t="str">
        <f>IFERROR(__xludf.DUMMYFUNCTION("GOOGLETRANSLATE(A7658, ""en"", ""mt"")"),"22,000 sena ilu")</f>
        <v>22,000 sena ilu</v>
      </c>
    </row>
    <row r="7659" ht="15.75" customHeight="1">
      <c r="A7659" s="2" t="s">
        <v>7659</v>
      </c>
      <c r="B7659" s="2" t="str">
        <f>IFERROR(__xludf.DUMMYFUNCTION("GOOGLETRANSLATE(A7659, ""en"", ""mt"")"),"Sistema ta 'sekrezzjoni tat-Tip III")</f>
        <v>Sistema ta 'sekrezzjoni tat-Tip III</v>
      </c>
    </row>
    <row r="7660" ht="15.75" customHeight="1">
      <c r="A7660" s="2" t="s">
        <v>7660</v>
      </c>
      <c r="B7660" s="2" t="str">
        <f>IFERROR(__xludf.DUMMYFUNCTION("GOOGLETRANSLATE(A7660, ""en"", ""mt"")"),"Kolonisti Ingliżi.")</f>
        <v>Kolonisti Ingliżi.</v>
      </c>
    </row>
    <row r="7661" ht="15.75" customHeight="1">
      <c r="A7661" s="2" t="s">
        <v>7661</v>
      </c>
      <c r="B7661" s="2" t="str">
        <f>IFERROR(__xludf.DUMMYFUNCTION("GOOGLETRANSLATE(A7661, ""en"", ""mt"")"),"Jean Cauvin (John Calvin)")</f>
        <v>Jean Cauvin (John Calvin)</v>
      </c>
    </row>
    <row r="7662" ht="15.75" customHeight="1">
      <c r="A7662" s="2" t="s">
        <v>7662</v>
      </c>
      <c r="B7662" s="2" t="str">
        <f>IFERROR(__xludf.DUMMYFUNCTION("GOOGLETRANSLATE(A7662, ""en"", ""mt"")"),"anerobiku")</f>
        <v>anerobiku</v>
      </c>
    </row>
    <row r="7663" ht="15.75" customHeight="1">
      <c r="A7663" s="2" t="s">
        <v>7663</v>
      </c>
      <c r="B7663" s="2" t="str">
        <f>IFERROR(__xludf.DUMMYFUNCTION("GOOGLETRANSLATE(A7663, ""en"", ""mt"")"),"Fejn ipprattikaw il-Panthers għal Super Bowl 50?")</f>
        <v>Fejn ipprattikaw il-Panthers għal Super Bowl 50?</v>
      </c>
    </row>
    <row r="7664" ht="15.75" customHeight="1">
      <c r="A7664" s="2" t="s">
        <v>7664</v>
      </c>
      <c r="B7664" s="2" t="str">
        <f>IFERROR(__xludf.DUMMYFUNCTION("GOOGLETRANSLATE(A7664, ""en"", ""mt"")"),"Lulju 1982 sa Ġunju 1983")</f>
        <v>Lulju 1982 sa Ġunju 1983</v>
      </c>
    </row>
    <row r="7665" ht="15.75" customHeight="1">
      <c r="A7665" s="2" t="s">
        <v>7665</v>
      </c>
      <c r="B7665" s="2" t="str">
        <f>IFERROR(__xludf.DUMMYFUNCTION("GOOGLETRANSLATE(A7665, ""en"", ""mt"")"),"Fejn Tesla bdiet taħdem fl-1884?")</f>
        <v>Fejn Tesla bdiet taħdem fl-1884?</v>
      </c>
    </row>
    <row r="7666" ht="15.75" customHeight="1">
      <c r="A7666" s="2" t="s">
        <v>7666</v>
      </c>
      <c r="B7666" s="2" t="str">
        <f>IFERROR(__xludf.DUMMYFUNCTION("GOOGLETRANSLATE(A7666, ""en"", ""mt"")"),"Komunità tal-Afrika tal-Lvant")</f>
        <v>Komunità tal-Afrika tal-Lvant</v>
      </c>
    </row>
    <row r="7667" ht="15.75" customHeight="1">
      <c r="A7667" s="2" t="s">
        <v>7667</v>
      </c>
      <c r="B7667" s="2" t="str">
        <f>IFERROR(__xludf.DUMMYFUNCTION("GOOGLETRANSLATE(A7667, ""en"", ""mt"")"),"bażi gradwali")</f>
        <v>bażi gradwali</v>
      </c>
    </row>
    <row r="7668" ht="15.75" customHeight="1">
      <c r="A7668" s="2" t="s">
        <v>7668</v>
      </c>
      <c r="B7668" s="2" t="str">
        <f>IFERROR(__xludf.DUMMYFUNCTION("GOOGLETRANSLATE(A7668, ""en"", ""mt"")"),"ir-raba ’gwerra interkolonjali u l-gwerra kbira għall-imperu")</f>
        <v>ir-raba ’gwerra interkolonjali u l-gwerra kbira għall-imperu</v>
      </c>
    </row>
    <row r="7669" ht="15.75" customHeight="1">
      <c r="A7669" s="2" t="s">
        <v>7669</v>
      </c>
      <c r="B7669" s="2" t="str">
        <f>IFERROR(__xludf.DUMMYFUNCTION("GOOGLETRANSLATE(A7669, ""en"", ""mt"")"),"Is-Sultan Muhammad kien diġà mejjet fl-1223,")</f>
        <v>Is-Sultan Muhammad kien diġà mejjet fl-1223,</v>
      </c>
    </row>
    <row r="7670" ht="15.75" customHeight="1">
      <c r="A7670" s="2" t="s">
        <v>7670</v>
      </c>
      <c r="B7670" s="2" t="str">
        <f>IFERROR(__xludf.DUMMYFUNCTION("GOOGLETRANSLATE(A7670, ""en"", ""mt"")"),"L-ewwel erba 'titjiriet ta' test Saturn I ġew imnedija minn LC-34, bl-ewwel stadji ħajjin biss, li jġorru stadji ta 'fuq finta mimlijin ilma. L-ewwel titjira bi S-IV ħaj tnediet minn LC-37. Dan kien segwit minn ħames tnedijiet ta 'Boilerplate CSMs (magħżu"&amp;"la AS-101 sa AS-105) fl-orbita fl-1964 u fl-1965. L-aħħar tlieta minn dawn appoġġjaw aktar il-programm Apollo billi wettqu wkoll satelliti Pegasus, li vverifikaw is-sigurtà tal-ambjent tat-traslunar Billi tkejjel il-frekwenza u s-severità tal-impatti tal-"&amp;"mikrometeoriti.")</f>
        <v>L-ewwel erba 'titjiriet ta' test Saturn I ġew imnedija minn LC-34, bl-ewwel stadji ħajjin biss, li jġorru stadji ta 'fuq finta mimlijin ilma. L-ewwel titjira bi S-IV ħaj tnediet minn LC-37. Dan kien segwit minn ħames tnedijiet ta 'Boilerplate CSMs (magħżula AS-101 sa AS-105) fl-orbita fl-1964 u fl-1965. L-aħħar tlieta minn dawn appoġġjaw aktar il-programm Apollo billi wettqu wkoll satelliti Pegasus, li vverifikaw is-sigurtà tal-ambjent tat-traslunar Billi tkejjel il-frekwenza u s-severità tal-impatti tal-mikrometeoriti.</v>
      </c>
    </row>
    <row r="7671" ht="15.75" customHeight="1">
      <c r="A7671" s="2" t="s">
        <v>7671</v>
      </c>
      <c r="B7671" s="2" t="str">
        <f>IFERROR(__xludf.DUMMYFUNCTION("GOOGLETRANSLATE(A7671, ""en"", ""mt"")"),"X'inhu eżempju wieħed ta 'eżempju li r-risposta kwantitattiva għall-problema tal-bejjiegħ li tivvjaġġa tonqos milli twieġeb?")</f>
        <v>X'inhu eżempju wieħed ta 'eżempju li r-risposta kwantitattiva għall-problema tal-bejjiegħ li tivvjaġġa tonqos milli twieġeb?</v>
      </c>
    </row>
    <row r="7672" ht="15.75" customHeight="1">
      <c r="A7672" s="2" t="s">
        <v>7672</v>
      </c>
      <c r="B7672" s="2" t="str">
        <f>IFERROR(__xludf.DUMMYFUNCTION("GOOGLETRANSLATE(A7672, ""en"", ""mt"")"),"vettura spazjali")</f>
        <v>vettura spazjali</v>
      </c>
    </row>
    <row r="7673" ht="15.75" customHeight="1">
      <c r="A7673" s="2" t="s">
        <v>7673</v>
      </c>
      <c r="B7673" s="2" t="str">
        <f>IFERROR(__xludf.DUMMYFUNCTION("GOOGLETRANSLATE(A7673, ""en"", ""mt"")"),"Edukazzjoni Terzjarja")</f>
        <v>Edukazzjoni Terzjarja</v>
      </c>
    </row>
    <row r="7674" ht="15.75" customHeight="1">
      <c r="A7674" s="2" t="s">
        <v>7674</v>
      </c>
      <c r="B7674" s="2" t="str">
        <f>IFERROR(__xludf.DUMMYFUNCTION("GOOGLETRANSLATE(A7674, ""en"", ""mt"")"),"Flora commensali tista 'tbiddel liema kundizzjonijiet speċifiċi ta' l-ambjent tagħhom fil-passaġġ gastro-intestinali?")</f>
        <v>Flora commensali tista 'tbiddel liema kundizzjonijiet speċifiċi ta' l-ambjent tagħhom fil-passaġġ gastro-intestinali?</v>
      </c>
    </row>
    <row r="7675" ht="15.75" customHeight="1">
      <c r="A7675" s="2" t="s">
        <v>7675</v>
      </c>
      <c r="B7675" s="2" t="str">
        <f>IFERROR(__xludf.DUMMYFUNCTION("GOOGLETRANSLATE(A7675, ""en"", ""mt"")"),"L-Editt ta 'Nantes")</f>
        <v>L-Editt ta 'Nantes</v>
      </c>
    </row>
    <row r="7676" ht="15.75" customHeight="1">
      <c r="A7676" s="2" t="s">
        <v>7676</v>
      </c>
      <c r="B7676" s="2" t="str">
        <f>IFERROR(__xludf.DUMMYFUNCTION("GOOGLETRANSLATE(A7676, ""en"", ""mt"")"),"Kosta tal-Kenja")</f>
        <v>Kosta tal-Kenja</v>
      </c>
    </row>
    <row r="7677" ht="15.75" customHeight="1">
      <c r="A7677" s="2" t="s">
        <v>7677</v>
      </c>
      <c r="B7677" s="2" t="str">
        <f>IFERROR(__xludf.DUMMYFUNCTION("GOOGLETRANSLATE(A7677, ""en"", ""mt"")"),"X'tip ta 'lentijiet kienu meħtieġa biex tara l-effetti 3D fid-dimensjoni fil-ħin?")</f>
        <v>X'tip ta 'lentijiet kienu meħtieġa biex tara l-effetti 3D fid-dimensjoni fil-ħin?</v>
      </c>
    </row>
    <row r="7678" ht="15.75" customHeight="1">
      <c r="A7678" s="2" t="s">
        <v>7678</v>
      </c>
      <c r="B7678" s="2" t="str">
        <f>IFERROR(__xludf.DUMMYFUNCTION("GOOGLETRANSLATE(A7678, ""en"", ""mt"")"),"Liema awtorità infurzat il-projbizzjoni fuq il-95 teżi?")</f>
        <v>Liema awtorità infurzat il-projbizzjoni fuq il-95 teżi?</v>
      </c>
    </row>
    <row r="7679" ht="15.75" customHeight="1">
      <c r="A7679" s="2" t="s">
        <v>7679</v>
      </c>
      <c r="B7679" s="2" t="str">
        <f>IFERROR(__xludf.DUMMYFUNCTION("GOOGLETRANSLATE(A7679, ""en"", ""mt"")"),"cyclosporin")</f>
        <v>cyclosporin</v>
      </c>
    </row>
    <row r="7680" ht="15.75" customHeight="1">
      <c r="A7680" s="2" t="s">
        <v>7680</v>
      </c>
      <c r="B7680" s="2" t="str">
        <f>IFERROR(__xludf.DUMMYFUNCTION("GOOGLETRANSLATE(A7680, ""en"", ""mt"")"),"Wied Buckland ħdejn Bright")</f>
        <v>Wied Buckland ħdejn Bright</v>
      </c>
    </row>
    <row r="7681" ht="15.75" customHeight="1">
      <c r="A7681" s="2" t="s">
        <v>7681</v>
      </c>
      <c r="B7681" s="2" t="str">
        <f>IFERROR(__xludf.DUMMYFUNCTION("GOOGLETRANSLATE(A7681, ""en"", ""mt"")"),"tletin")</f>
        <v>tletin</v>
      </c>
    </row>
    <row r="7682" ht="15.75" customHeight="1">
      <c r="A7682" s="2" t="s">
        <v>7682</v>
      </c>
      <c r="B7682" s="2" t="str">
        <f>IFERROR(__xludf.DUMMYFUNCTION("GOOGLETRANSLATE(A7682, ""en"", ""mt"")"),"Kissinger's")</f>
        <v>Kissinger's</v>
      </c>
    </row>
    <row r="7683" ht="15.75" customHeight="1">
      <c r="A7683" s="2" t="s">
        <v>7683</v>
      </c>
      <c r="B7683" s="2" t="str">
        <f>IFERROR(__xludf.DUMMYFUNCTION("GOOGLETRANSLATE(A7683, ""en"", ""mt"")"),"X'irrakkomanda S&amp;P biex tirrimedja xi ftit id-distakk tal-ġid?")</f>
        <v>X'irrakkomanda S&amp;P biex tirrimedja xi ftit id-distakk tal-ġid?</v>
      </c>
    </row>
    <row r="7684" ht="15.75" customHeight="1">
      <c r="A7684" s="2" t="s">
        <v>7684</v>
      </c>
      <c r="B7684" s="2" t="str">
        <f>IFERROR(__xludf.DUMMYFUNCTION("GOOGLETRANSLATE(A7684, ""en"", ""mt"")"),"X'kien l-isem tal-ewwel karta ta 'kreditu ta' suċċess?")</f>
        <v>X'kien l-isem tal-ewwel karta ta 'kreditu ta' suċċess?</v>
      </c>
    </row>
    <row r="7685" ht="15.75" customHeight="1">
      <c r="A7685" s="2" t="s">
        <v>7685</v>
      </c>
      <c r="B7685" s="2" t="str">
        <f>IFERROR(__xludf.DUMMYFUNCTION("GOOGLETRANSLATE(A7685, ""en"", ""mt"")"),"Xmajjar")</f>
        <v>Xmajjar</v>
      </c>
    </row>
    <row r="7686" ht="15.75" customHeight="1">
      <c r="A7686" s="2" t="s">
        <v>7686</v>
      </c>
      <c r="B7686" s="2" t="str">
        <f>IFERROR(__xludf.DUMMYFUNCTION("GOOGLETRANSLATE(A7686, ""en"", ""mt"")"),"Liema żerriegħa kienet il-Panthers Carolina?")</f>
        <v>Liema żerriegħa kienet il-Panthers Carolina?</v>
      </c>
    </row>
    <row r="7687" ht="15.75" customHeight="1">
      <c r="A7687" s="2" t="s">
        <v>7687</v>
      </c>
      <c r="B7687" s="2" t="str">
        <f>IFERROR(__xludf.DUMMYFUNCTION("GOOGLETRANSLATE(A7687, ""en"", ""mt"")"),"Sorsi riveduti mill-pari")</f>
        <v>Sorsi riveduti mill-pari</v>
      </c>
    </row>
    <row r="7688" ht="15.75" customHeight="1">
      <c r="A7688" s="2" t="s">
        <v>7688</v>
      </c>
      <c r="B7688" s="2" t="str">
        <f>IFERROR(__xludf.DUMMYFUNCTION("GOOGLETRANSLATE(A7688, ""en"", ""mt"")"),"Seklu 18")</f>
        <v>Seklu 18</v>
      </c>
    </row>
    <row r="7689" ht="15.75" customHeight="1">
      <c r="A7689" s="2" t="s">
        <v>7689</v>
      </c>
      <c r="B7689" s="2" t="str">
        <f>IFERROR(__xludf.DUMMYFUNCTION("GOOGLETRANSLATE(A7689, ""en"", ""mt"")"),"Messaġġier")</f>
        <v>Messaġġier</v>
      </c>
    </row>
    <row r="7690" ht="15.75" customHeight="1">
      <c r="A7690" s="2" t="s">
        <v>7690</v>
      </c>
      <c r="B7690" s="2" t="str">
        <f>IFERROR(__xludf.DUMMYFUNCTION("GOOGLETRANSLATE(A7690, ""en"", ""mt"")"),"Liema plejer lagħab minkejja li kiser id-driegħ tiegħu ġimagħtejn qabel is-Super Bowl?")</f>
        <v>Liema plejer lagħab minkejja li kiser id-driegħ tiegħu ġimagħtejn qabel is-Super Bowl?</v>
      </c>
    </row>
    <row r="7691" ht="15.75" customHeight="1">
      <c r="A7691" s="2" t="s">
        <v>7691</v>
      </c>
      <c r="B7691" s="2" t="str">
        <f>IFERROR(__xludf.DUMMYFUNCTION("GOOGLETRANSLATE(A7691, ""en"", ""mt"")"),"Ikkalkula l-primes")</f>
        <v>Ikkalkula l-primes</v>
      </c>
    </row>
    <row r="7692" ht="15.75" customHeight="1">
      <c r="A7692" s="2" t="s">
        <v>7692</v>
      </c>
      <c r="B7692" s="2" t="str">
        <f>IFERROR(__xludf.DUMMYFUNCTION("GOOGLETRANSLATE(A7692, ""en"", ""mt"")"),"dnub")</f>
        <v>dnub</v>
      </c>
    </row>
    <row r="7693" ht="15.75" customHeight="1">
      <c r="A7693" s="2" t="s">
        <v>7693</v>
      </c>
      <c r="B7693" s="2" t="str">
        <f>IFERROR(__xludf.DUMMYFUNCTION("GOOGLETRANSLATE(A7693, ""en"", ""mt"")"),"L-Ewwel Gwerra Dinjija")</f>
        <v>L-Ewwel Gwerra Dinjija</v>
      </c>
    </row>
    <row r="7694" ht="15.75" customHeight="1">
      <c r="A7694" s="2" t="s">
        <v>7694</v>
      </c>
      <c r="B7694" s="2" t="str">
        <f>IFERROR(__xludf.DUMMYFUNCTION("GOOGLETRANSLATE(A7694, ""en"", ""mt"")"),"F'liema kontea joqgħod Jacksonville?")</f>
        <v>F'liema kontea joqgħod Jacksonville?</v>
      </c>
    </row>
    <row r="7695" ht="15.75" customHeight="1">
      <c r="A7695" s="2" t="s">
        <v>7695</v>
      </c>
      <c r="B7695" s="2" t="str">
        <f>IFERROR(__xludf.DUMMYFUNCTION("GOOGLETRANSLATE(A7695, ""en"", ""mt"")"),"Is-snin 1960")</f>
        <v>Is-snin 1960</v>
      </c>
    </row>
    <row r="7696" ht="15.75" customHeight="1">
      <c r="A7696" s="2" t="s">
        <v>7696</v>
      </c>
      <c r="B7696" s="2" t="str">
        <f>IFERROR(__xludf.DUMMYFUNCTION("GOOGLETRANSLATE(A7696, ""en"", ""mt"")"),"Marġinali jew splinter")</f>
        <v>Marġinali jew splinter</v>
      </c>
    </row>
    <row r="7697" ht="15.75" customHeight="1">
      <c r="A7697" s="2" t="s">
        <v>7697</v>
      </c>
      <c r="B7697" s="2" t="str">
        <f>IFERROR(__xludf.DUMMYFUNCTION("GOOGLETRANSLATE(A7697, ""en"", ""mt"")"),"Kemm għandha drawwa l-liġi konswetudinarja Norman?")</f>
        <v>Kemm għandha drawwa l-liġi konswetudinarja Norman?</v>
      </c>
    </row>
    <row r="7698" ht="15.75" customHeight="1">
      <c r="A7698" s="2" t="s">
        <v>7698</v>
      </c>
      <c r="B7698" s="2" t="str">
        <f>IFERROR(__xludf.DUMMYFUNCTION("GOOGLETRANSLATE(A7698, ""en"", ""mt"")"),"X'inhi l-iktar ħaġa importanti li tagħmel l-apikoplasti?")</f>
        <v>X'inhi l-iktar ħaġa importanti li tagħmel l-apikoplasti?</v>
      </c>
    </row>
    <row r="7699" ht="15.75" customHeight="1">
      <c r="A7699" s="2" t="s">
        <v>7699</v>
      </c>
      <c r="B7699" s="2" t="str">
        <f>IFERROR(__xludf.DUMMYFUNCTION("GOOGLETRANSLATE(A7699, ""en"", ""mt"")"),"Dr Thomas Coke")</f>
        <v>Dr Thomas Coke</v>
      </c>
    </row>
    <row r="7700" ht="15.75" customHeight="1">
      <c r="A7700" s="2" t="s">
        <v>7700</v>
      </c>
      <c r="B7700" s="2" t="str">
        <f>IFERROR(__xludf.DUMMYFUNCTION("GOOGLETRANSLATE(A7700, ""en"", ""mt"")"),"b'inqas minn tnejn fil-mija fis-sena")</f>
        <v>b'inqas minn tnejn fil-mija fis-sena</v>
      </c>
    </row>
    <row r="7701" ht="15.75" customHeight="1">
      <c r="A7701" s="2" t="s">
        <v>7701</v>
      </c>
      <c r="B7701" s="2" t="str">
        <f>IFERROR(__xludf.DUMMYFUNCTION("GOOGLETRANSLATE(A7701, ""en"", ""mt"")"),"huma mormija ħażin ħafna lejn il-Franċiżi, u huma kompletament iddedikati għall-Ingliż")</f>
        <v>huma mormija ħażin ħafna lejn il-Franċiżi, u huma kompletament iddedikati għall-Ingliż</v>
      </c>
    </row>
    <row r="7702" ht="15.75" customHeight="1">
      <c r="A7702" s="2" t="s">
        <v>7702</v>
      </c>
      <c r="B7702" s="2" t="str">
        <f>IFERROR(__xludf.DUMMYFUNCTION("GOOGLETRANSLATE(A7702, ""en"", ""mt"")"),"Il-Kenja kienet forza dominanti fil-volleyball tan-nisa fl-Afrika, kemm il-klabbs kif ukoll it-tim nazzjonali jirbħu diversi kampjonati kontinentali fl-aħħar għaxar snin. [Ċitazzjoni meħtieġa] It-tim tan-nisa kkompeta fl-Olimpjadi u l-Kampjonati Dinjija i"&amp;"żda mingħajr suċċess notevoli. Cricket huwa ieħor popolari u l-iktar sport tat-tim ta 'suċċess. Il-Kenja kkompetiet fit-Tazza tad-Dinja tal-Cricket mill-1996. Huma mqalleb uħud mill-aqwa timijiet tad-dinja u laħqu s-semi-finali tal-kampjonat tal-2003. Hum"&amp;"a rebħu l-inawgurali tad-Diviżjoni 1 tad-Dinja tal-Kampjonat Cricket ospitat f'Nairobi u pparteċipaw fid-dinja T20. Il-kaptan attwali tagħhom huwa Rakep Patel. Huma pparteċipaw fit-Tazza tad-Dinja tal-ICC Cricket 2011. Il-Kenja hija rrappreżentata minn Lu"&amp;"cas Onyango bħala plejer professjonali tal-kampjonat tar-rugby li jilgħab ma 'Oldham Roughyeds. Minbarra l-eks tim Ewropew tas-Super League, huwa lagħab ma 'Widnes Vikings u Rugby Union ma' Sale Sharks. Ir-Rugby Union qed tiżdied fil-popolarità, speċjalme"&amp;"nt mal-kampjonat annwali tas-Safari Sevens. It-tim tal-Kenja Sevens ikklassifika d-9 post fis-Serje Dinjija tal-IRB Sevens għall-istaġun tal-2006. Il-Kenja kienet ukoll powerhouse reġjonali fil-futbol. Madankollu, id-dominanza tagħha tnaqqset mill-Wrangle"&amp;"s fil-Federazzjoni tal-Futbol tal-Kenja li issa ma tħaddimx, li wasslet għal sospensjoni mill-FIFA li tneħħiet f'Marzu 2007.")</f>
        <v>Il-Kenja kienet forza dominanti fil-volleyball tan-nisa fl-Afrika, kemm il-klabbs kif ukoll it-tim nazzjonali jirbħu diversi kampjonati kontinentali fl-aħħar għaxar snin. [Ċitazzjoni meħtieġa] It-tim tan-nisa kkompeta fl-Olimpjadi u l-Kampjonati Dinjija iżda mingħajr suċċess notevoli. Cricket huwa ieħor popolari u l-iktar sport tat-tim ta 'suċċess. Il-Kenja kkompetiet fit-Tazza tad-Dinja tal-Cricket mill-1996. Huma mqalleb uħud mill-aqwa timijiet tad-dinja u laħqu s-semi-finali tal-kampjonat tal-2003. Huma rebħu l-inawgurali tad-Diviżjoni 1 tad-Dinja tal-Kampjonat Cricket ospitat f'Nairobi u pparteċipaw fid-dinja T20. Il-kaptan attwali tagħhom huwa Rakep Patel. Huma pparteċipaw fit-Tazza tad-Dinja tal-ICC Cricket 2011. Il-Kenja hija rrappreżentata minn Lucas Onyango bħala plejer professjonali tal-kampjonat tar-rugby li jilgħab ma 'Oldham Roughyeds. Minbarra l-eks tim Ewropew tas-Super League, huwa lagħab ma 'Widnes Vikings u Rugby Union ma' Sale Sharks. Ir-Rugby Union qed tiżdied fil-popolarità, speċjalment mal-kampjonat annwali tas-Safari Sevens. It-tim tal-Kenja Sevens ikklassifika d-9 post fis-Serje Dinjija tal-IRB Sevens għall-istaġun tal-2006. Il-Kenja kienet ukoll powerhouse reġjonali fil-futbol. Madankollu, id-dominanza tagħha tnaqqset mill-Wrangles fil-Federazzjoni tal-Futbol tal-Kenja li issa ma tħaddimx, li wasslet għal sospensjoni mill-FIFA li tneħħiet f'Marzu 2007.</v>
      </c>
    </row>
    <row r="7703" ht="15.75" customHeight="1">
      <c r="A7703" s="2" t="s">
        <v>7703</v>
      </c>
      <c r="B7703" s="2" t="str">
        <f>IFERROR(__xludf.DUMMYFUNCTION("GOOGLETRANSLATE(A7703, ""en"", ""mt"")"),"Kompjuters ospitanti (servers) f'eluf ta 'kumpaniji kbar, istituzzjonijiet edukattivi, u aġenziji tal-gvern")</f>
        <v>Kompjuters ospitanti (servers) f'eluf ta 'kumpaniji kbar, istituzzjonijiet edukattivi, u aġenziji tal-gvern</v>
      </c>
    </row>
    <row r="7704" ht="15.75" customHeight="1">
      <c r="A7704" s="2" t="s">
        <v>7704</v>
      </c>
      <c r="B7704" s="2" t="str">
        <f>IFERROR(__xludf.DUMMYFUNCTION("GOOGLETRANSLATE(A7704, ""en"", ""mt"")"),"Min ipproduċa s-serje Doctor Who Revival?")</f>
        <v>Min ipproduċa s-serje Doctor Who Revival?</v>
      </c>
    </row>
    <row r="7705" ht="15.75" customHeight="1">
      <c r="A7705" s="2" t="s">
        <v>7705</v>
      </c>
      <c r="B7705" s="2" t="str">
        <f>IFERROR(__xludf.DUMMYFUNCTION("GOOGLETRANSLATE(A7705, ""en"", ""mt"")"),"kollox")</f>
        <v>kollox</v>
      </c>
    </row>
    <row r="7706" ht="15.75" customHeight="1">
      <c r="A7706" s="2" t="s">
        <v>7706</v>
      </c>
      <c r="B7706" s="2" t="str">
        <f>IFERROR(__xludf.DUMMYFUNCTION("GOOGLETRANSLATE(A7706, ""en"", ""mt"")"),"X'kien il-gvernatur ċentrifugali li ma jistax jagħmel?")</f>
        <v>X'kien il-gvernatur ċentrifugali li ma jistax jagħmel?</v>
      </c>
    </row>
    <row r="7707" ht="15.75" customHeight="1">
      <c r="A7707" s="2" t="s">
        <v>7707</v>
      </c>
      <c r="B7707" s="2" t="str">
        <f>IFERROR(__xludf.DUMMYFUNCTION("GOOGLETRANSLATE(A7707, ""en"", ""mt"")"),"Hugh L. Dryden")</f>
        <v>Hugh L. Dryden</v>
      </c>
    </row>
    <row r="7708" ht="15.75" customHeight="1">
      <c r="A7708" s="2" t="s">
        <v>7708</v>
      </c>
      <c r="B7708" s="2" t="str">
        <f>IFERROR(__xludf.DUMMYFUNCTION("GOOGLETRANSLATE(A7708, ""en"", ""mt"")"),"Fid-dijossiġnu kif huma ż-żewġ atomi tal-ossiġnu marbuta flimkien?")</f>
        <v>Fid-dijossiġnu kif huma ż-żewġ atomi tal-ossiġnu marbuta flimkien?</v>
      </c>
    </row>
    <row r="7709" ht="15.75" customHeight="1">
      <c r="A7709" s="2" t="s">
        <v>7709</v>
      </c>
      <c r="B7709" s="2" t="str">
        <f>IFERROR(__xludf.DUMMYFUNCTION("GOOGLETRANSLATE(A7709, ""en"", ""mt"")"),"Tramuntana")</f>
        <v>Tramuntana</v>
      </c>
    </row>
    <row r="7710" ht="15.75" customHeight="1">
      <c r="A7710" s="2" t="s">
        <v>7710</v>
      </c>
      <c r="B7710" s="2" t="str">
        <f>IFERROR(__xludf.DUMMYFUNCTION("GOOGLETRANSLATE(A7710, ""en"", ""mt"")"),"Wieħed mill-ewwel merċenarji Norman li jservi bħala ġeneral Biżantin kien Hervé fl-1050s. Dakinhar madankollu, kien hemm diġà merċenarji Norman li jservu kemm 'il bogħod daqs Trebizond u l-Ġeorġja. Kienu bbażati f'Malitya u Edessa, taħt id-Duka Biżantina "&amp;"ta 'Antijokja, Isaac Komnenos. Fl-1060s, Robert Crispin mexxa n-Normans ta 'Edessa kontra t-Torok. Roussel de Bailleul saħansitra pprova joħroġ stat indipendenti fl-Asja Minuri b'appoġġ mill-popolazzjoni lokali, iżda huwa twaqqaf mill-Ġeneral Biżantin Ale"&amp;"xius Komnenos.")</f>
        <v>Wieħed mill-ewwel merċenarji Norman li jservi bħala ġeneral Biżantin kien Hervé fl-1050s. Dakinhar madankollu, kien hemm diġà merċenarji Norman li jservu kemm 'il bogħod daqs Trebizond u l-Ġeorġja. Kienu bbażati f'Malitya u Edessa, taħt id-Duka Biżantina ta 'Antijokja, Isaac Komnenos. Fl-1060s, Robert Crispin mexxa n-Normans ta 'Edessa kontra t-Torok. Roussel de Bailleul saħansitra pprova joħroġ stat indipendenti fl-Asja Minuri b'appoġġ mill-popolazzjoni lokali, iżda huwa twaqqaf mill-Ġeneral Biżantin Alexius Komnenos.</v>
      </c>
    </row>
    <row r="7711" ht="15.75" customHeight="1">
      <c r="A7711" s="2" t="s">
        <v>7711</v>
      </c>
      <c r="B7711" s="2" t="str">
        <f>IFERROR(__xludf.DUMMYFUNCTION("GOOGLETRANSLATE(A7711, ""en"", ""mt"")"),"il-ħamrija fqira")</f>
        <v>il-ħamrija fqira</v>
      </c>
    </row>
    <row r="7712" ht="15.75" customHeight="1">
      <c r="A7712" s="2" t="s">
        <v>7712</v>
      </c>
      <c r="B7712" s="2" t="str">
        <f>IFERROR(__xludf.DUMMYFUNCTION("GOOGLETRANSLATE(A7712, ""en"", ""mt"")"),"X'inhi d-diga naturali li tgħaddi r-Rhine?")</f>
        <v>X'inhi d-diga naturali li tgħaddi r-Rhine?</v>
      </c>
    </row>
    <row r="7713" ht="15.75" customHeight="1">
      <c r="A7713" s="2" t="s">
        <v>7713</v>
      </c>
      <c r="B7713" s="2" t="str">
        <f>IFERROR(__xludf.DUMMYFUNCTION("GOOGLETRANSLATE(A7713, ""en"", ""mt"")"),"tneħħi l-fondazzjoni ekonomika tagħha.")</f>
        <v>tneħħi l-fondazzjoni ekonomika tagħha.</v>
      </c>
    </row>
    <row r="7714" ht="15.75" customHeight="1">
      <c r="A7714" s="2" t="s">
        <v>7714</v>
      </c>
      <c r="B7714" s="2" t="str">
        <f>IFERROR(__xludf.DUMMYFUNCTION("GOOGLETRANSLATE(A7714, ""en"", ""mt"")"),"Kemm jista 'malajr algoritmu jsolvi problema ta' ħabta kompluta NP?")</f>
        <v>Kemm jista 'malajr algoritmu jsolvi problema ta' ħabta kompluta NP?</v>
      </c>
    </row>
    <row r="7715" ht="15.75" customHeight="1">
      <c r="A7715" s="2" t="s">
        <v>7715</v>
      </c>
      <c r="B7715" s="2" t="str">
        <f>IFERROR(__xludf.DUMMYFUNCTION("GOOGLETRANSLATE(A7715, ""en"", ""mt"")"),"Fl-Indja, skejjel privati ​​jissejħu skejjel indipendenti, iżda peress li xi skejjel privati ​​jirċievu għajnuna finanzjarja mill-gvern, din tista 'tkun megħjuna jew skola mingħajr għajnuna. Allura, f'sens strett, skola privata hija skola indipendenti min"&amp;"għajr għajnuna. Għall-iskop ta 'din id-definizzjoni, irċevuta biss ta' għajnuna finanzjarja hija kkunsidrata, mhux art mixtrija mill-gvern b'rata sussidjata. Huwa fil-poter kemm tal-gvern tal-Unjoni kif ukoll tal-gvernijiet tal-istat biex jirregolaw l-isk"&amp;"ejjel peress li l-edukazzjoni tidher fil-lista fl-istess ħin ta 'suġġetti leġiżlattivi fil-Kostituzzjoni. Il-prattika kienet għall-gvern tal-Unjoni biex jipprovdi direzzjonijiet ta 'politika wesgħin waqt li l-istati joħolqu r-regoli u r-regolamenti tagħho"&amp;"m stess għall-amministrazzjoni tas-settur. Fost affarijiet oħra, dan irriżulta wkoll fi 30 bordijiet ta 'eżami differenti jew awtoritajiet akkademiċi li jwettqu eżamijiet għal ċertifikati li jħallu l-iskola. Bordijiet prominenti ta 'eżami li huma preżenti"&amp;" fi stati multipli huma s-CBSE u s-CISCE, NENBSE")</f>
        <v>Fl-Indja, skejjel privati ​​jissejħu skejjel indipendenti, iżda peress li xi skejjel privati ​​jirċievu għajnuna finanzjarja mill-gvern, din tista 'tkun megħjuna jew skola mingħajr għajnuna. Allura, f'sens strett, skola privata hija skola indipendenti mingħajr għajnuna. Għall-iskop ta 'din id-definizzjoni, irċevuta biss ta' għajnuna finanzjarja hija kkunsidrata, mhux art mixtrija mill-gvern b'rata sussidjata. Huwa fil-poter kemm tal-gvern tal-Unjoni kif ukoll tal-gvernijiet tal-istat biex jirregolaw l-iskejjel peress li l-edukazzjoni tidher fil-lista fl-istess ħin ta 'suġġetti leġiżlattivi fil-Kostituzzjoni. Il-prattika kienet għall-gvern tal-Unjoni biex jipprovdi direzzjonijiet ta 'politika wesgħin waqt li l-istati joħolqu r-regoli u r-regolamenti tagħhom stess għall-amministrazzjoni tas-settur. Fost affarijiet oħra, dan irriżulta wkoll fi 30 bordijiet ta 'eżami differenti jew awtoritajiet akkademiċi li jwettqu eżamijiet għal ċertifikati li jħallu l-iskola. Bordijiet prominenti ta 'eżami li huma preżenti fi stati multipli huma s-CBSE u s-CISCE, NENBSE</v>
      </c>
    </row>
    <row r="7716" ht="15.75" customHeight="1">
      <c r="A7716" s="2" t="s">
        <v>7716</v>
      </c>
      <c r="B7716" s="2" t="str">
        <f>IFERROR(__xludf.DUMMYFUNCTION("GOOGLETRANSLATE(A7716, ""en"", ""mt"")"),"Għaliex inbidel il-kejl tar-Rhine?")</f>
        <v>Għaliex inbidel il-kejl tar-Rhine?</v>
      </c>
    </row>
    <row r="7717" ht="15.75" customHeight="1">
      <c r="A7717" s="2" t="s">
        <v>7717</v>
      </c>
      <c r="B7717" s="2" t="str">
        <f>IFERROR(__xludf.DUMMYFUNCTION("GOOGLETRANSLATE(A7717, ""en"", ""mt"")"),"Kemm Edison offra lil Tesla biex tfassal mill-ġdid mutur u ġeneraturi?")</f>
        <v>Kemm Edison offra lil Tesla biex tfassal mill-ġdid mutur u ġeneraturi?</v>
      </c>
    </row>
    <row r="7718" ht="15.75" customHeight="1">
      <c r="A7718" s="2" t="s">
        <v>7718</v>
      </c>
      <c r="B7718" s="2" t="str">
        <f>IFERROR(__xludf.DUMMYFUNCTION("GOOGLETRANSLATE(A7718, ""en"", ""mt"")"),"Ġew introdotti kameras ġodda għal-logħba, liema grad ta 'vista jipprovdu lit-telespettaturi?")</f>
        <v>Ġew introdotti kameras ġodda għal-logħba, liema grad ta 'vista jipprovdu lit-telespettaturi?</v>
      </c>
    </row>
    <row r="7719" ht="15.75" customHeight="1">
      <c r="A7719" s="2" t="s">
        <v>7719</v>
      </c>
      <c r="B7719" s="2" t="str">
        <f>IFERROR(__xludf.DUMMYFUNCTION("GOOGLETRANSLATE(A7719, ""en"", ""mt"")"),"F’liema reliġjon Tesla kibret?")</f>
        <v>F’liema reliġjon Tesla kibret?</v>
      </c>
    </row>
    <row r="7720" ht="15.75" customHeight="1">
      <c r="A7720" s="2" t="s">
        <v>7720</v>
      </c>
      <c r="B7720" s="2" t="str">
        <f>IFERROR(__xludf.DUMMYFUNCTION("GOOGLETRANSLATE(A7720, ""en"", ""mt"")"),"Meta l-inugwaljanza ekonomika hija iżgħar, hemm aktar skart u tniġġis?")</f>
        <v>Meta l-inugwaljanza ekonomika hija iżgħar, hemm aktar skart u tniġġis?</v>
      </c>
    </row>
    <row r="7721" ht="15.75" customHeight="1">
      <c r="A7721" s="2" t="s">
        <v>7721</v>
      </c>
      <c r="B7721" s="2" t="str">
        <f>IFERROR(__xludf.DUMMYFUNCTION("GOOGLETRANSLATE(A7721, ""en"", ""mt"")"),"Il-mili ta 'orbitali molekulari ffurmati mill-orbitali atomiċi ta' l-atomi ta 'ossiġnu individwali")</f>
        <v>Il-mili ta 'orbitali molekulari ffurmati mill-orbitali atomiċi ta' l-atomi ta 'ossiġnu individwali</v>
      </c>
    </row>
    <row r="7722" ht="15.75" customHeight="1">
      <c r="A7722" s="2" t="s">
        <v>7722</v>
      </c>
      <c r="B7722" s="2" t="str">
        <f>IFERROR(__xludf.DUMMYFUNCTION("GOOGLETRANSLATE(A7722, ""en"", ""mt"")"),"ħin jew spazju")</f>
        <v>ħin jew spazju</v>
      </c>
    </row>
    <row r="7723" ht="15.75" customHeight="1">
      <c r="A7723" s="2" t="s">
        <v>7723</v>
      </c>
      <c r="B7723" s="2" t="str">
        <f>IFERROR(__xludf.DUMMYFUNCTION("GOOGLETRANSLATE(A7723, ""en"", ""mt"")"),"Università ta ’Northumbria")</f>
        <v>Università ta ’Northumbria</v>
      </c>
    </row>
    <row r="7724" ht="15.75" customHeight="1">
      <c r="A7724" s="2" t="s">
        <v>7724</v>
      </c>
      <c r="B7724" s="2" t="str">
        <f>IFERROR(__xludf.DUMMYFUNCTION("GOOGLETRANSLATE(A7724, ""en"", ""mt"")"),"Struttura msejħa z-ring")</f>
        <v>Struttura msejħa z-ring</v>
      </c>
    </row>
    <row r="7725" ht="15.75" customHeight="1">
      <c r="A7725" s="2" t="s">
        <v>7725</v>
      </c>
      <c r="B7725" s="2" t="str">
        <f>IFERROR(__xludf.DUMMYFUNCTION("GOOGLETRANSLATE(A7725, ""en"", ""mt"")"),"X'tesla qal lil Brisbane li ma emminx fih?")</f>
        <v>X'tesla qal lil Brisbane li ma emminx fih?</v>
      </c>
    </row>
    <row r="7726" ht="15.75" customHeight="1">
      <c r="A7726" s="2" t="s">
        <v>7726</v>
      </c>
      <c r="B7726" s="2" t="str">
        <f>IFERROR(__xludf.DUMMYFUNCTION("GOOGLETRANSLATE(A7726, ""en"", ""mt"")"),"F'liema belt kien l-impjieg ta 'konsulent ta' Tesla għal Westinghouse?")</f>
        <v>F'liema belt kien l-impjieg ta 'konsulent ta' Tesla għal Westinghouse?</v>
      </c>
    </row>
    <row r="7727" ht="15.75" customHeight="1">
      <c r="A7727" s="2" t="s">
        <v>7727</v>
      </c>
      <c r="B7727" s="2" t="str">
        <f>IFERROR(__xludf.DUMMYFUNCTION("GOOGLETRANSLATE(A7727, ""en"", ""mt"")"),"Paltz Ġdid")</f>
        <v>Paltz Ġdid</v>
      </c>
    </row>
    <row r="7728" ht="15.75" customHeight="1">
      <c r="A7728" s="2" t="s">
        <v>7728</v>
      </c>
      <c r="B7728" s="2" t="str">
        <f>IFERROR(__xludf.DUMMYFUNCTION("GOOGLETRANSLATE(A7728, ""en"", ""mt"")"),"Il-Knisja Kattolika fi Franza")</f>
        <v>Il-Knisja Kattolika fi Franza</v>
      </c>
    </row>
    <row r="7729" ht="15.75" customHeight="1">
      <c r="A7729" s="2" t="s">
        <v>7729</v>
      </c>
      <c r="B7729" s="2" t="str">
        <f>IFERROR(__xludf.DUMMYFUNCTION("GOOGLETRANSLATE(A7729, ""en"", ""mt"")"),"Fl-1755 liema fort qabdu l-Ingliżi?")</f>
        <v>Fl-1755 liema fort qabdu l-Ingliżi?</v>
      </c>
    </row>
    <row r="7730" ht="15.75" customHeight="1">
      <c r="A7730" s="2" t="s">
        <v>7730</v>
      </c>
      <c r="B7730" s="2" t="str">
        <f>IFERROR(__xludf.DUMMYFUNCTION("GOOGLETRANSLATE(A7730, ""en"", ""mt"")"),"Ilbiesi spazjali modifikati, reżistenti għan-nar II,")</f>
        <v>Ilbiesi spazjali modifikati, reżistenti għan-nar II,</v>
      </c>
    </row>
    <row r="7731" ht="15.75" customHeight="1">
      <c r="A7731" s="2" t="s">
        <v>7731</v>
      </c>
      <c r="B7731" s="2" t="str">
        <f>IFERROR(__xludf.DUMMYFUNCTION("GOOGLETRANSLATE(A7731, ""en"", ""mt"")"),"BSKYB iġorr xi kontroll fuq kontenut ta 'kanali?")</f>
        <v>BSKYB iġorr xi kontroll fuq kontenut ta 'kanali?</v>
      </c>
    </row>
    <row r="7732" ht="15.75" customHeight="1">
      <c r="A7732" s="2" t="s">
        <v>7732</v>
      </c>
      <c r="B7732" s="2" t="str">
        <f>IFERROR(__xludf.DUMMYFUNCTION("GOOGLETRANSLATE(A7732, ""en"", ""mt"")"),"Għaliex Berlin Huguenots qalbu għall-Ġermaniż mill-Franċiż fis-servizzi tagħhom?")</f>
        <v>Għaliex Berlin Huguenots qalbu għall-Ġermaniż mill-Franċiż fis-servizzi tagħhom?</v>
      </c>
    </row>
    <row r="7733" ht="15.75" customHeight="1">
      <c r="A7733" s="2" t="s">
        <v>7733</v>
      </c>
      <c r="B7733" s="2" t="str">
        <f>IFERROR(__xludf.DUMMYFUNCTION("GOOGLETRANSLATE(A7733, ""en"", ""mt"")"),"Leġislazzjoni Domestika tal-Parlament Skoċċiż")</f>
        <v>Leġislazzjoni Domestika tal-Parlament Skoċċiż</v>
      </c>
    </row>
    <row r="7734" ht="15.75" customHeight="1">
      <c r="A7734" s="2" t="s">
        <v>7734</v>
      </c>
      <c r="B7734" s="2" t="str">
        <f>IFERROR(__xludf.DUMMYFUNCTION("GOOGLETRANSLATE(A7734, ""en"", ""mt"")"),"Kien l-użu tal-isem DataNet 1 korrett")</f>
        <v>Kien l-użu tal-isem DataNet 1 korrett</v>
      </c>
    </row>
    <row r="7735" ht="15.75" customHeight="1">
      <c r="A7735" s="2" t="s">
        <v>7735</v>
      </c>
      <c r="B7735" s="2" t="str">
        <f>IFERROR(__xludf.DUMMYFUNCTION("GOOGLETRANSLATE(A7735, ""en"", ""mt"")"),"Il-kummissarji għandhom diversi privileġġi, bħalma huma eżentati mit-taxxi tal-Istat Membru (iżda mhux it-taxxi tal-UE), u għandhom immunità mill-prosekuzzjoni talli għamlu atti uffiċjali. Xi drabi l-kummissarji nstabu li abbużaw mill-uffiċċji tagħhom, pa"&amp;"rtikolarment peress li l-Kummissjoni Santer ġiet iċċensurata mill-Parlament fl-1999, u eventwalment irriżenjaw minħabba allegazzjonijiet ta 'korruzzjoni. Dan irriżulta f'każ ewlieni wieħed, il-Kummissjoni v Edith Cresson fejn il-Qorti Ewropea tal-Ġustizzj"&amp;"a ddeċidiet li kummissarju li jagħti xogħol lid-dentist tagħha, li għalih kien ċar mhux kwalifikat, fil-fatt ma kiser l-ebda liġi. B'kuntrast mal-approċċ rilassat tal-ECJ, kumitat ta 'esperti indipendenti sab li kultura kienet żviluppat fejn ftit kummissa"&amp;"rji kellhom ""anke l-iċken sens ta' responsabbiltà"". Dan wassal għall-ħolqien tal-uffiċċju Ewropew kontra l-frodi. Fl-2012 hija investigat il-Kummissarju Malti għas-Saħħa, John Dalli, li malajr irriżenja wara allegazzjonijiet li rċieva tixħim ta '€ 60m b"&amp;"'rabta ma' direttiva dwar il-Prodotti tat-Tabakk. Lil hinn mill-Kummissjoni, il-Bank Ċentrali Ewropew għandu awtonomija eżekuttiva relattiva fit-tmexxija tiegħu tal-politika monetarja bl-iskop li timmaniġġja l-euro. Għandu bord ta 'sitt persuni maħtur mil"&amp;"l-Kunsill Ewropew, dwar ir-rakkomandazzjoni tal-Kunsill. Il-President tal-Kunsill u Kummissarju jistgħu joqogħdu fil-laqgħat tal-BĊE, iżda m'għandhomx drittijiet tal-vot.")</f>
        <v>Il-kummissarji għandhom diversi privileġġi, bħalma huma eżentati mit-taxxi tal-Istat Membru (iżda mhux it-taxxi tal-UE), u għandhom immunità mill-prosekuzzjoni talli għamlu atti uffiċjali. Xi drabi l-kummissarji nstabu li abbużaw mill-uffiċċji tagħhom, partikolarment peress li l-Kummissjoni Santer ġiet iċċensurata mill-Parlament fl-1999, u eventwalment irriżenjaw minħabba allegazzjonijiet ta 'korruzzjoni. Dan irriżulta f'każ ewlieni wieħed, il-Kummissjoni v Edith Cresson fejn il-Qorti Ewropea tal-Ġustizzja ddeċidiet li kummissarju li jagħti xogħol lid-dentist tagħha, li għalih kien ċar mhux kwalifikat, fil-fatt ma kiser l-ebda liġi. B'kuntrast mal-approċċ rilassat tal-ECJ, kumitat ta 'esperti indipendenti sab li kultura kienet żviluppat fejn ftit kummissarji kellhom "anke l-iċken sens ta' responsabbiltà". Dan wassal għall-ħolqien tal-uffiċċju Ewropew kontra l-frodi. Fl-2012 hija investigat il-Kummissarju Malti għas-Saħħa, John Dalli, li malajr irriżenja wara allegazzjonijiet li rċieva tixħim ta '€ 60m b'rabta ma' direttiva dwar il-Prodotti tat-Tabakk. Lil hinn mill-Kummissjoni, il-Bank Ċentrali Ewropew għandu awtonomija eżekuttiva relattiva fit-tmexxija tiegħu tal-politika monetarja bl-iskop li timmaniġġja l-euro. Għandu bord ta 'sitt persuni maħtur mill-Kunsill Ewropew, dwar ir-rakkomandazzjoni tal-Kunsill. Il-President tal-Kunsill u Kummissarju jistgħu joqogħdu fil-laqgħat tal-BĊE, iżda m'għandhomx drittijiet tal-vot.</v>
      </c>
    </row>
    <row r="7736" ht="15.75" customHeight="1">
      <c r="A7736" s="2" t="s">
        <v>7736</v>
      </c>
      <c r="B7736" s="2" t="str">
        <f>IFERROR(__xludf.DUMMYFUNCTION("GOOGLETRANSLATE(A7736, ""en"", ""mt"")"),"Il-prinċipju ta 'inklużjonijiet u komponenti")</f>
        <v>Il-prinċipju ta 'inklużjonijiet u komponenti</v>
      </c>
    </row>
    <row r="7737" ht="15.75" customHeight="1">
      <c r="A7737" s="2" t="s">
        <v>7737</v>
      </c>
      <c r="B7737" s="2" t="str">
        <f>IFERROR(__xludf.DUMMYFUNCTION("GOOGLETRANSLATE(A7737, ""en"", ""mt"")"),"Min kien l-għarajjes ta 'Richard?")</f>
        <v>Min kien l-għarajjes ta 'Richard?</v>
      </c>
    </row>
    <row r="7738" ht="15.75" customHeight="1">
      <c r="A7738" s="2" t="s">
        <v>7738</v>
      </c>
      <c r="B7738" s="2" t="str">
        <f>IFERROR(__xludf.DUMMYFUNCTION("GOOGLETRANSLATE(A7738, ""en"", ""mt"")"),"tippromwovi l-esplorazzjoni taż-żejt")</f>
        <v>tippromwovi l-esplorazzjoni taż-żejt</v>
      </c>
    </row>
    <row r="7739" ht="15.75" customHeight="1">
      <c r="A7739" s="2" t="s">
        <v>7739</v>
      </c>
      <c r="B7739" s="2" t="str">
        <f>IFERROR(__xludf.DUMMYFUNCTION("GOOGLETRANSLATE(A7739, ""en"", ""mt"")"),"Mill-kors naturali tax-xmara minħabba numru ta 'proġetti ta' kanalizzazzjoni kompluti fis-seklu 19 u 20")</f>
        <v>Mill-kors naturali tax-xmara minħabba numru ta 'proġetti ta' kanalizzazzjoni kompluti fis-seklu 19 u 20</v>
      </c>
    </row>
    <row r="7740" ht="15.75" customHeight="1">
      <c r="A7740" s="2" t="s">
        <v>7740</v>
      </c>
      <c r="B7740" s="2" t="str">
        <f>IFERROR(__xludf.DUMMYFUNCTION("GOOGLETRANSLATE(A7740, ""en"", ""mt"")"),"Tiger")</f>
        <v>Tiger</v>
      </c>
    </row>
    <row r="7741" ht="15.75" customHeight="1">
      <c r="A7741" s="2" t="s">
        <v>7741</v>
      </c>
      <c r="B7741" s="2" t="str">
        <f>IFERROR(__xludf.DUMMYFUNCTION("GOOGLETRANSLATE(A7741, ""en"", ""mt"")"),"X'inhu l-isem tad-deżert fuq il-fruntiera ta 'Arizona?")</f>
        <v>X'inhu l-isem tad-deżert fuq il-fruntiera ta 'Arizona?</v>
      </c>
    </row>
    <row r="7742" ht="15.75" customHeight="1">
      <c r="A7742" s="2" t="s">
        <v>7742</v>
      </c>
      <c r="B7742" s="2" t="str">
        <f>IFERROR(__xludf.DUMMYFUNCTION("GOOGLETRANSLATE(A7742, ""en"", ""mt"")"),"għandu problemi biex jiddistingwi bejn id-dijossidu tal-karbonju u l-ossiġnu")</f>
        <v>għandu problemi biex jiddistingwi bejn id-dijossidu tal-karbonju u l-ossiġnu</v>
      </c>
    </row>
    <row r="7743" ht="15.75" customHeight="1">
      <c r="A7743" s="2" t="s">
        <v>7743</v>
      </c>
      <c r="B7743" s="2" t="str">
        <f>IFERROR(__xludf.DUMMYFUNCTION("GOOGLETRANSLATE(A7743, ""en"", ""mt"")"),"Università ta ’California, Irvine")</f>
        <v>Università ta ’California, Irvine</v>
      </c>
    </row>
    <row r="7744" ht="15.75" customHeight="1">
      <c r="A7744" s="2" t="s">
        <v>7744</v>
      </c>
      <c r="B7744" s="2" t="str">
        <f>IFERROR(__xludf.DUMMYFUNCTION("GOOGLETRANSLATE(A7744, ""en"", ""mt"")"),"Xi jkun fih il-kavità interna?")</f>
        <v>Xi jkun fih il-kavità interna?</v>
      </c>
    </row>
    <row r="7745" ht="15.75" customHeight="1">
      <c r="A7745" s="2" t="s">
        <v>7745</v>
      </c>
      <c r="B7745" s="2" t="str">
        <f>IFERROR(__xludf.DUMMYFUNCTION("GOOGLETRANSLATE(A7745, ""en"", ""mt"")"),"X'inhu l-isem tal-quarterback li kellu 38 fis-Super Bowl XXXIII?")</f>
        <v>X'inhu l-isem tal-quarterback li kellu 38 fis-Super Bowl XXXIII?</v>
      </c>
    </row>
    <row r="7746" ht="15.75" customHeight="1">
      <c r="A7746" s="2" t="s">
        <v>7746</v>
      </c>
      <c r="B7746" s="2" t="str">
        <f>IFERROR(__xludf.DUMMYFUNCTION("GOOGLETRANSLATE(A7746, ""en"", ""mt"")"),"permezz tat-tankijiet tas-saborra tal-vapuri")</f>
        <v>permezz tat-tankijiet tas-saborra tal-vapuri</v>
      </c>
    </row>
    <row r="7747" ht="15.75" customHeight="1">
      <c r="A7747" s="2" t="s">
        <v>7747</v>
      </c>
      <c r="B7747" s="2" t="str">
        <f>IFERROR(__xludf.DUMMYFUNCTION("GOOGLETRANSLATE(A7747, ""en"", ""mt"")"),"Kemm-il sena l-anzjani jservu bħala anzjani proviżorji qabel l-ordinazzjoni tagħhom?")</f>
        <v>Kemm-il sena l-anzjani jservu bħala anzjani proviżorji qabel l-ordinazzjoni tagħhom?</v>
      </c>
    </row>
    <row r="7748" ht="15.75" customHeight="1">
      <c r="A7748" s="2" t="s">
        <v>7748</v>
      </c>
      <c r="B7748" s="2" t="str">
        <f>IFERROR(__xludf.DUMMYFUNCTION("GOOGLETRANSLATE(A7748, ""en"", ""mt"")"),"Meta Barton u Whitfield jitolbu rekords ta 'riċerka dwar il-klima?")</f>
        <v>Meta Barton u Whitfield jitolbu rekords ta 'riċerka dwar il-klima?</v>
      </c>
    </row>
    <row r="7749" ht="15.75" customHeight="1">
      <c r="A7749" s="2" t="s">
        <v>7749</v>
      </c>
      <c r="B7749" s="2" t="str">
        <f>IFERROR(__xludf.DUMMYFUNCTION("GOOGLETRANSLATE(A7749, ""en"", ""mt"")"),"Iżżewweġ waħda mill-onorevoli ta 'martu fl-istennija.")</f>
        <v>Iżżewweġ waħda mill-onorevoli ta 'martu fl-istennija.</v>
      </c>
    </row>
    <row r="7750" ht="15.75" customHeight="1">
      <c r="A7750" s="2" t="s">
        <v>7750</v>
      </c>
      <c r="B7750" s="2" t="str">
        <f>IFERROR(__xludf.DUMMYFUNCTION("GOOGLETRANSLATE(A7750, ""en"", ""mt"")"),"X’għamel l-ekwipaġġ ta ’Apollo 12 ma’ partijiet tas-Surveyor li żbarkaw wara li r-ritratti tagħhom?")</f>
        <v>X’għamel l-ekwipaġġ ta ’Apollo 12 ma’ partijiet tas-Surveyor li żbarkaw wara li r-ritratti tagħhom?</v>
      </c>
    </row>
    <row r="7751" ht="15.75" customHeight="1">
      <c r="A7751" s="2" t="s">
        <v>7751</v>
      </c>
      <c r="B7751" s="2" t="str">
        <f>IFERROR(__xludf.DUMMYFUNCTION("GOOGLETRANSLATE(A7751, ""en"", ""mt"")"),"Skala tal-Indiċi tas-Salarju tal-Servi taċ-Ċivil")</f>
        <v>Skala tal-Indiċi tas-Salarju tal-Servi taċ-Ċivil</v>
      </c>
    </row>
    <row r="7752" ht="15.75" customHeight="1">
      <c r="A7752" s="2" t="s">
        <v>7752</v>
      </c>
      <c r="B7752" s="2" t="str">
        <f>IFERROR(__xludf.DUMMYFUNCTION("GOOGLETRANSLATE(A7752, ""en"", ""mt"")"),"Premju tal-Akkademja")</f>
        <v>Premju tal-Akkademja</v>
      </c>
    </row>
    <row r="7753" ht="15.75" customHeight="1">
      <c r="A7753" s="2" t="s">
        <v>7753</v>
      </c>
      <c r="B7753" s="2" t="str">
        <f>IFERROR(__xludf.DUMMYFUNCTION("GOOGLETRANSLATE(A7753, ""en"", ""mt"")"),"Normalment fidda, liema kulur intuża għan-numru 50?")</f>
        <v>Normalment fidda, liema kulur intuża għan-numru 50?</v>
      </c>
    </row>
    <row r="7754" ht="15.75" customHeight="1">
      <c r="A7754" s="2" t="s">
        <v>7754</v>
      </c>
      <c r="B7754" s="2" t="str">
        <f>IFERROR(__xludf.DUMMYFUNCTION("GOOGLETRANSLATE(A7754, ""en"", ""mt"")"),"X'inhi l-wisa 'medja tar-Renu?")</f>
        <v>X'inhi l-wisa 'medja tar-Renu?</v>
      </c>
    </row>
    <row r="7755" ht="15.75" customHeight="1">
      <c r="A7755" s="2" t="s">
        <v>7755</v>
      </c>
      <c r="B7755" s="2" t="str">
        <f>IFERROR(__xludf.DUMMYFUNCTION("GOOGLETRANSLATE(A7755, ""en"", ""mt"")"),"L-avukat tagħhom kif ssuġġerixxa li se jħallu?")</f>
        <v>L-avukat tagħhom kif ssuġġerixxa li se jħallu?</v>
      </c>
    </row>
    <row r="7756" ht="15.75" customHeight="1">
      <c r="A7756" s="2" t="s">
        <v>7756</v>
      </c>
      <c r="B7756" s="2" t="str">
        <f>IFERROR(__xludf.DUMMYFUNCTION("GOOGLETRANSLATE(A7756, ""en"", ""mt"")"),"ABC iddebutta liema programm sportiv fid-29 ta 'April, 1961?")</f>
        <v>ABC iddebutta liema programm sportiv fid-29 ta 'April, 1961?</v>
      </c>
    </row>
    <row r="7757" ht="15.75" customHeight="1">
      <c r="A7757" s="2" t="s">
        <v>7757</v>
      </c>
      <c r="B7757" s="2" t="str">
        <f>IFERROR(__xludf.DUMMYFUNCTION("GOOGLETRANSLATE(A7757, ""en"", ""mt"")"),"Kapaċità tal-mina Tyne")</f>
        <v>Kapaċità tal-mina Tyne</v>
      </c>
    </row>
    <row r="7758" ht="15.75" customHeight="1">
      <c r="A7758" s="2" t="s">
        <v>7758</v>
      </c>
      <c r="B7758" s="2" t="str">
        <f>IFERROR(__xludf.DUMMYFUNCTION("GOOGLETRANSLATE(A7758, ""en"", ""mt"")"),"Kurrikulu sħiħ")</f>
        <v>Kurrikulu sħiħ</v>
      </c>
    </row>
    <row r="7759" ht="15.75" customHeight="1">
      <c r="A7759" s="2" t="s">
        <v>7759</v>
      </c>
      <c r="B7759" s="2" t="str">
        <f>IFERROR(__xludf.DUMMYFUNCTION("GOOGLETRANSLATE(A7759, ""en"", ""mt"")"),"Tagħti Super Bowl")</f>
        <v>Tagħti Super Bowl</v>
      </c>
    </row>
    <row r="7760" ht="15.75" customHeight="1">
      <c r="A7760" s="2" t="s">
        <v>7760</v>
      </c>
      <c r="B7760" s="2" t="str">
        <f>IFERROR(__xludf.DUMMYFUNCTION("GOOGLETRANSLATE(A7760, ""en"", ""mt"")"),"Dan il-multiplikatur")</f>
        <v>Dan il-multiplikatur</v>
      </c>
    </row>
    <row r="7761" ht="15.75" customHeight="1">
      <c r="A7761" s="2" t="s">
        <v>7761</v>
      </c>
      <c r="B7761" s="2" t="str">
        <f>IFERROR(__xludf.DUMMYFUNCTION("GOOGLETRANSLATE(A7761, ""en"", ""mt"")"),"L-1 ta 'Jannar, 1968")</f>
        <v>L-1 ta 'Jannar, 1968</v>
      </c>
    </row>
    <row r="7762" ht="15.75" customHeight="1">
      <c r="A7762" s="2" t="s">
        <v>7762</v>
      </c>
      <c r="B7762" s="2" t="str">
        <f>IFERROR(__xludf.DUMMYFUNCTION("GOOGLETRANSLATE(A7762, ""en"", ""mt"")"),"Walter")</f>
        <v>Walter</v>
      </c>
    </row>
    <row r="7763" ht="15.75" customHeight="1">
      <c r="A7763" s="2" t="s">
        <v>7763</v>
      </c>
      <c r="B7763" s="2" t="str">
        <f>IFERROR(__xludf.DUMMYFUNCTION("GOOGLETRANSLATE(A7763, ""en"", ""mt"")"),"Brittaniku")</f>
        <v>Brittaniku</v>
      </c>
    </row>
    <row r="7764" ht="15.75" customHeight="1">
      <c r="A7764" s="2" t="s">
        <v>7764</v>
      </c>
      <c r="B7764" s="2" t="str">
        <f>IFERROR(__xludf.DUMMYFUNCTION("GOOGLETRANSLATE(A7764, ""en"", ""mt"")"),"Aktar tard instabet biċċa karta li fuqha Luther kiteb l-aħħar dikjarazzjoni tiegħu. L-istqarrija kienet bil-Latin, apparti minn ""We Are Beggars,"" li kienet bil-Ġermaniż.")</f>
        <v>Aktar tard instabet biċċa karta li fuqha Luther kiteb l-aħħar dikjarazzjoni tiegħu. L-istqarrija kienet bil-Latin, apparti minn "We Are Beggars," li kienet bil-Ġermaniż.</v>
      </c>
    </row>
    <row r="7765" ht="15.75" customHeight="1">
      <c r="A7765" s="2" t="s">
        <v>7765</v>
      </c>
      <c r="B7765" s="2" t="str">
        <f>IFERROR(__xludf.DUMMYFUNCTION("GOOGLETRANSLATE(A7765, ""en"", ""mt"")"),"X'inhi l-akbar sistema ta 'librerija akkademika u privata tad-dinja?")</f>
        <v>X'inhi l-akbar sistema ta 'librerija akkademika u privata tad-dinja?</v>
      </c>
    </row>
    <row r="7766" ht="15.75" customHeight="1">
      <c r="A7766" s="2" t="s">
        <v>7766</v>
      </c>
      <c r="B7766" s="2" t="str">
        <f>IFERROR(__xludf.DUMMYFUNCTION("GOOGLETRANSLATE(A7766, ""en"", ""mt"")"),"X'kienet tesla b'mod żbaljat dwar ir-raġġi X?")</f>
        <v>X'kienet tesla b'mod żbaljat dwar ir-raġġi X?</v>
      </c>
    </row>
    <row r="7767" ht="15.75" customHeight="1">
      <c r="A7767" s="2" t="s">
        <v>7767</v>
      </c>
      <c r="B7767" s="2" t="str">
        <f>IFERROR(__xludf.DUMMYFUNCTION("GOOGLETRANSLATE(A7767, ""en"", ""mt"")"),"Kumpless tax-Xjenza Allston")</f>
        <v>Kumpless tax-Xjenza Allston</v>
      </c>
    </row>
    <row r="7768" ht="15.75" customHeight="1">
      <c r="A7768" s="2" t="s">
        <v>7768</v>
      </c>
      <c r="B7768" s="2" t="str">
        <f>IFERROR(__xludf.DUMMYFUNCTION("GOOGLETRANSLATE(A7768, ""en"", ""mt"")"),"E.I. du pont")</f>
        <v>E.I. du pont</v>
      </c>
    </row>
    <row r="7769" ht="15.75" customHeight="1">
      <c r="A7769" s="2" t="s">
        <v>7769</v>
      </c>
      <c r="B7769" s="2" t="str">
        <f>IFERROR(__xludf.DUMMYFUNCTION("GOOGLETRANSLATE(A7769, ""en"", ""mt"")"),"Orjentaliżmu u tropiċità.")</f>
        <v>Orjentaliżmu u tropiċità.</v>
      </c>
    </row>
    <row r="7770" ht="15.75" customHeight="1">
      <c r="A7770" s="2" t="s">
        <v>7770</v>
      </c>
      <c r="B7770" s="2" t="str">
        <f>IFERROR(__xludf.DUMMYFUNCTION("GOOGLETRANSLATE(A7770, ""en"", ""mt"")"),"Il-fagoċitosi l-ewwel evolviet bħala mezz biex tagħmel xiex?")</f>
        <v>Il-fagoċitosi l-ewwel evolviet bħala mezz biex tagħmel xiex?</v>
      </c>
    </row>
    <row r="7771" ht="15.75" customHeight="1">
      <c r="A7771" s="2" t="s">
        <v>7771</v>
      </c>
      <c r="B7771" s="2" t="str">
        <f>IFERROR(__xludf.DUMMYFUNCTION("GOOGLETRANSLATE(A7771, ""en"", ""mt"")"),"Għal liema tip ta 'missjonijiet huma skjerati regolarment il-forzi armati?")</f>
        <v>Għal liema tip ta 'missjonijiet huma skjerati regolarment il-forzi armati?</v>
      </c>
    </row>
    <row r="7772" ht="15.75" customHeight="1">
      <c r="A7772" s="2" t="s">
        <v>7772</v>
      </c>
      <c r="B7772" s="2" t="str">
        <f>IFERROR(__xludf.DUMMYFUNCTION("GOOGLETRANSLATE(A7772, ""en"", ""mt"")"),"Fl-1959, Walt Disney Productions, wara li tejbet is-sitwazzjoni finanzjarja tagħha, kienet xtrat l-ishma ta 'ABC fil-park tematiku ta' Disneyland għal $ 7.5 miljun u bdiet diskussjonijiet biex iġġedded il-kuntratt televiżiv ta 'ABC għal Walt Disney Presen"&amp;"ts, li kellu jiskadi fl-1961. Walt Disney ġie avviċinat minn NBC biex jipproduċi xandiriet bil-kulur tas-serje tal-antoloġija tiegħu (li kienet tissemma mill-ġdid Walt Disney's Wonderful World of Color). Goldenson qal li l-ABC ma setax jikkumbatti l-offer"&amp;"ta, minħabba li n-netwerk ma kellux ir-riżorsi tekniċi u finanzjarji biex iġorr il-programm fil-format. Bħala riżultat, l-ewwel kollaborazzjoni televiżiva ta 'ABC u Disney intemmet fl-1961 (in-netwerk jerġa' jibda r-relazzjoni tiegħu ma 'Disney fl-1985, m"&amp;"eta s-serje tal-antoloġija marret lura fin-netwerk għal ġirja ta' tliet staġuni bħala l-film ta 'Disney Sunday sakemm tilfet id-drittijiet NBC mill-ġdid fl-1988; is-serje ta 'Antoloġija Disney tirritorna għal ABC fl-1996, wara x-xiri tal-kumpanija tal-Kap"&amp;"itali tal-Ġejjieni / ABC, bħala l-isbaħ dinja ta' Disney).")</f>
        <v>Fl-1959, Walt Disney Productions, wara li tejbet is-sitwazzjoni finanzjarja tagħha, kienet xtrat l-ishma ta 'ABC fil-park tematiku ta' Disneyland għal $ 7.5 miljun u bdiet diskussjonijiet biex iġġedded il-kuntratt televiżiv ta 'ABC għal Walt Disney Presents, li kellu jiskadi fl-1961. Walt Disney ġie avviċinat minn NBC biex jipproduċi xandiriet bil-kulur tas-serje tal-antoloġija tiegħu (li kienet tissemma mill-ġdid Walt Disney's Wonderful World of Color). Goldenson qal li l-ABC ma setax jikkumbatti l-offerta, minħabba li n-netwerk ma kellux ir-riżorsi tekniċi u finanzjarji biex iġorr il-programm fil-format. Bħala riżultat, l-ewwel kollaborazzjoni televiżiva ta 'ABC u Disney intemmet fl-1961 (in-netwerk jerġa' jibda r-relazzjoni tiegħu ma 'Disney fl-1985, meta s-serje tal-antoloġija marret lura fin-netwerk għal ġirja ta' tliet staġuni bħala l-film ta 'Disney Sunday sakemm tilfet id-drittijiet NBC mill-ġdid fl-1988; is-serje ta 'Antoloġija Disney tirritorna għal ABC fl-1996, wara x-xiri tal-kumpanija tal-Kapitali tal-Ġejjieni / ABC, bħala l-isbaħ dinja ta' Disney).</v>
      </c>
    </row>
    <row r="7773" ht="15.75" customHeight="1">
      <c r="A7773" s="2" t="s">
        <v>7773</v>
      </c>
      <c r="B7773" s="2" t="str">
        <f>IFERROR(__xludf.DUMMYFUNCTION("GOOGLETRANSLATE(A7773, ""en"", ""mt"")"),"żoni kbar")</f>
        <v>żoni kbar</v>
      </c>
    </row>
    <row r="7774" ht="15.75" customHeight="1">
      <c r="A7774" s="2" t="s">
        <v>7774</v>
      </c>
      <c r="B7774" s="2" t="str">
        <f>IFERROR(__xludf.DUMMYFUNCTION("GOOGLETRANSLATE(A7774, ""en"", ""mt"")"),"Vjetnam")</f>
        <v>Vjetnam</v>
      </c>
    </row>
    <row r="7775" ht="15.75" customHeight="1">
      <c r="A7775" s="2" t="s">
        <v>7775</v>
      </c>
      <c r="B7775" s="2" t="str">
        <f>IFERROR(__xludf.DUMMYFUNCTION("GOOGLETRANSLATE(A7775, ""en"", ""mt"")"),"Min hu Kearney Boulevard imsemmi wara?")</f>
        <v>Min hu Kearney Boulevard imsemmi wara?</v>
      </c>
    </row>
    <row r="7776" ht="15.75" customHeight="1">
      <c r="A7776" s="2" t="s">
        <v>7776</v>
      </c>
      <c r="B7776" s="2" t="str">
        <f>IFERROR(__xludf.DUMMYFUNCTION("GOOGLETRANSLATE(A7776, ""en"", ""mt"")"),"Forster I, Forster II, u Forster III")</f>
        <v>Forster I, Forster II, u Forster III</v>
      </c>
    </row>
    <row r="7777" ht="15.75" customHeight="1">
      <c r="A7777" s="2" t="s">
        <v>7777</v>
      </c>
      <c r="B7777" s="2" t="str">
        <f>IFERROR(__xludf.DUMMYFUNCTION("GOOGLETRANSLATE(A7777, ""en"", ""mt"")"),"il-valur tal-ispin")</f>
        <v>il-valur tal-ispin</v>
      </c>
    </row>
    <row r="7778" ht="15.75" customHeight="1">
      <c r="A7778" s="2" t="s">
        <v>7778</v>
      </c>
      <c r="B7778" s="2" t="str">
        <f>IFERROR(__xludf.DUMMYFUNCTION("GOOGLETRANSLATE(A7778, ""en"", ""mt"")"),"X'inhu n-numru attwali ta 'eletturi bħalissa f'kostitwenza tal-Parlament Skoċċiż?")</f>
        <v>X'inhu n-numru attwali ta 'eletturi bħalissa f'kostitwenza tal-Parlament Skoċċiż?</v>
      </c>
    </row>
    <row r="7779" ht="15.75" customHeight="1">
      <c r="A7779" s="2" t="s">
        <v>7779</v>
      </c>
      <c r="B7779" s="2" t="str">
        <f>IFERROR(__xludf.DUMMYFUNCTION("GOOGLETRANSLATE(A7779, ""en"", ""mt"")"),"ir-raġel u l-missier")</f>
        <v>ir-raġel u l-missier</v>
      </c>
    </row>
    <row r="7780" ht="15.75" customHeight="1">
      <c r="A7780" s="2" t="s">
        <v>7780</v>
      </c>
      <c r="B7780" s="2" t="str">
        <f>IFERROR(__xludf.DUMMYFUNCTION("GOOGLETRANSLATE(A7780, ""en"", ""mt"")"),"f'Marzu")</f>
        <v>f'Marzu</v>
      </c>
    </row>
    <row r="7781" ht="15.75" customHeight="1">
      <c r="A7781" s="2" t="s">
        <v>7781</v>
      </c>
      <c r="B7781" s="2" t="str">
        <f>IFERROR(__xludf.DUMMYFUNCTION("GOOGLETRANSLATE(A7781, ""en"", ""mt"")"),"Interazzjonijiet potenzjali tal-mediċina, reazzjonijiet avversi għall-mediċina")</f>
        <v>Interazzjonijiet potenzjali tal-mediċina, reazzjonijiet avversi għall-mediċina</v>
      </c>
    </row>
    <row r="7782" ht="15.75" customHeight="1">
      <c r="A7782" s="2" t="s">
        <v>7782</v>
      </c>
      <c r="B7782" s="2" t="str">
        <f>IFERROR(__xludf.DUMMYFUNCTION("GOOGLETRANSLATE(A7782, ""en"", ""mt"")"),"Ir-Renu ħiereġ minn Swabia, Franconia u liema post ieħor fis-seklu 10?")</f>
        <v>Ir-Renu ħiereġ minn Swabia, Franconia u liema post ieħor fis-seklu 10?</v>
      </c>
    </row>
    <row r="7783" ht="15.75" customHeight="1">
      <c r="A7783" s="2" t="s">
        <v>7783</v>
      </c>
      <c r="B7783" s="2" t="str">
        <f>IFERROR(__xludf.DUMMYFUNCTION("GOOGLETRANSLATE(A7783, ""en"", ""mt"")"),"F'liema temperatura l-forzi dgħajfa u elettromanjetiċi jidhru l-istess?")</f>
        <v>F'liema temperatura l-forzi dgħajfa u elettromanjetiċi jidhru l-istess?</v>
      </c>
    </row>
    <row r="7784" ht="15.75" customHeight="1">
      <c r="A7784" s="2" t="s">
        <v>7784</v>
      </c>
      <c r="B7784" s="2" t="str">
        <f>IFERROR(__xludf.DUMMYFUNCTION("GOOGLETRANSLATE(A7784, ""en"", ""mt"")"),"Bits tal-metall ipproġettati mill-pistola elettrika tiegħu, ""tiegħu,")</f>
        <v>Bits tal-metall ipproġettati mill-pistola elettrika tiegħu, "tiegħu,</v>
      </c>
    </row>
    <row r="7785" ht="15.75" customHeight="1">
      <c r="A7785" s="2" t="s">
        <v>7785</v>
      </c>
      <c r="B7785" s="2" t="str">
        <f>IFERROR(__xludf.DUMMYFUNCTION("GOOGLETRANSLATE(A7785, ""en"", ""mt"")"),"Dipartiment għall-Kultura, il-Midja u l-Isport.")</f>
        <v>Dipartiment għall-Kultura, il-Midja u l-Isport.</v>
      </c>
    </row>
    <row r="7786" ht="15.75" customHeight="1">
      <c r="A7786" s="2" t="s">
        <v>7786</v>
      </c>
      <c r="B7786" s="2" t="str">
        <f>IFERROR(__xludf.DUMMYFUNCTION("GOOGLETRANSLATE(A7786, ""en"", ""mt"")"),"Liema xejra kulturali Ingliża matul il-Ġeorġjan hija marbuta mad-disinn matul l-istess perjodu?")</f>
        <v>Liema xejra kulturali Ingliża matul il-Ġeorġjan hija marbuta mad-disinn matul l-istess perjodu?</v>
      </c>
    </row>
    <row r="7787" ht="15.75" customHeight="1">
      <c r="A7787" s="2" t="s">
        <v>7787</v>
      </c>
      <c r="B7787" s="2" t="str">
        <f>IFERROR(__xludf.DUMMYFUNCTION("GOOGLETRANSLATE(A7787, ""en"", ""mt"")"),"Minn liema missjoni u 'l quddiem ingħataw id-DSMs?")</f>
        <v>Minn liema missjoni u 'l quddiem ingħataw id-DSMs?</v>
      </c>
    </row>
    <row r="7788" ht="15.75" customHeight="1">
      <c r="A7788" s="2" t="s">
        <v>7788</v>
      </c>
      <c r="B7788" s="2" t="str">
        <f>IFERROR(__xludf.DUMMYFUNCTION("GOOGLETRANSLATE(A7788, ""en"", ""mt"")"),"25,700 km")</f>
        <v>25,700 km</v>
      </c>
    </row>
    <row r="7789" ht="15.75" customHeight="1">
      <c r="A7789" s="2" t="s">
        <v>7789</v>
      </c>
      <c r="B7789" s="2" t="str">
        <f>IFERROR(__xludf.DUMMYFUNCTION("GOOGLETRANSLATE(A7789, ""en"", ""mt"")"),"1227")</f>
        <v>1227</v>
      </c>
    </row>
    <row r="7790" ht="15.75" customHeight="1">
      <c r="A7790" s="2" t="s">
        <v>7790</v>
      </c>
      <c r="B7790" s="2" t="str">
        <f>IFERROR(__xludf.DUMMYFUNCTION("GOOGLETRANSLATE(A7790, ""en"", ""mt"")"),"Biex tikkontrobatti l-għargħar kostanti u s-sedimentazzjoni qawwija")</f>
        <v>Biex tikkontrobatti l-għargħar kostanti u s-sedimentazzjoni qawwija</v>
      </c>
    </row>
    <row r="7791" ht="15.75" customHeight="1">
      <c r="A7791" s="2" t="s">
        <v>7791</v>
      </c>
      <c r="B7791" s="2" t="str">
        <f>IFERROR(__xludf.DUMMYFUNCTION("GOOGLETRANSLATE(A7791, ""en"", ""mt"")"),"Tesla għamlet tbassir dwar il-kwistjonijiet rilevanti ta 'ambjent ta' wara l-Gwerra Dinjija f'artiklu stampat, ""ix-xjenza u l-iskoperta huma l-forzi kbar li jwasslu għall-konsum tal-gwerra"" (20 ta 'Diċembru 1914). Tesla emmnet li l-Lega tan-Nazzjonijiet"&amp;" ma kinitx rimedju għaż-żminijiet u l-kwistjonijiet. [Ċitazzjoni meħtieġa]")</f>
        <v>Tesla għamlet tbassir dwar il-kwistjonijiet rilevanti ta 'ambjent ta' wara l-Gwerra Dinjija f'artiklu stampat, "ix-xjenza u l-iskoperta huma l-forzi kbar li jwasslu għall-konsum tal-gwerra" (20 ta 'Diċembru 1914). Tesla emmnet li l-Lega tan-Nazzjonijiet ma kinitx rimedju għaż-żminijiet u l-kwistjonijiet. [Ċitazzjoni meħtieġa]</v>
      </c>
    </row>
    <row r="7792" ht="15.75" customHeight="1">
      <c r="A7792" s="2" t="s">
        <v>7792</v>
      </c>
      <c r="B7792" s="2" t="str">
        <f>IFERROR(__xludf.DUMMYFUNCTION("GOOGLETRANSLATE(A7792, ""en"", ""mt"")"),"Ugali bil-ħaxix, ħalib qares, laħam, ħut jew kwalunkwe stew ieħor")</f>
        <v>Ugali bil-ħaxix, ħalib qares, laħam, ħut jew kwalunkwe stew ieħor</v>
      </c>
    </row>
    <row r="7793" ht="15.75" customHeight="1">
      <c r="A7793" s="2" t="s">
        <v>7793</v>
      </c>
      <c r="B7793" s="2" t="str">
        <f>IFERROR(__xludf.DUMMYFUNCTION("GOOGLETRANSLATE(A7793, ""en"", ""mt"")"),"membrana doppja")</f>
        <v>membrana doppja</v>
      </c>
    </row>
    <row r="7794" ht="15.75" customHeight="1">
      <c r="A7794" s="2" t="s">
        <v>7794</v>
      </c>
      <c r="B7794" s="2" t="str">
        <f>IFERROR(__xludf.DUMMYFUNCTION("GOOGLETRANSLATE(A7794, ""en"", ""mt"")"),"Meta bdiet il-ġuħ Ċiniż?")</f>
        <v>Meta bdiet il-ġuħ Ċiniż?</v>
      </c>
    </row>
    <row r="7795" ht="15.75" customHeight="1">
      <c r="A7795" s="2" t="s">
        <v>7795</v>
      </c>
      <c r="B7795" s="2" t="str">
        <f>IFERROR(__xludf.DUMMYFUNCTION("GOOGLETRANSLATE(A7795, ""en"", ""mt"")"),"Min kien il-produttur eżekuttiv tas-serje Doctor Who Revival tal-2005?")</f>
        <v>Min kien il-produttur eżekuttiv tas-serje Doctor Who Revival tal-2005?</v>
      </c>
    </row>
    <row r="7796" ht="15.75" customHeight="1">
      <c r="A7796" s="2" t="s">
        <v>7796</v>
      </c>
      <c r="B7796" s="2" t="str">
        <f>IFERROR(__xludf.DUMMYFUNCTION("GOOGLETRANSLATE(A7796, ""en"", ""mt"")"),"Anglo-Saxons")</f>
        <v>Anglo-Saxons</v>
      </c>
    </row>
    <row r="7797" ht="15.75" customHeight="1">
      <c r="A7797" s="2" t="s">
        <v>7797</v>
      </c>
      <c r="B7797" s="2" t="str">
        <f>IFERROR(__xludf.DUMMYFUNCTION("GOOGLETRANSLATE(A7797, ""en"", ""mt"")"),"14 sa 17-il seklu")</f>
        <v>14 sa 17-il seklu</v>
      </c>
    </row>
    <row r="7798" ht="15.75" customHeight="1">
      <c r="A7798" s="2" t="s">
        <v>7798</v>
      </c>
      <c r="B7798" s="2" t="str">
        <f>IFERROR(__xludf.DUMMYFUNCTION("GOOGLETRANSLATE(A7798, ""en"", ""mt"")"),"Għaliex il-karotenojdi jagħmlu l-weraq jibdlu l-kulur fil-ħarifa?")</f>
        <v>Għaliex il-karotenojdi jagħmlu l-weraq jibdlu l-kulur fil-ħarifa?</v>
      </c>
    </row>
    <row r="7799" ht="15.75" customHeight="1">
      <c r="A7799" s="2" t="s">
        <v>7799</v>
      </c>
      <c r="B7799" s="2" t="str">
        <f>IFERROR(__xludf.DUMMYFUNCTION("GOOGLETRANSLATE(A7799, ""en"", ""mt"")"),"Kemm plejers tad-difiża tal-Panthers ġew magħżula għall-Pro Bowl?")</f>
        <v>Kemm plejers tad-difiża tal-Panthers ġew magħżula għall-Pro Bowl?</v>
      </c>
    </row>
    <row r="7800" ht="15.75" customHeight="1">
      <c r="A7800" s="2" t="s">
        <v>7800</v>
      </c>
      <c r="B7800" s="2" t="str">
        <f>IFERROR(__xludf.DUMMYFUNCTION("GOOGLETRANSLATE(A7800, ""en"", ""mt"")"),"0.52 / sq mi")</f>
        <v>0.52 / sq mi</v>
      </c>
    </row>
    <row r="7801" ht="15.75" customHeight="1">
      <c r="A7801" s="2" t="s">
        <v>7801</v>
      </c>
      <c r="B7801" s="2" t="str">
        <f>IFERROR(__xludf.DUMMYFUNCTION("GOOGLETRANSLATE(A7801, ""en"", ""mt"")"),"X'kienet ir-reliġjon Norman?")</f>
        <v>X'kienet ir-reliġjon Norman?</v>
      </c>
    </row>
    <row r="7802" ht="15.75" customHeight="1">
      <c r="A7802" s="2" t="s">
        <v>7802</v>
      </c>
      <c r="B7802" s="2" t="str">
        <f>IFERROR(__xludf.DUMMYFUNCTION("GOOGLETRANSLATE(A7802, ""en"", ""mt"")"),"Liema molekuli tas-sistema immuni adatta jeżistu biss fil-vertebrati tax-xedaq?")</f>
        <v>Liema molekuli tas-sistema immuni adatta jeżistu biss fil-vertebrati tax-xedaq?</v>
      </c>
    </row>
    <row r="7803" ht="15.75" customHeight="1">
      <c r="A7803" s="2" t="s">
        <v>7803</v>
      </c>
      <c r="B7803" s="2" t="str">
        <f>IFERROR(__xludf.DUMMYFUNCTION("GOOGLETRANSLATE(A7803, ""en"", ""mt"")"),"Ktieb tal-Ġenesi")</f>
        <v>Ktieb tal-Ġenesi</v>
      </c>
    </row>
    <row r="7804" ht="15.75" customHeight="1">
      <c r="A7804" s="2" t="s">
        <v>7804</v>
      </c>
      <c r="B7804" s="2" t="str">
        <f>IFERROR(__xludf.DUMMYFUNCTION("GOOGLETRANSLATE(A7804, ""en"", ""mt"")"),"Drajvs tal-ġbir ta 'fondi")</f>
        <v>Drajvs tal-ġbir ta 'fondi</v>
      </c>
    </row>
    <row r="7805" ht="15.75" customHeight="1">
      <c r="A7805" s="2" t="s">
        <v>7805</v>
      </c>
      <c r="B7805" s="2" t="str">
        <f>IFERROR(__xludf.DUMMYFUNCTION("GOOGLETRANSLATE(A7805, ""en"", ""mt"")"),"X'inhu l-akbar kulleġġ ġenerali ta 'edukazzjoni ulterjuri fil-Grigal?")</f>
        <v>X'inhu l-akbar kulleġġ ġenerali ta 'edukazzjoni ulterjuri fil-Grigal?</v>
      </c>
    </row>
    <row r="7806" ht="15.75" customHeight="1">
      <c r="A7806" s="2" t="s">
        <v>7806</v>
      </c>
      <c r="B7806" s="2" t="str">
        <f>IFERROR(__xludf.DUMMYFUNCTION("GOOGLETRANSLATE(A7806, ""en"", ""mt"")"),"tirċievi l-ebda ħin tal-ħabs")</f>
        <v>tirċievi l-ebda ħin tal-ħabs</v>
      </c>
    </row>
    <row r="7807" ht="15.75" customHeight="1">
      <c r="A7807" s="2" t="s">
        <v>7807</v>
      </c>
      <c r="B7807" s="2" t="str">
        <f>IFERROR(__xludf.DUMMYFUNCTION("GOOGLETRANSLATE(A7807, ""en"", ""mt"")"),"reċenti għexieren ta ’snin")</f>
        <v>reċenti għexieren ta ’snin</v>
      </c>
    </row>
    <row r="7808" ht="15.75" customHeight="1">
      <c r="A7808" s="2" t="s">
        <v>7808</v>
      </c>
      <c r="B7808" s="2" t="str">
        <f>IFERROR(__xludf.DUMMYFUNCTION("GOOGLETRANSLATE(A7808, ""en"", ""mt"")"),"1523 Adattament tal-Quddiesa Latina")</f>
        <v>1523 Adattament tal-Quddiesa Latina</v>
      </c>
    </row>
    <row r="7809" ht="15.75" customHeight="1">
      <c r="A7809" s="2" t="s">
        <v>7809</v>
      </c>
      <c r="B7809" s="2" t="str">
        <f>IFERROR(__xludf.DUMMYFUNCTION("GOOGLETRANSLATE(A7809, ""en"", ""mt"")"),"Min kien imsemmi l-President ta 'ABC News fl-1977?")</f>
        <v>Min kien imsemmi l-President ta 'ABC News fl-1977?</v>
      </c>
    </row>
    <row r="7810" ht="15.75" customHeight="1">
      <c r="A7810" s="2" t="s">
        <v>7810</v>
      </c>
      <c r="B7810" s="2" t="str">
        <f>IFERROR(__xludf.DUMMYFUNCTION("GOOGLETRANSLATE(A7810, ""en"", ""mt"")"),"il-magna atmosferika")</f>
        <v>il-magna atmosferika</v>
      </c>
    </row>
    <row r="7811" ht="15.75" customHeight="1">
      <c r="A7811" s="2" t="s">
        <v>7811</v>
      </c>
      <c r="B7811" s="2" t="str">
        <f>IFERROR(__xludf.DUMMYFUNCTION("GOOGLETRANSLATE(A7811, ""en"", ""mt"")"),"It-tnixxija vaġinali sservi bħala barriera protettiva kimika wara xiex?")</f>
        <v>It-tnixxija vaġinali sservi bħala barriera protettiva kimika wara xiex?</v>
      </c>
    </row>
    <row r="7812" ht="15.75" customHeight="1">
      <c r="A7812" s="2" t="s">
        <v>7812</v>
      </c>
      <c r="B7812" s="2" t="str">
        <f>IFERROR(__xludf.DUMMYFUNCTION("GOOGLETRANSLATE(A7812, ""en"", ""mt"")"),"Genghis Khan")</f>
        <v>Genghis Khan</v>
      </c>
    </row>
    <row r="7813" ht="15.75" customHeight="1">
      <c r="A7813" s="2" t="s">
        <v>7813</v>
      </c>
      <c r="B7813" s="2" t="str">
        <f>IFERROR(__xludf.DUMMYFUNCTION("GOOGLETRANSLATE(A7813, ""en"", ""mt"")"),"Ktieb ta ’ħames volum fil-Grieg nattiv tiegħu")</f>
        <v>Ktieb ta ’ħames volum fil-Grieg nattiv tiegħu</v>
      </c>
    </row>
    <row r="7814" ht="15.75" customHeight="1">
      <c r="A7814" s="2" t="s">
        <v>7814</v>
      </c>
      <c r="B7814" s="2" t="str">
        <f>IFERROR(__xludf.DUMMYFUNCTION("GOOGLETRANSLATE(A7814, ""en"", ""mt"")"),"687 u 760 nm")</f>
        <v>687 u 760 nm</v>
      </c>
    </row>
    <row r="7815" ht="15.75" customHeight="1">
      <c r="A7815" s="2" t="s">
        <v>7815</v>
      </c>
      <c r="B7815" s="2" t="str">
        <f>IFERROR(__xludf.DUMMYFUNCTION("GOOGLETRANSLATE(A7815, ""en"", ""mt"")"),"Differenzi fil-valur miżjud mix-xogħol, il-kapital u l-art")</f>
        <v>Differenzi fil-valur miżjud mix-xogħol, il-kapital u l-art</v>
      </c>
    </row>
    <row r="7816" ht="15.75" customHeight="1">
      <c r="A7816" s="2" t="s">
        <v>7816</v>
      </c>
      <c r="B7816" s="2" t="str">
        <f>IFERROR(__xludf.DUMMYFUNCTION("GOOGLETRANSLATE(A7816, ""en"", ""mt"")"),"Fejn se jitwaqqa 'Canonball mill-bejta taċ-ċawla ta' art tal-vapur skond Aristotile?")</f>
        <v>Fejn se jitwaqqa 'Canonball mill-bejta taċ-ċawla ta' art tal-vapur skond Aristotile?</v>
      </c>
    </row>
    <row r="7817" ht="15.75" customHeight="1">
      <c r="A7817" s="2" t="s">
        <v>7817</v>
      </c>
      <c r="B7817" s="2" t="str">
        <f>IFERROR(__xludf.DUMMYFUNCTION("GOOGLETRANSLATE(A7817, ""en"", ""mt"")"),"Lulju 1968")</f>
        <v>Lulju 1968</v>
      </c>
    </row>
    <row r="7818" ht="15.75" customHeight="1">
      <c r="A7818" s="2" t="s">
        <v>7818</v>
      </c>
      <c r="B7818" s="2" t="str">
        <f>IFERROR(__xludf.DUMMYFUNCTION("GOOGLETRANSLATE(A7818, ""en"", ""mt"")"),"Liema meteorologu kien ukoll apparti l-fakultà tal-università?")</f>
        <v>Liema meteorologu kien ukoll apparti l-fakultà tal-università?</v>
      </c>
    </row>
    <row r="7819" ht="15.75" customHeight="1">
      <c r="A7819" s="2" t="s">
        <v>7819</v>
      </c>
      <c r="B7819" s="2" t="str">
        <f>IFERROR(__xludf.DUMMYFUNCTION("GOOGLETRANSLATE(A7819, ""en"", ""mt"")"),"Teorija tal-Phlogiston")</f>
        <v>Teorija tal-Phlogiston</v>
      </c>
    </row>
    <row r="7820" ht="15.75" customHeight="1">
      <c r="A7820" s="2" t="s">
        <v>7820</v>
      </c>
      <c r="B7820" s="2" t="str">
        <f>IFERROR(__xludf.DUMMYFUNCTION("GOOGLETRANSLATE(A7820, ""en"", ""mt"")"),"X'jiġri l-Beriods kostali bħala snien?")</f>
        <v>X'jiġri l-Beriods kostali bħala snien?</v>
      </c>
    </row>
    <row r="7821" ht="15.75" customHeight="1">
      <c r="A7821" s="2" t="s">
        <v>7821</v>
      </c>
      <c r="B7821" s="2" t="str">
        <f>IFERROR(__xludf.DUMMYFUNCTION("GOOGLETRANSLATE(A7821, ""en"", ""mt"")"),"Liema alumni kien ukoll avukat ġenerali u imħallef federali?")</f>
        <v>Liema alumni kien ukoll avukat ġenerali u imħallef federali?</v>
      </c>
    </row>
    <row r="7822" ht="15.75" customHeight="1">
      <c r="A7822" s="2" t="s">
        <v>7822</v>
      </c>
      <c r="B7822" s="2" t="str">
        <f>IFERROR(__xludf.DUMMYFUNCTION("GOOGLETRANSLATE(A7822, ""en"", ""mt"")"),"Min jinsab fuq il-pannell tal-IPCC?")</f>
        <v>Min jinsab fuq il-pannell tal-IPCC?</v>
      </c>
    </row>
    <row r="7823" ht="15.75" customHeight="1">
      <c r="A7823" s="2" t="s">
        <v>7823</v>
      </c>
      <c r="B7823" s="2" t="str">
        <f>IFERROR(__xludf.DUMMYFUNCTION("GOOGLETRANSLATE(A7823, ""en"", ""mt"")"),"Arti u għamara Franċiża tas-seklu 18")</f>
        <v>Arti u għamara Franċiża tas-seklu 18</v>
      </c>
    </row>
    <row r="7824" ht="15.75" customHeight="1">
      <c r="A7824" s="2" t="s">
        <v>7824</v>
      </c>
      <c r="B7824" s="2" t="str">
        <f>IFERROR(__xludf.DUMMYFUNCTION("GOOGLETRANSLATE(A7824, ""en"", ""mt"")"),"Liema pajjiż inizjalment irċieva l-akbar numru ta 'refuġjati Huguenot?")</f>
        <v>Liema pajjiż inizjalment irċieva l-akbar numru ta 'refuġjati Huguenot?</v>
      </c>
    </row>
    <row r="7825" ht="15.75" customHeight="1">
      <c r="A7825" s="2" t="s">
        <v>7825</v>
      </c>
      <c r="B7825" s="2" t="str">
        <f>IFERROR(__xludf.DUMMYFUNCTION("GOOGLETRANSLATE(A7825, ""en"", ""mt"")"),"Sitta mis-seba 'linji tas-sistema ferrovjarja tal-vjaġġatur, Metrolink, jispiċċaw mill-belt ta' Los Angeles, li jgħaqqdu Los Angeles, Ventura, San Bernardino, Riverside, Orange, u San Diego Counties bil-linja l-oħra li tgħaqqad San Bernardino, Riverside, "&amp;"u Orange Counties direttament.")</f>
        <v>Sitta mis-seba 'linji tas-sistema ferrovjarja tal-vjaġġatur, Metrolink, jispiċċaw mill-belt ta' Los Angeles, li jgħaqqdu Los Angeles, Ventura, San Bernardino, Riverside, Orange, u San Diego Counties bil-linja l-oħra li tgħaqqad San Bernardino, Riverside, u Orange Counties direttament.</v>
      </c>
    </row>
    <row r="7826" ht="15.75" customHeight="1">
      <c r="A7826" s="2" t="s">
        <v>7826</v>
      </c>
      <c r="B7826" s="2" t="str">
        <f>IFERROR(__xludf.DUMMYFUNCTION("GOOGLETRANSLATE(A7826, ""en"", ""mt"")"),"X'għandha l-lobata?")</f>
        <v>X'għandha l-lobata?</v>
      </c>
    </row>
    <row r="7827" ht="15.75" customHeight="1">
      <c r="A7827" s="2" t="s">
        <v>7827</v>
      </c>
      <c r="B7827" s="2" t="str">
        <f>IFERROR(__xludf.DUMMYFUNCTION("GOOGLETRANSLATE(A7827, ""en"", ""mt"")"),"Ir-regola informali ġeneralment tiswa inqas")</f>
        <v>Ir-regola informali ġeneralment tiswa inqas</v>
      </c>
    </row>
    <row r="7828" ht="15.75" customHeight="1">
      <c r="A7828" s="2" t="s">
        <v>7828</v>
      </c>
      <c r="B7828" s="2" t="str">
        <f>IFERROR(__xludf.DUMMYFUNCTION("GOOGLETRANSLATE(A7828, ""en"", ""mt"")"),"Is-seba '")</f>
        <v>Is-seba '</v>
      </c>
    </row>
    <row r="7829" ht="15.75" customHeight="1">
      <c r="A7829" s="2" t="s">
        <v>7829</v>
      </c>
      <c r="B7829" s="2" t="str">
        <f>IFERROR(__xludf.DUMMYFUNCTION("GOOGLETRANSLATE(A7829, ""en"", ""mt"")"),"Konċentrazzjoni tal-ġid")</f>
        <v>Konċentrazzjoni tal-ġid</v>
      </c>
    </row>
    <row r="7830" ht="15.75" customHeight="1">
      <c r="A7830" s="2" t="s">
        <v>7830</v>
      </c>
      <c r="B7830" s="2" t="str">
        <f>IFERROR(__xludf.DUMMYFUNCTION("GOOGLETRANSLATE(A7830, ""en"", ""mt"")"),"Eliot Ness")</f>
        <v>Eliot Ness</v>
      </c>
    </row>
    <row r="7831" ht="15.75" customHeight="1">
      <c r="A7831" s="2" t="s">
        <v>7831</v>
      </c>
      <c r="B7831" s="2" t="str">
        <f>IFERROR(__xludf.DUMMYFUNCTION("GOOGLETRANSLATE(A7831, ""en"", ""mt"")"),"Liema sena l-prezz taż-żejt waqa 'għal $ 10 kull barmil?")</f>
        <v>Liema sena l-prezz taż-żejt waqa 'għal $ 10 kull barmil?</v>
      </c>
    </row>
    <row r="7832" ht="15.75" customHeight="1">
      <c r="A7832" s="2" t="s">
        <v>7832</v>
      </c>
      <c r="B7832" s="2" t="str">
        <f>IFERROR(__xludf.DUMMYFUNCTION("GOOGLETRANSLATE(A7832, ""en"", ""mt"")"),"Liema kampanja ta 'immaġini kienet il-Ġdid ta' erba 'noti għal ABC ibbażat madwar?")</f>
        <v>Liema kampanja ta 'immaġini kienet il-Ġdid ta' erba 'noti għal ABC ibbażat madwar?</v>
      </c>
    </row>
    <row r="7833" ht="15.75" customHeight="1">
      <c r="A7833" s="2" t="s">
        <v>7833</v>
      </c>
      <c r="B7833" s="2" t="str">
        <f>IFERROR(__xludf.DUMMYFUNCTION("GOOGLETRANSLATE(A7833, ""en"", ""mt"")"),"Apollo 5")</f>
        <v>Apollo 5</v>
      </c>
    </row>
    <row r="7834" ht="15.75" customHeight="1">
      <c r="A7834" s="2" t="s">
        <v>7834</v>
      </c>
      <c r="B7834" s="2" t="str">
        <f>IFERROR(__xludf.DUMMYFUNCTION("GOOGLETRANSLATE(A7834, ""en"", ""mt"")"),"Liema kumpanija ngħatat permess għar-riklami tal-ajru tat-TV matul is-Super Bowl 50 bi prezz skontat?")</f>
        <v>Liema kumpanija ngħatat permess għar-riklami tal-ajru tat-TV matul is-Super Bowl 50 bi prezz skontat?</v>
      </c>
    </row>
    <row r="7835" ht="15.75" customHeight="1">
      <c r="A7835" s="2" t="s">
        <v>7835</v>
      </c>
      <c r="B7835" s="2" t="str">
        <f>IFERROR(__xludf.DUMMYFUNCTION("GOOGLETRANSLATE(A7835, ""en"", ""mt"")"),"Liema kundizzjoni fiżika tista 'tikkawża t-tossiċità akuta ta' l-ossiġenu?")</f>
        <v>Liema kundizzjoni fiżika tista 'tikkawża t-tossiċità akuta ta' l-ossiġenu?</v>
      </c>
    </row>
    <row r="7836" ht="15.75" customHeight="1">
      <c r="A7836" s="2" t="s">
        <v>7836</v>
      </c>
      <c r="B7836" s="2" t="str">
        <f>IFERROR(__xludf.DUMMYFUNCTION("GOOGLETRANSLATE(A7836, ""en"", ""mt"")"),"F’liema Super Bowl Beyoncé ħabat il-Halftime Show?")</f>
        <v>F’liema Super Bowl Beyoncé ħabat il-Halftime Show?</v>
      </c>
    </row>
    <row r="7837" ht="15.75" customHeight="1">
      <c r="A7837" s="2" t="s">
        <v>7837</v>
      </c>
      <c r="B7837" s="2" t="str">
        <f>IFERROR(__xludf.DUMMYFUNCTION("GOOGLETRANSLATE(A7837, ""en"", ""mt"")"),"Ftit wara li kiseb Florida, x’għamlu l-Ingliżi?")</f>
        <v>Ftit wara li kiseb Florida, x’għamlu l-Ingliżi?</v>
      </c>
    </row>
    <row r="7838" ht="15.75" customHeight="1">
      <c r="A7838" s="2" t="s">
        <v>7838</v>
      </c>
      <c r="B7838" s="2" t="str">
        <f>IFERROR(__xludf.DUMMYFUNCTION("GOOGLETRANSLATE(A7838, ""en"", ""mt"")"),"Liema xmara Varsavja toqgħod?")</f>
        <v>Liema xmara Varsavja toqgħod?</v>
      </c>
    </row>
    <row r="7839" ht="15.75" customHeight="1">
      <c r="A7839" s="2" t="s">
        <v>7839</v>
      </c>
      <c r="B7839" s="2" t="str">
        <f>IFERROR(__xludf.DUMMYFUNCTION("GOOGLETRANSLATE(A7839, ""en"", ""mt"")"),"Foresta Primordjali Masovjana")</f>
        <v>Foresta Primordjali Masovjana</v>
      </c>
    </row>
    <row r="7840" ht="15.75" customHeight="1">
      <c r="A7840" s="2" t="s">
        <v>7840</v>
      </c>
      <c r="B7840" s="2" t="str">
        <f>IFERROR(__xludf.DUMMYFUNCTION("GOOGLETRANSLATE(A7840, ""en"", ""mt"")"),"Min appoġġja Jamukha li ma kinux parti mill-bażi tal-poter ta 'Temüjin?")</f>
        <v>Min appoġġja Jamukha li ma kinux parti mill-bażi tal-poter ta 'Temüjin?</v>
      </c>
    </row>
    <row r="7841" ht="15.75" customHeight="1">
      <c r="A7841" s="2" t="s">
        <v>7841</v>
      </c>
      <c r="B7841" s="2" t="str">
        <f>IFERROR(__xludf.DUMMYFUNCTION("GOOGLETRANSLATE(A7841, ""en"", ""mt"")"),"Jacques Legarder de Saint-Pierre")</f>
        <v>Jacques Legarder de Saint-Pierre</v>
      </c>
    </row>
    <row r="7842" ht="15.75" customHeight="1">
      <c r="A7842" s="2" t="s">
        <v>7842</v>
      </c>
      <c r="B7842" s="2" t="str">
        <f>IFERROR(__xludf.DUMMYFUNCTION("GOOGLETRANSLATE(A7842, ""en"", ""mt"")"),"rotot tal-baħar u tal-kummerċ")</f>
        <v>rotot tal-baħar u tal-kummerċ</v>
      </c>
    </row>
    <row r="7843" ht="15.75" customHeight="1">
      <c r="A7843" s="2" t="s">
        <v>7843</v>
      </c>
      <c r="B7843" s="2" t="str">
        <f>IFERROR(__xludf.DUMMYFUNCTION("GOOGLETRANSLATE(A7843, ""en"", ""mt"")"),"Disturbi awtoimmuni")</f>
        <v>Disturbi awtoimmuni</v>
      </c>
    </row>
    <row r="7844" ht="15.75" customHeight="1">
      <c r="A7844" s="2" t="s">
        <v>7844</v>
      </c>
      <c r="B7844" s="2" t="str">
        <f>IFERROR(__xludf.DUMMYFUNCTION("GOOGLETRANSLATE(A7844, ""en"", ""mt"")"),"X’tostda Tesla li l-frekwenzi reżonanti tiegħu setgħu jagħmlu fl-artiklu tal-lum fid-dinja?")</f>
        <v>X’tostda Tesla li l-frekwenzi reżonanti tiegħu setgħu jagħmlu fl-artiklu tal-lum fid-dinja?</v>
      </c>
    </row>
    <row r="7845" ht="15.75" customHeight="1">
      <c r="A7845" s="2" t="s">
        <v>7845</v>
      </c>
      <c r="B7845" s="2" t="str">
        <f>IFERROR(__xludf.DUMMYFUNCTION("GOOGLETRANSLATE(A7845, ""en"", ""mt"")"),"F'liema sena l-familja ta 'Tesla marret għand Gospic?")</f>
        <v>F'liema sena l-familja ta 'Tesla marret għand Gospic?</v>
      </c>
    </row>
    <row r="7846" ht="15.75" customHeight="1">
      <c r="A7846" s="2" t="s">
        <v>7846</v>
      </c>
      <c r="B7846" s="2" t="str">
        <f>IFERROR(__xludf.DUMMYFUNCTION("GOOGLETRANSLATE(A7846, ""en"", ""mt"")"),"Għaliex in-nifs ossiġnu fl-inġenju tal-ispazju mhux perikoluż għas-saħħa?")</f>
        <v>Għaliex in-nifs ossiġnu fl-inġenju tal-ispazju mhux perikoluż għas-saħħa?</v>
      </c>
    </row>
    <row r="7847" ht="15.75" customHeight="1">
      <c r="A7847" s="2" t="s">
        <v>7847</v>
      </c>
      <c r="B7847" s="2" t="str">
        <f>IFERROR(__xludf.DUMMYFUNCTION("GOOGLETRANSLATE(A7847, ""en"", ""mt"")"),"Wara l-konkwista ta 'Dali fl-1253, l-ex-dinastija Duan li kienet inħatret bħala Gvernaturi Ġenerali, rikonoxxuti bħala uffiċjali imperjali mill-gvernijiet tal-era Yuan, Ming, u Qing, prinċipalment fil-provinċja ta' Yunnan. Is-suċċessjoni għad-dinastija Yu"&amp;"an, madankollu, kienet problema intrattabbli, aktar tard li kkawżat ħafna konflitti u ġlieda interna. Dan ħareġ kmieni mit-tmiem tar-renju ta 'Kublai. Kublai oriġinarjament semma lit-tifel il-kbir tiegħu, Zhenjin, bħala l-Prinċep tal-Kuruna, iżda miet qud"&amp;"diem Kublai fl-1285. Għalhekk, it-tielet iben ta 'Zhenjin, bl-appoġġ ta' ommu Kökejin u l-Ministru Bayan, irnexxielu t-tron u ddeċieda bħala Temür Khan, jew L-Imperatur Chengzong, mill-1294 sal-1307. Temür Khan iddeċieda li jżomm u jkompli ħafna mix-xogħo"&amp;"l li beda minn nannuh. Huwa għamel ukoll il-paċi mal-Khanates tal-Mongolja tal-Punent kif ukoll ma 'pajjiżi ġirien bħall-Vjetnam, li rrikonoxxew is-suzerainty nominali tiegħu u għamlu tributi għal ftit għexieren ta' snin. Madankollu, il-korruzzjoni fid-di"&amp;"nastija Yuan bdiet matul ir-renju ta 'Temür Khan.")</f>
        <v>Wara l-konkwista ta 'Dali fl-1253, l-ex-dinastija Duan li kienet inħatret bħala Gvernaturi Ġenerali, rikonoxxuti bħala uffiċjali imperjali mill-gvernijiet tal-era Yuan, Ming, u Qing, prinċipalment fil-provinċja ta' Yunnan. Is-suċċessjoni għad-dinastija Yuan, madankollu, kienet problema intrattabbli, aktar tard li kkawżat ħafna konflitti u ġlieda interna. Dan ħareġ kmieni mit-tmiem tar-renju ta 'Kublai. Kublai oriġinarjament semma lit-tifel il-kbir tiegħu, Zhenjin, bħala l-Prinċep tal-Kuruna, iżda miet quddiem Kublai fl-1285. Għalhekk, it-tielet iben ta 'Zhenjin, bl-appoġġ ta' ommu Kökejin u l-Ministru Bayan, irnexxielu t-tron u ddeċieda bħala Temür Khan, jew L-Imperatur Chengzong, mill-1294 sal-1307. Temür Khan iddeċieda li jżomm u jkompli ħafna mix-xogħol li beda minn nannuh. Huwa għamel ukoll il-paċi mal-Khanates tal-Mongolja tal-Punent kif ukoll ma 'pajjiżi ġirien bħall-Vjetnam, li rrikonoxxew is-suzerainty nominali tiegħu u għamlu tributi għal ftit għexieren ta' snin. Madankollu, il-korruzzjoni fid-dinastija Yuan bdiet matul ir-renju ta 'Temür Khan.</v>
      </c>
    </row>
    <row r="7848" ht="15.75" customHeight="1">
      <c r="A7848" s="2" t="s">
        <v>7848</v>
      </c>
      <c r="B7848" s="2" t="str">
        <f>IFERROR(__xludf.DUMMYFUNCTION("GOOGLETRANSLATE(A7848, ""en"", ""mt"")"),"Fejn huma Jersey u Guernsey")</f>
        <v>Fejn huma Jersey u Guernsey</v>
      </c>
    </row>
    <row r="7849" ht="15.75" customHeight="1">
      <c r="A7849" s="2" t="s">
        <v>7849</v>
      </c>
      <c r="B7849" s="2" t="str">
        <f>IFERROR(__xludf.DUMMYFUNCTION("GOOGLETRANSLATE(A7849, ""en"", ""mt"")"),"X'kien ir-riżultat ta 'Attakk Franċiż taċ-Ċentru tal-Kummerċ?")</f>
        <v>X'kien ir-riżultat ta 'Attakk Franċiż taċ-Ċentru tal-Kummerċ?</v>
      </c>
    </row>
    <row r="7850" ht="15.75" customHeight="1">
      <c r="A7850" s="2" t="s">
        <v>7850</v>
      </c>
      <c r="B7850" s="2" t="str">
        <f>IFERROR(__xludf.DUMMYFUNCTION("GOOGLETRANSLATE(A7850, ""en"", ""mt"")"),"Min jispezzjona l-bini perjodikament biex jiżgura li l-kostruzzjoni taderixxi mal-pjanijiet approvati u l-kodiċi tal-bini lokali?")</f>
        <v>Min jispezzjona l-bini perjodikament biex jiżgura li l-kostruzzjoni taderixxi mal-pjanijiet approvati u l-kodiċi tal-bini lokali?</v>
      </c>
    </row>
    <row r="7851" ht="15.75" customHeight="1">
      <c r="A7851" s="2" t="s">
        <v>7851</v>
      </c>
      <c r="B7851" s="2" t="str">
        <f>IFERROR(__xludf.DUMMYFUNCTION("GOOGLETRANSLATE(A7851, ""en"", ""mt"")"),"""Arja deflogistizzata")</f>
        <v>"Arja deflogistizzata</v>
      </c>
    </row>
    <row r="7852" ht="15.75" customHeight="1">
      <c r="A7852" s="2" t="s">
        <v>7852</v>
      </c>
      <c r="B7852" s="2" t="str">
        <f>IFERROR(__xludf.DUMMYFUNCTION("GOOGLETRANSLATE(A7852, ""en"", ""mt"")"),"kadavri infettati")</f>
        <v>kadavri infettati</v>
      </c>
    </row>
    <row r="7853" ht="15.75" customHeight="1">
      <c r="A7853" s="2" t="s">
        <v>7853</v>
      </c>
      <c r="B7853" s="2" t="str">
        <f>IFERROR(__xludf.DUMMYFUNCTION("GOOGLETRANSLATE(A7853, ""en"", ""mt"")"),"73")</f>
        <v>73</v>
      </c>
    </row>
    <row r="7854" ht="15.75" customHeight="1">
      <c r="A7854" s="2" t="s">
        <v>7854</v>
      </c>
      <c r="B7854" s="2" t="str">
        <f>IFERROR(__xludf.DUMMYFUNCTION("GOOGLETRANSLATE(A7854, ""en"", ""mt"")"),"X'inhu li jipprovdi netwerks ta 'appoġġ meqjusa bħala?")</f>
        <v>X'inhu li jipprovdi netwerks ta 'appoġġ meqjusa bħala?</v>
      </c>
    </row>
    <row r="7855" ht="15.75" customHeight="1">
      <c r="A7855" s="2" t="s">
        <v>7855</v>
      </c>
      <c r="B7855" s="2" t="str">
        <f>IFERROR(__xludf.DUMMYFUNCTION("GOOGLETRANSLATE(A7855, ""en"", ""mt"")"),"Fannijiet")</f>
        <v>Fannijiet</v>
      </c>
    </row>
    <row r="7856" ht="15.75" customHeight="1">
      <c r="A7856" s="2" t="s">
        <v>7856</v>
      </c>
      <c r="B7856" s="2" t="str">
        <f>IFERROR(__xludf.DUMMYFUNCTION("GOOGLETRANSLATE(A7856, ""en"", ""mt"")"),"konverżjoni")</f>
        <v>konverżjoni</v>
      </c>
    </row>
    <row r="7857" ht="15.75" customHeight="1">
      <c r="A7857" s="2" t="s">
        <v>7857</v>
      </c>
      <c r="B7857" s="2" t="str">
        <f>IFERROR(__xludf.DUMMYFUNCTION("GOOGLETRANSLATE(A7857, ""en"", ""mt"")"),"Kamera tat-TV Apollo")</f>
        <v>Kamera tat-TV Apollo</v>
      </c>
    </row>
    <row r="7858" ht="15.75" customHeight="1">
      <c r="A7858" s="2" t="s">
        <v>7858</v>
      </c>
      <c r="B7858" s="2" t="str">
        <f>IFERROR(__xludf.DUMMYFUNCTION("GOOGLETRANSLATE(A7858, ""en"", ""mt"")"),"Għall-eżerċizzju, Tesla mixi bejn 8 sa 10 mili kuljum. Huwa squired saqajh mitt darba għal kull sieq kull lejl, u qal li stimula ċ-ċelloli tal-moħħ tiegħu.")</f>
        <v>Għall-eżerċizzju, Tesla mixi bejn 8 sa 10 mili kuljum. Huwa squired saqajh mitt darba għal kull sieq kull lejl, u qal li stimula ċ-ċelloli tal-moħħ tiegħu.</v>
      </c>
    </row>
    <row r="7859" ht="15.75" customHeight="1">
      <c r="A7859" s="2" t="s">
        <v>7859</v>
      </c>
      <c r="B7859" s="2" t="str">
        <f>IFERROR(__xludf.DUMMYFUNCTION("GOOGLETRANSLATE(A7859, ""en"", ""mt"")"),"270,000")</f>
        <v>270,000</v>
      </c>
    </row>
    <row r="7860" ht="15.75" customHeight="1">
      <c r="A7860" s="2" t="s">
        <v>7860</v>
      </c>
      <c r="B7860" s="2" t="str">
        <f>IFERROR(__xludf.DUMMYFUNCTION("GOOGLETRANSLATE(A7860, ""en"", ""mt"")"),"Peptidi ""Self""")</f>
        <v>Peptidi "Self"</v>
      </c>
    </row>
    <row r="7861" ht="15.75" customHeight="1">
      <c r="A7861" s="2" t="s">
        <v>7861</v>
      </c>
      <c r="B7861" s="2" t="str">
        <f>IFERROR(__xludf.DUMMYFUNCTION("GOOGLETRANSLATE(A7861, ""en"", ""mt"")"),"X'inhu l-IEEE?")</f>
        <v>X'inhu l-IEEE?</v>
      </c>
    </row>
    <row r="7862" ht="15.75" customHeight="1">
      <c r="A7862" s="2" t="s">
        <v>7862</v>
      </c>
      <c r="B7862" s="2" t="str">
        <f>IFERROR(__xludf.DUMMYFUNCTION("GOOGLETRANSLATE(A7862, ""en"", ""mt"")"),"Liema ċiklu termodinamiku ideali janalizza l-proċess li bih jaħdmu l-magni tal-fwar?")</f>
        <v>Liema ċiklu termodinamiku ideali janalizza l-proċess li bih jaħdmu l-magni tal-fwar?</v>
      </c>
    </row>
    <row r="7863" ht="15.75" customHeight="1">
      <c r="A7863" s="2" t="s">
        <v>7863</v>
      </c>
      <c r="B7863" s="2" t="str">
        <f>IFERROR(__xludf.DUMMYFUNCTION("GOOGLETRANSLATE(A7863, ""en"", ""mt"")"),"760 mm")</f>
        <v>760 mm</v>
      </c>
    </row>
    <row r="7864" ht="15.75" customHeight="1">
      <c r="A7864" s="2" t="s">
        <v>7864</v>
      </c>
      <c r="B7864" s="2" t="str">
        <f>IFERROR(__xludf.DUMMYFUNCTION("GOOGLETRANSLATE(A7864, ""en"", ""mt"")"),"X'jista 'jitqies bħala funzjoni tal-prezz tas-suq tal-ħila?")</f>
        <v>X'jista 'jitqies bħala funzjoni tal-prezz tas-suq tal-ħila?</v>
      </c>
    </row>
    <row r="7865" ht="15.75" customHeight="1">
      <c r="A7865" s="2" t="s">
        <v>7865</v>
      </c>
      <c r="B7865" s="2" t="str">
        <f>IFERROR(__xludf.DUMMYFUNCTION("GOOGLETRANSLATE(A7865, ""en"", ""mt"")"),"Il-fluss ta 'ilma tal-muntanji kiesaħ u griż ikompli għal ftit distanza fil-lag. L-ilma kiesaħ jiċċirkola ħdejn il-wiċċ u għall-ewwel ma jitħallatx ma 'l-ilmijiet sħan u ħodor tal-lag ta' fuq. Imma mbagħad, fl-hekk imsejħa Rheinbrech, l-ilma tar-Renu jaqa"&amp;" 'ħesrem fil-fond minħabba d-densità akbar ta' ilma kiesaħ. Il-fluss jerġa 'jidher fuq il-wiċċ fix-xatt tat-tramuntana (Ġermaniż) tal-lag, barra l-gżira ta' Lindau. L-ilma mbagħad isegwi x-xatt tat-tramuntana sakemm Hagnau am Bodensee. Frazzjoni żgħira ta"&amp;"l-fluss hija ddevjata 'l barra mill-gżira ta' Mainau fil-Lag überlingen. Il-biċċa l-kbira tal-ilma jiċċirkola permezz tal-Hopper Constance fir-Rheinrinne (""Rhine Gutter"") u Seerhein. Jiddependi fuq il-livell tal-ilma, dan il-fluss ta 'l-ilma tar-Renu hu"&amp;"wa viżibbli b'mod ċar tul it-tul kollu tal-lag.")</f>
        <v>Il-fluss ta 'ilma tal-muntanji kiesaħ u griż ikompli għal ftit distanza fil-lag. L-ilma kiesaħ jiċċirkola ħdejn il-wiċċ u għall-ewwel ma jitħallatx ma 'l-ilmijiet sħan u ħodor tal-lag ta' fuq. Imma mbagħad, fl-hekk imsejħa Rheinbrech, l-ilma tar-Renu jaqa 'ħesrem fil-fond minħabba d-densità akbar ta' ilma kiesaħ. Il-fluss jerġa 'jidher fuq il-wiċċ fix-xatt tat-tramuntana (Ġermaniż) tal-lag, barra l-gżira ta' Lindau. L-ilma mbagħad isegwi x-xatt tat-tramuntana sakemm Hagnau am Bodensee. Frazzjoni żgħira tal-fluss hija ddevjata 'l barra mill-gżira ta' Mainau fil-Lag überlingen. Il-biċċa l-kbira tal-ilma jiċċirkola permezz tal-Hopper Constance fir-Rheinrinne ("Rhine Gutter") u Seerhein. Jiddependi fuq il-livell tal-ilma, dan il-fluss ta 'l-ilma tar-Renu huwa viżibbli b'mod ċar tul it-tul kollu tal-lag.</v>
      </c>
    </row>
    <row r="7866" ht="15.75" customHeight="1">
      <c r="A7866" s="2" t="s">
        <v>7866</v>
      </c>
      <c r="B7866" s="2" t="str">
        <f>IFERROR(__xludf.DUMMYFUNCTION("GOOGLETRANSLATE(A7866, ""en"", ""mt"")"),"Ġwanni 8: 7")</f>
        <v>Ġwanni 8: 7</v>
      </c>
    </row>
    <row r="7867" ht="15.75" customHeight="1">
      <c r="A7867" s="2" t="s">
        <v>7867</v>
      </c>
      <c r="B7867" s="2" t="str">
        <f>IFERROR(__xludf.DUMMYFUNCTION("GOOGLETRANSLATE(A7867, ""en"", ""mt"")"),"Liema minn ulied Genghis Khan temmew il-konkwista tad-dinastija Jin?")</f>
        <v>Liema minn ulied Genghis Khan temmew il-konkwista tad-dinastija Jin?</v>
      </c>
    </row>
    <row r="7868" ht="15.75" customHeight="1">
      <c r="A7868" s="2" t="s">
        <v>7868</v>
      </c>
      <c r="B7868" s="2" t="str">
        <f>IFERROR(__xludf.DUMMYFUNCTION("GOOGLETRANSLATE(A7868, ""en"", ""mt"")"),"X'naqqsu l-awtoritajiet kolonjali minħabba r-rewwixta ta 'Ballarat?")</f>
        <v>X'naqqsu l-awtoritajiet kolonjali minħabba r-rewwixta ta 'Ballarat?</v>
      </c>
    </row>
    <row r="7869" ht="15.75" customHeight="1">
      <c r="A7869" s="2" t="s">
        <v>7869</v>
      </c>
      <c r="B7869" s="2" t="str">
        <f>IFERROR(__xludf.DUMMYFUNCTION("GOOGLETRANSLATE(A7869, ""en"", ""mt"")"),"Virgin Media")</f>
        <v>Virgin Media</v>
      </c>
    </row>
    <row r="7870" ht="15.75" customHeight="1">
      <c r="A7870" s="2" t="s">
        <v>7870</v>
      </c>
      <c r="B7870" s="2" t="str">
        <f>IFERROR(__xludf.DUMMYFUNCTION("GOOGLETRANSLATE(A7870, ""en"", ""mt"")"),"Liema entità ta 'l-Istati Uniti qalet li l-kastig korporali kien kostituzzjonali?")</f>
        <v>Liema entità ta 'l-Istati Uniti qalet li l-kastig korporali kien kostituzzjonali?</v>
      </c>
    </row>
    <row r="7871" ht="15.75" customHeight="1">
      <c r="A7871" s="2" t="s">
        <v>7871</v>
      </c>
      <c r="B7871" s="2" t="str">
        <f>IFERROR(__xludf.DUMMYFUNCTION("GOOGLETRANSLATE(A7871, ""en"", ""mt"")"),"X'jistgħu jġorru l-missjonijiet Apollo tal-Qamar biex iżżid l-esplorazzjoni?")</f>
        <v>X'jistgħu jġorru l-missjonijiet Apollo tal-Qamar biex iżżid l-esplorazzjoni?</v>
      </c>
    </row>
    <row r="7872" ht="15.75" customHeight="1">
      <c r="A7872" s="2" t="s">
        <v>7872</v>
      </c>
      <c r="B7872" s="2" t="str">
        <f>IFERROR(__xludf.DUMMYFUNCTION("GOOGLETRANSLATE(A7872, ""en"", ""mt"")"),"Meta ġie ppubblikat l-istudju dwar il-ġenomi Y sekwenzjati?")</f>
        <v>Meta ġie ppubblikat l-istudju dwar il-ġenomi Y sekwenzjati?</v>
      </c>
    </row>
    <row r="7873" ht="15.75" customHeight="1">
      <c r="A7873" s="2" t="s">
        <v>7873</v>
      </c>
      <c r="B7873" s="2" t="str">
        <f>IFERROR(__xludf.DUMMYFUNCTION("GOOGLETRANSLATE(A7873, ""en"", ""mt"")"),"Min jiddeċiedi d-destin ta 'dimostranti ħafna mill-ħin?")</f>
        <v>Min jiddeċiedi d-destin ta 'dimostranti ħafna mill-ħin?</v>
      </c>
    </row>
    <row r="7874" ht="15.75" customHeight="1">
      <c r="A7874" s="2" t="s">
        <v>7874</v>
      </c>
      <c r="B7874" s="2" t="str">
        <f>IFERROR(__xludf.DUMMYFUNCTION("GOOGLETRANSLATE(A7874, ""en"", ""mt"")"),"L-ONGGIRAT")</f>
        <v>L-ONGGIRAT</v>
      </c>
    </row>
    <row r="7875" ht="15.75" customHeight="1">
      <c r="A7875" s="2" t="s">
        <v>7875</v>
      </c>
      <c r="B7875" s="2" t="str">
        <f>IFERROR(__xludf.DUMMYFUNCTION("GOOGLETRANSLATE(A7875, ""en"", ""mt"")"),"State Mughal")</f>
        <v>State Mughal</v>
      </c>
    </row>
    <row r="7876" ht="15.75" customHeight="1">
      <c r="A7876" s="2" t="s">
        <v>7876</v>
      </c>
      <c r="B7876" s="2" t="str">
        <f>IFERROR(__xludf.DUMMYFUNCTION("GOOGLETRANSLATE(A7876, ""en"", ""mt"")"),"Infiq soċjali")</f>
        <v>Infiq soċjali</v>
      </c>
    </row>
    <row r="7877" ht="15.75" customHeight="1">
      <c r="A7877" s="2" t="s">
        <v>7877</v>
      </c>
      <c r="B7877" s="2" t="str">
        <f>IFERROR(__xludf.DUMMYFUNCTION("GOOGLETRANSLATE(A7877, ""en"", ""mt"")"),"Madwar 1,000 suldat Ingliż inqatlu jew indarbu.")</f>
        <v>Madwar 1,000 suldat Ingliż inqatlu jew indarbu.</v>
      </c>
    </row>
    <row r="7878" ht="15.75" customHeight="1">
      <c r="A7878" s="2" t="s">
        <v>7878</v>
      </c>
      <c r="B7878" s="2" t="str">
        <f>IFERROR(__xludf.DUMMYFUNCTION("GOOGLETRANSLATE(A7878, ""en"", ""mt"")"),"Din il-persuna pproponiet spjegazzjonijiet għall-oriġini tat-terremoti u l-formazzjoni tal-muntanji, x'kien ismu?")</f>
        <v>Din il-persuna pproponiet spjegazzjonijiet għall-oriġini tat-terremoti u l-formazzjoni tal-muntanji, x'kien ismu?</v>
      </c>
    </row>
    <row r="7879" ht="15.75" customHeight="1">
      <c r="A7879" s="2" t="s">
        <v>7879</v>
      </c>
      <c r="B7879" s="2" t="str">
        <f>IFERROR(__xludf.DUMMYFUNCTION("GOOGLETRANSLATE(A7879, ""en"", ""mt"")"),"South Kensington")</f>
        <v>South Kensington</v>
      </c>
    </row>
    <row r="7880" ht="15.75" customHeight="1">
      <c r="A7880" s="2" t="s">
        <v>7880</v>
      </c>
      <c r="B7880" s="2" t="str">
        <f>IFERROR(__xludf.DUMMYFUNCTION("GOOGLETRANSLATE(A7880, ""en"", ""mt"")"),"Stephen Eildmann jikkwota l-eqdem eżempju magħruf ta 'diżubbidjenza ċivili f'liema parti tal-Bibbja?")</f>
        <v>Stephen Eildmann jikkwota l-eqdem eżempju magħruf ta 'diżubbidjenza ċivili f'liema parti tal-Bibbja?</v>
      </c>
    </row>
    <row r="7881" ht="15.75" customHeight="1">
      <c r="A7881" s="2" t="s">
        <v>7881</v>
      </c>
      <c r="B7881" s="2" t="str">
        <f>IFERROR(__xludf.DUMMYFUNCTION("GOOGLETRANSLATE(A7881, ""en"", ""mt"")"),"Angiospermi C3")</f>
        <v>Angiospermi C3</v>
      </c>
    </row>
    <row r="7882" ht="15.75" customHeight="1">
      <c r="A7882" s="2" t="s">
        <v>7882</v>
      </c>
      <c r="B7882" s="2" t="str">
        <f>IFERROR(__xludf.DUMMYFUNCTION("GOOGLETRANSLATE(A7882, ""en"", ""mt"")"),"X'għandu Newcastle għandu storja kburija?")</f>
        <v>X'għandu Newcastle għandu storja kburija?</v>
      </c>
    </row>
    <row r="7883" ht="15.75" customHeight="1">
      <c r="A7883" s="2" t="s">
        <v>7883</v>
      </c>
      <c r="B7883" s="2" t="str">
        <f>IFERROR(__xludf.DUMMYFUNCTION("GOOGLETRANSLATE(A7883, ""en"", ""mt"")"),"Bosta pitturi Franċiżi daħlu fil-kollezzjoni bħala parti mill-260 pitturi u miniatures (mhux ix-xogħlijiet kollha kienu Franċiżi, pereżempju l-verġni u t-tifel ta 'Carlo Crivelli) li ffurmaw parti mill-Bequest Jones tal-1882 u bħala tali huma murija fil-g"&amp;"alleriji ta' l-Art Kontinentali 1600-1800, inkluż ir-ritratt ta 'François, Duc d'Alençon minn François Clouet, Gaspard Dughet u xogħlijiet minn François Boucher inkluż ir-ritratt tiegħu ta' Madame de Pompadour datat 1758, Jean François de Troy, Jean-Bapti"&amp;"ste Pater u l-kontemporanji tagħhom.")</f>
        <v>Bosta pitturi Franċiżi daħlu fil-kollezzjoni bħala parti mill-260 pitturi u miniatures (mhux ix-xogħlijiet kollha kienu Franċiżi, pereżempju l-verġni u t-tifel ta 'Carlo Crivelli) li ffurmaw parti mill-Bequest Jones tal-1882 u bħala tali huma murija fil-galleriji ta' l-Art Kontinentali 1600-1800, inkluż ir-ritratt ta 'François, Duc d'Alençon minn François Clouet, Gaspard Dughet u xogħlijiet minn François Boucher inkluż ir-ritratt tiegħu ta' Madame de Pompadour datat 1758, Jean François de Troy, Jean-Baptiste Pater u l-kontemporanji tagħhom.</v>
      </c>
    </row>
    <row r="7884" ht="15.75" customHeight="1">
      <c r="A7884" s="2" t="s">
        <v>7884</v>
      </c>
      <c r="B7884" s="2" t="str">
        <f>IFERROR(__xludf.DUMMYFUNCTION("GOOGLETRANSLATE(A7884, ""en"", ""mt"")"),"Fis-snin 1960")</f>
        <v>Fis-snin 1960</v>
      </c>
    </row>
    <row r="7885" ht="15.75" customHeight="1">
      <c r="A7885" s="2" t="s">
        <v>7885</v>
      </c>
      <c r="B7885" s="2" t="str">
        <f>IFERROR(__xludf.DUMMYFUNCTION("GOOGLETRANSLATE(A7885, ""en"", ""mt"")"),"Kabaty")</f>
        <v>Kabaty</v>
      </c>
    </row>
    <row r="7886" ht="15.75" customHeight="1">
      <c r="A7886" s="2" t="s">
        <v>7886</v>
      </c>
      <c r="B7886" s="2" t="str">
        <f>IFERROR(__xludf.DUMMYFUNCTION("GOOGLETRANSLATE(A7886, ""en"", ""mt"")"),"Ġeneral Amherst.")</f>
        <v>Ġeneral Amherst.</v>
      </c>
    </row>
    <row r="7887" ht="15.75" customHeight="1">
      <c r="A7887" s="2" t="s">
        <v>7887</v>
      </c>
      <c r="B7887" s="2" t="str">
        <f>IFERROR(__xludf.DUMMYFUNCTION("GOOGLETRANSLATE(A7887, ""en"", ""mt"")"),"qalb")</f>
        <v>qalb</v>
      </c>
    </row>
    <row r="7888" ht="15.75" customHeight="1">
      <c r="A7888" s="2" t="s">
        <v>7888</v>
      </c>
      <c r="B7888" s="2" t="str">
        <f>IFERROR(__xludf.DUMMYFUNCTION("GOOGLETRANSLATE(A7888, ""en"", ""mt"")"),"Mhuwiex ċar, madankollu li din il-fehma sterjotipika tirrifletti r-realtà tal-klassijiet tal-Asja tal-Lvant jew li l-għanijiet edukattivi f'dawn il-pajjiżi huma proporzjonabbli ma 'dawk fil-pajjiżi tal-Punent. Fil-Ġappun, pereżempju, għalkemm il-kisba med"&amp;"ja fuq testijiet standardizzati tista 'taqbeż dawk fil-pajjiżi tal-Punent, id-dixxiplina u l-imġieba tal-klassi hija problematika ħafna. Għalkemm, uffiċjalment, l-iskejjel għandhom kodiċi ta 'mġieba estremament riġidi, fil-prattika ħafna għalliema jsibu l"&amp;"ill-istudenti mhux maniġġabbli u ma jinfurzawx id-dixxiplina.")</f>
        <v>Mhuwiex ċar, madankollu li din il-fehma sterjotipika tirrifletti r-realtà tal-klassijiet tal-Asja tal-Lvant jew li l-għanijiet edukattivi f'dawn il-pajjiżi huma proporzjonabbli ma 'dawk fil-pajjiżi tal-Punent. Fil-Ġappun, pereżempju, għalkemm il-kisba medja fuq testijiet standardizzati tista 'taqbeż dawk fil-pajjiżi tal-Punent, id-dixxiplina u l-imġieba tal-klassi hija problematika ħafna. Għalkemm, uffiċjalment, l-iskejjel għandhom kodiċi ta 'mġieba estremament riġidi, fil-prattika ħafna għalliema jsibu lill-istudenti mhux maniġġabbli u ma jinfurzawx id-dixxiplina.</v>
      </c>
    </row>
    <row r="7889" ht="15.75" customHeight="1">
      <c r="A7889" s="2" t="s">
        <v>7889</v>
      </c>
      <c r="B7889" s="2" t="str">
        <f>IFERROR(__xludf.DUMMYFUNCTION("GOOGLETRANSLATE(A7889, ""en"", ""mt"")"),"X'kien l-isem tad-dramm imwettaq fl-1970?")</f>
        <v>X'kien l-isem tad-dramm imwettaq fl-1970?</v>
      </c>
    </row>
    <row r="7890" ht="15.75" customHeight="1">
      <c r="A7890" s="2" t="s">
        <v>7890</v>
      </c>
      <c r="B7890" s="2" t="str">
        <f>IFERROR(__xludf.DUMMYFUNCTION("GOOGLETRANSLATE(A7890, ""en"", ""mt"")"),"Pressjonijiet totali baxxi")</f>
        <v>Pressjonijiet totali baxxi</v>
      </c>
    </row>
    <row r="7891" ht="15.75" customHeight="1">
      <c r="A7891" s="2" t="s">
        <v>7891</v>
      </c>
      <c r="B7891" s="2" t="str">
        <f>IFERROR(__xludf.DUMMYFUNCTION("GOOGLETRANSLATE(A7891, ""en"", ""mt"")"),"Elettur ta 'Brandenburg u Duka tal-Prussja")</f>
        <v>Elettur ta 'Brandenburg u Duka tal-Prussja</v>
      </c>
    </row>
    <row r="7892" ht="15.75" customHeight="1">
      <c r="A7892" s="2" t="s">
        <v>7892</v>
      </c>
      <c r="B7892" s="2" t="str">
        <f>IFERROR(__xludf.DUMMYFUNCTION("GOOGLETRANSLATE(A7892, ""en"", ""mt"")"),"Leġislazzjoni domestika tal-Parlament Skoċċiż.")</f>
        <v>Leġislazzjoni domestika tal-Parlament Skoċċiż.</v>
      </c>
    </row>
    <row r="7893" ht="15.75" customHeight="1">
      <c r="A7893" s="2" t="s">
        <v>7893</v>
      </c>
      <c r="B7893" s="2" t="str">
        <f>IFERROR(__xludf.DUMMYFUNCTION("GOOGLETRANSLATE(A7893, ""en"", ""mt"")"),"Minn fejn beda l-Grand Canal?")</f>
        <v>Minn fejn beda l-Grand Canal?</v>
      </c>
    </row>
    <row r="7894" ht="15.75" customHeight="1">
      <c r="A7894" s="2" t="s">
        <v>7894</v>
      </c>
      <c r="B7894" s="2" t="str">
        <f>IFERROR(__xludf.DUMMYFUNCTION("GOOGLETRANSLATE(A7894, ""en"", ""mt"")"),"Tim tal-Bowl tal-Kulleġġ tal-Università ta 'Chicago")</f>
        <v>Tim tal-Bowl tal-Kulleġġ tal-Università ta 'Chicago</v>
      </c>
    </row>
    <row r="7895" ht="15.75" customHeight="1">
      <c r="A7895" s="2" t="s">
        <v>7895</v>
      </c>
      <c r="B7895" s="2" t="str">
        <f>IFERROR(__xludf.DUMMYFUNCTION("GOOGLETRANSLATE(A7895, ""en"", ""mt"")"),"Tenggis")</f>
        <v>Tenggis</v>
      </c>
    </row>
    <row r="7896" ht="15.75" customHeight="1">
      <c r="A7896" s="2" t="s">
        <v>7896</v>
      </c>
      <c r="B7896" s="2" t="str">
        <f>IFERROR(__xludf.DUMMYFUNCTION("GOOGLETRANSLATE(A7896, ""en"", ""mt"")"),"Fejn il-kastig korporali m'għadux ipprattikat?")</f>
        <v>Fejn il-kastig korporali m'għadux ipprattikat?</v>
      </c>
    </row>
    <row r="7897" ht="15.75" customHeight="1">
      <c r="A7897" s="2" t="s">
        <v>7897</v>
      </c>
      <c r="B7897" s="2" t="str">
        <f>IFERROR(__xludf.DUMMYFUNCTION("GOOGLETRANSLATE(A7897, ""en"", ""mt"")"),"L-Assoċjazzjoni tal-Atletika tal-Università")</f>
        <v>L-Assoċjazzjoni tal-Atletika tal-Università</v>
      </c>
    </row>
    <row r="7898" ht="15.75" customHeight="1">
      <c r="A7898" s="2" t="s">
        <v>7898</v>
      </c>
      <c r="B7898" s="2" t="str">
        <f>IFERROR(__xludf.DUMMYFUNCTION("GOOGLETRANSLATE(A7898, ""en"", ""mt"")"),"Kwistjonijiet taħt il-ġurisdizzjoni tagħhom")</f>
        <v>Kwistjonijiet taħt il-ġurisdizzjoni tagħhom</v>
      </c>
    </row>
    <row r="7899" ht="15.75" customHeight="1">
      <c r="A7899" s="2" t="s">
        <v>7899</v>
      </c>
      <c r="B7899" s="2" t="str">
        <f>IFERROR(__xludf.DUMMYFUNCTION("GOOGLETRANSLATE(A7899, ""en"", ""mt"")"),"Relatat ma 'Apicomplexan")</f>
        <v>Relatat ma 'Apicomplexan</v>
      </c>
    </row>
    <row r="7900" ht="15.75" customHeight="1">
      <c r="A7900" s="2" t="s">
        <v>7900</v>
      </c>
      <c r="B7900" s="2" t="str">
        <f>IFERROR(__xludf.DUMMYFUNCTION("GOOGLETRANSLATE(A7900, ""en"", ""mt"")"),"il-ġenna eterna")</f>
        <v>il-ġenna eterna</v>
      </c>
    </row>
    <row r="7901" ht="15.75" customHeight="1">
      <c r="A7901" s="2" t="s">
        <v>7901</v>
      </c>
      <c r="B7901" s="2" t="str">
        <f>IFERROR(__xludf.DUMMYFUNCTION("GOOGLETRANSLATE(A7901, ""en"", ""mt"")"),"Imponi fiżikament")</f>
        <v>Imponi fiżikament</v>
      </c>
    </row>
    <row r="7902" ht="15.75" customHeight="1">
      <c r="A7902" s="2" t="s">
        <v>7902</v>
      </c>
      <c r="B7902" s="2" t="str">
        <f>IFERROR(__xludf.DUMMYFUNCTION("GOOGLETRANSLATE(A7902, ""en"", ""mt"")"),"akbar minn 1")</f>
        <v>akbar minn 1</v>
      </c>
    </row>
    <row r="7903" ht="15.75" customHeight="1">
      <c r="A7903" s="2" t="s">
        <v>7903</v>
      </c>
      <c r="B7903" s="2" t="str">
        <f>IFERROR(__xludf.DUMMYFUNCTION("GOOGLETRANSLATE(A7903, ""en"", ""mt"")"),"L-effiċjenza ta 'ċiklu ta' Rankine hija ġeneralment limitata mill-fluwidu tax-xogħol. Mingħajr ma l-pressjoni tilħaq livelli superkritiċi għall-fluwidu tax-xogħol, il-firxa tat-temperatura li ċ-ċiklu jista 'jaħdem fuqha hija pjuttost żgħira; Fit-turbini t"&amp;"al-fwar, it-temperaturi tad-dħul tat-turbina huma tipikament 565 ° C (il-limitu tal-creep ta 'l-istainless steel) u t-temperaturi tal-kondensatur huma ta' madwar 30 ° C. Dan jagħti effiċjenza teoretika ta 'Carnot ta' madwar 63% meta mqabbel ma 'effiċjenza"&amp;" attwali ta' 42% għal stazzjon tal-enerġija modern li jaħdem bil-faħam. Din it-temperatura baxxa tad-dħul tat-turbina (meta mqabbla ma 'turbina tal-gass) hija r-raġuni għaliex iċ-ċiklu ta' rankine spiss jintuża bħala ċiklu ta 'qiegħ fl-istazzjonijiet ta' "&amp;"enerġija tat-turbina tal-gass b'ċiklu magħqud. [Ċitazzjoni meħtieġa]")</f>
        <v>L-effiċjenza ta 'ċiklu ta' Rankine hija ġeneralment limitata mill-fluwidu tax-xogħol. Mingħajr ma l-pressjoni tilħaq livelli superkritiċi għall-fluwidu tax-xogħol, il-firxa tat-temperatura li ċ-ċiklu jista 'jaħdem fuqha hija pjuttost żgħira; Fit-turbini tal-fwar, it-temperaturi tad-dħul tat-turbina huma tipikament 565 ° C (il-limitu tal-creep ta 'l-istainless steel) u t-temperaturi tal-kondensatur huma ta' madwar 30 ° C. Dan jagħti effiċjenza teoretika ta 'Carnot ta' madwar 63% meta mqabbel ma 'effiċjenza attwali ta' 42% għal stazzjon tal-enerġija modern li jaħdem bil-faħam. Din it-temperatura baxxa tad-dħul tat-turbina (meta mqabbla ma 'turbina tal-gass) hija r-raġuni għaliex iċ-ċiklu ta' rankine spiss jintuża bħala ċiklu ta 'qiegħ fl-istazzjonijiet ta' enerġija tat-turbina tal-gass b'ċiklu magħqud. [Ċitazzjoni meħtieġa]</v>
      </c>
    </row>
    <row r="7904" ht="15.75" customHeight="1">
      <c r="A7904" s="2" t="s">
        <v>7904</v>
      </c>
      <c r="B7904" s="2" t="str">
        <f>IFERROR(__xludf.DUMMYFUNCTION("GOOGLETRANSLATE(A7904, ""en"", ""mt"")"),"L-ebda konkors")</f>
        <v>L-ebda konkors</v>
      </c>
    </row>
    <row r="7905" ht="15.75" customHeight="1">
      <c r="A7905" s="2" t="s">
        <v>7905</v>
      </c>
      <c r="B7905" s="2" t="str">
        <f>IFERROR(__xludf.DUMMYFUNCTION("GOOGLETRANSLATE(A7905, ""en"", ""mt"")"),"Mard awtoimmuni")</f>
        <v>Mard awtoimmuni</v>
      </c>
    </row>
    <row r="7906" ht="15.75" customHeight="1">
      <c r="A7906" s="2" t="s">
        <v>7906</v>
      </c>
      <c r="B7906" s="2" t="str">
        <f>IFERROR(__xludf.DUMMYFUNCTION("GOOGLETRANSLATE(A7906, ""en"", ""mt"")"),"Kemm il-vittmi kisbu l-Ingliżi?")</f>
        <v>Kemm il-vittmi kisbu l-Ingliżi?</v>
      </c>
    </row>
    <row r="7907" ht="15.75" customHeight="1">
      <c r="A7907" s="2" t="s">
        <v>7907</v>
      </c>
      <c r="B7907" s="2" t="str">
        <f>IFERROR(__xludf.DUMMYFUNCTION("GOOGLETRANSLATE(A7907, ""en"", ""mt"")"),"1331")</f>
        <v>1331</v>
      </c>
    </row>
    <row r="7908" ht="15.75" customHeight="1">
      <c r="A7908" s="2" t="s">
        <v>7908</v>
      </c>
      <c r="B7908" s="2" t="str">
        <f>IFERROR(__xludf.DUMMYFUNCTION("GOOGLETRANSLATE(A7908, ""en"", ""mt"")"),"7 sa 10 fil-mija tat-tobba Amerikani")</f>
        <v>7 sa 10 fil-mija tat-tobba Amerikani</v>
      </c>
    </row>
    <row r="7909" ht="15.75" customHeight="1">
      <c r="A7909" s="2" t="s">
        <v>7909</v>
      </c>
      <c r="B7909" s="2" t="str">
        <f>IFERROR(__xludf.DUMMYFUNCTION("GOOGLETRANSLATE(A7909, ""en"", ""mt"")"),"Dwar liema karatteristika tat-temp iridu l-paleoklimatologi?")</f>
        <v>Dwar liema karatteristika tat-temp iridu l-paleoklimatologi?</v>
      </c>
    </row>
    <row r="7910" ht="15.75" customHeight="1">
      <c r="A7910" s="2" t="s">
        <v>7910</v>
      </c>
      <c r="B7910" s="2" t="str">
        <f>IFERROR(__xludf.DUMMYFUNCTION("GOOGLETRANSLATE(A7910, ""en"", ""mt"")"),"L-użu ewlieni għat-turbini tal-fwar huwa fil-ġenerazzjoni tal-elettriku (fid-disgħinijiet madwar 90% tal-produzzjoni elettrika tad-dinja kien bl-użu ta 'turbini tal-fwar) madankollu l-applikazzjoni mifruxa reċenti ta' unitajiet kbar ta 'turbina tal-gass u"&amp;" impjanti ta' l-enerġija ċiklu kkombinati tipiċi rriżultat fi tnaqqis Dan il-persentaġġ għar-reġim ta '80% għat-turbini tal-fwar. Fil-produzzjoni tal-elettriku, il-veloċità għolja tar-rotazzjoni tat-turbina taqbel sew mal-veloċità tal-ġeneraturi elettriċi"&amp;" moderni, li huma tipikament konnessi diretti mat-turbini tas-sewqan tagħhom. Fis-servizz tal-baħar, (pijunier fuq it-Turbinia), turbini tal-fwar b'introjjar ta 'tnaqqis (għalkemm it-turbinia għandha turbini diretti għall-iskrejjen mingħajr l-ebda gearbox"&amp;" tat-tnaqqis) iddominaw propulsjoni kbira fuq il-vapuri matul l-aħħar tas-seklu 20, li huma aktar effiċjenti (u jeħtieġu ħafna inqas manutenzjoni) minn magni tal-fwar reċiprokanti. Fl-aħħar għexieren ta 'snin, magni diesel li jirreċiprokaw, u turbini tal-"&amp;"gass, kważi sostitwixxu l-propulsjoni tal-fwar għal applikazzjonijiet tal-baħar.")</f>
        <v>L-użu ewlieni għat-turbini tal-fwar huwa fil-ġenerazzjoni tal-elettriku (fid-disgħinijiet madwar 90% tal-produzzjoni elettrika tad-dinja kien bl-użu ta 'turbini tal-fwar) madankollu l-applikazzjoni mifruxa reċenti ta' unitajiet kbar ta 'turbina tal-gass u impjanti ta' l-enerġija ċiklu kkombinati tipiċi rriżultat fi tnaqqis Dan il-persentaġġ għar-reġim ta '80% għat-turbini tal-fwar. Fil-produzzjoni tal-elettriku, il-veloċità għolja tar-rotazzjoni tat-turbina taqbel sew mal-veloċità tal-ġeneraturi elettriċi moderni, li huma tipikament konnessi diretti mat-turbini tas-sewqan tagħhom. Fis-servizz tal-baħar, (pijunier fuq it-Turbinia), turbini tal-fwar b'introjjar ta 'tnaqqis (għalkemm it-turbinia għandha turbini diretti għall-iskrejjen mingħajr l-ebda gearbox tat-tnaqqis) iddominaw propulsjoni kbira fuq il-vapuri matul l-aħħar tas-seklu 20, li huma aktar effiċjenti (u jeħtieġu ħafna inqas manutenzjoni) minn magni tal-fwar reċiprokanti. Fl-aħħar għexieren ta 'snin, magni diesel li jirreċiprokaw, u turbini tal-gass, kważi sostitwixxu l-propulsjoni tal-fwar għal applikazzjonijiet tal-baħar.</v>
      </c>
    </row>
    <row r="7911" ht="15.75" customHeight="1">
      <c r="A7911" s="2" t="s">
        <v>7911</v>
      </c>
      <c r="B7911" s="2" t="str">
        <f>IFERROR(__xludf.DUMMYFUNCTION("GOOGLETRANSLATE(A7911, ""en"", ""mt"")"),"Fil-passat, l-għalliema tħallsu salarji relattivament baxxi. Madankollu, is-salarji medji tal-għalliema tjiebu malajr f'dawn l-aħħar snin. L-għalliema tal-Istati Uniti ġeneralment jitħallsu fuq skali gradwati, bi dħul skont l-esperjenza. Għalliema b'aktar"&amp;" esperjenza u edukazzjoni għolja jaqilgħu aktar minn dawk li għandhom grad u ċertifikat standard ta 'baċellerat. Is-salarji jvarjaw ħafna skont l-istat, l-għoli tal-ħajja relattiva, u l-grad mgħallem. Is-salarji jvarjaw ukoll fi stati fejn id-distretti ta"&amp;"l-iskejjel suburbani għonja ġeneralment għandhom skedi ta 'salarji ogħla minn distretti oħra. Is-salarju medjan għall-għalliema primarji u sekondarji kollha kien ta '$ 46,000 fl-2004, bis-salarju tad-dħul medju għal għalliem bi grad ta' baċellerat huwa st"&amp;"mat $ 32,000. Is-salarji medjani għall-għalliema ta 'qabel l-iskola, madankollu, kienu inqas minn nofs il-medjan nazzjonali għall-għalliema sekondarji, arloġġ ta' $ 21,000 fl-2004. Għall-għalliema tal-iskola għolja, is-salarji medjani fl-2007 kienu jvarja"&amp;"w minn $ 35,000 f'Dakota t'Isfel għal $ 71,000 fi New York, ma ' medjan nazzjonali ta '$ 52,000. Xi kuntratti jistgħu jinkludu assigurazzjoni ta 'diżabilità fit-tul, assigurazzjoni tal-ħajja, leave ta' emerġenza / leave personali u għażliet ta 'investimen"&amp;"t. L-istħarriġ tas-salarju tal-għalliema tal-Federazzjoni Amerikana tal-Għalliema għas-sena skolastika 2006-07 sab li s-salarju medju tal-għalliema kien ta '$ 51,009. F’rapport ta ’stħarriġ dwar is-salarji għall-għalliema tal-K-12, l-għalliema tal-iskola "&amp;"elementari kellhom l-inqas salarju medjan li jaqla’ $ 39,259. L-għalliema tal-iskola għolja kellhom l-ogħla salarju medjan li jaqilgħu $ 41,855. Ħafna għalliema jieħdu vantaġġ mill-opportunità li jżidu d-dħul tagħhom billi jissorveljaw programmi ta 'wara "&amp;"l-iskola u attivitajiet oħra extra-kurrikulari. Minbarra l-kumpens monetarju, l-għalliema tal-iskejjel pubbliċi jistgħu wkoll igawdu benefiċċji akbar (bħal assigurazzjoni tas-saħħa) meta mqabbla ma 'okkupazzjonijiet oħra. Is-sistemi tal-paga tal-mertu qeg"&amp;"ħdin jiżdiedu għall-għalliema, iħallsu l-għalliema flus żejda bbażati fuq evalwazzjonijiet tal-klassi eċċellenti, punteġġi għoljin tat-test u għal suċċess għoli fl-iskola ġenerali tagħhom. Ukoll, bil-miġja ta 'l-Internet, ħafna għalliema issa qed ibigħu l"&amp;"-pjanijiet tal-lezzjoni tagħhom lil għalliema oħra permezz tal-web sabiex jaqilgħu dħul supplimentari, l-aktar fuq TeacherSpayteachers.com.")</f>
        <v>Fil-passat, l-għalliema tħallsu salarji relattivament baxxi. Madankollu, is-salarji medji tal-għalliema tjiebu malajr f'dawn l-aħħar snin. L-għalliema tal-Istati Uniti ġeneralment jitħallsu fuq skali gradwati, bi dħul skont l-esperjenza. Għalliema b'aktar esperjenza u edukazzjoni għolja jaqilgħu aktar minn dawk li għandhom grad u ċertifikat standard ta 'baċellerat. Is-salarji jvarjaw ħafna skont l-istat, l-għoli tal-ħajja relattiva, u l-grad mgħallem. Is-salarji jvarjaw ukoll fi stati fejn id-distretti tal-iskejjel suburbani għonja ġeneralment għandhom skedi ta 'salarji ogħla minn distretti oħra. Is-salarju medjan għall-għalliema primarji u sekondarji kollha kien ta '$ 46,000 fl-2004, bis-salarju tad-dħul medju għal għalliem bi grad ta' baċellerat huwa stmat $ 32,000. Is-salarji medjani għall-għalliema ta 'qabel l-iskola, madankollu, kienu inqas minn nofs il-medjan nazzjonali għall-għalliema sekondarji, arloġġ ta' $ 21,000 fl-2004. Għall-għalliema tal-iskola għolja, is-salarji medjani fl-2007 kienu jvarjaw minn $ 35,000 f'Dakota t'Isfel għal $ 71,000 fi New York, ma ' medjan nazzjonali ta '$ 52,000. Xi kuntratti jistgħu jinkludu assigurazzjoni ta 'diżabilità fit-tul, assigurazzjoni tal-ħajja, leave ta' emerġenza / leave personali u għażliet ta 'investiment. L-istħarriġ tas-salarju tal-għalliema tal-Federazzjoni Amerikana tal-Għalliema għas-sena skolastika 2006-07 sab li s-salarju medju tal-għalliema kien ta '$ 51,009. F’rapport ta ’stħarriġ dwar is-salarji għall-għalliema tal-K-12, l-għalliema tal-iskola elementari kellhom l-inqas salarju medjan li jaqla’ $ 39,259. L-għalliema tal-iskola għolja kellhom l-ogħla salarju medjan li jaqilgħu $ 41,855. Ħafna għalliema jieħdu vantaġġ mill-opportunità li jżidu d-dħul tagħhom billi jissorveljaw programmi ta 'wara l-iskola u attivitajiet oħra extra-kurrikulari. Minbarra l-kumpens monetarju, l-għalliema tal-iskejjel pubbliċi jistgħu wkoll igawdu benefiċċji akbar (bħal assigurazzjoni tas-saħħa) meta mqabbla ma 'okkupazzjonijiet oħra. Is-sistemi tal-paga tal-mertu qegħdin jiżdiedu għall-għalliema, iħallsu l-għalliema flus żejda bbażati fuq evalwazzjonijiet tal-klassi eċċellenti, punteġġi għoljin tat-test u għal suċċess għoli fl-iskola ġenerali tagħhom. Ukoll, bil-miġja ta 'l-Internet, ħafna għalliema issa qed ibigħu l-pjanijiet tal-lezzjoni tagħhom lil għalliema oħra permezz tal-web sabiex jaqilgħu dħul supplimentari, l-aktar fuq TeacherSpayteachers.com.</v>
      </c>
    </row>
    <row r="7912" ht="15.75" customHeight="1">
      <c r="A7912" s="2" t="s">
        <v>7912</v>
      </c>
      <c r="B7912" s="2" t="str">
        <f>IFERROR(__xludf.DUMMYFUNCTION("GOOGLETRANSLATE(A7912, ""en"", ""mt"")"),"Min ħa n-nar?")</f>
        <v>Min ħa n-nar?</v>
      </c>
    </row>
    <row r="7913" ht="15.75" customHeight="1">
      <c r="A7913" s="2" t="s">
        <v>7913</v>
      </c>
      <c r="B7913" s="2" t="str">
        <f>IFERROR(__xludf.DUMMYFUNCTION("GOOGLETRANSLATE(A7913, ""en"", ""mt"")"),"M’għandniex xi ngħidu, xi klassijiet ta ’kumplessità għandhom definizzjonijiet ikkumplikati li ma jidħlux f’dan il-qafas. Għalhekk, klassi ta 'kumplessità tipika għandha definizzjoni bħal din li ġejja:")</f>
        <v>M’għandniex xi ngħidu, xi klassijiet ta ’kumplessità għandhom definizzjonijiet ikkumplikati li ma jidħlux f’dan il-qafas. Għalhekk, klassi ta 'kumplessità tipika għandha definizzjoni bħal din li ġejja:</v>
      </c>
    </row>
    <row r="7914" ht="15.75" customHeight="1">
      <c r="A7914" s="2" t="s">
        <v>7914</v>
      </c>
      <c r="B7914" s="2" t="str">
        <f>IFERROR(__xludf.DUMMYFUNCTION("GOOGLETRANSLATE(A7914, ""en"", ""mt"")"),"Numri żgħar ta 'kolonizzaturi")</f>
        <v>Numri żgħar ta 'kolonizzaturi</v>
      </c>
    </row>
    <row r="7915" ht="15.75" customHeight="1">
      <c r="A7915" s="2" t="s">
        <v>7915</v>
      </c>
      <c r="B7915" s="2" t="str">
        <f>IFERROR(__xludf.DUMMYFUNCTION("GOOGLETRANSLATE(A7915, ""en"", ""mt"")"),"Kif jitqassam id-dħul fl-Iżvezja?")</f>
        <v>Kif jitqassam id-dħul fl-Iżvezja?</v>
      </c>
    </row>
    <row r="7916" ht="15.75" customHeight="1">
      <c r="A7916" s="2" t="s">
        <v>7916</v>
      </c>
      <c r="B7916" s="2" t="str">
        <f>IFERROR(__xludf.DUMMYFUNCTION("GOOGLETRANSLATE(A7916, ""en"", ""mt"")"),"Liema wirja ta 'Peter Jennings ankra għal ABC?")</f>
        <v>Liema wirja ta 'Peter Jennings ankra għal ABC?</v>
      </c>
    </row>
    <row r="7917" ht="15.75" customHeight="1">
      <c r="A7917" s="2" t="s">
        <v>7917</v>
      </c>
      <c r="B7917" s="2" t="str">
        <f>IFERROR(__xludf.DUMMYFUNCTION("GOOGLETRANSLATE(A7917, ""en"", ""mt"")"),"Min ifakkar l-istatwa ta 'ftit ribelli?")</f>
        <v>Min ifakkar l-istatwa ta 'ftit ribelli?</v>
      </c>
    </row>
    <row r="7918" ht="15.75" customHeight="1">
      <c r="A7918" s="2" t="s">
        <v>7918</v>
      </c>
      <c r="B7918" s="2" t="str">
        <f>IFERROR(__xludf.DUMMYFUNCTION("GOOGLETRANSLATE(A7918, ""en"", ""mt"")"),"Milutin Tesla miet f'liema età?")</f>
        <v>Milutin Tesla miet f'liema età?</v>
      </c>
    </row>
    <row r="7919" ht="15.75" customHeight="1">
      <c r="A7919" s="2" t="s">
        <v>7919</v>
      </c>
      <c r="B7919" s="2" t="str">
        <f>IFERROR(__xludf.DUMMYFUNCTION("GOOGLETRANSLATE(A7919, ""en"", ""mt"")"),"Prelaunch")</f>
        <v>Prelaunch</v>
      </c>
    </row>
    <row r="7920" ht="15.75" customHeight="1">
      <c r="A7920" s="2" t="s">
        <v>7920</v>
      </c>
      <c r="B7920" s="2" t="str">
        <f>IFERROR(__xludf.DUMMYFUNCTION("GOOGLETRANSLATE(A7920, ""en"", ""mt"")"),"Vuċi fid-deżert")</f>
        <v>Vuċi fid-deżert</v>
      </c>
    </row>
    <row r="7921" ht="15.75" customHeight="1">
      <c r="A7921" s="2" t="s">
        <v>7921</v>
      </c>
      <c r="B7921" s="2" t="str">
        <f>IFERROR(__xludf.DUMMYFUNCTION("GOOGLETRANSLATE(A7921, ""en"", ""mt"")"),"Paul von Lettow-Vorbeck")</f>
        <v>Paul von Lettow-Vorbeck</v>
      </c>
    </row>
    <row r="7922" ht="15.75" customHeight="1">
      <c r="A7922" s="2" t="s">
        <v>7922</v>
      </c>
      <c r="B7922" s="2" t="str">
        <f>IFERROR(__xludf.DUMMYFUNCTION("GOOGLETRANSLATE(A7922, ""en"", ""mt"")"),"Meta nqabad Waruhiu ITote?")</f>
        <v>Meta nqabad Waruhiu ITote?</v>
      </c>
    </row>
    <row r="7923" ht="15.75" customHeight="1">
      <c r="A7923" s="2" t="s">
        <v>7923</v>
      </c>
      <c r="B7923" s="2" t="str">
        <f>IFERROR(__xludf.DUMMYFUNCTION("GOOGLETRANSLATE(A7923, ""en"", ""mt"")"),"It-telf tal-bijodiversità jista 'jkun ir-riżultat ta' dak, skond l-ambjentalisti?")</f>
        <v>It-telf tal-bijodiversità jista 'jkun ir-riżultat ta' dak, skond l-ambjentalisti?</v>
      </c>
    </row>
    <row r="7924" ht="15.75" customHeight="1">
      <c r="A7924" s="2" t="s">
        <v>7924</v>
      </c>
      <c r="B7924" s="2" t="str">
        <f>IFERROR(__xludf.DUMMYFUNCTION("GOOGLETRANSLATE(A7924, ""en"", ""mt"")"),"Kemm tiġi kkunsmata l-enerġija tat-turbina mill-pompa waqt li l-fluwidu tax-xogħol jiġi kondensat?")</f>
        <v>Kemm tiġi kkunsmata l-enerġija tat-turbina mill-pompa waqt li l-fluwidu tax-xogħol jiġi kondensat?</v>
      </c>
    </row>
    <row r="7925" ht="15.75" customHeight="1">
      <c r="A7925" s="2" t="s">
        <v>7925</v>
      </c>
      <c r="B7925" s="2" t="str">
        <f>IFERROR(__xludf.DUMMYFUNCTION("GOOGLETRANSLATE(A7925, ""en"", ""mt"")"),"X'jifhem il-manuskritt Armagnac fl-arkivju tal-librerija V &amp; A?")</f>
        <v>X'jifhem il-manuskritt Armagnac fl-arkivju tal-librerija V &amp; A?</v>
      </c>
    </row>
    <row r="7926" ht="15.75" customHeight="1">
      <c r="A7926" s="2" t="s">
        <v>7926</v>
      </c>
      <c r="B7926" s="2" t="str">
        <f>IFERROR(__xludf.DUMMYFUNCTION("GOOGLETRANSLATE(A7926, ""en"", ""mt"")"),"Fejn qed jaħdmu l-iktar tfal li jaħdmu?")</f>
        <v>Fejn qed jaħdmu l-iktar tfal li jaħdmu?</v>
      </c>
    </row>
    <row r="7927" ht="15.75" customHeight="1">
      <c r="A7927" s="2" t="s">
        <v>7927</v>
      </c>
      <c r="B7927" s="2" t="str">
        <f>IFERROR(__xludf.DUMMYFUNCTION("GOOGLETRANSLATE(A7927, ""en"", ""mt"")"),"ħaxix")</f>
        <v>ħaxix</v>
      </c>
    </row>
    <row r="7928" ht="15.75" customHeight="1">
      <c r="A7928" s="2" t="s">
        <v>7928</v>
      </c>
      <c r="B7928" s="2" t="str">
        <f>IFERROR(__xludf.DUMMYFUNCTION("GOOGLETRANSLATE(A7928, ""en"", ""mt"")"),"34 miljun")</f>
        <v>34 miljun</v>
      </c>
    </row>
    <row r="7929" ht="15.75" customHeight="1">
      <c r="A7929" s="2" t="s">
        <v>7929</v>
      </c>
      <c r="B7929" s="2" t="str">
        <f>IFERROR(__xludf.DUMMYFUNCTION("GOOGLETRANSLATE(A7929, ""en"", ""mt"")"),"terz")</f>
        <v>terz</v>
      </c>
    </row>
    <row r="7930" ht="15.75" customHeight="1">
      <c r="A7930" s="2" t="s">
        <v>7930</v>
      </c>
      <c r="B7930" s="2" t="str">
        <f>IFERROR(__xludf.DUMMYFUNCTION("GOOGLETRANSLATE(A7930, ""en"", ""mt"")"),"Lawbreakers tal-Kuxjenza")</f>
        <v>Lawbreakers tal-Kuxjenza</v>
      </c>
    </row>
    <row r="7931" ht="15.75" customHeight="1">
      <c r="A7931" s="2" t="s">
        <v>7931</v>
      </c>
      <c r="B7931" s="2" t="str">
        <f>IFERROR(__xludf.DUMMYFUNCTION("GOOGLETRANSLATE(A7931, ""en"", ""mt"")"),"Rēnos")</f>
        <v>Rēnos</v>
      </c>
    </row>
    <row r="7932" ht="15.75" customHeight="1">
      <c r="A7932" s="2" t="s">
        <v>7932</v>
      </c>
      <c r="B7932" s="2" t="str">
        <f>IFERROR(__xludf.DUMMYFUNCTION("GOOGLETRANSLATE(A7932, ""en"", ""mt"")"),"Teżi 86")</f>
        <v>Teżi 86</v>
      </c>
    </row>
    <row r="7933" ht="15.75" customHeight="1">
      <c r="A7933" s="2" t="s">
        <v>7933</v>
      </c>
      <c r="B7933" s="2" t="str">
        <f>IFERROR(__xludf.DUMMYFUNCTION("GOOGLETRANSLATE(A7933, ""en"", ""mt"")"),"Kemm speċi ta 'pjanti huma ta' interess għas-soċjetà u l-manifatturi jeżistu fil-foresta tropikali tal-Amazon?")</f>
        <v>Kemm speċi ta 'pjanti huma ta' interess għas-soċjetà u l-manifatturi jeżistu fil-foresta tropikali tal-Amazon?</v>
      </c>
    </row>
    <row r="7934" ht="15.75" customHeight="1">
      <c r="A7934" s="2" t="s">
        <v>7934</v>
      </c>
      <c r="B7934" s="2" t="str">
        <f>IFERROR(__xludf.DUMMYFUNCTION("GOOGLETRANSLATE(A7934, ""en"", ""mt"")"),"X'inhu l-kumitat ta 'tmexxija li vvota favur proposta li tippermetti lill-ministri biex jorganizzaw tiġijiet tal-istess sess?")</f>
        <v>X'inhu l-kumitat ta 'tmexxija li vvota favur proposta li tippermetti lill-ministri biex jorganizzaw tiġijiet tal-istess sess?</v>
      </c>
    </row>
    <row r="7935" ht="15.75" customHeight="1">
      <c r="A7935" s="2" t="s">
        <v>7935</v>
      </c>
      <c r="B7935" s="2" t="str">
        <f>IFERROR(__xludf.DUMMYFUNCTION("GOOGLETRANSLATE(A7935, ""en"", ""mt"")"),"Wara li l-invażjoni Ġermaniża tal-Polonja fl-1 ta 'Settembru 1939 bdiet it-Tieni Gwerra Dinjija, Varsavja ġiet iddefendata sas-27 ta' Settembru. Il-Polonja Ċentrali, inkluż Varsavja, ġiet taħt il-ħakma tal-gvern ġenerali, amministrazzjoni kolonjali Ġerman"&amp;"iża Nażista. L-istituzzjonijiet kollha tal-edukazzjoni għolja ngħalqu immedjatament u l-popolazzjoni Lhudija kollha ta 'Varsavja - bosta mijiet ta' eluf, xi 30% tal-belt - imdaħħlin fil-ghetto ta 'Varsavja. Il-belt kienet issir iċ-ċentru tar-reżistenza ur"&amp;"bana għall-ħakma Nażista fl-Ewropa okkupata. Meta l-ordni waslet biex tbatti l-ghetto bħala parti mis-soluzzjoni finali ta 'Hitler fid-19 ta' April 1943, ġellieda Lhud nedew ir-Rebbiegħa tal-Ghetto ta 'Varsavja. Minkejja li kien ingħata ħafna u nqabad, il"&amp;"-ghetto żamm għal kważi xahar. Meta ntemm il-ġlied, kważi s-superstiti kollha ġew massakrati, bi ftit biss jirnexxilhom jaħarbu jew jinħbew.")</f>
        <v>Wara li l-invażjoni Ġermaniża tal-Polonja fl-1 ta 'Settembru 1939 bdiet it-Tieni Gwerra Dinjija, Varsavja ġiet iddefendata sas-27 ta' Settembru. Il-Polonja Ċentrali, inkluż Varsavja, ġiet taħt il-ħakma tal-gvern ġenerali, amministrazzjoni kolonjali Ġermaniża Nażista. L-istituzzjonijiet kollha tal-edukazzjoni għolja ngħalqu immedjatament u l-popolazzjoni Lhudija kollha ta 'Varsavja - bosta mijiet ta' eluf, xi 30% tal-belt - imdaħħlin fil-ghetto ta 'Varsavja. Il-belt kienet issir iċ-ċentru tar-reżistenza urbana għall-ħakma Nażista fl-Ewropa okkupata. Meta l-ordni waslet biex tbatti l-ghetto bħala parti mis-soluzzjoni finali ta 'Hitler fid-19 ta' April 1943, ġellieda Lhud nedew ir-Rebbiegħa tal-Ghetto ta 'Varsavja. Minkejja li kien ingħata ħafna u nqabad, il-ghetto żamm għal kważi xahar. Meta ntemm il-ġlied, kważi s-superstiti kollha ġew massakrati, bi ftit biss jirnexxilhom jaħarbu jew jinħbew.</v>
      </c>
    </row>
    <row r="7936" ht="15.75" customHeight="1">
      <c r="A7936" s="2" t="s">
        <v>7936</v>
      </c>
      <c r="B7936" s="2" t="str">
        <f>IFERROR(__xludf.DUMMYFUNCTION("GOOGLETRANSLATE(A7936, ""en"", ""mt"")"),"Meta Tesla brevett il-mutur?")</f>
        <v>Meta Tesla brevett il-mutur?</v>
      </c>
    </row>
    <row r="7937" ht="15.75" customHeight="1">
      <c r="A7937" s="2" t="s">
        <v>7937</v>
      </c>
      <c r="B7937" s="2" t="str">
        <f>IFERROR(__xludf.DUMMYFUNCTION("GOOGLETRANSLATE(A7937, ""en"", ""mt"")"),"René-Robert Cavelier, Sieur de la Salle kien esplora l-pajjiż ta 'Ohio kważi seklu qabel")</f>
        <v>René-Robert Cavelier, Sieur de la Salle kien esplora l-pajjiż ta 'Ohio kważi seklu qabel</v>
      </c>
    </row>
    <row r="7938" ht="15.75" customHeight="1">
      <c r="A7938" s="2" t="s">
        <v>7938</v>
      </c>
      <c r="B7938" s="2" t="str">
        <f>IFERROR(__xludf.DUMMYFUNCTION("GOOGLETRANSLATE(A7938, ""en"", ""mt"")"),"Il-Fresno Barn")</f>
        <v>Il-Fresno Barn</v>
      </c>
    </row>
    <row r="7939" ht="15.75" customHeight="1">
      <c r="A7939" s="2" t="s">
        <v>7939</v>
      </c>
      <c r="B7939" s="2" t="str">
        <f>IFERROR(__xludf.DUMMYFUNCTION("GOOGLETRANSLATE(A7939, ""en"", ""mt"")"),"Fl-1700 diversi mijiet ta ’Huguenots Franċiżi emigraw mill-Ingilterra sal-kolonja ta’ Virginia, fejn il-kuruna Ingliża kienet wiegħedhom għotjiet fl-art fil-Kontea ta ’Norfolk Lower. Meta waslu, l-awtoritajiet kolonjali offrewhom minflok jillandjaw 20 mil"&amp;" 'il fuq mill-waqgħat tax-Xmara James, fil-villaġġ ta' Monacan abbandunat magħruf bħala Manakin Town, issa fil-Kontea ta 'Powhatan. Xi kolonisti żbarkaw fil-Kontea ta 'Chesterfield preżenti. Fit-12 ta 'Mejju 1705, l-Assemblea Ġenerali ta' Virginia għaddie"&amp;"t att biex timmatura l-148 Huguenots li għadhom residenti f'Manakintown. Mill-390 kolonizzaturi oriġinali fis-soluzzjoni iżolata, ħafna mietu; oħrajn għexu barra l-belt fl-irziezet fl-istil Ingliż; U oħrajn marru jgħixu f'żoni differenti. Gradwalment huma"&amp;" żżewġu mal-ġirien Ingliżi tagħhom. Matul is-sekli 18 u 19, id-dixxendenti tal-Franċiżi emigraw lejn il-punent fil-Piemonte, u madwar il-muntanji Appalaċi fil-punent ta 'dak li sar Kentucky, Tennessee, Missouri, u stati oħra. Fiż-żona ta 'Manakintown, il-"&amp;"Pont Memorial Huguenot madwar ix-Xmara James u Triq Huguenot ġew imsemmija fl-unur tagħhom, bħalma kienu bosta karatteristiċi lokali, inklużi diversi skejjel, inklużi Huguenot High School.")</f>
        <v>Fl-1700 diversi mijiet ta ’Huguenots Franċiżi emigraw mill-Ingilterra sal-kolonja ta’ Virginia, fejn il-kuruna Ingliża kienet wiegħedhom għotjiet fl-art fil-Kontea ta ’Norfolk Lower. Meta waslu, l-awtoritajiet kolonjali offrewhom minflok jillandjaw 20 mil 'il fuq mill-waqgħat tax-Xmara James, fil-villaġġ ta' Monacan abbandunat magħruf bħala Manakin Town, issa fil-Kontea ta 'Powhatan. Xi kolonisti żbarkaw fil-Kontea ta 'Chesterfield preżenti. Fit-12 ta 'Mejju 1705, l-Assemblea Ġenerali ta' Virginia għaddiet att biex timmatura l-148 Huguenots li għadhom residenti f'Manakintown. Mill-390 kolonizzaturi oriġinali fis-soluzzjoni iżolata, ħafna mietu; oħrajn għexu barra l-belt fl-irziezet fl-istil Ingliż; U oħrajn marru jgħixu f'żoni differenti. Gradwalment huma żżewġu mal-ġirien Ingliżi tagħhom. Matul is-sekli 18 u 19, id-dixxendenti tal-Franċiżi emigraw lejn il-punent fil-Piemonte, u madwar il-muntanji Appalaċi fil-punent ta 'dak li sar Kentucky, Tennessee, Missouri, u stati oħra. Fiż-żona ta 'Manakintown, il-Pont Memorial Huguenot madwar ix-Xmara James u Triq Huguenot ġew imsemmija fl-unur tagħhom, bħalma kienu bosta karatteristiċi lokali, inklużi diversi skejjel, inklużi Huguenot High School.</v>
      </c>
    </row>
    <row r="7940" ht="15.75" customHeight="1">
      <c r="A7940" s="2" t="s">
        <v>7940</v>
      </c>
      <c r="B7940" s="2" t="str">
        <f>IFERROR(__xludf.DUMMYFUNCTION("GOOGLETRANSLATE(A7940, ""en"", ""mt"")"),"Kemm kienet tgħix Julia Butterfly Hill f'siġra?")</f>
        <v>Kemm kienet tgħix Julia Butterfly Hill f'siġra?</v>
      </c>
    </row>
    <row r="7941" ht="15.75" customHeight="1">
      <c r="A7941" s="2" t="s">
        <v>7941</v>
      </c>
      <c r="B7941" s="2" t="str">
        <f>IFERROR(__xludf.DUMMYFUNCTION("GOOGLETRANSLATE(A7941, ""en"", ""mt"")"),"fi pressjonijiet parzjali aktar minn 50 kilopascals")</f>
        <v>fi pressjonijiet parzjali aktar minn 50 kilopascals</v>
      </c>
    </row>
    <row r="7942" ht="15.75" customHeight="1">
      <c r="A7942" s="2" t="s">
        <v>7942</v>
      </c>
      <c r="B7942" s="2" t="str">
        <f>IFERROR(__xludf.DUMMYFUNCTION("GOOGLETRANSLATE(A7942, ""en"", ""mt"")"),"Pressjoni ikbar tal-fwar u aktar qawwa")</f>
        <v>Pressjoni ikbar tal-fwar u aktar qawwa</v>
      </c>
    </row>
    <row r="7943" ht="15.75" customHeight="1">
      <c r="A7943" s="2" t="s">
        <v>7943</v>
      </c>
      <c r="B7943" s="2" t="str">
        <f>IFERROR(__xludf.DUMMYFUNCTION("GOOGLETRANSLATE(A7943, ""en"", ""mt"")"),"Fi ħdan il-Maria u ċ-ċinturin tal-ġibda")</f>
        <v>Fi ħdan il-Maria u ċ-ċinturin tal-ġibda</v>
      </c>
    </row>
    <row r="7944" ht="15.75" customHeight="1">
      <c r="A7944" s="2" t="s">
        <v>7944</v>
      </c>
      <c r="B7944" s="2" t="str">
        <f>IFERROR(__xludf.DUMMYFUNCTION("GOOGLETRANSLATE(A7944, ""en"", ""mt"")"),"potenzjali")</f>
        <v>potenzjali</v>
      </c>
    </row>
    <row r="7945" ht="15.75" customHeight="1">
      <c r="A7945" s="2" t="s">
        <v>7945</v>
      </c>
      <c r="B7945" s="2" t="str">
        <f>IFERROR(__xludf.DUMMYFUNCTION("GOOGLETRANSLATE(A7945, ""en"", ""mt"")"),"Bħala riżultat tar-Rivoluzzjoni Amerikana,")</f>
        <v>Bħala riżultat tar-Rivoluzzjoni Amerikana,</v>
      </c>
    </row>
    <row r="7946" ht="15.75" customHeight="1">
      <c r="A7946" s="2" t="s">
        <v>7946</v>
      </c>
      <c r="B7946" s="2" t="str">
        <f>IFERROR(__xludf.DUMMYFUNCTION("GOOGLETRANSLATE(A7946, ""en"", ""mt"")"),"Lvant Nofsani")</f>
        <v>Lvant Nofsani</v>
      </c>
    </row>
    <row r="7947" ht="15.75" customHeight="1">
      <c r="A7947" s="2" t="s">
        <v>7947</v>
      </c>
      <c r="B7947" s="2" t="str">
        <f>IFERROR(__xludf.DUMMYFUNCTION("GOOGLETRANSLATE(A7947, ""en"", ""mt"")"),"Sistema kurrenti alternattiva biex titħaddem il-streetcars tal-belt")</f>
        <v>Sistema kurrenti alternattiva biex titħaddem il-streetcars tal-belt</v>
      </c>
    </row>
    <row r="7948" ht="15.75" customHeight="1">
      <c r="A7948" s="2" t="s">
        <v>7948</v>
      </c>
      <c r="B7948" s="2" t="str">
        <f>IFERROR(__xludf.DUMMYFUNCTION("GOOGLETRANSLATE(A7948, ""en"", ""mt"")"),"X'kien il-kastig ta 'Thoreau talli ma ħallasx it-taxxi tiegħu?")</f>
        <v>X'kien il-kastig ta 'Thoreau talli ma ħallasx it-taxxi tiegħu?</v>
      </c>
    </row>
    <row r="7949" ht="15.75" customHeight="1">
      <c r="A7949" s="2" t="s">
        <v>7949</v>
      </c>
      <c r="B7949" s="2" t="str">
        <f>IFERROR(__xludf.DUMMYFUNCTION("GOOGLETRANSLATE(A7949, ""en"", ""mt"")"),"Confucian")</f>
        <v>Confucian</v>
      </c>
    </row>
    <row r="7950" ht="15.75" customHeight="1">
      <c r="A7950" s="2" t="s">
        <v>7950</v>
      </c>
      <c r="B7950" s="2" t="str">
        <f>IFERROR(__xludf.DUMMYFUNCTION("GOOGLETRANSLATE(A7950, ""en"", ""mt"")"),"X'kien l-isem ta 'omm Tesla?")</f>
        <v>X'kien l-isem ta 'omm Tesla?</v>
      </c>
    </row>
    <row r="7951" ht="15.75" customHeight="1">
      <c r="A7951" s="2" t="s">
        <v>7951</v>
      </c>
      <c r="B7951" s="2" t="str">
        <f>IFERROR(__xludf.DUMMYFUNCTION("GOOGLETRANSLATE(A7951, ""en"", ""mt"")"),"Min jgħidu l-biċċa l-kbira tal-ġurisdizzjonijiet jistgħu jagħtu drogi skedati lill-pubbliku?")</f>
        <v>Min jgħidu l-biċċa l-kbira tal-ġurisdizzjonijiet jistgħu jagħtu drogi skedati lill-pubbliku?</v>
      </c>
    </row>
    <row r="7952" ht="15.75" customHeight="1">
      <c r="A7952" s="2" t="s">
        <v>7952</v>
      </c>
      <c r="B7952" s="2" t="str">
        <f>IFERROR(__xludf.DUMMYFUNCTION("GOOGLETRANSLATE(A7952, ""en"", ""mt"")"),"X'kien il-bini tbattal darbtejn biex jippermetti?")</f>
        <v>X'kien il-bini tbattal darbtejn biex jippermetti?</v>
      </c>
    </row>
    <row r="7953" ht="15.75" customHeight="1">
      <c r="A7953" s="2" t="s">
        <v>7953</v>
      </c>
      <c r="B7953" s="2" t="str">
        <f>IFERROR(__xludf.DUMMYFUNCTION("GOOGLETRANSLATE(A7953, ""en"", ""mt"")"),"Liema avveniment Ewropew ikkawża li l-Huguenots jabbandunaw lil Charlesfort?")</f>
        <v>Liema avveniment Ewropew ikkawża li l-Huguenots jabbandunaw lil Charlesfort?</v>
      </c>
    </row>
    <row r="7954" ht="15.75" customHeight="1">
      <c r="A7954" s="2" t="s">
        <v>7954</v>
      </c>
      <c r="B7954" s="2" t="str">
        <f>IFERROR(__xludf.DUMMYFUNCTION("GOOGLETRANSLATE(A7954, ""en"", ""mt"")"),"L-ewwel reazzjoni nukleari magħmula minnha nnifisha tad-dinja,")</f>
        <v>L-ewwel reazzjoni nukleari magħmula minnha nnifisha tad-dinja,</v>
      </c>
    </row>
    <row r="7955" ht="15.75" customHeight="1">
      <c r="A7955" s="2" t="s">
        <v>7955</v>
      </c>
      <c r="B7955" s="2" t="str">
        <f>IFERROR(__xludf.DUMMYFUNCTION("GOOGLETRANSLATE(A7955, ""en"", ""mt"")"),"asfissjat")</f>
        <v>asfissjat</v>
      </c>
    </row>
    <row r="7956" ht="15.75" customHeight="1">
      <c r="A7956" s="2" t="s">
        <v>7956</v>
      </c>
      <c r="B7956" s="2" t="str">
        <f>IFERROR(__xludf.DUMMYFUNCTION("GOOGLETRANSLATE(A7956, ""en"", ""mt"")"),"Il-metodu ewlieni l-ieħor ta 'produzzjoni O
2 gass jinvolvi li tgħaddi fluss ta 'arja nadifa u niexfa minn sodda waħda ta' par ta 'passaġġi molekulari identiċi taż-żeoliti, li jassorbi n-nitroġenu u jagħti fluss tal-gass li huwa 90% sa 93% o
2. Fl-istess "&amp;"ħin, il-gass tan-nitroġenu jinħeles mis-sodda taż-żeoliti l-oħra saturata għan-nitroġenu, billi tnaqqas il-pressjoni operattiva tal-kamra u tiddevja l-parti tal-gass tal-ossiġnu mis-sodda tal-produttur minn ġo fih, fid-direzzjoni ta 'wara tal-fluss. Wara "&amp;"ħin ta 'ċiklu stabbilit it-tħaddim taż-żewġ sodod huwa interkambjat, u b'hekk jippermetti li provvista kontinwa ta' ossiġenu gassuż jiġi ppumpjat permezz ta 'pipeline. Dan huwa magħruf bħala adsorbiment ta 'tbandil tal-pressjoni. Il-gass ta 'l-ossiġnu huw"&amp;"a dejjem aktar miksub minn dawn it-teknoloġiji mhux kriġeniċi (ara wkoll l-adsorbiment relatat ma' swing tal-vakwu).")</f>
        <v>Il-metodu ewlieni l-ieħor ta 'produzzjoni O
2 gass jinvolvi li tgħaddi fluss ta 'arja nadifa u niexfa minn sodda waħda ta' par ta 'passaġġi molekulari identiċi taż-żeoliti, li jassorbi n-nitroġenu u jagħti fluss tal-gass li huwa 90% sa 93% o
2. Fl-istess ħin, il-gass tan-nitroġenu jinħeles mis-sodda taż-żeoliti l-oħra saturata għan-nitroġenu, billi tnaqqas il-pressjoni operattiva tal-kamra u tiddevja l-parti tal-gass tal-ossiġnu mis-sodda tal-produttur minn ġo fih, fid-direzzjoni ta 'wara tal-fluss. Wara ħin ta 'ċiklu stabbilit it-tħaddim taż-żewġ sodod huwa interkambjat, u b'hekk jippermetti li provvista kontinwa ta' ossiġenu gassuż jiġi ppumpjat permezz ta 'pipeline. Dan huwa magħruf bħala adsorbiment ta 'tbandil tal-pressjoni. Il-gass ta 'l-ossiġnu huwa dejjem aktar miksub minn dawn it-teknoloġiji mhux kriġeniċi (ara wkoll l-adsorbiment relatat ma' swing tal-vakwu).</v>
      </c>
    </row>
    <row r="7957" ht="15.75" customHeight="1">
      <c r="A7957" s="2" t="s">
        <v>7957</v>
      </c>
      <c r="B7957" s="2" t="str">
        <f>IFERROR(__xludf.DUMMYFUNCTION("GOOGLETRANSLATE(A7957, ""en"", ""mt"")"),"Kemm-il btieħi kien il-gowl fil-grawnd li għamel l-iskor 13-7 fis-Super Bowl 50?")</f>
        <v>Kemm-il btieħi kien il-gowl fil-grawnd li għamel l-iskor 13-7 fis-Super Bowl 50?</v>
      </c>
    </row>
    <row r="7958" ht="15.75" customHeight="1">
      <c r="A7958" s="2" t="s">
        <v>7958</v>
      </c>
      <c r="B7958" s="2" t="str">
        <f>IFERROR(__xludf.DUMMYFUNCTION("GOOGLETRANSLATE(A7958, ""en"", ""mt"")"),"A → G DEAMINAMINA")</f>
        <v>A → G DEAMINAMINA</v>
      </c>
    </row>
    <row r="7959" ht="15.75" customHeight="1">
      <c r="A7959" s="2" t="s">
        <v>7959</v>
      </c>
      <c r="B7959" s="2" t="str">
        <f>IFERROR(__xludf.DUMMYFUNCTION("GOOGLETRANSLATE(A7959, ""en"", ""mt"")"),"1888")</f>
        <v>1888</v>
      </c>
    </row>
    <row r="7960" ht="15.75" customHeight="1">
      <c r="A7960" s="2" t="s">
        <v>7960</v>
      </c>
      <c r="B7960" s="2" t="str">
        <f>IFERROR(__xludf.DUMMYFUNCTION("GOOGLETRANSLATE(A7960, ""en"", ""mt"")"),"Arkivju tal-Mużew Nikola Tesla")</f>
        <v>Arkivju tal-Mużew Nikola Tesla</v>
      </c>
    </row>
    <row r="7961" ht="15.75" customHeight="1">
      <c r="A7961" s="2" t="s">
        <v>7961</v>
      </c>
      <c r="B7961" s="2" t="str">
        <f>IFERROR(__xludf.DUMMYFUNCTION("GOOGLETRANSLATE(A7961, ""en"", ""mt"")"),"X'inhu xi kultant iktar effettiv minn diżubbidjenza ċivili xi drabi?")</f>
        <v>X'inhu xi kultant iktar effettiv minn diżubbidjenza ċivili xi drabi?</v>
      </c>
    </row>
    <row r="7962" ht="15.75" customHeight="1">
      <c r="A7962" s="2" t="s">
        <v>7962</v>
      </c>
      <c r="B7962" s="2" t="str">
        <f>IFERROR(__xludf.DUMMYFUNCTION("GOOGLETRANSLATE(A7962, ""en"", ""mt"")"),"Liema invenzjoni oħra ta 'Tesla's għamlet il-liċenzja ta' Westinghouse?")</f>
        <v>Liema invenzjoni oħra ta 'Tesla's għamlet il-liċenzja ta' Westinghouse?</v>
      </c>
    </row>
    <row r="7963" ht="15.75" customHeight="1">
      <c r="A7963" s="2" t="s">
        <v>7963</v>
      </c>
      <c r="B7963" s="2" t="str">
        <f>IFERROR(__xludf.DUMMYFUNCTION("GOOGLETRANSLATE(A7963, ""en"", ""mt"")"),"It-teoremi tal-ġerarkija tal-ħin u tal-ispazju jiffurmaw il-bażi għall-biċċa l-kbira tar-riżultati tas-separazzjoni tal-klassijiet tal-kumplessità. Pereżempju, it-teorema tal-ġerarkija tal-ħin tgħidilna li P tinsab strettament fl-eżptime, u t-teorema tal-"&amp;"ġerarkija spazjali tgħidilna li L hija strettament tinsab fi PSPACE.")</f>
        <v>It-teoremi tal-ġerarkija tal-ħin u tal-ispazju jiffurmaw il-bażi għall-biċċa l-kbira tar-riżultati tas-separazzjoni tal-klassijiet tal-kumplessità. Pereżempju, it-teorema tal-ġerarkija tal-ħin tgħidilna li P tinsab strettament fl-eżptime, u t-teorema tal-ġerarkija spazjali tgħidilna li L hija strettament tinsab fi PSPACE.</v>
      </c>
    </row>
    <row r="7964" ht="15.75" customHeight="1">
      <c r="A7964" s="2" t="s">
        <v>7964</v>
      </c>
      <c r="B7964" s="2" t="str">
        <f>IFERROR(__xludf.DUMMYFUNCTION("GOOGLETRANSLATE(A7964, ""en"", ""mt"")"),"Ctenophores u cnidarians huma kklassifikati bħala?")</f>
        <v>Ctenophores u cnidarians huma kklassifikati bħala?</v>
      </c>
    </row>
    <row r="7965" ht="15.75" customHeight="1">
      <c r="A7965" s="2" t="s">
        <v>7965</v>
      </c>
      <c r="B7965" s="2" t="str">
        <f>IFERROR(__xludf.DUMMYFUNCTION("GOOGLETRANSLATE(A7965, ""en"", ""mt"")"),"Is-Servizz tal-Librerija Nazzjonali tal-Kenja")</f>
        <v>Is-Servizz tal-Librerija Nazzjonali tal-Kenja</v>
      </c>
    </row>
    <row r="7966" ht="15.75" customHeight="1">
      <c r="A7966" s="2" t="s">
        <v>7966</v>
      </c>
      <c r="B7966" s="2" t="str">
        <f>IFERROR(__xludf.DUMMYFUNCTION("GOOGLETRANSLATE(A7966, ""en"", ""mt"")"),"Il-forza normali hija dovuta għal forzi repulsivi ta 'interazzjoni bejn l-atomi f'kuntatt mill-qrib. Meta s-sħab tal-elettroni tagħhom jikkoinċidu, ir-repulsjoni ta 'Pauli (minħabba n-natura fermjonika ta' l-elettroni) issegwi li tirriżulta fil-forza li t"&amp;"aġixxi f'direzzjoni normali għall-interface tal-wiċċ bejn żewġ oġġetti.:93 Il-forza normali, pereżempju, hija responsabbli għall-integrità strutturali ta 'tabelli u sulari kif ukoll il-forza li tirrispondi kull meta forza esterna timbotta fuq oġġett solid"&amp;"u. Eżempju tal-forza normali fl-azzjoni hija l-forza tal-impatt fuq oġġett li jiġġarraf f'wiċċ immobbli.")</f>
        <v>Il-forza normali hija dovuta għal forzi repulsivi ta 'interazzjoni bejn l-atomi f'kuntatt mill-qrib. Meta s-sħab tal-elettroni tagħhom jikkoinċidu, ir-repulsjoni ta 'Pauli (minħabba n-natura fermjonika ta' l-elettroni) issegwi li tirriżulta fil-forza li taġixxi f'direzzjoni normali għall-interface tal-wiċċ bejn żewġ oġġetti.:93 Il-forza normali, pereżempju, hija responsabbli għall-integrità strutturali ta 'tabelli u sulari kif ukoll il-forza li tirrispondi kull meta forza esterna timbotta fuq oġġett solidu. Eżempju tal-forza normali fl-azzjoni hija l-forza tal-impatt fuq oġġett li jiġġarraf f'wiċċ immobbli.</v>
      </c>
    </row>
    <row r="7967" ht="15.75" customHeight="1">
      <c r="A7967" s="2" t="s">
        <v>7967</v>
      </c>
      <c r="B7967" s="2" t="str">
        <f>IFERROR(__xludf.DUMMYFUNCTION("GOOGLETRANSLATE(A7967, ""en"", ""mt"")"),"Min għamel is-Super Bowl 50 Innu Nazzjonali?")</f>
        <v>Min għamel is-Super Bowl 50 Innu Nazzjonali?</v>
      </c>
    </row>
    <row r="7968" ht="15.75" customHeight="1">
      <c r="A7968" s="2" t="s">
        <v>7968</v>
      </c>
      <c r="B7968" s="2" t="str">
        <f>IFERROR(__xludf.DUMMYFUNCTION("GOOGLETRANSLATE(A7968, ""en"", ""mt"")"),"Kemm timijiet tal-NFL marru 15-1 fi staġun wieħed?")</f>
        <v>Kemm timijiet tal-NFL marru 15-1 fi staġun wieħed?</v>
      </c>
    </row>
    <row r="7969" ht="15.75" customHeight="1">
      <c r="A7969" s="2" t="s">
        <v>7969</v>
      </c>
      <c r="B7969" s="2" t="str">
        <f>IFERROR(__xludf.DUMMYFUNCTION("GOOGLETRANSLATE(A7969, ""en"", ""mt"")"),"il-professjoni tal-fidi")</f>
        <v>il-professjoni tal-fidi</v>
      </c>
    </row>
    <row r="7970" ht="15.75" customHeight="1">
      <c r="A7970" s="2" t="s">
        <v>7970</v>
      </c>
      <c r="B7970" s="2" t="str">
        <f>IFERROR(__xludf.DUMMYFUNCTION("GOOGLETRANSLATE(A7970, ""en"", ""mt"")"),"X'inhi l-iktar klassi qawwija ta 'mediċini anti-infjammatorji?")</f>
        <v>X'inhi l-iktar klassi qawwija ta 'mediċini anti-infjammatorji?</v>
      </c>
    </row>
    <row r="7971" ht="15.75" customHeight="1">
      <c r="A7971" s="2" t="s">
        <v>7971</v>
      </c>
      <c r="B7971" s="2" t="str">
        <f>IFERROR(__xludf.DUMMYFUNCTION("GOOGLETRANSLATE(A7971, ""en"", ""mt"")"),"konvertiti ġodda")</f>
        <v>konvertiti ġodda</v>
      </c>
    </row>
    <row r="7972" ht="15.75" customHeight="1">
      <c r="A7972" s="2" t="s">
        <v>7972</v>
      </c>
      <c r="B7972" s="2" t="str">
        <f>IFERROR(__xludf.DUMMYFUNCTION("GOOGLETRANSLATE(A7972, ""en"", ""mt"")"),"difiża u ġustifikazzjoni tal-bini tal-imperu bbażati fuq raġunijiet apparentement razzjonali")</f>
        <v>difiża u ġustifikazzjoni tal-bini tal-imperu bbażati fuq raġunijiet apparentement razzjonali</v>
      </c>
    </row>
    <row r="7973" ht="15.75" customHeight="1">
      <c r="A7973" s="2" t="s">
        <v>7973</v>
      </c>
      <c r="B7973" s="2" t="str">
        <f>IFERROR(__xludf.DUMMYFUNCTION("GOOGLETRANSLATE(A7973, ""en"", ""mt"")"),"Kummerċjali, Xjentifiku, u Kulturali")</f>
        <v>Kummerċjali, Xjentifiku, u Kulturali</v>
      </c>
    </row>
    <row r="7974" ht="15.75" customHeight="1">
      <c r="A7974" s="2" t="s">
        <v>7974</v>
      </c>
      <c r="B7974" s="2" t="str">
        <f>IFERROR(__xludf.DUMMYFUNCTION("GOOGLETRANSLATE(A7974, ""en"", ""mt"")"),"Welsh")</f>
        <v>Welsh</v>
      </c>
    </row>
    <row r="7975" ht="15.75" customHeight="1">
      <c r="A7975" s="2" t="s">
        <v>7975</v>
      </c>
      <c r="B7975" s="2" t="str">
        <f>IFERROR(__xludf.DUMMYFUNCTION("GOOGLETRANSLATE(A7975, ""en"", ""mt"")"),", Albert ta 'Mainz")</f>
        <v>, Albert ta 'Mainz</v>
      </c>
    </row>
    <row r="7976" ht="15.75" customHeight="1">
      <c r="A7976" s="2" t="s">
        <v>7976</v>
      </c>
      <c r="B7976" s="2" t="str">
        <f>IFERROR(__xludf.DUMMYFUNCTION("GOOGLETRANSLATE(A7976, ""en"", ""mt"")"),"Il-Qorti Ewropea tal-Ġustizzja Regola l-imputat fil-każ tal-Kummissjoni v. Edith Cresson kiser xi liġijiet?")</f>
        <v>Il-Qorti Ewropea tal-Ġustizzja Regola l-imputat fil-każ tal-Kummissjoni v. Edith Cresson kiser xi liġijiet?</v>
      </c>
    </row>
    <row r="7977" ht="15.75" customHeight="1">
      <c r="A7977" s="2" t="s">
        <v>7977</v>
      </c>
      <c r="B7977" s="2" t="str">
        <f>IFERROR(__xludf.DUMMYFUNCTION("GOOGLETRANSLATE(A7977, ""en"", ""mt"")"),"biss għal dawk m li huma prim")</f>
        <v>biss għal dawk m li huma prim</v>
      </c>
    </row>
    <row r="7978" ht="15.75" customHeight="1">
      <c r="A7978" s="2" t="s">
        <v>7978</v>
      </c>
      <c r="B7978" s="2" t="str">
        <f>IFERROR(__xludf.DUMMYFUNCTION("GOOGLETRANSLATE(A7978, ""en"", ""mt"")"),"""West Side""")</f>
        <v>"West Side"</v>
      </c>
    </row>
    <row r="7979" ht="15.75" customHeight="1">
      <c r="A7979" s="2" t="s">
        <v>7979</v>
      </c>
      <c r="B7979" s="2" t="str">
        <f>IFERROR(__xludf.DUMMYFUNCTION("GOOGLETRANSLATE(A7979, ""en"", ""mt"")"),"Elettriku Kap")</f>
        <v>Elettriku Kap</v>
      </c>
    </row>
    <row r="7980" ht="15.75" customHeight="1">
      <c r="A7980" s="2" t="s">
        <v>7980</v>
      </c>
      <c r="B7980" s="2" t="str">
        <f>IFERROR(__xludf.DUMMYFUNCTION("GOOGLETRANSLATE(A7980, ""en"", ""mt"")"),"vjaġġ bir-ritorn mis-siti kollha f'Milan")</f>
        <v>vjaġġ bir-ritorn mis-siti kollha f'Milan</v>
      </c>
    </row>
    <row r="7981" ht="15.75" customHeight="1">
      <c r="A7981" s="2" t="s">
        <v>7981</v>
      </c>
      <c r="B7981" s="2" t="str">
        <f>IFERROR(__xludf.DUMMYFUNCTION("GOOGLETRANSLATE(A7981, ""en"", ""mt"")"),"Meta kienet l-ewwel elezzjonijiet diretti għall-Kenjani indiġeni?")</f>
        <v>Meta kienet l-ewwel elezzjonijiet diretti għall-Kenjani indiġeni?</v>
      </c>
    </row>
    <row r="7982" ht="15.75" customHeight="1">
      <c r="A7982" s="2" t="s">
        <v>7982</v>
      </c>
      <c r="B7982" s="2" t="str">
        <f>IFERROR(__xludf.DUMMYFUNCTION("GOOGLETRANSLATE(A7982, ""en"", ""mt"")"),"Sekwenzi tal-fossili")</f>
        <v>Sekwenzi tal-fossili</v>
      </c>
    </row>
    <row r="7983" ht="15.75" customHeight="1">
      <c r="A7983" s="2" t="s">
        <v>7983</v>
      </c>
      <c r="B7983" s="2" t="str">
        <f>IFERROR(__xludf.DUMMYFUNCTION("GOOGLETRANSLATE(A7983, ""en"", ""mt"")"),"Il-Mużew tar-Rabat u Albert (ħafna drabi mqassar bħala l-V &amp; A), Londra, huwa l-akbar mużew tad-dinja tal-arti u d-disinn dekorattivi, li fih ġabra permanenti ta 'aktar minn 4.5 miljun oġġett. Din twaqqfet fl-1852 u msejħa wara r-Reġina Victoria u l-Prinċ"&amp;"ep Albert. Il-V &amp; A tinsab fid-distrett ta 'Brompton tar-Royal Borough ta' Kensington u Chelsea, f'żona li saret magħrufa bħala ""Albertopolis"" minħabba l-assoċjazzjoni tagħha mal-Prinċep Albert, il-Memorial Albert u l-istituzzjonijiet kulturali ewlenin "&amp;"li magħhom kien assoċjat. Dawn jinkludu l-Mużew tal-Istorja Naturali, il-Mużew tax-Xjenza u r-Royal Albert Hall. Il-mużew huwa korp pubbliku mhux dipartimentali sponsorjat mid-Dipartiment għall-Kultura, il-Midja u l-Isport. Bħal mużewijiet nazzjonali oħra"&amp;" Ingliżi, id-dħul għall-mużew ilu bla ħlas mill-2001.")</f>
        <v>Il-Mużew tar-Rabat u Albert (ħafna drabi mqassar bħala l-V &amp; A), Londra, huwa l-akbar mużew tad-dinja tal-arti u d-disinn dekorattivi, li fih ġabra permanenti ta 'aktar minn 4.5 miljun oġġett. Din twaqqfet fl-1852 u msejħa wara r-Reġina Victoria u l-Prinċep Albert. Il-V &amp; A tinsab fid-distrett ta 'Brompton tar-Royal Borough ta' Kensington u Chelsea, f'żona li saret magħrufa bħala "Albertopolis" minħabba l-assoċjazzjoni tagħha mal-Prinċep Albert, il-Memorial Albert u l-istituzzjonijiet kulturali ewlenin li magħhom kien assoċjat. Dawn jinkludu l-Mużew tal-Istorja Naturali, il-Mużew tax-Xjenza u r-Royal Albert Hall. Il-mużew huwa korp pubbliku mhux dipartimentali sponsorjat mid-Dipartiment għall-Kultura, il-Midja u l-Isport. Bħal mużewijiet nazzjonali oħra Ingliżi, id-dħul għall-mużew ilu bla ħlas mill-2001.</v>
      </c>
    </row>
    <row r="7984" ht="15.75" customHeight="1">
      <c r="A7984" s="2" t="s">
        <v>7984</v>
      </c>
      <c r="B7984" s="2" t="str">
        <f>IFERROR(__xludf.DUMMYFUNCTION("GOOGLETRANSLATE(A7984, ""en"", ""mt"")"),"Permezz tad-deżert tad-distrett ta 'Maine u' l isfel fix-xmara Chaudière biex tattakka l-belt ta 'Quebec")</f>
        <v>Permezz tad-deżert tad-distrett ta 'Maine u' l isfel fix-xmara Chaudière biex tattakka l-belt ta 'Quebec</v>
      </c>
    </row>
    <row r="7985" ht="15.75" customHeight="1">
      <c r="A7985" s="2" t="s">
        <v>7985</v>
      </c>
      <c r="B7985" s="2" t="str">
        <f>IFERROR(__xludf.DUMMYFUNCTION("GOOGLETRANSLATE(A7985, ""en"", ""mt"")"),"X'inhuma ż-żewġ subsistemi ewlenin tas-sistema immuni?")</f>
        <v>X'inhuma ż-żewġ subsistemi ewlenin tas-sistema immuni?</v>
      </c>
    </row>
    <row r="7986" ht="15.75" customHeight="1">
      <c r="A7986" s="2" t="s">
        <v>7986</v>
      </c>
      <c r="B7986" s="2" t="str">
        <f>IFERROR(__xludf.DUMMYFUNCTION("GOOGLETRANSLATE(A7986, ""en"", ""mt"")"),"Għaxar snin wara l-kriżi taż-żejt tal-1973")</f>
        <v>Għaxar snin wara l-kriżi taż-żejt tal-1973</v>
      </c>
    </row>
    <row r="7987" ht="15.75" customHeight="1">
      <c r="A7987" s="2" t="s">
        <v>7987</v>
      </c>
      <c r="B7987" s="2" t="str">
        <f>IFERROR(__xludf.DUMMYFUNCTION("GOOGLETRANSLATE(A7987, ""en"", ""mt"")"),"Liema ftehim sar għall-kummerċ ma 'indiġeni u Ingliżi?")</f>
        <v>Liema ftehim sar għall-kummerċ ma 'indiġeni u Ingliżi?</v>
      </c>
    </row>
    <row r="7988" ht="15.75" customHeight="1">
      <c r="A7988" s="2" t="s">
        <v>7988</v>
      </c>
      <c r="B7988" s="2" t="str">
        <f>IFERROR(__xludf.DUMMYFUNCTION("GOOGLETRANSLATE(A7988, ""en"", ""mt"")"),"Meta ġiet approvata l-Ispiżerija tal-Kura Ambulatorja bħala ċ-ċertifikazzjoni tagħha stess?")</f>
        <v>Meta ġiet approvata l-Ispiżerija tal-Kura Ambulatorja bħala ċ-ċertifikazzjoni tagħha stess?</v>
      </c>
    </row>
    <row r="7989" ht="15.75" customHeight="1">
      <c r="A7989" s="2" t="s">
        <v>7989</v>
      </c>
      <c r="B7989" s="2" t="str">
        <f>IFERROR(__xludf.DUMMYFUNCTION("GOOGLETRANSLATE(A7989, ""en"", ""mt"")"),"Tiffany &amp; ko")</f>
        <v>Tiffany &amp; ko</v>
      </c>
    </row>
    <row r="7990" ht="15.75" customHeight="1">
      <c r="A7990" s="2" t="s">
        <v>7990</v>
      </c>
      <c r="B7990" s="2" t="str">
        <f>IFERROR(__xludf.DUMMYFUNCTION("GOOGLETRANSLATE(A7990, ""en"", ""mt"")"),"Santa Chiara Firenze")</f>
        <v>Santa Chiara Firenze</v>
      </c>
    </row>
    <row r="7991" ht="15.75" customHeight="1">
      <c r="A7991" s="2" t="s">
        <v>7991</v>
      </c>
      <c r="B7991" s="2" t="str">
        <f>IFERROR(__xludf.DUMMYFUNCTION("GOOGLETRANSLATE(A7991, ""en"", ""mt"")"),"X'inhuma l-orbitali ogħla mimlija ta 'ossiġenu?")</f>
        <v>X'inhuma l-orbitali ogħla mimlija ta 'ossiġenu?</v>
      </c>
    </row>
    <row r="7992" ht="15.75" customHeight="1">
      <c r="A7992" s="2" t="s">
        <v>7992</v>
      </c>
      <c r="B7992" s="2" t="str">
        <f>IFERROR(__xludf.DUMMYFUNCTION("GOOGLETRANSLATE(A7992, ""en"", ""mt"")"),"Liema ktieb jirrikonoxxi l-importanza tal-kredu Chalcedonian?")</f>
        <v>Liema ktieb jirrikonoxxi l-importanza tal-kredu Chalcedonian?</v>
      </c>
    </row>
    <row r="7993" ht="15.75" customHeight="1">
      <c r="A7993" s="2" t="s">
        <v>7993</v>
      </c>
      <c r="B7993" s="2" t="str">
        <f>IFERROR(__xludf.DUMMYFUNCTION("GOOGLETRANSLATE(A7993, ""en"", ""mt"")"),"34,000 kongregazzjoni")</f>
        <v>34,000 kongregazzjoni</v>
      </c>
    </row>
    <row r="7994" ht="15.75" customHeight="1">
      <c r="A7994" s="2" t="s">
        <v>7994</v>
      </c>
      <c r="B7994" s="2" t="str">
        <f>IFERROR(__xludf.DUMMYFUNCTION("GOOGLETRANSLATE(A7994, ""en"", ""mt"")"),"Terra Preta")</f>
        <v>Terra Preta</v>
      </c>
    </row>
    <row r="7995" ht="15.75" customHeight="1">
      <c r="A7995" s="2" t="s">
        <v>7995</v>
      </c>
      <c r="B7995" s="2" t="str">
        <f>IFERROR(__xludf.DUMMYFUNCTION("GOOGLETRANSLATE(A7995, ""en"", ""mt"")"),"Liema aspett tal-mediċina tal-Punent ma jħobbx?")</f>
        <v>Liema aspett tal-mediċina tal-Punent ma jħobbx?</v>
      </c>
    </row>
    <row r="7996" ht="15.75" customHeight="1">
      <c r="A7996" s="2" t="s">
        <v>7996</v>
      </c>
      <c r="B7996" s="2" t="str">
        <f>IFERROR(__xludf.DUMMYFUNCTION("GOOGLETRANSLATE(A7996, ""en"", ""mt"")"),"Nitroġenu likwidu")</f>
        <v>Nitroġenu likwidu</v>
      </c>
    </row>
    <row r="7997" ht="15.75" customHeight="1">
      <c r="A7997" s="2" t="s">
        <v>7997</v>
      </c>
      <c r="B7997" s="2" t="str">
        <f>IFERROR(__xludf.DUMMYFUNCTION("GOOGLETRANSLATE(A7997, ""en"", ""mt"")"),"1,230 kilometru (764 mil)")</f>
        <v>1,230 kilometru (764 mil)</v>
      </c>
    </row>
    <row r="7998" ht="15.75" customHeight="1">
      <c r="A7998" s="2" t="s">
        <v>7998</v>
      </c>
      <c r="B7998" s="2" t="str">
        <f>IFERROR(__xludf.DUMMYFUNCTION("GOOGLETRANSLATE(A7998, ""en"", ""mt"")"),"Oude Rijn")</f>
        <v>Oude Rijn</v>
      </c>
    </row>
    <row r="7999" ht="15.75" customHeight="1">
      <c r="A7999" s="2" t="s">
        <v>7999</v>
      </c>
      <c r="B7999" s="2" t="str">
        <f>IFERROR(__xludf.DUMMYFUNCTION("GOOGLETRANSLATE(A7999, ""en"", ""mt"")"),"X'inhi l-inugwaljanza assoċjata ma 'livelli ogħla ta'?")</f>
        <v>X'inhi l-inugwaljanza assoċjata ma 'livelli ogħla ta'?</v>
      </c>
    </row>
    <row r="8000" ht="15.75" customHeight="1">
      <c r="A8000" s="2" t="s">
        <v>8000</v>
      </c>
      <c r="B8000" s="2" t="str">
        <f>IFERROR(__xludf.DUMMYFUNCTION("GOOGLETRANSLATE(A8000, ""en"", ""mt"")"),"Il-President tal-Kunsill jista 'jivvota dwar kwistjonijiet importanti relatati mal-Bank Ċentrali Ewropew?")</f>
        <v>Il-President tal-Kunsill jista 'jivvota dwar kwistjonijiet importanti relatati mal-Bank Ċentrali Ewropew?</v>
      </c>
    </row>
    <row r="8001" ht="15.75" customHeight="1">
      <c r="A8001" s="2" t="s">
        <v>8001</v>
      </c>
      <c r="B8001" s="2" t="str">
        <f>IFERROR(__xludf.DUMMYFUNCTION("GOOGLETRANSLATE(A8001, ""en"", ""mt"")"),"Żewġ Saturn Ibs")</f>
        <v>Żewġ Saturn Ibs</v>
      </c>
    </row>
    <row r="8002" ht="15.75" customHeight="1">
      <c r="A8002" s="2" t="s">
        <v>8002</v>
      </c>
      <c r="B8002" s="2" t="str">
        <f>IFERROR(__xludf.DUMMYFUNCTION("GOOGLETRANSLATE(A8002, ""en"", ""mt"")"),"X'inhu l-isem tal-faċilità tal-baskitbol ta 'Harvard?")</f>
        <v>X'inhu l-isem tal-faċilità tal-baskitbol ta 'Harvard?</v>
      </c>
    </row>
    <row r="8003" ht="15.75" customHeight="1">
      <c r="A8003" s="2" t="s">
        <v>8003</v>
      </c>
      <c r="B8003" s="2" t="str">
        <f>IFERROR(__xludf.DUMMYFUNCTION("GOOGLETRANSLATE(A8003, ""en"", ""mt"")"),"X'kienet il-popolazzjoni tal-Kenja fl-2014?")</f>
        <v>X'kienet il-popolazzjoni tal-Kenja fl-2014?</v>
      </c>
    </row>
    <row r="8004" ht="15.75" customHeight="1">
      <c r="A8004" s="2" t="s">
        <v>8004</v>
      </c>
      <c r="B8004" s="2" t="str">
        <f>IFERROR(__xludf.DUMMYFUNCTION("GOOGLETRANSLATE(A8004, ""en"", ""mt"")"),"huwa li jaqleb f'daqqa għal spirtu ta 'sussistenza")</f>
        <v>huwa li jaqleb f'daqqa għal spirtu ta 'sussistenza</v>
      </c>
    </row>
    <row r="8005" ht="15.75" customHeight="1">
      <c r="A8005" s="2" t="s">
        <v>8005</v>
      </c>
      <c r="B8005" s="2" t="str">
        <f>IFERROR(__xludf.DUMMYFUNCTION("GOOGLETRANSLATE(A8005, ""en"", ""mt"")"),"illeġittimu")</f>
        <v>illeġittimu</v>
      </c>
    </row>
    <row r="8006" ht="15.75" customHeight="1">
      <c r="A8006" s="2" t="s">
        <v>8006</v>
      </c>
      <c r="B8006" s="2" t="str">
        <f>IFERROR(__xludf.DUMMYFUNCTION("GOOGLETRANSLATE(A8006, ""en"", ""mt"")"),"X'inhi l-ġeoloġija strutturali?")</f>
        <v>X'inhi l-ġeoloġija strutturali?</v>
      </c>
    </row>
    <row r="8007" ht="15.75" customHeight="1">
      <c r="A8007" s="2" t="s">
        <v>8007</v>
      </c>
      <c r="B8007" s="2" t="str">
        <f>IFERROR(__xludf.DUMMYFUNCTION("GOOGLETRANSLATE(A8007, ""en"", ""mt"")"),"In-Nofsinhar ta ’California hija wkoll dar għal surf kbir imkabbar fid-dar u kultura tal-iskejboard. Kumpaniji bħal Volcom, Quiksilver, No Fear, RVCA, u Body Glove huma kollha fil-kwartjieri ġenerali hawn. Skateboarder professjonali Tony Hawk, surfers pro"&amp;"fessjonali Rob Machado, Tim Curran, Bobby Martinez, Pat O'Connell, Dane Reynolds, u Chris Ward, u s-snowboarder professjonali Shaun White jgħixu fin-Nofsinhar ta 'California. Uħud mill-postijiet leġġendarji tas-surf tad-dinja huma wkoll fin-Nofsinhar tal-"&amp;"Kalifornja, inklużi Trestles, Rincon, The Wedge, Huntington Beach, u Malibu, u hija t-tieni biss għall-gżira ta 'Oahu f'termini ta' pawżi famużi tas-surf. Uħud mill-ikbar avvenimenti sportivi estremi tad-dinja, inklużi l-Logħob X, Boost Mobile Pro, u l-Op"&amp;"en ta 'l-Istati Uniti tas-Surfing huma kollha fin-Nofsinhar ta' California. In-Nofsinhar tal-Kalifornja hija importanti wkoll għad-dinja tal-yachting. It-tellieqa annwali tal-jott transpaċifiku, jew Transpac, minn Los Angeles għal Hawaii, hija waħda mill-"&amp;"avvenimenti ewlenin tal-Yachting. Is-San Diego Yacht Club kellu t-Tazza tal-Amerika, l-iktar premju prestiġjuż fil-yachting, mill-1988 sal-1995 u ospita tliet tiġrijiet tat-Tazza tal-Amerika matul dak iż-żmien.")</f>
        <v>In-Nofsinhar ta ’California hija wkoll dar għal surf kbir imkabbar fid-dar u kultura tal-iskejboard. Kumpaniji bħal Volcom, Quiksilver, No Fear, RVCA, u Body Glove huma kollha fil-kwartjieri ġenerali hawn. Skateboarder professjonali Tony Hawk, surfers professjonali Rob Machado, Tim Curran, Bobby Martinez, Pat O'Connell, Dane Reynolds, u Chris Ward, u s-snowboarder professjonali Shaun White jgħixu fin-Nofsinhar ta 'California. Uħud mill-postijiet leġġendarji tas-surf tad-dinja huma wkoll fin-Nofsinhar tal-Kalifornja, inklużi Trestles, Rincon, The Wedge, Huntington Beach, u Malibu, u hija t-tieni biss għall-gżira ta 'Oahu f'termini ta' pawżi famużi tas-surf. Uħud mill-ikbar avvenimenti sportivi estremi tad-dinja, inklużi l-Logħob X, Boost Mobile Pro, u l-Open ta 'l-Istati Uniti tas-Surfing huma kollha fin-Nofsinhar ta' California. In-Nofsinhar tal-Kalifornja hija importanti wkoll għad-dinja tal-yachting. It-tellieqa annwali tal-jott transpaċifiku, jew Transpac, minn Los Angeles għal Hawaii, hija waħda mill-avvenimenti ewlenin tal-Yachting. Is-San Diego Yacht Club kellu t-Tazza tal-Amerika, l-iktar premju prestiġjuż fil-yachting, mill-1988 sal-1995 u ospita tliet tiġrijiet tat-Tazza tal-Amerika matul dak iż-żmien.</v>
      </c>
    </row>
    <row r="8008" ht="15.75" customHeight="1">
      <c r="A8008" s="2" t="s">
        <v>8008</v>
      </c>
      <c r="B8008" s="2" t="str">
        <f>IFERROR(__xludf.DUMMYFUNCTION("GOOGLETRANSLATE(A8008, ""en"", ""mt"")"),"simbolikament preżenti")</f>
        <v>simbolikament preżenti</v>
      </c>
    </row>
    <row r="8009" ht="15.75" customHeight="1">
      <c r="A8009" s="2" t="s">
        <v>8009</v>
      </c>
      <c r="B8009" s="2" t="str">
        <f>IFERROR(__xludf.DUMMYFUNCTION("GOOGLETRANSLATE(A8009, ""en"", ""mt"")"),"22 darba bejn l-1361 u l-1528")</f>
        <v>22 darba bejn l-1361 u l-1528</v>
      </c>
    </row>
    <row r="8010" ht="15.75" customHeight="1">
      <c r="A8010" s="2" t="s">
        <v>8010</v>
      </c>
      <c r="B8010" s="2" t="str">
        <f>IFERROR(__xludf.DUMMYFUNCTION("GOOGLETRANSLATE(A8010, ""en"", ""mt"")"),"Kostruzzjoni")</f>
        <v>Kostruzzjoni</v>
      </c>
    </row>
    <row r="8011" ht="15.75" customHeight="1">
      <c r="A8011" s="2" t="s">
        <v>8011</v>
      </c>
      <c r="B8011" s="2" t="str">
        <f>IFERROR(__xludf.DUMMYFUNCTION("GOOGLETRANSLATE(A8011, ""en"", ""mt"")"),"Liema t-tieni parti ta 'l-arja kienet meqjusa bla ħajja minn Lavoisier?")</f>
        <v>Liema t-tieni parti ta 'l-arja kienet meqjusa bla ħajja minn Lavoisier?</v>
      </c>
    </row>
    <row r="8012" ht="15.75" customHeight="1">
      <c r="A8012" s="2" t="s">
        <v>8012</v>
      </c>
      <c r="B8012" s="2" t="str">
        <f>IFERROR(__xludf.DUMMYFUNCTION("GOOGLETRANSLATE(A8012, ""en"", ""mt"")"),"Meta ddebutta l-ewwel darba l-Amerika ta 'Good Morning?")</f>
        <v>Meta ddebutta l-ewwel darba l-Amerika ta 'Good Morning?</v>
      </c>
    </row>
    <row r="8013" ht="15.75" customHeight="1">
      <c r="A8013" s="2" t="s">
        <v>8013</v>
      </c>
      <c r="B8013" s="2" t="str">
        <f>IFERROR(__xludf.DUMMYFUNCTION("GOOGLETRANSLATE(A8013, ""en"", ""mt"")"),"Sistema ta 'ħafna strutturi u proċessi bijoloġiċi fi ħdan organiżmu")</f>
        <v>Sistema ta 'ħafna strutturi u proċessi bijoloġiċi fi ħdan organiżmu</v>
      </c>
    </row>
    <row r="8014" ht="15.75" customHeight="1">
      <c r="A8014" s="2" t="s">
        <v>8014</v>
      </c>
      <c r="B8014" s="2" t="str">
        <f>IFERROR(__xludf.DUMMYFUNCTION("GOOGLETRANSLATE(A8014, ""en"", ""mt"")"),"kloroplast b'żewġ membrani")</f>
        <v>kloroplast b'żewġ membrani</v>
      </c>
    </row>
    <row r="8015" ht="15.75" customHeight="1">
      <c r="A8015" s="2" t="s">
        <v>8015</v>
      </c>
      <c r="B8015" s="2" t="str">
        <f>IFERROR(__xludf.DUMMYFUNCTION("GOOGLETRANSLATE(A8015, ""en"", ""mt"")"),"Liema xahar huwa l-iktar sħun fi Fresno?")</f>
        <v>Liema xahar huwa l-iktar sħun fi Fresno?</v>
      </c>
    </row>
    <row r="8016" ht="15.75" customHeight="1">
      <c r="A8016" s="2" t="s">
        <v>8016</v>
      </c>
      <c r="B8016" s="2" t="str">
        <f>IFERROR(__xludf.DUMMYFUNCTION("GOOGLETRANSLATE(A8016, ""en"", ""mt"")"),"X'tip ta 'Mulej huwa tabib min?")</f>
        <v>X'tip ta 'Mulej huwa tabib min?</v>
      </c>
    </row>
    <row r="8017" ht="15.75" customHeight="1">
      <c r="A8017" s="2" t="s">
        <v>8017</v>
      </c>
      <c r="B8017" s="2" t="str">
        <f>IFERROR(__xludf.DUMMYFUNCTION("GOOGLETRANSLATE(A8017, ""en"", ""mt"")"),"Ġonna Ġappuniżi Shinzen")</f>
        <v>Ġonna Ġappuniżi Shinzen</v>
      </c>
    </row>
    <row r="8018" ht="15.75" customHeight="1">
      <c r="A8018" s="2" t="s">
        <v>8018</v>
      </c>
      <c r="B8018" s="2" t="str">
        <f>IFERROR(__xludf.DUMMYFUNCTION("GOOGLETRANSLATE(A8018, ""en"", ""mt"")"),"Żoni Episkopali")</f>
        <v>Żoni Episkopali</v>
      </c>
    </row>
    <row r="8019" ht="15.75" customHeight="1">
      <c r="A8019" s="2" t="s">
        <v>8019</v>
      </c>
      <c r="B8019" s="2" t="str">
        <f>IFERROR(__xludf.DUMMYFUNCTION("GOOGLETRANSLATE(A8019, ""en"", ""mt"")"),"Karl von Miltitz")</f>
        <v>Karl von Miltitz</v>
      </c>
    </row>
    <row r="8020" ht="15.75" customHeight="1">
      <c r="A8020" s="2" t="s">
        <v>8020</v>
      </c>
      <c r="B8020" s="2" t="str">
        <f>IFERROR(__xludf.DUMMYFUNCTION("GOOGLETRANSLATE(A8020, ""en"", ""mt"")"),"Fil-lvant hemm id-Deżert ta 'Colorado u x-Xmara Colorado fil-fruntiera ma' Arizona, u d-Deżert ta 'Mojave fil-fruntiera ma' l-istat ta 'Nevada. Fin-nofsinhar hemm il-fruntiera tal-istati tal-Messiku.")</f>
        <v>Fil-lvant hemm id-Deżert ta 'Colorado u x-Xmara Colorado fil-fruntiera ma' Arizona, u d-Deżert ta 'Mojave fil-fruntiera ma' l-istat ta 'Nevada. Fin-nofsinhar hemm il-fruntiera tal-istati tal-Messiku.</v>
      </c>
    </row>
    <row r="8021" ht="15.75" customHeight="1">
      <c r="A8021" s="2" t="s">
        <v>8021</v>
      </c>
      <c r="B8021" s="2" t="str">
        <f>IFERROR(__xludf.DUMMYFUNCTION("GOOGLETRANSLATE(A8021, ""en"", ""mt"")"),"Meta ġie elett Temüjin Khan tal-Mongoli?")</f>
        <v>Meta ġie elett Temüjin Khan tal-Mongoli?</v>
      </c>
    </row>
    <row r="8022" ht="15.75" customHeight="1">
      <c r="A8022" s="2" t="s">
        <v>8022</v>
      </c>
      <c r="B8022" s="2" t="str">
        <f>IFERROR(__xludf.DUMMYFUNCTION("GOOGLETRANSLATE(A8022, ""en"", ""mt"")"),"L-isfruttament tal-assi u l-provvisti siewja")</f>
        <v>L-isfruttament tal-assi u l-provvisti siewja</v>
      </c>
    </row>
    <row r="8023" ht="15.75" customHeight="1">
      <c r="A8023" s="2" t="s">
        <v>8023</v>
      </c>
      <c r="B8023" s="2" t="str">
        <f>IFERROR(__xludf.DUMMYFUNCTION("GOOGLETRANSLATE(A8023, ""en"", ""mt"")"),"ortogonali")</f>
        <v>ortogonali</v>
      </c>
    </row>
    <row r="8024" ht="15.75" customHeight="1">
      <c r="A8024" s="2" t="s">
        <v>8024</v>
      </c>
      <c r="B8024" s="2" t="str">
        <f>IFERROR(__xludf.DUMMYFUNCTION("GOOGLETRANSLATE(A8024, ""en"", ""mt"")"),"Bankiera ta 'ipoteki, accountants, u inġiniera tal-ispejjeż")</f>
        <v>Bankiera ta 'ipoteki, accountants, u inġiniera tal-ispejjeż</v>
      </c>
    </row>
    <row r="8025" ht="15.75" customHeight="1">
      <c r="A8025" s="2" t="s">
        <v>8025</v>
      </c>
      <c r="B8025" s="2" t="str">
        <f>IFERROR(__xludf.DUMMYFUNCTION("GOOGLETRANSLATE(A8025, ""en"", ""mt"")"),"F'liema sena hemm il-Meissen Vulture fil-kollezzjoni V &amp; A?")</f>
        <v>F'liema sena hemm il-Meissen Vulture fil-kollezzjoni V &amp; A?</v>
      </c>
    </row>
    <row r="8026" ht="15.75" customHeight="1">
      <c r="A8026" s="2" t="s">
        <v>8026</v>
      </c>
      <c r="B8026" s="2" t="str">
        <f>IFERROR(__xludf.DUMMYFUNCTION("GOOGLETRANSLATE(A8026, ""en"", ""mt"")"),"Ir-Renu jġib kemm ilma mill-AARE?")</f>
        <v>Ir-Renu jġib kemm ilma mill-AARE?</v>
      </c>
    </row>
    <row r="8027" ht="15.75" customHeight="1">
      <c r="A8027" s="2" t="s">
        <v>8027</v>
      </c>
      <c r="B8027" s="2" t="str">
        <f>IFERROR(__xludf.DUMMYFUNCTION("GOOGLETRANSLATE(A8027, ""en"", ""mt"")"),"Tarka tas-sħana ablattiva")</f>
        <v>Tarka tas-sħana ablattiva</v>
      </c>
    </row>
    <row r="8028" ht="15.75" customHeight="1">
      <c r="A8028" s="2" t="s">
        <v>8028</v>
      </c>
      <c r="B8028" s="2" t="str">
        <f>IFERROR(__xludf.DUMMYFUNCTION("GOOGLETRANSLATE(A8028, ""en"", ""mt"")"),"Fejn sar l-istudju tal-2000?")</f>
        <v>Fejn sar l-istudju tal-2000?</v>
      </c>
    </row>
    <row r="8029" ht="15.75" customHeight="1">
      <c r="A8029" s="2" t="s">
        <v>8029</v>
      </c>
      <c r="B8029" s="2" t="str">
        <f>IFERROR(__xludf.DUMMYFUNCTION("GOOGLETRANSLATE(A8029, ""en"", ""mt"")"),"instabilità ekonomika")</f>
        <v>instabilità ekonomika</v>
      </c>
    </row>
    <row r="8030" ht="15.75" customHeight="1">
      <c r="A8030" s="2" t="s">
        <v>8030</v>
      </c>
      <c r="B8030" s="2" t="str">
        <f>IFERROR(__xludf.DUMMYFUNCTION("GOOGLETRANSLATE(A8030, ""en"", ""mt"")"),"Il-kloroplasti għandhom it-tielet ċirku li jaqsam il-plastidi")</f>
        <v>Il-kloroplasti għandhom it-tielet ċirku li jaqsam il-plastidi</v>
      </c>
    </row>
    <row r="8031" ht="15.75" customHeight="1">
      <c r="A8031" s="2" t="s">
        <v>8031</v>
      </c>
      <c r="B8031" s="2" t="str">
        <f>IFERROR(__xludf.DUMMYFUNCTION("GOOGLETRANSLATE(A8031, ""en"", ""mt"")"),"Forza tal-frizzjoni kinetika")</f>
        <v>Forza tal-frizzjoni kinetika</v>
      </c>
    </row>
    <row r="8032" ht="15.75" customHeight="1">
      <c r="A8032" s="2" t="s">
        <v>8032</v>
      </c>
      <c r="B8032" s="2" t="str">
        <f>IFERROR(__xludf.DUMMYFUNCTION("GOOGLETRANSLATE(A8032, ""en"", ""mt"")"),"X'jista 'jagħmel xi ħadd lil Martin Luther mingħajr konsegwenza legali?")</f>
        <v>X'jista 'jagħmel xi ħadd lil Martin Luther mingħajr konsegwenza legali?</v>
      </c>
    </row>
    <row r="8033" ht="15.75" customHeight="1">
      <c r="A8033" s="2" t="s">
        <v>8033</v>
      </c>
      <c r="B8033" s="2" t="str">
        <f>IFERROR(__xludf.DUMMYFUNCTION("GOOGLETRANSLATE(A8033, ""en"", ""mt"")"),"Il-berner tal-inċens ta 'Suzuki Chokichi datat 1875 huwa magħmul minn dak mill-materjal?")</f>
        <v>Il-berner tal-inċens ta 'Suzuki Chokichi datat 1875 huwa magħmul minn dak mill-materjal?</v>
      </c>
    </row>
    <row r="8034" ht="15.75" customHeight="1">
      <c r="A8034" s="2" t="s">
        <v>8034</v>
      </c>
      <c r="B8034" s="2" t="str">
        <f>IFERROR(__xludf.DUMMYFUNCTION("GOOGLETRANSLATE(A8034, ""en"", ""mt"")"),"Permezz ta 'kemm il-maniġment ta' Harvard naqqas l-azjendi tal-Afrika t'Isfel tagħha b'reazzjoni għall-pressjoni?")</f>
        <v>Permezz ta 'kemm il-maniġment ta' Harvard naqqas l-azjendi tal-Afrika t'Isfel tagħha b'reazzjoni għall-pressjoni?</v>
      </c>
    </row>
    <row r="8035" ht="15.75" customHeight="1">
      <c r="A8035" s="2" t="s">
        <v>8035</v>
      </c>
      <c r="B8035" s="2" t="str">
        <f>IFERROR(__xludf.DUMMYFUNCTION("GOOGLETRANSLATE(A8035, ""en"", ""mt"")"),"X'għandhom nuqqas ta 'kloroplasti fiċ-ċelloli tal-mesofilla?")</f>
        <v>X'għandhom nuqqas ta 'kloroplasti fiċ-ċelloli tal-mesofilla?</v>
      </c>
    </row>
    <row r="8036" ht="15.75" customHeight="1">
      <c r="A8036" s="2" t="s">
        <v>8036</v>
      </c>
      <c r="B8036" s="2" t="str">
        <f>IFERROR(__xludf.DUMMYFUNCTION("GOOGLETRANSLATE(A8036, ""en"", ""mt"")"),"1024")</f>
        <v>1024</v>
      </c>
    </row>
    <row r="8037" ht="15.75" customHeight="1">
      <c r="A8037" s="2" t="s">
        <v>8037</v>
      </c>
      <c r="B8037" s="2" t="str">
        <f>IFERROR(__xludf.DUMMYFUNCTION("GOOGLETRANSLATE(A8037, ""en"", ""mt"")"),"Tagħmir ta 'sigurtà xieraq")</f>
        <v>Tagħmir ta 'sigurtà xieraq</v>
      </c>
    </row>
    <row r="8038" ht="15.75" customHeight="1">
      <c r="A8038" s="2" t="s">
        <v>8038</v>
      </c>
      <c r="B8038" s="2" t="str">
        <f>IFERROR(__xludf.DUMMYFUNCTION("GOOGLETRANSLATE(A8038, ""en"", ""mt"")"),"Xi jfisser il-Mużew tal-Art Fogg?")</f>
        <v>Xi jfisser il-Mużew tal-Art Fogg?</v>
      </c>
    </row>
    <row r="8039" ht="15.75" customHeight="1">
      <c r="A8039" s="2" t="s">
        <v>8039</v>
      </c>
      <c r="B8039" s="2" t="str">
        <f>IFERROR(__xludf.DUMMYFUNCTION("GOOGLETRANSLATE(A8039, ""en"", ""mt"")"),"Fil-kwart tal-ħarifa tal-2014, kemm studenti ffirmaw għall-università b’kollox?")</f>
        <v>Fil-kwart tal-ħarifa tal-2014, kemm studenti ffirmaw għall-università b’kollox?</v>
      </c>
    </row>
    <row r="8040" ht="15.75" customHeight="1">
      <c r="A8040" s="2" t="s">
        <v>8040</v>
      </c>
      <c r="B8040" s="2" t="str">
        <f>IFERROR(__xludf.DUMMYFUNCTION("GOOGLETRANSLATE(A8040, ""en"", ""mt"")"),"Min ikkontesta t-teorija tal-pesta l-ewwel?")</f>
        <v>Min ikkontesta t-teorija tal-pesta l-ewwel?</v>
      </c>
    </row>
    <row r="8041" ht="15.75" customHeight="1">
      <c r="A8041" s="2" t="s">
        <v>8041</v>
      </c>
      <c r="B8041" s="2" t="str">
        <f>IFERROR(__xludf.DUMMYFUNCTION("GOOGLETRANSLATE(A8041, ""en"", ""mt"")"),"kważi nofs")</f>
        <v>kważi nofs</v>
      </c>
    </row>
    <row r="8042" ht="15.75" customHeight="1">
      <c r="A8042" s="2" t="s">
        <v>8042</v>
      </c>
      <c r="B8042" s="2" t="str">
        <f>IFERROR(__xludf.DUMMYFUNCTION("GOOGLETRANSLATE(A8042, ""en"", ""mt"")"),"Tmiem il-Pleistocene (~ 11,600 bp)")</f>
        <v>Tmiem il-Pleistocene (~ 11,600 bp)</v>
      </c>
    </row>
    <row r="8043" ht="15.75" customHeight="1">
      <c r="A8043" s="2" t="s">
        <v>8043</v>
      </c>
      <c r="B8043" s="2" t="str">
        <f>IFERROR(__xludf.DUMMYFUNCTION("GOOGLETRANSLATE(A8043, ""en"", ""mt"")"),"Liema attriċi kellha l-aħħar inkarnazzjoni tat-tabib fl-ispeċjal?")</f>
        <v>Liema attriċi kellha l-aħħar inkarnazzjoni tat-tabib fl-ispeċjal?</v>
      </c>
    </row>
    <row r="8044" ht="15.75" customHeight="1">
      <c r="A8044" s="2" t="s">
        <v>8044</v>
      </c>
      <c r="B8044" s="2" t="str">
        <f>IFERROR(__xludf.DUMMYFUNCTION("GOOGLETRANSLATE(A8044, ""en"", ""mt"")"),"Xxxiii")</f>
        <v>Xxxiii</v>
      </c>
    </row>
    <row r="8045" ht="15.75" customHeight="1">
      <c r="A8045" s="2" t="s">
        <v>8045</v>
      </c>
      <c r="B8045" s="2" t="str">
        <f>IFERROR(__xludf.DUMMYFUNCTION("GOOGLETRANSLATE(A8045, ""en"", ""mt"")"),"X'inhi espressjoni li tista 'tintuża biex turi l-inugwaljanza suspettata ta' klassijiet ta 'kumplessità?")</f>
        <v>X'inhi espressjoni li tista 'tintuża biex turi l-inugwaljanza suspettata ta' klassijiet ta 'kumplessità?</v>
      </c>
    </row>
    <row r="8046" ht="15.75" customHeight="1">
      <c r="A8046" s="2" t="s">
        <v>8046</v>
      </c>
      <c r="B8046" s="2" t="str">
        <f>IFERROR(__xludf.DUMMYFUNCTION("GOOGLETRANSLATE(A8046, ""en"", ""mt"")"),"X'inhi t-tieni fażi tal-proġett ta 'diġitizzazzjoni?")</f>
        <v>X'inhi t-tieni fażi tal-proġett ta 'diġitizzazzjoni?</v>
      </c>
    </row>
    <row r="8047" ht="15.75" customHeight="1">
      <c r="A8047" s="2" t="s">
        <v>8047</v>
      </c>
      <c r="B8047" s="2" t="str">
        <f>IFERROR(__xludf.DUMMYFUNCTION("GOOGLETRANSLATE(A8047, ""en"", ""mt"")"),"CBSSPORTS")</f>
        <v>CBSSPORTS</v>
      </c>
    </row>
    <row r="8048" ht="15.75" customHeight="1">
      <c r="A8048" s="2" t="s">
        <v>8048</v>
      </c>
      <c r="B8048" s="2" t="str">
        <f>IFERROR(__xludf.DUMMYFUNCTION("GOOGLETRANSLATE(A8048, ""en"", ""mt"")"),"Kemm nies attendew il-funeral?")</f>
        <v>Kemm nies attendew il-funeral?</v>
      </c>
    </row>
    <row r="8049" ht="15.75" customHeight="1">
      <c r="A8049" s="2" t="s">
        <v>8049</v>
      </c>
      <c r="B8049" s="2" t="str">
        <f>IFERROR(__xludf.DUMMYFUNCTION("GOOGLETRANSLATE(A8049, ""en"", ""mt"")"),"Liema festival huwa miżmum fil-komunità omosesswali ta 'Newcastle f'nofs Lulju?")</f>
        <v>Liema festival huwa miżmum fil-komunità omosesswali ta 'Newcastle f'nofs Lulju?</v>
      </c>
    </row>
    <row r="8050" ht="15.75" customHeight="1">
      <c r="A8050" s="2" t="s">
        <v>8050</v>
      </c>
      <c r="B8050" s="2" t="str">
        <f>IFERROR(__xludf.DUMMYFUNCTION("GOOGLETRANSLATE(A8050, ""en"", ""mt"")"),"Alġebriku")</f>
        <v>Alġebriku</v>
      </c>
    </row>
    <row r="8051" ht="15.75" customHeight="1">
      <c r="A8051" s="2" t="s">
        <v>8051</v>
      </c>
      <c r="B8051" s="2" t="str">
        <f>IFERROR(__xludf.DUMMYFUNCTION("GOOGLETRANSLATE(A8051, ""en"", ""mt"")"),"Saru diversi promozzjonijiet u inizjattivi b'tema tad-deheb matul l-istaġun tal-NFL 2015 biex jorbtu mas- ""Golden Super Bowl""; Il-logos ikkuluriti tad-deheb ġew implimentati madwar il-proprjetajiet tal-NFL u miżbugħa fl-għelieqi, in-numerazzjoni tal-lin"&amp;"ja ta '50 tarzna fuq l-għelieqi kienet tad-deheb ikkulurit, u li tibda fil-Ġimgħa 7, il-ġkieket u l-kpiepel kollha tal-ġenb u kpiepel dehru logos mirquma tad-deheb. Il-futbol tad-deheb ingħataw lil kull skola għolja li kellha plejer jew kowċ li jidhru fis"&amp;"-Super Bowl, u l-avvenimenti ""homecoming"" kienu wkoll miżmuma minn timijiet rebbieħa tas-Super Bowl fil-logħob.")</f>
        <v>Saru diversi promozzjonijiet u inizjattivi b'tema tad-deheb matul l-istaġun tal-NFL 2015 biex jorbtu mas- "Golden Super Bowl"; Il-logos ikkuluriti tad-deheb ġew implimentati madwar il-proprjetajiet tal-NFL u miżbugħa fl-għelieqi, in-numerazzjoni tal-linja ta '50 tarzna fuq l-għelieqi kienet tad-deheb ikkulurit, u li tibda fil-Ġimgħa 7, il-ġkieket u l-kpiepel kollha tal-ġenb u kpiepel dehru logos mirquma tad-deheb. Il-futbol tad-deheb ingħataw lil kull skola għolja li kellha plejer jew kowċ li jidhru fis-Super Bowl, u l-avvenimenti "homecoming" kienu wkoll miżmuma minn timijiet rebbieħa tas-Super Bowl fil-logħob.</v>
      </c>
    </row>
    <row r="8052" ht="15.75" customHeight="1">
      <c r="A8052" s="2" t="s">
        <v>8052</v>
      </c>
      <c r="B8052" s="2" t="str">
        <f>IFERROR(__xludf.DUMMYFUNCTION("GOOGLETRANSLATE(A8052, ""en"", ""mt"")"),"magni komposti")</f>
        <v>magni komposti</v>
      </c>
    </row>
    <row r="8053" ht="15.75" customHeight="1">
      <c r="A8053" s="2" t="s">
        <v>8053</v>
      </c>
      <c r="B8053" s="2" t="str">
        <f>IFERROR(__xludf.DUMMYFUNCTION("GOOGLETRANSLATE(A8053, ""en"", ""mt"")"),"It-Tayichi'ud")</f>
        <v>It-Tayichi'ud</v>
      </c>
    </row>
    <row r="8054" ht="15.75" customHeight="1">
      <c r="A8054" s="2" t="s">
        <v>8054</v>
      </c>
      <c r="B8054" s="2" t="str">
        <f>IFERROR(__xludf.DUMMYFUNCTION("GOOGLETRANSLATE(A8054, ""en"", ""mt"")"),"transġeni f'dawn il-plastidi ma jistgħux jiġu mxerrda mill-polline")</f>
        <v>transġeni f'dawn il-plastidi ma jistgħux jiġu mxerrda mill-polline</v>
      </c>
    </row>
    <row r="8055" ht="15.75" customHeight="1">
      <c r="A8055" s="2" t="s">
        <v>8055</v>
      </c>
      <c r="B8055" s="2" t="str">
        <f>IFERROR(__xludf.DUMMYFUNCTION("GOOGLETRANSLATE(A8055, ""en"", ""mt"")"),"Qawwa tal-komputazzjoni")</f>
        <v>Qawwa tal-komputazzjoni</v>
      </c>
    </row>
    <row r="8056" ht="15.75" customHeight="1">
      <c r="A8056" s="2" t="s">
        <v>8056</v>
      </c>
      <c r="B8056" s="2" t="str">
        <f>IFERROR(__xludf.DUMMYFUNCTION("GOOGLETRANSLATE(A8056, ""en"", ""mt"")"),"il-għajn tagħhom")</f>
        <v>il-għajn tagħhom</v>
      </c>
    </row>
    <row r="8057" ht="15.75" customHeight="1">
      <c r="A8057" s="2" t="s">
        <v>8057</v>
      </c>
      <c r="B8057" s="2" t="str">
        <f>IFERROR(__xludf.DUMMYFUNCTION("GOOGLETRANSLATE(A8057, ""en"", ""mt"")"),"vleġġa")</f>
        <v>vleġġa</v>
      </c>
    </row>
    <row r="8058" ht="15.75" customHeight="1">
      <c r="A8058" s="2" t="s">
        <v>8058</v>
      </c>
      <c r="B8058" s="2" t="str">
        <f>IFERROR(__xludf.DUMMYFUNCTION("GOOGLETRANSLATE(A8058, ""en"", ""mt"")"),"Meta kienet il-gallerija ewlenija taċ-ċeramika u l-ġbir tal-ħġieġ tal-V &amp; A?")</f>
        <v>Meta kienet il-gallerija ewlenija taċ-ċeramika u l-ġbir tal-ħġieġ tal-V &amp; A?</v>
      </c>
    </row>
    <row r="8059" ht="15.75" customHeight="1">
      <c r="A8059" s="2" t="s">
        <v>8059</v>
      </c>
      <c r="B8059" s="2" t="str">
        <f>IFERROR(__xludf.DUMMYFUNCTION("GOOGLETRANSLATE(A8059, ""en"", ""mt"")"),"Fl-1952, kemm hemm stazzjonijiet tat-televiżjoni fl-Istati Uniti?")</f>
        <v>Fl-1952, kemm hemm stazzjonijiet tat-televiżjoni fl-Istati Uniti?</v>
      </c>
    </row>
    <row r="8060" ht="15.75" customHeight="1">
      <c r="A8060" s="2" t="s">
        <v>8060</v>
      </c>
      <c r="B8060" s="2" t="str">
        <f>IFERROR(__xludf.DUMMYFUNCTION("GOOGLETRANSLATE(A8060, ""en"", ""mt"")"),"Ne1fm")</f>
        <v>Ne1fm</v>
      </c>
    </row>
    <row r="8061" ht="15.75" customHeight="1">
      <c r="A8061" s="2" t="s">
        <v>8061</v>
      </c>
      <c r="B8061" s="2" t="str">
        <f>IFERROR(__xludf.DUMMYFUNCTION("GOOGLETRANSLATE(A8061, ""en"", ""mt"")"),"peptidi awto")</f>
        <v>peptidi awto</v>
      </c>
    </row>
    <row r="8062" ht="15.75" customHeight="1">
      <c r="A8062" s="2" t="s">
        <v>8062</v>
      </c>
      <c r="B8062" s="2" t="str">
        <f>IFERROR(__xludf.DUMMYFUNCTION("GOOGLETRANSLATE(A8062, ""en"", ""mt"")"),"Aċċetta l-ħabs b'mod penitenti")</f>
        <v>Aċċetta l-ħabs b'mod penitenti</v>
      </c>
    </row>
    <row r="8063" ht="15.75" customHeight="1">
      <c r="A8063" s="2" t="s">
        <v>8063</v>
      </c>
      <c r="B8063" s="2" t="str">
        <f>IFERROR(__xludf.DUMMYFUNCTION("GOOGLETRANSLATE(A8063, ""en"", ""mt"")"),"Il-Katekiżmu huwa wieħed mill-aktar xogħlijiet personali ta 'Luther. ""Fir-rigward tal-pjan li niġbor il-kitbiet tiegħi f'volumi,"" kiteb, ""Jiena pjuttost frisk u xejn ħerqan dwaru għaliex, imqajjem minn ġuħ Saturnjan, nixtieq narahom kollha devorati. Għ"&amp;"ax ma nirrikonoxxi l-ebda wieħed minnhom Kun verament ktieb tiegħi, ħlief forsi l-jasar tar-rieda u tal-katekiżmu. "" Il-katekiżmu żgħir kiseb reputazzjoni bħala mudell ta ’tagħlim reliġjuż ċar. Jibqa 'jintuża llum, flimkien ma' l-innijiet ta 'Luther u t-"&amp;"traduzzjoni tiegħu tal-Bibbja.")</f>
        <v>Il-Katekiżmu huwa wieħed mill-aktar xogħlijiet personali ta 'Luther. "Fir-rigward tal-pjan li niġbor il-kitbiet tiegħi f'volumi," kiteb, "Jiena pjuttost frisk u xejn ħerqan dwaru għaliex, imqajjem minn ġuħ Saturnjan, nixtieq narahom kollha devorati. Għax ma nirrikonoxxi l-ebda wieħed minnhom Kun verament ktieb tiegħi, ħlief forsi l-jasar tar-rieda u tal-katekiżmu. " Il-katekiżmu żgħir kiseb reputazzjoni bħala mudell ta ’tagħlim reliġjuż ċar. Jibqa 'jintuża llum, flimkien ma' l-innijiet ta 'Luther u t-traduzzjoni tiegħu tal-Bibbja.</v>
      </c>
    </row>
    <row r="8064" ht="15.75" customHeight="1">
      <c r="A8064" s="2" t="s">
        <v>8064</v>
      </c>
      <c r="B8064" s="2" t="str">
        <f>IFERROR(__xludf.DUMMYFUNCTION("GOOGLETRANSLATE(A8064, ""en"", ""mt"")"),"Qabel is-Super Bowl 50, x'kien l-isem tal-kowċ li kowċja ż-żewġ timijiet għall-aħħar dehriet tagħhom ta 'Super Bowl?")</f>
        <v>Qabel is-Super Bowl 50, x'kien l-isem tal-kowċ li kowċja ż-żewġ timijiet għall-aħħar dehriet tagħhom ta 'Super Bowl?</v>
      </c>
    </row>
    <row r="8065" ht="15.75" customHeight="1">
      <c r="A8065" s="2" t="s">
        <v>8065</v>
      </c>
      <c r="B8065" s="2" t="str">
        <f>IFERROR(__xludf.DUMMYFUNCTION("GOOGLETRANSLATE(A8065, ""en"", ""mt"")"),"Wara li l-Arċisqof Albrecht irreveda t-teżijiet, fejn bagħathom?")</f>
        <v>Wara li l-Arċisqof Albrecht irreveda t-teżijiet, fejn bagħathom?</v>
      </c>
    </row>
    <row r="8066" ht="15.75" customHeight="1">
      <c r="A8066" s="2" t="s">
        <v>8066</v>
      </c>
      <c r="B8066" s="2" t="str">
        <f>IFERROR(__xludf.DUMMYFUNCTION("GOOGLETRANSLATE(A8066, ""en"", ""mt"")"),"ottimizzazzjoni ta 'trattament ta' mediċina")</f>
        <v>ottimizzazzjoni ta 'trattament ta' mediċina</v>
      </c>
    </row>
    <row r="8067" ht="15.75" customHeight="1">
      <c r="A8067" s="2" t="s">
        <v>8067</v>
      </c>
      <c r="B8067" s="2" t="str">
        <f>IFERROR(__xludf.DUMMYFUNCTION("GOOGLETRANSLATE(A8067, ""en"", ""mt"")"),"mitluba mill-gvernijiet")</f>
        <v>mitluba mill-gvernijiet</v>
      </c>
    </row>
    <row r="8068" ht="15.75" customHeight="1">
      <c r="A8068" s="2" t="s">
        <v>8068</v>
      </c>
      <c r="B8068" s="2" t="str">
        <f>IFERROR(__xludf.DUMMYFUNCTION("GOOGLETRANSLATE(A8068, ""en"", ""mt"")"),"forzi bħala dovuti għal gradjent tal-potenzjal")</f>
        <v>forzi bħala dovuti għal gradjent tal-potenzjal</v>
      </c>
    </row>
    <row r="8069" ht="15.75" customHeight="1">
      <c r="A8069" s="2" t="s">
        <v>8069</v>
      </c>
      <c r="B8069" s="2" t="str">
        <f>IFERROR(__xludf.DUMMYFUNCTION("GOOGLETRANSLATE(A8069, ""en"", ""mt"")"),"X'tip ta 'edukazzjoni ġie vvalutat f'dan iż-żmien?")</f>
        <v>X'tip ta 'edukazzjoni ġie vvalutat f'dan iż-żmien?</v>
      </c>
    </row>
    <row r="8070" ht="15.75" customHeight="1">
      <c r="A8070" s="2" t="s">
        <v>8070</v>
      </c>
      <c r="B8070" s="2" t="str">
        <f>IFERROR(__xludf.DUMMYFUNCTION("GOOGLETRANSLATE(A8070, ""en"", ""mt"")"),"Peninsulari")</f>
        <v>Peninsulari</v>
      </c>
    </row>
    <row r="8071" ht="15.75" customHeight="1">
      <c r="A8071" s="2" t="s">
        <v>8071</v>
      </c>
      <c r="B8071" s="2" t="str">
        <f>IFERROR(__xludf.DUMMYFUNCTION("GOOGLETRANSLATE(A8071, ""en"", ""mt"")"),"Tyndale")</f>
        <v>Tyndale</v>
      </c>
    </row>
    <row r="8072" ht="15.75" customHeight="1">
      <c r="A8072" s="2" t="s">
        <v>8072</v>
      </c>
      <c r="B8072" s="2" t="str">
        <f>IFERROR(__xludf.DUMMYFUNCTION("GOOGLETRANSLATE(A8072, ""en"", ""mt"")"),"X'inhuma t-tribujiet li jitkellmu bil-Siouan?")</f>
        <v>X'inhuma t-tribujiet li jitkellmu bil-Siouan?</v>
      </c>
    </row>
    <row r="8073" ht="15.75" customHeight="1">
      <c r="A8073" s="2" t="s">
        <v>8073</v>
      </c>
      <c r="B8073" s="2" t="str">
        <f>IFERROR(__xludf.DUMMYFUNCTION("GOOGLETRANSLATE(A8073, ""en"", ""mt"")"),"San Jose Marriott.")</f>
        <v>San Jose Marriott.</v>
      </c>
    </row>
    <row r="8074" ht="15.75" customHeight="1">
      <c r="A8074" s="2" t="s">
        <v>8074</v>
      </c>
      <c r="B8074" s="2" t="str">
        <f>IFERROR(__xludf.DUMMYFUNCTION("GOOGLETRANSLATE(A8074, ""en"", ""mt"")"),"Trasmissjoni turbo-elettrika")</f>
        <v>Trasmissjoni turbo-elettrika</v>
      </c>
    </row>
    <row r="8075" ht="15.75" customHeight="1">
      <c r="A8075" s="2" t="s">
        <v>8075</v>
      </c>
      <c r="B8075" s="2" t="str">
        <f>IFERROR(__xludf.DUMMYFUNCTION("GOOGLETRANSLATE(A8075, ""en"", ""mt"")"),"4.6 biljun")</f>
        <v>4.6 biljun</v>
      </c>
    </row>
    <row r="8076" ht="15.75" customHeight="1">
      <c r="A8076" s="2" t="s">
        <v>8076</v>
      </c>
      <c r="B8076" s="2" t="str">
        <f>IFERROR(__xludf.DUMMYFUNCTION("GOOGLETRANSLATE(A8076, ""en"", ""mt"")"),"Ladarba l-appelli ta 'Mutual kontra l-FCC ġew miċħuda, RCA ddeċidiet li tbiegħ NBC Blue fl-1941, u tat lill-mandat biex jagħmel hekk biex jimmarka Woods. RCA kkonvertiet in-Netwerk Blu NBC f'sussidjarja indipendenti, li tiddivorzja formalment l-operazzjon"&amp;"ijiet ta 'NBC Red u NBC Blue fit-8 ta' Jannar, 1942, bin-netwerk blu jiġi riferut fuq l-arja bħala ""blu"" jew ""netwerk blu"". L-NBC Red u l-NBC Blue separati ġodda qasmu l-assi korporattivi rispettivi tagħhom. Bejn l-1942 u l-1943, Woods offra li jbiegħ"&amp;" in-Netwerk Blu NBC kollu, pakkett li kien jinkludi kirjiet fuq linji fissi, tliet liċenzji tat-televiżjoni pendenti (WJZ-TV fi New York City, KGO-TV f'San Francisco u WENR-TV f'Chicago), 60 affiljati, erba 'faċilitajiet ta' operazzjonijiet (fi New York C"&amp;"ity, Chicago, Los Angeles u Washington D.C.), kuntratti ma 'atturi, u l-marka assoċjata man-Netwerk Blu. Id-ditta ta ’investiment Dillon, Read &amp; Co. (li aktar tard ġiet akkwistata mill-Korporazzjoni Swiss Bank fl-1997) offriet $ 7.5 miljun biex tixtri n-n"&amp;"etwerk, iżda l-offerta ġiet rifjutata mill-Woods u l-President tal-RCA David Sarnoff.")</f>
        <v>Ladarba l-appelli ta 'Mutual kontra l-FCC ġew miċħuda, RCA ddeċidiet li tbiegħ NBC Blue fl-1941, u tat lill-mandat biex jagħmel hekk biex jimmarka Woods. RCA kkonvertiet in-Netwerk Blu NBC f'sussidjarja indipendenti, li tiddivorzja formalment l-operazzjonijiet ta 'NBC Red u NBC Blue fit-8 ta' Jannar, 1942, bin-netwerk blu jiġi riferut fuq l-arja bħala "blu" jew "netwerk blu". L-NBC Red u l-NBC Blue separati ġodda qasmu l-assi korporattivi rispettivi tagħhom. Bejn l-1942 u l-1943, Woods offra li jbiegħ in-Netwerk Blu NBC kollu, pakkett li kien jinkludi kirjiet fuq linji fissi, tliet liċenzji tat-televiżjoni pendenti (WJZ-TV fi New York City, KGO-TV f'San Francisco u WENR-TV f'Chicago), 60 affiljati, erba 'faċilitajiet ta' operazzjonijiet (fi New York City, Chicago, Los Angeles u Washington D.C.), kuntratti ma 'atturi, u l-marka assoċjata man-Netwerk Blu. Id-ditta ta ’investiment Dillon, Read &amp; Co. (li aktar tard ġiet akkwistata mill-Korporazzjoni Swiss Bank fl-1997) offriet $ 7.5 miljun biex tixtri n-netwerk, iżda l-offerta ġiet rifjutata mill-Woods u l-President tal-RCA David Sarnoff.</v>
      </c>
    </row>
    <row r="8077" ht="15.75" customHeight="1">
      <c r="A8077" s="2" t="s">
        <v>8077</v>
      </c>
      <c r="B8077" s="2" t="str">
        <f>IFERROR(__xludf.DUMMYFUNCTION("GOOGLETRANSLATE(A8077, ""en"", ""mt"")"),"Archangel Michael")</f>
        <v>Archangel Michael</v>
      </c>
    </row>
    <row r="8078" ht="15.75" customHeight="1">
      <c r="A8078" s="2" t="s">
        <v>8078</v>
      </c>
      <c r="B8078" s="2" t="str">
        <f>IFERROR(__xludf.DUMMYFUNCTION("GOOGLETRANSLATE(A8078, ""en"", ""mt"")"),"Fejn huma ċ-ċelloli speċjalizzati li jeliminaw iċ-ċelloli li jirrikonoxxu l-antiġeni li jinsabu?")</f>
        <v>Fejn huma ċ-ċelloli speċjalizzati li jeliminaw iċ-ċelloli li jirrikonoxxu l-antiġeni li jinsabu?</v>
      </c>
    </row>
    <row r="8079" ht="15.75" customHeight="1">
      <c r="A8079" s="2" t="s">
        <v>8079</v>
      </c>
      <c r="B8079" s="2" t="str">
        <f>IFERROR(__xludf.DUMMYFUNCTION("GOOGLETRANSLATE(A8079, ""en"", ""mt"")"),"Wahhabi / salafi jihadist extremist militant group")</f>
        <v>Wahhabi / salafi jihadist extremist militant group</v>
      </c>
    </row>
    <row r="8080" ht="15.75" customHeight="1">
      <c r="A8080" s="2" t="s">
        <v>8080</v>
      </c>
      <c r="B8080" s="2" t="str">
        <f>IFERROR(__xludf.DUMMYFUNCTION("GOOGLETRANSLATE(A8080, ""en"", ""mt"")"),"Min imexxi s-Super Bowl 50 prestazzjoni f'ħin il-mistrieħ?")</f>
        <v>Min imexxi s-Super Bowl 50 prestazzjoni f'ħin il-mistrieħ?</v>
      </c>
    </row>
    <row r="8081" ht="15.75" customHeight="1">
      <c r="A8081" s="2" t="s">
        <v>8081</v>
      </c>
      <c r="B8081" s="2" t="str">
        <f>IFERROR(__xludf.DUMMYFUNCTION("GOOGLETRANSLATE(A8081, ""en"", ""mt"")"),"Fiżista")</f>
        <v>Fiżista</v>
      </c>
    </row>
    <row r="8082" ht="15.75" customHeight="1">
      <c r="A8082" s="2" t="s">
        <v>8082</v>
      </c>
      <c r="B8082" s="2" t="str">
        <f>IFERROR(__xludf.DUMMYFUNCTION("GOOGLETRANSLATE(A8082, ""en"", ""mt"")"),"Kemm mill-aktar sinjuri 400 Amerikani kibru fi privileġġ sostanzjali?")</f>
        <v>Kemm mill-aktar sinjuri 400 Amerikani kibru fi privileġġ sostanzjali?</v>
      </c>
    </row>
    <row r="8083" ht="15.75" customHeight="1">
      <c r="A8083" s="2" t="s">
        <v>8083</v>
      </c>
      <c r="B8083" s="2" t="str">
        <f>IFERROR(__xludf.DUMMYFUNCTION("GOOGLETRANSLATE(A8083, ""en"", ""mt"")"),"Rock jikkristallizza minn Melt (Magma u / jew Lava)")</f>
        <v>Rock jikkristallizza minn Melt (Magma u / jew Lava)</v>
      </c>
    </row>
    <row r="8084" ht="15.75" customHeight="1">
      <c r="A8084" s="2" t="s">
        <v>8084</v>
      </c>
      <c r="B8084" s="2" t="str">
        <f>IFERROR(__xludf.DUMMYFUNCTION("GOOGLETRANSLATE(A8084, ""en"", ""mt"")"),"Liema Nazzjon tal-Gżira tal-Asja t'Isfel huwa rappreżentat fil-kollezzjoni V&amp;A?")</f>
        <v>Liema Nazzjon tal-Gżira tal-Asja t'Isfel huwa rappreżentat fil-kollezzjoni V&amp;A?</v>
      </c>
    </row>
    <row r="8085" ht="15.75" customHeight="1">
      <c r="A8085" s="2" t="s">
        <v>8085</v>
      </c>
      <c r="B8085" s="2" t="str">
        <f>IFERROR(__xludf.DUMMYFUNCTION("GOOGLETRANSLATE(A8085, ""en"", ""mt"")"),"Fis-snin sebgħin, il-belt kienet is-suġġett ta 'kanzunetta, ""Walking In Fresno"", miktuba mill-kitarrist tas-Sala tal-Eroj Bill Aken u rrekordjat minn Bob Gallion of the World-famuż ""WWVA Jamboree"" Radju u Televiżiv Show in Wheeling, West Virginia - Ak"&amp;"en, adottat mill-attriċi tal-films Messikani Lupe Mayorga, kiber fil-belt ġirien ta 'Madera u l-kanzunetta tiegħu kronikaw it-tbatijiet li jħabbtu wiċċhom magħhom il-ħaddiema tal-farm migranti li ra bħala tifel. Aken għamel ukoll l-ewwel dehra tat-TV tieg"&amp;"ħu jdoqq il-kitarra fuq l-ispettaklu l-qadim tal-Punent fil-Fresno Barn.")</f>
        <v>Fis-snin sebgħin, il-belt kienet is-suġġett ta 'kanzunetta, "Walking In Fresno", miktuba mill-kitarrist tas-Sala tal-Eroj Bill Aken u rrekordjat minn Bob Gallion of the World-famuż "WWVA Jamboree" Radju u Televiżiv Show in Wheeling, West Virginia - Aken, adottat mill-attriċi tal-films Messikani Lupe Mayorga, kiber fil-belt ġirien ta 'Madera u l-kanzunetta tiegħu kronikaw it-tbatijiet li jħabbtu wiċċhom magħhom il-ħaddiema tal-farm migranti li ra bħala tifel. Aken għamel ukoll l-ewwel dehra tat-TV tiegħu jdoqq il-kitarra fuq l-ispettaklu l-qadim tal-Punent fil-Fresno Barn.</v>
      </c>
    </row>
    <row r="8086" ht="15.75" customHeight="1">
      <c r="A8086" s="2" t="s">
        <v>8086</v>
      </c>
      <c r="B8086" s="2" t="str">
        <f>IFERROR(__xludf.DUMMYFUNCTION("GOOGLETRANSLATE(A8086, ""en"", ""mt"")"),"Il-programm ma tħalla l-ebda ""monsters b'għajn bug""")</f>
        <v>Il-programm ma tħalla l-ebda "monsters b'għajn bug"</v>
      </c>
    </row>
    <row r="8087" ht="15.75" customHeight="1">
      <c r="A8087" s="2" t="s">
        <v>8087</v>
      </c>
      <c r="B8087" s="2" t="str">
        <f>IFERROR(__xludf.DUMMYFUNCTION("GOOGLETRANSLATE(A8087, ""en"", ""mt"")"),"L-aħħar dikjarazzjoni tiegħu")</f>
        <v>L-aħħar dikjarazzjoni tiegħu</v>
      </c>
    </row>
    <row r="8088" ht="15.75" customHeight="1">
      <c r="A8088" s="2" t="s">
        <v>8088</v>
      </c>
      <c r="B8088" s="2" t="str">
        <f>IFERROR(__xludf.DUMMYFUNCTION("GOOGLETRANSLATE(A8088, ""en"", ""mt"")"),"Min ħatar lil Samuel Phillips biex raġel it-tim tat-Tiger isib tweġibiet?")</f>
        <v>Min ħatar lil Samuel Phillips biex raġel it-tim tat-Tiger isib tweġibiet?</v>
      </c>
    </row>
    <row r="8089" ht="15.75" customHeight="1">
      <c r="A8089" s="2" t="s">
        <v>8089</v>
      </c>
      <c r="B8089" s="2" t="str">
        <f>IFERROR(__xludf.DUMMYFUNCTION("GOOGLETRANSLATE(A8089, ""en"", ""mt"")"),"X'inhu l-effett fuq il-bnedmin ta 'l-ossiġnu?")</f>
        <v>X'inhu l-effett fuq il-bnedmin ta 'l-ossiġnu?</v>
      </c>
    </row>
    <row r="8090" ht="15.75" customHeight="1">
      <c r="A8090" s="2" t="s">
        <v>8090</v>
      </c>
      <c r="B8090" s="2" t="str">
        <f>IFERROR(__xludf.DUMMYFUNCTION("GOOGLETRANSLATE(A8090, ""en"", ""mt"")"),"Bi tweġiba għall-għajnuna Amerikana lill-Iżrael, fis-16 ta 'Ottubru, 1973, l-OPEC għolla l-prezz stazzjonat taż-żejt b'70%, għal $ 5.11 il-barmil. L-għada, il-ministri taż-żejt qablu mal-embargo, tnaqqis fil-produzzjoni b'ħames fil-mija mill-produzzjoni t"&amp;"a 'Settembru u jkomplu jnaqqsu l-produzzjoni f'żidiet ta' ħames fil-mija fix-xahar sakemm jintlaħqu l-għanijiet ekonomiċi u politiċi tagħhom. Fid-19 ta 'Ottubru, Nixon talab lill-Kungress biex ikun xieraq $ 2.2 biljun f'għajnuna ta' emerġenza lill-Iżrael,"&amp;" inklużi $ 1.5 biljun f'għotjiet diretti. George Lenczowski jinnota, ""Il-provvisti militari ma eżawrix il-ħeġġa ta 'Nixon biex jipprevjenu l-kollass ta' Iżrael ... din id-deċiżjoni [$ 2.2 biljun] wasslet għal rispons kollettiv tal-OPEC."" Il-Libja immedj"&amp;"atament ħabbret li se jbaħħru vjeġġi taż-żejt lejn l-Istati Uniti. L-Arabja Sawdita u l-istati l-oħra li jipproduċu ż-żejt Għarab ingħaqdu fl-embargo fl-20 ta 'Ottubru, 1973. Fil-laqgħa tal-Kuwajt tagħhom, OAPEC ipproklama l-embargo li trażżan l-esportazz"&amp;"jonijiet lejn diversi pajjiżi u imblukkaw il-kunsinni kollha taż-żejt lejn l-Istati Uniti bħala ""pajjiż ostili prinċipali"".")</f>
        <v>Bi tweġiba għall-għajnuna Amerikana lill-Iżrael, fis-16 ta 'Ottubru, 1973, l-OPEC għolla l-prezz stazzjonat taż-żejt b'70%, għal $ 5.11 il-barmil. L-għada, il-ministri taż-żejt qablu mal-embargo, tnaqqis fil-produzzjoni b'ħames fil-mija mill-produzzjoni ta 'Settembru u jkomplu jnaqqsu l-produzzjoni f'żidiet ta' ħames fil-mija fix-xahar sakemm jintlaħqu l-għanijiet ekonomiċi u politiċi tagħhom. Fid-19 ta 'Ottubru, Nixon talab lill-Kungress biex ikun xieraq $ 2.2 biljun f'għajnuna ta' emerġenza lill-Iżrael, inklużi $ 1.5 biljun f'għotjiet diretti. George Lenczowski jinnota, "Il-provvisti militari ma eżawrix il-ħeġġa ta 'Nixon biex jipprevjenu l-kollass ta' Iżrael ... din id-deċiżjoni [$ 2.2 biljun] wasslet għal rispons kollettiv tal-OPEC." Il-Libja immedjatament ħabbret li se jbaħħru vjeġġi taż-żejt lejn l-Istati Uniti. L-Arabja Sawdita u l-istati l-oħra li jipproduċu ż-żejt Għarab ingħaqdu fl-embargo fl-20 ta 'Ottubru, 1973. Fil-laqgħa tal-Kuwajt tagħhom, OAPEC ipproklama l-embargo li trażżan l-esportazzjonijiet lejn diversi pajjiżi u imblukkaw il-kunsinni kollha taż-żejt lejn l-Istati Uniti bħala "pajjiż ostili prinċipali".</v>
      </c>
    </row>
    <row r="8091" ht="15.75" customHeight="1">
      <c r="A8091" s="2" t="s">
        <v>8091</v>
      </c>
      <c r="B8091" s="2" t="str">
        <f>IFERROR(__xludf.DUMMYFUNCTION("GOOGLETRANSLATE(A8091, ""en"", ""mt"")"),"L- ""Ipotesi tal-Hugues""")</f>
        <v>L- "Ipotesi tal-Hugues"</v>
      </c>
    </row>
    <row r="8092" ht="15.75" customHeight="1">
      <c r="A8092" s="2" t="s">
        <v>8092</v>
      </c>
      <c r="B8092" s="2" t="str">
        <f>IFERROR(__xludf.DUMMYFUNCTION("GOOGLETRANSLATE(A8092, ""en"", ""mt"")"),"X'inhu sekretat mill-passaġġ respiratorju biex jaqbad il-mikro-organiżmi?")</f>
        <v>X'inhu sekretat mill-passaġġ respiratorju biex jaqbad il-mikro-organiżmi?</v>
      </c>
    </row>
    <row r="8093" ht="15.75" customHeight="1">
      <c r="A8093" s="2" t="s">
        <v>8093</v>
      </c>
      <c r="B8093" s="2" t="str">
        <f>IFERROR(__xludf.DUMMYFUNCTION("GOOGLETRANSLATE(A8093, ""en"", ""mt"")"),"Fejn jinsab l-ajruport?")</f>
        <v>Fejn jinsab l-ajruport?</v>
      </c>
    </row>
    <row r="8094" ht="15.75" customHeight="1">
      <c r="A8094" s="2" t="s">
        <v>8094</v>
      </c>
      <c r="B8094" s="2" t="str">
        <f>IFERROR(__xludf.DUMMYFUNCTION("GOOGLETRANSLATE(A8094, ""en"", ""mt"")"),"Sistemi ta 'illuminazzjoni bbażati fuq dawl tal-ark elettriku installati")</f>
        <v>Sistemi ta 'illuminazzjoni bbażati fuq dawl tal-ark elettriku installati</v>
      </c>
    </row>
    <row r="8095" ht="15.75" customHeight="1">
      <c r="A8095" s="2" t="s">
        <v>8095</v>
      </c>
      <c r="B8095" s="2" t="str">
        <f>IFERROR(__xludf.DUMMYFUNCTION("GOOGLETRANSLATE(A8095, ""en"", ""mt"")"),"Ipproduċi kurrenti tal-ilma li jgħinu priża mikroskopika diretta lejn il-ħalq")</f>
        <v>Ipproduċi kurrenti tal-ilma li jgħinu priża mikroskopika diretta lejn il-ħalq</v>
      </c>
    </row>
    <row r="8096" ht="15.75" customHeight="1">
      <c r="A8096" s="2" t="s">
        <v>8096</v>
      </c>
      <c r="B8096" s="2" t="str">
        <f>IFERROR(__xludf.DUMMYFUNCTION("GOOGLETRANSLATE(A8096, ""en"", ""mt"")"),"Brest, Franza")</f>
        <v>Brest, Franza</v>
      </c>
    </row>
    <row r="8097" ht="15.75" customHeight="1">
      <c r="A8097" s="2" t="s">
        <v>8097</v>
      </c>
      <c r="B8097" s="2" t="str">
        <f>IFERROR(__xludf.DUMMYFUNCTION("GOOGLETRANSLATE(A8097, ""en"", ""mt"")"),"Filwaqt li ħafna kongregazzjonijiet Metodisti Magħquda joperaw fit-tradizzjoni evanġelika, oħrajn jirriflettu t-tradizzjonijiet Protestanti ewlenin. Għalkemm il-prattiki Metodisti Magħquda u l-interpretazzjoni tat-twemmin evolvew maż-żmien, dawn il-pratti"&amp;"ki u t-twemmin jistgħu jiġu rintraċċati għall-kitbiet tal-fundaturi tal-knisja, speċjalment John Wesley u Charles Wesley (Anglikani), iżda wkoll Philip William Otterbein u Martin Boehm (ħutna magħquda) , u Jacob Albright (Assoċjazzjoni Evanġelika). Bil-fo"&amp;"rmazzjoni tal-Knisja Metodista Magħquda fl-1968, it-teologu Albert C. Outler mexxa lit-tim li sistematizza d-duttrina denominazzjonali. Ix-xogħol ta 'Outler wera ċentrali fix-xogħol ta' l-Unjoni, u huwa fil-biċċa l-kbira meqjus bħala l-ewwel teologu Metod"&amp;"ist Magħqud.")</f>
        <v>Filwaqt li ħafna kongregazzjonijiet Metodisti Magħquda joperaw fit-tradizzjoni evanġelika, oħrajn jirriflettu t-tradizzjonijiet Protestanti ewlenin. Għalkemm il-prattiki Metodisti Magħquda u l-interpretazzjoni tat-twemmin evolvew maż-żmien, dawn il-prattiki u t-twemmin jistgħu jiġu rintraċċati għall-kitbiet tal-fundaturi tal-knisja, speċjalment John Wesley u Charles Wesley (Anglikani), iżda wkoll Philip William Otterbein u Martin Boehm (ħutna magħquda) , u Jacob Albright (Assoċjazzjoni Evanġelika). Bil-formazzjoni tal-Knisja Metodista Magħquda fl-1968, it-teologu Albert C. Outler mexxa lit-tim li sistematizza d-duttrina denominazzjonali. Ix-xogħol ta 'Outler wera ċentrali fix-xogħol ta' l-Unjoni, u huwa fil-biċċa l-kbira meqjus bħala l-ewwel teologu Metodist Magħqud.</v>
      </c>
    </row>
    <row r="8098" ht="15.75" customHeight="1">
      <c r="A8098" s="2" t="s">
        <v>8098</v>
      </c>
      <c r="B8098" s="2" t="str">
        <f>IFERROR(__xludf.DUMMYFUNCTION("GOOGLETRANSLATE(A8098, ""en"", ""mt"")"),"Riċerka mill-ekonomista ta 'Harvard Robert Barro, sabet li hemm ""ftit relazzjoni ġenerali bejn l-inugwaljanza tad-dħul u r-rati ta' tkabbir u investiment"". Skond ix-xogħol minn Barro fl-1999 u l-2000, livelli għoljin ta 'inugwaljanza jnaqqsu t-tkabbir f"&amp;"'pajjiżi relattivament foqra iżda jinkoraġġixxu t-tkabbir f'pajjiżi aktar sinjuri. Studju tal-kontej Żvediżi bejn l-1960 u l-2000 sab impatt pożittiv ta 'inugwaljanza fuq it-tkabbir b'ħinijiet ta' ċomb ta 'ħames snin jew inqas, iżda l-ebda korrelazzjoni w"&amp;"ara għaxar snin. Studji ta 'settijiet ta' dejta akbar ma sabu l-ebda korrelazzjoni għal kwalunkwe ħin ta 'ċomb fiss, u impatt negattiv fuq it-tul tat-tkabbir.")</f>
        <v>Riċerka mill-ekonomista ta 'Harvard Robert Barro, sabet li hemm "ftit relazzjoni ġenerali bejn l-inugwaljanza tad-dħul u r-rati ta' tkabbir u investiment". Skond ix-xogħol minn Barro fl-1999 u l-2000, livelli għoljin ta 'inugwaljanza jnaqqsu t-tkabbir f'pajjiżi relattivament foqra iżda jinkoraġġixxu t-tkabbir f'pajjiżi aktar sinjuri. Studju tal-kontej Żvediżi bejn l-1960 u l-2000 sab impatt pożittiv ta 'inugwaljanza fuq it-tkabbir b'ħinijiet ta' ċomb ta 'ħames snin jew inqas, iżda l-ebda korrelazzjoni wara għaxar snin. Studji ta 'settijiet ta' dejta akbar ma sabu l-ebda korrelazzjoni għal kwalunkwe ħin ta 'ċomb fiss, u impatt negattiv fuq it-tul tat-tkabbir.</v>
      </c>
    </row>
    <row r="8099" ht="15.75" customHeight="1">
      <c r="A8099" s="2" t="s">
        <v>8099</v>
      </c>
      <c r="B8099" s="2" t="str">
        <f>IFERROR(__xludf.DUMMYFUNCTION("GOOGLETRANSLATE(A8099, ""en"", ""mt"")"),"Kemm djar kellhom servizz BSKYB fl-1994?")</f>
        <v>Kemm djar kellhom servizz BSKYB fl-1994?</v>
      </c>
    </row>
    <row r="8100" ht="15.75" customHeight="1">
      <c r="A8100" s="2" t="s">
        <v>8100</v>
      </c>
      <c r="B8100" s="2" t="str">
        <f>IFERROR(__xludf.DUMMYFUNCTION("GOOGLETRANSLATE(A8100, ""en"", ""mt"")"),"Washington u Thomas Gage")</f>
        <v>Washington u Thomas Gage</v>
      </c>
    </row>
    <row r="8101" ht="15.75" customHeight="1">
      <c r="A8101" s="2" t="s">
        <v>8101</v>
      </c>
      <c r="B8101" s="2" t="str">
        <f>IFERROR(__xludf.DUMMYFUNCTION("GOOGLETRANSLATE(A8101, ""en"", ""mt"")"),"Kif kien jissejjaħ il-proġett ta 'diġitizzazzjoni?")</f>
        <v>Kif kien jissejjaħ il-proġett ta 'diġitizzazzjoni?</v>
      </c>
    </row>
    <row r="8102" ht="15.75" customHeight="1">
      <c r="A8102" s="2" t="s">
        <v>8102</v>
      </c>
      <c r="B8102" s="2" t="str">
        <f>IFERROR(__xludf.DUMMYFUNCTION("GOOGLETRANSLATE(A8102, ""en"", ""mt"")"),"il-bajd u l-isperma jimmaturaw fi żminijiet differenti")</f>
        <v>il-bajd u l-isperma jimmaturaw fi żminijiet differenti</v>
      </c>
    </row>
    <row r="8103" ht="15.75" customHeight="1">
      <c r="A8103" s="2" t="s">
        <v>8103</v>
      </c>
      <c r="B8103" s="2" t="str">
        <f>IFERROR(__xludf.DUMMYFUNCTION("GOOGLETRANSLATE(A8103, ""en"", ""mt"")"),"Muqali,")</f>
        <v>Muqali,</v>
      </c>
    </row>
    <row r="8104" ht="15.75" customHeight="1">
      <c r="A8104" s="2" t="s">
        <v>8104</v>
      </c>
      <c r="B8104" s="2" t="str">
        <f>IFERROR(__xludf.DUMMYFUNCTION("GOOGLETRANSLATE(A8104, ""en"", ""mt"")"),"Proplastidi jistgħu jiżviluppaw fi stadju ta 'etioplast qabel ma jsiru kloroplasti")</f>
        <v>Proplastidi jistgħu jiżviluppaw fi stadju ta 'etioplast qabel ma jsiru kloroplasti</v>
      </c>
    </row>
    <row r="8105" ht="15.75" customHeight="1">
      <c r="A8105" s="2" t="s">
        <v>8105</v>
      </c>
      <c r="B8105" s="2" t="str">
        <f>IFERROR(__xludf.DUMMYFUNCTION("GOOGLETRANSLATE(A8105, ""en"", ""mt"")"),"Odinga")</f>
        <v>Odinga</v>
      </c>
    </row>
    <row r="8106" ht="15.75" customHeight="1">
      <c r="A8106" s="2" t="s">
        <v>8106</v>
      </c>
      <c r="B8106" s="2" t="str">
        <f>IFERROR(__xludf.DUMMYFUNCTION("GOOGLETRANSLATE(A8106, ""en"", ""mt"")"),"Analiżi bir-reqqa tal-medikazzjoni kollha (preskrizzjoni, nuqqas ta 'preskrizzjoni, u herbals) li bħalissa qed jittieħdu minn individwu")</f>
        <v>Analiżi bir-reqqa tal-medikazzjoni kollha (preskrizzjoni, nuqqas ta 'preskrizzjoni, u herbals) li bħalissa qed jittieħdu minn individwu</v>
      </c>
    </row>
    <row r="8107" ht="15.75" customHeight="1">
      <c r="A8107" s="2" t="s">
        <v>8107</v>
      </c>
      <c r="B8107" s="2" t="str">
        <f>IFERROR(__xludf.DUMMYFUNCTION("GOOGLETRANSLATE(A8107, ""en"", ""mt"")"),"X'inhu moviment ta 'qawmien mill-ġdid Iżlamiku?")</f>
        <v>X'inhu moviment ta 'qawmien mill-ġdid Iżlamiku?</v>
      </c>
    </row>
    <row r="8108" ht="15.75" customHeight="1">
      <c r="A8108" s="2" t="s">
        <v>8108</v>
      </c>
      <c r="B8108" s="2" t="str">
        <f>IFERROR(__xludf.DUMMYFUNCTION("GOOGLETRANSLATE(A8108, ""en"", ""mt"")"),"Liema kumpanija ressqet ilment mal-FCC fl-1934 dwar problemi li jistabbilixxu stazzjonijiet ġodda?")</f>
        <v>Liema kumpanija ressqet ilment mal-FCC fl-1934 dwar problemi li jistabbilixxu stazzjonijiet ġodda?</v>
      </c>
    </row>
    <row r="8109" ht="15.75" customHeight="1">
      <c r="A8109" s="2" t="s">
        <v>8109</v>
      </c>
      <c r="B8109" s="2" t="str">
        <f>IFERROR(__xludf.DUMMYFUNCTION("GOOGLETRANSLATE(A8109, ""en"", ""mt"")"),"glowed")</f>
        <v>glowed</v>
      </c>
    </row>
    <row r="8110" ht="15.75" customHeight="1">
      <c r="A8110" s="2" t="s">
        <v>8110</v>
      </c>
      <c r="B8110" s="2" t="str">
        <f>IFERROR(__xludf.DUMMYFUNCTION("GOOGLETRANSLATE(A8110, ""en"", ""mt"")"),"Min hu l-President tal-Eġittu?")</f>
        <v>Min hu l-President tal-Eġittu?</v>
      </c>
    </row>
    <row r="8111" ht="15.75" customHeight="1">
      <c r="A8111" s="2" t="s">
        <v>8111</v>
      </c>
      <c r="B8111" s="2" t="str">
        <f>IFERROR(__xludf.DUMMYFUNCTION("GOOGLETRANSLATE(A8111, ""en"", ""mt"")"),"F'liema sena kienet l-espożizzjoni tal-Kolumbja tad-dinja?")</f>
        <v>F'liema sena kienet l-espożizzjoni tal-Kolumbja tad-dinja?</v>
      </c>
    </row>
    <row r="8112" ht="15.75" customHeight="1">
      <c r="A8112" s="2" t="s">
        <v>8112</v>
      </c>
      <c r="B8112" s="2" t="str">
        <f>IFERROR(__xludf.DUMMYFUNCTION("GOOGLETRANSLATE(A8112, ""en"", ""mt"")"),"stmat $ 200,000")</f>
        <v>stmat $ 200,000</v>
      </c>
    </row>
    <row r="8113" ht="15.75" customHeight="1">
      <c r="A8113" s="2" t="s">
        <v>8113</v>
      </c>
      <c r="B8113" s="2" t="str">
        <f>IFERROR(__xludf.DUMMYFUNCTION("GOOGLETRANSLATE(A8113, ""en"", ""mt"")"),"Antoine Lavoisier")</f>
        <v>Antoine Lavoisier</v>
      </c>
    </row>
    <row r="8114" ht="15.75" customHeight="1">
      <c r="A8114" s="2" t="s">
        <v>8114</v>
      </c>
      <c r="B8114" s="2" t="str">
        <f>IFERROR(__xludf.DUMMYFUNCTION("GOOGLETRANSLATE(A8114, ""en"", ""mt"")"),"Kennedy")</f>
        <v>Kennedy</v>
      </c>
    </row>
    <row r="8115" ht="15.75" customHeight="1">
      <c r="A8115" s="2" t="s">
        <v>8115</v>
      </c>
      <c r="B8115" s="2" t="str">
        <f>IFERROR(__xludf.DUMMYFUNCTION("GOOGLETRANSLATE(A8115, ""en"", ""mt"")"),"mergħa għall-baqar")</f>
        <v>mergħa għall-baqar</v>
      </c>
    </row>
    <row r="8116" ht="15.75" customHeight="1">
      <c r="A8116" s="2" t="s">
        <v>8116</v>
      </c>
      <c r="B8116" s="2" t="str">
        <f>IFERROR(__xludf.DUMMYFUNCTION("GOOGLETRANSLATE(A8116, ""en"", ""mt"")"),"Law tal-Liġi moħbija")</f>
        <v>Law tal-Liġi moħbija</v>
      </c>
    </row>
    <row r="8117" ht="15.75" customHeight="1">
      <c r="A8117" s="2" t="s">
        <v>8117</v>
      </c>
      <c r="B8117" s="2" t="str">
        <f>IFERROR(__xludf.DUMMYFUNCTION("GOOGLETRANSLATE(A8117, ""en"", ""mt"")"),"Xi jfisser Triumphans ta 'Fortiter Defendit?")</f>
        <v>Xi jfisser Triumphans ta 'Fortiter Defendit?</v>
      </c>
    </row>
    <row r="8118" ht="15.75" customHeight="1">
      <c r="A8118" s="2" t="s">
        <v>8118</v>
      </c>
      <c r="B8118" s="2" t="str">
        <f>IFERROR(__xludf.DUMMYFUNCTION("GOOGLETRANSLATE(A8118, ""en"", ""mt"")"),"Min kienu l-ħabbar ta 'Westwood One Sideline?")</f>
        <v>Min kienu l-ħabbar ta 'Westwood One Sideline?</v>
      </c>
    </row>
    <row r="8119" ht="15.75" customHeight="1">
      <c r="A8119" s="2" t="s">
        <v>8119</v>
      </c>
      <c r="B8119" s="2" t="str">
        <f>IFERROR(__xludf.DUMMYFUNCTION("GOOGLETRANSLATE(A8119, ""en"", ""mt"")"),"Liema studju kopra suġġetti fi 80,000 skola?")</f>
        <v>Liema studju kopra suġġetti fi 80,000 skola?</v>
      </c>
    </row>
    <row r="8120" ht="15.75" customHeight="1">
      <c r="A8120" s="2" t="s">
        <v>8120</v>
      </c>
      <c r="B8120" s="2" t="str">
        <f>IFERROR(__xludf.DUMMYFUNCTION("GOOGLETRANSLATE(A8120, ""en"", ""mt"")"),"X'inhi d-dar tal-Kenja?")</f>
        <v>X'inhi d-dar tal-Kenja?</v>
      </c>
    </row>
    <row r="8121" ht="15.75" customHeight="1">
      <c r="A8121" s="2" t="s">
        <v>8121</v>
      </c>
      <c r="B8121" s="2" t="str">
        <f>IFERROR(__xludf.DUMMYFUNCTION("GOOGLETRANSLATE(A8121, ""en"", ""mt"")"),"ħames snin")</f>
        <v>ħames snin</v>
      </c>
    </row>
    <row r="8122" ht="15.75" customHeight="1">
      <c r="A8122" s="2" t="s">
        <v>8122</v>
      </c>
      <c r="B8122" s="2" t="str">
        <f>IFERROR(__xludf.DUMMYFUNCTION("GOOGLETRANSLATE(A8122, ""en"", ""mt"")"),"lejn il-punent")</f>
        <v>lejn il-punent</v>
      </c>
    </row>
    <row r="8123" ht="15.75" customHeight="1">
      <c r="A8123" s="2" t="s">
        <v>8123</v>
      </c>
      <c r="B8123" s="2" t="str">
        <f>IFERROR(__xludf.DUMMYFUNCTION("GOOGLETRANSLATE(A8123, ""en"", ""mt"")"),"Mill-1562 sal-1598")</f>
        <v>Mill-1562 sal-1598</v>
      </c>
    </row>
    <row r="8124" ht="15.75" customHeight="1">
      <c r="A8124" s="2" t="s">
        <v>8124</v>
      </c>
      <c r="B8124" s="2" t="str">
        <f>IFERROR(__xludf.DUMMYFUNCTION("GOOGLETRANSLATE(A8124, ""en"", ""mt"")"),"51,300")</f>
        <v>51,300</v>
      </c>
    </row>
    <row r="8125" ht="15.75" customHeight="1">
      <c r="A8125" s="2" t="s">
        <v>8125</v>
      </c>
      <c r="B8125" s="2" t="str">
        <f>IFERROR(__xludf.DUMMYFUNCTION("GOOGLETRANSLATE(A8125, ""en"", ""mt"")"),"Min ħabbat il-ballun minn idejn Manning fuq il-logħob li jmiss?")</f>
        <v>Min ħabbat il-ballun minn idejn Manning fuq il-logħob li jmiss?</v>
      </c>
    </row>
    <row r="8126" ht="15.75" customHeight="1">
      <c r="A8126" s="2" t="s">
        <v>8126</v>
      </c>
      <c r="B8126" s="2" t="str">
        <f>IFERROR(__xludf.DUMMYFUNCTION("GOOGLETRANSLATE(A8126, ""en"", ""mt"")"),"It-teħid ta 'kampjuni tad-dejta huwa preġudikat' il bogħod miċ-ċentru tal-baċin tal-Amażonja")</f>
        <v>It-teħid ta 'kampjuni tad-dejta huwa preġudikat' il bogħod miċ-ċentru tal-baċin tal-Amażonja</v>
      </c>
    </row>
    <row r="8127" ht="15.75" customHeight="1">
      <c r="A8127" s="2" t="s">
        <v>8127</v>
      </c>
      <c r="B8127" s="2" t="str">
        <f>IFERROR(__xludf.DUMMYFUNCTION("GOOGLETRANSLATE(A8127, ""en"", ""mt"")"),"il-forom inġusti ta 'awtorità")</f>
        <v>il-forom inġusti ta 'awtorità</v>
      </c>
    </row>
    <row r="8128" ht="15.75" customHeight="1">
      <c r="A8128" s="2" t="s">
        <v>8128</v>
      </c>
      <c r="B8128" s="2" t="str">
        <f>IFERROR(__xludf.DUMMYFUNCTION("GOOGLETRANSLATE(A8128, ""en"", ""mt"")"),"Avvanzi fit-Teknoloġija tal-Istampar 3D")</f>
        <v>Avvanzi fit-Teknoloġija tal-Istampar 3D</v>
      </c>
    </row>
    <row r="8129" ht="15.75" customHeight="1">
      <c r="A8129" s="2" t="s">
        <v>8129</v>
      </c>
      <c r="B8129" s="2" t="str">
        <f>IFERROR(__xludf.DUMMYFUNCTION("GOOGLETRANSLATE(A8129, ""en"", ""mt"")"),"Liema mill-invenzjonijiet ta 'Tesla ntużaw fl-iżvilupp tar-radju?")</f>
        <v>Liema mill-invenzjonijiet ta 'Tesla ntużaw fl-iżvilupp tar-radju?</v>
      </c>
    </row>
    <row r="8130" ht="15.75" customHeight="1">
      <c r="A8130" s="2" t="s">
        <v>8130</v>
      </c>
      <c r="B8130" s="2" t="str">
        <f>IFERROR(__xludf.DUMMYFUNCTION("GOOGLETRANSLATE(A8130, ""en"", ""mt"")"),"X'inhu l-uniku divisor minbarra 1 li numru ewlieni jista 'jkollu?")</f>
        <v>X'inhu l-uniku divisor minbarra 1 li numru ewlieni jista 'jkollu?</v>
      </c>
    </row>
    <row r="8131" ht="15.75" customHeight="1">
      <c r="A8131" s="2" t="s">
        <v>8131</v>
      </c>
      <c r="B8131" s="2" t="str">
        <f>IFERROR(__xludf.DUMMYFUNCTION("GOOGLETRANSLATE(A8131, ""en"", ""mt"")"),"Ordni Pubbliku,")</f>
        <v>Ordni Pubbliku,</v>
      </c>
    </row>
    <row r="8132" ht="15.75" customHeight="1">
      <c r="A8132" s="2" t="s">
        <v>8132</v>
      </c>
      <c r="B8132" s="2" t="str">
        <f>IFERROR(__xludf.DUMMYFUNCTION("GOOGLETRANSLATE(A8132, ""en"", ""mt"")"),"polinomju")</f>
        <v>polinomju</v>
      </c>
    </row>
    <row r="8133" ht="15.75" customHeight="1">
      <c r="A8133" s="2" t="s">
        <v>8133</v>
      </c>
      <c r="B8133" s="2" t="str">
        <f>IFERROR(__xludf.DUMMYFUNCTION("GOOGLETRANSLATE(A8133, ""en"", ""mt"")"),"Orjent kontemporanju")</f>
        <v>Orjent kontemporanju</v>
      </c>
    </row>
    <row r="8134" ht="15.75" customHeight="1">
      <c r="A8134" s="2" t="s">
        <v>8134</v>
      </c>
      <c r="B8134" s="2" t="str">
        <f>IFERROR(__xludf.DUMMYFUNCTION("GOOGLETRANSLATE(A8134, ""en"", ""mt"")"),"Shah Ala Ad-Din Muhammad")</f>
        <v>Shah Ala Ad-Din Muhammad</v>
      </c>
    </row>
    <row r="8135" ht="15.75" customHeight="1">
      <c r="A8135" s="2" t="s">
        <v>8135</v>
      </c>
      <c r="B8135" s="2" t="str">
        <f>IFERROR(__xludf.DUMMYFUNCTION("GOOGLETRANSLATE(A8135, ""en"", ""mt"")"),"fl-istudju awto u s-soluzzjoni tal-problemi")</f>
        <v>fl-istudju awto u s-soluzzjoni tal-problemi</v>
      </c>
    </row>
    <row r="8136" ht="15.75" customHeight="1">
      <c r="A8136" s="2" t="s">
        <v>8136</v>
      </c>
      <c r="B8136" s="2" t="str">
        <f>IFERROR(__xludf.DUMMYFUNCTION("GOOGLETRANSLATE(A8136, ""en"", ""mt"")"),"folla barra l-wirt Musulman")</f>
        <v>folla barra l-wirt Musulman</v>
      </c>
    </row>
    <row r="8137" ht="15.75" customHeight="1">
      <c r="A8137" s="2" t="s">
        <v>8137</v>
      </c>
      <c r="B8137" s="2" t="str">
        <f>IFERROR(__xludf.DUMMYFUNCTION("GOOGLETRANSLATE(A8137, ""en"", ""mt"")"),"Kummerċ, skola u gvern")</f>
        <v>Kummerċ, skola u gvern</v>
      </c>
    </row>
    <row r="8138" ht="15.75" customHeight="1">
      <c r="A8138" s="2" t="s">
        <v>8138</v>
      </c>
      <c r="B8138" s="2" t="str">
        <f>IFERROR(__xludf.DUMMYFUNCTION("GOOGLETRANSLATE(A8138, ""en"", ""mt"")"),"Ir-Renu u liema xmara oħra xorbu l-ġnub tat-tramuntana tal-Alpi?")</f>
        <v>Ir-Renu u liema xmara oħra xorbu l-ġnub tat-tramuntana tal-Alpi?</v>
      </c>
    </row>
    <row r="8139" ht="15.75" customHeight="1">
      <c r="A8139" s="2" t="s">
        <v>8139</v>
      </c>
      <c r="B8139" s="2" t="str">
        <f>IFERROR(__xludf.DUMMYFUNCTION("GOOGLETRANSLATE(A8139, ""en"", ""mt"")"),"Fejn jinstab inqas komunement ir-retikolu periferali tal-kloroplast?")</f>
        <v>Fejn jinstab inqas komunement ir-retikolu periferali tal-kloroplast?</v>
      </c>
    </row>
    <row r="8140" ht="15.75" customHeight="1">
      <c r="A8140" s="2" t="s">
        <v>8140</v>
      </c>
      <c r="B8140" s="2" t="str">
        <f>IFERROR(__xludf.DUMMYFUNCTION("GOOGLETRANSLATE(A8140, ""en"", ""mt"")"),"Min kien l-amministratur tan-NASA?")</f>
        <v>Min kien l-amministratur tan-NASA?</v>
      </c>
    </row>
    <row r="8141" ht="15.75" customHeight="1">
      <c r="A8141" s="2" t="s">
        <v>8141</v>
      </c>
      <c r="B8141" s="2" t="str">
        <f>IFERROR(__xludf.DUMMYFUNCTION("GOOGLETRANSLATE(A8141, ""en"", ""mt"")"),"X’għajjat ​​Wiesner quddiem l-istampa waqt preżentazzjoni minn von Braun?")</f>
        <v>X’għajjat ​​Wiesner quddiem l-istampa waqt preżentazzjoni minn von Braun?</v>
      </c>
    </row>
    <row r="8142" ht="15.75" customHeight="1">
      <c r="A8142" s="2" t="s">
        <v>8142</v>
      </c>
      <c r="B8142" s="2" t="str">
        <f>IFERROR(__xludf.DUMMYFUNCTION("GOOGLETRANSLATE(A8142, ""en"", ""mt"")"),"Provvista għolja")</f>
        <v>Provvista għolja</v>
      </c>
    </row>
    <row r="8143" ht="15.75" customHeight="1">
      <c r="A8143" s="2" t="s">
        <v>8143</v>
      </c>
      <c r="B8143" s="2" t="str">
        <f>IFERROR(__xludf.DUMMYFUNCTION("GOOGLETRANSLATE(A8143, ""en"", ""mt"")"),"X’għamel il-Kenja Reveil fl-2030?")</f>
        <v>X’għamel il-Kenja Reveil fl-2030?</v>
      </c>
    </row>
    <row r="8144" ht="15.75" customHeight="1">
      <c r="A8144" s="2" t="s">
        <v>8144</v>
      </c>
      <c r="B8144" s="2" t="str">
        <f>IFERROR(__xludf.DUMMYFUNCTION("GOOGLETRANSLATE(A8144, ""en"", ""mt"")"),"il-papat")</f>
        <v>il-papat</v>
      </c>
    </row>
    <row r="8145" ht="15.75" customHeight="1">
      <c r="A8145" s="2" t="s">
        <v>8145</v>
      </c>
      <c r="B8145" s="2" t="str">
        <f>IFERROR(__xludf.DUMMYFUNCTION("GOOGLETRANSLATE(A8145, ""en"", ""mt"")"),"Liema dokumentarju ntwera dwar Doctor Who?")</f>
        <v>Liema dokumentarju ntwera dwar Doctor Who?</v>
      </c>
    </row>
    <row r="8146" ht="15.75" customHeight="1">
      <c r="A8146" s="2" t="s">
        <v>8146</v>
      </c>
      <c r="B8146" s="2" t="str">
        <f>IFERROR(__xludf.DUMMYFUNCTION("GOOGLETRANSLATE(A8146, ""en"", ""mt"")"),"Islam")</f>
        <v>Islam</v>
      </c>
    </row>
    <row r="8147" ht="15.75" customHeight="1">
      <c r="A8147" s="2" t="s">
        <v>8147</v>
      </c>
      <c r="B8147" s="2" t="str">
        <f>IFERROR(__xludf.DUMMYFUNCTION("GOOGLETRANSLATE(A8147, ""en"", ""mt"")"),"teoriji ""ċellulari"" u ""umoristiċi""")</f>
        <v>teoriji "ċellulari" u "umoristiċi"</v>
      </c>
    </row>
    <row r="8148" ht="15.75" customHeight="1">
      <c r="A8148" s="2" t="s">
        <v>8148</v>
      </c>
      <c r="B8148" s="2" t="str">
        <f>IFERROR(__xludf.DUMMYFUNCTION("GOOGLETRANSLATE(A8148, ""en"", ""mt"")"),"X'inhuma wħud mill-prinċipji ġenerali aċċettati tal-liġi tal-Unjoni Ewropea?")</f>
        <v>X'inhuma wħud mill-prinċipji ġenerali aċċettati tal-liġi tal-Unjoni Ewropea?</v>
      </c>
    </row>
    <row r="8149" ht="15.75" customHeight="1">
      <c r="A8149" s="2" t="s">
        <v>8149</v>
      </c>
      <c r="B8149" s="2" t="str">
        <f>IFERROR(__xludf.DUMMYFUNCTION("GOOGLETRANSLATE(A8149, ""en"", ""mt"")"),"Charles Avison, il-kompożitur Ingliż ewlieni ta ’Concertos fis-seklu 18, twieled fi Newcastle fuq Tyne fl-1709 u miet hemm fl-1770. Basil Hume, Arċisqof ta’ Westminster, twieled fil-belt fl-1923. Il-Viċi Ammirall Cuthbert Collingwood, l-ewwel Baron Collin"&amp;"gwood, twieled fil-belt. Ironmaster, Metallurgist, u Membru tal-Parlament Isaac Lowthian Bell twieled fil-belt fl-1816. Nies oħra notevoli mwielda fi jew assoċjati ma 'Newcastle jinkludu: inġinier u industrijalist Lord Armstrong, inġinier u missier il-fer"&amp;"roviji tal-fwar moderni George Stephenson, ibnu, ibnu, Inġinier ukoll, Robert Stephenson, inġinier u inventur tat-turbina tal-fwar Sir Charles Parsons, inventur tal-bozza tad-dawl inkandexxenti Sir Joseph Swan, il-poeta modernist Basil Bunting, u l-Lord P"&amp;"rim Imħallef Peter Taylor. Il-kittieb Portugiż Eça de Queiroz kien diplomatiku fi Newcastle minn tard fl-1874 sa April 1879 - l-iktar perjodu letterarju produttiv tiegħu. L-ex Prim Ministru tat-Tajlandja Abhisit Vejjajiva, twieled fil-belt.")</f>
        <v>Charles Avison, il-kompożitur Ingliż ewlieni ta ’Concertos fis-seklu 18, twieled fi Newcastle fuq Tyne fl-1709 u miet hemm fl-1770. Basil Hume, Arċisqof ta’ Westminster, twieled fil-belt fl-1923. Il-Viċi Ammirall Cuthbert Collingwood, l-ewwel Baron Collingwood, twieled fil-belt. Ironmaster, Metallurgist, u Membru tal-Parlament Isaac Lowthian Bell twieled fil-belt fl-1816. Nies oħra notevoli mwielda fi jew assoċjati ma 'Newcastle jinkludu: inġinier u industrijalist Lord Armstrong, inġinier u missier il-ferroviji tal-fwar moderni George Stephenson, ibnu, ibnu, Inġinier ukoll, Robert Stephenson, inġinier u inventur tat-turbina tal-fwar Sir Charles Parsons, inventur tal-bozza tad-dawl inkandexxenti Sir Joseph Swan, il-poeta modernist Basil Bunting, u l-Lord Prim Imħallef Peter Taylor. Il-kittieb Portugiż Eça de Queiroz kien diplomatiku fi Newcastle minn tard fl-1874 sa April 1879 - l-iktar perjodu letterarju produttiv tiegħu. L-ex Prim Ministru tat-Tajlandja Abhisit Vejjajiva, twieled fil-belt.</v>
      </c>
    </row>
    <row r="8150" ht="15.75" customHeight="1">
      <c r="A8150" s="2" t="s">
        <v>8150</v>
      </c>
      <c r="B8150" s="2" t="str">
        <f>IFERROR(__xludf.DUMMYFUNCTION("GOOGLETRANSLATE(A8150, ""en"", ""mt"")"),"X'jista 'u l-bniedem antik, marid ma jagħmilx?")</f>
        <v>X'jista 'u l-bniedem antik, marid ma jagħmilx?</v>
      </c>
    </row>
    <row r="8151" ht="15.75" customHeight="1">
      <c r="A8151" s="2" t="s">
        <v>8151</v>
      </c>
      <c r="B8151" s="2" t="str">
        <f>IFERROR(__xludf.DUMMYFUNCTION("GOOGLETRANSLATE(A8151, ""en"", ""mt"")"),"1852")</f>
        <v>1852</v>
      </c>
    </row>
    <row r="8152" ht="15.75" customHeight="1">
      <c r="A8152" s="2" t="s">
        <v>8152</v>
      </c>
      <c r="B8152" s="2" t="str">
        <f>IFERROR(__xludf.DUMMYFUNCTION("GOOGLETRANSLATE(A8152, ""en"", ""mt"")"),"Min hi l-kumpanija ewlenija tal-NDS?")</f>
        <v>Min hi l-kumpanija ewlenija tal-NDS?</v>
      </c>
    </row>
    <row r="8153" ht="15.75" customHeight="1">
      <c r="A8153" s="2" t="s">
        <v>8153</v>
      </c>
      <c r="B8153" s="2" t="str">
        <f>IFERROR(__xludf.DUMMYFUNCTION("GOOGLETRANSLATE(A8153, ""en"", ""mt"")"),"Meta twieled Otto von Bismarck?")</f>
        <v>Meta twieled Otto von Bismarck?</v>
      </c>
    </row>
    <row r="8154" ht="15.75" customHeight="1">
      <c r="A8154" s="2" t="s">
        <v>8154</v>
      </c>
      <c r="B8154" s="2" t="str">
        <f>IFERROR(__xludf.DUMMYFUNCTION("GOOGLETRANSLATE(A8154, ""en"", ""mt"")"),"X'impatt kellu dan it-telf fuq Abercrombie?")</f>
        <v>X'impatt kellu dan it-telf fuq Abercrombie?</v>
      </c>
    </row>
    <row r="8155" ht="15.75" customHeight="1">
      <c r="A8155" s="2" t="s">
        <v>8155</v>
      </c>
      <c r="B8155" s="2" t="str">
        <f>IFERROR(__xludf.DUMMYFUNCTION("GOOGLETRANSLATE(A8155, ""en"", ""mt"")"),"Il-kolonjaliżmu bħala politika huwa kkawżat minn finanzjarju u liema raġunijiet oħra?")</f>
        <v>Il-kolonjaliżmu bħala politika huwa kkawżat minn finanzjarju u liema raġunijiet oħra?</v>
      </c>
    </row>
    <row r="8156" ht="15.75" customHeight="1">
      <c r="A8156" s="2" t="s">
        <v>8156</v>
      </c>
      <c r="B8156" s="2" t="str">
        <f>IFERROR(__xludf.DUMMYFUNCTION("GOOGLETRANSLATE(A8156, ""en"", ""mt"")"),"Tentilla")</f>
        <v>Tentilla</v>
      </c>
    </row>
    <row r="8157" ht="15.75" customHeight="1">
      <c r="A8157" s="2" t="s">
        <v>8157</v>
      </c>
      <c r="B8157" s="2" t="str">
        <f>IFERROR(__xludf.DUMMYFUNCTION("GOOGLETRANSLATE(A8157, ""en"", ""mt"")"),"X'inhuma magħrufa bħala Ctenophora?")</f>
        <v>X'inhuma magħrufa bħala Ctenophora?</v>
      </c>
    </row>
    <row r="8158" ht="15.75" customHeight="1">
      <c r="A8158" s="2" t="s">
        <v>8158</v>
      </c>
      <c r="B8158" s="2" t="str">
        <f>IFERROR(__xludf.DUMMYFUNCTION("GOOGLETRANSLATE(A8158, ""en"", ""mt"")"),"Nuqqasijiet")</f>
        <v>Nuqqasijiet</v>
      </c>
    </row>
    <row r="8159" ht="15.75" customHeight="1">
      <c r="A8159" s="2" t="s">
        <v>8159</v>
      </c>
      <c r="B8159" s="2" t="str">
        <f>IFERROR(__xludf.DUMMYFUNCTION("GOOGLETRANSLATE(A8159, ""en"", ""mt"")"),"Baħar Kaspjan sal-Baħar tal-Ġappun")</f>
        <v>Baħar Kaspjan sal-Baħar tal-Ġappun</v>
      </c>
    </row>
    <row r="8160" ht="15.75" customHeight="1">
      <c r="A8160" s="2" t="s">
        <v>8160</v>
      </c>
      <c r="B8160" s="2" t="str">
        <f>IFERROR(__xludf.DUMMYFUNCTION("GOOGLETRANSLATE(A8160, ""en"", ""mt"")"),"Stanley Steamer")</f>
        <v>Stanley Steamer</v>
      </c>
    </row>
    <row r="8161" ht="15.75" customHeight="1">
      <c r="A8161" s="2" t="s">
        <v>8161</v>
      </c>
      <c r="B8161" s="2" t="str">
        <f>IFERROR(__xludf.DUMMYFUNCTION("GOOGLETRANSLATE(A8161, ""en"", ""mt"")"),"Penniless")</f>
        <v>Penniless</v>
      </c>
    </row>
    <row r="8162" ht="15.75" customHeight="1">
      <c r="A8162" s="2" t="s">
        <v>8162</v>
      </c>
      <c r="B8162" s="2" t="str">
        <f>IFERROR(__xludf.DUMMYFUNCTION("GOOGLETRANSLATE(A8162, ""en"", ""mt"")"),"Liema kobor ta 'terremot jista' jipproduċi ħafna ħsarat?")</f>
        <v>Liema kobor ta 'terremot jista' jipproduċi ħafna ħsarat?</v>
      </c>
    </row>
    <row r="8163" ht="15.75" customHeight="1">
      <c r="A8163" s="2" t="s">
        <v>8163</v>
      </c>
      <c r="B8163" s="2" t="str">
        <f>IFERROR(__xludf.DUMMYFUNCTION("GOOGLETRANSLATE(A8163, ""en"", ""mt"")"),"Ddejjaqhom għar-reliġjon tagħhom")</f>
        <v>Ddejjaqhom għar-reliġjon tagħhom</v>
      </c>
    </row>
    <row r="8164" ht="15.75" customHeight="1">
      <c r="A8164" s="2" t="s">
        <v>8164</v>
      </c>
      <c r="B8164" s="2" t="str">
        <f>IFERROR(__xludf.DUMMYFUNCTION("GOOGLETRANSLATE(A8164, ""en"", ""mt"")"),"aħjar")</f>
        <v>aħjar</v>
      </c>
    </row>
    <row r="8165" ht="15.75" customHeight="1">
      <c r="A8165" s="2" t="s">
        <v>8165</v>
      </c>
      <c r="B8165" s="2" t="str">
        <f>IFERROR(__xludf.DUMMYFUNCTION("GOOGLETRANSLATE(A8165, ""en"", ""mt"")"),"Proġett ta 'kostruzzjoni huwa xibka kumplessa ta' kuntratti u obbligi legali oħra, li kull wieħed minnhom il-partijiet kollha għandhom jikkunsidraw bir-reqqa. Kuntratt huwa l-iskambju ta 'sett ta' obbligi bejn żewġ partijiet jew aktar, iżda mhix kwistjoni"&amp;" daqshekk sempliċi daqs kemm tipprova tikseb in-naħa l-oħra biex taqbel kemm jista 'jkun bi skambju għal kemm jista' jkun. L-element ta 'ħin fil-kostruzzjoni jfisser li dewmien jiswa l-flus, u f'każijiet ta' konġestjonijiet, id-dewmien jista 'jiswa ħafna."&amp;" Għalhekk, il-kuntratti għandhom ikunu ddisinjati biex jiżguraw li kull naħa tkun kapaċi twettaq l-obbligi stabbiliti. Il-kuntratti li jistabbilixxu aspettattivi ċari u mogħdijiet ċari għat-twettiq ta 'dawk l-aspettattivi huma ferm aktar probabbli li jirr"&amp;"iżultaw fil-proġett li jiċċirkola bla xkiel, filwaqt li kuntratti abbozzati ħażin iwasslu għal konfużjoni u kollass.")</f>
        <v>Proġett ta 'kostruzzjoni huwa xibka kumplessa ta' kuntratti u obbligi legali oħra, li kull wieħed minnhom il-partijiet kollha għandhom jikkunsidraw bir-reqqa. Kuntratt huwa l-iskambju ta 'sett ta' obbligi bejn żewġ partijiet jew aktar, iżda mhix kwistjoni daqshekk sempliċi daqs kemm tipprova tikseb in-naħa l-oħra biex taqbel kemm jista 'jkun bi skambju għal kemm jista' jkun. L-element ta 'ħin fil-kostruzzjoni jfisser li dewmien jiswa l-flus, u f'każijiet ta' konġestjonijiet, id-dewmien jista 'jiswa ħafna. Għalhekk, il-kuntratti għandhom ikunu ddisinjati biex jiżguraw li kull naħa tkun kapaċi twettaq l-obbligi stabbiliti. Il-kuntratti li jistabbilixxu aspettattivi ċari u mogħdijiet ċari għat-twettiq ta 'dawk l-aspettattivi huma ferm aktar probabbli li jirriżultaw fil-proġett li jiċċirkola bla xkiel, filwaqt li kuntratti abbozzati ħażin iwasslu għal konfużjoni u kollass.</v>
      </c>
    </row>
    <row r="8166" ht="15.75" customHeight="1">
      <c r="A8166" s="2" t="s">
        <v>8166</v>
      </c>
      <c r="B8166" s="2" t="str">
        <f>IFERROR(__xludf.DUMMYFUNCTION("GOOGLETRANSLATE(A8166, ""en"", ""mt"")"),"Li ried jakkwista brevetti ta ’mutur AC.")</f>
        <v>Li ried jakkwista brevetti ta ’mutur AC.</v>
      </c>
    </row>
    <row r="8167" ht="15.75" customHeight="1">
      <c r="A8167" s="2" t="s">
        <v>8167</v>
      </c>
      <c r="B8167" s="2" t="str">
        <f>IFERROR(__xludf.DUMMYFUNCTION("GOOGLETRANSLATE(A8167, ""en"", ""mt"")"),"Min iddisinja l-galleriji Turner u Vernon li nbnew fl-1858-9?")</f>
        <v>Min iddisinja l-galleriji Turner u Vernon li nbnew fl-1858-9?</v>
      </c>
    </row>
    <row r="8168" ht="15.75" customHeight="1">
      <c r="A8168" s="2" t="s">
        <v>8168</v>
      </c>
      <c r="B8168" s="2" t="str">
        <f>IFERROR(__xludf.DUMMYFUNCTION("GOOGLETRANSLATE(A8168, ""en"", ""mt"")"),"X'kien l-iskor finali tal-logħba bejn il-Broncos u l-Steelers?")</f>
        <v>X'kien l-iskor finali tal-logħba bejn il-Broncos u l-Steelers?</v>
      </c>
    </row>
    <row r="8169" ht="15.75" customHeight="1">
      <c r="A8169" s="2" t="s">
        <v>8169</v>
      </c>
      <c r="B8169" s="2" t="str">
        <f>IFERROR(__xludf.DUMMYFUNCTION("GOOGLETRANSLATE(A8169, ""en"", ""mt"")"),"tensjonijiet fuq l-iskjavitù u l-qawwa tal-isqfijiet fid-denominazzjoni")</f>
        <v>tensjonijiet fuq l-iskjavitù u l-qawwa tal-isqfijiet fid-denominazzjoni</v>
      </c>
    </row>
    <row r="8170" ht="15.75" customHeight="1">
      <c r="A8170" s="2" t="s">
        <v>8170</v>
      </c>
      <c r="B8170" s="2" t="str">
        <f>IFERROR(__xludf.DUMMYFUNCTION("GOOGLETRANSLATE(A8170, ""en"", ""mt"")"),"Lil min kien jappartjeni l-assedju tal-armata?")</f>
        <v>Lil min kien jappartjeni l-assedju tal-armata?</v>
      </c>
    </row>
    <row r="8171" ht="15.75" customHeight="1">
      <c r="A8171" s="2" t="s">
        <v>8171</v>
      </c>
      <c r="B8171" s="2" t="str">
        <f>IFERROR(__xludf.DUMMYFUNCTION("GOOGLETRANSLATE(A8171, ""en"", ""mt"")"),"Kappillan")</f>
        <v>Kappillan</v>
      </c>
    </row>
    <row r="8172" ht="15.75" customHeight="1">
      <c r="A8172" s="2" t="s">
        <v>8172</v>
      </c>
      <c r="B8172" s="2" t="str">
        <f>IFERROR(__xludf.DUMMYFUNCTION("GOOGLETRANSLATE(A8172, ""en"", ""mt"")"),"Ferħ")</f>
        <v>Ferħ</v>
      </c>
    </row>
    <row r="8173" ht="15.75" customHeight="1">
      <c r="A8173" s="2" t="s">
        <v>8173</v>
      </c>
      <c r="B8173" s="2" t="str">
        <f>IFERROR(__xludf.DUMMYFUNCTION("GOOGLETRANSLATE(A8173, ""en"", ""mt"")"),"Min ta l-Mongoli li ta l-kontroll tal-Korea?")</f>
        <v>Min ta l-Mongoli li ta l-kontroll tal-Korea?</v>
      </c>
    </row>
    <row r="8174" ht="15.75" customHeight="1">
      <c r="A8174" s="2" t="s">
        <v>8174</v>
      </c>
      <c r="B8174" s="2" t="str">
        <f>IFERROR(__xludf.DUMMYFUNCTION("GOOGLETRANSLATE(A8174, ""en"", ""mt"")"),"Il-granari ġew ordnati mibnija madwar l-imperu")</f>
        <v>Il-granari ġew ordnati mibnija madwar l-imperu</v>
      </c>
    </row>
    <row r="8175" ht="15.75" customHeight="1">
      <c r="A8175" s="2" t="s">
        <v>8175</v>
      </c>
      <c r="B8175" s="2" t="str">
        <f>IFERROR(__xludf.DUMMYFUNCTION("GOOGLETRANSLATE(A8175, ""en"", ""mt"")"),"Chinggis")</f>
        <v>Chinggis</v>
      </c>
    </row>
    <row r="8176" ht="15.75" customHeight="1">
      <c r="A8176" s="2" t="s">
        <v>8176</v>
      </c>
      <c r="B8176" s="2" t="str">
        <f>IFERROR(__xludf.DUMMYFUNCTION("GOOGLETRANSLATE(A8176, ""en"", ""mt"")"),"Mudell standard")</f>
        <v>Mudell standard</v>
      </c>
    </row>
    <row r="8177" ht="15.75" customHeight="1">
      <c r="A8177" s="2" t="s">
        <v>8177</v>
      </c>
      <c r="B8177" s="2" t="str">
        <f>IFERROR(__xludf.DUMMYFUNCTION("GOOGLETRANSLATE(A8177, ""en"", ""mt"")"),"1910")</f>
        <v>1910</v>
      </c>
    </row>
    <row r="8178" ht="15.75" customHeight="1">
      <c r="A8178" s="2" t="s">
        <v>8178</v>
      </c>
      <c r="B8178" s="2" t="str">
        <f>IFERROR(__xludf.DUMMYFUNCTION("GOOGLETRANSLATE(A8178, ""en"", ""mt"")"),"X'inhu l-għan ta 'diżubbidjenza ċivili individwali?")</f>
        <v>X'inhu l-għan ta 'diżubbidjenza ċivili individwali?</v>
      </c>
    </row>
    <row r="8179" ht="15.75" customHeight="1">
      <c r="A8179" s="2" t="s">
        <v>8179</v>
      </c>
      <c r="B8179" s="2" t="str">
        <f>IFERROR(__xludf.DUMMYFUNCTION("GOOGLETRANSLATE(A8179, ""en"", ""mt"")"),"raġel stout")</f>
        <v>raġel stout</v>
      </c>
    </row>
    <row r="8180" ht="15.75" customHeight="1">
      <c r="A8180" s="2" t="s">
        <v>8180</v>
      </c>
      <c r="B8180" s="2" t="str">
        <f>IFERROR(__xludf.DUMMYFUNCTION("GOOGLETRANSLATE(A8180, ""en"", ""mt"")"),"Ivaügei")</f>
        <v>Ivaügei</v>
      </c>
    </row>
    <row r="8181" ht="15.75" customHeight="1">
      <c r="A8181" s="2" t="s">
        <v>8181</v>
      </c>
      <c r="B8181" s="2" t="str">
        <f>IFERROR(__xludf.DUMMYFUNCTION("GOOGLETRANSLATE(A8181, ""en"", ""mt"")"),"Il-liġijiet tal-liġijiet kuxjenzjużi għandhom jiġu kkastigati")</f>
        <v>Il-liġijiet tal-liġijiet kuxjenzjużi għandhom jiġu kkastigati</v>
      </c>
    </row>
    <row r="8182" ht="15.75" customHeight="1">
      <c r="A8182" s="2" t="s">
        <v>8182</v>
      </c>
      <c r="B8182" s="2" t="str">
        <f>IFERROR(__xludf.DUMMYFUNCTION("GOOGLETRANSLATE(A8182, ""en"", ""mt"")"),"Fuq xiex tistrieħ il-leġittimità tal-UE?")</f>
        <v>Fuq xiex tistrieħ il-leġittimità tal-UE?</v>
      </c>
    </row>
    <row r="8183" ht="15.75" customHeight="1">
      <c r="A8183" s="2" t="s">
        <v>8183</v>
      </c>
      <c r="B8183" s="2" t="str">
        <f>IFERROR(__xludf.DUMMYFUNCTION("GOOGLETRANSLATE(A8183, ""en"", ""mt"")"),"Inputs tax-xogħol (ħaddiema)")</f>
        <v>Inputs tax-xogħol (ħaddiema)</v>
      </c>
    </row>
    <row r="8184" ht="15.75" customHeight="1">
      <c r="A8184" s="2" t="s">
        <v>8184</v>
      </c>
      <c r="B8184" s="2" t="str">
        <f>IFERROR(__xludf.DUMMYFUNCTION("GOOGLETRANSLATE(A8184, ""en"", ""mt"")"),"Kif Luther identifika l-papat bħala?")</f>
        <v>Kif Luther identifika l-papat bħala?</v>
      </c>
    </row>
    <row r="8185" ht="15.75" customHeight="1">
      <c r="A8185" s="2" t="s">
        <v>8185</v>
      </c>
      <c r="B8185" s="2" t="str">
        <f>IFERROR(__xludf.DUMMYFUNCTION("GOOGLETRANSLATE(A8185, ""en"", ""mt"")"),"Elettronegatività")</f>
        <v>Elettronegatività</v>
      </c>
    </row>
    <row r="8186" ht="15.75" customHeight="1">
      <c r="A8186" s="2" t="s">
        <v>8186</v>
      </c>
      <c r="B8186" s="2" t="str">
        <f>IFERROR(__xludf.DUMMYFUNCTION("GOOGLETRANSLATE(A8186, ""en"", ""mt"")"),"F'liema sena Warszowa saret il-kapitali uffiċjali tad-Dukat Masovjan?")</f>
        <v>F'liema sena Warszowa saret il-kapitali uffiċjali tad-Dukat Masovjan?</v>
      </c>
    </row>
    <row r="8187" ht="15.75" customHeight="1">
      <c r="A8187" s="2" t="s">
        <v>8187</v>
      </c>
      <c r="B8187" s="2" t="str">
        <f>IFERROR(__xludf.DUMMYFUNCTION("GOOGLETRANSLATE(A8187, ""en"", ""mt"")"),"Kemm-il darba Prios kellu l-istadium tax-xemx li kellu Super Bowls?")</f>
        <v>Kemm-il darba Prios kellu l-istadium tax-xemx li kellu Super Bowls?</v>
      </c>
    </row>
    <row r="8188" ht="15.75" customHeight="1">
      <c r="A8188" s="2" t="s">
        <v>8188</v>
      </c>
      <c r="B8188" s="2" t="str">
        <f>IFERROR(__xludf.DUMMYFUNCTION("GOOGLETRANSLATE(A8188, ""en"", ""mt"")"),"Liema kummidjant huwa wkoll gradwat universitarju?")</f>
        <v>Liema kummidjant huwa wkoll gradwat universitarju?</v>
      </c>
    </row>
    <row r="8189" ht="15.75" customHeight="1">
      <c r="A8189" s="2" t="s">
        <v>8189</v>
      </c>
      <c r="B8189" s="2" t="str">
        <f>IFERROR(__xludf.DUMMYFUNCTION("GOOGLETRANSLATE(A8189, ""en"", ""mt"")"),"Kemm ġiet stmata l-ispinta għat-titjira tat-trans transtunar?")</f>
        <v>Kemm ġiet stmata l-ispinta għat-titjira tat-trans transtunar?</v>
      </c>
    </row>
    <row r="8190" ht="15.75" customHeight="1">
      <c r="A8190" s="2" t="s">
        <v>8190</v>
      </c>
      <c r="B8190" s="2" t="str">
        <f>IFERROR(__xludf.DUMMYFUNCTION("GOOGLETRANSLATE(A8190, ""en"", ""mt"")"),"Liema ġurnata l-ekwipaġġ Apollo 11 irritorna fid-Dinja?")</f>
        <v>Liema ġurnata l-ekwipaġġ Apollo 11 irritorna fid-Dinja?</v>
      </c>
    </row>
    <row r="8191" ht="15.75" customHeight="1">
      <c r="A8191" s="2" t="s">
        <v>8191</v>
      </c>
      <c r="B8191" s="2" t="str">
        <f>IFERROR(__xludf.DUMMYFUNCTION("GOOGLETRANSLATE(A8191, ""en"", ""mt"")"),"L-ideali ewlenin huma l-punti ta 'oġġetti alġebro-ġeometriċi, permezz tal-kunċett ta' l-ispettru ta 'ċirku. Il-ġeometrija aritmetika tibbenefika wkoll minn din il-kunċett, u ħafna kunċetti jeżistu kemm fil-ġeometrija kif ukoll fit-teorija tan-numri. Pereż"&amp;"empju, fatorizzazzjoni jew ramifikazzjoni ta 'ideali ewlenin meta titneħħa għal qasam ta' estensjoni, problema bażika tat-teorija tan-numri alġebriċi, għandha xebh ma 'ramifikazzjoni fil-ġeometrija. Mistoqsijiet ta 'ramifikazzjoni bħal dawn iseħħu anke fi"&amp;" mistoqsijiet teoretiċi b'numri kkonċernati biss ma' numri interi. Pereżempju, ideali ewlenin fiċ-ċirku ta 'numru sħiħ ta' oqsma ta 'numri kwadratiċi jistgħu jintużaw biex jippruvaw reċiproċità kwadratika, dikjarazzjoni li tikkonċerna s-solvabilità ta' ek"&amp;"wazzjonijiet kwadratiċi")</f>
        <v>L-ideali ewlenin huma l-punti ta 'oġġetti alġebro-ġeometriċi, permezz tal-kunċett ta' l-ispettru ta 'ċirku. Il-ġeometrija aritmetika tibbenefika wkoll minn din il-kunċett, u ħafna kunċetti jeżistu kemm fil-ġeometrija kif ukoll fit-teorija tan-numri. Pereżempju, fatorizzazzjoni jew ramifikazzjoni ta 'ideali ewlenin meta titneħħa għal qasam ta' estensjoni, problema bażika tat-teorija tan-numri alġebriċi, għandha xebh ma 'ramifikazzjoni fil-ġeometrija. Mistoqsijiet ta 'ramifikazzjoni bħal dawn iseħħu anke fi mistoqsijiet teoretiċi b'numri kkonċernati biss ma' numri interi. Pereżempju, ideali ewlenin fiċ-ċirku ta 'numru sħiħ ta' oqsma ta 'numri kwadratiċi jistgħu jintużaw biex jippruvaw reċiproċità kwadratika, dikjarazzjoni li tikkonċerna s-solvabilità ta' ekwazzjonijiet kwadratiċi</v>
      </c>
    </row>
    <row r="8192" ht="15.75" customHeight="1">
      <c r="A8192" s="2" t="s">
        <v>8192</v>
      </c>
      <c r="B8192" s="2" t="str">
        <f>IFERROR(__xludf.DUMMYFUNCTION("GOOGLETRANSLATE(A8192, ""en"", ""mt"")"),"1291")</f>
        <v>1291</v>
      </c>
    </row>
    <row r="8193" ht="15.75" customHeight="1">
      <c r="A8193" s="2" t="s">
        <v>8193</v>
      </c>
      <c r="B8193" s="2" t="str">
        <f>IFERROR(__xludf.DUMMYFUNCTION("GOOGLETRANSLATE(A8193, ""en"", ""mt"")"),"Min ipprovda definizzjoni ta 'Automata Linear Limitat fl-1960?")</f>
        <v>Min ipprovda definizzjoni ta 'Automata Linear Limitat fl-1960?</v>
      </c>
    </row>
    <row r="8194" ht="15.75" customHeight="1">
      <c r="A8194" s="2" t="s">
        <v>8194</v>
      </c>
      <c r="B8194" s="2" t="str">
        <f>IFERROR(__xludf.DUMMYFUNCTION("GOOGLETRANSLATE(A8194, ""en"", ""mt"")"),"Is-sema q Silver Set Top Boxes")</f>
        <v>Is-sema q Silver Set Top Boxes</v>
      </c>
    </row>
    <row r="8195" ht="15.75" customHeight="1">
      <c r="A8195" s="2" t="s">
        <v>8195</v>
      </c>
      <c r="B8195" s="2" t="str">
        <f>IFERROR(__xludf.DUMMYFUNCTION("GOOGLETRANSLATE(A8195, ""en"", ""mt"")"),"Membri tribali li jgħixu fil-foresti tropikali ta 'liema reġjun qed jużaw Google Earth?")</f>
        <v>Membri tribali li jgħixu fil-foresti tropikali ta 'liema reġjun qed jużaw Google Earth?</v>
      </c>
    </row>
    <row r="8196" ht="15.75" customHeight="1">
      <c r="A8196" s="2" t="s">
        <v>8196</v>
      </c>
      <c r="B8196" s="2" t="str">
        <f>IFERROR(__xludf.DUMMYFUNCTION("GOOGLETRANSLATE(A8196, ""en"", ""mt"")"),"konvetti tal-mantell")</f>
        <v>konvetti tal-mantell</v>
      </c>
    </row>
    <row r="8197" ht="15.75" customHeight="1">
      <c r="A8197" s="2" t="s">
        <v>8197</v>
      </c>
      <c r="B8197" s="2" t="str">
        <f>IFERROR(__xludf.DUMMYFUNCTION("GOOGLETRANSLATE(A8197, ""en"", ""mt"")"),"fil-biċċa l-kbira wieħed")</f>
        <v>fil-biċċa l-kbira wieħed</v>
      </c>
    </row>
    <row r="8198" ht="15.75" customHeight="1">
      <c r="A8198" s="2" t="s">
        <v>8198</v>
      </c>
      <c r="B8198" s="2" t="str">
        <f>IFERROR(__xludf.DUMMYFUNCTION("GOOGLETRANSLATE(A8198, ""en"", ""mt"")"),"Downtown San Diego huwa d-Distrett tan-Negozju Ċentrali ta 'San Diego, għalkemm il-belt hija mimlija distretti tan-negozju. Dawn jinkludu Carmel Valley, Del Mar Heights, Mission Valley, Rancho Bernardo, Sorrento Mesa, u University City. Ħafna minn dawn id"&amp;"-distretti jinsabu fit-Tramuntana ta 'San Diego u xi wħud fir-reġjuni tal-Kontea tat-Tramuntana.")</f>
        <v>Downtown San Diego huwa d-Distrett tan-Negozju Ċentrali ta 'San Diego, għalkemm il-belt hija mimlija distretti tan-negozju. Dawn jinkludu Carmel Valley, Del Mar Heights, Mission Valley, Rancho Bernardo, Sorrento Mesa, u University City. Ħafna minn dawn id-distretti jinsabu fit-Tramuntana ta 'San Diego u xi wħud fir-reġjuni tal-Kontea tat-Tramuntana.</v>
      </c>
    </row>
    <row r="8199" ht="15.75" customHeight="1">
      <c r="A8199" s="2" t="s">
        <v>8199</v>
      </c>
      <c r="B8199" s="2" t="str">
        <f>IFERROR(__xludf.DUMMYFUNCTION("GOOGLETRANSLATE(A8199, ""en"", ""mt"")"),"Meta saru t-taħdidiet għal Braodcast dritt għall-Lega Primier għal perjodu ta 'ħames snin mill-istaġun tal-1992?")</f>
        <v>Meta saru t-taħdidiet għal Braodcast dritt għall-Lega Primier għal perjodu ta 'ħames snin mill-istaġun tal-1992?</v>
      </c>
    </row>
    <row r="8200" ht="15.75" customHeight="1">
      <c r="A8200" s="2" t="s">
        <v>8200</v>
      </c>
      <c r="B8200" s="2" t="str">
        <f>IFERROR(__xludf.DUMMYFUNCTION("GOOGLETRANSLATE(A8200, ""en"", ""mt"")"),"Meta kienet l-ewwel gwerra Sino-Ġappuniża?")</f>
        <v>Meta kienet l-ewwel gwerra Sino-Ġappuniża?</v>
      </c>
    </row>
    <row r="8201" ht="15.75" customHeight="1">
      <c r="A8201" s="2" t="s">
        <v>8201</v>
      </c>
      <c r="B8201" s="2" t="str">
        <f>IFERROR(__xludf.DUMMYFUNCTION("GOOGLETRANSLATE(A8201, ""en"", ""mt"")"),"Kif jitwasslu l-messaġġi tal-forza tal-ajru")</f>
        <v>Kif jitwasslu l-messaġġi tal-forza tal-ajru</v>
      </c>
    </row>
    <row r="8202" ht="15.75" customHeight="1">
      <c r="A8202" s="2" t="s">
        <v>8202</v>
      </c>
      <c r="B8202" s="2" t="str">
        <f>IFERROR(__xludf.DUMMYFUNCTION("GOOGLETRANSLATE(A8202, ""en"", ""mt"")"),"Kemm qablet li Lama terġa 'titbena?")</f>
        <v>Kemm qablet li Lama terġa 'titbena?</v>
      </c>
    </row>
    <row r="8203" ht="15.75" customHeight="1">
      <c r="A8203" s="2" t="s">
        <v>8203</v>
      </c>
      <c r="B8203" s="2" t="str">
        <f>IFERROR(__xludf.DUMMYFUNCTION("GOOGLETRANSLATE(A8203, ""en"", ""mt"")"),"Ħakkiem universali")</f>
        <v>Ħakkiem universali</v>
      </c>
    </row>
    <row r="8204" ht="15.75" customHeight="1">
      <c r="A8204" s="2" t="s">
        <v>8204</v>
      </c>
      <c r="B8204" s="2" t="str">
        <f>IFERROR(__xludf.DUMMYFUNCTION("GOOGLETRANSLATE(A8204, ""en"", ""mt"")"),"direttament permezz tal-matriċi ta 'l-adjacency tagħhom")</f>
        <v>direttament permezz tal-matriċi ta 'l-adjacency tagħhom</v>
      </c>
    </row>
    <row r="8205" ht="15.75" customHeight="1">
      <c r="A8205" s="2" t="s">
        <v>8205</v>
      </c>
      <c r="B8205" s="2" t="str">
        <f>IFERROR(__xludf.DUMMYFUNCTION("GOOGLETRANSLATE(A8205, ""en"", ""mt"")"),"żoni iżolati")</f>
        <v>żoni iżolati</v>
      </c>
    </row>
    <row r="8206" ht="15.75" customHeight="1">
      <c r="A8206" s="2" t="s">
        <v>8206</v>
      </c>
      <c r="B8206" s="2" t="str">
        <f>IFERROR(__xludf.DUMMYFUNCTION("GOOGLETRANSLATE(A8206, ""en"", ""mt"")"),"30–60%")</f>
        <v>30–60%</v>
      </c>
    </row>
    <row r="8207" ht="15.75" customHeight="1">
      <c r="A8207" s="2" t="s">
        <v>8207</v>
      </c>
      <c r="B8207" s="2" t="str">
        <f>IFERROR(__xludf.DUMMYFUNCTION("GOOGLETRANSLATE(A8207, ""en"", ""mt"")"),"onomista")</f>
        <v>onomista</v>
      </c>
    </row>
    <row r="8208" ht="15.75" customHeight="1">
      <c r="A8208" s="2" t="s">
        <v>8208</v>
      </c>
      <c r="B8208" s="2" t="str">
        <f>IFERROR(__xludf.DUMMYFUNCTION("GOOGLETRANSLATE(A8208, ""en"", ""mt"")"),"Min ittratta l-quarterback ta 'Carolina Panthers eżatt qabel tmiem l-ewwel taqsima?")</f>
        <v>Min ittratta l-quarterback ta 'Carolina Panthers eżatt qabel tmiem l-ewwel taqsima?</v>
      </c>
    </row>
    <row r="8209" ht="15.75" customHeight="1">
      <c r="A8209" s="2" t="s">
        <v>8209</v>
      </c>
      <c r="B8209" s="2" t="str">
        <f>IFERROR(__xludf.DUMMYFUNCTION("GOOGLETRANSLATE(A8209, ""en"", ""mt"")"),"ikollok membrani addizzjonali barra mit-tnejn oriġinali")</f>
        <v>ikollok membrani addizzjonali barra mit-tnejn oriġinali</v>
      </c>
    </row>
    <row r="8210" ht="15.75" customHeight="1">
      <c r="A8210" s="2" t="s">
        <v>8210</v>
      </c>
      <c r="B8210" s="2" t="str">
        <f>IFERROR(__xludf.DUMMYFUNCTION("GOOGLETRANSLATE(A8210, ""en"", ""mt"")"),"Stromatoveris huwa similair għal liema ġeneru?")</f>
        <v>Stromatoveris huwa similair għal liema ġeneru?</v>
      </c>
    </row>
    <row r="8211" ht="15.75" customHeight="1">
      <c r="A8211" s="2" t="s">
        <v>8211</v>
      </c>
      <c r="B8211" s="2" t="str">
        <f>IFERROR(__xludf.DUMMYFUNCTION("GOOGLETRANSLATE(A8211, ""en"", ""mt"")"),"40 irġiel")</f>
        <v>40 irġiel</v>
      </c>
    </row>
    <row r="8212" ht="15.75" customHeight="1">
      <c r="A8212" s="2" t="s">
        <v>8212</v>
      </c>
      <c r="B8212" s="2" t="str">
        <f>IFERROR(__xludf.DUMMYFUNCTION("GOOGLETRANSLATE(A8212, ""en"", ""mt"")"),"L-imperu Mongoljan kien regolat minn kodiċi ċivili u militari, imsejjaħ il-Yassa, maħluq minn Genghis Khan. L-imperu Mongoljan ma enfasizzax l-importanza tal-etniċità u r-razza fl-isfera amministrattiva, minflok adotta approċċ ibbażat fuq il-meritokrazija"&amp;". L-eċċezzjoni kienet ir-rwol ta ’Genghis Khan u l-familja tiegħu. L-Imperu Mongoljan kien wieħed mill-aktar imperi etnikament u kulturalment diversi fl-istorja, kif kien jaqbel mad-daqs tiegħu. Ħafna mill-abitanti nomadi tal-Imperu qiesu lilhom infushom "&amp;"Mongoli fil-ħajja militari u ċivili, inklużi Mongoli, Torok u oħrajn u inkludew bosta khans diversi ta 'diversi etniċi bħala parti mill-imperu Mongoljan bħal Muhammad Khan.")</f>
        <v>L-imperu Mongoljan kien regolat minn kodiċi ċivili u militari, imsejjaħ il-Yassa, maħluq minn Genghis Khan. L-imperu Mongoljan ma enfasizzax l-importanza tal-etniċità u r-razza fl-isfera amministrattiva, minflok adotta approċċ ibbażat fuq il-meritokrazija. L-eċċezzjoni kienet ir-rwol ta ’Genghis Khan u l-familja tiegħu. L-Imperu Mongoljan kien wieħed mill-aktar imperi etnikament u kulturalment diversi fl-istorja, kif kien jaqbel mad-daqs tiegħu. Ħafna mill-abitanti nomadi tal-Imperu qiesu lilhom infushom Mongoli fil-ħajja militari u ċivili, inklużi Mongoli, Torok u oħrajn u inkludew bosta khans diversi ta 'diversi etniċi bħala parti mill-imperu Mongoljan bħal Muhammad Khan.</v>
      </c>
    </row>
    <row r="8213" ht="15.75" customHeight="1">
      <c r="A8213" s="2" t="s">
        <v>8213</v>
      </c>
      <c r="B8213" s="2" t="str">
        <f>IFERROR(__xludf.DUMMYFUNCTION("GOOGLETRANSLATE(A8213, ""en"", ""mt"")"),"Ealy")</f>
        <v>Ealy</v>
      </c>
    </row>
    <row r="8214" ht="15.75" customHeight="1">
      <c r="A8214" s="2" t="s">
        <v>8214</v>
      </c>
      <c r="B8214" s="2" t="str">
        <f>IFERROR(__xludf.DUMMYFUNCTION("GOOGLETRANSLATE(A8214, ""en"", ""mt"")"),"F'liema direzzjoni testendi s-sistema tal-muntanji?")</f>
        <v>F'liema direzzjoni testendi s-sistema tal-muntanji?</v>
      </c>
    </row>
    <row r="8215" ht="15.75" customHeight="1">
      <c r="A8215" s="2" t="s">
        <v>8215</v>
      </c>
      <c r="B8215" s="2" t="str">
        <f>IFERROR(__xludf.DUMMYFUNCTION("GOOGLETRANSLATE(A8215, ""en"", ""mt"")"),"Rikonċiljazzjoni tal-medikazzjoni u l-edukazzjoni tal-pazjent li tirriżulta f'żieda fir-riżultati tas-saħħa tal-pazjent u tnaqqis fl-ispejjeż għas-sistema tal-kura tas-saħħa")</f>
        <v>Rikonċiljazzjoni tal-medikazzjoni u l-edukazzjoni tal-pazjent li tirriżulta f'żieda fir-riżultati tas-saħħa tal-pazjent u tnaqqis fl-ispejjeż għas-sistema tal-kura tas-saħħa</v>
      </c>
    </row>
    <row r="8216" ht="15.75" customHeight="1">
      <c r="A8216" s="2" t="s">
        <v>8216</v>
      </c>
      <c r="B8216" s="2" t="str">
        <f>IFERROR(__xludf.DUMMYFUNCTION("GOOGLETRANSLATE(A8216, ""en"", ""mt"")"),"Liema sena miet Tesla?")</f>
        <v>Liema sena miet Tesla?</v>
      </c>
    </row>
    <row r="8217" ht="15.75" customHeight="1">
      <c r="A8217" s="2" t="s">
        <v>8217</v>
      </c>
      <c r="B8217" s="2" t="str">
        <f>IFERROR(__xludf.DUMMYFUNCTION("GOOGLETRANSLATE(A8217, ""en"", ""mt"")"),"Ġwanni Pawlu II")</f>
        <v>Ġwanni Pawlu II</v>
      </c>
    </row>
    <row r="8218" ht="15.75" customHeight="1">
      <c r="A8218" s="2" t="s">
        <v>8218</v>
      </c>
      <c r="B8218" s="2" t="str">
        <f>IFERROR(__xludf.DUMMYFUNCTION("GOOGLETRANSLATE(A8218, ""en"", ""mt"")"),"X'jiġri wara li ċ-ċomb idub?")</f>
        <v>X'jiġri wara li ċ-ċomb idub?</v>
      </c>
    </row>
    <row r="8219" ht="15.75" customHeight="1">
      <c r="A8219" s="2" t="s">
        <v>8219</v>
      </c>
      <c r="B8219" s="2" t="str">
        <f>IFERROR(__xludf.DUMMYFUNCTION("GOOGLETRANSLATE(A8219, ""en"", ""mt"")"),"strettament kontenut f'P jew daqs p")</f>
        <v>strettament kontenut f'P jew daqs p</v>
      </c>
    </row>
    <row r="8220" ht="15.75" customHeight="1">
      <c r="A8220" s="2" t="s">
        <v>8220</v>
      </c>
      <c r="B8220" s="2" t="str">
        <f>IFERROR(__xludf.DUMMYFUNCTION("GOOGLETRANSLATE(A8220, ""en"", ""mt"")"),"Liema stazzjon tat-TV Awstraljan mexxa Doctor Who mill-1965?")</f>
        <v>Liema stazzjon tat-TV Awstraljan mexxa Doctor Who mill-1965?</v>
      </c>
    </row>
    <row r="8221" ht="15.75" customHeight="1">
      <c r="A8221" s="2" t="s">
        <v>8221</v>
      </c>
      <c r="B8221" s="2" t="str">
        <f>IFERROR(__xludf.DUMMYFUNCTION("GOOGLETRANSLATE(A8221, ""en"", ""mt"")"),"Bħal ħafna denominazzjonijiet Protestanti Mainline oħra fl-Istati Uniti, il-Knisja Metodista Magħquda esperjenzat telf ta 'sħubija sinifikanti f'dawn l-aħħar għexieren ta' snin. Fil-ħin tal-formazzjoni tagħha, l-UMC kellha madwar 11-il miljun membru fi kw"&amp;"ażi 42,000 kongregazzjoni. Fl-1975, is-sħubija naqset taħt l-10 miljun għall-ewwel darba. Fl-2005, kien hemm madwar 8 miljun membru f'aktar minn 34,000 kongregazzjoni. Is-sħubija hija kkonċentrata primarjament fil-Midwest u fin-Nofsinhar. Texas għandu l-a"&amp;"kbar numru ta ’membri, b’madwar miljun. L-istati bl-ogħla rati ta 'sħubija huma Oklahoma, Iowa, Mississippi, West Virginia, u North Carolina.")</f>
        <v>Bħal ħafna denominazzjonijiet Protestanti Mainline oħra fl-Istati Uniti, il-Knisja Metodista Magħquda esperjenzat telf ta 'sħubija sinifikanti f'dawn l-aħħar għexieren ta' snin. Fil-ħin tal-formazzjoni tagħha, l-UMC kellha madwar 11-il miljun membru fi kważi 42,000 kongregazzjoni. Fl-1975, is-sħubija naqset taħt l-10 miljun għall-ewwel darba. Fl-2005, kien hemm madwar 8 miljun membru f'aktar minn 34,000 kongregazzjoni. Is-sħubija hija kkonċentrata primarjament fil-Midwest u fin-Nofsinhar. Texas għandu l-akbar numru ta ’membri, b’madwar miljun. L-istati bl-ogħla rati ta 'sħubija huma Oklahoma, Iowa, Mississippi, West Virginia, u North Carolina.</v>
      </c>
    </row>
    <row r="8222" ht="15.75" customHeight="1">
      <c r="A8222" s="2" t="s">
        <v>8222</v>
      </c>
      <c r="B8222" s="2" t="str">
        <f>IFERROR(__xludf.DUMMYFUNCTION("GOOGLETRANSLATE(A8222, ""en"", ""mt"")"),"it-tieni repubblika")</f>
        <v>it-tieni repubblika</v>
      </c>
    </row>
    <row r="8223" ht="15.75" customHeight="1">
      <c r="A8223" s="2" t="s">
        <v>8223</v>
      </c>
      <c r="B8223" s="2" t="str">
        <f>IFERROR(__xludf.DUMMYFUNCTION("GOOGLETRANSLATE(A8223, ""en"", ""mt"")"),"It-trasferiment tal-ġene endosimbjotiku huwa kif nafu dwar il-kloroplasti mitlufa f'ħafna nisel tal-kromalveolat. Anke jekk kloroplast eventwalment jintilef, il-ġeni li taw in-nukleu tal-ex-ospitanti jippersistu, u jipprovdu evidenza għall-eżistenza tal-k"&amp;"loroplast mitluf. Pereżempju, filwaqt li d-dijatomi (heterokontophyte) issa għandhom kloroplast derivat mill-alka ħamra, il-preżenza ta 'ħafna ġeni tal-alka ekoloġika fin-nukleu tad-diatom tipprovdi evidenza li l-antenat tad-diatom (probabbilment ukoll il"&amp;"-kromalveolat xi punt, li sussegwentement ġie sostitwit bil-kloroplast aħmar.")</f>
        <v>It-trasferiment tal-ġene endosimbjotiku huwa kif nafu dwar il-kloroplasti mitlufa f'ħafna nisel tal-kromalveolat. Anke jekk kloroplast eventwalment jintilef, il-ġeni li taw in-nukleu tal-ex-ospitanti jippersistu, u jipprovdu evidenza għall-eżistenza tal-kloroplast mitluf. Pereżempju, filwaqt li d-dijatomi (heterokontophyte) issa għandhom kloroplast derivat mill-alka ħamra, il-preżenza ta 'ħafna ġeni tal-alka ekoloġika fin-nukleu tad-diatom tipprovdi evidenza li l-antenat tad-diatom (probabbilment ukoll il-kromalveolat xi punt, li sussegwentement ġie sostitwit bil-kloroplast aħmar.</v>
      </c>
    </row>
    <row r="8224" ht="15.75" customHeight="1">
      <c r="A8224" s="2" t="s">
        <v>8224</v>
      </c>
      <c r="B8224" s="2" t="str">
        <f>IFERROR(__xludf.DUMMYFUNCTION("GOOGLETRANSLATE(A8224, ""en"", ""mt"")"),"Kull djaknu b'konnessjoni sħiħa huwa membru ta 'xiex?")</f>
        <v>Kull djaknu b'konnessjoni sħiħa huwa membru ta 'xiex?</v>
      </c>
    </row>
    <row r="8225" ht="15.75" customHeight="1">
      <c r="A8225" s="2" t="s">
        <v>8225</v>
      </c>
      <c r="B8225" s="2" t="str">
        <f>IFERROR(__xludf.DUMMYFUNCTION("GOOGLETRANSLATE(A8225, ""en"", ""mt"")"),"William u Judith Bollinger")</f>
        <v>William u Judith Bollinger</v>
      </c>
    </row>
    <row r="8226" ht="15.75" customHeight="1">
      <c r="A8226" s="2" t="s">
        <v>8226</v>
      </c>
      <c r="B8226" s="2" t="str">
        <f>IFERROR(__xludf.DUMMYFUNCTION("GOOGLETRANSLATE(A8226, ""en"", ""mt"")"),"31 ta ’Lulju 2013")</f>
        <v>31 ta ’Lulju 2013</v>
      </c>
    </row>
    <row r="8227" ht="15.75" customHeight="1">
      <c r="A8227" s="2" t="s">
        <v>8227</v>
      </c>
      <c r="B8227" s="2" t="str">
        <f>IFERROR(__xludf.DUMMYFUNCTION("GOOGLETRANSLATE(A8227, ""en"", ""mt"")"),"160 kPa")</f>
        <v>160 kPa</v>
      </c>
    </row>
    <row r="8228" ht="15.75" customHeight="1">
      <c r="A8228" s="2" t="s">
        <v>8228</v>
      </c>
      <c r="B8228" s="2" t="str">
        <f>IFERROR(__xludf.DUMMYFUNCTION("GOOGLETRANSLATE(A8228, ""en"", ""mt"")"),"Meta l-Huguenots żgura d-dritt li jkollu art fil-baronji?")</f>
        <v>Meta l-Huguenots żgura d-dritt li jkollu art fil-baronji?</v>
      </c>
    </row>
    <row r="8229" ht="15.75" customHeight="1">
      <c r="A8229" s="2" t="s">
        <v>8229</v>
      </c>
      <c r="B8229" s="2" t="str">
        <f>IFERROR(__xludf.DUMMYFUNCTION("GOOGLETRANSLATE(A8229, ""en"", ""mt"")"),"kolonizzazzjoni, użu ta 'forza militari, jew mezzi oħra")</f>
        <v>kolonizzazzjoni, użu ta 'forza militari, jew mezzi oħra</v>
      </c>
    </row>
    <row r="8230" ht="15.75" customHeight="1">
      <c r="A8230" s="2" t="s">
        <v>8230</v>
      </c>
      <c r="B8230" s="2" t="str">
        <f>IFERROR(__xludf.DUMMYFUNCTION("GOOGLETRANSLATE(A8230, ""en"", ""mt"")"),"Inputs tax-xogħol")</f>
        <v>Inputs tax-xogħol</v>
      </c>
    </row>
    <row r="8231" ht="15.75" customHeight="1">
      <c r="A8231" s="2" t="s">
        <v>8231</v>
      </c>
      <c r="B8231" s="2" t="str">
        <f>IFERROR(__xludf.DUMMYFUNCTION("GOOGLETRANSLATE(A8231, ""en"", ""mt"")"),"X'inhi l-iktar kawża komuni ta 'korriment fuq il-post?")</f>
        <v>X'inhi l-iktar kawża komuni ta 'korriment fuq il-post?</v>
      </c>
    </row>
    <row r="8232" ht="15.75" customHeight="1">
      <c r="A8232" s="2" t="s">
        <v>8232</v>
      </c>
      <c r="B8232" s="2" t="str">
        <f>IFERROR(__xludf.DUMMYFUNCTION("GOOGLETRANSLATE(A8232, ""en"", ""mt"")"),"Għal liema daqs in-numru naturali jżomm il-postulat ta 'Bertrand?")</f>
        <v>Għal liema daqs in-numru naturali jżomm il-postulat ta 'Bertrand?</v>
      </c>
    </row>
    <row r="8233" ht="15.75" customHeight="1">
      <c r="A8233" s="2" t="s">
        <v>8233</v>
      </c>
      <c r="B8233" s="2" t="str">
        <f>IFERROR(__xludf.DUMMYFUNCTION("GOOGLETRANSLATE(A8233, ""en"", ""mt"")"),"Dak li jippermetti lill-Parlament Skoċċiż jiskrutinja lill-gvern?")</f>
        <v>Dak li jippermetti lill-Parlament Skoċċiż jiskrutinja lill-gvern?</v>
      </c>
    </row>
    <row r="8234" ht="15.75" customHeight="1">
      <c r="A8234" s="2" t="s">
        <v>8234</v>
      </c>
      <c r="B8234" s="2" t="str">
        <f>IFERROR(__xludf.DUMMYFUNCTION("GOOGLETRANSLATE(A8234, ""en"", ""mt"")"),"X'sar fil-laboratorju tiegħu fl-1895, u ġiegħlu jitlef eluf ta 'dollari ta' dejta u għodda?")</f>
        <v>X'sar fil-laboratorju tiegħu fl-1895, u ġiegħlu jitlef eluf ta 'dollari ta' dejta u għodda?</v>
      </c>
    </row>
    <row r="8235" ht="15.75" customHeight="1">
      <c r="A8235" s="2" t="s">
        <v>8235</v>
      </c>
      <c r="B8235" s="2" t="str">
        <f>IFERROR(__xludf.DUMMYFUNCTION("GOOGLETRANSLATE(A8235, ""en"", ""mt"")"),"Fejn jiġru avvenimenti turistiċi oħra fir-Rabat barra minn Melbourne?")</f>
        <v>Fejn jiġru avvenimenti turistiċi oħra fir-Rabat barra minn Melbourne?</v>
      </c>
    </row>
    <row r="8236" ht="15.75" customHeight="1">
      <c r="A8236" s="2" t="s">
        <v>8236</v>
      </c>
      <c r="B8236" s="2" t="str">
        <f>IFERROR(__xludf.DUMMYFUNCTION("GOOGLETRANSLATE(A8236, ""en"", ""mt"")"),"Għaliex kien dan il-kont nessecary?")</f>
        <v>Għaliex kien dan il-kont nessecary?</v>
      </c>
    </row>
    <row r="8237" ht="15.75" customHeight="1">
      <c r="A8237" s="2" t="s">
        <v>8237</v>
      </c>
      <c r="B8237" s="2" t="str">
        <f>IFERROR(__xludf.DUMMYFUNCTION("GOOGLETRANSLATE(A8237, ""en"", ""mt"")"),"Inventarji tal-gass serra")</f>
        <v>Inventarji tal-gass serra</v>
      </c>
    </row>
    <row r="8238" ht="15.75" customHeight="1">
      <c r="A8238" s="2" t="s">
        <v>8238</v>
      </c>
      <c r="B8238" s="2" t="str">
        <f>IFERROR(__xludf.DUMMYFUNCTION("GOOGLETRANSLATE(A8238, ""en"", ""mt"")"),"indaqs il-ġisem")</f>
        <v>indaqs il-ġisem</v>
      </c>
    </row>
    <row r="8239" ht="15.75" customHeight="1">
      <c r="A8239" s="2" t="s">
        <v>8239</v>
      </c>
      <c r="B8239" s="2" t="str">
        <f>IFERROR(__xludf.DUMMYFUNCTION("GOOGLETRANSLATE(A8239, ""en"", ""mt"")"),"Meta Varsavja saret il-kapitali tar-Renju tal-Polonja?")</f>
        <v>Meta Varsavja saret il-kapitali tar-Renju tal-Polonja?</v>
      </c>
    </row>
    <row r="8240" ht="15.75" customHeight="1">
      <c r="A8240" s="2" t="s">
        <v>8240</v>
      </c>
      <c r="B8240" s="2" t="str">
        <f>IFERROR(__xludf.DUMMYFUNCTION("GOOGLETRANSLATE(A8240, ""en"", ""mt"")"),"1884")</f>
        <v>1884</v>
      </c>
    </row>
    <row r="8241" ht="15.75" customHeight="1">
      <c r="A8241" s="2" t="s">
        <v>8241</v>
      </c>
      <c r="B8241" s="2" t="str">
        <f>IFERROR(__xludf.DUMMYFUNCTION("GOOGLETRANSLATE(A8241, ""en"", ""mt"")"),"Ġew introdotti trakkijiet kompatti, bħalma huma t-Toyota Hilux u t-trakk Datsun, segwit mit-trakk Mazda (mibjugħ bħala l-Ford Courier), u l-Chevrolet Luv tal-Isuzu mibni. Mitsubishi rebranded il-forte tiegħu bħala d-Dodge D-50 ftit snin wara l-kriżi taż-ż"&amp;"ejt. Mazda, Mitsushi u Isuzu kellhom sħubijiet konġunti ma 'Ford, Chrysler, u GM, rispettivament. Aktar tard il-produtturi Amerikani introduċew is-sostituzzjonijiet domestiċi tagħhom (Ford Ranger, Dodge Dakota u l-Chevrolet S10 / GMC S-15), u temmew il-po"&amp;"litika ta 'importazzjoni magħżula tagħhom.")</f>
        <v>Ġew introdotti trakkijiet kompatti, bħalma huma t-Toyota Hilux u t-trakk Datsun, segwit mit-trakk Mazda (mibjugħ bħala l-Ford Courier), u l-Chevrolet Luv tal-Isuzu mibni. Mitsubishi rebranded il-forte tiegħu bħala d-Dodge D-50 ftit snin wara l-kriżi taż-żejt. Mazda, Mitsushi u Isuzu kellhom sħubijiet konġunti ma 'Ford, Chrysler, u GM, rispettivament. Aktar tard il-produtturi Amerikani introduċew is-sostituzzjonijiet domestiċi tagħhom (Ford Ranger, Dodge Dakota u l-Chevrolet S10 / GMC S-15), u temmew il-politika ta 'importazzjoni magħżula tagħhom.</v>
      </c>
    </row>
    <row r="8242" ht="15.75" customHeight="1">
      <c r="A8242" s="2" t="s">
        <v>8242</v>
      </c>
      <c r="B8242" s="2" t="str">
        <f>IFERROR(__xludf.DUMMYFUNCTION("GOOGLETRANSLATE(A8242, ""en"", ""mt"")"),"WABM-DT2 / WDBB-DT2")</f>
        <v>WABM-DT2 / WDBB-DT2</v>
      </c>
    </row>
    <row r="8243" ht="15.75" customHeight="1">
      <c r="A8243" s="2" t="s">
        <v>8243</v>
      </c>
      <c r="B8243" s="2" t="str">
        <f>IFERROR(__xludf.DUMMYFUNCTION("GOOGLETRANSLATE(A8243, ""en"", ""mt"")"),"Newcastle ħa postha f'Jannar 1756 ma 'Lord Loudoun, bil-Ġeneral Maġġur James Abercrombie bħala t-tieni fil-kmand tiegħu. L-ebda waħda minn dawn l-irġiel ma kellha daqshekk esperjenza ta 'kampanja daqs it-trio ta' uffiċjali Franza mibgħuta lejn l-Amerika t"&amp;"a 'Fuq. Ir-rinforzi tal-Armata Regolari Franċiżi waslu fi New Franza f'Mejju 1756, immexxija mill-Ġeneral Maġġur Louis-Joseph de Montcalm u ssekondati mill-Chevalier de Lévis u l-Kurunell François-Charles de Bourlamaque, kollha esperjenzaw veterani mill-g"&amp;"werra tas-suċċessjoni Awstrijaka. Matul dak iż-żmien fl-Ewropa, fit-18 ta 'Mejju, 1756, l-Ingilterra ddikjarat formalment gwerra fuq Franza, li espandiet il-gwerra fl-Ewropa, li aktar tard kellha tkun magħrufa bħala l-gwerra tas-seba' snin.")</f>
        <v>Newcastle ħa postha f'Jannar 1756 ma 'Lord Loudoun, bil-Ġeneral Maġġur James Abercrombie bħala t-tieni fil-kmand tiegħu. L-ebda waħda minn dawn l-irġiel ma kellha daqshekk esperjenza ta 'kampanja daqs it-trio ta' uffiċjali Franza mibgħuta lejn l-Amerika ta 'Fuq. Ir-rinforzi tal-Armata Regolari Franċiżi waslu fi New Franza f'Mejju 1756, immexxija mill-Ġeneral Maġġur Louis-Joseph de Montcalm u ssekondati mill-Chevalier de Lévis u l-Kurunell François-Charles de Bourlamaque, kollha esperjenzaw veterani mill-gwerra tas-suċċessjoni Awstrijaka. Matul dak iż-żmien fl-Ewropa, fit-18 ta 'Mejju, 1756, l-Ingilterra ddikjarat formalment gwerra fuq Franza, li espandiet il-gwerra fl-Ewropa, li aktar tard kellha tkun magħrufa bħala l-gwerra tas-seba' snin.</v>
      </c>
    </row>
    <row r="8244" ht="15.75" customHeight="1">
      <c r="A8244" s="2" t="s">
        <v>8244</v>
      </c>
      <c r="B8244" s="2" t="str">
        <f>IFERROR(__xludf.DUMMYFUNCTION("GOOGLETRANSLATE(A8244, ""en"", ""mt"")"),"Għal liema netwerk sabrina l-adolexxenti mxew fl-2000?")</f>
        <v>Għal liema netwerk sabrina l-adolexxenti mxew fl-2000?</v>
      </c>
    </row>
    <row r="8245" ht="15.75" customHeight="1">
      <c r="A8245" s="2" t="s">
        <v>8245</v>
      </c>
      <c r="B8245" s="2" t="str">
        <f>IFERROR(__xludf.DUMMYFUNCTION("GOOGLETRANSLATE(A8245, ""en"", ""mt"")"),"24 ta 'Lulju")</f>
        <v>24 ta 'Lulju</v>
      </c>
    </row>
    <row r="8246" ht="15.75" customHeight="1">
      <c r="A8246" s="2" t="s">
        <v>8246</v>
      </c>
      <c r="B8246" s="2" t="str">
        <f>IFERROR(__xludf.DUMMYFUNCTION("GOOGLETRANSLATE(A8246, ""en"", ""mt"")"),"Liema persentaġġ ta 'djar Amerikani laħaq ABC f'Marzu 2015?")</f>
        <v>Liema persentaġġ ta 'djar Amerikani laħaq ABC f'Marzu 2015?</v>
      </c>
    </row>
    <row r="8247" ht="15.75" customHeight="1">
      <c r="A8247" s="2" t="s">
        <v>8247</v>
      </c>
      <c r="B8247" s="2" t="str">
        <f>IFERROR(__xludf.DUMMYFUNCTION("GOOGLETRANSLATE(A8247, ""en"", ""mt"")"),"129")</f>
        <v>129</v>
      </c>
    </row>
    <row r="8248" ht="15.75" customHeight="1">
      <c r="A8248" s="2" t="s">
        <v>8248</v>
      </c>
      <c r="B8248" s="2" t="str">
        <f>IFERROR(__xludf.DUMMYFUNCTION("GOOGLETRANSLATE(A8248, ""en"", ""mt"")"),"Fit-12 ta 'April, 1961, il-kosmonawta Sovjetika Yuri Gagarin saret l-ewwel persuna li ttir fl-ispazju, li ssaħħaħ il-biżgħat Amerikani dwar li titħalla warajh f'kompetizzjoni teknoloġika mal-Unjoni Sovjetika. Waqt laqgħa tal-Kumitat tad-Dar tal-Istati Uni"&amp;"ti dwar ix-Xjenza u l-Astronawtika ġurnata wara t-titjira ta ’Gagarin, ħafna Congressmen wiegħdu l-appoġġ tagħhom għal programm ta’ ħabta mmirat biex jiżgura li l-Amerika tlaħħaq. Kennedy kien ċirkonspett fit-tweġiba tiegħu għall-aħbarijiet, li rrifjuta l"&amp;"i jagħmel impenn fuq ir-rispons tal-Amerika għas-Sovjetiċi.")</f>
        <v>Fit-12 ta 'April, 1961, il-kosmonawta Sovjetika Yuri Gagarin saret l-ewwel persuna li ttir fl-ispazju, li ssaħħaħ il-biżgħat Amerikani dwar li titħalla warajh f'kompetizzjoni teknoloġika mal-Unjoni Sovjetika. Waqt laqgħa tal-Kumitat tad-Dar tal-Istati Uniti dwar ix-Xjenza u l-Astronawtika ġurnata wara t-titjira ta ’Gagarin, ħafna Congressmen wiegħdu l-appoġġ tagħhom għal programm ta’ ħabta mmirat biex jiżgura li l-Amerika tlaħħaq. Kennedy kien ċirkonspett fit-tweġiba tiegħu għall-aħbarijiet, li rrifjuta li jagħmel impenn fuq ir-rispons tal-Amerika għas-Sovjetiċi.</v>
      </c>
    </row>
    <row r="8249" ht="15.75" customHeight="1">
      <c r="A8249" s="2" t="s">
        <v>8249</v>
      </c>
      <c r="B8249" s="2" t="str">
        <f>IFERROR(__xludf.DUMMYFUNCTION("GOOGLETRANSLATE(A8249, ""en"", ""mt"")"),"Kemm btieħi kisbu l-Panthers għal-logħba tal-kampjonat tad-diviżjoni?")</f>
        <v>Kemm btieħi kisbu l-Panthers għal-logħba tal-kampjonat tad-diviżjoni?</v>
      </c>
    </row>
    <row r="8250" ht="15.75" customHeight="1">
      <c r="A8250" s="2" t="s">
        <v>8250</v>
      </c>
      <c r="B8250" s="2" t="str">
        <f>IFERROR(__xludf.DUMMYFUNCTION("GOOGLETRANSLATE(A8250, ""en"", ""mt"")"),"nieqes minnu nnifsu")</f>
        <v>nieqes minnu nnifsu</v>
      </c>
    </row>
    <row r="8251" ht="15.75" customHeight="1">
      <c r="A8251" s="2" t="s">
        <v>8251</v>
      </c>
      <c r="B8251" s="2" t="str">
        <f>IFERROR(__xludf.DUMMYFUNCTION("GOOGLETRANSLATE(A8251, ""en"", ""mt"")"),"X’kawża li s-sejbiet ta ’Oxfam jiġu interrogati?")</f>
        <v>X’kawża li s-sejbiet ta ’Oxfam jiġu interrogati?</v>
      </c>
    </row>
    <row r="8252" ht="15.75" customHeight="1">
      <c r="A8252" s="2" t="s">
        <v>8252</v>
      </c>
      <c r="B8252" s="2" t="str">
        <f>IFERROR(__xludf.DUMMYFUNCTION("GOOGLETRANSLATE(A8252, ""en"", ""mt"")"),"Sħubija pubblika-privata")</f>
        <v>Sħubija pubblika-privata</v>
      </c>
    </row>
    <row r="8253" ht="15.75" customHeight="1">
      <c r="A8253" s="2" t="s">
        <v>8253</v>
      </c>
      <c r="B8253" s="2" t="str">
        <f>IFERROR(__xludf.DUMMYFUNCTION("GOOGLETRANSLATE(A8253, ""en"", ""mt"")"),"Bejn l-1835 u l-1842,")</f>
        <v>Bejn l-1835 u l-1842,</v>
      </c>
    </row>
    <row r="8254" ht="15.75" customHeight="1">
      <c r="A8254" s="2" t="s">
        <v>8254</v>
      </c>
      <c r="B8254" s="2" t="str">
        <f>IFERROR(__xludf.DUMMYFUNCTION("GOOGLETRANSLATE(A8254, ""en"", ""mt"")"),"4K + 3")</f>
        <v>4K + 3</v>
      </c>
    </row>
    <row r="8255" ht="15.75" customHeight="1">
      <c r="A8255" s="2" t="s">
        <v>8255</v>
      </c>
      <c r="B8255" s="2" t="str">
        <f>IFERROR(__xludf.DUMMYFUNCTION("GOOGLETRANSLATE(A8255, ""en"", ""mt"")"),"Ċirku kommutattiv r")</f>
        <v>Ċirku kommutattiv r</v>
      </c>
    </row>
    <row r="8256" ht="15.75" customHeight="1">
      <c r="A8256" s="2" t="s">
        <v>8256</v>
      </c>
      <c r="B8256" s="2" t="str">
        <f>IFERROR(__xludf.DUMMYFUNCTION("GOOGLETRANSLATE(A8256, ""en"", ""mt"")"),"saħħtu")</f>
        <v>saħħtu</v>
      </c>
    </row>
    <row r="8257" ht="15.75" customHeight="1">
      <c r="A8257" s="2" t="s">
        <v>8257</v>
      </c>
      <c r="B8257" s="2" t="str">
        <f>IFERROR(__xludf.DUMMYFUNCTION("GOOGLETRANSLATE(A8257, ""en"", ""mt"")"),"psewdo-xjenzi")</f>
        <v>psewdo-xjenzi</v>
      </c>
    </row>
    <row r="8258" ht="15.75" customHeight="1">
      <c r="A8258" s="2" t="s">
        <v>8258</v>
      </c>
      <c r="B8258" s="2" t="str">
        <f>IFERROR(__xludf.DUMMYFUNCTION("GOOGLETRANSLATE(A8258, ""en"", ""mt"")"),"X'inhu l-imperjalizmu kulturali li spiss jissejjaħ?")</f>
        <v>X'inhu l-imperjalizmu kulturali li spiss jissejjaħ?</v>
      </c>
    </row>
    <row r="8259" ht="15.75" customHeight="1">
      <c r="A8259" s="2" t="s">
        <v>8259</v>
      </c>
      <c r="B8259" s="2" t="str">
        <f>IFERROR(__xludf.DUMMYFUNCTION("GOOGLETRANSLATE(A8259, ""en"", ""mt"")"),"Min kien it-tieni l-akbar produttur taż-żejt fid-dinja?")</f>
        <v>Min kien it-tieni l-akbar produttur taż-żejt fid-dinja?</v>
      </c>
    </row>
    <row r="8260" ht="15.75" customHeight="1">
      <c r="A8260" s="2" t="s">
        <v>8260</v>
      </c>
      <c r="B8260" s="2" t="str">
        <f>IFERROR(__xludf.DUMMYFUNCTION("GOOGLETRANSLATE(A8260, ""en"", ""mt"")"),"Suite proprjetarja ta 'protokolli ta' netwerking żviluppati minn Apple Inc. fl-1985")</f>
        <v>Suite proprjetarja ta 'protokolli ta' netwerking żviluppati minn Apple Inc. fl-1985</v>
      </c>
    </row>
    <row r="8261" ht="15.75" customHeight="1">
      <c r="A8261" s="2" t="s">
        <v>8261</v>
      </c>
      <c r="B8261" s="2" t="str">
        <f>IFERROR(__xludf.DUMMYFUNCTION("GOOGLETRANSLATE(A8261, ""en"", ""mt"")"),"1072")</f>
        <v>1072</v>
      </c>
    </row>
    <row r="8262" ht="15.75" customHeight="1">
      <c r="A8262" s="2" t="s">
        <v>8262</v>
      </c>
      <c r="B8262" s="2" t="str">
        <f>IFERROR(__xludf.DUMMYFUNCTION("GOOGLETRANSLATE(A8262, ""en"", ""mt"")"),"Mount Kenja")</f>
        <v>Mount Kenja</v>
      </c>
    </row>
    <row r="8263" ht="15.75" customHeight="1">
      <c r="A8263" s="2" t="s">
        <v>8263</v>
      </c>
      <c r="B8263" s="2" t="str">
        <f>IFERROR(__xludf.DUMMYFUNCTION("GOOGLETRANSLATE(A8263, ""en"", ""mt"")"),"Vjolazzjoni tal-liġi kriminali li ma tikserx id-drittijiet ta 'ħaddieħor.")</f>
        <v>Vjolazzjoni tal-liġi kriminali li ma tikserx id-drittijiet ta 'ħaddieħor.</v>
      </c>
    </row>
    <row r="8264" ht="15.75" customHeight="1">
      <c r="A8264" s="2" t="s">
        <v>8264</v>
      </c>
      <c r="B8264" s="2" t="str">
        <f>IFERROR(__xludf.DUMMYFUNCTION("GOOGLETRANSLATE(A8264, ""en"", ""mt"")"),"permezz ta ’mekkaniżmu tal-linja d")</f>
        <v>permezz ta ’mekkaniżmu tal-linja d</v>
      </c>
    </row>
    <row r="8265" ht="15.75" customHeight="1">
      <c r="A8265" s="2" t="s">
        <v>8265</v>
      </c>
      <c r="B8265" s="2" t="str">
        <f>IFERROR(__xludf.DUMMYFUNCTION("GOOGLETRANSLATE(A8265, ""en"", ""mt"")"),"Armata")</f>
        <v>Armata</v>
      </c>
    </row>
    <row r="8266" ht="15.75" customHeight="1">
      <c r="A8266" s="2" t="s">
        <v>8266</v>
      </c>
      <c r="B8266" s="2" t="str">
        <f>IFERROR(__xludf.DUMMYFUNCTION("GOOGLETRANSLATE(A8266, ""en"", ""mt"")"),"Eisele")</f>
        <v>Eisele</v>
      </c>
    </row>
    <row r="8267" ht="15.75" customHeight="1">
      <c r="A8267" s="2" t="s">
        <v>8267</v>
      </c>
      <c r="B8267" s="2" t="str">
        <f>IFERROR(__xludf.DUMMYFUNCTION("GOOGLETRANSLATE(A8267, ""en"", ""mt"")"),"X'kien ippjanat għal Luther minn Frederick III wara l-laqgħa?")</f>
        <v>X'kien ippjanat għal Luther minn Frederick III wara l-laqgħa?</v>
      </c>
    </row>
    <row r="8268" ht="15.75" customHeight="1">
      <c r="A8268" s="2" t="s">
        <v>8268</v>
      </c>
      <c r="B8268" s="2" t="str">
        <f>IFERROR(__xludf.DUMMYFUNCTION("GOOGLETRANSLATE(A8268, ""en"", ""mt"")"),"L-agrikoltura hija t-tieni l-akbar kontributur għall-prodott domestiku gross tal-Kenja (PDG), wara s-settur tas-servizzi. Fl-2005 l-agrikoltura, inkluża l-forestrija u s-sajd, kienet tirrappreżenta 24% tal-PDG, kif ukoll għal 18% tal-impjiegi bil-pagi u 5"&amp;"0% tad-dħul mill-esportazzjonijiet. L-uċuħ tal-flus ewlenin huma tè, prodotti ortikulturali, u kafè. Il-prodotti tal-ortikultura u t-te huma s-setturi ewlenin tat-tkabbir u l-iktar żewġ siewja mill-esportazzjonijiet kollha tal-Kenja. Il-produzzjoni ta 'st"&amp;"aples ewlenin tal-ikel bħall-qamħ hija soġġetta għal varjazzjonijiet li jaqtgħu relatati mat-temp. It-tnaqqis fil-produzzjoni perjodikament jeħtieġ għajnuna għall-ikel - pereżempju, fl-2004 għajnuna għal 1.8 miljun persuna minħabba waħda mill-nixfiet inte"&amp;"rmittenti tal-Kenja. [Ċitazzjoni meħtieġa]")</f>
        <v>L-agrikoltura hija t-tieni l-akbar kontributur għall-prodott domestiku gross tal-Kenja (PDG), wara s-settur tas-servizzi. Fl-2005 l-agrikoltura, inkluża l-forestrija u s-sajd, kienet tirrappreżenta 24% tal-PDG, kif ukoll għal 18% tal-impjiegi bil-pagi u 50% tad-dħul mill-esportazzjonijiet. L-uċuħ tal-flus ewlenin huma tè, prodotti ortikulturali, u kafè. Il-prodotti tal-ortikultura u t-te huma s-setturi ewlenin tat-tkabbir u l-iktar żewġ siewja mill-esportazzjonijiet kollha tal-Kenja. Il-produzzjoni ta 'staples ewlenin tal-ikel bħall-qamħ hija soġġetta għal varjazzjonijiet li jaqtgħu relatati mat-temp. It-tnaqqis fil-produzzjoni perjodikament jeħtieġ għajnuna għall-ikel - pereżempju, fl-2004 għajnuna għal 1.8 miljun persuna minħabba waħda mill-nixfiet intermittenti tal-Kenja. [Ċitazzjoni meħtieġa]</v>
      </c>
    </row>
    <row r="8269" ht="15.75" customHeight="1">
      <c r="A8269" s="2" t="s">
        <v>8269</v>
      </c>
      <c r="B8269" s="2" t="str">
        <f>IFERROR(__xludf.DUMMYFUNCTION("GOOGLETRANSLATE(A8269, ""en"", ""mt"")"),"Ethernet mehmuża ospiti, u eventwalment TCP / IP u universitajiet pubbliċi addizzjonali fi Michigan jingħaqdu man-netwerk")</f>
        <v>Ethernet mehmuża ospiti, u eventwalment TCP / IP u universitajiet pubbliċi addizzjonali fi Michigan jingħaqdu man-netwerk</v>
      </c>
    </row>
    <row r="8270" ht="15.75" customHeight="1">
      <c r="A8270" s="2" t="s">
        <v>8270</v>
      </c>
      <c r="B8270" s="2" t="str">
        <f>IFERROR(__xludf.DUMMYFUNCTION("GOOGLETRANSLATE(A8270, ""en"", ""mt"")"),"Il-kloroplast Peridinin oriġinali tagħhom")</f>
        <v>Il-kloroplast Peridinin oriġinali tagħhom</v>
      </c>
    </row>
    <row r="8271" ht="15.75" customHeight="1">
      <c r="A8271" s="2" t="s">
        <v>8271</v>
      </c>
      <c r="B8271" s="2" t="str">
        <f>IFERROR(__xludf.DUMMYFUNCTION("GOOGLETRANSLATE(A8271, ""en"", ""mt"")"),"X'inhu l-benefiċċju li jorbot il-polypeptide?")</f>
        <v>X'inhu l-benefiċċju li jorbot il-polypeptide?</v>
      </c>
    </row>
    <row r="8272" ht="15.75" customHeight="1">
      <c r="A8272" s="2" t="s">
        <v>8272</v>
      </c>
      <c r="B8272" s="2" t="str">
        <f>IFERROR(__xludf.DUMMYFUNCTION("GOOGLETRANSLATE(A8272, ""en"", ""mt"")"),"orjentat lejn it-teknoloġija")</f>
        <v>orjentat lejn it-teknoloġija</v>
      </c>
    </row>
    <row r="8273" ht="15.75" customHeight="1">
      <c r="A8273" s="2" t="s">
        <v>8273</v>
      </c>
      <c r="B8273" s="2" t="str">
        <f>IFERROR(__xludf.DUMMYFUNCTION("GOOGLETRANSLATE(A8273, ""en"", ""mt"")"),"Hemm ħjiel fir-rekords li jibqgħu ħajjin tal-Eġizzjani tal-qedem li kellhom xi għarfien dwar in-numri ewlenin: l-espansjonijiet tal-frazzjoni Eġizzjana fil-papyrus Rhind, pereżempju, għandhom forom pjuttost differenti għall-primes u għall-komposti. Madank"&amp;"ollu, l-ewwel rekords li jibqgħu ħajjin tal-istudju espliċitu tan-numri ewlenin ġejjin mill-Griegi tal-qedem. L-elementi ta 'Euclid (circa 300 QK) fihom teoremi importanti dwar il-primes, inkluża l-infinitudni tal-primes u t-teorema fundamentali tal-aritm"&amp;"etika. Euclid wera wkoll kif jinbena numru perfett minn Mersenne Prime. L-għarbiel ta 'Eratosthenes, attribwit lil Eratosthenes, huwa metodu sempliċi biex jiġi kkalkulat il-primes, għalkemm il-primes kbar misjuba llum bil-kompjuters mhumiex iġġenerati b'd"&amp;"an il-mod.")</f>
        <v>Hemm ħjiel fir-rekords li jibqgħu ħajjin tal-Eġizzjani tal-qedem li kellhom xi għarfien dwar in-numri ewlenin: l-espansjonijiet tal-frazzjoni Eġizzjana fil-papyrus Rhind, pereżempju, għandhom forom pjuttost differenti għall-primes u għall-komposti. Madankollu, l-ewwel rekords li jibqgħu ħajjin tal-istudju espliċitu tan-numri ewlenin ġejjin mill-Griegi tal-qedem. L-elementi ta 'Euclid (circa 300 QK) fihom teoremi importanti dwar il-primes, inkluża l-infinitudni tal-primes u t-teorema fundamentali tal-aritmetika. Euclid wera wkoll kif jinbena numru perfett minn Mersenne Prime. L-għarbiel ta 'Eratosthenes, attribwit lil Eratosthenes, huwa metodu sempliċi biex jiġi kkalkulat il-primes, għalkemm il-primes kbar misjuba llum bil-kompjuters mhumiex iġġenerati b'dan il-mod.</v>
      </c>
    </row>
    <row r="8274" ht="15.75" customHeight="1">
      <c r="A8274" s="2" t="s">
        <v>8274</v>
      </c>
      <c r="B8274" s="2" t="str">
        <f>IFERROR(__xludf.DUMMYFUNCTION("GOOGLETRANSLATE(A8274, ""en"", ""mt"")"),"Il-ġiri")</f>
        <v>Il-ġiri</v>
      </c>
    </row>
    <row r="8275" ht="15.75" customHeight="1">
      <c r="A8275" s="2" t="s">
        <v>8275</v>
      </c>
      <c r="B8275" s="2" t="str">
        <f>IFERROR(__xludf.DUMMYFUNCTION("GOOGLETRANSLATE(A8275, ""en"", ""mt"")")," Fejn iddikjara li se jittrasporta l-enerġija?")</f>
        <v> Fejn iddikjara li se jittrasporta l-enerġija?</v>
      </c>
    </row>
    <row r="8276" ht="15.75" customHeight="1">
      <c r="A8276" s="2" t="s">
        <v>8276</v>
      </c>
      <c r="B8276" s="2" t="str">
        <f>IFERROR(__xludf.DUMMYFUNCTION("GOOGLETRANSLATE(A8276, ""en"", ""mt"")"),"Kemm universitajiet għandu Newcastle?")</f>
        <v>Kemm universitajiet għandu Newcastle?</v>
      </c>
    </row>
    <row r="8277" ht="15.75" customHeight="1">
      <c r="A8277" s="2" t="s">
        <v>8277</v>
      </c>
      <c r="B8277" s="2" t="str">
        <f>IFERROR(__xludf.DUMMYFUNCTION("GOOGLETRANSLATE(A8277, ""en"", ""mt"")"),"importanza dejjem tiżdied tal-kapital uman")</f>
        <v>importanza dejjem tiżdied tal-kapital uman</v>
      </c>
    </row>
    <row r="8278" ht="15.75" customHeight="1">
      <c r="A8278" s="2" t="s">
        <v>8278</v>
      </c>
      <c r="B8278" s="2" t="str">
        <f>IFERROR(__xludf.DUMMYFUNCTION("GOOGLETRANSLATE(A8278, ""en"", ""mt"")"),"Dak li jagħmel il-metodu tad-diviżjoni tal-prova aktar effiċjenti?")</f>
        <v>Dak li jagħmel il-metodu tad-diviżjoni tal-prova aktar effiċjenti?</v>
      </c>
    </row>
    <row r="8279" ht="15.75" customHeight="1">
      <c r="A8279" s="2" t="s">
        <v>8279</v>
      </c>
      <c r="B8279" s="2" t="str">
        <f>IFERROR(__xludf.DUMMYFUNCTION("GOOGLETRANSLATE(A8279, ""en"", ""mt"")"),"Lucas - Lehmer")</f>
        <v>Lucas - Lehmer</v>
      </c>
    </row>
    <row r="8280" ht="15.75" customHeight="1">
      <c r="A8280" s="2" t="s">
        <v>8280</v>
      </c>
      <c r="B8280" s="2" t="str">
        <f>IFERROR(__xludf.DUMMYFUNCTION("GOOGLETRANSLATE(A8280, ""en"", ""mt"")"),"Ċivilizza")</f>
        <v>Ċivilizza</v>
      </c>
    </row>
    <row r="8281" ht="15.75" customHeight="1">
      <c r="A8281" s="2" t="s">
        <v>8281</v>
      </c>
      <c r="B8281" s="2" t="str">
        <f>IFERROR(__xludf.DUMMYFUNCTION("GOOGLETRANSLATE(A8281, ""en"", ""mt"")"),"Matul l-istrajk tan-netwerk tal-ITV tal-1979, it-telespettazzjoni laħqet il-quċċata ta '16 -il miljun. Iċ-ċifri meħtieġa] baqgħu rispettabbli fis-snin 1980, iżda waqgħu b'mod notevoli wara li t-23 serje tal-programm ġiet posposta fl-1985 u l-ispettaklu ki"&amp;"en barra mill-arja għal 18-il xahar. Il-prestazzjoni tagħha tard tas-snin 1980 ta 'tlieta sa ħames miljun telespettatur kienet meqjusa bħala fqira dak iż-żmien u kienet, skond il-Bord ta' Kontroll tal-BBC, kawża ewlenija tas-sospensjoni tal-1989 tal-progr"&amp;"amm. Xi fannijiet ikkunsidraw dan id-diżingenu, peress li l-programm kien skedat kontra t-Triq tas-Soap Opera, l-iktar spettaklu popolari dak iż-żmien. Wara l-qawmien mill-ġdid tas-serje fl-2005 (it-tielet perjodu notevoli ta 'klassifikazzjonijiet għoljin"&amp;"), hija kellha livelli għoljin ta' telespettazzjoni għal-lejla li fiha xxandar l-episodju.")</f>
        <v>Matul l-istrajk tan-netwerk tal-ITV tal-1979, it-telespettazzjoni laħqet il-quċċata ta '16 -il miljun. Iċ-ċifri meħtieġa] baqgħu rispettabbli fis-snin 1980, iżda waqgħu b'mod notevoli wara li t-23 serje tal-programm ġiet posposta fl-1985 u l-ispettaklu kien barra mill-arja għal 18-il xahar. Il-prestazzjoni tagħha tard tas-snin 1980 ta 'tlieta sa ħames miljun telespettatur kienet meqjusa bħala fqira dak iż-żmien u kienet, skond il-Bord ta' Kontroll tal-BBC, kawża ewlenija tas-sospensjoni tal-1989 tal-programm. Xi fannijiet ikkunsidraw dan id-diżingenu, peress li l-programm kien skedat kontra t-Triq tas-Soap Opera, l-iktar spettaklu popolari dak iż-żmien. Wara l-qawmien mill-ġdid tas-serje fl-2005 (it-tielet perjodu notevoli ta 'klassifikazzjonijiet għoljin), hija kellha livelli għoljin ta' telespettazzjoni għal-lejla li fiha xxandar l-episodju.</v>
      </c>
    </row>
    <row r="8282" ht="15.75" customHeight="1">
      <c r="A8282" s="2" t="s">
        <v>8282</v>
      </c>
      <c r="B8282" s="2" t="str">
        <f>IFERROR(__xludf.DUMMYFUNCTION("GOOGLETRANSLATE(A8282, ""en"", ""mt"")"),"pancake")</f>
        <v>pancake</v>
      </c>
    </row>
    <row r="8283" ht="15.75" customHeight="1">
      <c r="A8283" s="2" t="s">
        <v>8283</v>
      </c>
      <c r="B8283" s="2" t="str">
        <f>IFERROR(__xludf.DUMMYFUNCTION("GOOGLETRANSLATE(A8283, ""en"", ""mt"")"),"kisru xi liġijiet speċifiċi, imma jien ħati li ma għamilt l-ebda w")</f>
        <v>kisru xi liġijiet speċifiċi, imma jien ħati li ma għamilt l-ebda w</v>
      </c>
    </row>
    <row r="8284" ht="15.75" customHeight="1">
      <c r="A8284" s="2" t="s">
        <v>8284</v>
      </c>
      <c r="B8284" s="2" t="str">
        <f>IFERROR(__xludf.DUMMYFUNCTION("GOOGLETRANSLATE(A8284, ""en"", ""mt"")"),"Minimalità")</f>
        <v>Minimalità</v>
      </c>
    </row>
    <row r="8285" ht="15.75" customHeight="1">
      <c r="A8285" s="2" t="s">
        <v>8285</v>
      </c>
      <c r="B8285" s="2" t="str">
        <f>IFERROR(__xludf.DUMMYFUNCTION("GOOGLETRANSLATE(A8285, ""en"", ""mt"")"),"Min janalizza kampjuni tal-blat minn qlub tat-tħaffir fil-laboratorju?")</f>
        <v>Min janalizza kampjuni tal-blat minn qlub tat-tħaffir fil-laboratorju?</v>
      </c>
    </row>
    <row r="8286" ht="15.75" customHeight="1">
      <c r="A8286" s="2" t="s">
        <v>8286</v>
      </c>
      <c r="B8286" s="2" t="str">
        <f>IFERROR(__xludf.DUMMYFUNCTION("GOOGLETRANSLATE(A8286, ""en"", ""mt"")"),"Persuni li kuxjenzjalment jopponu l-gwerra kollha")</f>
        <v>Persuni li kuxjenzjalment jopponu l-gwerra kollha</v>
      </c>
    </row>
    <row r="8287" ht="15.75" customHeight="1">
      <c r="A8287" s="2" t="s">
        <v>8287</v>
      </c>
      <c r="B8287" s="2" t="str">
        <f>IFERROR(__xludf.DUMMYFUNCTION("GOOGLETRANSLATE(A8287, ""en"", ""mt"")"),"organizzazzjoni terroristika")</f>
        <v>organizzazzjoni terroristika</v>
      </c>
    </row>
    <row r="8288" ht="15.75" customHeight="1">
      <c r="A8288" s="2" t="s">
        <v>8288</v>
      </c>
      <c r="B8288" s="2" t="str">
        <f>IFERROR(__xludf.DUMMYFUNCTION("GOOGLETRANSLATE(A8288, ""en"", ""mt"")"),"1873")</f>
        <v>1873</v>
      </c>
    </row>
    <row r="8289" ht="15.75" customHeight="1">
      <c r="A8289" s="2" t="s">
        <v>8289</v>
      </c>
      <c r="B8289" s="2" t="str">
        <f>IFERROR(__xludf.DUMMYFUNCTION("GOOGLETRANSLATE(A8289, ""en"", ""mt"")"),"Mexxejja ""apostati"" ta 'stati Musulmani,")</f>
        <v>Mexxejja "apostati" ta 'stati Musulmani,</v>
      </c>
    </row>
    <row r="8290" ht="15.75" customHeight="1">
      <c r="A8290" s="2" t="s">
        <v>8290</v>
      </c>
      <c r="B8290" s="2" t="str">
        <f>IFERROR(__xludf.DUMMYFUNCTION("GOOGLETRANSLATE(A8290, ""en"", ""mt"")"),"Infrastruttura")</f>
        <v>Infrastruttura</v>
      </c>
    </row>
    <row r="8291" ht="15.75" customHeight="1">
      <c r="A8291" s="2" t="s">
        <v>8291</v>
      </c>
      <c r="B8291" s="2" t="str">
        <f>IFERROR(__xludf.DUMMYFUNCTION("GOOGLETRANSLATE(A8291, ""en"", ""mt"")"),"saqaf")</f>
        <v>saqaf</v>
      </c>
    </row>
    <row r="8292" ht="15.75" customHeight="1">
      <c r="A8292" s="2" t="s">
        <v>8292</v>
      </c>
      <c r="B8292" s="2" t="str">
        <f>IFERROR(__xludf.DUMMYFUNCTION("GOOGLETRANSLATE(A8292, ""en"", ""mt"")"),"Coco Chanel")</f>
        <v>Coco Chanel</v>
      </c>
    </row>
    <row r="8293" ht="15.75" customHeight="1">
      <c r="A8293" s="2" t="s">
        <v>8293</v>
      </c>
      <c r="B8293" s="2" t="str">
        <f>IFERROR(__xludf.DUMMYFUNCTION("GOOGLETRANSLATE(A8293, ""en"", ""mt"")"),"Wara li staqsiet jekk il-kotba kinux tiegħu, x'iktar Eck staqsiet lil Luther?")</f>
        <v>Wara li staqsiet jekk il-kotba kinux tiegħu, x'iktar Eck staqsiet lil Luther?</v>
      </c>
    </row>
    <row r="8294" ht="15.75" customHeight="1">
      <c r="A8294" s="2" t="s">
        <v>8294</v>
      </c>
      <c r="B8294" s="2" t="str">
        <f>IFERROR(__xludf.DUMMYFUNCTION("GOOGLETRANSLATE(A8294, ""en"", ""mt"")"),"Għal min kien ifisser il-katekiżmu żgħir?")</f>
        <v>Għal min kien ifisser il-katekiżmu żgħir?</v>
      </c>
    </row>
    <row r="8295" ht="15.75" customHeight="1">
      <c r="A8295" s="2" t="s">
        <v>8295</v>
      </c>
      <c r="B8295" s="2" t="str">
        <f>IFERROR(__xludf.DUMMYFUNCTION("GOOGLETRANSLATE(A8295, ""en"", ""mt"")"),"Rhijn")</f>
        <v>Rhijn</v>
      </c>
    </row>
    <row r="8296" ht="15.75" customHeight="1">
      <c r="A8296" s="2" t="s">
        <v>8296</v>
      </c>
      <c r="B8296" s="2" t="str">
        <f>IFERROR(__xludf.DUMMYFUNCTION("GOOGLETRANSLATE(A8296, ""en"", ""mt"")"),"Min influwenza l-ideoloġija tat-Taliban?")</f>
        <v>Min influwenza l-ideoloġija tat-Taliban?</v>
      </c>
    </row>
    <row r="8297" ht="15.75" customHeight="1">
      <c r="A8297" s="2" t="s">
        <v>8297</v>
      </c>
      <c r="B8297" s="2" t="str">
        <f>IFERROR(__xludf.DUMMYFUNCTION("GOOGLETRANSLATE(A8297, ""en"", ""mt"")"),"Tesla u / jew Edison kienu rrifjutaw il-premju")</f>
        <v>Tesla u / jew Edison kienu rrifjutaw il-premju</v>
      </c>
    </row>
    <row r="8298" ht="15.75" customHeight="1">
      <c r="A8298" s="2" t="s">
        <v>8298</v>
      </c>
      <c r="B8298" s="2" t="str">
        <f>IFERROR(__xludf.DUMMYFUNCTION("GOOGLETRANSLATE(A8298, ""en"", ""mt"")"),"Papat")</f>
        <v>Papat</v>
      </c>
    </row>
    <row r="8299" ht="15.75" customHeight="1">
      <c r="A8299" s="2" t="s">
        <v>8299</v>
      </c>
      <c r="B8299" s="2" t="str">
        <f>IFERROR(__xludf.DUMMYFUNCTION("GOOGLETRANSLATE(A8299, ""en"", ""mt"")"),"Bliet Żvizzeri")</f>
        <v>Bliet Żvizzeri</v>
      </c>
    </row>
    <row r="8300" ht="15.75" customHeight="1">
      <c r="A8300" s="2" t="s">
        <v>8300</v>
      </c>
      <c r="B8300" s="2" t="str">
        <f>IFERROR(__xludf.DUMMYFUNCTION("GOOGLETRANSLATE(A8300, ""en"", ""mt"")"),"Hermaphrodites")</f>
        <v>Hermaphrodites</v>
      </c>
    </row>
    <row r="8301" ht="15.75" customHeight="1">
      <c r="A8301" s="2" t="s">
        <v>8301</v>
      </c>
      <c r="B8301" s="2" t="str">
        <f>IFERROR(__xludf.DUMMYFUNCTION("GOOGLETRANSLATE(A8301, ""en"", ""mt"")"),"Fejn tista 't-teoriji ta' Tesla dwar dak li kkawża l-ħsara fil-ġilda tinstab?")</f>
        <v>Fejn tista 't-teoriji ta' Tesla dwar dak li kkawża l-ħsara fil-ġilda tinstab?</v>
      </c>
    </row>
    <row r="8302" ht="15.75" customHeight="1">
      <c r="A8302" s="2" t="s">
        <v>8302</v>
      </c>
      <c r="B8302" s="2" t="str">
        <f>IFERROR(__xludf.DUMMYFUNCTION("GOOGLETRANSLATE(A8302, ""en"", ""mt"")"),"Kemm hemm megaregions fl-Istati Uniti?")</f>
        <v>Kemm hemm megaregions fl-Istati Uniti?</v>
      </c>
    </row>
    <row r="8303" ht="15.75" customHeight="1">
      <c r="A8303" s="2" t="s">
        <v>8303</v>
      </c>
      <c r="B8303" s="2" t="str">
        <f>IFERROR(__xludf.DUMMYFUNCTION("GOOGLETRANSLATE(A8303, ""en"", ""mt"")"),"Boolean")</f>
        <v>Boolean</v>
      </c>
    </row>
    <row r="8304" ht="15.75" customHeight="1">
      <c r="A8304" s="2" t="s">
        <v>8304</v>
      </c>
      <c r="B8304" s="2" t="str">
        <f>IFERROR(__xludf.DUMMYFUNCTION("GOOGLETRANSLATE(A8304, ""en"", ""mt"")"),"Żona Amorfa tal-Ewropa Ċentrali")</f>
        <v>Żona Amorfa tal-Ewropa Ċentrali</v>
      </c>
    </row>
    <row r="8305" ht="15.75" customHeight="1">
      <c r="A8305" s="2" t="s">
        <v>8305</v>
      </c>
      <c r="B8305" s="2" t="str">
        <f>IFERROR(__xludf.DUMMYFUNCTION("GOOGLETRANSLATE(A8305, ""en"", ""mt"")"),"Meta xxandret l-ewwel darba l-KMJ-TV?")</f>
        <v>Meta xxandret l-ewwel darba l-KMJ-TV?</v>
      </c>
    </row>
    <row r="8306" ht="15.75" customHeight="1">
      <c r="A8306" s="2" t="s">
        <v>8306</v>
      </c>
      <c r="B8306" s="2" t="str">
        <f>IFERROR(__xludf.DUMMYFUNCTION("GOOGLETRANSLATE(A8306, ""en"", ""mt"")"),"Allen Shaw")</f>
        <v>Allen Shaw</v>
      </c>
    </row>
    <row r="8307" ht="15.75" customHeight="1">
      <c r="A8307" s="2" t="s">
        <v>8307</v>
      </c>
      <c r="B8307" s="2" t="str">
        <f>IFERROR(__xludf.DUMMYFUNCTION("GOOGLETRANSLATE(A8307, ""en"", ""mt"")"),"ordnat minn Isqof")</f>
        <v>ordnat minn Isqof</v>
      </c>
    </row>
    <row r="8308" ht="15.75" customHeight="1">
      <c r="A8308" s="2" t="s">
        <v>8308</v>
      </c>
      <c r="B8308" s="2" t="str">
        <f>IFERROR(__xludf.DUMMYFUNCTION("GOOGLETRANSLATE(A8308, ""en"", ""mt"")"),"għall-bqija tal-ħajja ta 'Tesla")</f>
        <v>għall-bqija tal-ħajja ta 'Tesla</v>
      </c>
    </row>
    <row r="8309" ht="15.75" customHeight="1">
      <c r="A8309" s="2" t="s">
        <v>8309</v>
      </c>
      <c r="B8309" s="2" t="str">
        <f>IFERROR(__xludf.DUMMYFUNCTION("GOOGLETRANSLATE(A8309, ""en"", ""mt"")"),"Ir-riżorsi huma limitati mit-teoremi tal-ġerarkija biex jipproduċu xiex?")</f>
        <v>Ir-riżorsi huma limitati mit-teoremi tal-ġerarkija biex jipproduċu xiex?</v>
      </c>
    </row>
    <row r="8310" ht="15.75" customHeight="1">
      <c r="A8310" s="2" t="s">
        <v>8310</v>
      </c>
      <c r="B8310" s="2" t="str">
        <f>IFERROR(__xludf.DUMMYFUNCTION("GOOGLETRANSLATE(A8310, ""en"", ""mt"")"),"X'inhuma t-tliet tradizzjonijiet ewlenin preżenti fil-Kristjaneżmu?")</f>
        <v>X'inhuma t-tliet tradizzjonijiet ewlenin preżenti fil-Kristjaneżmu?</v>
      </c>
    </row>
    <row r="8311" ht="15.75" customHeight="1">
      <c r="A8311" s="2" t="s">
        <v>8311</v>
      </c>
      <c r="B8311" s="2" t="str">
        <f>IFERROR(__xludf.DUMMYFUNCTION("GOOGLETRANSLATE(A8311, ""en"", ""mt"")"),"Logħba importanti għalina bħala kampjonat")</f>
        <v>Logħba importanti għalina bħala kampjonat</v>
      </c>
    </row>
    <row r="8312" ht="15.75" customHeight="1">
      <c r="A8312" s="2" t="s">
        <v>8312</v>
      </c>
      <c r="B8312" s="2" t="str">
        <f>IFERROR(__xludf.DUMMYFUNCTION("GOOGLETRANSLATE(A8312, ""en"", ""mt"")"),"Min kien inkarigat mill-Armata Papali fil-Gwerra ta 'Barbastro?")</f>
        <v>Min kien inkarigat mill-Armata Papali fil-Gwerra ta 'Barbastro?</v>
      </c>
    </row>
    <row r="8313" ht="15.75" customHeight="1">
      <c r="A8313" s="2" t="s">
        <v>8313</v>
      </c>
      <c r="B8313" s="2" t="str">
        <f>IFERROR(__xludf.DUMMYFUNCTION("GOOGLETRANSLATE(A8313, ""en"", ""mt"")"),"L-aħħar priedka tiegħu twasslet f'Eisleben, il-post tat-twelid tiegħu, fil-15 ta 'Frar 1546, tlett ijiem qabel il-mewt tiegħu. Kien ""iddedikat għal kollox għall-Lhud obdurate, li kienet kwistjoni ta 'urġenza kbira li tkeċċi mit-territorju Ġermaniż kollu,"&amp;""" skond Léon Poliakov. James MacKinnon jikteb li kkonkluda b '""taħrika ħerqana biex issuq il-borża tal-Lhud u l-bagalji minn nofshom, sakemm ma jintilfux mill-kalumnija tagħhom u mill-użura tagħhom u saru Kristjani."" Luther qal, ""Aħna rridu nipprattik"&amp;"aw l-imħabba Nisranija lejhom u nitolbu li dawn jikkonvertu,"" imma wkoll li huma ""l-għedewwa pubbliċi tagħna ... u jekk setgħu joqtlu lilna lkoll, huma bil-ferħ jagħmlu hekk. U hekk ħafna drabi jagħmlu hekk . """)</f>
        <v>L-aħħar priedka tiegħu twasslet f'Eisleben, il-post tat-twelid tiegħu, fil-15 ta 'Frar 1546, tlett ijiem qabel il-mewt tiegħu. Kien "iddedikat għal kollox għall-Lhud obdurate, li kienet kwistjoni ta 'urġenza kbira li tkeċċi mit-territorju Ġermaniż kollu," skond Léon Poliakov. James MacKinnon jikteb li kkonkluda b '"taħrika ħerqana biex issuq il-borża tal-Lhud u l-bagalji minn nofshom, sakemm ma jintilfux mill-kalumnija tagħhom u mill-użura tagħhom u saru Kristjani." Luther qal, "Aħna rridu nipprattikaw l-imħabba Nisranija lejhom u nitolbu li dawn jikkonvertu," imma wkoll li huma "l-għedewwa pubbliċi tagħna ... u jekk setgħu joqtlu lilna lkoll, huma bil-ferħ jagħmlu hekk. U hekk ħafna drabi jagħmlu hekk . "</v>
      </c>
    </row>
    <row r="8314" ht="15.75" customHeight="1">
      <c r="A8314" s="2" t="s">
        <v>8314</v>
      </c>
      <c r="B8314" s="2" t="str">
        <f>IFERROR(__xludf.DUMMYFUNCTION("GOOGLETRANSLATE(A8314, ""en"", ""mt"")"),"Minn min kien il-moviment li Eliot segwa?")</f>
        <v>Minn min kien il-moviment li Eliot segwa?</v>
      </c>
    </row>
    <row r="8315" ht="15.75" customHeight="1">
      <c r="A8315" s="2" t="s">
        <v>8315</v>
      </c>
      <c r="B8315" s="2" t="str">
        <f>IFERROR(__xludf.DUMMYFUNCTION("GOOGLETRANSLATE(A8315, ""en"", ""mt"")"),"territorju mhux magħruf jew mhux esplorat")</f>
        <v>territorju mhux magħruf jew mhux esplorat</v>
      </c>
    </row>
    <row r="8316" ht="15.75" customHeight="1">
      <c r="A8316" s="2" t="s">
        <v>8316</v>
      </c>
      <c r="B8316" s="2" t="str">
        <f>IFERROR(__xludf.DUMMYFUNCTION("GOOGLETRANSLATE(A8316, ""en"", ""mt"")"),"100% ossiġnu")</f>
        <v>100% ossiġnu</v>
      </c>
    </row>
    <row r="8317" ht="15.75" customHeight="1">
      <c r="A8317" s="2" t="s">
        <v>8317</v>
      </c>
      <c r="B8317" s="2" t="str">
        <f>IFERROR(__xludf.DUMMYFUNCTION("GOOGLETRANSLATE(A8317, ""en"", ""mt"")"),"Gian Lorenzo Bernini")</f>
        <v>Gian Lorenzo Bernini</v>
      </c>
    </row>
    <row r="8318" ht="15.75" customHeight="1">
      <c r="A8318" s="2" t="s">
        <v>8318</v>
      </c>
      <c r="B8318" s="2" t="str">
        <f>IFERROR(__xludf.DUMMYFUNCTION("GOOGLETRANSLATE(A8318, ""en"", ""mt"")"),"Fil-livell A, liema persentaġġ ta 'studenti Ingliżi jattendu skejjel li jħallsu l-miżati?")</f>
        <v>Fil-livell A, liema persentaġġ ta 'studenti Ingliżi jattendu skejjel li jħallsu l-miżati?</v>
      </c>
    </row>
    <row r="8319" ht="15.75" customHeight="1">
      <c r="A8319" s="2" t="s">
        <v>8319</v>
      </c>
      <c r="B8319" s="2" t="str">
        <f>IFERROR(__xludf.DUMMYFUNCTION("GOOGLETRANSLATE(A8319, ""en"", ""mt"")"),"tliet darbiet")</f>
        <v>tliet darbiet</v>
      </c>
    </row>
    <row r="8320" ht="15.75" customHeight="1">
      <c r="A8320" s="2" t="s">
        <v>8320</v>
      </c>
      <c r="B8320" s="2" t="str">
        <f>IFERROR(__xludf.DUMMYFUNCTION("GOOGLETRANSLATE(A8320, ""en"", ""mt"")"),"qed jiġu abbozzati")</f>
        <v>qed jiġu abbozzati</v>
      </c>
    </row>
    <row r="8321" ht="15.75" customHeight="1">
      <c r="A8321" s="2" t="s">
        <v>8321</v>
      </c>
      <c r="B8321" s="2" t="str">
        <f>IFERROR(__xludf.DUMMYFUNCTION("GOOGLETRANSLATE(A8321, ""en"", ""mt"")"),"Kemm timijiet li Manning rebħu s-Super Bowl?")</f>
        <v>Kemm timijiet li Manning rebħu s-Super Bowl?</v>
      </c>
    </row>
    <row r="8322" ht="15.75" customHeight="1">
      <c r="A8322" s="2" t="s">
        <v>8322</v>
      </c>
      <c r="B8322" s="2" t="str">
        <f>IFERROR(__xludf.DUMMYFUNCTION("GOOGLETRANSLATE(A8322, ""en"", ""mt"")"),"Min fetaħ uffiċjalment il-V &amp; A?")</f>
        <v>Min fetaħ uffiċjalment il-V &amp; A?</v>
      </c>
    </row>
    <row r="8323" ht="15.75" customHeight="1">
      <c r="A8323" s="2" t="s">
        <v>8323</v>
      </c>
      <c r="B8323" s="2" t="str">
        <f>IFERROR(__xludf.DUMMYFUNCTION("GOOGLETRANSLATE(A8323, ""en"", ""mt"")"),"$ 5 miljun għal 30 sekonda")</f>
        <v>$ 5 miljun għal 30 sekonda</v>
      </c>
    </row>
    <row r="8324" ht="15.75" customHeight="1">
      <c r="A8324" s="2" t="s">
        <v>8324</v>
      </c>
      <c r="B8324" s="2" t="str">
        <f>IFERROR(__xludf.DUMMYFUNCTION("GOOGLETRANSLATE(A8324, ""en"", ""mt"")"),"Fit-13 ta 'Ġunju 1525, il-koppja kienet ingaġġata ma' Johannes Bugenhagen, Justus Jonas, Johannes Apel, Philipp Melanchthon u Lucas Cranach lill-anzjani u lil martu bħala xhieda. Fil-għaxija tal-istess jum, il-koppja kienet miżżewġa minn Bugenhagen. Il-mi"&amp;"xja ċerimonjali lejn il-knisja u l-banquet tat-tieġ tħallew barra, u kienu magħmula ġimagħtejn wara fis-27 ta 'Ġunju.")</f>
        <v>Fit-13 ta 'Ġunju 1525, il-koppja kienet ingaġġata ma' Johannes Bugenhagen, Justus Jonas, Johannes Apel, Philipp Melanchthon u Lucas Cranach lill-anzjani u lil martu bħala xhieda. Fil-għaxija tal-istess jum, il-koppja kienet miżżewġa minn Bugenhagen. Il-mixja ċerimonjali lejn il-knisja u l-banquet tat-tieġ tħallew barra, u kienu magħmula ġimagħtejn wara fis-27 ta 'Ġunju.</v>
      </c>
    </row>
    <row r="8325" ht="15.75" customHeight="1">
      <c r="A8325" s="2" t="s">
        <v>8325</v>
      </c>
      <c r="B8325" s="2" t="str">
        <f>IFERROR(__xludf.DUMMYFUNCTION("GOOGLETRANSLATE(A8325, ""en"", ""mt"")"),"Fl-2018")</f>
        <v>Fl-2018</v>
      </c>
    </row>
    <row r="8326" ht="15.75" customHeight="1">
      <c r="A8326" s="2" t="s">
        <v>8326</v>
      </c>
      <c r="B8326" s="2" t="str">
        <f>IFERROR(__xludf.DUMMYFUNCTION("GOOGLETRANSLATE(A8326, ""en"", ""mt"")"),"Il-kolonizzaturi Ingliżi qabżu l-20 sa 1 Franċiżi b'popolazzjoni ta 'madwar 1.5 miljun varjaw tul il-kosta tal-Lvant tal-kontinent, minn Nova Scotia u Newfoundland fit-tramuntana, lejn il-Ġeorġja fin-nofsinhar. Ħafna mill-kolonji anzjani kellhom talbiet f"&amp;"uq l-art li estendew b'mod arbitrarju 'l bogħod lejn il-punent, peress li l-firxa tal-kontinent ma kinitx magħrufa fiż-żmien li ngħataw il-karti provinċjali tagħhom. Filwaqt li ċ-ċentri tal-popolazzjoni tagħhom kienu tul il-kosta, l-insedjamenti kienu qed"&amp;" jikbru fl-intern. In-Nova Scotia, li kienet inqabdet minn Franza fl-1713, xorta kellha popolazzjoni sinifikanti li titkellem bil-Franċiż. Il-Gran Brittanja ddikjarat ukoll l-art ta ’Rupert, fejn il-Kumpanija tal-Bajja ta’ Hudson innegozjat għall-pil ma ’"&amp;"tribujiet lokali.")</f>
        <v>Il-kolonizzaturi Ingliżi qabżu l-20 sa 1 Franċiżi b'popolazzjoni ta 'madwar 1.5 miljun varjaw tul il-kosta tal-Lvant tal-kontinent, minn Nova Scotia u Newfoundland fit-tramuntana, lejn il-Ġeorġja fin-nofsinhar. Ħafna mill-kolonji anzjani kellhom talbiet fuq l-art li estendew b'mod arbitrarju 'l bogħod lejn il-punent, peress li l-firxa tal-kontinent ma kinitx magħrufa fiż-żmien li ngħataw il-karti provinċjali tagħhom. Filwaqt li ċ-ċentri tal-popolazzjoni tagħhom kienu tul il-kosta, l-insedjamenti kienu qed jikbru fl-intern. In-Nova Scotia, li kienet inqabdet minn Franza fl-1713, xorta kellha popolazzjoni sinifikanti li titkellem bil-Franċiż. Il-Gran Brittanja ddikjarat ukoll l-art ta ’Rupert, fejn il-Kumpanija tal-Bajja ta’ Hudson innegozjat għall-pil ma ’tribujiet lokali.</v>
      </c>
    </row>
    <row r="8327" ht="15.75" customHeight="1">
      <c r="A8327" s="2" t="s">
        <v>8327</v>
      </c>
      <c r="B8327" s="2" t="str">
        <f>IFERROR(__xludf.DUMMYFUNCTION("GOOGLETRANSLATE(A8327, ""en"", ""mt"")"),"Interventi organizzattivi")</f>
        <v>Interventi organizzattivi</v>
      </c>
    </row>
    <row r="8328" ht="15.75" customHeight="1">
      <c r="A8328" s="2" t="s">
        <v>8328</v>
      </c>
      <c r="B8328" s="2" t="str">
        <f>IFERROR(__xludf.DUMMYFUNCTION("GOOGLETRANSLATE(A8328, ""en"", ""mt"")"),"L-espansjoni tal-Istati Uniti lejn il-punent tista 'titqies bħala x'tip ta' kolonjaliżmu?")</f>
        <v>L-espansjoni tal-Istati Uniti lejn il-punent tista 'titqies bħala x'tip ta' kolonjaliżmu?</v>
      </c>
    </row>
    <row r="8329" ht="15.75" customHeight="1">
      <c r="A8329" s="2" t="s">
        <v>8329</v>
      </c>
      <c r="B8329" s="2" t="str">
        <f>IFERROR(__xludf.DUMMYFUNCTION("GOOGLETRANSLATE(A8329, ""en"", ""mt"")"),"90%")</f>
        <v>90%</v>
      </c>
    </row>
    <row r="8330" ht="15.75" customHeight="1">
      <c r="A8330" s="2" t="s">
        <v>8330</v>
      </c>
      <c r="B8330" s="2" t="str">
        <f>IFERROR(__xludf.DUMMYFUNCTION("GOOGLETRANSLATE(A8330, ""en"", ""mt"")"),"Ir-Rhodesia tat-Tramuntana")</f>
        <v>Ir-Rhodesia tat-Tramuntana</v>
      </c>
    </row>
    <row r="8331" ht="15.75" customHeight="1">
      <c r="A8331" s="2" t="s">
        <v>8331</v>
      </c>
      <c r="B8331" s="2" t="str">
        <f>IFERROR(__xludf.DUMMYFUNCTION("GOOGLETRANSLATE(A8331, ""en"", ""mt"")"),"diffikultà")</f>
        <v>diffikultà</v>
      </c>
    </row>
    <row r="8332" ht="15.75" customHeight="1">
      <c r="A8332" s="2" t="s">
        <v>8332</v>
      </c>
      <c r="B8332" s="2" t="str">
        <f>IFERROR(__xludf.DUMMYFUNCTION("GOOGLETRANSLATE(A8332, ""en"", ""mt"")"),"mod kif ikomplu l-protesta tagħhom")</f>
        <v>mod kif ikomplu l-protesta tagħhom</v>
      </c>
    </row>
    <row r="8333" ht="15.75" customHeight="1">
      <c r="A8333" s="2" t="s">
        <v>8333</v>
      </c>
      <c r="B8333" s="2" t="str">
        <f>IFERROR(__xludf.DUMMYFUNCTION("GOOGLETRANSLATE(A8333, ""en"", ""mt"")"),"L-art tal-mużajk fil-gallerija tal-iskultura")</f>
        <v>L-art tal-mużajk fil-gallerija tal-iskultura</v>
      </c>
    </row>
    <row r="8334" ht="15.75" customHeight="1">
      <c r="A8334" s="2" t="s">
        <v>8334</v>
      </c>
      <c r="B8334" s="2" t="str">
        <f>IFERROR(__xludf.DUMMYFUNCTION("GOOGLETRANSLATE(A8334, ""en"", ""mt"")"),"1976–77")</f>
        <v>1976–77</v>
      </c>
    </row>
    <row r="8335" ht="15.75" customHeight="1">
      <c r="A8335" s="2" t="s">
        <v>8335</v>
      </c>
      <c r="B8335" s="2" t="str">
        <f>IFERROR(__xludf.DUMMYFUNCTION("GOOGLETRANSLATE(A8335, ""en"", ""mt"")"),"X’beda Luther fl-1536?")</f>
        <v>X’beda Luther fl-1536?</v>
      </c>
    </row>
    <row r="8336" ht="15.75" customHeight="1">
      <c r="A8336" s="2" t="s">
        <v>8336</v>
      </c>
      <c r="B8336" s="2" t="str">
        <f>IFERROR(__xludf.DUMMYFUNCTION("GOOGLETRANSLATE(A8336, ""en"", ""mt"")"),"Programm ta 'Applikazzjonijiet Apollo")</f>
        <v>Programm ta 'Applikazzjonijiet Apollo</v>
      </c>
    </row>
    <row r="8337" ht="15.75" customHeight="1">
      <c r="A8337" s="2" t="s">
        <v>8337</v>
      </c>
      <c r="B8337" s="2" t="str">
        <f>IFERROR(__xludf.DUMMYFUNCTION("GOOGLETRANSLATE(A8337, ""en"", ""mt"")"),"Studenti")</f>
        <v>Studenti</v>
      </c>
    </row>
    <row r="8338" ht="15.75" customHeight="1">
      <c r="A8338" s="2" t="s">
        <v>8338</v>
      </c>
      <c r="B8338" s="2" t="str">
        <f>IFERROR(__xludf.DUMMYFUNCTION("GOOGLETRANSLATE(A8338, ""en"", ""mt"")"),"Kemm jekk l-organella twettaq l-aħħar sieq tal-passaġġ jew jekk jiġri fiċ-ċitosol")</f>
        <v>Kemm jekk l-organella twettaq l-aħħar sieq tal-passaġġ jew jekk jiġri fiċ-ċitosol</v>
      </c>
    </row>
    <row r="8339" ht="15.75" customHeight="1">
      <c r="A8339" s="2" t="s">
        <v>8339</v>
      </c>
      <c r="B8339" s="2" t="str">
        <f>IFERROR(__xludf.DUMMYFUNCTION("GOOGLETRANSLATE(A8339, ""en"", ""mt"")"),"Fuq xiex inżamm ir-riżultat tal-maġġoranza tal-SNP?")</f>
        <v>Fuq xiex inżamm ir-riżultat tal-maġġoranza tal-SNP?</v>
      </c>
    </row>
    <row r="8340" ht="15.75" customHeight="1">
      <c r="A8340" s="2" t="s">
        <v>8340</v>
      </c>
      <c r="B8340" s="2" t="str">
        <f>IFERROR(__xludf.DUMMYFUNCTION("GOOGLETRANSLATE(A8340, ""en"", ""mt"")"),"Rhine għolja")</f>
        <v>Rhine għolja</v>
      </c>
    </row>
    <row r="8341" ht="15.75" customHeight="1">
      <c r="A8341" s="2" t="s">
        <v>8341</v>
      </c>
      <c r="B8341" s="2" t="str">
        <f>IFERROR(__xludf.DUMMYFUNCTION("GOOGLETRANSLATE(A8341, ""en"", ""mt"")"),"X'tipprovdi r-Ruhr lill-komunità tagħha?")</f>
        <v>X'tipprovdi r-Ruhr lill-komunità tagħha?</v>
      </c>
    </row>
    <row r="8342" ht="15.75" customHeight="1">
      <c r="A8342" s="2" t="s">
        <v>8342</v>
      </c>
      <c r="B8342" s="2" t="str">
        <f>IFERROR(__xludf.DUMMYFUNCTION("GOOGLETRANSLATE(A8342, ""en"", ""mt"")"),"Meta l-università bdiet ikollha programm ta 'grad ta' baċellerat fl-Istudji tat-Teatru u l-Prestazzjoni?")</f>
        <v>Meta l-università bdiet ikollha programm ta 'grad ta' baċellerat fl-Istudji tat-Teatru u l-Prestazzjoni?</v>
      </c>
    </row>
    <row r="8343" ht="15.75" customHeight="1">
      <c r="A8343" s="2" t="s">
        <v>8343</v>
      </c>
      <c r="B8343" s="2" t="str">
        <f>IFERROR(__xludf.DUMMYFUNCTION("GOOGLETRANSLATE(A8343, ""en"", ""mt"")"),"AS-205")</f>
        <v>AS-205</v>
      </c>
    </row>
    <row r="8344" ht="15.75" customHeight="1">
      <c r="A8344" s="2" t="s">
        <v>8344</v>
      </c>
      <c r="B8344" s="2" t="str">
        <f>IFERROR(__xludf.DUMMYFUNCTION("GOOGLETRANSLATE(A8344, ""en"", ""mt"")"),"Min kellu l-iktar riċevimenti mill-plejers kollha għas-sena?")</f>
        <v>Min kellu l-iktar riċevimenti mill-plejers kollha għas-sena?</v>
      </c>
    </row>
    <row r="8345" ht="15.75" customHeight="1">
      <c r="A8345" s="2" t="s">
        <v>8345</v>
      </c>
      <c r="B8345" s="2" t="str">
        <f>IFERROR(__xludf.DUMMYFUNCTION("GOOGLETRANSLATE(A8345, ""en"", ""mt"")"),"diffikultà perċepita ta 'l-intonazzjoni tagħha")</f>
        <v>diffikultà perċepita ta 'l-intonazzjoni tagħha</v>
      </c>
    </row>
    <row r="8346" ht="15.75" customHeight="1">
      <c r="A8346" s="2" t="s">
        <v>8346</v>
      </c>
      <c r="B8346" s="2" t="str">
        <f>IFERROR(__xludf.DUMMYFUNCTION("GOOGLETRANSLATE(A8346, ""en"", ""mt"")"),"wieqfa")</f>
        <v>wieqfa</v>
      </c>
    </row>
    <row r="8347" ht="15.75" customHeight="1">
      <c r="A8347" s="2" t="s">
        <v>8347</v>
      </c>
      <c r="B8347" s="2" t="str">
        <f>IFERROR(__xludf.DUMMYFUNCTION("GOOGLETRANSLATE(A8347, ""en"", ""mt"")"),"F'liema laqgħa Shirley stabbilixxa pjanijiet għall-1756?")</f>
        <v>F'liema laqgħa Shirley stabbilixxa pjanijiet għall-1756?</v>
      </c>
    </row>
    <row r="8348" ht="15.75" customHeight="1">
      <c r="A8348" s="2" t="s">
        <v>8348</v>
      </c>
      <c r="B8348" s="2" t="str">
        <f>IFERROR(__xludf.DUMMYFUNCTION("GOOGLETRANSLATE(A8348, ""en"", ""mt"")"),"Fejn skont il-prodott tal-istat gross il-Victoria tikklassifika fl-Awstralja?")</f>
        <v>Fejn skont il-prodott tal-istat gross il-Victoria tikklassifika fl-Awstralja?</v>
      </c>
    </row>
    <row r="8349" ht="15.75" customHeight="1">
      <c r="A8349" s="2" t="s">
        <v>8349</v>
      </c>
      <c r="B8349" s="2" t="str">
        <f>IFERROR(__xludf.DUMMYFUNCTION("GOOGLETRANSLATE(A8349, ""en"", ""mt"")"),"Nederrijn fil-Angeren")</f>
        <v>Nederrijn fil-Angeren</v>
      </c>
    </row>
    <row r="8350" ht="15.75" customHeight="1">
      <c r="A8350" s="2" t="s">
        <v>8350</v>
      </c>
      <c r="B8350" s="2" t="str">
        <f>IFERROR(__xludf.DUMMYFUNCTION("GOOGLETRANSLATE(A8350, ""en"", ""mt"")"),"Inġustament preġudikat")</f>
        <v>Inġustament preġudikat</v>
      </c>
    </row>
    <row r="8351" ht="15.75" customHeight="1">
      <c r="A8351" s="2" t="s">
        <v>8351</v>
      </c>
      <c r="B8351" s="2" t="str">
        <f>IFERROR(__xludf.DUMMYFUNCTION("GOOGLETRANSLATE(A8351, ""en"", ""mt"")"),"Artrite, u infezzjoni fil-widna kissru ċilindru tal-widna")</f>
        <v>Artrite, u infezzjoni fil-widna kissru ċilindru tal-widna</v>
      </c>
    </row>
    <row r="8352" ht="15.75" customHeight="1">
      <c r="A8352" s="2" t="s">
        <v>8352</v>
      </c>
      <c r="B8352" s="2" t="str">
        <f>IFERROR(__xludf.DUMMYFUNCTION("GOOGLETRANSLATE(A8352, ""en"", ""mt"")"),"konspirazzjoni")</f>
        <v>konspirazzjoni</v>
      </c>
    </row>
    <row r="8353" ht="15.75" customHeight="1">
      <c r="A8353" s="2" t="s">
        <v>8353</v>
      </c>
      <c r="B8353" s="2" t="str">
        <f>IFERROR(__xludf.DUMMYFUNCTION("GOOGLETRANSLATE(A8353, ""en"", ""mt"")"),"Kaxxa tal-Pulizija Blu")</f>
        <v>Kaxxa tal-Pulizija Blu</v>
      </c>
    </row>
    <row r="8354" ht="15.75" customHeight="1">
      <c r="A8354" s="2" t="s">
        <v>8354</v>
      </c>
      <c r="B8354" s="2" t="str">
        <f>IFERROR(__xludf.DUMMYFUNCTION("GOOGLETRANSLATE(A8354, ""en"", ""mt"")"),"Għal liema ferrovija Stephenson bena lokomottiva fl-1825?")</f>
        <v>Għal liema ferrovija Stephenson bena lokomottiva fl-1825?</v>
      </c>
    </row>
    <row r="8355" ht="15.75" customHeight="1">
      <c r="A8355" s="2" t="s">
        <v>8355</v>
      </c>
      <c r="B8355" s="2" t="str">
        <f>IFERROR(__xludf.DUMMYFUNCTION("GOOGLETRANSLATE(A8355, ""en"", ""mt"")"),"ONGGIRAT")</f>
        <v>ONGGIRAT</v>
      </c>
    </row>
    <row r="8356" ht="15.75" customHeight="1">
      <c r="A8356" s="2" t="s">
        <v>8356</v>
      </c>
      <c r="B8356" s="2" t="str">
        <f>IFERROR(__xludf.DUMMYFUNCTION("GOOGLETRANSLATE(A8356, ""en"", ""mt"")"),"Fl-1983, ABC biegħ KXYZ lill-Infinity Broadcasting Corporation. Fl-4 ta 'Jannar, 1984, in-New York Times irrappurtat li ABC, permezz tas-sussidjarja tagħha ABC Video Enterprises, kienet eżerċitat l-għażla tagħha li tixtri sa 15% (jew bejn $ 25 miljun u $ "&amp;"30 miljun) tal-ishma ta' Getty Oil fl-ESPN, li tippermetti Huwa li jespandi l-ishma tiegħu f'data aktar tard. F'Ġunju tal-1984, il-kumitat eżekuttiv ta 'ABC approva l-akkwist ta' interess tal-kumpanija f'ESPN, u ABC irranġa ma 'Getty Oil biex jikseb sehem"&amp;" ta' 80% fil-kanal, filwaqt li biegħ l-20% li fadal lil Nabisco. Dik is-sena, ABC u Hearst laħqu ftehim ma 'RCA biex tgħaqqad l-arti u s-servizz tal-arti li jikkompetu, il-kanal ta' divertiment, f'kanal tal-kejbil wieħed imsejjaħ Arts &amp; Entertainment Tele"&amp;"vision (A&amp;E); Il-kanal il-ġdid sussegwentement kera transponder bis-satellita separat, u temm il-ftehim ta 'qsim tiegħu ma' Nickelodeon biex isir servizz ta '24 siegħa. Sadanittant, ABC irtira min-negozju tal-park tematiku għall-ġid meta biegħ il-park tat"&amp;"-tema Silver Springs Nature.")</f>
        <v>Fl-1983, ABC biegħ KXYZ lill-Infinity Broadcasting Corporation. Fl-4 ta 'Jannar, 1984, in-New York Times irrappurtat li ABC, permezz tas-sussidjarja tagħha ABC Video Enterprises, kienet eżerċitat l-għażla tagħha li tixtri sa 15% (jew bejn $ 25 miljun u $ 30 miljun) tal-ishma ta' Getty Oil fl-ESPN, li tippermetti Huwa li jespandi l-ishma tiegħu f'data aktar tard. F'Ġunju tal-1984, il-kumitat eżekuttiv ta 'ABC approva l-akkwist ta' interess tal-kumpanija f'ESPN, u ABC irranġa ma 'Getty Oil biex jikseb sehem ta' 80% fil-kanal, filwaqt li biegħ l-20% li fadal lil Nabisco. Dik is-sena, ABC u Hearst laħqu ftehim ma 'RCA biex tgħaqqad l-arti u s-servizz tal-arti li jikkompetu, il-kanal ta' divertiment, f'kanal tal-kejbil wieħed imsejjaħ Arts &amp; Entertainment Television (A&amp;E); Il-kanal il-ġdid sussegwentement kera transponder bis-satellita separat, u temm il-ftehim ta 'qsim tiegħu ma' Nickelodeon biex isir servizz ta '24 siegħa. Sadanittant, ABC irtira min-negozju tal-park tematiku għall-ġid meta biegħ il-park tat-tema Silver Springs Nature.</v>
      </c>
    </row>
    <row r="8357" ht="15.75" customHeight="1">
      <c r="A8357" s="2" t="s">
        <v>8357</v>
      </c>
      <c r="B8357" s="2" t="str">
        <f>IFERROR(__xludf.DUMMYFUNCTION("GOOGLETRANSLATE(A8357, ""en"", ""mt"")"),"L-Ewropa tat-Tramuntana u n-Nofs l-Atlantiku")</f>
        <v>L-Ewropa tat-Tramuntana u n-Nofs l-Atlantiku</v>
      </c>
    </row>
    <row r="8358" ht="15.75" customHeight="1">
      <c r="A8358" s="2" t="s">
        <v>8358</v>
      </c>
      <c r="B8358" s="2" t="str">
        <f>IFERROR(__xludf.DUMMYFUNCTION("GOOGLETRANSLATE(A8358, ""en"", ""mt"")"),"William is-siekta")</f>
        <v>William is-siekta</v>
      </c>
    </row>
    <row r="8359" ht="15.75" customHeight="1">
      <c r="A8359" s="2" t="s">
        <v>8359</v>
      </c>
      <c r="B8359" s="2" t="str">
        <f>IFERROR(__xludf.DUMMYFUNCTION("GOOGLETRANSLATE(A8359, ""en"", ""mt"")"),"Liema president elimina l-pożizzjoni Nisranija fil-kurrikulu?")</f>
        <v>Liema president elimina l-pożizzjoni Nisranija fil-kurrikulu?</v>
      </c>
    </row>
    <row r="8360" ht="15.75" customHeight="1">
      <c r="A8360" s="2" t="s">
        <v>8360</v>
      </c>
      <c r="B8360" s="2" t="str">
        <f>IFERROR(__xludf.DUMMYFUNCTION("GOOGLETRANSLATE(A8360, ""en"", ""mt"")"),"Eluf ta ’madrasahs nbidlu liema organizzazzjoni?")</f>
        <v>Eluf ta ’madrasahs nbidlu liema organizzazzjoni?</v>
      </c>
    </row>
    <row r="8361" ht="15.75" customHeight="1">
      <c r="A8361" s="2" t="s">
        <v>8361</v>
      </c>
      <c r="B8361" s="2" t="str">
        <f>IFERROR(__xludf.DUMMYFUNCTION("GOOGLETRANSLATE(A8361, ""en"", ""mt"")"),"Matul kemm studji wrew li l-vjolenza hija iktar komuni f'soċjetajiet b'differenzi ta 'dħul?")</f>
        <v>Matul kemm studji wrew li l-vjolenza hija iktar komuni f'soċjetajiet b'differenzi ta 'dħul?</v>
      </c>
    </row>
    <row r="8362" ht="15.75" customHeight="1">
      <c r="A8362" s="2" t="s">
        <v>8362</v>
      </c>
      <c r="B8362" s="2" t="str">
        <f>IFERROR(__xludf.DUMMYFUNCTION("GOOGLETRANSLATE(A8362, ""en"", ""mt"")"),"Tmien snin fl-iskola primarja u erba 'snin fl-iskola għolja jew skola sekondarja.")</f>
        <v>Tmien snin fl-iskola primarja u erba 'snin fl-iskola għolja jew skola sekondarja.</v>
      </c>
    </row>
    <row r="8363" ht="15.75" customHeight="1">
      <c r="A8363" s="2" t="s">
        <v>8363</v>
      </c>
      <c r="B8363" s="2" t="str">
        <f>IFERROR(__xludf.DUMMYFUNCTION("GOOGLETRANSLATE(A8363, ""en"", ""mt"")"),"Fl-iktar sens bażiku x’tagħmel magna tat-Turing?")</f>
        <v>Fl-iktar sens bażiku x’tagħmel magna tat-Turing?</v>
      </c>
    </row>
    <row r="8364" ht="15.75" customHeight="1">
      <c r="A8364" s="2" t="s">
        <v>8364</v>
      </c>
      <c r="B8364" s="2" t="str">
        <f>IFERROR(__xludf.DUMMYFUNCTION("GOOGLETRANSLATE(A8364, ""en"", ""mt"")"),"L-ewwel premiere ABC meta jrid ikun miljunarju?")</f>
        <v>L-ewwel premiere ABC meta jrid ikun miljunarju?</v>
      </c>
    </row>
    <row r="8365" ht="15.75" customHeight="1">
      <c r="A8365" s="2" t="s">
        <v>8365</v>
      </c>
      <c r="B8365" s="2" t="str">
        <f>IFERROR(__xludf.DUMMYFUNCTION("GOOGLETRANSLATE(A8365, ""en"", ""mt"")"),"ABC meta bdiet tagħmel serje orjentata lejn il-familja?")</f>
        <v>ABC meta bdiet tagħmel serje orjentata lejn il-familja?</v>
      </c>
    </row>
    <row r="8366" ht="15.75" customHeight="1">
      <c r="A8366" s="2" t="s">
        <v>8366</v>
      </c>
      <c r="B8366" s="2" t="str">
        <f>IFERROR(__xludf.DUMMYFUNCTION("GOOGLETRANSLATE(A8366, ""en"", ""mt"")"),"It-tim tad-disinn huwa l-aktar użat minn min?")</f>
        <v>It-tim tad-disinn huwa l-aktar użat minn min?</v>
      </c>
    </row>
    <row r="8367" ht="15.75" customHeight="1">
      <c r="A8367" s="2" t="s">
        <v>8367</v>
      </c>
      <c r="B8367" s="2" t="str">
        <f>IFERROR(__xludf.DUMMYFUNCTION("GOOGLETRANSLATE(A8367, ""en"", ""mt"")"),"Għaliex il-qgħad jagħmel ħsara lit-tkabbir?")</f>
        <v>Għaliex il-qgħad jagħmel ħsara lit-tkabbir?</v>
      </c>
    </row>
    <row r="8368" ht="15.75" customHeight="1">
      <c r="A8368" s="2" t="s">
        <v>8368</v>
      </c>
      <c r="B8368" s="2" t="str">
        <f>IFERROR(__xludf.DUMMYFUNCTION("GOOGLETRANSLATE(A8368, ""en"", ""mt"")"),"1920")</f>
        <v>1920</v>
      </c>
    </row>
    <row r="8369" ht="15.75" customHeight="1">
      <c r="A8369" s="2" t="s">
        <v>8369</v>
      </c>
      <c r="B8369" s="2" t="str">
        <f>IFERROR(__xludf.DUMMYFUNCTION("GOOGLETRANSLATE(A8369, ""en"", ""mt"")"),"Għaliex xi kultant qed jagħti diskors sfidanti għall-individwu?")</f>
        <v>Għaliex xi kultant qed jagħti diskors sfidanti għall-individwu?</v>
      </c>
    </row>
    <row r="8370" ht="15.75" customHeight="1">
      <c r="A8370" s="2" t="s">
        <v>8370</v>
      </c>
      <c r="B8370" s="2" t="str">
        <f>IFERROR(__xludf.DUMMYFUNCTION("GOOGLETRANSLATE(A8370, ""en"", ""mt"")"),"Kemm blalen Josh Norman interċettaw?")</f>
        <v>Kemm blalen Josh Norman interċettaw?</v>
      </c>
    </row>
    <row r="8371" ht="15.75" customHeight="1">
      <c r="A8371" s="2" t="s">
        <v>8371</v>
      </c>
      <c r="B8371" s="2" t="str">
        <f>IFERROR(__xludf.DUMMYFUNCTION("GOOGLETRANSLATE(A8371, ""en"", ""mt"")"),"Ċentru Moscone")</f>
        <v>Ċentru Moscone</v>
      </c>
    </row>
    <row r="8372" ht="15.75" customHeight="1">
      <c r="A8372" s="2" t="s">
        <v>8372</v>
      </c>
      <c r="B8372" s="2" t="str">
        <f>IFERROR(__xludf.DUMMYFUNCTION("GOOGLETRANSLATE(A8372, ""en"", ""mt"")"),"Teorija waħda tissuġġerixxi li l-isem joħroġ minn verżjoni palatalizzata tal-kelma Mongoljana u Turkika Tenggis, li tfisser ""oċean"", ""oċeaniku"" jew ""mifrux wiesa '"". (Il-Lag Baikal u l-Oċean kienu jissejħu Tenggis mill-Mongoli. Madankollu, jidher li"&amp;" kieku kienu jfissru li jsejħu lil Genghis Tenggis huma setgħu qalu, u kitbu, ""Tenggis Khan"", li ma kinux.) Zhèng (Ċiniż: 正) Fis-sens ""dritt"", ""biss"", jew ""veru"", kien irċieva l-modifikatur tal-aġġettiv Mongoljan, li joħloq ""jenggis"", li fir-rum"&amp;"anizzazzjoni medjevali kienet tkun miktuba ""Genghis"". X'aktarx li l-pronunzja Mongoljana tas-seklu 13 tkun tqabbel mill-qrib ""Chinggis"".")</f>
        <v>Teorija waħda tissuġġerixxi li l-isem joħroġ minn verżjoni palatalizzata tal-kelma Mongoljana u Turkika Tenggis, li tfisser "oċean", "oċeaniku" jew "mifrux wiesa '". (Il-Lag Baikal u l-Oċean kienu jissejħu Tenggis mill-Mongoli. Madankollu, jidher li kieku kienu jfissru li jsejħu lil Genghis Tenggis huma setgħu qalu, u kitbu, "Tenggis Khan", li ma kinux.) Zhèng (Ċiniż: 正) Fis-sens "dritt", "biss", jew "veru", kien irċieva l-modifikatur tal-aġġettiv Mongoljan, li joħloq "jenggis", li fir-rumanizzazzjoni medjevali kienet tkun miktuba "Genghis". X'aktarx li l-pronunzja Mongoljana tas-seklu 13 tkun tqabbel mill-qrib "Chinggis".</v>
      </c>
    </row>
    <row r="8373" ht="15.75" customHeight="1">
      <c r="A8373" s="2" t="s">
        <v>8373</v>
      </c>
      <c r="B8373" s="2" t="str">
        <f>IFERROR(__xludf.DUMMYFUNCTION("GOOGLETRANSLATE(A8373, ""en"", ""mt"")"),"Liema titlu taw lil Johnson Iroquois?")</f>
        <v>Liema titlu taw lil Johnson Iroquois?</v>
      </c>
    </row>
    <row r="8374" ht="15.75" customHeight="1">
      <c r="A8374" s="2" t="s">
        <v>8374</v>
      </c>
      <c r="B8374" s="2" t="str">
        <f>IFERROR(__xludf.DUMMYFUNCTION("GOOGLETRANSLATE(A8374, ""en"", ""mt"")"),"Liema problema mhux prevista kkawżat lil Tesla biex tolqot l-esperiment tiegħu ma 'sledgehammer?")</f>
        <v>Liema problema mhux prevista kkawżat lil Tesla biex tolqot l-esperiment tiegħu ma 'sledgehammer?</v>
      </c>
    </row>
    <row r="8375" ht="15.75" customHeight="1">
      <c r="A8375" s="2" t="s">
        <v>8375</v>
      </c>
      <c r="B8375" s="2" t="str">
        <f>IFERROR(__xludf.DUMMYFUNCTION("GOOGLETRANSLATE(A8375, ""en"", ""mt"")"),"Din it-tip ta 'sistema hija magħrufa bħala")</f>
        <v>Din it-tip ta 'sistema hija magħrufa bħala</v>
      </c>
    </row>
    <row r="8376" ht="15.75" customHeight="1">
      <c r="A8376" s="2" t="s">
        <v>8376</v>
      </c>
      <c r="B8376" s="2" t="str">
        <f>IFERROR(__xludf.DUMMYFUNCTION("GOOGLETRANSLATE(A8376, ""en"", ""mt"")"),"X'tip ta 'oġġett huwa l-aktar probabbli li juri fis-sistema tal-kompjuter V &amp; A?")</f>
        <v>X'tip ta 'oġġett huwa l-aktar probabbli li juri fis-sistema tal-kompjuter V &amp; A?</v>
      </c>
    </row>
    <row r="8377" ht="15.75" customHeight="1">
      <c r="A8377" s="2" t="s">
        <v>8377</v>
      </c>
      <c r="B8377" s="2" t="str">
        <f>IFERROR(__xludf.DUMMYFUNCTION("GOOGLETRANSLATE(A8377, ""en"", ""mt"")"),"Għaliex ġie rtirat iż-żejt il-qadim mis-suq?")</f>
        <v>Għaliex ġie rtirat iż-żejt il-qadim mis-suq?</v>
      </c>
    </row>
    <row r="8378" ht="15.75" customHeight="1">
      <c r="A8378" s="2" t="s">
        <v>8378</v>
      </c>
      <c r="B8378" s="2" t="str">
        <f>IFERROR(__xludf.DUMMYFUNCTION("GOOGLETRANSLATE(A8378, ""en"", ""mt"")"),"Meta bdiet tiżdied l-inugwaljanza fid-dħul fl-Istati Uniti?")</f>
        <v>Meta bdiet tiżdied l-inugwaljanza fid-dħul fl-Istati Uniti?</v>
      </c>
    </row>
    <row r="8379" ht="15.75" customHeight="1">
      <c r="A8379" s="2" t="s">
        <v>8379</v>
      </c>
      <c r="B8379" s="2" t="str">
        <f>IFERROR(__xludf.DUMMYFUNCTION("GOOGLETRANSLATE(A8379, ""en"", ""mt"")"),"Liema artikoli jiddikjaraw li s-setgħat jibqgħu ma 'stati membri sakemm ma ġewx mogħtija?")</f>
        <v>Liema artikoli jiddikjaraw li s-setgħat jibqgħu ma 'stati membri sakemm ma ġewx mogħtija?</v>
      </c>
    </row>
    <row r="8380" ht="15.75" customHeight="1">
      <c r="A8380" s="2" t="s">
        <v>8380</v>
      </c>
      <c r="B8380" s="2" t="str">
        <f>IFERROR(__xludf.DUMMYFUNCTION("GOOGLETRANSLATE(A8380, ""en"", ""mt"")"),"WBND-LD")</f>
        <v>WBND-LD</v>
      </c>
    </row>
    <row r="8381" ht="15.75" customHeight="1">
      <c r="A8381" s="2" t="s">
        <v>8381</v>
      </c>
      <c r="B8381" s="2" t="str">
        <f>IFERROR(__xludf.DUMMYFUNCTION("GOOGLETRANSLATE(A8381, ""en"", ""mt"")"),"L-istazzjonijiet ewlenin ta 'kull stazzjon fis-swieq ta' kull tim se jġorru t-telefonati lokali play-by-play tagħhom. F'Denver, KOA (850 am) u KRFX (103.5 FM) se jġorru l-logħba, ma 'Dave Logan fuq play-by-play u Ed McCaffrey fuq kummentarju bil-kulur. F’"&amp;"Carolina tat-Tramuntana, WBT (1110 am) se jġorr il-logħba, ma ’Mick Mixon fuq Play-By-Play u Eugene Robinson u Jim Szoke fuq kummentarju tal-kulur. WBT se tissimula wkoll il-logħba fuq l-istazzjon oħtha WBT-FM (99.3 FM), li hija bbażata f'Chester, South C"&amp;"arolina. Peress li l-KOA u l-WBT huma t-tnejn stazzjonijiet tal-kanali ċari, ix-xandiriet lokali se jinstemgħu fuq ħafna mill-Istati Uniti tal-Punent wara nżul ix-xemx (għal Denver) u l-Istati Uniti tal-Lvant matul il-logħba (għal Carolina). Skond ir-rego"&amp;"li kuntrattwali, il-kumplament tal-istazzjonijiet fin-netwerks tar-radju Broncos u Panthers jew iġorru l-għalf ta 'Westwood One jew ma jġorrux il-logħba.")</f>
        <v>L-istazzjonijiet ewlenin ta 'kull stazzjon fis-swieq ta' kull tim se jġorru t-telefonati lokali play-by-play tagħhom. F'Denver, KOA (850 am) u KRFX (103.5 FM) se jġorru l-logħba, ma 'Dave Logan fuq play-by-play u Ed McCaffrey fuq kummentarju bil-kulur. F’Carolina tat-Tramuntana, WBT (1110 am) se jġorr il-logħba, ma ’Mick Mixon fuq Play-By-Play u Eugene Robinson u Jim Szoke fuq kummentarju tal-kulur. WBT se tissimula wkoll il-logħba fuq l-istazzjon oħtha WBT-FM (99.3 FM), li hija bbażata f'Chester, South Carolina. Peress li l-KOA u l-WBT huma t-tnejn stazzjonijiet tal-kanali ċari, ix-xandiriet lokali se jinstemgħu fuq ħafna mill-Istati Uniti tal-Punent wara nżul ix-xemx (għal Denver) u l-Istati Uniti tal-Lvant matul il-logħba (għal Carolina). Skond ir-regoli kuntrattwali, il-kumplament tal-istazzjonijiet fin-netwerks tar-radju Broncos u Panthers jew iġorru l-għalf ta 'Westwood One jew ma jġorrux il-logħba.</v>
      </c>
    </row>
    <row r="8382" ht="15.75" customHeight="1">
      <c r="A8382" s="2" t="s">
        <v>8382</v>
      </c>
      <c r="B8382" s="2" t="str">
        <f>IFERROR(__xludf.DUMMYFUNCTION("GOOGLETRANSLATE(A8382, ""en"", ""mt"")"),"il-protezzjoni tiegħu")</f>
        <v>il-protezzjoni tiegħu</v>
      </c>
    </row>
    <row r="8383" ht="15.75" customHeight="1">
      <c r="A8383" s="2" t="s">
        <v>8383</v>
      </c>
      <c r="B8383" s="2" t="str">
        <f>IFERROR(__xludf.DUMMYFUNCTION("GOOGLETRANSLATE(A8383, ""en"", ""mt"")"),"Drogi narkotiċi")</f>
        <v>Drogi narkotiċi</v>
      </c>
    </row>
    <row r="8384" ht="15.75" customHeight="1">
      <c r="A8384" s="2" t="s">
        <v>8384</v>
      </c>
      <c r="B8384" s="2" t="str">
        <f>IFERROR(__xludf.DUMMYFUNCTION("GOOGLETRANSLATE(A8384, ""en"", ""mt"")"),"Xi jfisser il-fluss tal-ilma tar-Rhine wara li joħroġ minn MerWede?")</f>
        <v>Xi jfisser il-fluss tal-ilma tar-Rhine wara li joħroġ minn MerWede?</v>
      </c>
    </row>
    <row r="8385" ht="15.75" customHeight="1">
      <c r="A8385" s="2" t="s">
        <v>8385</v>
      </c>
      <c r="B8385" s="2" t="str">
        <f>IFERROR(__xludf.DUMMYFUNCTION("GOOGLETRANSLATE(A8385, ""en"", ""mt"")"),"għafsa fi tnejn")</f>
        <v>għafsa fi tnejn</v>
      </c>
    </row>
    <row r="8386" ht="15.75" customHeight="1">
      <c r="A8386" s="2" t="s">
        <v>8386</v>
      </c>
      <c r="B8386" s="2" t="str">
        <f>IFERROR(__xludf.DUMMYFUNCTION("GOOGLETRANSLATE(A8386, ""en"", ""mt"")"),"Meta l-Ġiħad Iżlamiku Eġizzjan joqtol lil Anwar Sadat?")</f>
        <v>Meta l-Ġiħad Iżlamiku Eġizzjan joqtol lil Anwar Sadat?</v>
      </c>
    </row>
    <row r="8387" ht="15.75" customHeight="1">
      <c r="A8387" s="2" t="s">
        <v>8387</v>
      </c>
      <c r="B8387" s="2" t="str">
        <f>IFERROR(__xludf.DUMMYFUNCTION("GOOGLETRANSLATE(A8387, ""en"", ""mt"")"),"Zaltbommel")</f>
        <v>Zaltbommel</v>
      </c>
    </row>
    <row r="8388" ht="15.75" customHeight="1">
      <c r="A8388" s="2" t="s">
        <v>8388</v>
      </c>
      <c r="B8388" s="2" t="str">
        <f>IFERROR(__xludf.DUMMYFUNCTION("GOOGLETRANSLATE(A8388, ""en"", ""mt"")"),"Mewt nobbli")</f>
        <v>Mewt nobbli</v>
      </c>
    </row>
    <row r="8389" ht="15.75" customHeight="1">
      <c r="A8389" s="2" t="s">
        <v>8389</v>
      </c>
      <c r="B8389" s="2" t="str">
        <f>IFERROR(__xludf.DUMMYFUNCTION("GOOGLETRANSLATE(A8389, ""en"", ""mt"")"),"Meta ġie aċċettat il-Ġappun bħala stat favur l-Għarbi?")</f>
        <v>Meta ġie aċċettat il-Ġappun bħala stat favur l-Għarbi?</v>
      </c>
    </row>
    <row r="8390" ht="15.75" customHeight="1">
      <c r="A8390" s="2" t="s">
        <v>8390</v>
      </c>
      <c r="B8390" s="2" t="str">
        <f>IFERROR(__xludf.DUMMYFUNCTION("GOOGLETRANSLATE(A8390, ""en"", ""mt"")"),"frizzjoni")</f>
        <v>frizzjoni</v>
      </c>
    </row>
    <row r="8391" ht="15.75" customHeight="1">
      <c r="A8391" s="2" t="s">
        <v>8391</v>
      </c>
      <c r="B8391" s="2" t="str">
        <f>IFERROR(__xludf.DUMMYFUNCTION("GOOGLETRANSLATE(A8391, ""en"", ""mt"")"),"Min irregola r-reġjun ċentrali fil-wan?")</f>
        <v>Min irregola r-reġjun ċentrali fil-wan?</v>
      </c>
    </row>
    <row r="8392" ht="15.75" customHeight="1">
      <c r="A8392" s="2" t="s">
        <v>8392</v>
      </c>
      <c r="B8392" s="2" t="str">
        <f>IFERROR(__xludf.DUMMYFUNCTION("GOOGLETRANSLATE(A8392, ""en"", ""mt"")"),"Safaris, Klima u Ġeografija Diversi")</f>
        <v>Safaris, Klima u Ġeografija Diversi</v>
      </c>
    </row>
    <row r="8393" ht="15.75" customHeight="1">
      <c r="A8393" s="2" t="s">
        <v>8393</v>
      </c>
      <c r="B8393" s="2" t="str">
        <f>IFERROR(__xludf.DUMMYFUNCTION("GOOGLETRANSLATE(A8393, ""en"", ""mt"")"),"Kif wieħed jikteb t (n) = 7n2 + 15n + 40 fin-notazzjoni kbira?")</f>
        <v>Kif wieħed jikteb t (n) = 7n2 + 15n + 40 fin-notazzjoni kbira?</v>
      </c>
    </row>
    <row r="8394" ht="15.75" customHeight="1">
      <c r="A8394" s="2" t="s">
        <v>8394</v>
      </c>
      <c r="B8394" s="2" t="str">
        <f>IFERROR(__xludf.DUMMYFUNCTION("GOOGLETRANSLATE(A8394, ""en"", ""mt"")"),"Ġerarkija xierqa fuq il-klassijiet")</f>
        <v>Ġerarkija xierqa fuq il-klassijiet</v>
      </c>
    </row>
    <row r="8395" ht="15.75" customHeight="1">
      <c r="A8395" s="2" t="s">
        <v>8395</v>
      </c>
      <c r="B8395" s="2" t="str">
        <f>IFERROR(__xludf.DUMMYFUNCTION("GOOGLETRANSLATE(A8395, ""en"", ""mt"")"),"Dak il-qassis li ismu kien Martin Luther")</f>
        <v>Dak il-qassis li ismu kien Martin Luther</v>
      </c>
    </row>
    <row r="8396" ht="15.75" customHeight="1">
      <c r="A8396" s="2" t="s">
        <v>8396</v>
      </c>
      <c r="B8396" s="2" t="str">
        <f>IFERROR(__xludf.DUMMYFUNCTION("GOOGLETRANSLATE(A8396, ""en"", ""mt"")"),"kurrikulu ewlieni ta ’seba’ klassijiet")</f>
        <v>kurrikulu ewlieni ta ’seba’ klassijiet</v>
      </c>
    </row>
    <row r="8397" ht="15.75" customHeight="1">
      <c r="A8397" s="2" t="s">
        <v>8397</v>
      </c>
      <c r="B8397" s="2" t="str">
        <f>IFERROR(__xludf.DUMMYFUNCTION("GOOGLETRANSLATE(A8397, ""en"", ""mt"")"),"X'tip ta 'numri huma dejjem multipli ta' 2?")</f>
        <v>X'tip ta 'numri huma dejjem multipli ta' 2?</v>
      </c>
    </row>
    <row r="8398" ht="15.75" customHeight="1">
      <c r="A8398" s="2" t="s">
        <v>8398</v>
      </c>
      <c r="B8398" s="2" t="str">
        <f>IFERROR(__xludf.DUMMYFUNCTION("GOOGLETRANSLATE(A8398, ""en"", ""mt"")"),"L-Iskola tal-Grammatika Rjali")</f>
        <v>L-Iskola tal-Grammatika Rjali</v>
      </c>
    </row>
    <row r="8399" ht="15.75" customHeight="1">
      <c r="A8399" s="2" t="s">
        <v>8399</v>
      </c>
      <c r="B8399" s="2" t="str">
        <f>IFERROR(__xludf.DUMMYFUNCTION("GOOGLETRANSLATE(A8399, ""en"", ""mt"")"),"Liġi tal-provvista u d-domanda")</f>
        <v>Liġi tal-provvista u d-domanda</v>
      </c>
    </row>
    <row r="8400" ht="15.75" customHeight="1">
      <c r="A8400" s="2" t="s">
        <v>8400</v>
      </c>
      <c r="B8400" s="2" t="str">
        <f>IFERROR(__xludf.DUMMYFUNCTION("GOOGLETRANSLATE(A8400, ""en"", ""mt"")"),"Newcastle_upon_tyne")</f>
        <v>Newcastle_upon_tyne</v>
      </c>
    </row>
    <row r="8401" ht="15.75" customHeight="1">
      <c r="A8401" s="2" t="s">
        <v>8401</v>
      </c>
      <c r="B8401" s="2" t="str">
        <f>IFERROR(__xludf.DUMMYFUNCTION("GOOGLETRANSLATE(A8401, ""en"", ""mt"")"),"Liema knisja tmexxi xi skejjel privati ​​fir-Rabat?")</f>
        <v>Liema knisja tmexxi xi skejjel privati ​​fir-Rabat?</v>
      </c>
    </row>
    <row r="8402" ht="15.75" customHeight="1">
      <c r="A8402" s="2" t="s">
        <v>8402</v>
      </c>
      <c r="B8402" s="2" t="str">
        <f>IFERROR(__xludf.DUMMYFUNCTION("GOOGLETRANSLATE(A8402, ""en"", ""mt"")"),"Prinċipju ta 'ekwivalenza")</f>
        <v>Prinċipju ta 'ekwivalenza</v>
      </c>
    </row>
    <row r="8403" ht="15.75" customHeight="1">
      <c r="A8403" s="2" t="s">
        <v>8403</v>
      </c>
      <c r="B8403" s="2" t="str">
        <f>IFERROR(__xludf.DUMMYFUNCTION("GOOGLETRANSLATE(A8403, ""en"", ""mt"")"),"f'nofs is-snin 2000")</f>
        <v>f'nofs is-snin 2000</v>
      </c>
    </row>
    <row r="8404" ht="15.75" customHeight="1">
      <c r="A8404" s="2" t="s">
        <v>8404</v>
      </c>
      <c r="B8404" s="2" t="str">
        <f>IFERROR(__xludf.DUMMYFUNCTION("GOOGLETRANSLATE(A8404, ""en"", ""mt"")"),"Għal xiex ifisser l-AFC?")</f>
        <v>Għal xiex ifisser l-AFC?</v>
      </c>
    </row>
    <row r="8405" ht="15.75" customHeight="1">
      <c r="A8405" s="2" t="s">
        <v>8405</v>
      </c>
      <c r="B8405" s="2" t="str">
        <f>IFERROR(__xludf.DUMMYFUNCTION("GOOGLETRANSLATE(A8405, ""en"", ""mt"")"),"L-imperjalizmu huwa tip ta ’promozzjoni tal-imperu. Ismu oriġina mill-kelma Latina ""Imperium"", li jfisser li tiddeċiedi fuq territorji kbar. L-imperjalizmu huwa ""politika li testendi l-poter u l-influwenza ta 'pajjiż permezz tal-kolonizzazzjoni, l-użu "&amp;"tal-forza militari, jew mezzi oħra"". L-imperjalizmu ffurma ħafna d-dinja kontemporanja. Ippermettiet ukoll it-tixrid rapidu ta 'teknoloġiji u ideat. It-terminu imperjalizmu ġie applikat għad-dominanza politika u ekonomika tal-Punent (u Ġappuniż) speċjalm"&amp;"ent fl-Asja u l-Afrika fis-sekli 19 u 20. It-tifsira preċiża tagħha tkompli tiġi diskussa mill-istudjużi. Xi kittieba, bħal Edward qal, jużaw it-terminu b'mod aktar wiesa 'biex jiddeskrivu kwalunkwe sistema ta' ħakma u subordinazzjoni organizzata b'ċentru"&amp;" imperjali u periferija.")</f>
        <v>L-imperjalizmu huwa tip ta ’promozzjoni tal-imperu. Ismu oriġina mill-kelma Latina "Imperium", li jfisser li tiddeċiedi fuq territorji kbar. L-imperjalizmu huwa "politika li testendi l-poter u l-influwenza ta 'pajjiż permezz tal-kolonizzazzjoni, l-użu tal-forza militari, jew mezzi oħra". L-imperjalizmu ffurma ħafna d-dinja kontemporanja. Ippermettiet ukoll it-tixrid rapidu ta 'teknoloġiji u ideat. It-terminu imperjalizmu ġie applikat għad-dominanza politika u ekonomika tal-Punent (u Ġappuniż) speċjalment fl-Asja u l-Afrika fis-sekli 19 u 20. It-tifsira preċiża tagħha tkompli tiġi diskussa mill-istudjużi. Xi kittieba, bħal Edward qal, jużaw it-terminu b'mod aktar wiesa 'biex jiddeskrivu kwalunkwe sistema ta' ħakma u subordinazzjoni organizzata b'ċentru imperjali u periferija.</v>
      </c>
    </row>
    <row r="8406" ht="15.75" customHeight="1">
      <c r="A8406" s="2" t="s">
        <v>8406</v>
      </c>
      <c r="B8406" s="2" t="str">
        <f>IFERROR(__xludf.DUMMYFUNCTION("GOOGLETRANSLATE(A8406, ""en"", ""mt"")"),"Liema kollezzjoni ġiet trasferita lill-mużew meta nfetħet il-Gallerija l-ġdida tal-Istorja Arkitettonika?")</f>
        <v>Liema kollezzjoni ġiet trasferita lill-mużew meta nfetħet il-Gallerija l-ġdida tal-Istorja Arkitettonika?</v>
      </c>
    </row>
    <row r="8407" ht="15.75" customHeight="1">
      <c r="A8407" s="2" t="s">
        <v>8407</v>
      </c>
      <c r="B8407" s="2" t="str">
        <f>IFERROR(__xludf.DUMMYFUNCTION("GOOGLETRANSLATE(A8407, ""en"", ""mt"")"),"Biex teqred il-mikrobi li jinvadu")</f>
        <v>Biex teqred il-mikrobi li jinvadu</v>
      </c>
    </row>
    <row r="8408" ht="15.75" customHeight="1">
      <c r="A8408" s="2" t="s">
        <v>8408</v>
      </c>
      <c r="B8408" s="2" t="str">
        <f>IFERROR(__xludf.DUMMYFUNCTION("GOOGLETRANSLATE(A8408, ""en"", ""mt"")"),"WBT-FM")</f>
        <v>WBT-FM</v>
      </c>
    </row>
    <row r="8409" ht="15.75" customHeight="1">
      <c r="A8409" s="2" t="s">
        <v>8409</v>
      </c>
      <c r="B8409" s="2" t="str">
        <f>IFERROR(__xludf.DUMMYFUNCTION("GOOGLETRANSLATE(A8409, ""en"", ""mt"")"),"X'inhi l-perfezzjoni Nisranija?")</f>
        <v>X'inhi l-perfezzjoni Nisranija?</v>
      </c>
    </row>
    <row r="8410" ht="15.75" customHeight="1">
      <c r="A8410" s="2" t="s">
        <v>8410</v>
      </c>
      <c r="B8410" s="2" t="str">
        <f>IFERROR(__xludf.DUMMYFUNCTION("GOOGLETRANSLATE(A8410, ""en"", ""mt"")"),"kombinazzjoni ta 'ġestjoni fqira, diviżjonijiet interni, u scouts Kanadiżi effettivi, forzi regolari Franċiżi, u alleati tal-gwerriera Indjani")</f>
        <v>kombinazzjoni ta 'ġestjoni fqira, diviżjonijiet interni, u scouts Kanadiżi effettivi, forzi regolari Franċiżi, u alleati tal-gwerriera Indjani</v>
      </c>
    </row>
    <row r="8411" ht="15.75" customHeight="1">
      <c r="A8411" s="2" t="s">
        <v>8411</v>
      </c>
      <c r="B8411" s="2" t="str">
        <f>IFERROR(__xludf.DUMMYFUNCTION("GOOGLETRANSLATE(A8411, ""en"", ""mt"")"),"mgħawweġ")</f>
        <v>mgħawweġ</v>
      </c>
    </row>
    <row r="8412" ht="15.75" customHeight="1">
      <c r="A8412" s="2" t="s">
        <v>8412</v>
      </c>
      <c r="B8412" s="2" t="str">
        <f>IFERROR(__xludf.DUMMYFUNCTION("GOOGLETRANSLATE(A8412, ""en"", ""mt"")"),"Liema xahar, jum u sena seħħet Super Bowl 50?")</f>
        <v>Liema xahar, jum u sena seħħet Super Bowl 50?</v>
      </c>
    </row>
    <row r="8413" ht="15.75" customHeight="1">
      <c r="A8413" s="2" t="s">
        <v>8413</v>
      </c>
      <c r="B8413" s="2" t="str">
        <f>IFERROR(__xludf.DUMMYFUNCTION("GOOGLETRANSLATE(A8413, ""en"", ""mt"")"),"Glaċieri tal-Ħimalaja")</f>
        <v>Glaċieri tal-Ħimalaja</v>
      </c>
    </row>
    <row r="8414" ht="15.75" customHeight="1">
      <c r="A8414" s="2" t="s">
        <v>8414</v>
      </c>
      <c r="B8414" s="2" t="str">
        <f>IFERROR(__xludf.DUMMYFUNCTION("GOOGLETRANSLATE(A8414, ""en"", ""mt"")"),"fi Triq Konwiktorska")</f>
        <v>fi Triq Konwiktorska</v>
      </c>
    </row>
    <row r="8415" ht="15.75" customHeight="1">
      <c r="A8415" s="2" t="s">
        <v>8415</v>
      </c>
      <c r="B8415" s="2" t="str">
        <f>IFERROR(__xludf.DUMMYFUNCTION("GOOGLETRANSLATE(A8415, ""en"", ""mt"")"),"Liema avveniment ewlieni li seħħ l-Istati Uniti li għamel il-BBC idewwem ix-xandira?")</f>
        <v>Liema avveniment ewlieni li seħħ l-Istati Uniti li għamel il-BBC idewwem ix-xandira?</v>
      </c>
    </row>
    <row r="8416" ht="15.75" customHeight="1">
      <c r="A8416" s="2" t="s">
        <v>8416</v>
      </c>
      <c r="B8416" s="2" t="str">
        <f>IFERROR(__xludf.DUMMYFUNCTION("GOOGLETRANSLATE(A8416, ""en"", ""mt"")"),"Joanna Lumley")</f>
        <v>Joanna Lumley</v>
      </c>
    </row>
    <row r="8417" ht="15.75" customHeight="1">
      <c r="A8417" s="2" t="s">
        <v>8417</v>
      </c>
      <c r="B8417" s="2" t="str">
        <f>IFERROR(__xludf.DUMMYFUNCTION("GOOGLETRANSLATE(A8417, ""en"", ""mt"")"),"Gruppi terroristiċi Shia")</f>
        <v>Gruppi terroristiċi Shia</v>
      </c>
    </row>
    <row r="8418" ht="15.75" customHeight="1">
      <c r="A8418" s="2" t="s">
        <v>8418</v>
      </c>
      <c r="B8418" s="2" t="str">
        <f>IFERROR(__xludf.DUMMYFUNCTION("GOOGLETRANSLATE(A8418, ""en"", ""mt"")"),"Relatività Ġenerali")</f>
        <v>Relatività Ġenerali</v>
      </c>
    </row>
    <row r="8419" ht="15.75" customHeight="1">
      <c r="A8419" s="2" t="s">
        <v>8419</v>
      </c>
      <c r="B8419" s="2" t="str">
        <f>IFERROR(__xludf.DUMMYFUNCTION("GOOGLETRANSLATE(A8419, ""en"", ""mt"")"),"Segretarju")</f>
        <v>Segretarju</v>
      </c>
    </row>
    <row r="8420" ht="15.75" customHeight="1">
      <c r="A8420" s="2" t="s">
        <v>8420</v>
      </c>
      <c r="B8420" s="2" t="str">
        <f>IFERROR(__xludf.DUMMYFUNCTION("GOOGLETRANSLATE(A8420, ""en"", ""mt"")"),"Liema kulur intuża biex jenfasizza l-50 anniversarju tas-Super Bowl?")</f>
        <v>Liema kulur intuża biex jenfasizza l-50 anniversarju tas-Super Bowl?</v>
      </c>
    </row>
    <row r="8421" ht="15.75" customHeight="1">
      <c r="A8421" s="2" t="s">
        <v>8421</v>
      </c>
      <c r="B8421" s="2" t="str">
        <f>IFERROR(__xludf.DUMMYFUNCTION("GOOGLETRANSLATE(A8421, ""en"", ""mt"")"),"Problema ta 'sodisfazzjon Boolean")</f>
        <v>Problema ta 'sodisfazzjon Boolean</v>
      </c>
    </row>
    <row r="8422" ht="15.75" customHeight="1">
      <c r="A8422" s="2" t="s">
        <v>8422</v>
      </c>
      <c r="B8422" s="2" t="str">
        <f>IFERROR(__xludf.DUMMYFUNCTION("GOOGLETRANSLATE(A8422, ""en"", ""mt"")"),"Kemm kienu nies fil-kolonji Ingliżi tal-Amerika ta ’Fuq?")</f>
        <v>Kemm kienu nies fil-kolonji Ingliżi tal-Amerika ta ’Fuq?</v>
      </c>
    </row>
    <row r="8423" ht="15.75" customHeight="1">
      <c r="A8423" s="2" t="s">
        <v>8423</v>
      </c>
      <c r="B8423" s="2" t="str">
        <f>IFERROR(__xludf.DUMMYFUNCTION("GOOGLETRANSLATE(A8423, ""en"", ""mt"")"),"Liema istitut ippubblika sejbiet f'Settembru 2012 rigward il-Forbes l-aktar sinjur 400 Amerikan?")</f>
        <v>Liema istitut ippubblika sejbiet f'Settembru 2012 rigward il-Forbes l-aktar sinjur 400 Amerikan?</v>
      </c>
    </row>
    <row r="8424" ht="15.75" customHeight="1">
      <c r="A8424" s="2" t="s">
        <v>8424</v>
      </c>
      <c r="B8424" s="2" t="str">
        <f>IFERROR(__xludf.DUMMYFUNCTION("GOOGLETRANSLATE(A8424, ""en"", ""mt"")"),"Liema fenomeni viżwali oħra akkumpanjaw il-viżjonijiet ta 'Tesla?")</f>
        <v>Liema fenomeni viżwali oħra akkumpanjaw il-viżjonijiet ta 'Tesla?</v>
      </c>
    </row>
    <row r="8425" ht="15.75" customHeight="1">
      <c r="A8425" s="2" t="s">
        <v>8425</v>
      </c>
      <c r="B8425" s="2" t="str">
        <f>IFERROR(__xludf.DUMMYFUNCTION("GOOGLETRANSLATE(A8425, ""en"", ""mt"")"),"Liema plejer ta 'Carolina Panthers ġie msemmi l-iktar plejer ta' valur?")</f>
        <v>Liema plejer ta 'Carolina Panthers ġie msemmi l-iktar plejer ta' valur?</v>
      </c>
    </row>
    <row r="8426" ht="15.75" customHeight="1">
      <c r="A8426" s="2" t="s">
        <v>8426</v>
      </c>
      <c r="B8426" s="2" t="str">
        <f>IFERROR(__xludf.DUMMYFUNCTION("GOOGLETRANSLATE(A8426, ""en"", ""mt"")"),"Moviment tal-Pakistan")</f>
        <v>Moviment tal-Pakistan</v>
      </c>
    </row>
    <row r="8427" ht="15.75" customHeight="1">
      <c r="A8427" s="2" t="s">
        <v>8427</v>
      </c>
      <c r="B8427" s="2" t="str">
        <f>IFERROR(__xludf.DUMMYFUNCTION("GOOGLETRANSLATE(A8427, ""en"", ""mt"")"),"Il-biċċa l-kbira tal-impjiegi tal-kostruzzjoni tal-bini huma xiex?")</f>
        <v>Il-biċċa l-kbira tal-impjiegi tal-kostruzzjoni tal-bini huma xiex?</v>
      </c>
    </row>
    <row r="8428" ht="15.75" customHeight="1">
      <c r="A8428" s="2" t="s">
        <v>8428</v>
      </c>
      <c r="B8428" s="2" t="str">
        <f>IFERROR(__xludf.DUMMYFUNCTION("GOOGLETRANSLATE(A8428, ""en"", ""mt"")"),"ħabi Lhudi")</f>
        <v>ħabi Lhudi</v>
      </c>
    </row>
    <row r="8429" ht="15.75" customHeight="1">
      <c r="A8429" s="2" t="s">
        <v>8429</v>
      </c>
      <c r="B8429" s="2" t="str">
        <f>IFERROR(__xludf.DUMMYFUNCTION("GOOGLETRANSLATE(A8429, ""en"", ""mt"")"),"ġie mfakkar u mibdul minn Jeffery Amherst")</f>
        <v>ġie mfakkar u mibdul minn Jeffery Amherst</v>
      </c>
    </row>
    <row r="8430" ht="15.75" customHeight="1">
      <c r="A8430" s="2" t="s">
        <v>8430</v>
      </c>
      <c r="B8430" s="2" t="str">
        <f>IFERROR(__xludf.DUMMYFUNCTION("GOOGLETRANSLATE(A8430, ""en"", ""mt"")"),"Kumitat ta 'Esperti Indipendenti")</f>
        <v>Kumitat ta 'Esperti Indipendenti</v>
      </c>
    </row>
    <row r="8431" ht="15.75" customHeight="1">
      <c r="A8431" s="2" t="s">
        <v>8431</v>
      </c>
      <c r="B8431" s="2" t="str">
        <f>IFERROR(__xludf.DUMMYFUNCTION("GOOGLETRANSLATE(A8431, ""en"", ""mt"")"),"Sthène")</f>
        <v>Sthène</v>
      </c>
    </row>
    <row r="8432" ht="15.75" customHeight="1">
      <c r="A8432" s="2" t="s">
        <v>8432</v>
      </c>
      <c r="B8432" s="2" t="str">
        <f>IFERROR(__xludf.DUMMYFUNCTION("GOOGLETRANSLATE(A8432, ""en"", ""mt"")"),"Servizz tal-Vidjow Fuq Domanda")</f>
        <v>Servizz tal-Vidjow Fuq Domanda</v>
      </c>
    </row>
    <row r="8433" ht="15.75" customHeight="1">
      <c r="A8433" s="2" t="s">
        <v>8433</v>
      </c>
      <c r="B8433" s="2" t="str">
        <f>IFERROR(__xludf.DUMMYFUNCTION("GOOGLETRANSLATE(A8433, ""en"", ""mt"")"),"Dinja wiesgħa ta 'l-isports")</f>
        <v>Dinja wiesgħa ta 'l-isports</v>
      </c>
    </row>
    <row r="8434" ht="15.75" customHeight="1">
      <c r="A8434" s="2" t="s">
        <v>8434</v>
      </c>
      <c r="B8434" s="2" t="str">
        <f>IFERROR(__xludf.DUMMYFUNCTION("GOOGLETRANSLATE(A8434, ""en"", ""mt"")"),"puplesija")</f>
        <v>puplesija</v>
      </c>
    </row>
    <row r="8435" ht="15.75" customHeight="1">
      <c r="A8435" s="2" t="s">
        <v>8435</v>
      </c>
      <c r="B8435" s="2" t="str">
        <f>IFERROR(__xludf.DUMMYFUNCTION("GOOGLETRANSLATE(A8435, ""en"", ""mt"")"),"X'inhu magħruf f'Varsavja bħal fil-Pollakk?")</f>
        <v>X'inhu magħruf f'Varsavja bħal fil-Pollakk?</v>
      </c>
    </row>
    <row r="8436" ht="15.75" customHeight="1">
      <c r="A8436" s="2" t="s">
        <v>8436</v>
      </c>
      <c r="B8436" s="2" t="str">
        <f>IFERROR(__xludf.DUMMYFUNCTION("GOOGLETRANSLATE(A8436, ""en"", ""mt"")"),"poter politiku ġġenerat mill-ġid")</f>
        <v>poter politiku ġġenerat mill-ġid</v>
      </c>
    </row>
    <row r="8437" ht="15.75" customHeight="1">
      <c r="A8437" s="2" t="s">
        <v>8437</v>
      </c>
      <c r="B8437" s="2" t="str">
        <f>IFERROR(__xludf.DUMMYFUNCTION("GOOGLETRANSLATE(A8437, ""en"", ""mt"")"),"l-iktar rigoruż, intens")</f>
        <v>l-iktar rigoruż, intens</v>
      </c>
    </row>
    <row r="8438" ht="15.75" customHeight="1">
      <c r="A8438" s="2" t="s">
        <v>8438</v>
      </c>
      <c r="B8438" s="2" t="str">
        <f>IFERROR(__xludf.DUMMYFUNCTION("GOOGLETRANSLATE(A8438, ""en"", ""mt"")"),"fuq l-art")</f>
        <v>fuq l-art</v>
      </c>
    </row>
    <row r="8439" ht="15.75" customHeight="1">
      <c r="A8439" s="2" t="s">
        <v>8439</v>
      </c>
      <c r="B8439" s="2" t="str">
        <f>IFERROR(__xludf.DUMMYFUNCTION("GOOGLETRANSLATE(A8439, ""en"", ""mt"")"),"Liema postijiet oħra tista 'tinstab l-Iskola tan-Negozju tal-Booth?")</f>
        <v>Liema postijiet oħra tista 'tinstab l-Iskola tan-Negozju tal-Booth?</v>
      </c>
    </row>
    <row r="8440" ht="15.75" customHeight="1">
      <c r="A8440" s="2" t="s">
        <v>8440</v>
      </c>
      <c r="B8440" s="2" t="str">
        <f>IFERROR(__xludf.DUMMYFUNCTION("GOOGLETRANSLATE(A8440, ""en"", ""mt"")"),"madwar 50 sena")</f>
        <v>madwar 50 sena</v>
      </c>
    </row>
    <row r="8441" ht="15.75" customHeight="1">
      <c r="A8441" s="2" t="s">
        <v>8441</v>
      </c>
      <c r="B8441" s="2" t="str">
        <f>IFERROR(__xludf.DUMMYFUNCTION("GOOGLETRANSLATE(A8441, ""en"", ""mt"")"),"Ir-rivoluzzjoni")</f>
        <v>Ir-rivoluzzjoni</v>
      </c>
    </row>
    <row r="8442" ht="15.75" customHeight="1">
      <c r="A8442" s="2" t="s">
        <v>8442</v>
      </c>
      <c r="B8442" s="2" t="str">
        <f>IFERROR(__xludf.DUMMYFUNCTION("GOOGLETRANSLATE(A8442, ""en"", ""mt"")"),"Liema reġjun beda jikber u jafferma ruħu fis-snin 2000?")</f>
        <v>Liema reġjun beda jikber u jafferma ruħu fis-snin 2000?</v>
      </c>
    </row>
    <row r="8443" ht="15.75" customHeight="1">
      <c r="A8443" s="2" t="s">
        <v>8443</v>
      </c>
      <c r="B8443" s="2" t="str">
        <f>IFERROR(__xludf.DUMMYFUNCTION("GOOGLETRANSLATE(A8443, ""en"", ""mt"")"),"L-intraprendituri Josiah Wedgwood, Matthew Boulton u Eleanor Coade kienu influwenzati minn liema proċess ta 'manifattura żviluppa matul ir-Rivoluzzjoni Industrijali?")</f>
        <v>L-intraprendituri Josiah Wedgwood, Matthew Boulton u Eleanor Coade kienu influwenzati minn liema proċess ta 'manifattura żviluppa matul ir-Rivoluzzjoni Industrijali?</v>
      </c>
    </row>
    <row r="8444" ht="15.75" customHeight="1">
      <c r="A8444" s="2" t="s">
        <v>8444</v>
      </c>
      <c r="B8444" s="2" t="str">
        <f>IFERROR(__xludf.DUMMYFUNCTION("GOOGLETRANSLATE(A8444, ""en"", ""mt"")")," Fil-Kummissjoni tal-2009 v l-Italja, il-każ, il-Qorti tal-Ġustizzja ddeċidiet li baxx Taljan li jipprojbixxi dak li kiser l-Artikolu 34?")</f>
        <v> Fil-Kummissjoni tal-2009 v l-Italja, il-każ, il-Qorti tal-Ġustizzja ddeċidiet li baxx Taljan li jipprojbixxi dak li kiser l-Artikolu 34?</v>
      </c>
    </row>
    <row r="8445" ht="15.75" customHeight="1">
      <c r="A8445" s="2" t="s">
        <v>8445</v>
      </c>
      <c r="B8445" s="2" t="str">
        <f>IFERROR(__xludf.DUMMYFUNCTION("GOOGLETRANSLATE(A8445, ""en"", ""mt"")"),"Żoni kkontrollati mir-Russja")</f>
        <v>Żoni kkontrollati mir-Russja</v>
      </c>
    </row>
    <row r="8446" ht="15.75" customHeight="1">
      <c r="A8446" s="2" t="s">
        <v>8446</v>
      </c>
      <c r="B8446" s="2" t="str">
        <f>IFERROR(__xludf.DUMMYFUNCTION("GOOGLETRANSLATE(A8446, ""en"", ""mt"")"),"X'inhi l-motivazzjoni tal-istudenti dwar l-iskola marbuta magħha?")</f>
        <v>X'inhi l-motivazzjoni tal-istudenti dwar l-iskola marbuta magħha?</v>
      </c>
    </row>
    <row r="8447" ht="15.75" customHeight="1">
      <c r="A8447" s="2" t="s">
        <v>8447</v>
      </c>
      <c r="B8447" s="2" t="str">
        <f>IFERROR(__xludf.DUMMYFUNCTION("GOOGLETRANSLATE(A8447, ""en"", ""mt"")"),"bikrija tas-snin sebgħin")</f>
        <v>bikrija tas-snin sebgħin</v>
      </c>
    </row>
    <row r="8448" ht="15.75" customHeight="1">
      <c r="A8448" s="2" t="s">
        <v>8448</v>
      </c>
      <c r="B8448" s="2" t="str">
        <f>IFERROR(__xludf.DUMMYFUNCTION("GOOGLETRANSLATE(A8448, ""en"", ""mt"")"),"X'inhu t-terminu għall-arranġament ta 'żewġ elettroni mhux imqabbla f'Dioxygen?")</f>
        <v>X'inhu t-terminu għall-arranġament ta 'żewġ elettroni mhux imqabbla f'Dioxygen?</v>
      </c>
    </row>
    <row r="8449" ht="15.75" customHeight="1">
      <c r="A8449" s="2" t="s">
        <v>8449</v>
      </c>
      <c r="B8449" s="2" t="str">
        <f>IFERROR(__xludf.DUMMYFUNCTION("GOOGLETRANSLATE(A8449, ""en"", ""mt"")"),"Kontinwazzjoni tal-Imperu Mongoljan")</f>
        <v>Kontinwazzjoni tal-Imperu Mongoljan</v>
      </c>
    </row>
    <row r="8450" ht="15.75" customHeight="1">
      <c r="A8450" s="2" t="s">
        <v>8450</v>
      </c>
      <c r="B8450" s="2" t="str">
        <f>IFERROR(__xludf.DUMMYFUNCTION("GOOGLETRANSLATE(A8450, ""en"", ""mt"")"),"Fl-1965, fuq l-istigazzjoni ta 'Warner Sinback, netwerk ta' dejta bbażat fuq dan in-netwerk tal-vuċi-phone kien iddisinjat biex jgħaqqad l-erba 'ċentri ta' bejgħ u servizzi tal-kompjuter ta 'GE (Schenectady, Phoenix, Chicago, u Phoenix) biex jiffaċilita s"&amp;"ervizz ta' qsim ta 'ħin tal-kompjuter, Milli jidher l-ewwel servizz onlajn kummerċjali tad-dinja. (Minbarra li jbigħu l-kompjuters GE, iċ-ċentri kienu uffiċċji tas-servizzi tal-kompjuter, joffru servizzi ta 'proċessar tal-lott. Huma tilfu l-flus mill-bidu"&amp;", u Sinback, maniġer ta' kummerċ ta 'livell għoli, ingħata x-xogħol li jdawwar in-negozju. Sistema ta 'qsim ta' ħin, ibbażata fuq ix-xogħol ta 'Kemney f'Dartmouth - li uża kompjuter b'self minn GE - jista' jkun ta 'profitt. Warner kellu raġun.)")</f>
        <v>Fl-1965, fuq l-istigazzjoni ta 'Warner Sinback, netwerk ta' dejta bbażat fuq dan in-netwerk tal-vuċi-phone kien iddisinjat biex jgħaqqad l-erba 'ċentri ta' bejgħ u servizzi tal-kompjuter ta 'GE (Schenectady, Phoenix, Chicago, u Phoenix) biex jiffaċilita servizz ta' qsim ta 'ħin tal-kompjuter, Milli jidher l-ewwel servizz onlajn kummerċjali tad-dinja. (Minbarra li jbigħu l-kompjuters GE, iċ-ċentri kienu uffiċċji tas-servizzi tal-kompjuter, joffru servizzi ta 'proċessar tal-lott. Huma tilfu l-flus mill-bidu, u Sinback, maniġer ta' kummerċ ta 'livell għoli, ingħata x-xogħol li jdawwar in-negozju. Sistema ta 'qsim ta' ħin, ibbażata fuq ix-xogħol ta 'Kemney f'Dartmouth - li uża kompjuter b'self minn GE - jista' jkun ta 'profitt. Warner kellu raġun.)</v>
      </c>
    </row>
    <row r="8451" ht="15.75" customHeight="1">
      <c r="A8451" s="2" t="s">
        <v>8451</v>
      </c>
      <c r="B8451" s="2" t="str">
        <f>IFERROR(__xludf.DUMMYFUNCTION("GOOGLETRANSLATE(A8451, ""en"", ""mt"")"),"diżubbidjenza tal-liġijiet")</f>
        <v>diżubbidjenza tal-liġijiet</v>
      </c>
    </row>
    <row r="8452" ht="15.75" customHeight="1">
      <c r="A8452" s="2" t="s">
        <v>8452</v>
      </c>
      <c r="B8452" s="2" t="str">
        <f>IFERROR(__xludf.DUMMYFUNCTION("GOOGLETRANSLATE(A8452, ""en"", ""mt"")"),"Ottubru 2007")</f>
        <v>Ottubru 2007</v>
      </c>
    </row>
    <row r="8453" ht="15.75" customHeight="1">
      <c r="A8453" s="2" t="s">
        <v>8453</v>
      </c>
      <c r="B8453" s="2" t="str">
        <f>IFERROR(__xludf.DUMMYFUNCTION("GOOGLETRANSLATE(A8453, ""en"", ""mt"")"),"William eventwalment jikseb liema tron?")</f>
        <v>William eventwalment jikseb liema tron?</v>
      </c>
    </row>
    <row r="8454" ht="15.75" customHeight="1">
      <c r="A8454" s="2" t="s">
        <v>8454</v>
      </c>
      <c r="B8454" s="2" t="str">
        <f>IFERROR(__xludf.DUMMYFUNCTION("GOOGLETRANSLATE(A8454, ""en"", ""mt"")"),"Visa Inc.")</f>
        <v>Visa Inc.</v>
      </c>
    </row>
    <row r="8455" ht="15.75" customHeight="1">
      <c r="A8455" s="2" t="s">
        <v>8455</v>
      </c>
      <c r="B8455" s="2" t="str">
        <f>IFERROR(__xludf.DUMMYFUNCTION("GOOGLETRANSLATE(A8455, ""en"", ""mt"")"),"jgħaddu s-sinjal tagħhom")</f>
        <v>jgħaddu s-sinjal tagħhom</v>
      </c>
    </row>
    <row r="8456" ht="15.75" customHeight="1">
      <c r="A8456" s="2" t="s">
        <v>8456</v>
      </c>
      <c r="B8456" s="2" t="str">
        <f>IFERROR(__xludf.DUMMYFUNCTION("GOOGLETRANSLATE(A8456, ""en"", ""mt"")"),"Stratigraphers")</f>
        <v>Stratigraphers</v>
      </c>
    </row>
    <row r="8457" ht="15.75" customHeight="1">
      <c r="A8457" s="2" t="s">
        <v>8457</v>
      </c>
      <c r="B8457" s="2" t="str">
        <f>IFERROR(__xludf.DUMMYFUNCTION("GOOGLETRANSLATE(A8457, ""en"", ""mt"")"),"Disinn bażiku tipiku tal-pajjiżi tal-blokk tal-Lvant")</f>
        <v>Disinn bażiku tipiku tal-pajjiżi tal-blokk tal-Lvant</v>
      </c>
    </row>
    <row r="8458" ht="15.75" customHeight="1">
      <c r="A8458" s="2" t="s">
        <v>8458</v>
      </c>
      <c r="B8458" s="2" t="str">
        <f>IFERROR(__xludf.DUMMYFUNCTION("GOOGLETRANSLATE(A8458, ""en"", ""mt"")"),"ir-referendum fi Franza u r-referendum fl-Olanda")</f>
        <v>ir-referendum fi Franza u r-referendum fl-Olanda</v>
      </c>
    </row>
    <row r="8459" ht="15.75" customHeight="1">
      <c r="A8459" s="2" t="s">
        <v>8459</v>
      </c>
      <c r="B8459" s="2" t="str">
        <f>IFERROR(__xludf.DUMMYFUNCTION("GOOGLETRANSLATE(A8459, ""en"", ""mt"")"),"Aktar minn 28 jum")</f>
        <v>Aktar minn 28 jum</v>
      </c>
    </row>
    <row r="8460" ht="15.75" customHeight="1">
      <c r="A8460" s="2" t="s">
        <v>8460</v>
      </c>
      <c r="B8460" s="2" t="str">
        <f>IFERROR(__xludf.DUMMYFUNCTION("GOOGLETRANSLATE(A8460, ""en"", ""mt"")"),"triq bejn żewġ avvenimenti spazjali-ħin")</f>
        <v>triq bejn żewġ avvenimenti spazjali-ħin</v>
      </c>
    </row>
    <row r="8461" ht="15.75" customHeight="1">
      <c r="A8461" s="2" t="s">
        <v>8461</v>
      </c>
      <c r="B8461" s="2" t="str">
        <f>IFERROR(__xludf.DUMMYFUNCTION("GOOGLETRANSLATE(A8461, ""en"", ""mt"")"),"Pereżempju, waqt li tkun qed tivvjaġġa f'vettura li tiċċaqlaq b'veloċità kostanti, il-liġijiet tal-fiżika ma jinbidlux mill-mistrieħ. Persuna tista 'titfa' ballun dritta 'l fuq fl-arja u taqbadha hekk kif taqa' mingħajr ma tinkwieta dwar l-applikazzjoni t"&amp;"a 'forza fid-direzzjoni li l-vettura tkun miexja. Dan huwa minnu minkejja li persuna oħra li qed tosserva l-vettura li tiċċaqlaq billi tosserva wkoll il-ballun issegwi triq parabolika mgħawġa fl-istess direzzjoni bħall-moviment tal-vettura. Hija l-inerzja"&amp;" tal-ballun assoċjata mal-veloċità kostanti tagħha fid-direzzjoni tal-moviment tal-vettura li tiżgura li l-ballun ikompli jimxi 'l quddiem anki meta jintefa' u jaqa 'lura. Mill-perspettiva tal-persuna fil-karozza, il-vettura u dak kollu li hemm fil-mistri"&amp;"eħ tagħha: hija d-dinja ta 'barra li miexja b'veloċità kostanti fid-direzzjoni opposta. Peress li m'hemm l-ebda esperiment li jista 'jiddistingwi jekk hijiex il-vettura li tinsab fil-mistrieħ jew id-dinja ta' barra li tinsab fil-mistrieħ, iż-żewġ sitwazzj"&amp;"onijiet huma meqjusa li huma fiżikament indistingwibbli. L-inerzja għalhekk tapplika daqstant tajjeb għal mozzjoni ta 'veloċità kostanti kif tagħmel għall-mistrieħ.")</f>
        <v>Pereżempju, waqt li tkun qed tivvjaġġa f'vettura li tiċċaqlaq b'veloċità kostanti, il-liġijiet tal-fiżika ma jinbidlux mill-mistrieħ. Persuna tista 'titfa' ballun dritta 'l fuq fl-arja u taqbadha hekk kif taqa' mingħajr ma tinkwieta dwar l-applikazzjoni ta 'forza fid-direzzjoni li l-vettura tkun miexja. Dan huwa minnu minkejja li persuna oħra li qed tosserva l-vettura li tiċċaqlaq billi tosserva wkoll il-ballun issegwi triq parabolika mgħawġa fl-istess direzzjoni bħall-moviment tal-vettura. Hija l-inerzja tal-ballun assoċjata mal-veloċità kostanti tagħha fid-direzzjoni tal-moviment tal-vettura li tiżgura li l-ballun ikompli jimxi 'l quddiem anki meta jintefa' u jaqa 'lura. Mill-perspettiva tal-persuna fil-karozza, il-vettura u dak kollu li hemm fil-mistrieħ tagħha: hija d-dinja ta 'barra li miexja b'veloċità kostanti fid-direzzjoni opposta. Peress li m'hemm l-ebda esperiment li jista 'jiddistingwi jekk hijiex il-vettura li tinsab fil-mistrieħ jew id-dinja ta' barra li tinsab fil-mistrieħ, iż-żewġ sitwazzjonijiet huma meqjusa li huma fiżikament indistingwibbli. L-inerzja għalhekk tapplika daqstant tajjeb għal mozzjoni ta 'veloċità kostanti kif tagħmel għall-mistrieħ.</v>
      </c>
    </row>
    <row r="8462" ht="15.75" customHeight="1">
      <c r="A8462" s="2" t="s">
        <v>8462</v>
      </c>
      <c r="B8462" s="2" t="str">
        <f>IFERROR(__xludf.DUMMYFUNCTION("GOOGLETRANSLATE(A8462, ""en"", ""mt"")"),"binarju")</f>
        <v>binarju</v>
      </c>
    </row>
    <row r="8463" ht="15.75" customHeight="1">
      <c r="A8463" s="2" t="s">
        <v>8463</v>
      </c>
      <c r="B8463" s="2" t="str">
        <f>IFERROR(__xludf.DUMMYFUNCTION("GOOGLETRANSLATE(A8463, ""en"", ""mt"")"),"300,000")</f>
        <v>300,000</v>
      </c>
    </row>
    <row r="8464" ht="15.75" customHeight="1">
      <c r="A8464" s="2" t="s">
        <v>8464</v>
      </c>
      <c r="B8464" s="2" t="str">
        <f>IFERROR(__xludf.DUMMYFUNCTION("GOOGLETRANSLATE(A8464, ""en"", ""mt"")"),"41 sena")</f>
        <v>41 sena</v>
      </c>
    </row>
    <row r="8465" ht="15.75" customHeight="1">
      <c r="A8465" s="2" t="s">
        <v>8465</v>
      </c>
      <c r="B8465" s="2" t="str">
        <f>IFERROR(__xludf.DUMMYFUNCTION("GOOGLETRANSLATE(A8465, ""en"", ""mt"")"),"jirrendu ċerti liġijiet ineffettivi")</f>
        <v>jirrendu ċerti liġijiet ineffettivi</v>
      </c>
    </row>
    <row r="8466" ht="15.75" customHeight="1">
      <c r="A8466" s="2" t="s">
        <v>8466</v>
      </c>
      <c r="B8466" s="2" t="str">
        <f>IFERROR(__xludf.DUMMYFUNCTION("GOOGLETRANSLATE(A8466, ""en"", ""mt"")"),"Kemm mill-prodotti tal-proteina tal-ġeni trasferiti ma jmorrux lura għall-kloroplasti?")</f>
        <v>Kemm mill-prodotti tal-proteina tal-ġeni trasferiti ma jmorrux lura għall-kloroplasti?</v>
      </c>
    </row>
    <row r="8467" ht="15.75" customHeight="1">
      <c r="A8467" s="2" t="s">
        <v>8467</v>
      </c>
      <c r="B8467" s="2" t="str">
        <f>IFERROR(__xludf.DUMMYFUNCTION("GOOGLETRANSLATE(A8467, ""en"", ""mt"")"),"bl-għajnuna tal-militar")</f>
        <v>bl-għajnuna tal-militar</v>
      </c>
    </row>
    <row r="8468" ht="15.75" customHeight="1">
      <c r="A8468" s="2" t="s">
        <v>8468</v>
      </c>
      <c r="B8468" s="2" t="str">
        <f>IFERROR(__xludf.DUMMYFUNCTION("GOOGLETRANSLATE(A8468, ""en"", ""mt"")"),"Norman Mercenary")</f>
        <v>Norman Mercenary</v>
      </c>
    </row>
    <row r="8469" ht="15.75" customHeight="1">
      <c r="A8469" s="2" t="s">
        <v>8469</v>
      </c>
      <c r="B8469" s="2" t="str">
        <f>IFERROR(__xludf.DUMMYFUNCTION("GOOGLETRANSLATE(A8469, ""en"", ""mt"")"),"Min kien il-kowċ ewlieni ta 'Denver għal Super Bowl 50?")</f>
        <v>Min kien il-kowċ ewlieni ta 'Denver għal Super Bowl 50?</v>
      </c>
    </row>
    <row r="8470" ht="15.75" customHeight="1">
      <c r="A8470" s="2" t="s">
        <v>8470</v>
      </c>
      <c r="B8470" s="2" t="str">
        <f>IFERROR(__xludf.DUMMYFUNCTION("GOOGLETRANSLATE(A8470, ""en"", ""mt"")"),"28 affiljati ABC u żewġ subchannel addizzjonali biss")</f>
        <v>28 affiljati ABC u żewġ subchannel addizzjonali biss</v>
      </c>
    </row>
    <row r="8471" ht="15.75" customHeight="1">
      <c r="A8471" s="2" t="s">
        <v>8471</v>
      </c>
      <c r="B8471" s="2" t="str">
        <f>IFERROR(__xludf.DUMMYFUNCTION("GOOGLETRANSLATE(A8471, ""en"", ""mt"")"),"Daniel B. Burke")</f>
        <v>Daniel B. Burke</v>
      </c>
    </row>
    <row r="8472" ht="15.75" customHeight="1">
      <c r="A8472" s="2" t="s">
        <v>8472</v>
      </c>
      <c r="B8472" s="2" t="str">
        <f>IFERROR(__xludf.DUMMYFUNCTION("GOOGLETRANSLATE(A8472, ""en"", ""mt"")"),"Teorema ta ’Chen")</f>
        <v>Teorema ta ’Chen</v>
      </c>
    </row>
    <row r="8473" ht="15.75" customHeight="1">
      <c r="A8473" s="2" t="s">
        <v>8473</v>
      </c>
      <c r="B8473" s="2" t="str">
        <f>IFERROR(__xludf.DUMMYFUNCTION("GOOGLETRANSLATE(A8473, ""en"", ""mt"")"),"Fejn tingħad l-eqdem spiżerija li tinsab?")</f>
        <v>Fejn tingħad l-eqdem spiżerija li tinsab?</v>
      </c>
    </row>
    <row r="8474" ht="15.75" customHeight="1">
      <c r="A8474" s="2" t="s">
        <v>8474</v>
      </c>
      <c r="B8474" s="2" t="str">
        <f>IFERROR(__xludf.DUMMYFUNCTION("GOOGLETRANSLATE(A8474, ""en"", ""mt"")"),"ċertifikazzjoni")</f>
        <v>ċertifikazzjoni</v>
      </c>
    </row>
    <row r="8475" ht="15.75" customHeight="1">
      <c r="A8475" s="2" t="s">
        <v>8475</v>
      </c>
      <c r="B8475" s="2" t="str">
        <f>IFERROR(__xludf.DUMMYFUNCTION("GOOGLETRANSLATE(A8475, ""en"", ""mt"")"),"Fil-preżent, il-fergħat ta 'Waal u Nederrijn-Lek jeħilsu lejn il-Baħar tat-Tramuntana, permezz tal-Estwarju ta' Meuse ta 'qabel, qrib Rotterdam. Il-fergħa tax-Xmara IJSSel tgħaddi lejn it-tramuntana u tidħol fl-IJsselmeer, li qabel kienet il-Laguna Zuider"&amp;" Zee Brackish; Madankollu, mill-1932, lag tal-ilma ħelu. Il-kwittanza tar-Rhine hija maqsuma bejn tliet fergħat: ix-xmara waal (6/9 ta 'kwittanza totali), ix-xmara Nederrijn - Lek (2/9 ta' kwittanza totali) u l-ijssel tax-xmara (1/9 ta 'kwittanza totali)."&amp;" Din id-distribuzzjoni tal-kwittanza ilha tinżamm mill-1709, permezz ta 'xogħlijiet ta' inġinerija tax-xmajjar, inkluż it-tħaffir tal-kanal Pannerdens u sa mis-seklu 20, bl-għajnuna ta 'weirs fix-xmara Nederrijn.")</f>
        <v>Fil-preżent, il-fergħat ta 'Waal u Nederrijn-Lek jeħilsu lejn il-Baħar tat-Tramuntana, permezz tal-Estwarju ta' Meuse ta 'qabel, qrib Rotterdam. Il-fergħa tax-Xmara IJSSel tgħaddi lejn it-tramuntana u tidħol fl-IJsselmeer, li qabel kienet il-Laguna Zuider Zee Brackish; Madankollu, mill-1932, lag tal-ilma ħelu. Il-kwittanza tar-Rhine hija maqsuma bejn tliet fergħat: ix-xmara waal (6/9 ta 'kwittanza totali), ix-xmara Nederrijn - Lek (2/9 ta' kwittanza totali) u l-ijssel tax-xmara (1/9 ta 'kwittanza totali). Din id-distribuzzjoni tal-kwittanza ilha tinżamm mill-1709, permezz ta 'xogħlijiet ta' inġinerija tax-xmajjar, inkluż it-tħaffir tal-kanal Pannerdens u sa mis-seklu 20, bl-għajnuna ta 'weirs fix-xmara Nederrijn.</v>
      </c>
    </row>
    <row r="8476" ht="15.75" customHeight="1">
      <c r="A8476" s="2" t="s">
        <v>8476</v>
      </c>
      <c r="B8476" s="2" t="str">
        <f>IFERROR(__xludf.DUMMYFUNCTION("GOOGLETRANSLATE(A8476, ""en"", ""mt"")"),"F'liema settur qed jibdew jonqsu l-impjiegi?")</f>
        <v>F'liema settur qed jibdew jonqsu l-impjiegi?</v>
      </c>
    </row>
    <row r="8477" ht="15.75" customHeight="1">
      <c r="A8477" s="2" t="s">
        <v>8477</v>
      </c>
      <c r="B8477" s="2" t="str">
        <f>IFERROR(__xludf.DUMMYFUNCTION("GOOGLETRANSLATE(A8477, ""en"", ""mt"")"),"bi jew mingħajr l-għoqiedi li jibgħat intermedji")</f>
        <v>bi jew mingħajr l-għoqiedi li jibgħat intermedji</v>
      </c>
    </row>
    <row r="8478" ht="15.75" customHeight="1">
      <c r="A8478" s="2" t="s">
        <v>8478</v>
      </c>
      <c r="B8478" s="2" t="str">
        <f>IFERROR(__xludf.DUMMYFUNCTION("GOOGLETRANSLATE(A8478, ""en"", ""mt"")"),"X'inhu t-tieni aspett tal-entużjażmu tal-għalliema?")</f>
        <v>X'inhu t-tieni aspett tal-entużjażmu tal-għalliema?</v>
      </c>
    </row>
    <row r="8479" ht="15.75" customHeight="1">
      <c r="A8479" s="2" t="s">
        <v>8479</v>
      </c>
      <c r="B8479" s="2" t="str">
        <f>IFERROR(__xludf.DUMMYFUNCTION("GOOGLETRANSLATE(A8479, ""en"", ""mt"")"),"Xi jaħseb Paul Krugmen kellu effett osservabbli fuq l-inugwaljanza fl-Istati Uniti?")</f>
        <v>Xi jaħseb Paul Krugmen kellu effett osservabbli fuq l-inugwaljanza fl-Istati Uniti?</v>
      </c>
    </row>
    <row r="8480" ht="15.75" customHeight="1">
      <c r="A8480" s="2" t="s">
        <v>8480</v>
      </c>
      <c r="B8480" s="2" t="str">
        <f>IFERROR(__xludf.DUMMYFUNCTION("GOOGLETRANSLATE(A8480, ""en"", ""mt"")"),"Kemm jieklu ctenophore kuljum?")</f>
        <v>Kemm jieklu ctenophore kuljum?</v>
      </c>
    </row>
    <row r="8481" ht="15.75" customHeight="1">
      <c r="A8481" s="2" t="s">
        <v>8481</v>
      </c>
      <c r="B8481" s="2" t="str">
        <f>IFERROR(__xludf.DUMMYFUNCTION("GOOGLETRANSLATE(A8481, ""en"", ""mt"")"),"F’liema seklu ntużat is-sistema ta ’bilanċ ta’ Yarrow-Schlick-Tweedy?")</f>
        <v>F’liema seklu ntużat is-sistema ta ’bilanċ ta’ Yarrow-Schlick-Tweedy?</v>
      </c>
    </row>
    <row r="8482" ht="15.75" customHeight="1">
      <c r="A8482" s="2" t="s">
        <v>8482</v>
      </c>
      <c r="B8482" s="2" t="str">
        <f>IFERROR(__xludf.DUMMYFUNCTION("GOOGLETRANSLATE(A8482, ""en"", ""mt"")"),"Il-familja tan-nofs u moderna")</f>
        <v>Il-familja tan-nofs u moderna</v>
      </c>
    </row>
    <row r="8483" ht="15.75" customHeight="1">
      <c r="A8483" s="2" t="s">
        <v>8483</v>
      </c>
      <c r="B8483" s="2" t="str">
        <f>IFERROR(__xludf.DUMMYFUNCTION("GOOGLETRANSLATE(A8483, ""en"", ""mt"")"),"Le Grand jikkonkludi li l-kliem ta 'awtur joffru biss dak li huma maħsuba għalihom biex jimplikaw rigward dan it-tip ta' terminoloġija?")</f>
        <v>Le Grand jikkonkludi li l-kliem ta 'awtur joffru biss dak li huma maħsuba għalihom biex jimplikaw rigward dan it-tip ta' terminoloġija?</v>
      </c>
    </row>
    <row r="8484" ht="15.75" customHeight="1">
      <c r="A8484" s="2" t="s">
        <v>8484</v>
      </c>
      <c r="B8484" s="2" t="str">
        <f>IFERROR(__xludf.DUMMYFUNCTION("GOOGLETRANSLATE(A8484, ""en"", ""mt"")"),"Biex tlesti l-kostruzzjoni ta 'Wardenclyffe")</f>
        <v>Biex tlesti l-kostruzzjoni ta 'Wardenclyffe</v>
      </c>
    </row>
    <row r="8485" ht="15.75" customHeight="1">
      <c r="A8485" s="2" t="s">
        <v>8485</v>
      </c>
      <c r="B8485" s="2" t="str">
        <f>IFERROR(__xludf.DUMMYFUNCTION("GOOGLETRANSLATE(A8485, ""en"", ""mt"")"),"1943")</f>
        <v>1943</v>
      </c>
    </row>
    <row r="8486" ht="15.75" customHeight="1">
      <c r="A8486" s="2" t="s">
        <v>8486</v>
      </c>
      <c r="B8486" s="2" t="str">
        <f>IFERROR(__xludf.DUMMYFUNCTION("GOOGLETRANSLATE(A8486, ""en"", ""mt"")"),"Invażjoni tal-Gran Brittanja")</f>
        <v>Invażjoni tal-Gran Brittanja</v>
      </c>
    </row>
    <row r="8487" ht="15.75" customHeight="1">
      <c r="A8487" s="2" t="s">
        <v>8487</v>
      </c>
      <c r="B8487" s="2" t="str">
        <f>IFERROR(__xludf.DUMMYFUNCTION("GOOGLETRANSLATE(A8487, ""en"", ""mt"")"),"Djalogu Nazzjonali u Proċess ta 'Rikonċiljazzjoni tal-Kenja")</f>
        <v>Djalogu Nazzjonali u Proċess ta 'Rikonċiljazzjoni tal-Kenja</v>
      </c>
    </row>
    <row r="8488" ht="15.75" customHeight="1">
      <c r="A8488" s="2" t="s">
        <v>8488</v>
      </c>
      <c r="B8488" s="2" t="str">
        <f>IFERROR(__xludf.DUMMYFUNCTION("GOOGLETRANSLATE(A8488, ""en"", ""mt"")"),"Dejjem aktar mistenni li jkun ikkumpensat għall-ħiliet tal-kura tal-pazjent tagħhom")</f>
        <v>Dejjem aktar mistenni li jkun ikkumpensat għall-ħiliet tal-kura tal-pazjent tagħhom</v>
      </c>
    </row>
    <row r="8489" ht="15.75" customHeight="1">
      <c r="A8489" s="2" t="s">
        <v>8489</v>
      </c>
      <c r="B8489" s="2" t="str">
        <f>IFERROR(__xludf.DUMMYFUNCTION("GOOGLETRANSLATE(A8489, ""en"", ""mt"")"),"Super Bowl li.")</f>
        <v>Super Bowl li.</v>
      </c>
    </row>
    <row r="8490" ht="15.75" customHeight="1">
      <c r="A8490" s="2" t="s">
        <v>8490</v>
      </c>
      <c r="B8490" s="2" t="str">
        <f>IFERROR(__xludf.DUMMYFUNCTION("GOOGLETRANSLATE(A8490, ""en"", ""mt"")"),"tagħti tfittxija ta 'kunsens")</f>
        <v>tagħti tfittxija ta 'kunsens</v>
      </c>
    </row>
    <row r="8491" ht="15.75" customHeight="1">
      <c r="A8491" s="2" t="s">
        <v>8491</v>
      </c>
      <c r="B8491" s="2" t="str">
        <f>IFERROR(__xludf.DUMMYFUNCTION("GOOGLETRANSLATE(A8491, ""en"", ""mt"")"),"Semi-legali")</f>
        <v>Semi-legali</v>
      </c>
    </row>
    <row r="8492" ht="15.75" customHeight="1">
      <c r="A8492" s="2" t="s">
        <v>8492</v>
      </c>
      <c r="B8492" s="2" t="str">
        <f>IFERROR(__xludf.DUMMYFUNCTION("GOOGLETRANSLATE(A8492, ""en"", ""mt"")"),"Mudell tal-magna magħżul")</f>
        <v>Mudell tal-magna magħżul</v>
      </c>
    </row>
    <row r="8493" ht="15.75" customHeight="1">
      <c r="A8493" s="2" t="s">
        <v>8493</v>
      </c>
      <c r="B8493" s="2" t="str">
        <f>IFERROR(__xludf.DUMMYFUNCTION("GOOGLETRANSLATE(A8493, ""en"", ""mt"")"),"Diffikultà ta 'l-intonazzjoni tagħha")</f>
        <v>Diffikultà ta 'l-intonazzjoni tagħha</v>
      </c>
    </row>
    <row r="8494" ht="15.75" customHeight="1">
      <c r="A8494" s="2" t="s">
        <v>8494</v>
      </c>
      <c r="B8494" s="2" t="str">
        <f>IFERROR(__xludf.DUMMYFUNCTION("GOOGLETRANSLATE(A8494, ""en"", ""mt"")"),"klassijiet ta 'fuq")</f>
        <v>klassijiet ta 'fuq</v>
      </c>
    </row>
    <row r="8495" ht="15.75" customHeight="1">
      <c r="A8495" s="2" t="s">
        <v>8495</v>
      </c>
      <c r="B8495" s="2" t="str">
        <f>IFERROR(__xludf.DUMMYFUNCTION("GOOGLETRANSLATE(A8495, ""en"", ""mt"")"),"Min hu eżempju tad-diversità tat-tmexxija fl-imperu Mongoljan?")</f>
        <v>Min hu eżempju tad-diversità tat-tmexxija fl-imperu Mongoljan?</v>
      </c>
    </row>
    <row r="8496" ht="15.75" customHeight="1">
      <c r="A8496" s="2" t="s">
        <v>8496</v>
      </c>
      <c r="B8496" s="2" t="str">
        <f>IFERROR(__xludf.DUMMYFUNCTION("GOOGLETRANSLATE(A8496, ""en"", ""mt"")"),"MSP wieħed")</f>
        <v>MSP wieħed</v>
      </c>
    </row>
    <row r="8497" ht="15.75" customHeight="1">
      <c r="A8497" s="2" t="s">
        <v>8497</v>
      </c>
      <c r="B8497" s="2" t="str">
        <f>IFERROR(__xludf.DUMMYFUNCTION("GOOGLETRANSLATE(A8497, ""en"", ""mt"")"),"Il-President Eġizzjan Anwar Sadat - li l-politiki tiegħu kienu jinkludu l-ftuħ tal-Eġittu għall-Investiment tal-Punent (Infitah); it-trasferiment tal-lealtà tal-Eġittu mill-Unjoni Sovjetika lejn l-Istati Uniti; U jagħmel il-paċi ma 'l-Iżrael - rilaxxat Iż"&amp;"lamisti mill-ħabs u laqgħu l-eżiljati tad-dar fl-iskambju taċitu għall-appoġġ politiku fit-taqbida tiegħu kontra x-xellugin. L- ""inkoraġġiment tal-emerġenza tal-moviment Iżlamista"" kien qal li kien ""imitat minn bosta mexxejja Musulmani oħra fis-snin li"&amp;" ġew wara."" Dan il- ""ftehim ta 'rġulija"" bejn Sadat u Iżlamisti kissru fl-1975 iżda mhux qabel l-Iżlamisti waslu biex jiddominaw kompletament l-għaqdiet ta' studenti universitarji. Sadat aktar tard ġie maqtul u ribelljoni formidabbli ġiet iffurmata fl-"&amp;"Eġittu fid-disgħinijiet. Il-gvern Franċiż ġie rrappurtat ukoll li ppromwova l-predikaturi Iżlamisti ""bit-tama li jwasslu l-enerġiji Musulmani f'żoni ta 'pjetà u karità.""")</f>
        <v>Il-President Eġizzjan Anwar Sadat - li l-politiki tiegħu kienu jinkludu l-ftuħ tal-Eġittu għall-Investiment tal-Punent (Infitah); it-trasferiment tal-lealtà tal-Eġittu mill-Unjoni Sovjetika lejn l-Istati Uniti; U jagħmel il-paċi ma 'l-Iżrael - rilaxxat Iżlamisti mill-ħabs u laqgħu l-eżiljati tad-dar fl-iskambju taċitu għall-appoġġ politiku fit-taqbida tiegħu kontra x-xellugin. L- "inkoraġġiment tal-emerġenza tal-moviment Iżlamista" kien qal li kien "imitat minn bosta mexxejja Musulmani oħra fis-snin li ġew wara." Dan il- "ftehim ta 'rġulija" bejn Sadat u Iżlamisti kissru fl-1975 iżda mhux qabel l-Iżlamisti waslu biex jiddominaw kompletament l-għaqdiet ta' studenti universitarji. Sadat aktar tard ġie maqtul u ribelljoni formidabbli ġiet iffurmata fl-Eġittu fid-disgħinijiet. Il-gvern Franċiż ġie rrappurtat ukoll li ppromwova l-predikaturi Iżlamisti "bit-tama li jwasslu l-enerġiji Musulmani f'żoni ta 'pjetà u karità."</v>
      </c>
    </row>
    <row r="8498" ht="15.75" customHeight="1">
      <c r="A8498" s="2" t="s">
        <v>8498</v>
      </c>
      <c r="B8498" s="2" t="str">
        <f>IFERROR(__xludf.DUMMYFUNCTION("GOOGLETRANSLATE(A8498, ""en"", ""mt"")"),"$ 8.7 biljun")</f>
        <v>$ 8.7 biljun</v>
      </c>
    </row>
    <row r="8499" ht="15.75" customHeight="1">
      <c r="A8499" s="2" t="s">
        <v>8499</v>
      </c>
      <c r="B8499" s="2" t="str">
        <f>IFERROR(__xludf.DUMMYFUNCTION("GOOGLETRANSLATE(A8499, ""en"", ""mt"")"),"Maria Skłodowska-Curie")</f>
        <v>Maria Skłodowska-Curie</v>
      </c>
    </row>
    <row r="8500" ht="15.75" customHeight="1">
      <c r="A8500" s="2" t="s">
        <v>8500</v>
      </c>
      <c r="B8500" s="2" t="str">
        <f>IFERROR(__xludf.DUMMYFUNCTION("GOOGLETRANSLATE(A8500, ""en"", ""mt"")"),"1850s")</f>
        <v>1850s</v>
      </c>
    </row>
    <row r="8501" ht="15.75" customHeight="1">
      <c r="A8501" s="2" t="s">
        <v>8501</v>
      </c>
      <c r="B8501" s="2" t="str">
        <f>IFERROR(__xludf.DUMMYFUNCTION("GOOGLETRANSLATE(A8501, ""en"", ""mt"")"),"Liema attur Amerikan huwa wkoll gradwat universitarju?")</f>
        <v>Liema attur Amerikan huwa wkoll gradwat universitarju?</v>
      </c>
    </row>
    <row r="8502" ht="15.75" customHeight="1">
      <c r="A8502" s="2" t="s">
        <v>8502</v>
      </c>
      <c r="B8502" s="2" t="str">
        <f>IFERROR(__xludf.DUMMYFUNCTION("GOOGLETRANSLATE(A8502, ""en"", ""mt"")"),"Tliet diviżjonijiet biss")</f>
        <v>Tliet diviżjonijiet biss</v>
      </c>
    </row>
    <row r="8503" ht="15.75" customHeight="1">
      <c r="A8503" s="2" t="s">
        <v>8503</v>
      </c>
      <c r="B8503" s="2" t="str">
        <f>IFERROR(__xludf.DUMMYFUNCTION("GOOGLETRANSLATE(A8503, ""en"", ""mt"")"),"Esperjenza, ideoloġija, u armi")</f>
        <v>Esperjenza, ideoloġija, u armi</v>
      </c>
    </row>
    <row r="8504" ht="15.75" customHeight="1">
      <c r="A8504" s="2" t="s">
        <v>8504</v>
      </c>
      <c r="B8504" s="2" t="str">
        <f>IFERROR(__xludf.DUMMYFUNCTION("GOOGLETRANSLATE(A8504, ""en"", ""mt"")"),"Iwweldjar ta 'oxyacetylene")</f>
        <v>Iwweldjar ta 'oxyacetylene</v>
      </c>
    </row>
    <row r="8505" ht="15.75" customHeight="1">
      <c r="A8505" s="2" t="s">
        <v>8505</v>
      </c>
      <c r="B8505" s="2" t="str">
        <f>IFERROR(__xludf.DUMMYFUNCTION("GOOGLETRANSLATE(A8505, ""en"", ""mt"")"),"Skond Politifact l-aqwa 400 Amerikani l-aktar sinjuri ""għandhom aktar ġid minn nofs l-Amerikani kollha magħquda."" Skond in-New York Times fit-22 ta 'Lulju, 2014, l- ""1 fil-mija l-aktar sinjur fl-Istati Uniti issa għandhom aktar ġid mill-qiegħ 90 fil-mi"&amp;"ja"". Il-ġid li jintiret jista 'jgħin biex jispjega għaliex ħafna Amerikani li saru sinjuri setgħu kellhom ""bidu sostanzjali"". F'Settembru 2012, skont l-Istitut għall-Istudji tal-Politika, ""aktar minn 60 fil-mija"" tal-Forbes l-aktar sinjur 400 Amerika"&amp;"n ""kiber bi privileġġ sostanzjali"".")</f>
        <v>Skond Politifact l-aqwa 400 Amerikani l-aktar sinjuri "għandhom aktar ġid minn nofs l-Amerikani kollha magħquda." Skond in-New York Times fit-22 ta 'Lulju, 2014, l- "1 fil-mija l-aktar sinjur fl-Istati Uniti issa għandhom aktar ġid mill-qiegħ 90 fil-mija". Il-ġid li jintiret jista 'jgħin biex jispjega għaliex ħafna Amerikani li saru sinjuri setgħu kellhom "bidu sostanzjali". F'Settembru 2012, skont l-Istitut għall-Istudji tal-Politika, "aktar minn 60 fil-mija" tal-Forbes l-aktar sinjur 400 Amerikan "kiber bi privileġġ sostanzjali".</v>
      </c>
    </row>
    <row r="8506" ht="15.75" customHeight="1">
      <c r="A8506" s="2" t="s">
        <v>8506</v>
      </c>
      <c r="B8506" s="2" t="str">
        <f>IFERROR(__xludf.DUMMYFUNCTION("GOOGLETRANSLATE(A8506, ""en"", ""mt"")"),"Awtokratiku-burokratiku")</f>
        <v>Awtokratiku-burokratiku</v>
      </c>
    </row>
    <row r="8507" ht="15.75" customHeight="1">
      <c r="A8507" s="2" t="s">
        <v>8507</v>
      </c>
      <c r="B8507" s="2" t="str">
        <f>IFERROR(__xludf.DUMMYFUNCTION("GOOGLETRANSLATE(A8507, ""en"", ""mt"")"),"F'liema inbidlet il-Laguna Zuider Zee Brackish?")</f>
        <v>F'liema inbidlet il-Laguna Zuider Zee Brackish?</v>
      </c>
    </row>
    <row r="8508" ht="15.75" customHeight="1">
      <c r="A8508" s="2" t="s">
        <v>8508</v>
      </c>
      <c r="B8508" s="2" t="str">
        <f>IFERROR(__xludf.DUMMYFUNCTION("GOOGLETRANSLATE(A8508, ""en"", ""mt"")"),"Madwar erba 'rġiel li jattendu l-Kulleġġ ta' Harvard għal kull mara li tistudja f'Radcliffe")</f>
        <v>Madwar erba 'rġiel li jattendu l-Kulleġġ ta' Harvard għal kull mara li tistudja f'Radcliffe</v>
      </c>
    </row>
    <row r="8509" ht="15.75" customHeight="1">
      <c r="A8509" s="2" t="s">
        <v>8509</v>
      </c>
      <c r="B8509" s="2" t="str">
        <f>IFERROR(__xludf.DUMMYFUNCTION("GOOGLETRANSLATE(A8509, ""en"", ""mt"")"),"Adolf Galland")</f>
        <v>Adolf Galland</v>
      </c>
    </row>
    <row r="8510" ht="15.75" customHeight="1">
      <c r="A8510" s="2" t="s">
        <v>8510</v>
      </c>
      <c r="B8510" s="2" t="str">
        <f>IFERROR(__xludf.DUMMYFUNCTION("GOOGLETRANSLATE(A8510, ""en"", ""mt"")"),"Filmmakers ibbażati fuq New York")</f>
        <v>Filmmakers ibbażati fuq New York</v>
      </c>
    </row>
    <row r="8511" ht="15.75" customHeight="1">
      <c r="A8511" s="2" t="s">
        <v>8511</v>
      </c>
      <c r="B8511" s="2" t="str">
        <f>IFERROR(__xludf.DUMMYFUNCTION("GOOGLETRANSLATE(A8511, ""en"", ""mt"")"),"kriminali")</f>
        <v>kriminali</v>
      </c>
    </row>
    <row r="8512" ht="15.75" customHeight="1">
      <c r="A8512" s="2" t="s">
        <v>8512</v>
      </c>
      <c r="B8512" s="2" t="str">
        <f>IFERROR(__xludf.DUMMYFUNCTION("GOOGLETRANSLATE(A8512, ""en"", ""mt"")"),"Rubisco")</f>
        <v>Rubisco</v>
      </c>
    </row>
    <row r="8513" ht="15.75" customHeight="1">
      <c r="A8513" s="2" t="s">
        <v>8513</v>
      </c>
      <c r="B8513" s="2" t="str">
        <f>IFERROR(__xludf.DUMMYFUNCTION("GOOGLETRANSLATE(A8513, ""en"", ""mt"")"),"Liema porzjon ta 'speċi ta' għasafar jiffurmaw it-total tad-dinja li jgħixu fil-foresta tropikali?")</f>
        <v>Liema porzjon ta 'speċi ta' għasafar jiffurmaw it-total tad-dinja li jgħixu fil-foresta tropikali?</v>
      </c>
    </row>
    <row r="8514" ht="15.75" customHeight="1">
      <c r="A8514" s="2" t="s">
        <v>8514</v>
      </c>
      <c r="B8514" s="2" t="str">
        <f>IFERROR(__xludf.DUMMYFUNCTION("GOOGLETRANSLATE(A8514, ""en"", ""mt"")"),"sa elf darba daqs ħafna")</f>
        <v>sa elf darba daqs ħafna</v>
      </c>
    </row>
    <row r="8515" ht="15.75" customHeight="1">
      <c r="A8515" s="2" t="s">
        <v>8515</v>
      </c>
      <c r="B8515" s="2" t="str">
        <f>IFERROR(__xludf.DUMMYFUNCTION("GOOGLETRANSLATE(A8515, ""en"", ""mt"")"),"L-Amministrazzjoni tal-Arkivji Nazzjonali u r-Rekords")</f>
        <v>L-Amministrazzjoni tal-Arkivji Nazzjonali u r-Rekords</v>
      </c>
    </row>
    <row r="8516" ht="15.75" customHeight="1">
      <c r="A8516" s="2" t="s">
        <v>8516</v>
      </c>
      <c r="B8516" s="2" t="str">
        <f>IFERROR(__xludf.DUMMYFUNCTION("GOOGLETRANSLATE(A8516, ""en"", ""mt"")"),"widien")</f>
        <v>widien</v>
      </c>
    </row>
    <row r="8517" ht="15.75" customHeight="1">
      <c r="A8517" s="2" t="s">
        <v>8517</v>
      </c>
      <c r="B8517" s="2" t="str">
        <f>IFERROR(__xludf.DUMMYFUNCTION("GOOGLETRANSLATE(A8517, ""en"", ""mt"")"),"Meta Mark Woods telaq minn ABC?")</f>
        <v>Meta Mark Woods telaq minn ABC?</v>
      </c>
    </row>
    <row r="8518" ht="15.75" customHeight="1">
      <c r="A8518" s="2" t="s">
        <v>8518</v>
      </c>
      <c r="B8518" s="2" t="str">
        <f>IFERROR(__xludf.DUMMYFUNCTION("GOOGLETRANSLATE(A8518, ""en"", ""mt"")"),"Matul liema perjodu fl-istorja kien il-foresta tropikali tal-Amazon faxxa dejqa ta 'foresta?")</f>
        <v>Matul liema perjodu fl-istorja kien il-foresta tropikali tal-Amazon faxxa dejqa ta 'foresta?</v>
      </c>
    </row>
    <row r="8519" ht="15.75" customHeight="1">
      <c r="A8519" s="2" t="s">
        <v>8519</v>
      </c>
      <c r="B8519" s="2" t="str">
        <f>IFERROR(__xludf.DUMMYFUNCTION("GOOGLETRANSLATE(A8519, ""en"", ""mt"")"),"Liema pajjiżi kienu l-Ftehim Ewropew tal-Komunità tal-Faħam u l-Azzar?")</f>
        <v>Liema pajjiżi kienu l-Ftehim Ewropew tal-Komunità tal-Faħam u l-Azzar?</v>
      </c>
    </row>
    <row r="8520" ht="15.75" customHeight="1">
      <c r="A8520" s="2" t="s">
        <v>8520</v>
      </c>
      <c r="B8520" s="2" t="str">
        <f>IFERROR(__xludf.DUMMYFUNCTION("GOOGLETRANSLATE(A8520, ""en"", ""mt"")"),"Min huma l-liġijiet tal-AID kontra l-importazzjoni ta 'mediċini mmirati?")</f>
        <v>Min huma l-liġijiet tal-AID kontra l-importazzjoni ta 'mediċini mmirati?</v>
      </c>
    </row>
    <row r="8521" ht="15.75" customHeight="1">
      <c r="A8521" s="2" t="s">
        <v>8521</v>
      </c>
      <c r="B8521" s="2" t="str">
        <f>IFERROR(__xludf.DUMMYFUNCTION("GOOGLETRANSLATE(A8521, ""en"", ""mt"")"),"Dyrrachium")</f>
        <v>Dyrrachium</v>
      </c>
    </row>
    <row r="8522" ht="15.75" customHeight="1">
      <c r="A8522" s="2" t="s">
        <v>8522</v>
      </c>
      <c r="B8522" s="2" t="str">
        <f>IFERROR(__xludf.DUMMYFUNCTION("GOOGLETRANSLATE(A8522, ""en"", ""mt"")"),"1321 sa 1323")</f>
        <v>1321 sa 1323</v>
      </c>
    </row>
    <row r="8523" ht="15.75" customHeight="1">
      <c r="A8523" s="2" t="s">
        <v>8523</v>
      </c>
      <c r="B8523" s="2" t="str">
        <f>IFERROR(__xludf.DUMMYFUNCTION("GOOGLETRANSLATE(A8523, ""en"", ""mt"")"),"Manifattura fuq skala żgħira ta 'oġġetti tad-dar, partijiet ta' vetturi bil-mutur, u implimentazzjoni tar-razzett")</f>
        <v>Manifattura fuq skala żgħira ta 'oġġetti tad-dar, partijiet ta' vetturi bil-mutur, u implimentazzjoni tar-razzett</v>
      </c>
    </row>
    <row r="8524" ht="15.75" customHeight="1">
      <c r="A8524" s="2" t="s">
        <v>8524</v>
      </c>
      <c r="B8524" s="2" t="str">
        <f>IFERROR(__xludf.DUMMYFUNCTION("GOOGLETRANSLATE(A8524, ""en"", ""mt"")"),"Sistema Platoon """)</f>
        <v>Sistema Platoon "</v>
      </c>
    </row>
    <row r="8525" ht="15.75" customHeight="1">
      <c r="A8525" s="2" t="s">
        <v>8525</v>
      </c>
      <c r="B8525" s="2" t="str">
        <f>IFERROR(__xludf.DUMMYFUNCTION("GOOGLETRANSLATE(A8525, ""en"", ""mt"")"),"il-qalba komuni")</f>
        <v>il-qalba komuni</v>
      </c>
    </row>
    <row r="8526" ht="15.75" customHeight="1">
      <c r="A8526" s="2" t="s">
        <v>8526</v>
      </c>
      <c r="B8526" s="2" t="str">
        <f>IFERROR(__xludf.DUMMYFUNCTION("GOOGLETRANSLATE(A8526, ""en"", ""mt"")"),"Meta rritorna l-pesta lejn l-Ewropa?")</f>
        <v>Meta rritorna l-pesta lejn l-Ewropa?</v>
      </c>
    </row>
    <row r="8527" ht="15.75" customHeight="1">
      <c r="A8527" s="2" t="s">
        <v>8527</v>
      </c>
      <c r="B8527" s="2" t="str">
        <f>IFERROR(__xludf.DUMMYFUNCTION("GOOGLETRANSLATE(A8527, ""en"", ""mt"")"),"numru ta 'kwalifiki")</f>
        <v>numru ta 'kwalifiki</v>
      </c>
    </row>
    <row r="8528" ht="15.75" customHeight="1">
      <c r="A8528" s="2" t="s">
        <v>8528</v>
      </c>
      <c r="B8528" s="2" t="str">
        <f>IFERROR(__xludf.DUMMYFUNCTION("GOOGLETRANSLATE(A8528, ""en"", ""mt"")"),"Il-liġi tal-Unjoni Ewropea hija applikata mill-qrati ta 'l-Istati Membri u l-Qorti tal-Ġustizzja ta' l-Unjoni Ewropea. Fejn il-liġijiet tal-istati membri jipprovdu għal-liġi tal-Unjoni Ewropea tad-drittijiet inqas jistgħu jiġu infurzati mill-qrati tal-ist"&amp;"ati membri. Fil-każ tal-liġi tal-Unjoni Ewropea li suppost ġiet trasposta fil-liġijiet tal-istati membri, bħal direttivi, il-Kummissjoni Ewropea tista 'tieħu proċeduri kontra l-Istat Membru taħt it-Trattat dwar il-Funzjonament tal-Unjoni Ewropea. Il-Qorti"&amp;" Ewropea tal-Ġustizzja hija l-ogħla qorti li kapaċi tinterpreta l-liġi tal-Unjoni Ewropea. Sorsi supplimentari tal-liġi tal-Unjoni Ewropea jinkludu ġurisprudenza mill-Qorti tal-Ġustizzja, Liġi Internazzjonali u Prinċipji Ġenerali tal-Liġi tal-Unjoni Ewrop"&amp;"ea.")</f>
        <v>Il-liġi tal-Unjoni Ewropea hija applikata mill-qrati ta 'l-Istati Membri u l-Qorti tal-Ġustizzja ta' l-Unjoni Ewropea. Fejn il-liġijiet tal-istati membri jipprovdu għal-liġi tal-Unjoni Ewropea tad-drittijiet inqas jistgħu jiġu infurzati mill-qrati tal-istati membri. Fil-każ tal-liġi tal-Unjoni Ewropea li suppost ġiet trasposta fil-liġijiet tal-istati membri, bħal direttivi, il-Kummissjoni Ewropea tista 'tieħu proċeduri kontra l-Istat Membru taħt it-Trattat dwar il-Funzjonament tal-Unjoni Ewropea. Il-Qorti Ewropea tal-Ġustizzja hija l-ogħla qorti li kapaċi tinterpreta l-liġi tal-Unjoni Ewropea. Sorsi supplimentari tal-liġi tal-Unjoni Ewropea jinkludu ġurisprudenza mill-Qorti tal-Ġustizzja, Liġi Internazzjonali u Prinċipji Ġenerali tal-Liġi tal-Unjoni Ewropea.</v>
      </c>
    </row>
    <row r="8529" ht="15.75" customHeight="1">
      <c r="A8529" s="2" t="s">
        <v>8529</v>
      </c>
      <c r="B8529" s="2" t="str">
        <f>IFERROR(__xludf.DUMMYFUNCTION("GOOGLETRANSLATE(A8529, ""en"", ""mt"")"),"X'inhu t-terminu għal laqgħa tal-kapijiet tal-Mongolja?")</f>
        <v>X'inhu t-terminu għal laqgħa tal-kapijiet tal-Mongolja?</v>
      </c>
    </row>
    <row r="8530" ht="15.75" customHeight="1">
      <c r="A8530" s="2" t="s">
        <v>8530</v>
      </c>
      <c r="B8530" s="2" t="str">
        <f>IFERROR(__xludf.DUMMYFUNCTION("GOOGLETRANSLATE(A8530, ""en"", ""mt"")"),"Tkopri s-silġ jinħall u l-waqgħa tax-xitwa")</f>
        <v>Tkopri s-silġ jinħall u l-waqgħa tax-xitwa</v>
      </c>
    </row>
    <row r="8531" ht="15.75" customHeight="1">
      <c r="A8531" s="2" t="s">
        <v>8531</v>
      </c>
      <c r="B8531" s="2" t="str">
        <f>IFERROR(__xludf.DUMMYFUNCTION("GOOGLETRANSLATE(A8531, ""en"", ""mt"")"),"lokomozzjoni")</f>
        <v>lokomozzjoni</v>
      </c>
    </row>
    <row r="8532" ht="15.75" customHeight="1">
      <c r="A8532" s="2" t="s">
        <v>8532</v>
      </c>
      <c r="B8532" s="2" t="str">
        <f>IFERROR(__xludf.DUMMYFUNCTION("GOOGLETRANSLATE(A8532, ""en"", ""mt"")"),"It-tagħlim bl-użu tal-pedagoġija jinvolvi wkoll il-valutazzjoni tal-livelli edukattivi tal-istudenti fuq ħiliet partikolari. Li tifhem il-pedagoġija tal-istudenti fi klassi tinvolvi l-użu ta 'struzzjoni differenzjata kif ukoll superviżjoni biex tissodisfa"&amp;" l-bżonnijiet tal-istudenti kollha fil-klassi. Il-pedagoġija tista 'tkun maħsuba f'żewġ manjieri. L-ewwel, it-tagħlim innifsu jista 'jiġi mgħallem b'ħafna modi differenti, għalhekk, bl-użu ta' pedagoġija ta 'stili ta' tagħlim. It-tieni, il-pedagoġija ta '"&amp;"l-istudenti tidħol fis-seħħ meta għalliem jivvaluta d-diversità pedagoġika tal-istudenti tiegħu / tagħha u jiddistingwi għall-istudenti individwali kif xieraq. Pereżempju, għalliem u ġenitur b'esperjenza ddeskrivew il-post ta 'għalliem fit-tagħlim kif ġej"&amp;": ""Il-biċċa l-kbira tat-tagħlim isseħħ fl-awto-studju u s-soluzzjoni tal-problemi b'ħafna feedback madwar dik il-linja. Il-funzjoni tal-għalliem hija li Pressjoni lill-għażżien, tispira l-imdejjaq, tgħolli l-cocky, tħeġġeġ id-difetti timidi, tiskopri u t"&amp;"ikkoreġi, u twessa 'l-perspettiva ta' kulħadd. Din il-funzjoni tidher bħal dik ta 'kowċ li juża l-iskala sħiħa tal-psikoloġija biex tikseb kull klassi ġdida ta' rookies barra mill-bank u fil-logħba. """)</f>
        <v>It-tagħlim bl-użu tal-pedagoġija jinvolvi wkoll il-valutazzjoni tal-livelli edukattivi tal-istudenti fuq ħiliet partikolari. Li tifhem il-pedagoġija tal-istudenti fi klassi tinvolvi l-użu ta 'struzzjoni differenzjata kif ukoll superviżjoni biex tissodisfa l-bżonnijiet tal-istudenti kollha fil-klassi. Il-pedagoġija tista 'tkun maħsuba f'żewġ manjieri. L-ewwel, it-tagħlim innifsu jista 'jiġi mgħallem b'ħafna modi differenti, għalhekk, bl-użu ta' pedagoġija ta 'stili ta' tagħlim. It-tieni, il-pedagoġija ta 'l-istudenti tidħol fis-seħħ meta għalliem jivvaluta d-diversità pedagoġika tal-istudenti tiegħu / tagħha u jiddistingwi għall-istudenti individwali kif xieraq. Pereżempju, għalliem u ġenitur b'esperjenza ddeskrivew il-post ta 'għalliem fit-tagħlim kif ġej: "Il-biċċa l-kbira tat-tagħlim isseħħ fl-awto-studju u s-soluzzjoni tal-problemi b'ħafna feedback madwar dik il-linja. Il-funzjoni tal-għalliem hija li Pressjoni lill-għażżien, tispira l-imdejjaq, tgħolli l-cocky, tħeġġeġ id-difetti timidi, tiskopri u tikkoreġi, u twessa 'l-perspettiva ta' kulħadd. Din il-funzjoni tidher bħal dik ta 'kowċ li juża l-iskala sħiħa tal-psikoloġija biex tikseb kull klassi ġdida ta' rookies barra mill-bank u fil-logħba. "</v>
      </c>
    </row>
    <row r="8533" ht="15.75" customHeight="1">
      <c r="A8533" s="2" t="s">
        <v>8533</v>
      </c>
      <c r="B8533" s="2" t="str">
        <f>IFERROR(__xludf.DUMMYFUNCTION("GOOGLETRANSLATE(A8533, ""en"", ""mt"")"),"Iċ-ċelloli T tal-għajnuna u regolatorji jistgħu jirrikonoxxu biss antiġeni akkoppjati ma 'x'tip ta' molekuli?")</f>
        <v>Iċ-ċelloli T tal-għajnuna u regolatorji jistgħu jirrikonoxxu biss antiġeni akkoppjati ma 'x'tip ta' molekuli?</v>
      </c>
    </row>
    <row r="8534" ht="15.75" customHeight="1">
      <c r="A8534" s="2" t="s">
        <v>8534</v>
      </c>
      <c r="B8534" s="2" t="str">
        <f>IFERROR(__xludf.DUMMYFUNCTION("GOOGLETRANSLATE(A8534, ""en"", ""mt"")"),"Programm ta 'Żvilupp Ekonomiku")</f>
        <v>Programm ta 'Żvilupp Ekonomiku</v>
      </c>
    </row>
    <row r="8535" ht="15.75" customHeight="1">
      <c r="A8535" s="2" t="s">
        <v>8535</v>
      </c>
      <c r="B8535" s="2" t="str">
        <f>IFERROR(__xludf.DUMMYFUNCTION("GOOGLETRANSLATE(A8535, ""en"", ""mt"")"),"Kardinali")</f>
        <v>Kardinali</v>
      </c>
    </row>
    <row r="8536" ht="15.75" customHeight="1">
      <c r="A8536" s="2" t="s">
        <v>8536</v>
      </c>
      <c r="B8536" s="2" t="str">
        <f>IFERROR(__xludf.DUMMYFUNCTION("GOOGLETRANSLATE(A8536, ""en"", ""mt"")"),"Għal liema tipi ta 'dixxiplina kellu aċċess għall-għalliem?")</f>
        <v>Għal liema tipi ta 'dixxiplina kellu aċċess għall-għalliem?</v>
      </c>
    </row>
    <row r="8537" ht="15.75" customHeight="1">
      <c r="A8537" s="2" t="s">
        <v>8537</v>
      </c>
      <c r="B8537" s="2" t="str">
        <f>IFERROR(__xludf.DUMMYFUNCTION("GOOGLETRANSLATE(A8537, ""en"", ""mt"")"),"Wara sena")</f>
        <v>Wara sena</v>
      </c>
    </row>
    <row r="8538" ht="15.75" customHeight="1">
      <c r="A8538" s="2" t="s">
        <v>8538</v>
      </c>
      <c r="B8538" s="2" t="str">
        <f>IFERROR(__xludf.DUMMYFUNCTION("GOOGLETRANSLATE(A8538, ""en"", ""mt"")"),"Liema logħob tal-logħob li fih nies miżżewġin li għadhom kemm ġew iddebuttati minn ABC f'Lulju 1966?")</f>
        <v>Liema logħob tal-logħob li fih nies miżżewġin li għadhom kemm ġew iddebuttati minn ABC f'Lulju 1966?</v>
      </c>
    </row>
    <row r="8539" ht="15.75" customHeight="1">
      <c r="A8539" s="2" t="s">
        <v>8539</v>
      </c>
      <c r="B8539" s="2" t="str">
        <f>IFERROR(__xludf.DUMMYFUNCTION("GOOGLETRANSLATE(A8539, ""en"", ""mt"")"),"Liema dinastija leġittima waslet quddiem il-wan?")</f>
        <v>Liema dinastija leġittima waslet quddiem il-wan?</v>
      </c>
    </row>
    <row r="8540" ht="15.75" customHeight="1">
      <c r="A8540" s="2" t="s">
        <v>8540</v>
      </c>
      <c r="B8540" s="2" t="str">
        <f>IFERROR(__xludf.DUMMYFUNCTION("GOOGLETRANSLATE(A8540, ""en"", ""mt"")"),"Fl-1929, il-ħames president tal-università, Robert Maynard Hutchins, ħa l-kariga; L-università għaddiet minn ħafna bidliet matul il-mandat ta '24 sena tiegħu. Hutchins elimina l-futbol tal-varsity mill-università f'attentat biex jenfasizza l-akkademiċi fu"&amp;"q l-atletika, stabbilixxa l-kurrikulu liberali tal-kulleġġ li għadhom ma ggradwawx magħruf bħala l-Qofol Komuni, u organizza x-xogħol gradwat tal-università fil-kurrent tagħha [meta?] Erba 'diviżjonijiet. Fl-1933, Hutchins ippropona pjan li ma rnexxiex bi"&amp;"ex jingħaqad l-Università ta 'Chicago u l-Università tal-Majjistral f'università waħda. Matul il-mandat tiegħu, l-isptarijiet tal-Università ta ’Chicago (issa msejħa l-Università ta’ Chicago Medical Center) temmew il-kostruzzjoni u rreġistraw l-ewwel stud"&amp;"enti mediċi tagħha. Inħoloq ukoll, il-Kumitat għall-Ħsieb Soċjali, istituzzjoni distintiva tal-università.")</f>
        <v>Fl-1929, il-ħames president tal-università, Robert Maynard Hutchins, ħa l-kariga; L-università għaddiet minn ħafna bidliet matul il-mandat ta '24 sena tiegħu. Hutchins elimina l-futbol tal-varsity mill-università f'attentat biex jenfasizza l-akkademiċi fuq l-atletika, stabbilixxa l-kurrikulu liberali tal-kulleġġ li għadhom ma ggradwawx magħruf bħala l-Qofol Komuni, u organizza x-xogħol gradwat tal-università fil-kurrent tagħha [meta?] Erba 'diviżjonijiet. Fl-1933, Hutchins ippropona pjan li ma rnexxiex biex jingħaqad l-Università ta 'Chicago u l-Università tal-Majjistral f'università waħda. Matul il-mandat tiegħu, l-isptarijiet tal-Università ta ’Chicago (issa msejħa l-Università ta’ Chicago Medical Center) temmew il-kostruzzjoni u rreġistraw l-ewwel studenti mediċi tagħha. Inħoloq ukoll, il-Kumitat għall-Ħsieb Soċjali, istituzzjoni distintiva tal-università.</v>
      </c>
    </row>
    <row r="8541" ht="15.75" customHeight="1">
      <c r="A8541" s="2" t="s">
        <v>8541</v>
      </c>
      <c r="B8541" s="2" t="str">
        <f>IFERROR(__xludf.DUMMYFUNCTION("GOOGLETRANSLATE(A8541, ""en"", ""mt"")"),"Knisja Kattolika.")</f>
        <v>Knisja Kattolika.</v>
      </c>
    </row>
    <row r="8542" ht="15.75" customHeight="1">
      <c r="A8542" s="2" t="s">
        <v>8542</v>
      </c>
      <c r="B8542" s="2" t="str">
        <f>IFERROR(__xludf.DUMMYFUNCTION("GOOGLETRANSLATE(A8542, ""en"", ""mt"")"),"Tolui,")</f>
        <v>Tolui,</v>
      </c>
    </row>
    <row r="8543" ht="15.75" customHeight="1">
      <c r="A8543" s="2" t="s">
        <v>8543</v>
      </c>
      <c r="B8543" s="2" t="str">
        <f>IFERROR(__xludf.DUMMYFUNCTION("GOOGLETRANSLATE(A8543, ""en"", ""mt"")"),"Russu")</f>
        <v>Russu</v>
      </c>
    </row>
    <row r="8544" ht="15.75" customHeight="1">
      <c r="A8544" s="2" t="s">
        <v>8544</v>
      </c>
      <c r="B8544" s="2" t="str">
        <f>IFERROR(__xludf.DUMMYFUNCTION("GOOGLETRANSLATE(A8544, ""en"", ""mt"")"),"il-missier tad-dar")</f>
        <v>il-missier tad-dar</v>
      </c>
    </row>
    <row r="8545" ht="15.75" customHeight="1">
      <c r="A8545" s="2" t="s">
        <v>8545</v>
      </c>
      <c r="B8545" s="2" t="str">
        <f>IFERROR(__xludf.DUMMYFUNCTION("GOOGLETRANSLATE(A8545, ""en"", ""mt"")"),"Min jibni l-belt tal-port maġġuri fil-Kenja?")</f>
        <v>Min jibni l-belt tal-port maġġuri fil-Kenja?</v>
      </c>
    </row>
    <row r="8546" ht="15.75" customHeight="1">
      <c r="A8546" s="2" t="s">
        <v>8546</v>
      </c>
      <c r="B8546" s="2" t="str">
        <f>IFERROR(__xludf.DUMMYFUNCTION("GOOGLETRANSLATE(A8546, ""en"", ""mt"")"),"Fejn għandu l-Kenja depożiti taż-żejt?")</f>
        <v>Fejn għandu l-Kenja depożiti taż-żejt?</v>
      </c>
    </row>
    <row r="8547" ht="15.75" customHeight="1">
      <c r="A8547" s="2" t="s">
        <v>8547</v>
      </c>
      <c r="B8547" s="2" t="str">
        <f>IFERROR(__xludf.DUMMYFUNCTION("GOOGLETRANSLATE(A8547, ""en"", ""mt"")"),"komputazzjoni")</f>
        <v>komputazzjoni</v>
      </c>
    </row>
    <row r="8548" ht="15.75" customHeight="1">
      <c r="A8548" s="2" t="s">
        <v>8548</v>
      </c>
      <c r="B8548" s="2" t="str">
        <f>IFERROR(__xludf.DUMMYFUNCTION("GOOGLETRANSLATE(A8548, ""en"", ""mt"")"),"Lag ta ’fuq")</f>
        <v>Lag ta ’fuq</v>
      </c>
    </row>
    <row r="8549" ht="15.75" customHeight="1">
      <c r="A8549" s="2" t="s">
        <v>8549</v>
      </c>
      <c r="B8549" s="2" t="str">
        <f>IFERROR(__xludf.DUMMYFUNCTION("GOOGLETRANSLATE(A8549, ""en"", ""mt"")"),"X'tip ta 'impatt jistgħu r-residenti ta' Newcastle jistennew li l-istorbju tal-belt ikollu fuqhom?")</f>
        <v>X'tip ta 'impatt jistgħu r-residenti ta' Newcastle jistennew li l-istorbju tal-belt ikollu fuqhom?</v>
      </c>
    </row>
    <row r="8550" ht="15.75" customHeight="1">
      <c r="A8550" s="2" t="s">
        <v>8550</v>
      </c>
      <c r="B8550" s="2" t="str">
        <f>IFERROR(__xludf.DUMMYFUNCTION("GOOGLETRANSLATE(A8550, ""en"", ""mt"")"),"X’għamel pajjiż Ohio vulnerabbli?")</f>
        <v>X’għamel pajjiż Ohio vulnerabbli?</v>
      </c>
    </row>
    <row r="8551" ht="15.75" customHeight="1">
      <c r="A8551" s="2" t="s">
        <v>8551</v>
      </c>
      <c r="B8551" s="2" t="str">
        <f>IFERROR(__xludf.DUMMYFUNCTION("GOOGLETRANSLATE(A8551, ""en"", ""mt"")"),"Zhu Yuanzhang")</f>
        <v>Zhu Yuanzhang</v>
      </c>
    </row>
    <row r="8552" ht="15.75" customHeight="1">
      <c r="A8552" s="2" t="s">
        <v>8552</v>
      </c>
      <c r="B8552" s="2" t="str">
        <f>IFERROR(__xludf.DUMMYFUNCTION("GOOGLETRANSLATE(A8552, ""en"", ""mt"")"),"Xi jgħallem għalliem fl-iskola primarja?")</f>
        <v>Xi jgħallem għalliem fl-iskola primarja?</v>
      </c>
    </row>
    <row r="8553" ht="15.75" customHeight="1">
      <c r="A8553" s="2" t="s">
        <v>8553</v>
      </c>
      <c r="B8553" s="2" t="str">
        <f>IFERROR(__xludf.DUMMYFUNCTION("GOOGLETRANSLATE(A8553, ""en"", ""mt"")"),"malajr tgħolli l-popolazzjoni u t-traffiku fi bliet tul SR 99")</f>
        <v>malajr tgħolli l-popolazzjoni u t-traffiku fi bliet tul SR 99</v>
      </c>
    </row>
    <row r="8554" ht="15.75" customHeight="1">
      <c r="A8554" s="2" t="s">
        <v>8554</v>
      </c>
      <c r="B8554" s="2" t="str">
        <f>IFERROR(__xludf.DUMMYFUNCTION("GOOGLETRANSLATE(A8554, ""en"", ""mt"")"),"Min inkella Tesla għamlet il-konoxxenza fl-1886?")</f>
        <v>Min inkella Tesla għamlet il-konoxxenza fl-1886?</v>
      </c>
    </row>
    <row r="8555" ht="15.75" customHeight="1">
      <c r="A8555" s="2" t="s">
        <v>8555</v>
      </c>
      <c r="B8555" s="2" t="str">
        <f>IFERROR(__xludf.DUMMYFUNCTION("GOOGLETRANSLATE(A8555, ""en"", ""mt"")"),"Kif jiġi prodott l-ossiġnu mid-dijossidu tal-karbonju fuq il-pjaneti l-oħra tas-sistema solari?")</f>
        <v>Kif jiġi prodott l-ossiġnu mid-dijossidu tal-karbonju fuq il-pjaneti l-oħra tas-sistema solari?</v>
      </c>
    </row>
    <row r="8556" ht="15.75" customHeight="1">
      <c r="A8556" s="2" t="s">
        <v>8556</v>
      </c>
      <c r="B8556" s="2" t="str">
        <f>IFERROR(__xludf.DUMMYFUNCTION("GOOGLETRANSLATE(A8556, ""en"", ""mt"")"),"Storikament, liema moviment appoġġa l-Knisja Metodista?")</f>
        <v>Storikament, liema moviment appoġġa l-Knisja Metodista?</v>
      </c>
    </row>
    <row r="8557" ht="15.75" customHeight="1">
      <c r="A8557" s="2" t="s">
        <v>8557</v>
      </c>
      <c r="B8557" s="2" t="str">
        <f>IFERROR(__xludf.DUMMYFUNCTION("GOOGLETRANSLATE(A8557, ""en"", ""mt"")"),"15-il mil 'il bogħod")</f>
        <v>15-il mil 'il bogħod</v>
      </c>
    </row>
    <row r="8558" ht="15.75" customHeight="1">
      <c r="A8558" s="2" t="s">
        <v>8558</v>
      </c>
      <c r="B8558" s="2" t="str">
        <f>IFERROR(__xludf.DUMMYFUNCTION("GOOGLETRANSLATE(A8558, ""en"", ""mt"")"),"Liema marbut taż-żmien huwa iktar diffiċli biex jiġi stabbilit?")</f>
        <v>Liema marbut taż-żmien huwa iktar diffiċli biex jiġi stabbilit?</v>
      </c>
    </row>
    <row r="8559" ht="15.75" customHeight="1">
      <c r="A8559" s="2" t="s">
        <v>8559</v>
      </c>
      <c r="B8559" s="2" t="str">
        <f>IFERROR(__xludf.DUMMYFUNCTION("GOOGLETRANSLATE(A8559, ""en"", ""mt"")"),"Il-ħatriet kollha tal-kleru jsiru u jiġu ffissati kull sena mill-Isqof Resident dwar il-parir tal-Kabinett tal-Konferenza Annwali, li huwa magħmul miż-żona ta 'provost / dekan (jekk wieħed jinħatar) u d-diversi superintendenti distrettwali tad-distretti t"&amp;"ad-distretti tal-konferenza annwali. Sakemm l-Isqof qara l-ħatriet fis-sessjoni tal-Konferenza Annwali, l-ebda ħatriet ma huma ffissati uffiċjalment. Ħafna konferenzi annwali jippruvaw jevitaw li jagħmlu bidliet fil-ħatra bejn sessjonijiet ta 'konferenza "&amp;"annwali. Filwaqt li appuntament isir sena kull darba, huwa l-iktar komuni għal appuntament li jitkompla għal bosta snin. Il-mandat tal-ħatra fil-ministeri ta 'estensjoni, bħal kappillan militari, ministeru tal-kampus, missjonijiet, edukazzjoni għolja u mi"&amp;"nisteri oħra lil hinn mill-knisja lokali ħafna drabi huma saħansitra itwal.")</f>
        <v>Il-ħatriet kollha tal-kleru jsiru u jiġu ffissati kull sena mill-Isqof Resident dwar il-parir tal-Kabinett tal-Konferenza Annwali, li huwa magħmul miż-żona ta 'provost / dekan (jekk wieħed jinħatar) u d-diversi superintendenti distrettwali tad-distretti tad-distretti tal-konferenza annwali. Sakemm l-Isqof qara l-ħatriet fis-sessjoni tal-Konferenza Annwali, l-ebda ħatriet ma huma ffissati uffiċjalment. Ħafna konferenzi annwali jippruvaw jevitaw li jagħmlu bidliet fil-ħatra bejn sessjonijiet ta 'konferenza annwali. Filwaqt li appuntament isir sena kull darba, huwa l-iktar komuni għal appuntament li jitkompla għal bosta snin. Il-mandat tal-ħatra fil-ministeri ta 'estensjoni, bħal kappillan militari, ministeru tal-kampus, missjonijiet, edukazzjoni għolja u ministeri oħra lil hinn mill-knisja lokali ħafna drabi huma saħansitra itwal.</v>
      </c>
    </row>
    <row r="8560" ht="15.75" customHeight="1">
      <c r="A8560" s="2" t="s">
        <v>8560</v>
      </c>
      <c r="B8560" s="2" t="str">
        <f>IFERROR(__xludf.DUMMYFUNCTION("GOOGLETRANSLATE(A8560, ""en"", ""mt"")"),"Sport (inkluż il-futbol Ingliż tal-Premier League), films, divertiment u aħbarijiet")</f>
        <v>Sport (inkluż il-futbol Ingliż tal-Premier League), films, divertiment u aħbarijiet</v>
      </c>
    </row>
    <row r="8561" ht="15.75" customHeight="1">
      <c r="A8561" s="2" t="s">
        <v>8561</v>
      </c>
      <c r="B8561" s="2" t="str">
        <f>IFERROR(__xludf.DUMMYFUNCTION("GOOGLETRANSLATE(A8561, ""en"", ""mt"")"),"400")</f>
        <v>400</v>
      </c>
    </row>
    <row r="8562" ht="15.75" customHeight="1">
      <c r="A8562" s="2" t="s">
        <v>8562</v>
      </c>
      <c r="B8562" s="2" t="str">
        <f>IFERROR(__xludf.DUMMYFUNCTION("GOOGLETRANSLATE(A8562, ""en"", ""mt"")"),"Dar Somerset")</f>
        <v>Dar Somerset</v>
      </c>
    </row>
    <row r="8563" ht="15.75" customHeight="1">
      <c r="A8563" s="2" t="s">
        <v>8563</v>
      </c>
      <c r="B8563" s="2" t="str">
        <f>IFERROR(__xludf.DUMMYFUNCTION("GOOGLETRANSLATE(A8563, ""en"", ""mt"")"),"il-kummissjoni")</f>
        <v>il-kummissjoni</v>
      </c>
    </row>
    <row r="8564" ht="15.75" customHeight="1">
      <c r="A8564" s="2" t="s">
        <v>8564</v>
      </c>
      <c r="B8564" s="2" t="str">
        <f>IFERROR(__xludf.DUMMYFUNCTION("GOOGLETRANSLATE(A8564, ""en"", ""mt"")"),"Catawba")</f>
        <v>Catawba</v>
      </c>
    </row>
    <row r="8565" ht="15.75" customHeight="1">
      <c r="A8565" s="2" t="s">
        <v>8565</v>
      </c>
      <c r="B8565" s="2" t="str">
        <f>IFERROR(__xludf.DUMMYFUNCTION("GOOGLETRANSLATE(A8565, ""en"", ""mt"")"),"Qawwi, elettromanjetiku")</f>
        <v>Qawwi, elettromanjetiku</v>
      </c>
    </row>
    <row r="8566" ht="15.75" customHeight="1">
      <c r="A8566" s="2" t="s">
        <v>8566</v>
      </c>
      <c r="B8566" s="2" t="str">
        <f>IFERROR(__xludf.DUMMYFUNCTION("GOOGLETRANSLATE(A8566, ""en"", ""mt"")"),"Klieb Mad")</f>
        <v>Klieb Mad</v>
      </c>
    </row>
    <row r="8567" ht="15.75" customHeight="1">
      <c r="A8567" s="2" t="s">
        <v>8567</v>
      </c>
      <c r="B8567" s="2" t="str">
        <f>IFERROR(__xludf.DUMMYFUNCTION("GOOGLETRANSLATE(A8567, ""en"", ""mt"")"),"B'kuntrast, matul il-perjodi ta 'qawmien iddifferenzja ċelloli effetturi, bħal ċelloli killer naturali ċitotossiċi u CTLs (limfoċiti T ċitotossiċi), quċċata sabiex tinkiseb rispons effettiv kontra kwalunkwe patoġeni intrużi. Kif ukoll waqt żminijiet attiv"&amp;"i imqajjmin, molekuli anti-infjammatorji, bħal kortisol u katekolamini, quċċata. Hemm żewġ teoriji dwar għaliex l-istat pro-infjammatorju huwa riservat għall-ħin tal-irqad. L-ewwel, l-infjammazzjoni tikkawża indebolimenti konjittivi u fiżiċi serji jekk da"&amp;"n iseħħ waqt il-ħinijiet ta 'qawmien. It-tieni, infjammazzjoni tista 'sseħħ waqt il-ħinijiet ta' l-irqad minħabba l-preżenza ta 'melatonin. L-infjammazzjoni tikkawża ħafna stress ossidattiv u l-preżenza ta 'melatonin waqt il-ħinijiet ta' l-irqad tista 'ti"&amp;"kkontrolla b'mod attiv il-produzzjoni radikali ħielsa matul dan iż-żmien.")</f>
        <v>B'kuntrast, matul il-perjodi ta 'qawmien iddifferenzja ċelloli effetturi, bħal ċelloli killer naturali ċitotossiċi u CTLs (limfoċiti T ċitotossiċi), quċċata sabiex tinkiseb rispons effettiv kontra kwalunkwe patoġeni intrużi. Kif ukoll waqt żminijiet attivi imqajjmin, molekuli anti-infjammatorji, bħal kortisol u katekolamini, quċċata. Hemm żewġ teoriji dwar għaliex l-istat pro-infjammatorju huwa riservat għall-ħin tal-irqad. L-ewwel, l-infjammazzjoni tikkawża indebolimenti konjittivi u fiżiċi serji jekk dan iseħħ waqt il-ħinijiet ta 'qawmien. It-tieni, infjammazzjoni tista 'sseħħ waqt il-ħinijiet ta' l-irqad minħabba l-preżenza ta 'melatonin. L-infjammazzjoni tikkawża ħafna stress ossidattiv u l-preżenza ta 'melatonin waqt il-ħinijiet ta' l-irqad tista 'tikkontrolla b'mod attiv il-produzzjoni radikali ħielsa matul dan iż-żmien.</v>
      </c>
    </row>
    <row r="8568" ht="15.75" customHeight="1">
      <c r="A8568" s="2" t="s">
        <v>8568</v>
      </c>
      <c r="B8568" s="2" t="str">
        <f>IFERROR(__xludf.DUMMYFUNCTION("GOOGLETRANSLATE(A8568, ""en"", ""mt"")"),"L-ewwel servizz online kummerċjali tad-dinja")</f>
        <v>L-ewwel servizz online kummerċjali tad-dinja</v>
      </c>
    </row>
    <row r="8569" ht="15.75" customHeight="1">
      <c r="A8569" s="2" t="s">
        <v>8569</v>
      </c>
      <c r="B8569" s="2" t="str">
        <f>IFERROR(__xludf.DUMMYFUNCTION("GOOGLETRANSLATE(A8569, ""en"", ""mt"")"),"Khrushchev")</f>
        <v>Khrushchev</v>
      </c>
    </row>
    <row r="8570" ht="15.75" customHeight="1">
      <c r="A8570" s="2" t="s">
        <v>8570</v>
      </c>
      <c r="B8570" s="2" t="str">
        <f>IFERROR(__xludf.DUMMYFUNCTION("GOOGLETRANSLATE(A8570, ""en"", ""mt"")"),"Fejn kien midfun Genghis Khan?")</f>
        <v>Fejn kien midfun Genghis Khan?</v>
      </c>
    </row>
    <row r="8571" ht="15.75" customHeight="1">
      <c r="A8571" s="2" t="s">
        <v>8571</v>
      </c>
      <c r="B8571" s="2" t="str">
        <f>IFERROR(__xludf.DUMMYFUNCTION("GOOGLETRANSLATE(A8571, ""en"", ""mt"")"),"Soċjetà ta ’Ġesù")</f>
        <v>Soċjetà ta ’Ġesù</v>
      </c>
    </row>
    <row r="8572" ht="15.75" customHeight="1">
      <c r="A8572" s="2" t="s">
        <v>8572</v>
      </c>
      <c r="B8572" s="2" t="str">
        <f>IFERROR(__xludf.DUMMYFUNCTION("GOOGLETRANSLATE(A8572, ""en"", ""mt"")"),"ħafif")</f>
        <v>ħafif</v>
      </c>
    </row>
    <row r="8573" ht="15.75" customHeight="1">
      <c r="A8573" s="2" t="s">
        <v>8573</v>
      </c>
      <c r="B8573" s="2" t="str">
        <f>IFERROR(__xludf.DUMMYFUNCTION("GOOGLETRANSLATE(A8573, ""en"", ""mt"")"),"Turiżmu")</f>
        <v>Turiżmu</v>
      </c>
    </row>
    <row r="8574" ht="15.75" customHeight="1">
      <c r="A8574" s="2" t="s">
        <v>8574</v>
      </c>
      <c r="B8574" s="2" t="str">
        <f>IFERROR(__xludf.DUMMYFUNCTION("GOOGLETRANSLATE(A8574, ""en"", ""mt"")"),"Liema klassi ta 'vapuri hija eżempju ta' inforor kbar tal-passiġġieri?")</f>
        <v>Liema klassi ta 'vapuri hija eżempju ta' inforor kbar tal-passiġġieri?</v>
      </c>
    </row>
    <row r="8575" ht="15.75" customHeight="1">
      <c r="A8575" s="2" t="s">
        <v>8575</v>
      </c>
      <c r="B8575" s="2" t="str">
        <f>IFERROR(__xludf.DUMMYFUNCTION("GOOGLETRANSLATE(A8575, ""en"", ""mt"")"),"livell fond")</f>
        <v>livell fond</v>
      </c>
    </row>
    <row r="8576" ht="15.75" customHeight="1">
      <c r="A8576" s="2" t="s">
        <v>8576</v>
      </c>
      <c r="B8576" s="2" t="str">
        <f>IFERROR(__xludf.DUMMYFUNCTION("GOOGLETRANSLATE(A8576, ""en"", ""mt"")"),"April 1523")</f>
        <v>April 1523</v>
      </c>
    </row>
    <row r="8577" ht="15.75" customHeight="1">
      <c r="A8577" s="2" t="s">
        <v>8577</v>
      </c>
      <c r="B8577" s="2" t="str">
        <f>IFERROR(__xludf.DUMMYFUNCTION("GOOGLETRANSLATE(A8577, ""en"", ""mt"")"),"Faċilità interim għar-rilokazzjoni taż-żona ta 'Fresno Amerikani Ġappuniżi għal kampijiet ta' internament")</f>
        <v>Faċilità interim għar-rilokazzjoni taż-żona ta 'Fresno Amerikani Ġappuniżi għal kampijiet ta' internament</v>
      </c>
    </row>
    <row r="8578" ht="15.75" customHeight="1">
      <c r="A8578" s="2" t="s">
        <v>8578</v>
      </c>
      <c r="B8578" s="2" t="str">
        <f>IFERROR(__xludf.DUMMYFUNCTION("GOOGLETRANSLATE(A8578, ""en"", ""mt"")"),"Minn nofs is-snin 2000, l-università bdiet numru ta 'proġetti ta' espansjoni ta 'diversi miljun dollaru. Fl-2008, l-Università ta 'Chicago ħabbret pjanijiet biex tistabbilixxi l-Istitut Milton Friedman li ġibed kemm appoġġ kif ukoll kontroversja minn memb"&amp;"ri tal-fakultà u studenti. L-istitut se jiswa madwar $ 200 miljun u jokkupa l-bini tas-Seminarju Teoloġiku ta 'Chicago. Matul l-istess sena, l-investitur David G. Booth ta donazzjoni ta '$ 300 miljun lill-Iskola tan-Negozju tal-Università, li huwa l-akbar"&amp;" rigal fl-istorja tal-università u l-akbar rigal li qatt kien għal kwalunkwe skola tan-negozju. Fl-2009, l-ippjanar jew il-kostruzzjoni fuq bosta bini ġdid, li nofshom jiswew $ 100 miljun jew aktar, kien għaddej. Mill-2011, proġetti ta 'kostruzzjoni ewlen"&amp;"in inkludew iċ-Ċentru Jules u Gwen Knapp għall-iskoperta bijomedika, ċentru ta' riċerka medika ta 'għaxar sulari, u żidiet oħra fil-kampus mediku tal-Università ta' Chicago Medical Centre. Fl-2014 l-università nediet il-fażi pubblika ta 'kampanja ta' ġbir"&amp;" ta 'fondi ta' $ 4.5 biljun. F’Settembru 2015, l-università rċeviet $ 100 miljun mill-Fondazzjoni tal-Familja Pearson biex tistabbilixxi l-Istitut Pearson għall-Istudju u r-Riżoluzzjoni tal-Kunflitti Globali u l-Forum Globali Pearson fl-Iskola Harris tal-"&amp;"Istudji tal-Politika Pubblika.")</f>
        <v>Minn nofs is-snin 2000, l-università bdiet numru ta 'proġetti ta' espansjoni ta 'diversi miljun dollaru. Fl-2008, l-Università ta 'Chicago ħabbret pjanijiet biex tistabbilixxi l-Istitut Milton Friedman li ġibed kemm appoġġ kif ukoll kontroversja minn membri tal-fakultà u studenti. L-istitut se jiswa madwar $ 200 miljun u jokkupa l-bini tas-Seminarju Teoloġiku ta 'Chicago. Matul l-istess sena, l-investitur David G. Booth ta donazzjoni ta '$ 300 miljun lill-Iskola tan-Negozju tal-Università, li huwa l-akbar rigal fl-istorja tal-università u l-akbar rigal li qatt kien għal kwalunkwe skola tan-negozju. Fl-2009, l-ippjanar jew il-kostruzzjoni fuq bosta bini ġdid, li nofshom jiswew $ 100 miljun jew aktar, kien għaddej. Mill-2011, proġetti ta 'kostruzzjoni ewlenin inkludew iċ-Ċentru Jules u Gwen Knapp għall-iskoperta bijomedika, ċentru ta' riċerka medika ta 'għaxar sulari, u żidiet oħra fil-kampus mediku tal-Università ta' Chicago Medical Centre. Fl-2014 l-università nediet il-fażi pubblika ta 'kampanja ta' ġbir ta 'fondi ta' $ 4.5 biljun. F’Settembru 2015, l-università rċeviet $ 100 miljun mill-Fondazzjoni tal-Familja Pearson biex tistabbilixxi l-Istitut Pearson għall-Istudju u r-Riżoluzzjoni tal-Kunflitti Globali u l-Forum Globali Pearson fl-Iskola Harris tal-Istudji tal-Politika Pubblika.</v>
      </c>
    </row>
    <row r="8579" ht="15.75" customHeight="1">
      <c r="A8579" s="2" t="s">
        <v>8579</v>
      </c>
      <c r="B8579" s="2" t="str">
        <f>IFERROR(__xludf.DUMMYFUNCTION("GOOGLETRANSLATE(A8579, ""en"", ""mt"")"),"rari ħafna")</f>
        <v>rari ħafna</v>
      </c>
    </row>
    <row r="8580" ht="15.75" customHeight="1">
      <c r="A8580" s="2" t="s">
        <v>8580</v>
      </c>
      <c r="B8580" s="2" t="str">
        <f>IFERROR(__xludf.DUMMYFUNCTION("GOOGLETRANSLATE(A8580, ""en"", ""mt"")"),"Sheldon Ungar")</f>
        <v>Sheldon Ungar</v>
      </c>
    </row>
    <row r="8581" ht="15.75" customHeight="1">
      <c r="A8581" s="2" t="s">
        <v>8581</v>
      </c>
      <c r="B8581" s="2" t="str">
        <f>IFERROR(__xludf.DUMMYFUNCTION("GOOGLETRANSLATE(A8581, ""en"", ""mt"")"),"Meta jkunu miżżewġin")</f>
        <v>Meta jkunu miżżewġin</v>
      </c>
    </row>
    <row r="8582" ht="15.75" customHeight="1">
      <c r="A8582" s="2" t="s">
        <v>8582</v>
      </c>
      <c r="B8582" s="2" t="str">
        <f>IFERROR(__xludf.DUMMYFUNCTION("GOOGLETRANSLATE(A8582, ""en"", ""mt"")"),"protesta mhux vjolenti")</f>
        <v>protesta mhux vjolenti</v>
      </c>
    </row>
    <row r="8583" ht="15.75" customHeight="1">
      <c r="A8583" s="2" t="s">
        <v>8583</v>
      </c>
      <c r="B8583" s="2" t="str">
        <f>IFERROR(__xludf.DUMMYFUNCTION("GOOGLETRANSLATE(A8583, ""en"", ""mt"")"),"Is-serje 2010")</f>
        <v>Is-serje 2010</v>
      </c>
    </row>
    <row r="8584" ht="15.75" customHeight="1">
      <c r="A8584" s="2" t="s">
        <v>8584</v>
      </c>
      <c r="B8584" s="2" t="str">
        <f>IFERROR(__xludf.DUMMYFUNCTION("GOOGLETRANSLATE(A8584, ""en"", ""mt"")"),"Għal xiex ħasbet Tesla li kkontribwixxa l-aċidu nitruż?")</f>
        <v>Għal xiex ħasbet Tesla li kkontribwixxa l-aċidu nitruż?</v>
      </c>
    </row>
    <row r="8585" ht="15.75" customHeight="1">
      <c r="A8585" s="2" t="s">
        <v>8585</v>
      </c>
      <c r="B8585" s="2" t="str">
        <f>IFERROR(__xludf.DUMMYFUNCTION("GOOGLETRANSLATE(A8585, ""en"", ""mt"")"),"ABC iżomm diversi servizzi ta ’vidjow fuq talba għall-wiri mdewwem tal-ipprogrammar tan-netwerk, inkluż servizz VOD tradizzjonali msejjaħ ABC On Demand, li jitwettaq fuq il-biċċa l-kbira tal-fornituri tradizzjonali tal-kejbil u tal-IPTV. Il-Walt Disney Co"&amp;"mpany hija wkoll sid il-parti ta 'Hulu (bħala parti minn konsorzju li jinkludi, fost partijiet oħra, il-kumpaniji ġenituri rispettivi ta' NBC u Fox, NBCUniversal u 21st Century Fox), u offriet episodji ta 'tul sħiħ ta' ħafna Mill-ipprogrammar ta 'ABC perm"&amp;"ezz tas-servizz ta' streaming mis-6 ta 'Lulju 2009 (li huma disponibbli biex jaraw fuq il-websajt u l-app mobbli ta' Hulu), bħala parti minn ftehim milħuq f'April ta 'dik is-sena li ppermetta wkoll lil Disney biex takkwista sehem ta' 27% ta 'sjieda f'Hulu"&amp;".")</f>
        <v>ABC iżomm diversi servizzi ta ’vidjow fuq talba għall-wiri mdewwem tal-ipprogrammar tan-netwerk, inkluż servizz VOD tradizzjonali msejjaħ ABC On Demand, li jitwettaq fuq il-biċċa l-kbira tal-fornituri tradizzjonali tal-kejbil u tal-IPTV. Il-Walt Disney Company hija wkoll sid il-parti ta 'Hulu (bħala parti minn konsorzju li jinkludi, fost partijiet oħra, il-kumpaniji ġenituri rispettivi ta' NBC u Fox, NBCUniversal u 21st Century Fox), u offriet episodji ta 'tul sħiħ ta' ħafna Mill-ipprogrammar ta 'ABC permezz tas-servizz ta' streaming mis-6 ta 'Lulju 2009 (li huma disponibbli biex jaraw fuq il-websajt u l-app mobbli ta' Hulu), bħala parti minn ftehim milħuq f'April ta 'dik is-sena li ppermetta wkoll lil Disney biex takkwista sehem ta' 27% ta 'sjieda f'Hulu.</v>
      </c>
    </row>
    <row r="8586" ht="15.75" customHeight="1">
      <c r="A8586" s="2" t="s">
        <v>8586</v>
      </c>
      <c r="B8586" s="2" t="str">
        <f>IFERROR(__xludf.DUMMYFUNCTION("GOOGLETRANSLATE(A8586, ""en"", ""mt"")"),"Liema kumpanija tal-ferrovija tipprovdi servizzi lokali u reġjonali?")</f>
        <v>Liema kumpanija tal-ferrovija tipprovdi servizzi lokali u reġjonali?</v>
      </c>
    </row>
    <row r="8587" ht="15.75" customHeight="1">
      <c r="A8587" s="2" t="s">
        <v>8587</v>
      </c>
      <c r="B8587" s="2" t="str">
        <f>IFERROR(__xludf.DUMMYFUNCTION("GOOGLETRANSLATE(A8587, ""en"", ""mt"")"),"D. Brainerd Holmes")</f>
        <v>D. Brainerd Holmes</v>
      </c>
    </row>
    <row r="8588" ht="15.75" customHeight="1">
      <c r="A8588" s="2" t="s">
        <v>8588</v>
      </c>
      <c r="B8588" s="2" t="str">
        <f>IFERROR(__xludf.DUMMYFUNCTION("GOOGLETRANSLATE(A8588, ""en"", ""mt"")"),"Metodu Slash and Burn")</f>
        <v>Metodu Slash and Burn</v>
      </c>
    </row>
    <row r="8589" ht="15.75" customHeight="1">
      <c r="A8589" s="2" t="s">
        <v>8589</v>
      </c>
      <c r="B8589" s="2" t="str">
        <f>IFERROR(__xludf.DUMMYFUNCTION("GOOGLETRANSLATE(A8589, ""en"", ""mt"")"),"magni tat-turbini")</f>
        <v>magni tat-turbini</v>
      </c>
    </row>
    <row r="8590" ht="15.75" customHeight="1">
      <c r="A8590" s="2" t="s">
        <v>8590</v>
      </c>
      <c r="B8590" s="2" t="str">
        <f>IFERROR(__xludf.DUMMYFUNCTION("GOOGLETRANSLATE(A8590, ""en"", ""mt"")"),"Xi jwassal l-ewwel ministru fil-bidu ta 'kull sena parlamentari?")</f>
        <v>Xi jwassal l-ewwel ministru fil-bidu ta 'kull sena parlamentari?</v>
      </c>
    </row>
    <row r="8591" ht="15.75" customHeight="1">
      <c r="A8591" s="2" t="s">
        <v>8591</v>
      </c>
      <c r="B8591" s="2" t="str">
        <f>IFERROR(__xludf.DUMMYFUNCTION("GOOGLETRANSLATE(A8591, ""en"", ""mt"")"),"X'jista 'jikkawża varjazzjonijiet fil-produzzjoni tal-qamħ?")</f>
        <v>X'jista 'jikkawża varjazzjonijiet fil-produzzjoni tal-qamħ?</v>
      </c>
    </row>
    <row r="8592" ht="15.75" customHeight="1">
      <c r="A8592" s="2" t="s">
        <v>8592</v>
      </c>
      <c r="B8592" s="2" t="str">
        <f>IFERROR(__xludf.DUMMYFUNCTION("GOOGLETRANSLATE(A8592, ""en"", ""mt"")"),"X'tip ta 'kamp huwa meħtieġ biex jipproduċi effett ta' kalamita fil-molekuli ta 'ossiġnu?")</f>
        <v>X'tip ta 'kamp huwa meħtieġ biex jipproduċi effett ta' kalamita fil-molekuli ta 'ossiġnu?</v>
      </c>
    </row>
    <row r="8593" ht="15.75" customHeight="1">
      <c r="A8593" s="2" t="s">
        <v>8593</v>
      </c>
      <c r="B8593" s="2" t="str">
        <f>IFERROR(__xludf.DUMMYFUNCTION("GOOGLETRANSLATE(A8593, ""en"", ""mt"")"),"Għalliem irid ikun membru f'qagħda tajba ma 'liema entità f'ħafna sitwazzjonijiet?")</f>
        <v>Għalliem irid ikun membru f'qagħda tajba ma 'liema entità f'ħafna sitwazzjonijiet?</v>
      </c>
    </row>
    <row r="8594" ht="15.75" customHeight="1">
      <c r="A8594" s="2" t="s">
        <v>8594</v>
      </c>
      <c r="B8594" s="2" t="str">
        <f>IFERROR(__xludf.DUMMYFUNCTION("GOOGLETRANSLATE(A8594, ""en"", ""mt"")"),"Matul l-istess sena, Tesla kitbet trattat, l-arti li tipproġetta enerġija konċentrata mhux mifruxa permezz tal-midja naturali, dwar armi ta 'raġġ ta' partikuli ċċarġjati. Tesla ppubblikat id-dokument f'attentat biex tesponi fuq id-deskrizzjoni teknika ta "&amp;"'""superweapon li jtemm il-gwerra kollha."" Dan it-trattat bħalissa jinsab fl-Arkivju tal-Mużew Nikola Tesla f'Belgrad. Jiddeskrivi tubu tal-vakwu miftuħ b'siġill tal-ġett tal-gass li jippermetti li l-partiċelli joħorġu, metodu ta 'ċċarġjar ta' partiċelli"&amp;" għal miljuni ta 'volt, u metodu ta' ħolqien u direzzjoni ta 'flussi ta' partiċelli mhux diżpersivi (permezz ta 'repulsjoni elettrostatika). Tesla ppruvat tinteressa lid-Dipartiment tal-Gwerra tal-Istati Uniti, ir-Renju Unit, l-Unjoni Sovjetika, u l-Jugos"&amp;"lavja fl-apparat.")</f>
        <v>Matul l-istess sena, Tesla kitbet trattat, l-arti li tipproġetta enerġija konċentrata mhux mifruxa permezz tal-midja naturali, dwar armi ta 'raġġ ta' partikuli ċċarġjati. Tesla ppubblikat id-dokument f'attentat biex tesponi fuq id-deskrizzjoni teknika ta '"superweapon li jtemm il-gwerra kollha." Dan it-trattat bħalissa jinsab fl-Arkivju tal-Mużew Nikola Tesla f'Belgrad. Jiddeskrivi tubu tal-vakwu miftuħ b'siġill tal-ġett tal-gass li jippermetti li l-partiċelli joħorġu, metodu ta 'ċċarġjar ta' partiċelli għal miljuni ta 'volt, u metodu ta' ħolqien u direzzjoni ta 'flussi ta' partiċelli mhux diżpersivi (permezz ta 'repulsjoni elettrostatika). Tesla ppruvat tinteressa lid-Dipartiment tal-Gwerra tal-Istati Uniti, ir-Renju Unit, l-Unjoni Sovjetika, u l-Jugoslavja fl-apparat.</v>
      </c>
    </row>
    <row r="8595" ht="15.75" customHeight="1">
      <c r="A8595" s="2" t="s">
        <v>8595</v>
      </c>
      <c r="B8595" s="2" t="str">
        <f>IFERROR(__xludf.DUMMYFUNCTION("GOOGLETRANSLATE(A8595, ""en"", ""mt"")"),"Liema kicker kien suċċess fuq goal ta '33 -yard?")</f>
        <v>Liema kicker kien suċċess fuq goal ta '33 -yard?</v>
      </c>
    </row>
    <row r="8596" ht="15.75" customHeight="1">
      <c r="A8596" s="2" t="s">
        <v>8596</v>
      </c>
      <c r="B8596" s="2" t="str">
        <f>IFERROR(__xludf.DUMMYFUNCTION("GOOGLETRANSLATE(A8596, ""en"", ""mt"")"),"Liema katalisti oħra jistgħu jintużaw biex jipproduċu ossiġnu?")</f>
        <v>Liema katalisti oħra jistgħu jintużaw biex jipproduċu ossiġnu?</v>
      </c>
    </row>
    <row r="8597" ht="15.75" customHeight="1">
      <c r="A8597" s="2" t="s">
        <v>8597</v>
      </c>
      <c r="B8597" s="2" t="str">
        <f>IFERROR(__xludf.DUMMYFUNCTION("GOOGLETRANSLATE(A8597, ""en"", ""mt"")"),"aktar minn 20")</f>
        <v>aktar minn 20</v>
      </c>
    </row>
    <row r="8598" ht="15.75" customHeight="1">
      <c r="A8598" s="2" t="s">
        <v>8598</v>
      </c>
      <c r="B8598" s="2" t="str">
        <f>IFERROR(__xludf.DUMMYFUNCTION("GOOGLETRANSLATE(A8598, ""en"", ""mt"")"),"diski li jduru")</f>
        <v>diski li jduru</v>
      </c>
    </row>
    <row r="8599" ht="15.75" customHeight="1">
      <c r="A8599" s="2" t="s">
        <v>8599</v>
      </c>
      <c r="B8599" s="2" t="str">
        <f>IFERROR(__xludf.DUMMYFUNCTION("GOOGLETRANSLATE(A8599, ""en"", ""mt"")"),"Rookies")</f>
        <v>Rookies</v>
      </c>
    </row>
    <row r="8600" ht="15.75" customHeight="1">
      <c r="A8600" s="2" t="s">
        <v>8600</v>
      </c>
      <c r="B8600" s="2" t="str">
        <f>IFERROR(__xludf.DUMMYFUNCTION("GOOGLETRANSLATE(A8600, ""en"", ""mt"")"),"2,000 bini")</f>
        <v>2,000 bini</v>
      </c>
    </row>
    <row r="8601" ht="15.75" customHeight="1">
      <c r="A8601" s="2" t="s">
        <v>8601</v>
      </c>
      <c r="B8601" s="2" t="str">
        <f>IFERROR(__xludf.DUMMYFUNCTION("GOOGLETRANSLATE(A8601, ""en"", ""mt"")"),"Hisao Yamada")</f>
        <v>Hisao Yamada</v>
      </c>
    </row>
    <row r="8602" ht="15.75" customHeight="1">
      <c r="A8602" s="2" t="s">
        <v>8602</v>
      </c>
      <c r="B8602" s="2" t="str">
        <f>IFERROR(__xludf.DUMMYFUNCTION("GOOGLETRANSLATE(A8602, ""en"", ""mt"")"),"bdiewa tas-sojja")</f>
        <v>bdiewa tas-sojja</v>
      </c>
    </row>
    <row r="8603" ht="15.75" customHeight="1">
      <c r="A8603" s="2" t="s">
        <v>8603</v>
      </c>
      <c r="B8603" s="2" t="str">
        <f>IFERROR(__xludf.DUMMYFUNCTION("GOOGLETRANSLATE(A8603, ""en"", ""mt"")"),"Ġenesi")</f>
        <v>Ġenesi</v>
      </c>
    </row>
    <row r="8604" ht="15.75" customHeight="1">
      <c r="A8604" s="2" t="s">
        <v>8604</v>
      </c>
      <c r="B8604" s="2" t="str">
        <f>IFERROR(__xludf.DUMMYFUNCTION("GOOGLETRANSLATE(A8604, ""en"", ""mt"")"),"Numru ta 'bibien")</f>
        <v>Numru ta 'bibien</v>
      </c>
    </row>
    <row r="8605" ht="15.75" customHeight="1">
      <c r="A8605" s="2" t="s">
        <v>8605</v>
      </c>
      <c r="B8605" s="2" t="str">
        <f>IFERROR(__xludf.DUMMYFUNCTION("GOOGLETRANSLATE(A8605, ""en"", ""mt"")"),"is-servizz tal-kuxxinett pubbliku telepad")</f>
        <v>is-servizz tal-kuxxinett pubbliku telepad</v>
      </c>
    </row>
    <row r="8606" ht="15.75" customHeight="1">
      <c r="A8606" s="2" t="s">
        <v>8606</v>
      </c>
      <c r="B8606" s="2" t="str">
        <f>IFERROR(__xludf.DUMMYFUNCTION("GOOGLETRANSLATE(A8606, ""en"", ""mt"")"),"Għaliex wieħed m'għandux imur il-ħabs?")</f>
        <v>Għaliex wieħed m'għandux imur il-ħabs?</v>
      </c>
    </row>
    <row r="8607" ht="15.75" customHeight="1">
      <c r="A8607" s="2" t="s">
        <v>8607</v>
      </c>
      <c r="B8607" s="2" t="str">
        <f>IFERROR(__xludf.DUMMYFUNCTION("GOOGLETRANSLATE(A8607, ""en"", ""mt"")"),"il-kawża konfederata")</f>
        <v>il-kawża konfederata</v>
      </c>
    </row>
    <row r="8608" ht="15.75" customHeight="1">
      <c r="A8608" s="2" t="s">
        <v>8608</v>
      </c>
      <c r="B8608" s="2" t="str">
        <f>IFERROR(__xludf.DUMMYFUNCTION("GOOGLETRANSLATE(A8608, ""en"", ""mt"")"),"Il-V &amp; A għandha l-oriġini tagħha fil-wirja l-kbira tal-1851, li magħha Henry Cole, l-ewwel direttur tal-mużew, kien involut fl-ippjanar; Inizjalment kien magħruf bħala l-Mużew tal-Manifattura, l-ewwel ftuħ f'Mejju 1852 fid-Dar Marlborough, iżda sa Settem"&amp;"bru kien ġie trasferit għad-Dar Somerset. F’dan l-istadju l-kollezzjonijiet koprew kemm l-arti applikata kif ukoll ix-xjenza. Bosta mill-esebiti mill-wirja nxtraw biex jiffurmaw in-nukleu tal-kollezzjoni. Sa Frar 1854 kienu għaddejjin diskussjonijiet biex"&amp;" jittrasferixxu l-mużew għas-sit attwali u ġie msejjaħ il-Mużew ta ’South Kensington. Fl-1855 il-perit Ġermaniż Gottfried Semper, fuq talba ta 'Cole, ipproduċa disinn għall-mużew, iżda ġie miċħud mill-Bord tal-Kummerċ bħala għali wisq. Is-sit kien okkupat"&amp;" minn Brompton Park House; Dan ġie estiż inkluż l-ewwel kmamar ta ’refreshment miftuħa fl-1857, il-mużew huwa l-ewwel wieħed fid-dinja li jipprovdi tali faċilità.")</f>
        <v>Il-V &amp; A għandha l-oriġini tagħha fil-wirja l-kbira tal-1851, li magħha Henry Cole, l-ewwel direttur tal-mużew, kien involut fl-ippjanar; Inizjalment kien magħruf bħala l-Mużew tal-Manifattura, l-ewwel ftuħ f'Mejju 1852 fid-Dar Marlborough, iżda sa Settembru kien ġie trasferit għad-Dar Somerset. F’dan l-istadju l-kollezzjonijiet koprew kemm l-arti applikata kif ukoll ix-xjenza. Bosta mill-esebiti mill-wirja nxtraw biex jiffurmaw in-nukleu tal-kollezzjoni. Sa Frar 1854 kienu għaddejjin diskussjonijiet biex jittrasferixxu l-mużew għas-sit attwali u ġie msejjaħ il-Mużew ta ’South Kensington. Fl-1855 il-perit Ġermaniż Gottfried Semper, fuq talba ta 'Cole, ipproduċa disinn għall-mużew, iżda ġie miċħud mill-Bord tal-Kummerċ bħala għali wisq. Is-sit kien okkupat minn Brompton Park House; Dan ġie estiż inkluż l-ewwel kmamar ta ’refreshment miftuħa fl-1857, il-mużew huwa l-ewwel wieħed fid-dinja li jipprovdi tali faċilità.</v>
      </c>
    </row>
    <row r="8609" ht="15.75" customHeight="1">
      <c r="A8609" s="2" t="s">
        <v>8609</v>
      </c>
      <c r="B8609" s="2" t="str">
        <f>IFERROR(__xludf.DUMMYFUNCTION("GOOGLETRANSLATE(A8609, ""en"", ""mt"")"),"Liema stat għandu l-akbar numru ta 'membri?")</f>
        <v>Liema stat għandu l-akbar numru ta 'membri?</v>
      </c>
    </row>
    <row r="8610" ht="15.75" customHeight="1">
      <c r="A8610" s="2" t="s">
        <v>8610</v>
      </c>
      <c r="B8610" s="2" t="str">
        <f>IFERROR(__xludf.DUMMYFUNCTION("GOOGLETRANSLATE(A8610, ""en"", ""mt"")"),"X'inhi l-abbiltà li tirrikonoxxi u tadatta għal patoġeni speċifiċi ġodda msejħa?")</f>
        <v>X'inhi l-abbiltà li tirrikonoxxi u tadatta għal patoġeni speċifiċi ġodda msejħa?</v>
      </c>
    </row>
    <row r="8611" ht="15.75" customHeight="1">
      <c r="A8611" s="2" t="s">
        <v>8611</v>
      </c>
      <c r="B8611" s="2" t="str">
        <f>IFERROR(__xludf.DUMMYFUNCTION("GOOGLETRANSLATE(A8611, ""en"", ""mt"")"),"il-perspettiva bi tliet reġjuni")</f>
        <v>il-perspettiva bi tliet reġjuni</v>
      </c>
    </row>
    <row r="8612" ht="15.75" customHeight="1">
      <c r="A8612" s="2" t="s">
        <v>8612</v>
      </c>
      <c r="B8612" s="2" t="str">
        <f>IFERROR(__xludf.DUMMYFUNCTION("GOOGLETRANSLATE(A8612, ""en"", ""mt"")"),"Melatonin")</f>
        <v>Melatonin</v>
      </c>
    </row>
    <row r="8613" ht="15.75" customHeight="1">
      <c r="A8613" s="2" t="s">
        <v>8613</v>
      </c>
      <c r="B8613" s="2" t="str">
        <f>IFERROR(__xludf.DUMMYFUNCTION("GOOGLETRANSLATE(A8613, ""en"", ""mt"")"),"X'kien ir-riżultat li tgħix fis-siġra tal-injam aħmar ta 'Kalifornja?")</f>
        <v>X'kien ir-riżultat li tgħix fis-siġra tal-injam aħmar ta 'Kalifornja?</v>
      </c>
    </row>
    <row r="8614" ht="15.75" customHeight="1">
      <c r="A8614" s="2" t="s">
        <v>8614</v>
      </c>
      <c r="B8614" s="2" t="str">
        <f>IFERROR(__xludf.DUMMYFUNCTION("GOOGLETRANSLATE(A8614, ""en"", ""mt"")"),"Influwenza imperjalista")</f>
        <v>Influwenza imperjalista</v>
      </c>
    </row>
    <row r="8615" ht="15.75" customHeight="1">
      <c r="A8615" s="2" t="s">
        <v>8615</v>
      </c>
      <c r="B8615" s="2" t="str">
        <f>IFERROR(__xludf.DUMMYFUNCTION("GOOGLETRANSLATE(A8615, ""en"", ""mt"")"),"L-aktar struttura tal-konkrit ta 'wara t-tensjoni, wara t-tensjoni")</f>
        <v>L-aktar struttura tal-konkrit ta 'wara t-tensjoni, wara t-tensjoni</v>
      </c>
    </row>
    <row r="8616" ht="15.75" customHeight="1">
      <c r="A8616" s="2" t="s">
        <v>8616</v>
      </c>
      <c r="B8616" s="2" t="str">
        <f>IFERROR(__xludf.DUMMYFUNCTION("GOOGLETRANSLATE(A8616, ""en"", ""mt"")"),"Kraków")</f>
        <v>Kraków</v>
      </c>
    </row>
    <row r="8617" ht="15.75" customHeight="1">
      <c r="A8617" s="2" t="s">
        <v>8617</v>
      </c>
      <c r="B8617" s="2" t="str">
        <f>IFERROR(__xludf.DUMMYFUNCTION("GOOGLETRANSLATE(A8617, ""en"", ""mt"")"),"jipproteġu l-artijiet tribali tagħhom minn interessi kummerċjali")</f>
        <v>jipproteġu l-artijiet tribali tagħhom minn interessi kummerċjali</v>
      </c>
    </row>
    <row r="8618" ht="15.75" customHeight="1">
      <c r="A8618" s="2" t="s">
        <v>8618</v>
      </c>
      <c r="B8618" s="2" t="str">
        <f>IFERROR(__xludf.DUMMYFUNCTION("GOOGLETRANSLATE(A8618, ""en"", ""mt"")"),"X'inhi l-importanza tal-ispiżjar fid-deċennji li ġejjin?")</f>
        <v>X'inhi l-importanza tal-ispiżjar fid-deċennji li ġejjin?</v>
      </c>
    </row>
    <row r="8619" ht="15.75" customHeight="1">
      <c r="A8619" s="2" t="s">
        <v>8619</v>
      </c>
      <c r="B8619" s="2" t="str">
        <f>IFERROR(__xludf.DUMMYFUNCTION("GOOGLETRANSLATE(A8619, ""en"", ""mt"")"),"Tim tal-Università tat-Tramuntana tal-Florida")</f>
        <v>Tim tal-Università tat-Tramuntana tal-Florida</v>
      </c>
    </row>
    <row r="8620" ht="15.75" customHeight="1">
      <c r="A8620" s="2" t="s">
        <v>8620</v>
      </c>
      <c r="B8620" s="2" t="str">
        <f>IFERROR(__xludf.DUMMYFUNCTION("GOOGLETRANSLATE(A8620, ""en"", ""mt"")"),"BRISINGR U SWIZDRY GĦOLJA")</f>
        <v>BRISINGR U SWIZDRY GĦOLJA</v>
      </c>
    </row>
    <row r="8621" ht="15.75" customHeight="1">
      <c r="A8621" s="2" t="s">
        <v>8621</v>
      </c>
      <c r="B8621" s="2" t="str">
        <f>IFERROR(__xludf.DUMMYFUNCTION("GOOGLETRANSLATE(A8621, ""en"", ""mt"")"),"turmenti")</f>
        <v>turmenti</v>
      </c>
    </row>
    <row r="8622" ht="15.75" customHeight="1">
      <c r="A8622" s="2" t="s">
        <v>8622</v>
      </c>
      <c r="B8622" s="2" t="str">
        <f>IFERROR(__xludf.DUMMYFUNCTION("GOOGLETRANSLATE(A8622, ""en"", ""mt"")"),"X'tip ta 'rally kien miżmum?")</f>
        <v>X'tip ta 'rally kien miżmum?</v>
      </c>
    </row>
    <row r="8623" ht="15.75" customHeight="1">
      <c r="A8623" s="2" t="s">
        <v>8623</v>
      </c>
      <c r="B8623" s="2" t="str">
        <f>IFERROR(__xludf.DUMMYFUNCTION("GOOGLETRANSLATE(A8623, ""en"", ""mt"")"),"sekondi")</f>
        <v>sekondi</v>
      </c>
    </row>
    <row r="8624" ht="15.75" customHeight="1">
      <c r="A8624" s="2" t="s">
        <v>8624</v>
      </c>
      <c r="B8624" s="2" t="str">
        <f>IFERROR(__xludf.DUMMYFUNCTION("GOOGLETRANSLATE(A8624, ""en"", ""mt"")"),"Komponenti oħra huma spiss preżenti; Pompi (bħal injettur) biex ifornu l-ilma lill-bojler waqt l-operazzjoni, kondensaturi biex jirriċirkulaw l-ilma u jirkupraw is-sħana moħbija tal-vaporizzazzjoni, u s-superheaters biex jgħollu t-temperatura tal-fwar 'il"&amp;" fuq mill-punt tal-fwar saturat tiegħu, u diversi mekkaniżmi biex iżidu l- Abbozz għall-FireBoxes. Meta jintuża l-faħam, mekkaniżmu ta 'stoking tal-katina jew kamin u l-magna tas-sewqan jew mutur tiegħu jistgħu jiġu inklużi biex iċċaqlaq il-fjuwil minn bi"&amp;"nja tal-provvista (bunker) lejn il-firebox. Ara: Stoker Mekkaniku")</f>
        <v>Komponenti oħra huma spiss preżenti; Pompi (bħal injettur) biex ifornu l-ilma lill-bojler waqt l-operazzjoni, kondensaturi biex jirriċirkulaw l-ilma u jirkupraw is-sħana moħbija tal-vaporizzazzjoni, u s-superheaters biex jgħollu t-temperatura tal-fwar 'il fuq mill-punt tal-fwar saturat tiegħu, u diversi mekkaniżmi biex iżidu l- Abbozz għall-FireBoxes. Meta jintuża l-faħam, mekkaniżmu ta 'stoking tal-katina jew kamin u l-magna tas-sewqan jew mutur tiegħu jistgħu jiġu inklużi biex iċċaqlaq il-fjuwil minn binja tal-provvista (bunker) lejn il-firebox. Ara: Stoker Mekkaniku</v>
      </c>
    </row>
    <row r="8625" ht="15.75" customHeight="1">
      <c r="A8625" s="2" t="s">
        <v>8625</v>
      </c>
      <c r="B8625" s="2" t="str">
        <f>IFERROR(__xludf.DUMMYFUNCTION("GOOGLETRANSLATE(A8625, ""en"", ""mt"")"),"Meta Tesla bdiet tirriċerka l-immaġini tar-raġġi X?")</f>
        <v>Meta Tesla bdiet tirriċerka l-immaġini tar-raġġi X?</v>
      </c>
    </row>
    <row r="8626" ht="15.75" customHeight="1">
      <c r="A8626" s="2" t="s">
        <v>8626</v>
      </c>
      <c r="B8626" s="2" t="str">
        <f>IFERROR(__xludf.DUMMYFUNCTION("GOOGLETRANSLATE(A8626, ""en"", ""mt"")"),"L-ostakli kimiċi jipproteġu wkoll kontra l-infezzjoni. Il-ġilda u l-passaġġ respiratorju jnixxu peptidi antimikrobiċi bħal β-defensins. Enżimi bħal-lisożima u l-fosfolipase A2 fil-bżieq, id-dmugħ u l-ħalib tas-sider huma wkoll antibatteriċi. It-tnixxija v"&amp;"aġinali sservi bħala barriera kimika wara l-menarche, meta jsiru kemmxejn aċidużi, filwaqt li l-isperma fiha difensini u żingu biex joqtlu patoġeni. Fl-istonku, l-aċidu gastriku u l-proteasi jservu bħala difiżi kimiċi qawwija kontra patoġeni inġeriti.")</f>
        <v>L-ostakli kimiċi jipproteġu wkoll kontra l-infezzjoni. Il-ġilda u l-passaġġ respiratorju jnixxu peptidi antimikrobiċi bħal β-defensins. Enżimi bħal-lisożima u l-fosfolipase A2 fil-bżieq, id-dmugħ u l-ħalib tas-sider huma wkoll antibatteriċi. It-tnixxija vaġinali sservi bħala barriera kimika wara l-menarche, meta jsiru kemmxejn aċidużi, filwaqt li l-isperma fiha difensini u żingu biex joqtlu patoġeni. Fl-istonku, l-aċidu gastriku u l-proteasi jservu bħala difiżi kimiċi qawwija kontra patoġeni inġeriti.</v>
      </c>
    </row>
    <row r="8627" ht="15.75" customHeight="1">
      <c r="A8627" s="2" t="s">
        <v>8627</v>
      </c>
      <c r="B8627" s="2" t="str">
        <f>IFERROR(__xludf.DUMMYFUNCTION("GOOGLETRANSLATE(A8627, ""en"", ""mt"")"),"parallelogramma")</f>
        <v>parallelogramma</v>
      </c>
    </row>
    <row r="8628" ht="15.75" customHeight="1">
      <c r="A8628" s="2" t="s">
        <v>8628</v>
      </c>
      <c r="B8628" s="2" t="str">
        <f>IFERROR(__xludf.DUMMYFUNCTION("GOOGLETRANSLATE(A8628, ""en"", ""mt"")"),"Telf devastanti")</f>
        <v>Telf devastanti</v>
      </c>
    </row>
    <row r="8629" ht="15.75" customHeight="1">
      <c r="A8629" s="2" t="s">
        <v>8629</v>
      </c>
      <c r="B8629" s="2" t="str">
        <f>IFERROR(__xludf.DUMMYFUNCTION("GOOGLETRANSLATE(A8629, ""en"", ""mt"")"),"Umdità estremament għolja")</f>
        <v>Umdità estremament għolja</v>
      </c>
    </row>
    <row r="8630" ht="15.75" customHeight="1">
      <c r="A8630" s="2" t="s">
        <v>8630</v>
      </c>
      <c r="B8630" s="2" t="str">
        <f>IFERROR(__xludf.DUMMYFUNCTION("GOOGLETRANSLATE(A8630, ""en"", ""mt"")"),"Involvi fid-diskors projbit")</f>
        <v>Involvi fid-diskors projbit</v>
      </c>
    </row>
    <row r="8631" ht="15.75" customHeight="1">
      <c r="A8631" s="2" t="s">
        <v>8631</v>
      </c>
      <c r="B8631" s="2" t="str">
        <f>IFERROR(__xludf.DUMMYFUNCTION("GOOGLETRANSLATE(A8631, ""en"", ""mt"")"),"tinforma lill-ġurija u lill-pubbliku dwar iċ-ċirkostanzi politiċi")</f>
        <v>tinforma lill-ġurija u lill-pubbliku dwar iċ-ċirkostanzi politiċi</v>
      </c>
    </row>
    <row r="8632" ht="15.75" customHeight="1">
      <c r="A8632" s="2" t="s">
        <v>8632</v>
      </c>
      <c r="B8632" s="2" t="str">
        <f>IFERROR(__xludf.DUMMYFUNCTION("GOOGLETRANSLATE(A8632, ""en"", ""mt"")"),"Liema mija tal-popolazzjoni Musulmana tgħix fir-reġjun kostali tal-Kenja?")</f>
        <v>Liema mija tal-popolazzjoni Musulmana tgħix fir-reġjun kostali tal-Kenja?</v>
      </c>
    </row>
    <row r="8633" ht="15.75" customHeight="1">
      <c r="A8633" s="2" t="s">
        <v>8633</v>
      </c>
      <c r="B8633" s="2" t="str">
        <f>IFERROR(__xludf.DUMMYFUNCTION("GOOGLETRANSLATE(A8633, ""en"", ""mt"")"),"University City hija eżempju ta 'distrett ta' negozju li jinsab f'liema belt?")</f>
        <v>University City hija eżempju ta 'distrett ta' negozju li jinsab f'liema belt?</v>
      </c>
    </row>
    <row r="8634" ht="15.75" customHeight="1">
      <c r="A8634" s="2" t="s">
        <v>8634</v>
      </c>
      <c r="B8634" s="2" t="str">
        <f>IFERROR(__xludf.DUMMYFUNCTION("GOOGLETRANSLATE(A8634, ""en"", ""mt"")"),"Maurus Servius onoratus")</f>
        <v>Maurus Servius onoratus</v>
      </c>
    </row>
    <row r="8635" ht="15.75" customHeight="1">
      <c r="A8635" s="2" t="s">
        <v>8635</v>
      </c>
      <c r="B8635" s="2" t="str">
        <f>IFERROR(__xludf.DUMMYFUNCTION("GOOGLETRANSLATE(A8635, ""en"", ""mt"")"),"ġew stabbiliti bosta pedamenti minn diversi riċerkaturi")</f>
        <v>ġew stabbiliti bosta pedamenti minn diversi riċerkaturi</v>
      </c>
    </row>
    <row r="8636" ht="15.75" customHeight="1">
      <c r="A8636" s="2" t="s">
        <v>8636</v>
      </c>
      <c r="B8636" s="2" t="str">
        <f>IFERROR(__xludf.DUMMYFUNCTION("GOOGLETRANSLATE(A8636, ""en"", ""mt"")"),"il-qrati tal-istati membri")</f>
        <v>il-qrati tal-istati membri</v>
      </c>
    </row>
    <row r="8637" ht="15.75" customHeight="1">
      <c r="A8637" s="2" t="s">
        <v>8637</v>
      </c>
      <c r="B8637" s="2" t="str">
        <f>IFERROR(__xludf.DUMMYFUNCTION("GOOGLETRANSLATE(A8637, ""en"", ""mt"")"),"Minn Jannar 2016 f'kemm ċifri jikkonsistu l-akbar prim magħruf?")</f>
        <v>Minn Jannar 2016 f'kemm ċifri jikkonsistu l-akbar prim magħruf?</v>
      </c>
    </row>
    <row r="8638" ht="15.75" customHeight="1">
      <c r="A8638" s="2" t="s">
        <v>8638</v>
      </c>
      <c r="B8638" s="2" t="str">
        <f>IFERROR(__xludf.DUMMYFUNCTION("GOOGLETRANSLATE(A8638, ""en"", ""mt"")"),"Robert Iger")</f>
        <v>Robert Iger</v>
      </c>
    </row>
    <row r="8639" ht="15.75" customHeight="1">
      <c r="A8639" s="2" t="s">
        <v>8639</v>
      </c>
      <c r="B8639" s="2" t="str">
        <f>IFERROR(__xludf.DUMMYFUNCTION("GOOGLETRANSLATE(A8639, ""en"", ""mt"")"),"Kemm fażijiet infetħet il-metro bejn l-1980 u l-1984?")</f>
        <v>Kemm fażijiet infetħet il-metro bejn l-1980 u l-1984?</v>
      </c>
    </row>
    <row r="8640" ht="15.75" customHeight="1">
      <c r="A8640" s="2" t="s">
        <v>8640</v>
      </c>
      <c r="B8640" s="2" t="str">
        <f>IFERROR(__xludf.DUMMYFUNCTION("GOOGLETRANSLATE(A8640, ""en"", ""mt"")"),"Dtime (n2)")</f>
        <v>Dtime (n2)</v>
      </c>
    </row>
    <row r="8641" ht="15.75" customHeight="1">
      <c r="A8641" s="2" t="s">
        <v>8641</v>
      </c>
      <c r="B8641" s="2" t="str">
        <f>IFERROR(__xludf.DUMMYFUNCTION("GOOGLETRANSLATE(A8641, ""en"", ""mt"")"),"dawl abjad jgħajjat")</f>
        <v>dawl abjad jgħajjat</v>
      </c>
    </row>
    <row r="8642" ht="15.75" customHeight="1">
      <c r="A8642" s="2" t="s">
        <v>8642</v>
      </c>
      <c r="B8642" s="2" t="str">
        <f>IFERROR(__xludf.DUMMYFUNCTION("GOOGLETRANSLATE(A8642, ""en"", ""mt"")"),"Bruno Mars")</f>
        <v>Bruno Mars</v>
      </c>
    </row>
    <row r="8643" ht="15.75" customHeight="1">
      <c r="A8643" s="2" t="s">
        <v>8643</v>
      </c>
      <c r="B8643" s="2" t="str">
        <f>IFERROR(__xludf.DUMMYFUNCTION("GOOGLETRANSLATE(A8643, ""en"", ""mt"")"),"Fl-2009, x'kienet rebrand Citadel Communications hija l-marka tar-radju ABC?")</f>
        <v>Fl-2009, x'kienet rebrand Citadel Communications hija l-marka tar-radju ABC?</v>
      </c>
    </row>
    <row r="8644" ht="15.75" customHeight="1">
      <c r="A8644" s="2" t="s">
        <v>8644</v>
      </c>
      <c r="B8644" s="2" t="str">
        <f>IFERROR(__xludf.DUMMYFUNCTION("GOOGLETRANSLATE(A8644, ""en"", ""mt"")"),"Fil Millingen Aan de Rijn fejn tinqasam ir-Rhine, għal xiex tbiddel l-isem?")</f>
        <v>Fil Millingen Aan de Rijn fejn tinqasam ir-Rhine, għal xiex tbiddel l-isem?</v>
      </c>
    </row>
    <row r="8645" ht="15.75" customHeight="1">
      <c r="A8645" s="2" t="s">
        <v>8645</v>
      </c>
      <c r="B8645" s="2" t="str">
        <f>IFERROR(__xludf.DUMMYFUNCTION("GOOGLETRANSLATE(A8645, ""en"", ""mt"")"),"Bejn wieħed u ieħor kemm għandu pitturi taż-żejt Brittaniku?")</f>
        <v>Bejn wieħed u ieħor kemm għandu pitturi taż-żejt Brittaniku?</v>
      </c>
    </row>
    <row r="8646" ht="15.75" customHeight="1">
      <c r="A8646" s="2" t="s">
        <v>8646</v>
      </c>
      <c r="B8646" s="2" t="str">
        <f>IFERROR(__xludf.DUMMYFUNCTION("GOOGLETRANSLATE(A8646, ""en"", ""mt"")"),"Appoġġ tal-Militia")</f>
        <v>Appoġġ tal-Militia</v>
      </c>
    </row>
    <row r="8647" ht="15.75" customHeight="1">
      <c r="A8647" s="2" t="s">
        <v>8647</v>
      </c>
      <c r="B8647" s="2" t="str">
        <f>IFERROR(__xludf.DUMMYFUNCTION("GOOGLETRANSLATE(A8647, ""en"", ""mt"")"),"Prim Ministru Ingliż Edward Heath")</f>
        <v>Prim Ministru Ingliż Edward Heath</v>
      </c>
    </row>
    <row r="8648" ht="15.75" customHeight="1">
      <c r="A8648" s="2" t="s">
        <v>8648</v>
      </c>
      <c r="B8648" s="2" t="str">
        <f>IFERROR(__xludf.DUMMYFUNCTION("GOOGLETRANSLATE(A8648, ""en"", ""mt"")"),"Tessut tal-pulmun")</f>
        <v>Tessut tal-pulmun</v>
      </c>
    </row>
    <row r="8649" ht="15.75" customHeight="1">
      <c r="A8649" s="2" t="s">
        <v>8649</v>
      </c>
      <c r="B8649" s="2" t="str">
        <f>IFERROR(__xludf.DUMMYFUNCTION("GOOGLETRANSLATE(A8649, ""en"", ""mt"")"),"Ma 'min kienet l-ewwel alleanza importanti ta' Temüjin?")</f>
        <v>Ma 'min kienet l-ewwel alleanza importanti ta' Temüjin?</v>
      </c>
    </row>
    <row r="8650" ht="15.75" customHeight="1">
      <c r="A8650" s="2" t="s">
        <v>8650</v>
      </c>
      <c r="B8650" s="2" t="str">
        <f>IFERROR(__xludf.DUMMYFUNCTION("GOOGLETRANSLATE(A8650, ""en"", ""mt"")"),"Ministru Federali tal-Intern")</f>
        <v>Ministru Federali tal-Intern</v>
      </c>
    </row>
    <row r="8651" ht="15.75" customHeight="1">
      <c r="A8651" s="2" t="s">
        <v>8651</v>
      </c>
      <c r="B8651" s="2" t="str">
        <f>IFERROR(__xludf.DUMMYFUNCTION("GOOGLETRANSLATE(A8651, ""en"", ""mt"")"),"Longes materni")</f>
        <v>Longes materni</v>
      </c>
    </row>
    <row r="8652" ht="15.75" customHeight="1">
      <c r="A8652" s="2" t="s">
        <v>8652</v>
      </c>
      <c r="B8652" s="2" t="str">
        <f>IFERROR(__xludf.DUMMYFUNCTION("GOOGLETRANSLATE(A8652, ""en"", ""mt"")"),"żieda fl-aċċess għall-edukazzjoni")</f>
        <v>żieda fl-aċċess għall-edukazzjoni</v>
      </c>
    </row>
    <row r="8653" ht="15.75" customHeight="1">
      <c r="A8653" s="2" t="s">
        <v>8653</v>
      </c>
      <c r="B8653" s="2" t="str">
        <f>IFERROR(__xludf.DUMMYFUNCTION("GOOGLETRANSLATE(A8653, ""en"", ""mt"")"),"Liema liġi ġġustifikat l-imperjalizmu Brittaniku?")</f>
        <v>Liema liġi ġġustifikat l-imperjalizmu Brittaniku?</v>
      </c>
    </row>
    <row r="8654" ht="15.75" customHeight="1">
      <c r="A8654" s="2" t="s">
        <v>8654</v>
      </c>
      <c r="B8654" s="2" t="str">
        <f>IFERROR(__xludf.DUMMYFUNCTION("GOOGLETRANSLATE(A8654, ""en"", ""mt"")"),"1886")</f>
        <v>1886</v>
      </c>
    </row>
    <row r="8655" ht="15.75" customHeight="1">
      <c r="A8655" s="2" t="s">
        <v>8655</v>
      </c>
      <c r="B8655" s="2" t="str">
        <f>IFERROR(__xludf.DUMMYFUNCTION("GOOGLETRANSLATE(A8655, ""en"", ""mt"")"),"Teatri Amerikani tax-Xandir-Paramount, Inc")</f>
        <v>Teatri Amerikani tax-Xandir-Paramount, Inc</v>
      </c>
    </row>
    <row r="8656" ht="15.75" customHeight="1">
      <c r="A8656" s="2" t="s">
        <v>8656</v>
      </c>
      <c r="B8656" s="2" t="str">
        <f>IFERROR(__xludf.DUMMYFUNCTION("GOOGLETRANSLATE(A8656, ""en"", ""mt"")"),"Min huma wħud mill-aqwa sewwieqa tar-rally li rebħu r-rally?")</f>
        <v>Min huma wħud mill-aqwa sewwieqa tar-rally li rebħu r-rally?</v>
      </c>
    </row>
    <row r="8657" ht="15.75" customHeight="1">
      <c r="A8657" s="2" t="s">
        <v>8657</v>
      </c>
      <c r="B8657" s="2" t="str">
        <f>IFERROR(__xludf.DUMMYFUNCTION("GOOGLETRANSLATE(A8657, ""en"", ""mt"")"),"1896")</f>
        <v>1896</v>
      </c>
    </row>
    <row r="8658" ht="15.75" customHeight="1">
      <c r="A8658" s="2" t="s">
        <v>8658</v>
      </c>
      <c r="B8658" s="2" t="str">
        <f>IFERROR(__xludf.DUMMYFUNCTION("GOOGLETRANSLATE(A8658, ""en"", ""mt"")"),"Liema terminu kien użat għall-ewwel riġenerazzjoni?")</f>
        <v>Liema terminu kien użat għall-ewwel riġenerazzjoni?</v>
      </c>
    </row>
    <row r="8659" ht="15.75" customHeight="1">
      <c r="A8659" s="2" t="s">
        <v>8659</v>
      </c>
      <c r="B8659" s="2" t="str">
        <f>IFERROR(__xludf.DUMMYFUNCTION("GOOGLETRANSLATE(A8659, ""en"", ""mt"")"),"Meta bdew il-marea u l-kurrenti simili għas-sistema attwali tagħna?")</f>
        <v>Meta bdew il-marea u l-kurrenti simili għas-sistema attwali tagħna?</v>
      </c>
    </row>
    <row r="8660" ht="15.75" customHeight="1">
      <c r="A8660" s="2" t="s">
        <v>8660</v>
      </c>
      <c r="B8660" s="2" t="str">
        <f>IFERROR(__xludf.DUMMYFUNCTION("GOOGLETRANSLATE(A8660, ""en"", ""mt"")"),"2016")</f>
        <v>2016</v>
      </c>
    </row>
    <row r="8661" ht="15.75" customHeight="1">
      <c r="A8661" s="2" t="s">
        <v>8661</v>
      </c>
      <c r="B8661" s="2" t="str">
        <f>IFERROR(__xludf.DUMMYFUNCTION("GOOGLETRANSLATE(A8661, ""en"", ""mt"")"),"Dumbbell f'forma")</f>
        <v>Dumbbell f'forma</v>
      </c>
    </row>
    <row r="8662" ht="15.75" customHeight="1">
      <c r="A8662" s="2" t="s">
        <v>8662</v>
      </c>
      <c r="B8662" s="2" t="str">
        <f>IFERROR(__xludf.DUMMYFUNCTION("GOOGLETRANSLATE(A8662, ""en"", ""mt"")"),"F'liema data ġiet murija s-serje tnejn mill-CBC?")</f>
        <v>F'liema data ġiet murija s-serje tnejn mill-CBC?</v>
      </c>
    </row>
    <row r="8663" ht="15.75" customHeight="1">
      <c r="A8663" s="2" t="s">
        <v>8663</v>
      </c>
      <c r="B8663" s="2" t="str">
        <f>IFERROR(__xludf.DUMMYFUNCTION("GOOGLETRANSLATE(A8663, ""en"", ""mt"")"),"Minbarra l-jasar tar-rieda, liema xogħol ieħor Luther qies bħala ktieb tiegħu?")</f>
        <v>Minbarra l-jasar tar-rieda, liema xogħol ieħor Luther qies bħala ktieb tiegħu?</v>
      </c>
    </row>
    <row r="8664" ht="15.75" customHeight="1">
      <c r="A8664" s="2" t="s">
        <v>8664</v>
      </c>
      <c r="B8664" s="2" t="str">
        <f>IFERROR(__xludf.DUMMYFUNCTION("GOOGLETRANSLATE(A8664, ""en"", ""mt"")"),"X'inhu l-wustite minerali?")</f>
        <v>X'inhu l-wustite minerali?</v>
      </c>
    </row>
    <row r="8665" ht="15.75" customHeight="1">
      <c r="A8665" s="2" t="s">
        <v>8665</v>
      </c>
      <c r="B8665" s="2" t="str">
        <f>IFERROR(__xludf.DUMMYFUNCTION("GOOGLETRANSLATE(A8665, ""en"", ""mt"")"),"neħħejt xi partijiet")</f>
        <v>neħħejt xi partijiet</v>
      </c>
    </row>
    <row r="8666" ht="15.75" customHeight="1">
      <c r="A8666" s="2" t="s">
        <v>8666</v>
      </c>
      <c r="B8666" s="2" t="str">
        <f>IFERROR(__xludf.DUMMYFUNCTION("GOOGLETRANSLATE(A8666, ""en"", ""mt"")"),"Kurrenti qawwija ta 'frekwenza għolja")</f>
        <v>Kurrenti qawwija ta 'frekwenza għolja</v>
      </c>
    </row>
    <row r="8667" ht="15.75" customHeight="1">
      <c r="A8667" s="2" t="s">
        <v>8667</v>
      </c>
      <c r="B8667" s="2" t="str">
        <f>IFERROR(__xludf.DUMMYFUNCTION("GOOGLETRANSLATE(A8667, ""en"", ""mt"")"),"Min ħa Isaacs Place bħala Provost fl-2016?")</f>
        <v>Min ħa Isaacs Place bħala Provost fl-2016?</v>
      </c>
    </row>
    <row r="8668" ht="15.75" customHeight="1">
      <c r="A8668" s="2" t="s">
        <v>8668</v>
      </c>
      <c r="B8668" s="2" t="str">
        <f>IFERROR(__xludf.DUMMYFUNCTION("GOOGLETRANSLATE(A8668, ""en"", ""mt"")"),"fokus politiku")</f>
        <v>fokus politiku</v>
      </c>
    </row>
    <row r="8669" ht="15.75" customHeight="1">
      <c r="A8669" s="2" t="s">
        <v>8669</v>
      </c>
      <c r="B8669" s="2" t="str">
        <f>IFERROR(__xludf.DUMMYFUNCTION("GOOGLETRANSLATE(A8669, ""en"", ""mt"")"),"Min kien in-neputi ta 'Tesla?")</f>
        <v>Min kien in-neputi ta 'Tesla?</v>
      </c>
    </row>
    <row r="8670" ht="15.75" customHeight="1">
      <c r="A8670" s="2" t="s">
        <v>8670</v>
      </c>
      <c r="B8670" s="2" t="str">
        <f>IFERROR(__xludf.DUMMYFUNCTION("GOOGLETRANSLATE(A8670, ""en"", ""mt"")"),"nies biex isegwu l-għanijiet ta 'ħajjithom fi kwalunkwe pajjiż permezz ta' moviment liberu")</f>
        <v>nies biex isegwu l-għanijiet ta 'ħajjithom fi kwalunkwe pajjiż permezz ta' moviment liberu</v>
      </c>
    </row>
    <row r="8671" ht="15.75" customHeight="1">
      <c r="A8671" s="2" t="s">
        <v>8671</v>
      </c>
      <c r="B8671" s="2" t="str">
        <f>IFERROR(__xludf.DUMMYFUNCTION("GOOGLETRANSLATE(A8671, ""en"", ""mt"")"),"Vidjow fuq talba")</f>
        <v>Vidjow fuq talba</v>
      </c>
    </row>
    <row r="8672" ht="15.75" customHeight="1">
      <c r="A8672" s="2" t="s">
        <v>8672</v>
      </c>
      <c r="B8672" s="2" t="str">
        <f>IFERROR(__xludf.DUMMYFUNCTION("GOOGLETRANSLATE(A8672, ""en"", ""mt"")"),"Tolbert")</f>
        <v>Tolbert</v>
      </c>
    </row>
    <row r="8673" ht="15.75" customHeight="1">
      <c r="A8673" s="2" t="s">
        <v>8673</v>
      </c>
      <c r="B8673" s="2" t="str">
        <f>IFERROR(__xludf.DUMMYFUNCTION("GOOGLETRANSLATE(A8673, ""en"", ""mt"")"),"Matul il-ħamest ijiem li ġejjin, saru konferenzi privati ​​biex jiddeterminaw id-destin ta 'Luther. L-Imperatur ippreżenta l-abbozz finali tal-editt ta 'Worms fil-25 ta' Mejju 1521, li ddikjara lil Luther illegali, li pprojbixxa l-letteratura tiegħu, u je"&amp;"ħtieġ l-arrest tiegħu: ""Aħna rridu li jinqabad u jiġi kkastigat bħala eretiku notorju."" Huwa għamilha wkoll reat għal kull min fil-Ġermanja biex jagħti ikel jew kenn lil Luther. Huwa ppermetta lil kulħadd joqtol lil Luther mingħajr konsegwenza legali.")</f>
        <v>Matul il-ħamest ijiem li ġejjin, saru konferenzi privati ​​biex jiddeterminaw id-destin ta 'Luther. L-Imperatur ippreżenta l-abbozz finali tal-editt ta 'Worms fil-25 ta' Mejju 1521, li ddikjara lil Luther illegali, li pprojbixxa l-letteratura tiegħu, u jeħtieġ l-arrest tiegħu: "Aħna rridu li jinqabad u jiġi kkastigat bħala eretiku notorju." Huwa għamilha wkoll reat għal kull min fil-Ġermanja biex jagħti ikel jew kenn lil Luther. Huwa ppermetta lil kulħadd joqtol lil Luther mingħajr konsegwenza legali.</v>
      </c>
    </row>
    <row r="8674" ht="15.75" customHeight="1">
      <c r="A8674" s="2" t="s">
        <v>8674</v>
      </c>
      <c r="B8674" s="2" t="str">
        <f>IFERROR(__xludf.DUMMYFUNCTION("GOOGLETRANSLATE(A8674, ""en"", ""mt"")"),"Wara l-Griegi, ftit ġara bl-istudju tan-numri ewlenin sas-seklu 17. Fl-1640 Pierre de Fermat iddikjara (mingħajr prova) it-teorema żgħira ta 'Fermat (aktar tard ippruvata minn Leibniz u Euler). Fermat ikkonjetta wkoll li n-numri kollha tal-Formola 22N + 1"&amp;" huma primarji (huma msejħa Fermat Numri) u huwa vverifika dan sa n = 4 (jew 216 + 1). Madankollu, in-numru Fermat li jmiss stess 232 + 1 huwa kompost (wieħed mill-fatturi ewlenin tiegħu huwa 641), kif skopra Euler aktar tard, u fil-fatt m'hemm l-ebda num"&amp;"ri ta 'fermati oħra magħrufa. Il-monk Franċiż Marin Mersenne ħares lejn il-primes tal-forma 2p - 1, bil-P a prim. Huma msejħa Mersenne Primes fl-unur tiegħu.")</f>
        <v>Wara l-Griegi, ftit ġara bl-istudju tan-numri ewlenin sas-seklu 17. Fl-1640 Pierre de Fermat iddikjara (mingħajr prova) it-teorema żgħira ta 'Fermat (aktar tard ippruvata minn Leibniz u Euler). Fermat ikkonjetta wkoll li n-numri kollha tal-Formola 22N + 1 huma primarji (huma msejħa Fermat Numri) u huwa vverifika dan sa n = 4 (jew 216 + 1). Madankollu, in-numru Fermat li jmiss stess 232 + 1 huwa kompost (wieħed mill-fatturi ewlenin tiegħu huwa 641), kif skopra Euler aktar tard, u fil-fatt m'hemm l-ebda numri ta 'fermati oħra magħrufa. Il-monk Franċiż Marin Mersenne ħares lejn il-primes tal-forma 2p - 1, bil-P a prim. Huma msejħa Mersenne Primes fl-unur tiegħu.</v>
      </c>
    </row>
    <row r="8675" ht="15.75" customHeight="1">
      <c r="A8675" s="2" t="s">
        <v>8675</v>
      </c>
      <c r="B8675" s="2" t="str">
        <f>IFERROR(__xludf.DUMMYFUNCTION("GOOGLETRANSLATE(A8675, ""en"", ""mt"")"),"L-università topera 12-il istitut ta 'riċerka u 113 ċentri ta' riċerka fuq il-kampus. Fost dawn hemm l-Istitut Orjentali - Mużew u Ċentru ta 'Riċerka għal Studji tal-Lvant Qarib proprjetà u mħaddma mill-Università - u numru ta' ċentri ta 'riżorsi nazzjona"&amp;"li, inkluż iċ-Ċentru għall-Istudji tal-Lvant Nofsani. Chicago topera wkoll jew hija affiljata ma 'numru ta' istituzzjonijiet ta 'riċerka apparti mill-università kif suppost. L-università timmaniġġja parzjalment il-Laboratorju Nazzjonali ta 'Argonne, parti"&amp;" mis-sistema tal-laboratorju nazzjonali tad-Dipartiment tal-Enerġija ta' l-Istati Uniti, u għandha sehem konġunt f'Fermilab, laboratorju tal-fiżika tal-partikuli fil-qrib, kif ukoll sehem fl-Osservatorju tal-Punt Apache f'Sunspot, New Mexico. Fakultà u st"&amp;"udenti fl-Istitut Teknoloġiku ta 'Toyota li jmiss Il-kampus ta 'Chicago.")</f>
        <v>L-università topera 12-il istitut ta 'riċerka u 113 ċentri ta' riċerka fuq il-kampus. Fost dawn hemm l-Istitut Orjentali - Mużew u Ċentru ta 'Riċerka għal Studji tal-Lvant Qarib proprjetà u mħaddma mill-Università - u numru ta' ċentri ta 'riżorsi nazzjonali, inkluż iċ-Ċentru għall-Istudji tal-Lvant Nofsani. Chicago topera wkoll jew hija affiljata ma 'numru ta' istituzzjonijiet ta 'riċerka apparti mill-università kif suppost. L-università timmaniġġja parzjalment il-Laboratorju Nazzjonali ta 'Argonne, parti mis-sistema tal-laboratorju nazzjonali tad-Dipartiment tal-Enerġija ta' l-Istati Uniti, u għandha sehem konġunt f'Fermilab, laboratorju tal-fiżika tal-partikuli fil-qrib, kif ukoll sehem fl-Osservatorju tal-Punt Apache f'Sunspot, New Mexico. Fakultà u studenti fl-Istitut Teknoloġiku ta 'Toyota li jmiss Il-kampus ta 'Chicago.</v>
      </c>
    </row>
    <row r="8676" ht="15.75" customHeight="1">
      <c r="A8676" s="2" t="s">
        <v>8676</v>
      </c>
      <c r="B8676" s="2" t="str">
        <f>IFERROR(__xludf.DUMMYFUNCTION("GOOGLETRANSLATE(A8676, ""en"", ""mt"")"),"deni isfar")</f>
        <v>deni isfar</v>
      </c>
    </row>
    <row r="8677" ht="15.75" customHeight="1">
      <c r="A8677" s="2" t="s">
        <v>8677</v>
      </c>
      <c r="B8677" s="2" t="str">
        <f>IFERROR(__xludf.DUMMYFUNCTION("GOOGLETRANSLATE(A8677, ""en"", ""mt"")"),"Liema soċjetà waqqfet l-Università ta 'Chicago?")</f>
        <v>Liema soċjetà waqqfet l-Università ta 'Chicago?</v>
      </c>
    </row>
    <row r="8678" ht="15.75" customHeight="1">
      <c r="A8678" s="2" t="s">
        <v>8678</v>
      </c>
      <c r="B8678" s="2" t="str">
        <f>IFERROR(__xludf.DUMMYFUNCTION("GOOGLETRANSLATE(A8678, ""en"", ""mt"")"),"Kemm idum biex żoni ġodda jkollhom produzzjoni sinifikanti taż-żejt?")</f>
        <v>Kemm idum biex żoni ġodda jkollhom produzzjoni sinifikanti taż-żejt?</v>
      </c>
    </row>
    <row r="8679" ht="15.75" customHeight="1">
      <c r="A8679" s="2" t="s">
        <v>8679</v>
      </c>
      <c r="B8679" s="2" t="str">
        <f>IFERROR(__xludf.DUMMYFUNCTION("GOOGLETRANSLATE(A8679, ""en"", ""mt"")"),"Liema membri tipikament jiftħu dibattiti?")</f>
        <v>Liema membri tipikament jiftħu dibattiti?</v>
      </c>
    </row>
    <row r="8680" ht="15.75" customHeight="1">
      <c r="A8680" s="2" t="s">
        <v>8680</v>
      </c>
      <c r="B8680" s="2" t="str">
        <f>IFERROR(__xludf.DUMMYFUNCTION("GOOGLETRANSLATE(A8680, ""en"", ""mt"")"),"Min ipproduċa l-ewwel mappa ġeoloġika tal-Istati Uniti?")</f>
        <v>Min ipproduċa l-ewwel mappa ġeoloġika tal-Istati Uniti?</v>
      </c>
    </row>
    <row r="8681" ht="15.75" customHeight="1">
      <c r="A8681" s="2" t="s">
        <v>8681</v>
      </c>
      <c r="B8681" s="2" t="str">
        <f>IFERROR(__xludf.DUMMYFUNCTION("GOOGLETRANSLATE(A8681, ""en"", ""mt"")"),"Fl-Istati Uniti, l-industrija fl-2014 għandha madwar $ 960 biljun fi dħul annwali skont l-istatistiċi segwiti mill-Uffiċċju taċ-Ċensiment, li $ 680 biljun huwa privat (maqsum indaqs bejn residenzjali u mhux residenzjali) u l-bqija huwa l-gvern. Mill-2005,"&amp;" kien hemm madwar 667,000 ditta li jimpjegaw 1 miljun kuntrattur (200,000 kuntrattur ġenerali, 38,000 tqil, u 432,000 speċjalità); Il-kuntrattur medju impjegat inqas minn 10 impjegati. B'mod ġenerali, l-industrija impjegat stima ta '5.8 miljun minn April "&amp;"2013, b'rata ta' qgħad ta '13.2%. Fl-Istati Uniti, madwar 828,000 mara kienu impjegati fl-industrija tal-kostruzzjoni mill-2011.")</f>
        <v>Fl-Istati Uniti, l-industrija fl-2014 għandha madwar $ 960 biljun fi dħul annwali skont l-istatistiċi segwiti mill-Uffiċċju taċ-Ċensiment, li $ 680 biljun huwa privat (maqsum indaqs bejn residenzjali u mhux residenzjali) u l-bqija huwa l-gvern. Mill-2005, kien hemm madwar 667,000 ditta li jimpjegaw 1 miljun kuntrattur (200,000 kuntrattur ġenerali, 38,000 tqil, u 432,000 speċjalità); Il-kuntrattur medju impjegat inqas minn 10 impjegati. B'mod ġenerali, l-industrija impjegat stima ta '5.8 miljun minn April 2013, b'rata ta' qgħad ta '13.2%. Fl-Istati Uniti, madwar 828,000 mara kienu impjegati fl-industrija tal-kostruzzjoni mill-2011.</v>
      </c>
    </row>
    <row r="8682" ht="15.75" customHeight="1">
      <c r="A8682" s="2" t="s">
        <v>8682</v>
      </c>
      <c r="B8682" s="2" t="str">
        <f>IFERROR(__xludf.DUMMYFUNCTION("GOOGLETRANSLATE(A8682, ""en"", ""mt"")"),"Xi jfisser it-trijanglu roża?")</f>
        <v>Xi jfisser it-trijanglu roża?</v>
      </c>
    </row>
    <row r="8683" ht="15.75" customHeight="1">
      <c r="A8683" s="2" t="s">
        <v>8683</v>
      </c>
      <c r="B8683" s="2" t="str">
        <f>IFERROR(__xludf.DUMMYFUNCTION("GOOGLETRANSLATE(A8683, ""en"", ""mt"")"),"San Diego")</f>
        <v>San Diego</v>
      </c>
    </row>
    <row r="8684" ht="15.75" customHeight="1">
      <c r="A8684" s="2" t="s">
        <v>8684</v>
      </c>
      <c r="B8684" s="2" t="str">
        <f>IFERROR(__xludf.DUMMYFUNCTION("GOOGLETRANSLATE(A8684, ""en"", ""mt"")"),"għat-tisfija tal-art tal-madwar u l-polders")</f>
        <v>għat-tisfija tal-art tal-madwar u l-polders</v>
      </c>
    </row>
    <row r="8685" ht="15.75" customHeight="1">
      <c r="A8685" s="2" t="s">
        <v>8685</v>
      </c>
      <c r="B8685" s="2" t="str">
        <f>IFERROR(__xludf.DUMMYFUNCTION("GOOGLETRANSLATE(A8685, ""en"", ""mt"")"),"Mard bħal malarja, HIV / AIDS, pnewmonja, dijarea u malnutrizzjoni")</f>
        <v>Mard bħal malarja, HIV / AIDS, pnewmonja, dijarea u malnutrizzjoni</v>
      </c>
    </row>
    <row r="8686" ht="15.75" customHeight="1">
      <c r="A8686" s="2" t="s">
        <v>8686</v>
      </c>
      <c r="B8686" s="2" t="str">
        <f>IFERROR(__xludf.DUMMYFUNCTION("GOOGLETRANSLATE(A8686, ""en"", ""mt"")"),"Liema kitba ispirat l-isem kbir Yuan?")</f>
        <v>Liema kitba ispirat l-isem kbir Yuan?</v>
      </c>
    </row>
    <row r="8687" ht="15.75" customHeight="1">
      <c r="A8687" s="2" t="s">
        <v>8687</v>
      </c>
      <c r="B8687" s="2" t="str">
        <f>IFERROR(__xludf.DUMMYFUNCTION("GOOGLETRANSLATE(A8687, ""en"", ""mt"")"),"Teoriji ġeografiċi bħad-determiniżmu ambjentali ssuġġerew ukoll li l-ambjenti tropikali ħolqu persuni mhux varjati li għandhom bżonn gwida Ewropea. Pereżempju, il-ġeografa Amerikana Ellen Churchill Semple argumentat li minkejja li l-bnedmin oriġinaw fit-t"&amp;"ropiċi huma setgħu jsiru biss umani fiż-żona moderata. It-tropiċità tista 'tkun parallela mal-Orjentaliżmu ta' Edward Said bħala l-kostruzzjoni tal-Punent tal-Lvant bħala l- ""Oħrajn"". Skond SIAD, l-Orjentaliżmu ppermetta lill-Ewropa tistabbilixxi ruħha "&amp;"bħala s-superjur u n-norma, li ġġustifikaw id-dominanza tagħha fuq l-Orjent Essenzjalizzat.")</f>
        <v>Teoriji ġeografiċi bħad-determiniżmu ambjentali ssuġġerew ukoll li l-ambjenti tropikali ħolqu persuni mhux varjati li għandhom bżonn gwida Ewropea. Pereżempju, il-ġeografa Amerikana Ellen Churchill Semple argumentat li minkejja li l-bnedmin oriġinaw fit-tropiċi huma setgħu jsiru biss umani fiż-żona moderata. It-tropiċità tista 'tkun parallela mal-Orjentaliżmu ta' Edward Said bħala l-kostruzzjoni tal-Punent tal-Lvant bħala l- "Oħrajn". Skond SIAD, l-Orjentaliżmu ppermetta lill-Ewropa tistabbilixxi ruħha bħala s-superjur u n-norma, li ġġustifikaw id-dominanza tagħha fuq l-Orjent Essenzjalizzat.</v>
      </c>
    </row>
    <row r="8688" ht="15.75" customHeight="1">
      <c r="A8688" s="2" t="s">
        <v>8688</v>
      </c>
      <c r="B8688" s="2" t="str">
        <f>IFERROR(__xludf.DUMMYFUNCTION("GOOGLETRANSLATE(A8688, ""en"", ""mt"")"),"Staġnar ekonomiku")</f>
        <v>Staġnar ekonomiku</v>
      </c>
    </row>
    <row r="8689" ht="15.75" customHeight="1">
      <c r="A8689" s="2" t="s">
        <v>8689</v>
      </c>
      <c r="B8689" s="2" t="str">
        <f>IFERROR(__xludf.DUMMYFUNCTION("GOOGLETRANSLATE(A8689, ""en"", ""mt"")"),"Liema xmara Genghis Khan qasmet qabel ma għelbet l-armata ewlenija tat-Tangut?")</f>
        <v>Liema xmara Genghis Khan qasmet qabel ma għelbet l-armata ewlenija tat-Tangut?</v>
      </c>
    </row>
    <row r="8690" ht="15.75" customHeight="1">
      <c r="A8690" s="2" t="s">
        <v>8690</v>
      </c>
      <c r="B8690" s="2" t="str">
        <f>IFERROR(__xludf.DUMMYFUNCTION("GOOGLETRANSLATE(A8690, ""en"", ""mt"")"),"L-ogħla bini fl-orizzont ta ’Downtown Jacksonville huwa t-Torri tal-Bank of America, mibni fl-1990 bħala ċ-Ċentru Barnett. Għandu għoli ta '617 ft (188 m) u jinkludi 42 sular. Strutturi oħra notevoli jinkludu ċ-Ċentru Fargo Wells 37-Istorja (bil-bażi flar"&amp;"ed distintiva tiegħu li tagħmilha l-bini li jiddefinixxi fl-orizzont ta 'Jacksonville), oriġinarjament mibni fl-1972-74 mill-Kumpanija Indipendenti tal-Ħajja u l-Inċidenti tal-Inċidenti, u t-28 Torri tax-Xmara Floor li , meta tlestiet fl-1967, kienet l-og"&amp;"ħla struttura tal-konkrit precast, wara t-tensjoni fid-dinja.")</f>
        <v>L-ogħla bini fl-orizzont ta ’Downtown Jacksonville huwa t-Torri tal-Bank of America, mibni fl-1990 bħala ċ-Ċentru Barnett. Għandu għoli ta '617 ft (188 m) u jinkludi 42 sular. Strutturi oħra notevoli jinkludu ċ-Ċentru Fargo Wells 37-Istorja (bil-bażi flared distintiva tiegħu li tagħmilha l-bini li jiddefinixxi fl-orizzont ta 'Jacksonville), oriġinarjament mibni fl-1972-74 mill-Kumpanija Indipendenti tal-Ħajja u l-Inċidenti tal-Inċidenti, u t-28 Torri tax-Xmara Floor li , meta tlestiet fl-1967, kienet l-ogħla struttura tal-konkrit precast, wara t-tensjoni fid-dinja.</v>
      </c>
    </row>
    <row r="8691" ht="15.75" customHeight="1">
      <c r="A8691" s="2" t="s">
        <v>8691</v>
      </c>
      <c r="B8691" s="2" t="str">
        <f>IFERROR(__xludf.DUMMYFUNCTION("GOOGLETRANSLATE(A8691, ""en"", ""mt"")"),"Frontiers minn bejn Nova Scotia u Acadia fit-tramuntana, lejn il-pajjiż ta ’Ohio fin-nofsinhar, ġew mitluba miż-żewġ naħat")</f>
        <v>Frontiers minn bejn Nova Scotia u Acadia fit-tramuntana, lejn il-pajjiż ta ’Ohio fin-nofsinhar, ġew mitluba miż-żewġ naħat</v>
      </c>
    </row>
    <row r="8692" ht="15.75" customHeight="1">
      <c r="A8692" s="2" t="s">
        <v>8692</v>
      </c>
      <c r="B8692" s="2" t="str">
        <f>IFERROR(__xludf.DUMMYFUNCTION("GOOGLETRANSLATE(A8692, ""en"", ""mt"")"),"X'inhu meqjus bħala l-qofol tal-Gallerija Jameel ta 'l-Art Iżlamika?")</f>
        <v>X'inhu meqjus bħala l-qofol tal-Gallerija Jameel ta 'l-Art Iżlamika?</v>
      </c>
    </row>
    <row r="8693" ht="15.75" customHeight="1">
      <c r="A8693" s="2" t="s">
        <v>8693</v>
      </c>
      <c r="B8693" s="2" t="str">
        <f>IFERROR(__xludf.DUMMYFUNCTION("GOOGLETRANSLATE(A8693, ""en"", ""mt"")"),"Ċentru Ċiviku.")</f>
        <v>Ċentru Ċiviku.</v>
      </c>
    </row>
    <row r="8694" ht="15.75" customHeight="1">
      <c r="A8694" s="2" t="s">
        <v>8694</v>
      </c>
      <c r="B8694" s="2" t="str">
        <f>IFERROR(__xludf.DUMMYFUNCTION("GOOGLETRANSLATE(A8694, ""en"", ""mt"")"),"Il-bnadar ta 'l-Istati Uniti fuq il-qamar għad għandhom il-kulur oriġinali tagħhom jew kienu faded minħabba x-xemx?")</f>
        <v>Il-bnadar ta 'l-Istati Uniti fuq il-qamar għad għandhom il-kulur oriġinali tagħhom jew kienu faded minħabba x-xemx?</v>
      </c>
    </row>
    <row r="8695" ht="15.75" customHeight="1">
      <c r="A8695" s="2" t="s">
        <v>8695</v>
      </c>
      <c r="B8695" s="2" t="str">
        <f>IFERROR(__xludf.DUMMYFUNCTION("GOOGLETRANSLATE(A8695, ""en"", ""mt"")"),"Liema uffiċjal Spanjol stabbilixxa l-ftehim f'San Wistin?")</f>
        <v>Liema uffiċjal Spanjol stabbilixxa l-ftehim f'San Wistin?</v>
      </c>
    </row>
    <row r="8696" ht="15.75" customHeight="1">
      <c r="A8696" s="2" t="s">
        <v>8696</v>
      </c>
      <c r="B8696" s="2" t="str">
        <f>IFERROR(__xludf.DUMMYFUNCTION("GOOGLETRANSLATE(A8696, ""en"", ""mt"")"),"Kif jiġu ddeterminati l-kejl tal-laboratorju tal-forzi?")</f>
        <v>Kif jiġu ddeterminati l-kejl tal-laboratorju tal-forzi?</v>
      </c>
    </row>
    <row r="8697" ht="15.75" customHeight="1">
      <c r="A8697" s="2" t="s">
        <v>8697</v>
      </c>
      <c r="B8697" s="2" t="str">
        <f>IFERROR(__xludf.DUMMYFUNCTION("GOOGLETRANSLATE(A8697, ""en"", ""mt"")"),"X’waqqaf Luther bħala servizz ta ’qima fil-knisja tiegħu?")</f>
        <v>X’waqqaf Luther bħala servizz ta ’qima fil-knisja tiegħu?</v>
      </c>
    </row>
    <row r="8698" ht="15.75" customHeight="1">
      <c r="A8698" s="2" t="s">
        <v>8698</v>
      </c>
      <c r="B8698" s="2" t="str">
        <f>IFERROR(__xludf.DUMMYFUNCTION("GOOGLETRANSLATE(A8698, ""en"", ""mt"")"),"Fiduċja l-Kelma ta ’Alla")</f>
        <v>Fiduċja l-Kelma ta ’Alla</v>
      </c>
    </row>
    <row r="8699" ht="15.75" customHeight="1">
      <c r="A8699" s="2" t="s">
        <v>8699</v>
      </c>
      <c r="B8699" s="2" t="str">
        <f>IFERROR(__xludf.DUMMYFUNCTION("GOOGLETRANSLATE(A8699, ""en"", ""mt"")"),"Minbarra l-għargħar kostanti, għaliex inkella kien hemm regolazzjoni tar-Renu?")</f>
        <v>Minbarra l-għargħar kostanti, għaliex inkella kien hemm regolazzjoni tar-Renu?</v>
      </c>
    </row>
    <row r="8700" ht="15.75" customHeight="1">
      <c r="A8700" s="2" t="s">
        <v>8700</v>
      </c>
      <c r="B8700" s="2" t="str">
        <f>IFERROR(__xludf.DUMMYFUNCTION("GOOGLETRANSLATE(A8700, ""en"", ""mt"")"),"X'tip ta 'esperimenti ta' deformazzjoni fil-blat iwettqu l-ġeoloġi strutturali?")</f>
        <v>X'tip ta 'esperimenti ta' deformazzjoni fil-blat iwettqu l-ġeoloġi strutturali?</v>
      </c>
    </row>
    <row r="8701" ht="15.75" customHeight="1">
      <c r="A8701" s="2" t="s">
        <v>8701</v>
      </c>
      <c r="B8701" s="2" t="str">
        <f>IFERROR(__xludf.DUMMYFUNCTION("GOOGLETRANSLATE(A8701, ""en"", ""mt"")"),"599 m")</f>
        <v>599 m</v>
      </c>
    </row>
    <row r="8702" ht="15.75" customHeight="1">
      <c r="A8702" s="2" t="s">
        <v>8702</v>
      </c>
      <c r="B8702" s="2" t="str">
        <f>IFERROR(__xludf.DUMMYFUNCTION("GOOGLETRANSLATE(A8702, ""en"", ""mt"")"),"Kathmandu")</f>
        <v>Kathmandu</v>
      </c>
    </row>
    <row r="8703" ht="15.75" customHeight="1">
      <c r="A8703" s="2" t="s">
        <v>8703</v>
      </c>
      <c r="B8703" s="2" t="str">
        <f>IFERROR(__xludf.DUMMYFUNCTION("GOOGLETRANSLATE(A8703, ""en"", ""mt"")"),"bla ħniena")</f>
        <v>bla ħniena</v>
      </c>
    </row>
    <row r="8704" ht="15.75" customHeight="1">
      <c r="A8704" s="2" t="s">
        <v>8704</v>
      </c>
      <c r="B8704" s="2" t="str">
        <f>IFERROR(__xludf.DUMMYFUNCTION("GOOGLETRANSLATE(A8704, ""en"", ""mt"")"),"80")</f>
        <v>80</v>
      </c>
    </row>
    <row r="8705" ht="15.75" customHeight="1">
      <c r="A8705" s="2" t="s">
        <v>8705</v>
      </c>
      <c r="B8705" s="2" t="str">
        <f>IFERROR(__xludf.DUMMYFUNCTION("GOOGLETRANSLATE(A8705, ""en"", ""mt"")"),"Is-sistema Min")</f>
        <v>Is-sistema Min</v>
      </c>
    </row>
    <row r="8706" ht="15.75" customHeight="1">
      <c r="A8706" s="2" t="s">
        <v>8706</v>
      </c>
      <c r="B8706" s="2" t="str">
        <f>IFERROR(__xludf.DUMMYFUNCTION("GOOGLETRANSLATE(A8706, ""en"", ""mt"")"),"satellita")</f>
        <v>satellita</v>
      </c>
    </row>
    <row r="8707" ht="15.75" customHeight="1">
      <c r="A8707" s="2" t="s">
        <v>8707</v>
      </c>
      <c r="B8707" s="2" t="str">
        <f>IFERROR(__xludf.DUMMYFUNCTION("GOOGLETRANSLATE(A8707, ""en"", ""mt"")"),"F'liema sena ġie introdott programm ta 'ammissjoni bikrija?")</f>
        <v>F'liema sena ġie introdott programm ta 'ammissjoni bikrija?</v>
      </c>
    </row>
    <row r="8708" ht="15.75" customHeight="1">
      <c r="A8708" s="2" t="s">
        <v>8708</v>
      </c>
      <c r="B8708" s="2" t="str">
        <f>IFERROR(__xludf.DUMMYFUNCTION("GOOGLETRANSLATE(A8708, ""en"", ""mt"")"),"Min ħatar Wesley bħala Isqof fl-1784?")</f>
        <v>Min ħatar Wesley bħala Isqof fl-1784?</v>
      </c>
    </row>
    <row r="8709" ht="15.75" customHeight="1">
      <c r="A8709" s="2" t="s">
        <v>8709</v>
      </c>
      <c r="B8709" s="2" t="str">
        <f>IFERROR(__xludf.DUMMYFUNCTION("GOOGLETRANSLATE(A8709, ""en"", ""mt"")"),"Tubu li fih l-istroma")</f>
        <v>Tubu li fih l-istroma</v>
      </c>
    </row>
    <row r="8710" ht="15.75" customHeight="1">
      <c r="A8710" s="2" t="s">
        <v>8710</v>
      </c>
      <c r="B8710" s="2" t="str">
        <f>IFERROR(__xludf.DUMMYFUNCTION("GOOGLETRANSLATE(A8710, ""en"", ""mt"")"),"it-tradizzjonijiet kostituzzjonali komuni għall-istati membri")</f>
        <v>it-tradizzjonijiet kostituzzjonali komuni għall-istati membri</v>
      </c>
    </row>
    <row r="8711" ht="15.75" customHeight="1">
      <c r="A8711" s="2" t="s">
        <v>8711</v>
      </c>
      <c r="B8711" s="2" t="str">
        <f>IFERROR(__xludf.DUMMYFUNCTION("GOOGLETRANSLATE(A8711, ""en"", ""mt"")"),"Trypanosoma Brucei")</f>
        <v>Trypanosoma Brucei</v>
      </c>
    </row>
    <row r="8712" ht="15.75" customHeight="1">
      <c r="A8712" s="2" t="s">
        <v>8712</v>
      </c>
      <c r="B8712" s="2" t="str">
        <f>IFERROR(__xludf.DUMMYFUNCTION("GOOGLETRANSLATE(A8712, ""en"", ""mt"")"),"Id-Dinja kellha frekwenza reżonanti")</f>
        <v>Id-Dinja kellha frekwenza reżonanti</v>
      </c>
    </row>
    <row r="8713" ht="15.75" customHeight="1">
      <c r="A8713" s="2" t="s">
        <v>8713</v>
      </c>
      <c r="B8713" s="2" t="str">
        <f>IFERROR(__xludf.DUMMYFUNCTION("GOOGLETRANSLATE(A8713, ""en"", ""mt"")"),"Lucas Cranach")</f>
        <v>Lucas Cranach</v>
      </c>
    </row>
    <row r="8714" ht="15.75" customHeight="1">
      <c r="A8714" s="2" t="s">
        <v>8714</v>
      </c>
      <c r="B8714" s="2" t="str">
        <f>IFERROR(__xludf.DUMMYFUNCTION("GOOGLETRANSLATE(A8714, ""en"", ""mt"")"),"Min qabad pass ta '16 -il tarzna fuq din is-sewqan?")</f>
        <v>Min qabad pass ta '16 -il tarzna fuq din is-sewqan?</v>
      </c>
    </row>
    <row r="8715" ht="15.75" customHeight="1">
      <c r="A8715" s="2" t="s">
        <v>8715</v>
      </c>
      <c r="B8715" s="2" t="str">
        <f>IFERROR(__xludf.DUMMYFUNCTION("GOOGLETRANSLATE(A8715, ""en"", ""mt"")"),"mill-1910–1940")</f>
        <v>mill-1910–1940</v>
      </c>
    </row>
    <row r="8716" ht="15.75" customHeight="1">
      <c r="A8716" s="2" t="s">
        <v>8716</v>
      </c>
      <c r="B8716" s="2" t="str">
        <f>IFERROR(__xludf.DUMMYFUNCTION("GOOGLETRANSLATE(A8716, ""en"", ""mt"")"),"Raġunijiet bibliċi,")</f>
        <v>Raġunijiet bibliċi,</v>
      </c>
    </row>
    <row r="8717" ht="15.75" customHeight="1">
      <c r="A8717" s="2" t="s">
        <v>8717</v>
      </c>
      <c r="B8717" s="2" t="str">
        <f>IFERROR(__xludf.DUMMYFUNCTION("GOOGLETRANSLATE(A8717, ""en"", ""mt"")"),"Il-pesta ġiet rappurtata l-ewwel introdotta fl-Ewropa permezz ta 'negozjanti Ġenesi fil-belt tal-port ta' Kaffa fil-Krimea fl-1347. Wara assedju fit-tul, li matulu l-armata Mongolja taħt Jani Beg kienet tbati mill-marda, l-armata qabdet il-kadavri infetta"&amp;"ti fuq il-belt Ħitan ta ’Kaffa biex jinfettaw lill-abitanti. In-negozjanti Ġenesi ħarbu, billi ħadu l-pesta bil-vapur lejn Sqallija u fin-nofsinhar tal-Ewropa, minn fejn tinfirex lejn it-tramuntana. Jekk din l-ipoteżi hijiex eżatta jew le, huwa ċar li div"&amp;"ersi kundizzjonijiet eżistenti bħall-gwerra, il-ġuħ, u t-temp ikkontribwew għas-severità tal-mewt sewda.")</f>
        <v>Il-pesta ġiet rappurtata l-ewwel introdotta fl-Ewropa permezz ta 'negozjanti Ġenesi fil-belt tal-port ta' Kaffa fil-Krimea fl-1347. Wara assedju fit-tul, li matulu l-armata Mongolja taħt Jani Beg kienet tbati mill-marda, l-armata qabdet il-kadavri infettati fuq il-belt Ħitan ta ’Kaffa biex jinfettaw lill-abitanti. In-negozjanti Ġenesi ħarbu, billi ħadu l-pesta bil-vapur lejn Sqallija u fin-nofsinhar tal-Ewropa, minn fejn tinfirex lejn it-tramuntana. Jekk din l-ipoteżi hijiex eżatta jew le, huwa ċar li diversi kundizzjonijiet eżistenti bħall-gwerra, il-ġuħ, u t-temp ikkontribwew għas-severità tal-mewt sewda.</v>
      </c>
    </row>
    <row r="8718" ht="15.75" customHeight="1">
      <c r="A8718" s="2" t="s">
        <v>8718</v>
      </c>
      <c r="B8718" s="2" t="str">
        <f>IFERROR(__xludf.DUMMYFUNCTION("GOOGLETRANSLATE(A8718, ""en"", ""mt"")"),"X'inhuma l-korpi leġiżlattivi ewlenin tal-Unjoni Ewropea?")</f>
        <v>X'inhuma l-korpi leġiżlattivi ewlenin tal-Unjoni Ewropea?</v>
      </c>
    </row>
    <row r="8719" ht="15.75" customHeight="1">
      <c r="A8719" s="2" t="s">
        <v>8719</v>
      </c>
      <c r="B8719" s="2" t="str">
        <f>IFERROR(__xludf.DUMMYFUNCTION("GOOGLETRANSLATE(A8719, ""en"", ""mt"")"),"sitwazzjoni finanzjarja diżastruża")</f>
        <v>sitwazzjoni finanzjarja diżastruża</v>
      </c>
    </row>
    <row r="8720" ht="15.75" customHeight="1">
      <c r="A8720" s="2" t="s">
        <v>8720</v>
      </c>
      <c r="B8720" s="2" t="str">
        <f>IFERROR(__xludf.DUMMYFUNCTION("GOOGLETRANSLATE(A8720, ""en"", ""mt"")"),"X'inhu t-Trattat dwar it-Tibdil fil-Klima tan-NU?")</f>
        <v>X'inhu t-Trattat dwar it-Tibdil fil-Klima tan-NU?</v>
      </c>
    </row>
    <row r="8721" ht="15.75" customHeight="1">
      <c r="A8721" s="2" t="s">
        <v>8721</v>
      </c>
      <c r="B8721" s="2" t="str">
        <f>IFERROR(__xludf.DUMMYFUNCTION("GOOGLETRANSLATE(A8721, ""en"", ""mt"")"),"L-Iżlamiżmu, magħruf ukoll bħala l-Islam politiku (Għarbi: إسلام سياسي Islām Siyāsī), huwa moviment tal-qawmien mill-ġdid Iżlamiku li spiss ikun ikkaratterizzat minn konservattiviżmu morali, litteraliżmu, u l-attentat ""biex jimplimenta valuri Iżlamiċi fl"&amp;"-isferi kollha tal-ħajja."" L-Iżlamiżmu jiffavorixxi l-ordni mill-ġdid tal-gvern u tas-soċjetà skont ix-Shari'a. Il-movimenti Iżlamisti differenti ġew deskritti bħala ""li joxxillaw bejn żewġ poli"": f'tarf wieħed hija strateġija ta 'l-Iżlamizzazzjoni tas"&amp;"-Soċjetà permezz ta' poter tal-istat maqbud minn rivoluzzjoni jew invażjoni; Fl-arblu l-ieħor ""riformist"" l-Iżlamisti jaħdmu biex is-soċjetà Iżlamizza gradwalment ""minn isfel għal fuq"". Il-movimenti ""bla dubju biddlu l-Lvant Nofsani aktar minn kwalun"&amp;"kwe xejra minn meta l-istati moderni kisbu l-indipendenza"", jiddefinixxu mill-ġdid ""politika u anke fruntieri"" skond ġurnalist wieħed (Robin Wright).")</f>
        <v>L-Iżlamiżmu, magħruf ukoll bħala l-Islam politiku (Għarbi: إسلام سياسي Islām Siyāsī), huwa moviment tal-qawmien mill-ġdid Iżlamiku li spiss ikun ikkaratterizzat minn konservattiviżmu morali, litteraliżmu, u l-attentat "biex jimplimenta valuri Iżlamiċi fl-isferi kollha tal-ħajja." L-Iżlamiżmu jiffavorixxi l-ordni mill-ġdid tal-gvern u tas-soċjetà skont ix-Shari'a. Il-movimenti Iżlamisti differenti ġew deskritti bħala "li joxxillaw bejn żewġ poli": f'tarf wieħed hija strateġija ta 'l-Iżlamizzazzjoni tas-Soċjetà permezz ta' poter tal-istat maqbud minn rivoluzzjoni jew invażjoni; Fl-arblu l-ieħor "riformist" l-Iżlamisti jaħdmu biex is-soċjetà Iżlamizza gradwalment "minn isfel għal fuq". Il-movimenti "bla dubju biddlu l-Lvant Nofsani aktar minn kwalunkwe xejra minn meta l-istati moderni kisbu l-indipendenza", jiddefinixxu mill-ġdid "politika u anke fruntieri" skond ġurnalist wieħed (Robin Wright).</v>
      </c>
    </row>
    <row r="8722" ht="15.75" customHeight="1">
      <c r="A8722" s="2" t="s">
        <v>8722</v>
      </c>
      <c r="B8722" s="2" t="str">
        <f>IFERROR(__xludf.DUMMYFUNCTION("GOOGLETRANSLATE(A8722, ""en"", ""mt"")"),"X'inhi l-librerija taċ-ċentru fis-sistema tal-librerija ta 'Harvard?")</f>
        <v>X'inhi l-librerija taċ-ċentru fis-sistema tal-librerija ta 'Harvard?</v>
      </c>
    </row>
    <row r="8723" ht="15.75" customHeight="1">
      <c r="A8723" s="2" t="s">
        <v>8723</v>
      </c>
      <c r="B8723" s="2" t="str">
        <f>IFERROR(__xludf.DUMMYFUNCTION("GOOGLETRANSLATE(A8723, ""en"", ""mt"")"),"is-7 seklu")</f>
        <v>is-7 seklu</v>
      </c>
    </row>
    <row r="8724" ht="15.75" customHeight="1">
      <c r="A8724" s="2" t="s">
        <v>8724</v>
      </c>
      <c r="B8724" s="2" t="str">
        <f>IFERROR(__xludf.DUMMYFUNCTION("GOOGLETRANSLATE(A8724, ""en"", ""mt"")"),"Dispożizzjonijiet ""għeruq""")</f>
        <v>Dispożizzjonijiet "għeruq"</v>
      </c>
    </row>
    <row r="8725" ht="15.75" customHeight="1">
      <c r="A8725" s="2" t="s">
        <v>8725</v>
      </c>
      <c r="B8725" s="2" t="str">
        <f>IFERROR(__xludf.DUMMYFUNCTION("GOOGLETRANSLATE(A8725, ""en"", ""mt"")"),"Għas-sena tas-salarju li tibda f'April 2008, għalliema mhux promoti fl-Iskozja qalgħu minn £ 20,427 għal probation, sa £ 32,583 wara 6 snin wara tagħlim, iżda mbagħad jistgħu jkomplu jaqilgħu sa £ 39,942 billi jtemmu l-moduli biex jaqilgħu l-istatus ta 'g"&amp;"ħalliem mikrija (Li teħtieġ mill-inqas 6 snin sa żewġ moduli fis-sena.) Il-promozzjoni għal pożizzjonijiet tal-għalliema prinċipali tattira salarju ta 'bejn £ 34,566 u £ 44,616; Deputat Kap, u l-għalliema tar-ras jaqilgħu minn £ 40,290 għal £ 78,642. L-għ"&amp;"alliema fl-Iskozja jistgħu jkunu membri rreġistrati ta ’trade unions ma’ dawk ewlenin li huma l-Istitut Edukattiv tal-Iskozja u l-Assoċjazzjoni tal-Għalliema Sekondarji Skoċċiżi.")</f>
        <v>Għas-sena tas-salarju li tibda f'April 2008, għalliema mhux promoti fl-Iskozja qalgħu minn £ 20,427 għal probation, sa £ 32,583 wara 6 snin wara tagħlim, iżda mbagħad jistgħu jkomplu jaqilgħu sa £ 39,942 billi jtemmu l-moduli biex jaqilgħu l-istatus ta 'għalliem mikrija (Li teħtieġ mill-inqas 6 snin sa żewġ moduli fis-sena.) Il-promozzjoni għal pożizzjonijiet tal-għalliema prinċipali tattira salarju ta 'bejn £ 34,566 u £ 44,616; Deputat Kap, u l-għalliema tar-ras jaqilgħu minn £ 40,290 għal £ 78,642. L-għalliema fl-Iskozja jistgħu jkunu membri rreġistrati ta ’trade unions ma’ dawk ewlenin li huma l-Istitut Edukattiv tal-Iskozja u l-Assoċjazzjoni tal-Għalliema Sekondarji Skoċċiżi.</v>
      </c>
    </row>
    <row r="8726" ht="15.75" customHeight="1">
      <c r="A8726" s="2" t="s">
        <v>8726</v>
      </c>
      <c r="B8726" s="2" t="str">
        <f>IFERROR(__xludf.DUMMYFUNCTION("GOOGLETRANSLATE(A8726, ""en"", ""mt"")"),"Meta seħħ l-ewwel test ta 'plugs-out?")</f>
        <v>Meta seħħ l-ewwel test ta 'plugs-out?</v>
      </c>
    </row>
    <row r="8727" ht="15.75" customHeight="1">
      <c r="A8727" s="2" t="s">
        <v>8727</v>
      </c>
      <c r="B8727" s="2" t="str">
        <f>IFERROR(__xludf.DUMMYFUNCTION("GOOGLETRANSLATE(A8727, ""en"", ""mt"")"),"Uliedu u neputijiet")</f>
        <v>Uliedu u neputijiet</v>
      </c>
    </row>
    <row r="8728" ht="15.75" customHeight="1">
      <c r="A8728" s="2" t="s">
        <v>8728</v>
      </c>
      <c r="B8728" s="2" t="str">
        <f>IFERROR(__xludf.DUMMYFUNCTION("GOOGLETRANSLATE(A8728, ""en"", ""mt"")"),"Wara referendum fl-1997")</f>
        <v>Wara referendum fl-1997</v>
      </c>
    </row>
    <row r="8729" ht="15.75" customHeight="1">
      <c r="A8729" s="2" t="s">
        <v>8729</v>
      </c>
      <c r="B8729" s="2" t="str">
        <f>IFERROR(__xludf.DUMMYFUNCTION("GOOGLETRANSLATE(A8729, ""en"", ""mt"")"),"X'inhu l-proċess li fih jissejjaħ in-newtrofili lejn is-sit tal-infjammazzjoni?")</f>
        <v>X'inhu l-proċess li fih jissejjaħ in-newtrofili lejn is-sit tal-infjammazzjoni?</v>
      </c>
    </row>
    <row r="8730" ht="15.75" customHeight="1">
      <c r="A8730" s="2" t="s">
        <v>8730</v>
      </c>
      <c r="B8730" s="2" t="str">
        <f>IFERROR(__xludf.DUMMYFUNCTION("GOOGLETRANSLATE(A8730, ""en"", ""mt"")"),"Nies li jitilgħu l-muntanji jew itiru f'ajruplani tal-ġwienaħ fissi mhux pressurizzati xi kultant ikollhom O supplimentari
2 provvisti. [H] Il-passiġġieri li jivvjaġġaw f'ajruplani kummerċjali (taħt pressjoni) għandhom provvista ta 'emerġenza ta' o
2 forn"&amp;"iti awtomatikament lilhom f'każ ta 'depressurizzazzjoni tal-kabina. Telf ta 'pressjoni tal-kabina f'daqqa jattiva ġeneraturi ta' ossiġnu kimiku 'l fuq minn kull sedil, u jikkawża li l-maskri tal-ossiġnu jonqsu. Tiġbed fuq il-maskri ""biex tibda l-fluss ta"&amp;" 'ossiġnu"" kif jiddettaw l-istruzzjonijiet tas-sigurtà tal-kabina, iġġiegħel il-preżentazzjonijiet tal-ħadid fil-klorat tas-sodju ġewwa l-kanister. Nixxiegħa kostanti ta 'gass ta' ossiġnu hija mbagħad prodotta mir-reazzjoni eżotermika.")</f>
        <v>Nies li jitilgħu l-muntanji jew itiru f'ajruplani tal-ġwienaħ fissi mhux pressurizzati xi kultant ikollhom O supplimentari
2 provvisti. [H] Il-passiġġieri li jivvjaġġaw f'ajruplani kummerċjali (taħt pressjoni) għandhom provvista ta 'emerġenza ta' o
2 forniti awtomatikament lilhom f'każ ta 'depressurizzazzjoni tal-kabina. Telf ta 'pressjoni tal-kabina f'daqqa jattiva ġeneraturi ta' ossiġnu kimiku 'l fuq minn kull sedil, u jikkawża li l-maskri tal-ossiġnu jonqsu. Tiġbed fuq il-maskri "biex tibda l-fluss ta 'ossiġnu" kif jiddettaw l-istruzzjonijiet tas-sigurtà tal-kabina, iġġiegħel il-preżentazzjonijiet tal-ħadid fil-klorat tas-sodju ġewwa l-kanister. Nixxiegħa kostanti ta 'gass ta' ossiġnu hija mbagħad prodotta mir-reazzjoni eżotermika.</v>
      </c>
    </row>
    <row r="8731" ht="15.75" customHeight="1">
      <c r="A8731" s="2" t="s">
        <v>8731</v>
      </c>
      <c r="B8731" s="2" t="str">
        <f>IFERROR(__xludf.DUMMYFUNCTION("GOOGLETRANSLATE(A8731, ""en"", ""mt"")"),"tliet snin qabel mewtu")</f>
        <v>tliet snin qabel mewtu</v>
      </c>
    </row>
    <row r="8732" ht="15.75" customHeight="1">
      <c r="A8732" s="2" t="s">
        <v>8732</v>
      </c>
      <c r="B8732" s="2" t="str">
        <f>IFERROR(__xludf.DUMMYFUNCTION("GOOGLETRANSLATE(A8732, ""en"", ""mt"")"),"Liema dizzjunarju fih definizzjoni mhux vjolenti?")</f>
        <v>Liema dizzjunarju fih definizzjoni mhux vjolenti?</v>
      </c>
    </row>
    <row r="8733" ht="15.75" customHeight="1">
      <c r="A8733" s="2" t="s">
        <v>8733</v>
      </c>
      <c r="B8733" s="2" t="str">
        <f>IFERROR(__xludf.DUMMYFUNCTION("GOOGLETRANSLATE(A8733, ""en"", ""mt"")"),"X'kien is-sottotitolu tal-film ta 'Jum l-Indipendenza li kellu karru matul is-Super Bowl?")</f>
        <v>X'kien is-sottotitolu tal-film ta 'Jum l-Indipendenza li kellu karru matul is-Super Bowl?</v>
      </c>
    </row>
    <row r="8734" ht="15.75" customHeight="1">
      <c r="A8734" s="2" t="s">
        <v>8734</v>
      </c>
      <c r="B8734" s="2" t="str">
        <f>IFERROR(__xludf.DUMMYFUNCTION("GOOGLETRANSLATE(A8734, ""en"", ""mt"")"),"Fejn kien hemm il-Media Day għas-Super Bowl 50?")</f>
        <v>Fejn kien hemm il-Media Day għas-Super Bowl 50?</v>
      </c>
    </row>
    <row r="8735" ht="15.75" customHeight="1">
      <c r="A8735" s="2" t="s">
        <v>8735</v>
      </c>
      <c r="B8735" s="2" t="str">
        <f>IFERROR(__xludf.DUMMYFUNCTION("GOOGLETRANSLATE(A8735, ""en"", ""mt"")"),"X’kien ir-riżultat ta ’din il-pubbliċità?")</f>
        <v>X’kien ir-riżultat ta ’din il-pubbliċità?</v>
      </c>
    </row>
    <row r="8736" ht="15.75" customHeight="1">
      <c r="A8736" s="2" t="s">
        <v>8736</v>
      </c>
      <c r="B8736" s="2" t="str">
        <f>IFERROR(__xludf.DUMMYFUNCTION("GOOGLETRANSLATE(A8736, ""en"", ""mt"")"),"Għaliex Oxfam u Credit Suisse jemmnu li s-sejbiet tagħhom qed jiġu ddubitati?")</f>
        <v>Għaliex Oxfam u Credit Suisse jemmnu li s-sejbiet tagħhom qed jiġu ddubitati?</v>
      </c>
    </row>
    <row r="8737" ht="15.75" customHeight="1">
      <c r="A8737" s="2" t="s">
        <v>8737</v>
      </c>
      <c r="B8737" s="2" t="str">
        <f>IFERROR(__xludf.DUMMYFUNCTION("GOOGLETRANSLATE(A8737, ""en"", ""mt"")"),"sitt diviżjonijiet")</f>
        <v>sitt diviżjonijiet</v>
      </c>
    </row>
    <row r="8738" ht="15.75" customHeight="1">
      <c r="A8738" s="2" t="s">
        <v>8738</v>
      </c>
      <c r="B8738" s="2" t="str">
        <f>IFERROR(__xludf.DUMMYFUNCTION("GOOGLETRANSLATE(A8738, ""en"", ""mt"")"),"Fil-Ġermanja, l-għalliema huma prinċipalment impjegati taċ-ċivil ingaġġati fi klassijiet speċjali universitarji, imsejħa Lehramtstudien (Studji dwar l-Edukazzjoni tat-Tagħlim). Hemm ħafna differenzi bejn l-għalliema għall-iskejjel elementari (Grundschule)"&amp;", skejjel sekondarji aktar baxxi (Hauptschule), skejjel sekondarji ta 'livell medju (Realschule) u skejjel sekondarji ta' livell ogħla (Gymnasium). Is-salarji għall-għalliema jiddependu mill-iskala tas-salarji tal-impjegati taċ-ċivil (BundesBesoldungsordn"&amp;"ung).")</f>
        <v>Fil-Ġermanja, l-għalliema huma prinċipalment impjegati taċ-ċivil ingaġġati fi klassijiet speċjali universitarji, imsejħa Lehramtstudien (Studji dwar l-Edukazzjoni tat-Tagħlim). Hemm ħafna differenzi bejn l-għalliema għall-iskejjel elementari (Grundschule), skejjel sekondarji aktar baxxi (Hauptschule), skejjel sekondarji ta 'livell medju (Realschule) u skejjel sekondarji ta' livell ogħla (Gymnasium). Is-salarji għall-għalliema jiddependu mill-iskala tas-salarji tal-impjegati taċ-ċivil (BundesBesoldungsordnung).</v>
      </c>
    </row>
    <row r="8739" ht="15.75" customHeight="1">
      <c r="A8739" s="2" t="s">
        <v>8739</v>
      </c>
      <c r="B8739" s="2" t="str">
        <f>IFERROR(__xludf.DUMMYFUNCTION("GOOGLETRANSLATE(A8739, ""en"", ""mt"")"),"Xi jfisser id-djalett ta 'Geordie tal-lingwa anzjana li waslet quddiemha?")</f>
        <v>Xi jfisser id-djalett ta 'Geordie tal-lingwa anzjana li waslet quddiemha?</v>
      </c>
    </row>
    <row r="8740" ht="15.75" customHeight="1">
      <c r="A8740" s="2" t="s">
        <v>8740</v>
      </c>
      <c r="B8740" s="2" t="str">
        <f>IFERROR(__xludf.DUMMYFUNCTION("GOOGLETRANSLATE(A8740, ""en"", ""mt"")"),"OC-48C")</f>
        <v>OC-48C</v>
      </c>
    </row>
    <row r="8741" ht="15.75" customHeight="1">
      <c r="A8741" s="2" t="s">
        <v>8741</v>
      </c>
      <c r="B8741" s="2" t="str">
        <f>IFERROR(__xludf.DUMMYFUNCTION("GOOGLETRANSLATE(A8741, ""en"", ""mt"")"),"16 ta ’Ottubru, 2012,")</f>
        <v>16 ta ’Ottubru, 2012,</v>
      </c>
    </row>
    <row r="8742" ht="15.75" customHeight="1">
      <c r="A8742" s="2" t="s">
        <v>8742</v>
      </c>
      <c r="B8742" s="2" t="str">
        <f>IFERROR(__xludf.DUMMYFUNCTION("GOOGLETRANSLATE(A8742, ""en"", ""mt"")"),"Freeview")</f>
        <v>Freeview</v>
      </c>
    </row>
    <row r="8743" ht="15.75" customHeight="1">
      <c r="A8743" s="2" t="s">
        <v>8743</v>
      </c>
      <c r="B8743" s="2" t="str">
        <f>IFERROR(__xludf.DUMMYFUNCTION("GOOGLETRANSLATE(A8743, ""en"", ""mt"")"),"Artikolu 66")</f>
        <v>Artikolu 66</v>
      </c>
    </row>
    <row r="8744" ht="15.75" customHeight="1">
      <c r="A8744" s="2" t="s">
        <v>8744</v>
      </c>
      <c r="B8744" s="2" t="str">
        <f>IFERROR(__xludf.DUMMYFUNCTION("GOOGLETRANSLATE(A8744, ""en"", ""mt"")"),"X'inhu l-korp ġudizzjarju ewlieni tal-UE?")</f>
        <v>X'inhu l-korp ġudizzjarju ewlieni tal-UE?</v>
      </c>
    </row>
    <row r="8745" ht="15.75" customHeight="1">
      <c r="A8745" s="2" t="s">
        <v>8745</v>
      </c>
      <c r="B8745" s="2" t="str">
        <f>IFERROR(__xludf.DUMMYFUNCTION("GOOGLETRANSLATE(A8745, ""en"", ""mt"")"),"X'kienet il-laqgħa ta 'spiss saret fl-argument?")</f>
        <v>X'kienet il-laqgħa ta 'spiss saret fl-argument?</v>
      </c>
    </row>
    <row r="8746" ht="15.75" customHeight="1">
      <c r="A8746" s="2" t="s">
        <v>8746</v>
      </c>
      <c r="B8746" s="2" t="str">
        <f>IFERROR(__xludf.DUMMYFUNCTION("GOOGLETRANSLATE(A8746, ""en"", ""mt"")"),"L-Imperatur tal-Kanzunetta għal Quzhou")</f>
        <v>L-Imperatur tal-Kanzunetta għal Quzhou</v>
      </c>
    </row>
    <row r="8747" ht="15.75" customHeight="1">
      <c r="A8747" s="2" t="s">
        <v>8747</v>
      </c>
      <c r="B8747" s="2" t="str">
        <f>IFERROR(__xludf.DUMMYFUNCTION("GOOGLETRANSLATE(A8747, ""en"", ""mt"")"),"X’kien fadal meta l-alka maħkuma kienet maqsuma?")</f>
        <v>X’kien fadal meta l-alka maħkuma kienet maqsuma?</v>
      </c>
    </row>
    <row r="8748" ht="15.75" customHeight="1">
      <c r="A8748" s="2" t="s">
        <v>8748</v>
      </c>
      <c r="B8748" s="2" t="str">
        <f>IFERROR(__xludf.DUMMYFUNCTION("GOOGLETRANSLATE(A8748, ""en"", ""mt"")"),"Ted Ginn Jr.")</f>
        <v>Ted Ginn Jr.</v>
      </c>
    </row>
    <row r="8749" ht="15.75" customHeight="1">
      <c r="A8749" s="2" t="s">
        <v>8749</v>
      </c>
      <c r="B8749" s="2" t="str">
        <f>IFERROR(__xludf.DUMMYFUNCTION("GOOGLETRANSLATE(A8749, ""en"", ""mt"")"),"Xi jfisser il-portafoll sportiv ta 'BSKYB?")</f>
        <v>Xi jfisser il-portafoll sportiv ta 'BSKYB?</v>
      </c>
    </row>
    <row r="8750" ht="15.75" customHeight="1">
      <c r="A8750" s="2" t="s">
        <v>8750</v>
      </c>
      <c r="B8750" s="2" t="str">
        <f>IFERROR(__xludf.DUMMYFUNCTION("GOOGLETRANSLATE(A8750, ""en"", ""mt"")"),"Keels")</f>
        <v>Keels</v>
      </c>
    </row>
    <row r="8751" ht="15.75" customHeight="1">
      <c r="A8751" s="2" t="s">
        <v>8751</v>
      </c>
      <c r="B8751" s="2" t="str">
        <f>IFERROR(__xludf.DUMMYFUNCTION("GOOGLETRANSLATE(A8751, ""en"", ""mt"")"),"Meta Sema se tintroduċi xandiriet UHD?")</f>
        <v>Meta Sema se tintroduċi xandiriet UHD?</v>
      </c>
    </row>
    <row r="8752" ht="15.75" customHeight="1">
      <c r="A8752" s="2" t="s">
        <v>8752</v>
      </c>
      <c r="B8752" s="2" t="str">
        <f>IFERROR(__xludf.DUMMYFUNCTION("GOOGLETRANSLATE(A8752, ""en"", ""mt"")"),"sistema magħluqa ta 'partiċelli")</f>
        <v>sistema magħluqa ta 'partiċelli</v>
      </c>
    </row>
    <row r="8753" ht="15.75" customHeight="1">
      <c r="A8753" s="2" t="s">
        <v>8753</v>
      </c>
      <c r="B8753" s="2" t="str">
        <f>IFERROR(__xludf.DUMMYFUNCTION("GOOGLETRANSLATE(A8753, ""en"", ""mt"")"),"Ngħinu lil Adolf Hitler jiżdied għall-poter")</f>
        <v>Ngħinu lil Adolf Hitler jiżdied għall-poter</v>
      </c>
    </row>
    <row r="8754" ht="15.75" customHeight="1">
      <c r="A8754" s="2" t="s">
        <v>8754</v>
      </c>
      <c r="B8754" s="2" t="str">
        <f>IFERROR(__xludf.DUMMYFUNCTION("GOOGLETRANSLATE(A8754, ""en"", ""mt"")"),"Artijiet ikkontrollati Khwarezmian u Xia")</f>
        <v>Artijiet ikkontrollati Khwarezmian u Xia</v>
      </c>
    </row>
    <row r="8755" ht="15.75" customHeight="1">
      <c r="A8755" s="2" t="s">
        <v>8755</v>
      </c>
      <c r="B8755" s="2" t="str">
        <f>IFERROR(__xludf.DUMMYFUNCTION("GOOGLETRANSLATE(A8755, ""en"", ""mt"")"),"Fejn imxiet il-familja fl-1862?")</f>
        <v>Fejn imxiet il-familja fl-1862?</v>
      </c>
    </row>
    <row r="8756" ht="15.75" customHeight="1">
      <c r="A8756" s="2" t="s">
        <v>8756</v>
      </c>
      <c r="B8756" s="2" t="str">
        <f>IFERROR(__xludf.DUMMYFUNCTION("GOOGLETRANSLATE(A8756, ""en"", ""mt"")"),"X’testjaw dawn it-titjiriet fuq is-CM?")</f>
        <v>X’testjaw dawn it-titjiriet fuq is-CM?</v>
      </c>
    </row>
    <row r="8757" ht="15.75" customHeight="1">
      <c r="A8757" s="2" t="s">
        <v>8757</v>
      </c>
      <c r="B8757" s="2" t="str">
        <f>IFERROR(__xludf.DUMMYFUNCTION("GOOGLETRANSLATE(A8757, ""en"", ""mt"")"),"Imperu Ruman Qaddis.")</f>
        <v>Imperu Ruman Qaddis.</v>
      </c>
    </row>
    <row r="8758" ht="15.75" customHeight="1">
      <c r="A8758" s="2" t="s">
        <v>8758</v>
      </c>
      <c r="B8758" s="2" t="str">
        <f>IFERROR(__xludf.DUMMYFUNCTION("GOOGLETRANSLATE(A8758, ""en"", ""mt"")"),"Sal-aħħar tas-seklu 19, liema pajjiż kellu l-akbar imperu li qatt kien jeżisti fid-dinja?")</f>
        <v>Sal-aħħar tas-seklu 19, liema pajjiż kellu l-akbar imperu li qatt kien jeżisti fid-dinja?</v>
      </c>
    </row>
    <row r="8759" ht="15.75" customHeight="1">
      <c r="A8759" s="2" t="s">
        <v>8759</v>
      </c>
      <c r="B8759" s="2" t="str">
        <f>IFERROR(__xludf.DUMMYFUNCTION("GOOGLETRANSLATE(A8759, ""en"", ""mt"")"),"Rikonoxximent Internazzjonali")</f>
        <v>Rikonoxximent Internazzjonali</v>
      </c>
    </row>
    <row r="8760" ht="15.75" customHeight="1">
      <c r="A8760" s="2" t="s">
        <v>8760</v>
      </c>
      <c r="B8760" s="2" t="str">
        <f>IFERROR(__xludf.DUMMYFUNCTION("GOOGLETRANSLATE(A8760, ""en"", ""mt"")"),"Soċjetà ta ’San Piju X")</f>
        <v>Soċjetà ta ’San Piju X</v>
      </c>
    </row>
    <row r="8761" ht="15.75" customHeight="1">
      <c r="A8761" s="2" t="s">
        <v>8761</v>
      </c>
      <c r="B8761" s="2" t="str">
        <f>IFERROR(__xludf.DUMMYFUNCTION("GOOGLETRANSLATE(A8761, ""en"", ""mt"")"),"Min għeleb lil Denver fil-Kampjonat AFC?")</f>
        <v>Min għeleb lil Denver fil-Kampjonat AFC?</v>
      </c>
    </row>
    <row r="8762" ht="15.75" customHeight="1">
      <c r="A8762" s="2" t="s">
        <v>8762</v>
      </c>
      <c r="B8762" s="2" t="str">
        <f>IFERROR(__xludf.DUMMYFUNCTION("GOOGLETRANSLATE(A8762, ""en"", ""mt"")"),"X'tip ta 'disturbi huma r-riżultat ta' rispons immuni żżejjed?")</f>
        <v>X'tip ta 'disturbi huma r-riżultat ta' rispons immuni żżejjed?</v>
      </c>
    </row>
    <row r="8763" ht="15.75" customHeight="1">
      <c r="A8763" s="2" t="s">
        <v>8763</v>
      </c>
      <c r="B8763" s="2" t="str">
        <f>IFERROR(__xludf.DUMMYFUNCTION("GOOGLETRANSLATE(A8763, ""en"", ""mt"")"),"Kemm hi wiesgħa r-Renu fil-Ġermanja?")</f>
        <v>Kemm hi wiesgħa r-Renu fil-Ġermanja?</v>
      </c>
    </row>
    <row r="8764" ht="15.75" customHeight="1">
      <c r="A8764" s="2" t="s">
        <v>8764</v>
      </c>
      <c r="B8764" s="2" t="str">
        <f>IFERROR(__xludf.DUMMYFUNCTION("GOOGLETRANSLATE(A8764, ""en"", ""mt"")"),"Ħdejn fejn fil-kontinent huwa maħsub li l-baċin tal-Amażonja jinqasam?")</f>
        <v>Ħdejn fejn fil-kontinent huwa maħsub li l-baċin tal-Amażonja jinqasam?</v>
      </c>
    </row>
    <row r="8765" ht="15.75" customHeight="1">
      <c r="A8765" s="2" t="s">
        <v>8765</v>
      </c>
      <c r="B8765" s="2" t="str">
        <f>IFERROR(__xludf.DUMMYFUNCTION("GOOGLETRANSLATE(A8765, ""en"", ""mt"")"),"Il-kunċett ""forza""")</f>
        <v>Il-kunċett "forza"</v>
      </c>
    </row>
    <row r="8766" ht="15.75" customHeight="1">
      <c r="A8766" s="2" t="s">
        <v>8766</v>
      </c>
      <c r="B8766" s="2" t="str">
        <f>IFERROR(__xludf.DUMMYFUNCTION("GOOGLETRANSLATE(A8766, ""en"", ""mt"")"),"L-ikbar divisor komuni tagħhom huwa wieħed")</f>
        <v>L-ikbar divisor komuni tagħhom huwa wieħed</v>
      </c>
    </row>
    <row r="8767" ht="15.75" customHeight="1">
      <c r="A8767" s="2" t="s">
        <v>8767</v>
      </c>
      <c r="B8767" s="2" t="str">
        <f>IFERROR(__xludf.DUMMYFUNCTION("GOOGLETRANSLATE(A8767, ""en"", ""mt"")"),"Dak li jipproteġi l-istatocyst?")</f>
        <v>Dak li jipproteġi l-istatocyst?</v>
      </c>
    </row>
    <row r="8768" ht="15.75" customHeight="1">
      <c r="A8768" s="2" t="s">
        <v>8768</v>
      </c>
      <c r="B8768" s="2" t="str">
        <f>IFERROR(__xludf.DUMMYFUNCTION("GOOGLETRANSLATE(A8768, ""en"", ""mt"")"),"Kemm jiżen Tesla?")</f>
        <v>Kemm jiżen Tesla?</v>
      </c>
    </row>
    <row r="8769" ht="15.75" customHeight="1">
      <c r="A8769" s="2" t="s">
        <v>8769</v>
      </c>
      <c r="B8769" s="2" t="str">
        <f>IFERROR(__xludf.DUMMYFUNCTION("GOOGLETRANSLATE(A8769, ""en"", ""mt"")"),"jiċċarġjaw it-tagħlim tal-istudenti tagħhom")</f>
        <v>jiċċarġjaw it-tagħlim tal-istudenti tagħhom</v>
      </c>
    </row>
    <row r="8770" ht="15.75" customHeight="1">
      <c r="A8770" s="2" t="s">
        <v>8770</v>
      </c>
      <c r="B8770" s="2" t="str">
        <f>IFERROR(__xludf.DUMMYFUNCTION("GOOGLETRANSLATE(A8770, ""en"", ""mt"")"),"ix-Xlokk")</f>
        <v>ix-Xlokk</v>
      </c>
    </row>
    <row r="8771" ht="15.75" customHeight="1">
      <c r="A8771" s="2" t="s">
        <v>8771</v>
      </c>
      <c r="B8771" s="2" t="str">
        <f>IFERROR(__xludf.DUMMYFUNCTION("GOOGLETRANSLATE(A8771, ""en"", ""mt"")"),"kloroplast derivat mill-alka ħadra")</f>
        <v>kloroplast derivat mill-alka ħadra</v>
      </c>
    </row>
    <row r="8772" ht="15.75" customHeight="1">
      <c r="A8772" s="2" t="s">
        <v>8772</v>
      </c>
      <c r="B8772" s="2" t="str">
        <f>IFERROR(__xludf.DUMMYFUNCTION("GOOGLETRANSLATE(A8772, ""en"", ""mt"")"),"Lauren Oliver")</f>
        <v>Lauren Oliver</v>
      </c>
    </row>
    <row r="8773" ht="15.75" customHeight="1">
      <c r="A8773" s="2" t="s">
        <v>8773</v>
      </c>
      <c r="B8773" s="2" t="str">
        <f>IFERROR(__xludf.DUMMYFUNCTION("GOOGLETRANSLATE(A8773, ""en"", ""mt"")"),"Liema daqsijiet tal-klassi jistgħu jagħmlu ż-żamma tal-ordni diffiċli?")</f>
        <v>Liema daqsijiet tal-klassi jistgħu jagħmlu ż-żamma tal-ordni diffiċli?</v>
      </c>
    </row>
    <row r="8774" ht="15.75" customHeight="1">
      <c r="A8774" s="2" t="s">
        <v>8774</v>
      </c>
      <c r="B8774" s="2" t="str">
        <f>IFERROR(__xludf.DUMMYFUNCTION("GOOGLETRANSLATE(A8774, ""en"", ""mt"")"),"X'tip ta 'kumpanija hija Sky UK Limited?")</f>
        <v>X'tip ta 'kumpanija hija Sky UK Limited?</v>
      </c>
    </row>
    <row r="8775" ht="15.75" customHeight="1">
      <c r="A8775" s="2" t="s">
        <v>8775</v>
      </c>
      <c r="B8775" s="2" t="str">
        <f>IFERROR(__xludf.DUMMYFUNCTION("GOOGLETRANSLATE(A8775, ""en"", ""mt"")"),"X'tip ta 'sistema ferrovjarja hija l-ferroviji tal-metro Melbourne?")</f>
        <v>X'tip ta 'sistema ferrovjarja hija l-ferroviji tal-metro Melbourne?</v>
      </c>
    </row>
    <row r="8776" ht="15.75" customHeight="1">
      <c r="A8776" s="2" t="s">
        <v>8776</v>
      </c>
      <c r="B8776" s="2" t="str">
        <f>IFERROR(__xludf.DUMMYFUNCTION("GOOGLETRANSLATE(A8776, ""en"", ""mt"")"),"y Permezz tal-kummerċ tal-port ma 'Kostantinopli, u portijiet fuq il-Baħar l-Iswed")</f>
        <v>y Permezz tal-kummerċ tal-port ma 'Kostantinopli, u portijiet fuq il-Baħar l-Iswed</v>
      </c>
    </row>
    <row r="8777" ht="15.75" customHeight="1">
      <c r="A8777" s="2" t="s">
        <v>8777</v>
      </c>
      <c r="B8777" s="2" t="str">
        <f>IFERROR(__xludf.DUMMYFUNCTION("GOOGLETRANSLATE(A8777, ""en"", ""mt"")"),"Dejta minn esperimenti fiżiċi tista 'tiġi estrapolata fuq il-post biex tifhem liema proċessi?")</f>
        <v>Dejta minn esperimenti fiżiċi tista 'tiġi estrapolata fuq il-post biex tifhem liema proċessi?</v>
      </c>
    </row>
    <row r="8778" ht="15.75" customHeight="1">
      <c r="A8778" s="2" t="s">
        <v>8778</v>
      </c>
      <c r="B8778" s="2" t="str">
        <f>IFERROR(__xludf.DUMMYFUNCTION("GOOGLETRANSLATE(A8778, ""en"", ""mt"")"),"Kungress")</f>
        <v>Kungress</v>
      </c>
    </row>
    <row r="8779" ht="15.75" customHeight="1">
      <c r="A8779" s="2" t="s">
        <v>8779</v>
      </c>
      <c r="B8779" s="2" t="str">
        <f>IFERROR(__xludf.DUMMYFUNCTION("GOOGLETRANSLATE(A8779, ""en"", ""mt"")"),"Dak li jidher li jintuża esklussivament fi Newcastle u ż-żoni tal-madwar?")</f>
        <v>Dak li jidher li jintuża esklussivament fi Newcastle u ż-żoni tal-madwar?</v>
      </c>
    </row>
    <row r="8780" ht="15.75" customHeight="1">
      <c r="A8780" s="2" t="s">
        <v>8780</v>
      </c>
      <c r="B8780" s="2" t="str">
        <f>IFERROR(__xludf.DUMMYFUNCTION("GOOGLETRANSLATE(A8780, ""en"", ""mt"")"),"6 ta ’Marzu 1522")</f>
        <v>6 ta ’Marzu 1522</v>
      </c>
    </row>
    <row r="8781" ht="15.75" customHeight="1">
      <c r="A8781" s="2" t="s">
        <v>8781</v>
      </c>
      <c r="B8781" s="2" t="str">
        <f>IFERROR(__xludf.DUMMYFUNCTION("GOOGLETRANSLATE(A8781, ""en"", ""mt"")"),"Kanali ta 'partijiet terzi")</f>
        <v>Kanali ta 'partijiet terzi</v>
      </c>
    </row>
    <row r="8782" ht="15.75" customHeight="1">
      <c r="A8782" s="2" t="s">
        <v>8782</v>
      </c>
      <c r="B8782" s="2" t="str">
        <f>IFERROR(__xludf.DUMMYFUNCTION("GOOGLETRANSLATE(A8782, ""en"", ""mt"")"),"James Hutton")</f>
        <v>James Hutton</v>
      </c>
    </row>
    <row r="8783" ht="15.75" customHeight="1">
      <c r="A8783" s="2" t="s">
        <v>8783</v>
      </c>
      <c r="B8783" s="2" t="str">
        <f>IFERROR(__xludf.DUMMYFUNCTION("GOOGLETRANSLATE(A8783, ""en"", ""mt"")"),"Wara li telqet mill-kumpanija ta 'Edison Tesla ssieħeb ma' żewġ negozjanti fl-1886, Robert Lane u Benjamin Vail, li qablu li jiffinanzjaw kumpanija tad-dawl elettriku fl-isem ta 'Tesla, Tesla Electric Light &amp; Manufacturing. Il-kumpanija installat sistemi "&amp;"ta ’illuminazzjoni tad-dawl tal-ark elettriku ddisinjati minn Tesla u kellha wkoll disinji għal dynamo elettriku tal-magni, l-ewwel privattivi maħruġa lil Tesla fl-Istati Uniti.")</f>
        <v>Wara li telqet mill-kumpanija ta 'Edison Tesla ssieħeb ma' żewġ negozjanti fl-1886, Robert Lane u Benjamin Vail, li qablu li jiffinanzjaw kumpanija tad-dawl elettriku fl-isem ta 'Tesla, Tesla Electric Light &amp; Manufacturing. Il-kumpanija installat sistemi ta ’illuminazzjoni tad-dawl tal-ark elettriku ddisinjati minn Tesla u kellha wkoll disinji għal dynamo elettriku tal-magni, l-ewwel privattivi maħruġa lil Tesla fl-Istati Uniti.</v>
      </c>
    </row>
    <row r="8784" ht="15.75" customHeight="1">
      <c r="A8784" s="2" t="s">
        <v>8784</v>
      </c>
      <c r="B8784" s="2" t="str">
        <f>IFERROR(__xludf.DUMMYFUNCTION("GOOGLETRANSLATE(A8784, ""en"", ""mt"")"),"Xi konvenuti tad-diżubbidjenza ċivili jagħżlu li jagħmlu diskors sfidanti, jew diskors li jispjega l-azzjonijiet tagħhom, fl-allokazzjoni. Fl-Istati Uniti v. Burgos-Andujar, konvenut li kien involut f'moviment biex iwaqqaf eżerċizzji militari billi jaqbeż"&amp;" fuq il-propjetà tan-Navy tal-Istati Uniti argumentat lill-qorti fl-allokazzjoni li ""dawk li qed jiksru l-liġi akbar huma l-membri tan-Navy"". Bħala riżultat, l-imħallef żied is-sentenza tagħha minn 40 għal 60 jum. Din l-azzjoni ġiet ikkonfermata għaliex"&amp;", skont il-Qorti tal-Appelli tal-Istati Uniti għall-Ewwel Ċirkwit, id-dikjarazzjoni tagħha ssuġġeriet nuqqas ta ’dispjaċir, tentattiv biex tevita r-responsabbiltà għall-azzjonijiet tagħha, u anke probabbiltà li tirrepeti l-azzjonijiet illegali tagħha. Uħu"&amp;"d mid-diskorsi l-oħra ta ’allokazzjoni mogħtija mill-protestanti ilmentaw dwar trattament ħażin minn uffiċjali tal-gvern.")</f>
        <v>Xi konvenuti tad-diżubbidjenza ċivili jagħżlu li jagħmlu diskors sfidanti, jew diskors li jispjega l-azzjonijiet tagħhom, fl-allokazzjoni. Fl-Istati Uniti v. Burgos-Andujar, konvenut li kien involut f'moviment biex iwaqqaf eżerċizzji militari billi jaqbeż fuq il-propjetà tan-Navy tal-Istati Uniti argumentat lill-qorti fl-allokazzjoni li "dawk li qed jiksru l-liġi akbar huma l-membri tan-Navy". Bħala riżultat, l-imħallef żied is-sentenza tagħha minn 40 għal 60 jum. Din l-azzjoni ġiet ikkonfermata għaliex, skont il-Qorti tal-Appelli tal-Istati Uniti għall-Ewwel Ċirkwit, id-dikjarazzjoni tagħha ssuġġeriet nuqqas ta ’dispjaċir, tentattiv biex tevita r-responsabbiltà għall-azzjonijiet tagħha, u anke probabbiltà li tirrepeti l-azzjonijiet illegali tagħha. Uħud mid-diskorsi l-oħra ta ’allokazzjoni mogħtija mill-protestanti ilmentaw dwar trattament ħażin minn uffiċjali tal-gvern.</v>
      </c>
    </row>
    <row r="8785" ht="15.75" customHeight="1">
      <c r="A8785" s="2" t="s">
        <v>8785</v>
      </c>
      <c r="B8785" s="2" t="str">
        <f>IFERROR(__xludf.DUMMYFUNCTION("GOOGLETRANSLATE(A8785, ""en"", ""mt"")"),"Sa nofs il-karbonju ffissat miċ-ċiklu ta ’Calvin")</f>
        <v>Sa nofs il-karbonju ffissat miċ-ċiklu ta ’Calvin</v>
      </c>
    </row>
    <row r="8786" ht="15.75" customHeight="1">
      <c r="A8786" s="2" t="s">
        <v>8786</v>
      </c>
      <c r="B8786" s="2" t="str">
        <f>IFERROR(__xludf.DUMMYFUNCTION("GOOGLETRANSLATE(A8786, ""en"", ""mt"")"),"Liema spettaklu preċedenti ta 'Super Bowl f'ħin il-mistrieħ kien it-titlu ta' Bruno Mars?")</f>
        <v>Liema spettaklu preċedenti ta 'Super Bowl f'ħin il-mistrieħ kien it-titlu ta' Bruno Mars?</v>
      </c>
    </row>
    <row r="8787" ht="15.75" customHeight="1">
      <c r="A8787" s="2" t="s">
        <v>8787</v>
      </c>
      <c r="B8787" s="2" t="str">
        <f>IFERROR(__xludf.DUMMYFUNCTION("GOOGLETRANSLATE(A8787, ""en"", ""mt"")"),"X'jagħmlu dawk fil-qasam biex jiżguraw riżultat pożittiv?")</f>
        <v>X'jagħmlu dawk fil-qasam biex jiżguraw riżultat pożittiv?</v>
      </c>
    </row>
    <row r="8788" ht="15.75" customHeight="1">
      <c r="A8788" s="2" t="s">
        <v>8788</v>
      </c>
      <c r="B8788" s="2" t="str">
        <f>IFERROR(__xludf.DUMMYFUNCTION("GOOGLETRANSLATE(A8788, ""en"", ""mt"")"),"Ruhr")</f>
        <v>Ruhr</v>
      </c>
    </row>
    <row r="8789" ht="15.75" customHeight="1">
      <c r="A8789" s="2" t="s">
        <v>8789</v>
      </c>
      <c r="B8789" s="2" t="str">
        <f>IFERROR(__xludf.DUMMYFUNCTION("GOOGLETRANSLATE(A8789, ""en"", ""mt"")"),"Fil-mudell tat-tilakoid spirali, Grana jikkonsisti minn munzell ta 'thylakoids tal-granal ċirkolari ċċattjati li jixbħu pancakes. Kull granum jista 'jkun fih kullimkien minn tnejn sa mitt thylakoids, għalkemm Grana b'10-20 thylakoids huma l-aktar komuni. "&amp;"Imgeżwer madwar il-grana huma thylakoids stromali helicoid, magħrufa wkoll bħala frets jew thylakoids lamellari. L-eliks jitilgħu f'angolu ta '20 -25 °, li jgħaqqdu ma 'kull thylakoid tal-granal f'ġunzjoni qasma bħal pont. L-helicoids jistgħu jestendu bħa"&amp;"la folji kbar li jgħaqqdu Grana multipli, jew dojoq ma 'pontijiet simili għal tubi bejn Grana. Filwaqt li partijiet differenti tas-sistema tat-tilakoid fihom proteini tal-membrana differenti, il-membrani tat-tilkoid huma kontinwi u l-ispazju tat-tilkoid l"&amp;"i huma magħluqin jiffurmaw labirint kontinwu wieħed.")</f>
        <v>Fil-mudell tat-tilakoid spirali, Grana jikkonsisti minn munzell ta 'thylakoids tal-granal ċirkolari ċċattjati li jixbħu pancakes. Kull granum jista 'jkun fih kullimkien minn tnejn sa mitt thylakoids, għalkemm Grana b'10-20 thylakoids huma l-aktar komuni. Imgeżwer madwar il-grana huma thylakoids stromali helicoid, magħrufa wkoll bħala frets jew thylakoids lamellari. L-eliks jitilgħu f'angolu ta '20 -25 °, li jgħaqqdu ma 'kull thylakoid tal-granal f'ġunzjoni qasma bħal pont. L-helicoids jistgħu jestendu bħala folji kbar li jgħaqqdu Grana multipli, jew dojoq ma 'pontijiet simili għal tubi bejn Grana. Filwaqt li partijiet differenti tas-sistema tat-tilakoid fihom proteini tal-membrana differenti, il-membrani tat-tilkoid huma kontinwi u l-ispazju tat-tilkoid li huma magħluqin jiffurmaw labirint kontinwu wieħed.</v>
      </c>
    </row>
    <row r="8790" ht="15.75" customHeight="1">
      <c r="A8790" s="2" t="s">
        <v>8790</v>
      </c>
      <c r="B8790" s="2" t="str">
        <f>IFERROR(__xludf.DUMMYFUNCTION("GOOGLETRANSLATE(A8790, ""en"", ""mt"")"),"Il-Codex Forster hija ġabra ta 'notebooks li permezz tagħha l-famuż polimata tar-Rinaxximent Taljan?")</f>
        <v>Il-Codex Forster hija ġabra ta 'notebooks li permezz tagħha l-famuż polimata tar-Rinaxximent Taljan?</v>
      </c>
    </row>
    <row r="8791" ht="15.75" customHeight="1">
      <c r="A8791" s="2" t="s">
        <v>8791</v>
      </c>
      <c r="B8791" s="2" t="str">
        <f>IFERROR(__xludf.DUMMYFUNCTION("GOOGLETRANSLATE(A8791, ""en"", ""mt"")"),"Galileo")</f>
        <v>Galileo</v>
      </c>
    </row>
    <row r="8792" ht="15.75" customHeight="1">
      <c r="A8792" s="2" t="s">
        <v>8792</v>
      </c>
      <c r="B8792" s="2" t="str">
        <f>IFERROR(__xludf.DUMMYFUNCTION("GOOGLETRANSLATE(A8792, ""en"", ""mt"")"),"Min ikkummissjona t-tapizzerija?")</f>
        <v>Min ikkummissjona t-tapizzerija?</v>
      </c>
    </row>
    <row r="8793" ht="15.75" customHeight="1">
      <c r="A8793" s="2" t="s">
        <v>8793</v>
      </c>
      <c r="B8793" s="2" t="str">
        <f>IFERROR(__xludf.DUMMYFUNCTION("GOOGLETRANSLATE(A8793, ""en"", ""mt"")"),"Missier tal-Mongoli")</f>
        <v>Missier tal-Mongoli</v>
      </c>
    </row>
    <row r="8794" ht="15.75" customHeight="1">
      <c r="A8794" s="2" t="s">
        <v>8794</v>
      </c>
      <c r="B8794" s="2" t="str">
        <f>IFERROR(__xludf.DUMMYFUNCTION("GOOGLETRANSLATE(A8794, ""en"", ""mt"")"),"Kont privat")</f>
        <v>Kont privat</v>
      </c>
    </row>
    <row r="8795" ht="15.75" customHeight="1">
      <c r="A8795" s="2" t="s">
        <v>8795</v>
      </c>
      <c r="B8795" s="2" t="str">
        <f>IFERROR(__xludf.DUMMYFUNCTION("GOOGLETRANSLATE(A8795, ""en"", ""mt"")"),"F'liema rwol fl-ekonomija l-università kellha sehem ewlieni?")</f>
        <v>F'liema rwol fl-ekonomija l-università kellha sehem ewlieni?</v>
      </c>
    </row>
    <row r="8796" ht="15.75" customHeight="1">
      <c r="A8796" s="2" t="s">
        <v>8796</v>
      </c>
      <c r="B8796" s="2" t="str">
        <f>IFERROR(__xludf.DUMMYFUNCTION("GOOGLETRANSLATE(A8796, ""en"", ""mt"")"),"Biex tagħmel impressjoni")</f>
        <v>Biex tagħmel impressjoni</v>
      </c>
    </row>
    <row r="8797" ht="15.75" customHeight="1">
      <c r="A8797" s="2" t="s">
        <v>8797</v>
      </c>
      <c r="B8797" s="2" t="str">
        <f>IFERROR(__xludf.DUMMYFUNCTION("GOOGLETRANSLATE(A8797, ""en"", ""mt"")"),"Qrati Orjentali")</f>
        <v>Qrati Orjentali</v>
      </c>
    </row>
    <row r="8798" ht="15.75" customHeight="1">
      <c r="A8798" s="2" t="s">
        <v>8798</v>
      </c>
      <c r="B8798" s="2" t="str">
        <f>IFERROR(__xludf.DUMMYFUNCTION("GOOGLETRANSLATE(A8798, ""en"", ""mt"")"),"ġid u dħul")</f>
        <v>ġid u dħul</v>
      </c>
    </row>
    <row r="8799" ht="15.75" customHeight="1">
      <c r="A8799" s="2" t="s">
        <v>8799</v>
      </c>
      <c r="B8799" s="2" t="str">
        <f>IFERROR(__xludf.DUMMYFUNCTION("GOOGLETRANSLATE(A8799, ""en"", ""mt"")"),"Il-miżura storika tal-effiċjenza fl-enerġija tal-magna tal-fwar kienet id- ""dmir"" tagħha. Il-kunċett ta 'dazju ġie introdott għall-ewwel darba minn Watt sabiex juri kemm kienu aktar effiċjenti l-magni tiegħu fuq id-disinji ta' Newcomen preċedenti. Id-da"&amp;"zju huwa n-numru ta 'xogħol ta' xogħol imwassal billi jaħarqu bushel wieħed (94 libbra) ta 'faħam. L-aħjar eżempji ta 'disinji ta' Newcomen kellhom dmir ta 'madwar 7 miljun, iżda l-biċċa l-kbira kienu eqreb għal 5 miljun. Id-disinji oriġinali ta 'pressjon"&amp;"i baxxa ta' Watt setgħu jagħtu dazju sa 25 miljun, iżda kellhom medja ta 'madwar 17. Dan kien titjib ta' tliet darbiet fuq id-disinn medju ta 'Newcomen. Magni tal-watt bikri mgħammra bi fwar bi pressjoni għolja tejbu dan għal 65 miljun.")</f>
        <v>Il-miżura storika tal-effiċjenza fl-enerġija tal-magna tal-fwar kienet id- "dmir" tagħha. Il-kunċett ta 'dazju ġie introdott għall-ewwel darba minn Watt sabiex juri kemm kienu aktar effiċjenti l-magni tiegħu fuq id-disinji ta' Newcomen preċedenti. Id-dazju huwa n-numru ta 'xogħol ta' xogħol imwassal billi jaħarqu bushel wieħed (94 libbra) ta 'faħam. L-aħjar eżempji ta 'disinji ta' Newcomen kellhom dmir ta 'madwar 7 miljun, iżda l-biċċa l-kbira kienu eqreb għal 5 miljun. Id-disinji oriġinali ta 'pressjoni baxxa ta' Watt setgħu jagħtu dazju sa 25 miljun, iżda kellhom medja ta 'madwar 17. Dan kien titjib ta' tliet darbiet fuq id-disinn medju ta 'Newcomen. Magni tal-watt bikri mgħammra bi fwar bi pressjoni għolja tejbu dan għal 65 miljun.</v>
      </c>
    </row>
    <row r="8800" ht="15.75" customHeight="1">
      <c r="A8800" s="2" t="s">
        <v>8800</v>
      </c>
      <c r="B8800" s="2" t="str">
        <f>IFERROR(__xludf.DUMMYFUNCTION("GOOGLETRANSLATE(A8800, ""en"", ""mt"")"),"6.7+")</f>
        <v>6.7+</v>
      </c>
    </row>
    <row r="8801" ht="15.75" customHeight="1">
      <c r="A8801" s="2" t="s">
        <v>8801</v>
      </c>
      <c r="B8801" s="2" t="str">
        <f>IFERROR(__xludf.DUMMYFUNCTION("GOOGLETRANSLATE(A8801, ""en"", ""mt"")"),"Kumpaniji tal-milizja lokali miġbura, ġeneralment imħarrġa morda u disponibbli biss għal perjodi qosra, biex jittrattaw theddid indiġenu, iżda ma kellhom l-ebda forzi permanenti.")</f>
        <v>Kumpaniji tal-milizja lokali miġbura, ġeneralment imħarrġa morda u disponibbli biss għal perjodi qosra, biex jittrattaw theddid indiġenu, iżda ma kellhom l-ebda forzi permanenti.</v>
      </c>
    </row>
    <row r="8802" ht="15.75" customHeight="1">
      <c r="A8802" s="2" t="s">
        <v>8802</v>
      </c>
      <c r="B8802" s="2" t="str">
        <f>IFERROR(__xludf.DUMMYFUNCTION("GOOGLETRANSLATE(A8802, ""en"", ""mt"")"),"Il-konġettura ta 'Giuga tgħid li din l-ekwazzjoni hija wkoll kundizzjoni suffiċjenti biex P tkun primarja. Konsegwenza oħra tat-teorema żgħira ta 'Fermat hija dan li ġej: Jekk P huwa numru ewlieni minbarra 2 u 5, 1 / p huwa dejjem deċimali rikurrenti, li "&amp;"l-perjodu tiegħu huwa p - 1 jew divisor ta' p - 1. il-frazzjoni 1 / p espress bl-istess mod fil-bażi Q (minflok il-bażi 10) għandu effett simili, sakemm P ma jkunx fattur ewlieni ta 'q. It-teorema ta 'Wilson tgħid li p&gt; 1 numru sħiħ huwa prim jekk u biss "&amp;"jekk il-fatt (p - 1)! + 1 huwa diviżibbli minn p. Barra minn hekk, numru sħiħ n&gt; 4 huwa kompost jekk u biss jekk (n - 1)! huwa diviżibbli minn n.")</f>
        <v>Il-konġettura ta 'Giuga tgħid li din l-ekwazzjoni hija wkoll kundizzjoni suffiċjenti biex P tkun primarja. Konsegwenza oħra tat-teorema żgħira ta 'Fermat hija dan li ġej: Jekk P huwa numru ewlieni minbarra 2 u 5, 1 / p huwa dejjem deċimali rikurrenti, li l-perjodu tiegħu huwa p - 1 jew divisor ta' p - 1. il-frazzjoni 1 / p espress bl-istess mod fil-bażi Q (minflok il-bażi 10) għandu effett simili, sakemm P ma jkunx fattur ewlieni ta 'q. It-teorema ta 'Wilson tgħid li p&gt; 1 numru sħiħ huwa prim jekk u biss jekk il-fatt (p - 1)! + 1 huwa diviżibbli minn p. Barra minn hekk, numru sħiħ n&gt; 4 huwa kompost jekk u biss jekk (n - 1)! huwa diviżibbli minn n.</v>
      </c>
    </row>
    <row r="8803" ht="15.75" customHeight="1">
      <c r="A8803" s="2" t="s">
        <v>8803</v>
      </c>
      <c r="B8803" s="2" t="str">
        <f>IFERROR(__xludf.DUMMYFUNCTION("GOOGLETRANSLATE(A8803, ""en"", ""mt"")"),"Fuq liema servizz jista 'jiġi mxandar l-ESPN Deportes?")</f>
        <v>Fuq liema servizz jista 'jiġi mxandar l-ESPN Deportes?</v>
      </c>
    </row>
    <row r="8804" ht="15.75" customHeight="1">
      <c r="A8804" s="2" t="s">
        <v>8804</v>
      </c>
      <c r="B8804" s="2" t="str">
        <f>IFERROR(__xludf.DUMMYFUNCTION("GOOGLETRANSLATE(A8804, ""en"", ""mt"")"),"Il-wb")</f>
        <v>Il-wb</v>
      </c>
    </row>
    <row r="8805" ht="15.75" customHeight="1">
      <c r="A8805" s="2" t="s">
        <v>8805</v>
      </c>
      <c r="B8805" s="2" t="str">
        <f>IFERROR(__xludf.DUMMYFUNCTION("GOOGLETRANSLATE(A8805, ""en"", ""mt"")"),"Li waqqaf Telnet")</f>
        <v>Li waqqaf Telnet</v>
      </c>
    </row>
    <row r="8806" ht="15.75" customHeight="1">
      <c r="A8806" s="2" t="s">
        <v>8806</v>
      </c>
      <c r="B8806" s="2" t="str">
        <f>IFERROR(__xludf.DUMMYFUNCTION("GOOGLETRANSLATE(A8806, ""en"", ""mt"")"),"element ta 'tisħin elettriku")</f>
        <v>element ta 'tisħin elettriku</v>
      </c>
    </row>
    <row r="8807" ht="15.75" customHeight="1">
      <c r="A8807" s="2" t="s">
        <v>8807</v>
      </c>
      <c r="B8807" s="2" t="str">
        <f>IFERROR(__xludf.DUMMYFUNCTION("GOOGLETRANSLATE(A8807, ""en"", ""mt"")"),"promoss")</f>
        <v>promoss</v>
      </c>
    </row>
    <row r="8808" ht="15.75" customHeight="1">
      <c r="A8808" s="2" t="s">
        <v>8808</v>
      </c>
      <c r="B8808" s="2" t="str">
        <f>IFERROR(__xludf.DUMMYFUNCTION("GOOGLETRANSLATE(A8808, ""en"", ""mt"")"),"Limitazzjonijiet prattiċi ta 'ħidma fil-foresta tropikali")</f>
        <v>Limitazzjonijiet prattiċi ta 'ħidma fil-foresta tropikali</v>
      </c>
    </row>
    <row r="8809" ht="15.75" customHeight="1">
      <c r="A8809" s="2" t="s">
        <v>8809</v>
      </c>
      <c r="B8809" s="2" t="str">
        <f>IFERROR(__xludf.DUMMYFUNCTION("GOOGLETRANSLATE(A8809, ""en"", ""mt"")"),"Informali")</f>
        <v>Informali</v>
      </c>
    </row>
    <row r="8810" ht="15.75" customHeight="1">
      <c r="A8810" s="2" t="s">
        <v>8810</v>
      </c>
      <c r="B8810" s="2" t="str">
        <f>IFERROR(__xludf.DUMMYFUNCTION("GOOGLETRANSLATE(A8810, ""en"", ""mt"")"),"Il-kolonna ta 'King Sigimund hija eżempju ta' x'tip ta 'attrazzjoni f'Varsavja?")</f>
        <v>Il-kolonna ta 'King Sigimund hija eżempju ta' x'tip ta 'attrazzjoni f'Varsavja?</v>
      </c>
    </row>
    <row r="8811" ht="15.75" customHeight="1">
      <c r="A8811" s="2" t="s">
        <v>8811</v>
      </c>
      <c r="B8811" s="2" t="str">
        <f>IFERROR(__xludf.DUMMYFUNCTION("GOOGLETRANSLATE(A8811, ""en"", ""mt"")"),"Liema netwerk televiżiv imxandar is-Super Bowl?")</f>
        <v>Liema netwerk televiżiv imxandar is-Super Bowl?</v>
      </c>
    </row>
    <row r="8812" ht="15.75" customHeight="1">
      <c r="A8812" s="2" t="s">
        <v>8812</v>
      </c>
      <c r="B8812" s="2" t="str">
        <f>IFERROR(__xludf.DUMMYFUNCTION("GOOGLETRANSLATE(A8812, ""en"", ""mt"")"),"fiċ-Ċentru SAP f'San Jose")</f>
        <v>fiċ-Ċentru SAP f'San Jose</v>
      </c>
    </row>
    <row r="8813" ht="15.75" customHeight="1">
      <c r="A8813" s="2" t="s">
        <v>8813</v>
      </c>
      <c r="B8813" s="2" t="str">
        <f>IFERROR(__xludf.DUMMYFUNCTION("GOOGLETRANSLATE(A8813, ""en"", ""mt"")"),"Pariġi")</f>
        <v>Pariġi</v>
      </c>
    </row>
    <row r="8814" ht="15.75" customHeight="1">
      <c r="A8814" s="2" t="s">
        <v>8814</v>
      </c>
      <c r="B8814" s="2" t="str">
        <f>IFERROR(__xludf.DUMMYFUNCTION("GOOGLETRANSLATE(A8814, ""en"", ""mt"")"),"Bħala riżultat, bl-eċċezzjoni tal-ikbar swieq, ABC ġie relegat għal status sekondarju fuq waħda jew it-tnejn mill-istazzjonijiet eżistenti, ġeneralment permezz ta 'approvazzjonijiet ta' barra (eċċezzjoni notevoli matul dan iż-żmien kienet WKST-TV fi Young"&amp;"stown, Ohio, issa WYTV, minkejja d-daqs żgħir tas-suq tal-madwar u l-viċinanza tiegħu ma 'Cleveland u Pittsburgh saħansitra għexieren ta' snin qabel il-kollass ekonomiku tal-belt). Skond Goldenson, dan kien ifisser li siegħa ta 'programmazzjoni ABC irrapp"&amp;"urtat ħames darbiet aktar baxxa mill-kompetituri tagħha. Madankollu, il-konsum ta 'flus tan-netwerk dak iż-żmien jippermettilha tħaffef il-produzzjoni tal-kontenut tagħha. Xorta, il-firxa limitata ta 'ABC tkompli tgħaqqadha għall-għoxrin sena li ġejjin; B"&amp;"osta swieq iżgħar ma jikbrux kbar biżżejjed biex jappoġġjaw affiljat ABC full-time sas-snin 1960, b'xi swieq żgħar ħafna jkollhom jistennew sa mis-snin 1980 jew saħansitra l-miġja tat-televiżjoni diġitali fis-snin 2000, li ppermettew stazzjonijiet bħal WT"&amp;"RF- TV in Wheeling, Virginia tal-Punent biex tibda tixxandar l-ipprogrammar ABC fuq subchannel diġitali wara li tixxandar il-programmi tan-netwerk barra mill-iskedi ta 'żmien irrakkomandati għexieren ta' snin qabel.")</f>
        <v>Bħala riżultat, bl-eċċezzjoni tal-ikbar swieq, ABC ġie relegat għal status sekondarju fuq waħda jew it-tnejn mill-istazzjonijiet eżistenti, ġeneralment permezz ta 'approvazzjonijiet ta' barra (eċċezzjoni notevoli matul dan iż-żmien kienet WKST-TV fi Youngstown, Ohio, issa WYTV, minkejja d-daqs żgħir tas-suq tal-madwar u l-viċinanza tiegħu ma 'Cleveland u Pittsburgh saħansitra għexieren ta' snin qabel il-kollass ekonomiku tal-belt). Skond Goldenson, dan kien ifisser li siegħa ta 'programmazzjoni ABC irrappurtat ħames darbiet aktar baxxa mill-kompetituri tagħha. Madankollu, il-konsum ta 'flus tan-netwerk dak iż-żmien jippermettilha tħaffef il-produzzjoni tal-kontenut tagħha. Xorta, il-firxa limitata ta 'ABC tkompli tgħaqqadha għall-għoxrin sena li ġejjin; Bosta swieq iżgħar ma jikbrux kbar biżżejjed biex jappoġġjaw affiljat ABC full-time sas-snin 1960, b'xi swieq żgħar ħafna jkollhom jistennew sa mis-snin 1980 jew saħansitra l-miġja tat-televiżjoni diġitali fis-snin 2000, li ppermettew stazzjonijiet bħal WTRF- TV in Wheeling, Virginia tal-Punent biex tibda tixxandar l-ipprogrammar ABC fuq subchannel diġitali wara li tixxandar il-programmi tan-netwerk barra mill-iskedi ta 'żmien irrakkomandati għexieren ta' snin qabel.</v>
      </c>
    </row>
    <row r="8815" ht="15.75" customHeight="1">
      <c r="A8815" s="2" t="s">
        <v>8815</v>
      </c>
      <c r="B8815" s="2" t="str">
        <f>IFERROR(__xludf.DUMMYFUNCTION("GOOGLETRANSLATE(A8815, ""en"", ""mt"")"),"allinja l-għanijiet personali tiegħu mal-għanijiet akkademiċi tiegħu")</f>
        <v>allinja l-għanijiet personali tiegħu mal-għanijiet akkademiċi tiegħu</v>
      </c>
    </row>
    <row r="8816" ht="15.75" customHeight="1">
      <c r="A8816" s="2" t="s">
        <v>8816</v>
      </c>
      <c r="B8816" s="2" t="str">
        <f>IFERROR(__xludf.DUMMYFUNCTION("GOOGLETRANSLATE(A8816, ""en"", ""mt"")"),"Fl-14 ta 'April, 2011, ABC ikkanċella s-sapun li ilhom għaddejjin it-tfal kollha tiegħi u Life One Live wara 41 u 43 sena fuq l-ajru, rispettivament (wara xogħol b'lura mill-fannijiet, ABC biegħ id-drittijiet għaż-żewġ wirjiet lil Prospect Park, li Eventw"&amp;"alment reġgħet qajmet is-sapun fuq Hulu għal staġun addizzjonali fl-2013 u maż-żewġ kumpaniji li jħarrku lil xulxin għal allegazzjonijiet ta 'interferenza fil-proċess li terġa' titqajjem il-wirjiet, nuqqas li tħallas miżati u kwistjonijiet ta 'liċenzjar d"&amp;"war l-użu ta' ABC ta 'ċerti karattri minn wieħed minn wieħed live biex tgħix fuqha Sptar ġenerali matul it-tranżizzjoni). It-taħdita / stil ta 'ħajja juru li ssostitwixxa ħajja waħda biex tgħix, ir-rivoluzzjoni, naqset milli tiġġenera klassifikazzjonijiet"&amp;" sodisfaċenti u mbagħad ġiet ikkanċellata wara seba' xhur biss. L-istaġun 2011–12 ra lil ABC jinżel għar-raba 'post fid-demografija 18-49 minkejja li ġedded numru żgħir ta' wirjiet ġodda (inklużi skandlu ta 'studenti ta' l-ewwel studenti, vendetta u darba"&amp;" waħda) għat-tieni staġuni.")</f>
        <v>Fl-14 ta 'April, 2011, ABC ikkanċella s-sapun li ilhom għaddejjin it-tfal kollha tiegħi u Life One Live wara 41 u 43 sena fuq l-ajru, rispettivament (wara xogħol b'lura mill-fannijiet, ABC biegħ id-drittijiet għaż-żewġ wirjiet lil Prospect Park, li Eventwalment reġgħet qajmet is-sapun fuq Hulu għal staġun addizzjonali fl-2013 u maż-żewġ kumpaniji li jħarrku lil xulxin għal allegazzjonijiet ta 'interferenza fil-proċess li terġa' titqajjem il-wirjiet, nuqqas li tħallas miżati u kwistjonijiet ta 'liċenzjar dwar l-użu ta' ABC ta 'ċerti karattri minn wieħed minn wieħed live biex tgħix fuqha Sptar ġenerali matul it-tranżizzjoni). It-taħdita / stil ta 'ħajja juru li ssostitwixxa ħajja waħda biex tgħix, ir-rivoluzzjoni, naqset milli tiġġenera klassifikazzjonijiet sodisfaċenti u mbagħad ġiet ikkanċellata wara seba' xhur biss. L-istaġun 2011–12 ra lil ABC jinżel għar-raba 'post fid-demografija 18-49 minkejja li ġedded numru żgħir ta' wirjiet ġodda (inklużi skandlu ta 'studenti ta' l-ewwel studenti, vendetta u darba waħda) għat-tieni staġuni.</v>
      </c>
    </row>
    <row r="8817" ht="15.75" customHeight="1">
      <c r="A8817" s="2" t="s">
        <v>8817</v>
      </c>
      <c r="B8817" s="2" t="str">
        <f>IFERROR(__xludf.DUMMYFUNCTION("GOOGLETRANSLATE(A8817, ""en"", ""mt"")"),"X'inhi l-problema attribwita għad-definizzjoni jekk żewġ graffs finiti huma iżomorfi?")</f>
        <v>X'inhi l-problema attribwita għad-definizzjoni jekk żewġ graffs finiti huma iżomorfi?</v>
      </c>
    </row>
    <row r="8818" ht="15.75" customHeight="1">
      <c r="A8818" s="2" t="s">
        <v>8818</v>
      </c>
      <c r="B8818" s="2" t="str">
        <f>IFERROR(__xludf.DUMMYFUNCTION("GOOGLETRANSLATE(A8818, ""en"", ""mt"")"),"L-Afrika tat-Tramuntana u tal-Punent, kif ukoll l-Asja tax-Xlokk, b'konkwisti oħra fl-Afrika Ċentrali u tal-Lvant, kif ukoll il-Paċifiku t'Isfel")</f>
        <v>L-Afrika tat-Tramuntana u tal-Punent, kif ukoll l-Asja tax-Xlokk, b'konkwisti oħra fl-Afrika Ċentrali u tal-Lvant, kif ukoll il-Paċifiku t'Isfel</v>
      </c>
    </row>
    <row r="8819" ht="15.75" customHeight="1">
      <c r="A8819" s="2" t="s">
        <v>8819</v>
      </c>
      <c r="B8819" s="2" t="str">
        <f>IFERROR(__xludf.DUMMYFUNCTION("GOOGLETRANSLATE(A8819, ""en"", ""mt"")"),"X’qed tara l-Bibbja Mqaddsa bħala l-awtorità primarja fil-knisja?")</f>
        <v>X’qed tara l-Bibbja Mqaddsa bħala l-awtorità primarja fil-knisja?</v>
      </c>
    </row>
    <row r="8820" ht="15.75" customHeight="1">
      <c r="A8820" s="2" t="s">
        <v>8820</v>
      </c>
      <c r="B8820" s="2" t="str">
        <f>IFERROR(__xludf.DUMMYFUNCTION("GOOGLETRANSLATE(A8820, ""en"", ""mt"")"),"F’liema sena l-iskart tossiku mxerred minn vapur Ewropew wassal lill-kummissjoni biex tistudja leġislazzjoni kontra l-iskart?")</f>
        <v>F’liema sena l-iskart tossiku mxerred minn vapur Ewropew wassal lill-kummissjoni biex tistudja leġislazzjoni kontra l-iskart?</v>
      </c>
    </row>
    <row r="8821" ht="15.75" customHeight="1">
      <c r="A8821" s="2" t="s">
        <v>8821</v>
      </c>
      <c r="B8821" s="2" t="str">
        <f>IFERROR(__xludf.DUMMYFUNCTION("GOOGLETRANSLATE(A8821, ""en"", ""mt"")"),"Ir-Renju Unit tat-Tramuntana")</f>
        <v>Ir-Renju Unit tat-Tramuntana</v>
      </c>
    </row>
    <row r="8822" ht="15.75" customHeight="1">
      <c r="A8822" s="2" t="s">
        <v>8822</v>
      </c>
      <c r="B8822" s="2" t="str">
        <f>IFERROR(__xludf.DUMMYFUNCTION("GOOGLETRANSLATE(A8822, ""en"", ""mt"")"),"Inkurunazzjoni tar-Reġina Eliżabetta II")</f>
        <v>Inkurunazzjoni tar-Reġina Eliżabetta II</v>
      </c>
    </row>
    <row r="8823" ht="15.75" customHeight="1">
      <c r="A8823" s="2" t="s">
        <v>8823</v>
      </c>
      <c r="B8823" s="2" t="str">
        <f>IFERROR(__xludf.DUMMYFUNCTION("GOOGLETRANSLATE(A8823, ""en"", ""mt"")"),"Bejn wieħed u ieħor kemm immaġini ġew diġitalizzati matul l-ewwel sena tal-proġett ta 'diġitizzazzjoni?")</f>
        <v>Bejn wieħed u ieħor kemm immaġini ġew diġitalizzati matul l-ewwel sena tal-proġett ta 'diġitizzazzjoni?</v>
      </c>
    </row>
    <row r="8824" ht="15.75" customHeight="1">
      <c r="A8824" s="2" t="s">
        <v>8824</v>
      </c>
      <c r="B8824" s="2" t="str">
        <f>IFERROR(__xludf.DUMMYFUNCTION("GOOGLETRANSLATE(A8824, ""en"", ""mt"")"),"1890")</f>
        <v>1890</v>
      </c>
    </row>
    <row r="8825" ht="15.75" customHeight="1">
      <c r="A8825" s="2" t="s">
        <v>8825</v>
      </c>
      <c r="B8825" s="2" t="str">
        <f>IFERROR(__xludf.DUMMYFUNCTION("GOOGLETRANSLATE(A8825, ""en"", ""mt"")"),"Liema pajjiż iffaċċja embargo komplet fil-KEE?")</f>
        <v>Liema pajjiż iffaċċja embargo komplet fil-KEE?</v>
      </c>
    </row>
    <row r="8826" ht="15.75" customHeight="1">
      <c r="A8826" s="2" t="s">
        <v>8826</v>
      </c>
      <c r="B8826" s="2" t="str">
        <f>IFERROR(__xludf.DUMMYFUNCTION("GOOGLETRANSLATE(A8826, ""en"", ""mt"")"),"Studju tal-2012")</f>
        <v>Studju tal-2012</v>
      </c>
    </row>
    <row r="8827" ht="15.75" customHeight="1">
      <c r="A8827" s="2" t="s">
        <v>8827</v>
      </c>
      <c r="B8827" s="2" t="str">
        <f>IFERROR(__xludf.DUMMYFUNCTION("GOOGLETRANSLATE(A8827, ""en"", ""mt"")"),"Għalliem tal-Matematika Martin Sekulić")</f>
        <v>Għalliem tal-Matematika Martin Sekulić</v>
      </c>
    </row>
    <row r="8828" ht="15.75" customHeight="1">
      <c r="A8828" s="2" t="s">
        <v>8828</v>
      </c>
      <c r="B8828" s="2" t="str">
        <f>IFERROR(__xludf.DUMMYFUNCTION("GOOGLETRANSLATE(A8828, ""en"", ""mt"")"),"Private_school")</f>
        <v>Private_school</v>
      </c>
    </row>
    <row r="8829" ht="15.75" customHeight="1">
      <c r="A8829" s="2" t="s">
        <v>8829</v>
      </c>
      <c r="B8829" s="2" t="str">
        <f>IFERROR(__xludf.DUMMYFUNCTION("GOOGLETRANSLATE(A8829, ""en"", ""mt"")"),"Ma 'min huma meħtieġa l-għalliema biex jirreġistraw?")</f>
        <v>Ma 'min huma meħtieġa l-għalliema biex jirreġistraw?</v>
      </c>
    </row>
    <row r="8830" ht="15.75" customHeight="1">
      <c r="A8830" s="2" t="s">
        <v>8830</v>
      </c>
      <c r="B8830" s="2" t="str">
        <f>IFERROR(__xludf.DUMMYFUNCTION("GOOGLETRANSLATE(A8830, ""en"", ""mt"")"),"Ajruport Internazzjonali ta 'San Diego")</f>
        <v>Ajruport Internazzjonali ta 'San Diego</v>
      </c>
    </row>
    <row r="8831" ht="15.75" customHeight="1">
      <c r="A8831" s="2" t="s">
        <v>8831</v>
      </c>
      <c r="B8831" s="2" t="str">
        <f>IFERROR(__xludf.DUMMYFUNCTION("GOOGLETRANSLATE(A8831, ""en"", ""mt"")"),"X'inhu l-isem ta 'Mulej ta' żmien li t-tabib li ġġieled?")</f>
        <v>X'inhu l-isem ta 'Mulej ta' żmien li t-tabib li ġġieled?</v>
      </c>
    </row>
    <row r="8832" ht="15.75" customHeight="1">
      <c r="A8832" s="2" t="s">
        <v>8832</v>
      </c>
      <c r="B8832" s="2" t="str">
        <f>IFERROR(__xludf.DUMMYFUNCTION("GOOGLETRANSLATE(A8832, ""en"", ""mt"")"),"Stephen Greenblatt")</f>
        <v>Stephen Greenblatt</v>
      </c>
    </row>
    <row r="8833" ht="15.75" customHeight="1">
      <c r="A8833" s="2" t="s">
        <v>8833</v>
      </c>
      <c r="B8833" s="2" t="str">
        <f>IFERROR(__xludf.DUMMYFUNCTION("GOOGLETRANSLATE(A8833, ""en"", ""mt"")"),"il-kompetenzi devoluti")</f>
        <v>il-kompetenzi devoluti</v>
      </c>
    </row>
    <row r="8834" ht="15.75" customHeight="1">
      <c r="A8834" s="2" t="s">
        <v>8834</v>
      </c>
      <c r="B8834" s="2" t="str">
        <f>IFERROR(__xludf.DUMMYFUNCTION("GOOGLETRANSLATE(A8834, ""en"", ""mt"")"),"Manifatturi u negozjanti Ċiniżi privati ​​tan-Nofsinhar")</f>
        <v>Manifatturi u negozjanti Ċiniżi privati ​​tan-Nofsinhar</v>
      </c>
    </row>
    <row r="8835" ht="15.75" customHeight="1">
      <c r="A8835" s="2" t="s">
        <v>8835</v>
      </c>
      <c r="B8835" s="2" t="str">
        <f>IFERROR(__xludf.DUMMYFUNCTION("GOOGLETRANSLATE(A8835, ""en"", ""mt"")"),"Kemm kanali BSKYB kienu disponibbli għall-klijenti qabel Ottubru 2005?")</f>
        <v>Kemm kanali BSKYB kienu disponibbli għall-klijenti qabel Ottubru 2005?</v>
      </c>
    </row>
    <row r="8836" ht="15.75" customHeight="1">
      <c r="A8836" s="2" t="s">
        <v>8836</v>
      </c>
      <c r="B8836" s="2" t="str">
        <f>IFERROR(__xludf.DUMMYFUNCTION("GOOGLETRANSLATE(A8836, ""en"", ""mt"")"),"Lorelei")</f>
        <v>Lorelei</v>
      </c>
    </row>
    <row r="8837" ht="15.75" customHeight="1">
      <c r="A8837" s="2" t="s">
        <v>8837</v>
      </c>
      <c r="B8837" s="2" t="str">
        <f>IFERROR(__xludf.DUMMYFUNCTION("GOOGLETRANSLATE(A8837, ""en"", ""mt"")"),"Liema persuna famuża feraħlu?")</f>
        <v>Liema persuna famuża feraħlu?</v>
      </c>
    </row>
    <row r="8838" ht="15.75" customHeight="1">
      <c r="A8838" s="2" t="s">
        <v>8838</v>
      </c>
      <c r="B8838" s="2" t="str">
        <f>IFERROR(__xludf.DUMMYFUNCTION("GOOGLETRANSLATE(A8838, ""en"", ""mt"")"),"Aljeni eponimi")</f>
        <v>Aljeni eponimi</v>
      </c>
    </row>
    <row r="8839" ht="15.75" customHeight="1">
      <c r="A8839" s="2" t="s">
        <v>8839</v>
      </c>
      <c r="B8839" s="2" t="str">
        <f>IFERROR(__xludf.DUMMYFUNCTION("GOOGLETRANSLATE(A8839, ""en"", ""mt"")"),"Kemm kienu flus biex imorru għan-netwerk tat-televiżjoni Dumont taħt il-pjan ta 'għaqda ta' Goldenson?")</f>
        <v>Kemm kienu flus biex imorru għan-netwerk tat-televiżjoni Dumont taħt il-pjan ta 'għaqda ta' Goldenson?</v>
      </c>
    </row>
    <row r="8840" ht="15.75" customHeight="1">
      <c r="A8840" s="2" t="s">
        <v>8840</v>
      </c>
      <c r="B8840" s="2" t="str">
        <f>IFERROR(__xludf.DUMMYFUNCTION("GOOGLETRANSLATE(A8840, ""en"", ""mt"")"),"Liema avveniment atletiku famuż ta '5.9-il mil iseħħ kull sena fi Newcastle f'Ġunju?")</f>
        <v>Liema avveniment atletiku famuż ta '5.9-il mil iseħħ kull sena fi Newcastle f'Ġunju?</v>
      </c>
    </row>
    <row r="8841" ht="15.75" customHeight="1">
      <c r="A8841" s="2" t="s">
        <v>8841</v>
      </c>
      <c r="B8841" s="2" t="str">
        <f>IFERROR(__xludf.DUMMYFUNCTION("GOOGLETRANSLATE(A8841, ""en"", ""mt"")"),"Metropolitana Internazzjonali")</f>
        <v>Metropolitana Internazzjonali</v>
      </c>
    </row>
    <row r="8842" ht="15.75" customHeight="1">
      <c r="A8842" s="2" t="s">
        <v>8842</v>
      </c>
      <c r="B8842" s="2" t="str">
        <f>IFERROR(__xludf.DUMMYFUNCTION("GOOGLETRANSLATE(A8842, ""en"", ""mt"")"),"PVR")</f>
        <v>PVR</v>
      </c>
    </row>
    <row r="8843" ht="15.75" customHeight="1">
      <c r="A8843" s="2" t="s">
        <v>8843</v>
      </c>
      <c r="B8843" s="2" t="str">
        <f>IFERROR(__xludf.DUMMYFUNCTION("GOOGLETRANSLATE(A8843, ""en"", ""mt"")"),"Renju tal-Prussja")</f>
        <v>Renju tal-Prussja</v>
      </c>
    </row>
    <row r="8844" ht="15.75" customHeight="1">
      <c r="A8844" s="2" t="s">
        <v>8844</v>
      </c>
      <c r="B8844" s="2" t="str">
        <f>IFERROR(__xludf.DUMMYFUNCTION("GOOGLETRANSLATE(A8844, ""en"", ""mt"")"),"Jannar 1979")</f>
        <v>Jannar 1979</v>
      </c>
    </row>
    <row r="8845" ht="15.75" customHeight="1">
      <c r="A8845" s="2" t="s">
        <v>8845</v>
      </c>
      <c r="B8845" s="2" t="str">
        <f>IFERROR(__xludf.DUMMYFUNCTION("GOOGLETRANSLATE(A8845, ""en"", ""mt"")"),"Protestantiżmu")</f>
        <v>Protestantiżmu</v>
      </c>
    </row>
    <row r="8846" ht="15.75" customHeight="1">
      <c r="A8846" s="2" t="s">
        <v>8846</v>
      </c>
      <c r="B8846" s="2" t="str">
        <f>IFERROR(__xludf.DUMMYFUNCTION("GOOGLETRANSLATE(A8846, ""en"", ""mt"")"),"Fermat")</f>
        <v>Fermat</v>
      </c>
    </row>
    <row r="8847" ht="15.75" customHeight="1">
      <c r="A8847" s="2" t="s">
        <v>8847</v>
      </c>
      <c r="B8847" s="2" t="str">
        <f>IFERROR(__xludf.DUMMYFUNCTION("GOOGLETRANSLATE(A8847, ""en"", ""mt"")"),"L-Asja Ċentrali")</f>
        <v>L-Asja Ċentrali</v>
      </c>
    </row>
    <row r="8848" ht="15.75" customHeight="1">
      <c r="A8848" s="2" t="s">
        <v>8848</v>
      </c>
      <c r="B8848" s="2" t="str">
        <f>IFERROR(__xludf.DUMMYFUNCTION("GOOGLETRANSLATE(A8848, ""en"", ""mt"")"),"Għan-nobbli Nisranija tan-nazzjon Ġermaniż, fuq il-magħluq Babilonjan tal-knisja, u fuq il-libertà ta 'Nisrani.")</f>
        <v>Għan-nobbli Nisranija tan-nazzjon Ġermaniż, fuq il-magħluq Babilonjan tal-knisja, u fuq il-libertà ta 'Nisrani.</v>
      </c>
    </row>
    <row r="8849" ht="15.75" customHeight="1">
      <c r="A8849" s="2" t="s">
        <v>8849</v>
      </c>
      <c r="B8849" s="2" t="str">
        <f>IFERROR(__xludf.DUMMYFUNCTION("GOOGLETRANSLATE(A8849, ""en"", ""mt"")"),"sezzjoni kanalizzata")</f>
        <v>sezzjoni kanalizzata</v>
      </c>
    </row>
    <row r="8850" ht="15.75" customHeight="1">
      <c r="A8850" s="2" t="s">
        <v>8850</v>
      </c>
      <c r="B8850" s="2" t="str">
        <f>IFERROR(__xludf.DUMMYFUNCTION("GOOGLETRANSLATE(A8850, ""en"", ""mt"")"),"Liema perit Ġermaniż intalab jipproduċi disinn għall-mużew?")</f>
        <v>Liema perit Ġermaniż intalab jipproduċi disinn għall-mużew?</v>
      </c>
    </row>
    <row r="8851" ht="15.75" customHeight="1">
      <c r="A8851" s="2" t="s">
        <v>8851</v>
      </c>
      <c r="B8851" s="2" t="str">
        <f>IFERROR(__xludf.DUMMYFUNCTION("GOOGLETRANSLATE(A8851, ""en"", ""mt"")"),"l-Istitut Orjentali")</f>
        <v>l-Istitut Orjentali</v>
      </c>
    </row>
    <row r="8852" ht="15.75" customHeight="1">
      <c r="A8852" s="2" t="s">
        <v>8852</v>
      </c>
      <c r="B8852" s="2" t="str">
        <f>IFERROR(__xludf.DUMMYFUNCTION("GOOGLETRANSLATE(A8852, ""en"", ""mt"")"),"sferiku")</f>
        <v>sferiku</v>
      </c>
    </row>
    <row r="8853" ht="15.75" customHeight="1">
      <c r="A8853" s="2" t="s">
        <v>8853</v>
      </c>
      <c r="B8853" s="2" t="str">
        <f>IFERROR(__xludf.DUMMYFUNCTION("GOOGLETRANSLATE(A8853, ""en"", ""mt"")"),"Liema gwerra fl-Irlanda kienet tidher reġimenti Huguenot?")</f>
        <v>Liema gwerra fl-Irlanda kienet tidher reġimenti Huguenot?</v>
      </c>
    </row>
    <row r="8854" ht="15.75" customHeight="1">
      <c r="A8854" s="2" t="s">
        <v>8854</v>
      </c>
      <c r="B8854" s="2" t="str">
        <f>IFERROR(__xludf.DUMMYFUNCTION("GOOGLETRANSLATE(A8854, ""en"", ""mt"")"),"Billi jegħlbu ġisimhom kif ukoll permezz tas-swat tal-moxt tal-moxt tagħhom.")</f>
        <v>Billi jegħlbu ġisimhom kif ukoll permezz tas-swat tal-moxt tal-moxt tagħhom.</v>
      </c>
    </row>
    <row r="8855" ht="15.75" customHeight="1">
      <c r="A8855" s="2" t="s">
        <v>8855</v>
      </c>
      <c r="B8855" s="2" t="str">
        <f>IFERROR(__xludf.DUMMYFUNCTION("GOOGLETRANSLATE(A8855, ""en"", ""mt"")"),"Għaliex il-politiċi Mongoljani kkunsidraw li jirregolaw l-użu tal-isem ta 'Genghis Khan?")</f>
        <v>Għaliex il-politiċi Mongoljani kkunsidraw li jirregolaw l-użu tal-isem ta 'Genghis Khan?</v>
      </c>
    </row>
    <row r="8856" ht="15.75" customHeight="1">
      <c r="A8856" s="2" t="s">
        <v>8856</v>
      </c>
      <c r="B8856" s="2" t="str">
        <f>IFERROR(__xludf.DUMMYFUNCTION("GOOGLETRANSLATE(A8856, ""en"", ""mt"")"),"Liema pożizzjoni kellha Tesla fl-Istitut Amerikan tal-Inġiniera Elettriċi?")</f>
        <v>Liema pożizzjoni kellha Tesla fl-Istitut Amerikan tal-Inġiniera Elettriċi?</v>
      </c>
    </row>
    <row r="8857" ht="15.75" customHeight="1">
      <c r="A8857" s="2" t="s">
        <v>8857</v>
      </c>
      <c r="B8857" s="2" t="str">
        <f>IFERROR(__xludf.DUMMYFUNCTION("GOOGLETRANSLATE(A8857, ""en"", ""mt"")"),"Mistoqsijiet kostituzzjonali fundamentali li jaffettwaw id-demokrazija u d-drittijiet tal-bniedem")</f>
        <v>Mistoqsijiet kostituzzjonali fundamentali li jaffettwaw id-demokrazija u d-drittijiet tal-bniedem</v>
      </c>
    </row>
    <row r="8858" ht="15.75" customHeight="1">
      <c r="A8858" s="2" t="s">
        <v>8858</v>
      </c>
      <c r="B8858" s="2" t="str">
        <f>IFERROR(__xludf.DUMMYFUNCTION("GOOGLETRANSLATE(A8858, ""en"", ""mt"")"),"Il-kostruzzjoni hija waħda mill-aktar okkupazzjonijiet perikolużi fid-dinja, li ġġarraf aktar fatalitajiet fuq ix-xogħol minn kwalunkwe settur ieħor kemm fl-Istati Uniti kif ukoll fl-Unjoni Ewropea. Fl-2009, ir-rata fatali ta 'korrimenti fuq ix-xogħol fos"&amp;"t il-ħaddiema tal-kostruzzjoni fl-Istati Uniti kienet kważi tliet darbiet dik għall-ħaddiema kollha. Il-waqgħat huma waħda mill-aktar kawżi komuni ta 'korrimenti fatali u mhux fatali fost il-ħaddiema tal-kostruzzjoni. Tagħmir ta 'sigurtà xieraq bħal arnes"&amp;"si u guardrails u proċeduri bħall-iżgurar tas-slielem u l-ispezzjoni tal-armar jista' jnaqqas ir-riskju ta 'korrimenti fuq ix-xogħol fl-industrija tal-kostruzzjoni. Kawżi ewlenin oħra ta 'fatalitajiet fl-industrija tal-kostruzzjoni jinkludu l-elettrokuzzj"&amp;"oni, l-inċidenti tat-trasport, u l-grotta ta' trinka.")</f>
        <v>Il-kostruzzjoni hija waħda mill-aktar okkupazzjonijiet perikolużi fid-dinja, li ġġarraf aktar fatalitajiet fuq ix-xogħol minn kwalunkwe settur ieħor kemm fl-Istati Uniti kif ukoll fl-Unjoni Ewropea. Fl-2009, ir-rata fatali ta 'korrimenti fuq ix-xogħol fost il-ħaddiema tal-kostruzzjoni fl-Istati Uniti kienet kważi tliet darbiet dik għall-ħaddiema kollha. Il-waqgħat huma waħda mill-aktar kawżi komuni ta 'korrimenti fatali u mhux fatali fost il-ħaddiema tal-kostruzzjoni. Tagħmir ta 'sigurtà xieraq bħal arnessi u guardrails u proċeduri bħall-iżgurar tas-slielem u l-ispezzjoni tal-armar jista' jnaqqas ir-riskju ta 'korrimenti fuq ix-xogħol fl-industrija tal-kostruzzjoni. Kawżi ewlenin oħra ta 'fatalitajiet fl-industrija tal-kostruzzjoni jinkludu l-elettrokuzzjoni, l-inċidenti tat-trasport, u l-grotta ta' trinka.</v>
      </c>
    </row>
    <row r="8859" ht="15.75" customHeight="1">
      <c r="A8859" s="2" t="s">
        <v>8859</v>
      </c>
      <c r="B8859" s="2" t="str">
        <f>IFERROR(__xludf.DUMMYFUNCTION("GOOGLETRANSLATE(A8859, ""en"", ""mt"")"),"Il-ġeoloġi strutturali kif josservaw id-drapp fil-blat?")</f>
        <v>Il-ġeoloġi strutturali kif josservaw id-drapp fil-blat?</v>
      </c>
    </row>
    <row r="8860" ht="15.75" customHeight="1">
      <c r="A8860" s="2" t="s">
        <v>8860</v>
      </c>
      <c r="B8860" s="2" t="str">
        <f>IFERROR(__xludf.DUMMYFUNCTION("GOOGLETRANSLATE(A8860, ""en"", ""mt"")"),"Li l-pass ta 'Jerricho Cotchery kien maħkum mhux komplut?")</f>
        <v>Li l-pass ta 'Jerricho Cotchery kien maħkum mhux komplut?</v>
      </c>
    </row>
    <row r="8861" ht="15.75" customHeight="1">
      <c r="A8861" s="2" t="s">
        <v>8861</v>
      </c>
      <c r="B8861" s="2" t="str">
        <f>IFERROR(__xludf.DUMMYFUNCTION("GOOGLETRANSLATE(A8861, ""en"", ""mt"")"),"Il-Kenja (/ ˈkɛnjə /; lokalment [ˈkɛɲa] (tisma)), uffiċjalment ir-Repubblika tal-Kenja, hija pajjiż fl-Afrika u membru fundatur tal-Komunità tal-Afrika tal-Lvant (EAC). Il-kapitali u l-ikbar belt tagħha hija Nairobi. It-territorju tal-Kenja jinsab fuq l-e"&amp;"kwatur u jegħleb il-qasma tal-Afrika tal-Lvant li tkopri art diversa u espansiva li testendi bejn wieħed u ieħor mill-Lag Victoria sal-Lag Turkana (li qabel kienet tissejjaħ Lag Rudolf) u aktar fix-Xlokk lejn l-Oċean Indjan. Hija mdawra mit-Tanżanija fin-"&amp;"nofsinhar, l-Uganda lejn il-punent, is-Sudan t'Isfel lejn il-majjistral, l-Etjopja fit-tramuntana u s-Somalja fil-grigal. Il-Kenja tkopri 581,309 km2 (224,445 sq mi), u kellha popolazzjoni ta 'madwar 45 miljun persuna f'Lulju 2014.")</f>
        <v>Il-Kenja (/ ˈkɛnjə /; lokalment [ˈkɛɲa] (tisma)), uffiċjalment ir-Repubblika tal-Kenja, hija pajjiż fl-Afrika u membru fundatur tal-Komunità tal-Afrika tal-Lvant (EAC). Il-kapitali u l-ikbar belt tagħha hija Nairobi. It-territorju tal-Kenja jinsab fuq l-ekwatur u jegħleb il-qasma tal-Afrika tal-Lvant li tkopri art diversa u espansiva li testendi bejn wieħed u ieħor mill-Lag Victoria sal-Lag Turkana (li qabel kienet tissejjaħ Lag Rudolf) u aktar fix-Xlokk lejn l-Oċean Indjan. Hija mdawra mit-Tanżanija fin-nofsinhar, l-Uganda lejn il-punent, is-Sudan t'Isfel lejn il-majjistral, l-Etjopja fit-tramuntana u s-Somalja fil-grigal. Il-Kenja tkopri 581,309 km2 (224,445 sq mi), u kellha popolazzjoni ta 'madwar 45 miljun persuna f'Lulju 2014.</v>
      </c>
    </row>
    <row r="8862" ht="15.75" customHeight="1">
      <c r="A8862" s="2" t="s">
        <v>8862</v>
      </c>
      <c r="B8862" s="2" t="str">
        <f>IFERROR(__xludf.DUMMYFUNCTION("GOOGLETRANSLATE(A8862, ""en"", ""mt"")"),"Min ħarab meta Temüjin ħareġ rebbieħ fil-kunflitt tiegħu ma 'Toghrul?")</f>
        <v>Min ħarab meta Temüjin ħareġ rebbieħ fil-kunflitt tiegħu ma 'Toghrul?</v>
      </c>
    </row>
    <row r="8863" ht="15.75" customHeight="1">
      <c r="A8863" s="2" t="s">
        <v>8863</v>
      </c>
      <c r="B8863" s="2" t="str">
        <f>IFERROR(__xludf.DUMMYFUNCTION("GOOGLETRANSLATE(A8863, ""en"", ""mt"")"),"indulġenzi għall-għixien")</f>
        <v>indulġenzi għall-għixien</v>
      </c>
    </row>
    <row r="8864" ht="15.75" customHeight="1">
      <c r="A8864" s="2" t="s">
        <v>8864</v>
      </c>
      <c r="B8864" s="2" t="str">
        <f>IFERROR(__xludf.DUMMYFUNCTION("GOOGLETRANSLATE(A8864, ""en"", ""mt"")"),"Il-proteini jikkumplimentaw jorbtu ma 'x'tip ta' molekuli fuq il-wiċċ tal-mikrobi sabiex jinħolqu rispons immuni?")</f>
        <v>Il-proteini jikkumplimentaw jorbtu ma 'x'tip ta' molekuli fuq il-wiċċ tal-mikrobi sabiex jinħolqu rispons immuni?</v>
      </c>
    </row>
    <row r="8865" ht="15.75" customHeight="1">
      <c r="A8865" s="2" t="s">
        <v>8865</v>
      </c>
      <c r="B8865" s="2" t="str">
        <f>IFERROR(__xludf.DUMMYFUNCTION("GOOGLETRANSLATE(A8865, ""en"", ""mt"")"),"Id-diżubbidjenza ċivili hija ġustifikata biss kontra entitajiet governattivi")</f>
        <v>Id-diżubbidjenza ċivili hija ġustifikata biss kontra entitajiet governattivi</v>
      </c>
    </row>
    <row r="8866" ht="15.75" customHeight="1">
      <c r="A8866" s="2" t="s">
        <v>8866</v>
      </c>
      <c r="B8866" s="2" t="str">
        <f>IFERROR(__xludf.DUMMYFUNCTION("GOOGLETRANSLATE(A8866, ""en"", ""mt"")"),"X'inhi l-aħjar klassifikazzjoni tal-QB li Cam Newton għandha?")</f>
        <v>X'inhi l-aħjar klassifikazzjoni tal-QB li Cam Newton għandha?</v>
      </c>
    </row>
    <row r="8867" ht="15.75" customHeight="1">
      <c r="A8867" s="2" t="s">
        <v>8867</v>
      </c>
      <c r="B8867" s="2" t="str">
        <f>IFERROR(__xludf.DUMMYFUNCTION("GOOGLETRANSLATE(A8867, ""en"", ""mt"")"),"Min qal li l-persuni bla dar fiż-żona kien se jitlaq?")</f>
        <v>Min qal li l-persuni bla dar fiż-żona kien se jitlaq?</v>
      </c>
    </row>
    <row r="8868" ht="15.75" customHeight="1">
      <c r="A8868" s="2" t="s">
        <v>8868</v>
      </c>
      <c r="B8868" s="2" t="str">
        <f>IFERROR(__xludf.DUMMYFUNCTION("GOOGLETRANSLATE(A8868, ""en"", ""mt"")"),"Liema effett sekondarju ta 'dawn it-tip ta' protesti huwa sfortunat?")</f>
        <v>Liema effett sekondarju ta 'dawn it-tip ta' protesti huwa sfortunat?</v>
      </c>
    </row>
    <row r="8869" ht="15.75" customHeight="1">
      <c r="A8869" s="2" t="s">
        <v>8869</v>
      </c>
      <c r="B8869" s="2" t="str">
        <f>IFERROR(__xludf.DUMMYFUNCTION("GOOGLETRANSLATE(A8869, ""en"", ""mt"")"),"Il-V &amp; A tkopri 12.5 acres (51,000 m2) u 145 galleriji. Il-kollezzjoni tagħha tifrex 5,000 sena ta ’arti, minn żminijiet antiki sal-lum, mill-kulturi tal-Ewropa, l-Amerika ta’ Fuq, l-Asja u l-Afrika ta ’Fuq. L-azjendi taċ-ċeramika, ħġieġ, tessuti, kostumi"&amp;", fidda, xogħol tal-ħadid, ġojjelli, għamara, oġġetti medjevali, skultura, stampi u stampar, tpinġijiet u ritratti huma fost l-akbar u l-iktar komprensivi fid-dinja. Il-mużew jippossjedi l-akbar ġabra tad-dinja ta 'skultura post-klassika, bl-azjendi ta' o"&amp;"ġġetti ta 'rinaxximent Taljan huma l-akbar barra l-Italja. Id-dipartimenti tal-Asja jinkludu arti mill-Asja t'Isfel, iċ-Ċina, il-Ġappun, il-Korea u d-dinja Iżlamika. Il-kollezzjonijiet tal-Asja tal-Lvant huma fost l-aqwa fl-Ewropa, b’saħħithom partikolari"&amp;" fiċ-ċeramika u x-xogħol tal-metall, filwaqt li l-kollezzjoni Iżlamika hija fost l-ikbar fid-dinja tal-Punent. B'mod ġenerali, huwa wieħed mill-akbar mużewijiet fid-dinja.")</f>
        <v>Il-V &amp; A tkopri 12.5 acres (51,000 m2) u 145 galleriji. Il-kollezzjoni tagħha tifrex 5,000 sena ta ’arti, minn żminijiet antiki sal-lum, mill-kulturi tal-Ewropa, l-Amerika ta’ Fuq, l-Asja u l-Afrika ta ’Fuq. L-azjendi taċ-ċeramika, ħġieġ, tessuti, kostumi, fidda, xogħol tal-ħadid, ġojjelli, għamara, oġġetti medjevali, skultura, stampi u stampar, tpinġijiet u ritratti huma fost l-akbar u l-iktar komprensivi fid-dinja. Il-mużew jippossjedi l-akbar ġabra tad-dinja ta 'skultura post-klassika, bl-azjendi ta' oġġetti ta 'rinaxximent Taljan huma l-akbar barra l-Italja. Id-dipartimenti tal-Asja jinkludu arti mill-Asja t'Isfel, iċ-Ċina, il-Ġappun, il-Korea u d-dinja Iżlamika. Il-kollezzjonijiet tal-Asja tal-Lvant huma fost l-aqwa fl-Ewropa, b’saħħithom partikolari fiċ-ċeramika u x-xogħol tal-metall, filwaqt li l-kollezzjoni Iżlamika hija fost l-ikbar fid-dinja tal-Punent. B'mod ġenerali, huwa wieħed mill-akbar mużewijiet fid-dinja.</v>
      </c>
    </row>
    <row r="8870" ht="15.75" customHeight="1">
      <c r="A8870" s="2" t="s">
        <v>8870</v>
      </c>
      <c r="B8870" s="2" t="str">
        <f>IFERROR(__xludf.DUMMYFUNCTION("GOOGLETRANSLATE(A8870, ""en"", ""mt"")"),"New England Patriots")</f>
        <v>New England Patriots</v>
      </c>
    </row>
    <row r="8871" ht="15.75" customHeight="1">
      <c r="A8871" s="2" t="s">
        <v>8871</v>
      </c>
      <c r="B8871" s="2" t="str">
        <f>IFERROR(__xludf.DUMMYFUNCTION("GOOGLETRANSLATE(A8871, ""en"", ""mt"")"),"Il-Bureau Parlamentari")</f>
        <v>Il-Bureau Parlamentari</v>
      </c>
    </row>
    <row r="8872" ht="15.75" customHeight="1">
      <c r="A8872" s="2" t="s">
        <v>8872</v>
      </c>
      <c r="B8872" s="2" t="str">
        <f>IFERROR(__xludf.DUMMYFUNCTION("GOOGLETRANSLATE(A8872, ""en"", ""mt"")"),"X'jista 'spiss jiġi mbassar minn qabel?")</f>
        <v>X'jista 'spiss jiġi mbassar minn qabel?</v>
      </c>
    </row>
    <row r="8873" ht="15.75" customHeight="1">
      <c r="A8873" s="2" t="s">
        <v>8873</v>
      </c>
      <c r="B8873" s="2" t="str">
        <f>IFERROR(__xludf.DUMMYFUNCTION("GOOGLETRANSLATE(A8873, ""en"", ""mt"")"),"gwerra, ġuħ, u temp")</f>
        <v>gwerra, ġuħ, u temp</v>
      </c>
    </row>
    <row r="8874" ht="15.75" customHeight="1">
      <c r="A8874" s="2" t="s">
        <v>8874</v>
      </c>
      <c r="B8874" s="2" t="str">
        <f>IFERROR(__xludf.DUMMYFUNCTION("GOOGLETRANSLATE(A8874, ""en"", ""mt"")"),"Liema linja tat-tarzna kienet kulur tad-deheb għat-timijiet kollha matul l-istaġun?")</f>
        <v>Liema linja tat-tarzna kienet kulur tad-deheb għat-timijiet kollha matul l-istaġun?</v>
      </c>
    </row>
    <row r="8875" ht="15.75" customHeight="1">
      <c r="A8875" s="2" t="s">
        <v>8875</v>
      </c>
      <c r="B8875" s="2" t="str">
        <f>IFERROR(__xludf.DUMMYFUNCTION("GOOGLETRANSLATE(A8875, ""en"", ""mt"")"),"Is-sistema bħalissa għaddejja minn perjodu ta 'rinnovar u modernizzazzjoni, intitolat ""Metro: All Change."" Il-programm ħa post il-magni tal-biljetti kollha u introduċa l-kanċelli tal-biljetti fl-istazzjonijiet l-aktar traffikużi - parti mit-tranżizzjoni"&amp;" għall-biljetti intelliġenti. Il-ferroviji kollha tal-metro qed jiġu rranġati kompletament u l-biċċa l-kbira tal-istazzjonijiet għaddejjin minn xogħlijiet ta 'titjib (jew f'xi każijiet rikostruzzjoni sħiħa, pereżempju ta' North Shields). Barra minn hekk; "&amp;"Il-binarji, is-sinjalazzjoni u l-wajers ġenerali qed jiġu rranġati wkoll. Pjanijiet fit-tul jinkludu l-akkwist ta 'flotta kompletament ġdida ta' ferroviji u aktar estensjonijiet għas-sistema. Ir-rotot proposti jinkludu lejn Newcastle's West End, lejn il-P"&amp;"ark tan-Negozju tal-Kobalt fit-Tramuntana ta 'Tyneside, lejn il-Metrocentre f'Gateshead u għal postijiet addizzjonali f'Gateshead, South Tyneside u Sunderland. Bosta mir-rotot proposti jkunu jeħtieġu trammijiet għall-kuntrarju tal-ferroviji tal-ferrovija "&amp;"ħafifa attwali.")</f>
        <v>Is-sistema bħalissa għaddejja minn perjodu ta 'rinnovar u modernizzazzjoni, intitolat "Metro: All Change." Il-programm ħa post il-magni tal-biljetti kollha u introduċa l-kanċelli tal-biljetti fl-istazzjonijiet l-aktar traffikużi - parti mit-tranżizzjoni għall-biljetti intelliġenti. Il-ferroviji kollha tal-metro qed jiġu rranġati kompletament u l-biċċa l-kbira tal-istazzjonijiet għaddejjin minn xogħlijiet ta 'titjib (jew f'xi każijiet rikostruzzjoni sħiħa, pereżempju ta' North Shields). Barra minn hekk; Il-binarji, is-sinjalazzjoni u l-wajers ġenerali qed jiġu rranġati wkoll. Pjanijiet fit-tul jinkludu l-akkwist ta 'flotta kompletament ġdida ta' ferroviji u aktar estensjonijiet għas-sistema. Ir-rotot proposti jinkludu lejn Newcastle's West End, lejn il-Park tan-Negozju tal-Kobalt fit-Tramuntana ta 'Tyneside, lejn il-Metrocentre f'Gateshead u għal postijiet addizzjonali f'Gateshead, South Tyneside u Sunderland. Bosta mir-rotot proposti jkunu jeħtieġu trammijiet għall-kuntrarju tal-ferroviji tal-ferrovija ħafifa attwali.</v>
      </c>
    </row>
    <row r="8876" ht="15.75" customHeight="1">
      <c r="A8876" s="2" t="s">
        <v>8876</v>
      </c>
      <c r="B8876" s="2" t="str">
        <f>IFERROR(__xludf.DUMMYFUNCTION("GOOGLETRANSLATE(A8876, ""en"", ""mt"")"),"Xiri ta 'waqfien wieħed")</f>
        <v>Xiri ta 'waqfien wieħed</v>
      </c>
    </row>
    <row r="8877" ht="15.75" customHeight="1">
      <c r="A8877" s="2" t="s">
        <v>8877</v>
      </c>
      <c r="B8877" s="2" t="str">
        <f>IFERROR(__xludf.DUMMYFUNCTION("GOOGLETRANSLATE(A8877, ""en"", ""mt"")"),"Liema akkademja sabet Tugh Temur?")</f>
        <v>Liema akkademja sabet Tugh Temur?</v>
      </c>
    </row>
    <row r="8878" ht="15.75" customHeight="1">
      <c r="A8878" s="2" t="s">
        <v>8878</v>
      </c>
      <c r="B8878" s="2" t="str">
        <f>IFERROR(__xludf.DUMMYFUNCTION("GOOGLETRANSLATE(A8878, ""en"", ""mt"")"),"Ir-ragħajja lokali huma msejħa minn Alla, affermati mill-Knisja, u maħtura minn isqof għal ministeru tal-kelma, sagrament, ordni u servizz fil-knisja. Ir-ragħaj lokali jingħata l-awtorità biex jippridka l-Kelma ta ’Alla, jamministra s-sagramenti tal-Knisj"&amp;"a, biex jipprovdi kura u pariri, u jordna l-ħajja tal-Knisja għall-ministeru u l-missjoni, iżda mhux ordnati. Meta l-anzjani ma jkunux disponibbli biex jinħatru għal knisja lokali, la permezz ta 'nuqqas ta' persunal jew tbatija finanzjarja ta 'ħlas pastor"&amp;"ali, l-Isqof jista' jaħtar ""ragħaj lokali"" biex iservi l-ħatra pastorali. Ir-ragħajja lokali ħafna drabi huma bi-vokazzjonali, jgħixu s-sejħa ministerjali tagħhom fil-knisja lokali u fil-qasam tal-impjieg tagħhom. Ir-ragħajja lokali liċenzjati full-time"&amp;" u part-time taħt ħatra huma kleru u sħubija fil-konferenza annwali u mhux fil-knisja lokali. It-titlu uffiċjali tar-ragħaj lokali huwa ""ragħaj lokali liċenzjat"" u huwa maħtur bħala kleru għall-knisja lokali fejn jippridka, imexxi l-qima divina u jwetta"&amp;"q id-dmirijiet regolari ta 'ragħaj. Ir-ragħaj lokali liċenzjat għandu l-awtorità ta 'ragħaj biss fil-kuntest u matul iż-żmien tal-ħatra u m'għandux jestendi lil hinn minnu. Ir-rgħajja lokali mhumiex meħtieġa li jkollhom gradi avvanzati iżda huma meħtieġa "&amp;"jattendu skola tal-liċenzji u jattendu u jgħaddu kors ta 'studju approvat ta' ħames snin f'seminarju Metodist approvat jew kors ta 'skola ta' studju, komplut b'suċċess eżamijiet bil-miktub u orali, u jidher qabel Il-Kumitat Distrettwali għall-Ministeru u "&amp;"l-Bord tal-Konferenza tal-Ministeru Ordnat. Huma jistgħu jkomplu lejn is-sħubija assoċjata li tippermettilhom jirtiraw bħala kleru. Huma jistgħu wkoll ikomplu lejn l-ordinazzjoni jekk itemmu l-grad tal-baċellerat tagħhom, ir-rekwiżiti tal-Bord tal-Konfere"&amp;"nza partikolari tagħhom tal-Ministeru Ordnat, kif ukoll kors avvanzat jew studju jew korsijiet tas-seminarju preskritti f'seminarju approvat. Meta jirtiraw, ir-ragħajja lokali jerġgħu lura għall-konferenza tal-ħlas tagħhom bħala membri lajċi.")</f>
        <v>Ir-ragħajja lokali huma msejħa minn Alla, affermati mill-Knisja, u maħtura minn isqof għal ministeru tal-kelma, sagrament, ordni u servizz fil-knisja. Ir-ragħaj lokali jingħata l-awtorità biex jippridka l-Kelma ta ’Alla, jamministra s-sagramenti tal-Knisja, biex jipprovdi kura u pariri, u jordna l-ħajja tal-Knisja għall-ministeru u l-missjoni, iżda mhux ordnati. Meta l-anzjani ma jkunux disponibbli biex jinħatru għal knisja lokali, la permezz ta 'nuqqas ta' persunal jew tbatija finanzjarja ta 'ħlas pastorali, l-Isqof jista' jaħtar "ragħaj lokali" biex iservi l-ħatra pastorali. Ir-ragħajja lokali ħafna drabi huma bi-vokazzjonali, jgħixu s-sejħa ministerjali tagħhom fil-knisja lokali u fil-qasam tal-impjieg tagħhom. Ir-ragħajja lokali liċenzjati full-time u part-time taħt ħatra huma kleru u sħubija fil-konferenza annwali u mhux fil-knisja lokali. It-titlu uffiċjali tar-ragħaj lokali huwa "ragħaj lokali liċenzjat" u huwa maħtur bħala kleru għall-knisja lokali fejn jippridka, imexxi l-qima divina u jwettaq id-dmirijiet regolari ta 'ragħaj. Ir-ragħaj lokali liċenzjat għandu l-awtorità ta 'ragħaj biss fil-kuntest u matul iż-żmien tal-ħatra u m'għandux jestendi lil hinn minnu. Ir-rgħajja lokali mhumiex meħtieġa li jkollhom gradi avvanzati iżda huma meħtieġa jattendu skola tal-liċenzji u jattendu u jgħaddu kors ta 'studju approvat ta' ħames snin f'seminarju Metodist approvat jew kors ta 'skola ta' studju, komplut b'suċċess eżamijiet bil-miktub u orali, u jidher qabel Il-Kumitat Distrettwali għall-Ministeru u l-Bord tal-Konferenza tal-Ministeru Ordnat. Huma jistgħu jkomplu lejn is-sħubija assoċjata li tippermettilhom jirtiraw bħala kleru. Huma jistgħu wkoll ikomplu lejn l-ordinazzjoni jekk itemmu l-grad tal-baċellerat tagħhom, ir-rekwiżiti tal-Bord tal-Konferenza partikolari tagħhom tal-Ministeru Ordnat, kif ukoll kors avvanzat jew studju jew korsijiet tas-seminarju preskritti f'seminarju approvat. Meta jirtiraw, ir-ragħajja lokali jerġgħu lura għall-konferenza tal-ħlas tagħhom bħala membri lajċi.</v>
      </c>
    </row>
    <row r="8879" ht="15.75" customHeight="1">
      <c r="A8879" s="2" t="s">
        <v>8879</v>
      </c>
      <c r="B8879" s="2" t="str">
        <f>IFERROR(__xludf.DUMMYFUNCTION("GOOGLETRANSLATE(A8879, ""en"", ""mt"")"),"Il-legalità ta 'azzjoni tiddependi fuq jekk kienx xieraq u neċessarju li jinkisbu l-għanijiet leġittimament segwiti")</f>
        <v>Il-legalità ta 'azzjoni tiddependi fuq jekk kienx xieraq u neċessarju li jinkisbu l-għanijiet leġittimament segwiti</v>
      </c>
    </row>
    <row r="8880" ht="15.75" customHeight="1">
      <c r="A8880" s="2" t="s">
        <v>8880</v>
      </c>
      <c r="B8880" s="2" t="str">
        <f>IFERROR(__xludf.DUMMYFUNCTION("GOOGLETRANSLATE(A8880, ""en"", ""mt"")"),"Ħbieb tiegħu ħasbu li kien għerqu fix-xmara Mur.")</f>
        <v>Ħbieb tiegħu ħasbu li kien għerqu fix-xmara Mur.</v>
      </c>
    </row>
    <row r="8881" ht="15.75" customHeight="1">
      <c r="A8881" s="2" t="s">
        <v>8881</v>
      </c>
      <c r="B8881" s="2" t="str">
        <f>IFERROR(__xludf.DUMMYFUNCTION("GOOGLETRANSLATE(A8881, ""en"", ""mt"")"),"Liema tliet affarijiet huma meħtieġa biex isseħħ il-kostruzzjoni?")</f>
        <v>Liema tliet affarijiet huma meħtieġa biex isseħħ il-kostruzzjoni?</v>
      </c>
    </row>
    <row r="8882" ht="15.75" customHeight="1">
      <c r="A8882" s="2" t="s">
        <v>8882</v>
      </c>
      <c r="B8882" s="2" t="str">
        <f>IFERROR(__xludf.DUMMYFUNCTION("GOOGLETRANSLATE(A8882, ""en"", ""mt"")"),"Fejn HT naqas milli jneħħi kolp ta 'demm fl-1974?")</f>
        <v>Fejn HT naqas milli jneħħi kolp ta 'demm fl-1974?</v>
      </c>
    </row>
    <row r="8883" ht="15.75" customHeight="1">
      <c r="A8883" s="2" t="s">
        <v>8883</v>
      </c>
      <c r="B8883" s="2" t="str">
        <f>IFERROR(__xludf.DUMMYFUNCTION("GOOGLETRANSLATE(A8883, ""en"", ""mt"")"),"il-mezzi biex tinvesti f'sorsi ġodda ta 'ħolqien ta' ġid jew biex inkella nfissru l-akkumulazzjoni ta 'ġid")</f>
        <v>il-mezzi biex tinvesti f'sorsi ġodda ta 'ħolqien ta' ġid jew biex inkella nfissru l-akkumulazzjoni ta 'ġid</v>
      </c>
    </row>
    <row r="8884" ht="15.75" customHeight="1">
      <c r="A8884" s="2" t="s">
        <v>8884</v>
      </c>
      <c r="B8884" s="2" t="str">
        <f>IFERROR(__xludf.DUMMYFUNCTION("GOOGLETRANSLATE(A8884, ""en"", ""mt"")"),"X'kienet l-eroj taċ-ċittadinanza ta 'Lixandra?")</f>
        <v>X'kienet l-eroj taċ-ċittadinanza ta 'Lixandra?</v>
      </c>
    </row>
    <row r="8885" ht="15.75" customHeight="1">
      <c r="A8885" s="2" t="s">
        <v>8885</v>
      </c>
      <c r="B8885" s="2" t="str">
        <f>IFERROR(__xludf.DUMMYFUNCTION("GOOGLETRANSLATE(A8885, ""en"", ""mt"")"),"X'inhu isem ieħor għal kwalunkwe miżura mogħtija ta 'input assoċjata ma' problema?")</f>
        <v>X'inhu isem ieħor għal kwalunkwe miżura mogħtija ta 'input assoċjata ma' problema?</v>
      </c>
    </row>
    <row r="8886" ht="15.75" customHeight="1">
      <c r="A8886" s="2" t="s">
        <v>8886</v>
      </c>
      <c r="B8886" s="2" t="str">
        <f>IFERROR(__xludf.DUMMYFUNCTION("GOOGLETRANSLATE(A8886, ""en"", ""mt"")"),"Ikteb l-innijiet tas-salm")</f>
        <v>Ikteb l-innijiet tas-salm</v>
      </c>
    </row>
    <row r="8887" ht="15.75" customHeight="1">
      <c r="A8887" s="2" t="s">
        <v>8887</v>
      </c>
      <c r="B8887" s="2" t="str">
        <f>IFERROR(__xludf.DUMMYFUNCTION("GOOGLETRANSLATE(A8887, ""en"", ""mt"")"),"Min jiddeċiedi kif l-art jew il-propjetà titħalla tintuża?")</f>
        <v>Min jiddeċiedi kif l-art jew il-propjetà titħalla tintuża?</v>
      </c>
    </row>
    <row r="8888" ht="15.75" customHeight="1">
      <c r="A8888" s="2" t="s">
        <v>8888</v>
      </c>
      <c r="B8888" s="2" t="str">
        <f>IFERROR(__xludf.DUMMYFUNCTION("GOOGLETRANSLATE(A8888, ""en"", ""mt"")"),"Il-ħuxlief wain")</f>
        <v>Il-ħuxlief wain</v>
      </c>
    </row>
    <row r="8889" ht="15.75" customHeight="1">
      <c r="A8889" s="2" t="s">
        <v>8889</v>
      </c>
      <c r="B8889" s="2" t="str">
        <f>IFERROR(__xludf.DUMMYFUNCTION("GOOGLETRANSLATE(A8889, ""en"", ""mt"")"),"ilma tax-xorb")</f>
        <v>ilma tax-xorb</v>
      </c>
    </row>
    <row r="8890" ht="15.75" customHeight="1">
      <c r="A8890" s="2" t="s">
        <v>8890</v>
      </c>
      <c r="B8890" s="2" t="str">
        <f>IFERROR(__xludf.DUMMYFUNCTION("GOOGLETRANSLATE(A8890, ""en"", ""mt"")"),"Fl-Afrika t'Isfel, flimkien ma 'skejjel regolati, liema skejjel huma kklassifikati bħala indipendenti?")</f>
        <v>Fl-Afrika t'Isfel, flimkien ma 'skejjel regolati, liema skejjel huma kklassifikati bħala indipendenti?</v>
      </c>
    </row>
    <row r="8891" ht="15.75" customHeight="1">
      <c r="A8891" s="2" t="s">
        <v>8891</v>
      </c>
      <c r="B8891" s="2" t="str">
        <f>IFERROR(__xludf.DUMMYFUNCTION("GOOGLETRANSLATE(A8891, ""en"", ""mt"")"),"Panthers")</f>
        <v>Panthers</v>
      </c>
    </row>
    <row r="8892" ht="15.75" customHeight="1">
      <c r="A8892" s="2" t="s">
        <v>8892</v>
      </c>
      <c r="B8892" s="2" t="str">
        <f>IFERROR(__xludf.DUMMYFUNCTION("GOOGLETRANSLATE(A8892, ""en"", ""mt"")"),"Għalliema spiritwali")</f>
        <v>Għalliema spiritwali</v>
      </c>
    </row>
    <row r="8893" ht="15.75" customHeight="1">
      <c r="A8893" s="2" t="s">
        <v>8893</v>
      </c>
      <c r="B8893" s="2" t="str">
        <f>IFERROR(__xludf.DUMMYFUNCTION("GOOGLETRANSLATE(A8893, ""en"", ""mt"")"),"Analiżi tal-filoġenija molekulari kkonfermat li ċ-ċidippidi mhumiex xiex?")</f>
        <v>Analiżi tal-filoġenija molekulari kkonfermat li ċ-ċidippidi mhumiex xiex?</v>
      </c>
    </row>
    <row r="8894" ht="15.75" customHeight="1">
      <c r="A8894" s="2" t="s">
        <v>8894</v>
      </c>
      <c r="B8894" s="2" t="str">
        <f>IFERROR(__xludf.DUMMYFUNCTION("GOOGLETRANSLATE(A8894, ""en"", ""mt"")"),"Mawdryn undead")</f>
        <v>Mawdryn undead</v>
      </c>
    </row>
    <row r="8895" ht="15.75" customHeight="1">
      <c r="A8895" s="2" t="s">
        <v>8895</v>
      </c>
      <c r="B8895" s="2" t="str">
        <f>IFERROR(__xludf.DUMMYFUNCTION("GOOGLETRANSLATE(A8895, ""en"", ""mt"")"),"Magazine tax-Xjenza")</f>
        <v>Magazine tax-Xjenza</v>
      </c>
    </row>
    <row r="8896" ht="15.75" customHeight="1">
      <c r="A8896" s="2" t="s">
        <v>8896</v>
      </c>
      <c r="B8896" s="2" t="str">
        <f>IFERROR(__xludf.DUMMYFUNCTION("GOOGLETRANSLATE(A8896, ""en"", ""mt"")"),"Għaliex id-dikjarazzjoni hija dubjuża f'għajnejn l-istudjużi?")</f>
        <v>Għaliex id-dikjarazzjoni hija dubjuża f'għajnejn l-istudjużi?</v>
      </c>
    </row>
    <row r="8897" ht="15.75" customHeight="1">
      <c r="A8897" s="2" t="s">
        <v>8897</v>
      </c>
      <c r="B8897" s="2" t="str">
        <f>IFERROR(__xludf.DUMMYFUNCTION("GOOGLETRANSLATE(A8897, ""en"", ""mt"")"),"Meta l-Ħadd filgħaxija kien premiere tal-futbol fuq NBC?")</f>
        <v>Meta l-Ħadd filgħaxija kien premiere tal-futbol fuq NBC?</v>
      </c>
    </row>
    <row r="8898" ht="15.75" customHeight="1">
      <c r="A8898" s="2" t="s">
        <v>8898</v>
      </c>
      <c r="B8898" s="2" t="str">
        <f>IFERROR(__xludf.DUMMYFUNCTION("GOOGLETRANSLATE(A8898, ""en"", ""mt"")"),"Torchwood: Jum Miracle")</f>
        <v>Torchwood: Jum Miracle</v>
      </c>
    </row>
    <row r="8899" ht="15.75" customHeight="1">
      <c r="A8899" s="2" t="s">
        <v>8899</v>
      </c>
      <c r="B8899" s="2" t="str">
        <f>IFERROR(__xludf.DUMMYFUNCTION("GOOGLETRANSLATE(A8899, ""en"", ""mt"")"),"Prodott ta 'primes")</f>
        <v>Prodott ta 'primes</v>
      </c>
    </row>
    <row r="8900" ht="15.75" customHeight="1">
      <c r="A8900" s="2" t="s">
        <v>8900</v>
      </c>
      <c r="B8900" s="2" t="str">
        <f>IFERROR(__xludf.DUMMYFUNCTION("GOOGLETRANSLATE(A8900, ""en"", ""mt"")"),"X'tip ta 'edukazzjoni xi kultant huwa preżenti fl-iskejjel reliġjużi minbarra l-kurrikulu sekulari?")</f>
        <v>X'tip ta 'edukazzjoni xi kultant huwa preżenti fl-iskejjel reliġjużi minbarra l-kurrikulu sekulari?</v>
      </c>
    </row>
    <row r="8901" ht="15.75" customHeight="1">
      <c r="A8901" s="2" t="s">
        <v>8901</v>
      </c>
      <c r="B8901" s="2" t="str">
        <f>IFERROR(__xludf.DUMMYFUNCTION("GOOGLETRANSLATE(A8901, ""en"", ""mt"")"),"Is-Sarah Jane Adventures, ikkaratterizzata minn Elisabeth Sladen li reġgħet qajmet ir-rwol tagħha bħala ġurnalista investigattiva Sarah Jane Smith, ġiet żviluppata minn CBBC; Speċjali mxandra fil-Jum tas-Sena l-Ġdida 2007 u serje sħiħa bdiet fl-24 ta 'Set"&amp;"tembru 2007. It-tieni serje segwita fl-2008, notevoli għal (kif innotat hawn fuq) li tidher ir-ritorn tal-Brigadier Lethbridge-Stewart. Terz fl-2009 deher dehra ta 'crossover mill-ispettaklu ewlieni ta' David Tennant bħala l-għaxar tabib. Fl-2010, dehra o"&amp;"ħra bħal din dehret lil Matt Smith bħala l-Ħdax-il Tabib flimkien mal-ex-attriċi ta 'ħbieb Katy Manning li terġa' tirrapreżenta r-rwol tagħha bħala Jo Grant. Il-ħames serje finali, bi tliet istadji ġiet trasmessa fil-ħarifa 2011 - mhux kompluta minħabba l"&amp;"-mewt ta 'Elisabeth Sladen fil-bidu tal-2011.")</f>
        <v>Is-Sarah Jane Adventures, ikkaratterizzata minn Elisabeth Sladen li reġgħet qajmet ir-rwol tagħha bħala ġurnalista investigattiva Sarah Jane Smith, ġiet żviluppata minn CBBC; Speċjali mxandra fil-Jum tas-Sena l-Ġdida 2007 u serje sħiħa bdiet fl-24 ta 'Settembru 2007. It-tieni serje segwita fl-2008, notevoli għal (kif innotat hawn fuq) li tidher ir-ritorn tal-Brigadier Lethbridge-Stewart. Terz fl-2009 deher dehra ta 'crossover mill-ispettaklu ewlieni ta' David Tennant bħala l-għaxar tabib. Fl-2010, dehra oħra bħal din dehret lil Matt Smith bħala l-Ħdax-il Tabib flimkien mal-ex-attriċi ta 'ħbieb Katy Manning li terġa' tirrapreżenta r-rwol tagħha bħala Jo Grant. Il-ħames serje finali, bi tliet istadji ġiet trasmessa fil-ħarifa 2011 - mhux kompluta minħabba l-mewt ta 'Elisabeth Sladen fil-bidu tal-2011.</v>
      </c>
    </row>
    <row r="8902" ht="15.75" customHeight="1">
      <c r="A8902" s="2" t="s">
        <v>8902</v>
      </c>
      <c r="B8902" s="2" t="str">
        <f>IFERROR(__xludf.DUMMYFUNCTION("GOOGLETRANSLATE(A8902, ""en"", ""mt"")"),"ċertifikazzjoni minn korp rikonoxxut")</f>
        <v>ċertifikazzjoni minn korp rikonoxxut</v>
      </c>
    </row>
    <row r="8903" ht="15.75" customHeight="1">
      <c r="A8903" s="2" t="s">
        <v>8903</v>
      </c>
      <c r="B8903" s="2" t="str">
        <f>IFERROR(__xludf.DUMMYFUNCTION("GOOGLETRANSLATE(A8903, ""en"", ""mt"")"),"Il-Knisja Metodista Magħquda ssostni li l-gwerra hija inkompatibbli mal-messaġġ u t-tagħlim ta ’Kristu. Għalhekk, il-knisja tirrifjuta l-gwerra bħala strument tal-politika barranija nazzjonali, li għandha tkun impjegata biss bħala l-aħħar rimedju fil-prev"&amp;"enzjoni ta 'ħażen bħal ġenoċidju, soppressjoni brutali tad-drittijiet tal-bniedem, u aggressjoni internazzjonali mhux provokata. Dan jinsisti li l-ewwel dmir morali tan-nazzjonijiet kollha huwa li ssolvi b'mezzi paċifiċi li tinqala 'bejn jew bejniethom; l"&amp;"i l-valuri umani għandhom jiżbqu t-talbiet militari hekk kif il-gvernijiet jiddeterminaw il-prijoritajiet tagħhom; li l-militarizzazzjoni tas-soċjetà trid tiġi kkontestata u waqfet; li l-manifattura, il-bejgħ, u l-iskjerament ta 'armamenti għandhom jitnaq"&amp;"qsu u jiġu kkontrollati; u li l-produzzjoni, il-pussess, jew l-użu ta 'armi nukleari jiġu kkundannati. Konsegwentement, il-Knisja Metodista Magħquda tapprova diżarm ġenerali u komplet taħt kontroll internazzjonali strett u effettiv.")</f>
        <v>Il-Knisja Metodista Magħquda ssostni li l-gwerra hija inkompatibbli mal-messaġġ u t-tagħlim ta ’Kristu. Għalhekk, il-knisja tirrifjuta l-gwerra bħala strument tal-politika barranija nazzjonali, li għandha tkun impjegata biss bħala l-aħħar rimedju fil-prevenzjoni ta 'ħażen bħal ġenoċidju, soppressjoni brutali tad-drittijiet tal-bniedem, u aggressjoni internazzjonali mhux provokata. Dan jinsisti li l-ewwel dmir morali tan-nazzjonijiet kollha huwa li ssolvi b'mezzi paċifiċi li tinqala 'bejn jew bejniethom; li l-valuri umani għandhom jiżbqu t-talbiet militari hekk kif il-gvernijiet jiddeterminaw il-prijoritajiet tagħhom; li l-militarizzazzjoni tas-soċjetà trid tiġi kkontestata u waqfet; li l-manifattura, il-bejgħ, u l-iskjerament ta 'armamenti għandhom jitnaqqsu u jiġu kkontrollati; u li l-produzzjoni, il-pussess, jew l-użu ta 'armi nukleari jiġu kkundannati. Konsegwentement, il-Knisja Metodista Magħquda tapprova diżarm ġenerali u komplet taħt kontroll internazzjonali strett u effettiv.</v>
      </c>
    </row>
    <row r="8904" ht="15.75" customHeight="1">
      <c r="A8904" s="2" t="s">
        <v>8904</v>
      </c>
      <c r="B8904" s="2" t="str">
        <f>IFERROR(__xludf.DUMMYFUNCTION("GOOGLETRANSLATE(A8904, ""en"", ""mt"")"),"il-kolja Tesla")</f>
        <v>il-kolja Tesla</v>
      </c>
    </row>
    <row r="8905" ht="15.75" customHeight="1">
      <c r="A8905" s="2" t="s">
        <v>8905</v>
      </c>
      <c r="B8905" s="2" t="str">
        <f>IFERROR(__xludf.DUMMYFUNCTION("GOOGLETRANSLATE(A8905, ""en"", ""mt"")"),"Minn liema pjaneta jiġu d-Daleks?")</f>
        <v>Minn liema pjaneta jiġu d-Daleks?</v>
      </c>
    </row>
    <row r="8906" ht="15.75" customHeight="1">
      <c r="A8906" s="2" t="s">
        <v>8906</v>
      </c>
      <c r="B8906" s="2" t="str">
        <f>IFERROR(__xludf.DUMMYFUNCTION("GOOGLETRANSLATE(A8906, ""en"", ""mt"")"),"huwa inkompatibbli mal-messaġġ u t-tagħlim ta 'Kristu.")</f>
        <v>huwa inkompatibbli mal-messaġġ u t-tagħlim ta 'Kristu.</v>
      </c>
    </row>
    <row r="8907" ht="15.75" customHeight="1">
      <c r="A8907" s="2" t="s">
        <v>8907</v>
      </c>
      <c r="B8907" s="2" t="str">
        <f>IFERROR(__xludf.DUMMYFUNCTION("GOOGLETRANSLATE(A8907, ""en"", ""mt"")"),"Matul liema perjodu rnexxielhom Fresno downtown?")</f>
        <v>Matul liema perjodu rnexxielhom Fresno downtown?</v>
      </c>
    </row>
    <row r="8908" ht="15.75" customHeight="1">
      <c r="A8908" s="2" t="s">
        <v>8908</v>
      </c>
      <c r="B8908" s="2" t="str">
        <f>IFERROR(__xludf.DUMMYFUNCTION("GOOGLETRANSLATE(A8908, ""en"", ""mt"")"),"Drogi anti-infjammatorji spiss jintużaw biex jikkontrollaw l-effetti ta 'infjammazzjoni. Il-glukokortikojdi huma l-aktar qawwija minn dawn il-mediċini; Madankollu, dawn il-mediċini jista 'jkollhom ħafna effetti sekondarji mhux mixtieqa, bħal obeżità ċentr"&amp;"ali, ipergliċemija, osteoporożi, u l-użu tagħhom għandu jkun ikkontrollat ​​sewwa. Dożi aktar baxxi ta 'mediċini anti-infjammatorji ħafna drabi jintużaw flimkien ma' mediċini ċitotossiċi jew immunosoppressivi bħal methotrexate jew azathioprine. Drogi ċito"&amp;"tossiċi jinibixxu r-rispons immuni billi joqtlu ċelloli diviżorji bħal ċelloli T attivati. Madankollu, il-qtil huwa indiskriminat u ċelloli oħra li jinqasmu kontinwament u l-organi tagħhom huma affettwati, u dan jikkawża effetti sekondarji tossiċi. Drogi "&amp;"immunosoppressivi bħal cyclosporin jipprevjenu ċ-ċelloli T milli jirrispondu għal sinjali b'mod korrett billi jinibixxu l-mogħdijiet ta 'transduzzjoni tas-sinjal.")</f>
        <v>Drogi anti-infjammatorji spiss jintużaw biex jikkontrollaw l-effetti ta 'infjammazzjoni. Il-glukokortikojdi huma l-aktar qawwija minn dawn il-mediċini; Madankollu, dawn il-mediċini jista 'jkollhom ħafna effetti sekondarji mhux mixtieqa, bħal obeżità ċentrali, ipergliċemija, osteoporożi, u l-użu tagħhom għandu jkun ikkontrollat ​​sewwa. Dożi aktar baxxi ta 'mediċini anti-infjammatorji ħafna drabi jintużaw flimkien ma' mediċini ċitotossiċi jew immunosoppressivi bħal methotrexate jew azathioprine. Drogi ċitotossiċi jinibixxu r-rispons immuni billi joqtlu ċelloli diviżorji bħal ċelloli T attivati. Madankollu, il-qtil huwa indiskriminat u ċelloli oħra li jinqasmu kontinwament u l-organi tagħhom huma affettwati, u dan jikkawża effetti sekondarji tossiċi. Drogi immunosoppressivi bħal cyclosporin jipprevjenu ċ-ċelloli T milli jirrispondu għal sinjali b'mod korrett billi jinibixxu l-mogħdijiet ta 'transduzzjoni tas-sinjal.</v>
      </c>
    </row>
    <row r="8909" ht="15.75" customHeight="1">
      <c r="A8909" s="2" t="s">
        <v>8909</v>
      </c>
      <c r="B8909" s="2" t="str">
        <f>IFERROR(__xludf.DUMMYFUNCTION("GOOGLETRANSLATE(A8909, ""en"", ""mt"")"),"F'liema sena beda William MacLure l-proċess tal-ħolqien tal-ewwel mappa ġeoloġika tal-Istati Uniti?")</f>
        <v>F'liema sena beda William MacLure l-proċess tal-ħolqien tal-ewwel mappa ġeoloġika tal-Istati Uniti?</v>
      </c>
    </row>
    <row r="8910" ht="15.75" customHeight="1">
      <c r="A8910" s="2" t="s">
        <v>8910</v>
      </c>
      <c r="B8910" s="2" t="str">
        <f>IFERROR(__xludf.DUMMYFUNCTION("GOOGLETRANSLATE(A8910, ""en"", ""mt"")"),"125p")</f>
        <v>125p</v>
      </c>
    </row>
    <row r="8911" ht="15.75" customHeight="1">
      <c r="A8911" s="2" t="s">
        <v>8911</v>
      </c>
      <c r="B8911" s="2" t="str">
        <f>IFERROR(__xludf.DUMMYFUNCTION("GOOGLETRANSLATE(A8911, ""en"", ""mt"")"),"1795")</f>
        <v>1795</v>
      </c>
    </row>
    <row r="8912" ht="15.75" customHeight="1">
      <c r="A8912" s="2" t="s">
        <v>8912</v>
      </c>
      <c r="B8912" s="2" t="str">
        <f>IFERROR(__xludf.DUMMYFUNCTION("GOOGLETRANSLATE(A8912, ""en"", ""mt"")"),"Min kien ABC Great Stati mibjugħa lilha fl-1974?")</f>
        <v>Min kien ABC Great Stati mibjugħa lilha fl-1974?</v>
      </c>
    </row>
    <row r="8913" ht="15.75" customHeight="1">
      <c r="A8913" s="2" t="s">
        <v>8913</v>
      </c>
      <c r="B8913" s="2" t="str">
        <f>IFERROR(__xludf.DUMMYFUNCTION("GOOGLETRANSLATE(A8913, ""en"", ""mt"")"),"Għandhom ikunu rrakkomandati mill-konferenza tar-ragħaj u tal-knisja tagħhom jew tal-konferenza tal-ħlas, u jlestu l-kors bażiku għal lajk")</f>
        <v>Għandhom ikunu rrakkomandati mill-konferenza tar-ragħaj u tal-knisja tagħhom jew tal-konferenza tal-ħlas, u jlestu l-kors bażiku għal lajk</v>
      </c>
    </row>
    <row r="8914" ht="15.75" customHeight="1">
      <c r="A8914" s="2" t="s">
        <v>8914</v>
      </c>
      <c r="B8914" s="2" t="str">
        <f>IFERROR(__xludf.DUMMYFUNCTION("GOOGLETRANSLATE(A8914, ""en"", ""mt"")"),"V8 u sitt ċilindru")</f>
        <v>V8 u sitt ċilindru</v>
      </c>
    </row>
    <row r="8915" ht="15.75" customHeight="1">
      <c r="A8915" s="2" t="s">
        <v>8915</v>
      </c>
      <c r="B8915" s="2" t="str">
        <f>IFERROR(__xludf.DUMMYFUNCTION("GOOGLETRANSLATE(A8915, ""en"", ""mt"")"),"L-Imperu Ruman")</f>
        <v>L-Imperu Ruman</v>
      </c>
    </row>
    <row r="8916" ht="15.75" customHeight="1">
      <c r="A8916" s="2" t="s">
        <v>8916</v>
      </c>
      <c r="B8916" s="2" t="str">
        <f>IFERROR(__xludf.DUMMYFUNCTION("GOOGLETRANSLATE(A8916, ""en"", ""mt"")"),"Genghis Khan huwa kkreditat li ġab it-triq tal-ħarir taħt ambjent politiku koeżiv wieħed. Dan ippermetta żieda fil-komunikazzjoni u l-kummerċ bejn il-Punent, il-Lvant Nofsani u l-Asja, u b'hekk tespandi l-orizzonti tat-tliet żoni kulturali kollha. Xi stor"&amp;"iċi nnotaw li Genghis Khan waqqaf ċerti livelli ta 'meritokrazija fir-regola tiegħu, kien tolleranti għar-reliġjonijiet u spjega l-politiki tiegħu b'mod ċar lis-suldati kollha tiegħu. Fit-Turkija, Genghis Khan huwa meqjus bħala mexxej militari kbir, u huw"&amp;"a popolari għat-tfal maskili li jġorru t-titlu tiegħu bħala isem.")</f>
        <v>Genghis Khan huwa kkreditat li ġab it-triq tal-ħarir taħt ambjent politiku koeżiv wieħed. Dan ippermetta żieda fil-komunikazzjoni u l-kummerċ bejn il-Punent, il-Lvant Nofsani u l-Asja, u b'hekk tespandi l-orizzonti tat-tliet żoni kulturali kollha. Xi storiċi nnotaw li Genghis Khan waqqaf ċerti livelli ta 'meritokrazija fir-regola tiegħu, kien tolleranti għar-reliġjonijiet u spjega l-politiki tiegħu b'mod ċar lis-suldati kollha tiegħu. Fit-Turkija, Genghis Khan huwa meqjus bħala mexxej militari kbir, u huwa popolari għat-tfal maskili li jġorru t-titlu tiegħu bħala isem.</v>
      </c>
    </row>
    <row r="8917" ht="15.75" customHeight="1">
      <c r="A8917" s="2" t="s">
        <v>8917</v>
      </c>
      <c r="B8917" s="2" t="str">
        <f>IFERROR(__xludf.DUMMYFUNCTION("GOOGLETRANSLATE(A8917, ""en"", ""mt"")"),"L-isem tal-logħba tal-kampjonat NFL huwa?")</f>
        <v>L-isem tal-logħba tal-kampjonat NFL huwa?</v>
      </c>
    </row>
    <row r="8918" ht="15.75" customHeight="1">
      <c r="A8918" s="2" t="s">
        <v>8918</v>
      </c>
      <c r="B8918" s="2" t="str">
        <f>IFERROR(__xludf.DUMMYFUNCTION("GOOGLETRANSLATE(A8918, ""en"", ""mt"")"),"Fl-Afganistan, ir-rebħa tal-Mujahideen kontra l-Unjoni Sovjetika fis-snin 80 ma wasslitx għall-ġustizzja u l-prosperità, minħabba gwerra ċivili vizzjuża u distruttiva bejn il-kmandanti tal-gwerra politiċi u tribali, li għamlet l-Afganistan wieħed mill-ifq"&amp;"ar pajjiżi fid-dinja. Fl-1992, ir-Repubblika Demokratika ta 'l-Afganistan immexxija mill-forzi komunisti waqa', u l-elementi Iżlamisti Demokratiċi ta 'Mujahdeen waqqfu l-Istat Iżlamiku ta' l-Afganistan. Fl-1996, moviment Iżlamista aktar konservattiv u ant"&amp;"i-demokratiku magħruf bħala t-Taliban tela 'għall-poter, għeleb ħafna mill-kmandanti tal-gwerra u ħa madwar 80% tal-Afganistan.")</f>
        <v>Fl-Afganistan, ir-rebħa tal-Mujahideen kontra l-Unjoni Sovjetika fis-snin 80 ma wasslitx għall-ġustizzja u l-prosperità, minħabba gwerra ċivili vizzjuża u distruttiva bejn il-kmandanti tal-gwerra politiċi u tribali, li għamlet l-Afganistan wieħed mill-ifqar pajjiżi fid-dinja. Fl-1992, ir-Repubblika Demokratika ta 'l-Afganistan immexxija mill-forzi komunisti waqa', u l-elementi Iżlamisti Demokratiċi ta 'Mujahdeen waqqfu l-Istat Iżlamiku ta' l-Afganistan. Fl-1996, moviment Iżlamista aktar konservattiv u anti-demokratiku magħruf bħala t-Taliban tela 'għall-poter, għeleb ħafna mill-kmandanti tal-gwerra u ħa madwar 80% tal-Afganistan.</v>
      </c>
    </row>
    <row r="8919" ht="15.75" customHeight="1">
      <c r="A8919" s="2" t="s">
        <v>8919</v>
      </c>
      <c r="B8919" s="2" t="str">
        <f>IFERROR(__xludf.DUMMYFUNCTION("GOOGLETRANSLATE(A8919, ""en"", ""mt"")"),"X’għamel ma ’Wardenclyffe?")</f>
        <v>X’għamel ma ’Wardenclyffe?</v>
      </c>
    </row>
    <row r="8920" ht="15.75" customHeight="1">
      <c r="A8920" s="2" t="s">
        <v>8920</v>
      </c>
      <c r="B8920" s="2" t="str">
        <f>IFERROR(__xludf.DUMMYFUNCTION("GOOGLETRANSLATE(A8920, ""en"", ""mt"")"),"Għall-ewwel, x’għamlu l-ossiġnu u l-ħadid biex jiffurmaw?")</f>
        <v>Għall-ewwel, x’għamlu l-ossiġnu u l-ħadid biex jiffurmaw?</v>
      </c>
    </row>
    <row r="8921" ht="15.75" customHeight="1">
      <c r="A8921" s="2" t="s">
        <v>8921</v>
      </c>
      <c r="B8921" s="2" t="str">
        <f>IFERROR(__xludf.DUMMYFUNCTION("GOOGLETRANSLATE(A8921, ""en"", ""mt"")"),"Liema tip ta 'qasam ġeneralment jintgħażel għal-logħob tas-Super Bowl?")</f>
        <v>Liema tip ta 'qasam ġeneralment jintgħażel għal-logħob tas-Super Bowl?</v>
      </c>
    </row>
    <row r="8922" ht="15.75" customHeight="1">
      <c r="A8922" s="2" t="s">
        <v>8922</v>
      </c>
      <c r="B8922" s="2" t="str">
        <f>IFERROR(__xludf.DUMMYFUNCTION("GOOGLETRANSLATE(A8922, ""en"", ""mt"")"),"Kosta tad-Danimarka")</f>
        <v>Kosta tad-Danimarka</v>
      </c>
    </row>
    <row r="8923" ht="15.75" customHeight="1">
      <c r="A8923" s="2" t="s">
        <v>8923</v>
      </c>
      <c r="B8923" s="2" t="str">
        <f>IFERROR(__xludf.DUMMYFUNCTION("GOOGLETRANSLATE(A8923, ""en"", ""mt"")"),"fantaxjenza")</f>
        <v>fantaxjenza</v>
      </c>
    </row>
    <row r="8924" ht="15.75" customHeight="1">
      <c r="A8924" s="2" t="s">
        <v>8924</v>
      </c>
      <c r="B8924" s="2" t="str">
        <f>IFERROR(__xludf.DUMMYFUNCTION("GOOGLETRANSLATE(A8924, ""en"", ""mt"")"),"tankers iżolati")</f>
        <v>tankers iżolati</v>
      </c>
    </row>
    <row r="8925" ht="15.75" customHeight="1">
      <c r="A8925" s="2" t="s">
        <v>8925</v>
      </c>
      <c r="B8925" s="2" t="str">
        <f>IFERROR(__xludf.DUMMYFUNCTION("GOOGLETRANSLATE(A8925, ""en"", ""mt"")"),"Khwarezmid")</f>
        <v>Khwarezmid</v>
      </c>
    </row>
    <row r="8926" ht="15.75" customHeight="1">
      <c r="A8926" s="2" t="s">
        <v>8926</v>
      </c>
      <c r="B8926" s="2" t="str">
        <f>IFERROR(__xludf.DUMMYFUNCTION("GOOGLETRANSLATE(A8926, ""en"", ""mt"")"),"Erġa 'jġib il-kitbiet tiegħu")</f>
        <v>Erġa 'jġib il-kitbiet tiegħu</v>
      </c>
    </row>
    <row r="8927" ht="15.75" customHeight="1">
      <c r="A8927" s="2" t="s">
        <v>8927</v>
      </c>
      <c r="B8927" s="2" t="str">
        <f>IFERROR(__xludf.DUMMYFUNCTION("GOOGLETRANSLATE(A8927, ""en"", ""mt"")"),"Odo")</f>
        <v>Odo</v>
      </c>
    </row>
    <row r="8928" ht="15.75" customHeight="1">
      <c r="A8928" s="2" t="s">
        <v>8928</v>
      </c>
      <c r="B8928" s="2" t="str">
        <f>IFERROR(__xludf.DUMMYFUNCTION("GOOGLETRANSLATE(A8928, ""en"", ""mt"")"),"magħluqin skejjel Huguenot u eskludewhom minn professjonijiet favoriti")</f>
        <v>magħluqin skejjel Huguenot u eskludewhom minn professjonijiet favoriti</v>
      </c>
    </row>
    <row r="8929" ht="15.75" customHeight="1">
      <c r="A8929" s="2" t="s">
        <v>8929</v>
      </c>
      <c r="B8929" s="2" t="str">
        <f>IFERROR(__xludf.DUMMYFUNCTION("GOOGLETRANSLATE(A8929, ""en"", ""mt"")"),"Meta t-tribujiet Ġermaniċi qasmu r-Renu biex jemigraw?")</f>
        <v>Meta t-tribujiet Ġermaniċi qasmu r-Renu biex jemigraw?</v>
      </c>
    </row>
    <row r="8930" ht="15.75" customHeight="1">
      <c r="A8930" s="2" t="s">
        <v>8930</v>
      </c>
      <c r="B8930" s="2" t="str">
        <f>IFERROR(__xludf.DUMMYFUNCTION("GOOGLETRANSLATE(A8930, ""en"", ""mt"")"),"Deforestazzjoni fuq il-klima reġjonali")</f>
        <v>Deforestazzjoni fuq il-klima reġjonali</v>
      </c>
    </row>
    <row r="8931" ht="15.75" customHeight="1">
      <c r="A8931" s="2" t="s">
        <v>8931</v>
      </c>
      <c r="B8931" s="2" t="str">
        <f>IFERROR(__xludf.DUMMYFUNCTION("GOOGLETRANSLATE(A8931, ""en"", ""mt"")"),"esplorat in-nisel tal-mużika medjevali u l-istrumentazzjoni u rrelata kif dawk ikkontribwew għall-mużika kontemporanja 500 sena wara")</f>
        <v>esplorat in-nisel tal-mużika medjevali u l-istrumentazzjoni u rrelata kif dawk ikkontribwew għall-mużika kontemporanja 500 sena wara</v>
      </c>
    </row>
    <row r="8932" ht="15.75" customHeight="1">
      <c r="A8932" s="2" t="s">
        <v>8932</v>
      </c>
      <c r="B8932" s="2" t="str">
        <f>IFERROR(__xludf.DUMMYFUNCTION("GOOGLETRANSLATE(A8932, ""en"", ""mt"")"),"Għaliex Westinghouse ma żgurax brevett għal mutur simili?")</f>
        <v>Għaliex Westinghouse ma żgurax brevett għal mutur simili?</v>
      </c>
    </row>
    <row r="8933" ht="15.75" customHeight="1">
      <c r="A8933" s="2" t="s">
        <v>8933</v>
      </c>
      <c r="B8933" s="2" t="str">
        <f>IFERROR(__xludf.DUMMYFUNCTION("GOOGLETRANSLATE(A8933, ""en"", ""mt"")"),"Billi tassumi l-kompitu li jiġu interpretati t-trattati, u taċċellera l-integrazzjoni ekonomika u politika")</f>
        <v>Billi tassumi l-kompitu li jiġu interpretati t-trattati, u taċċellera l-integrazzjoni ekonomika u politika</v>
      </c>
    </row>
    <row r="8934" ht="15.75" customHeight="1">
      <c r="A8934" s="2" t="s">
        <v>8934</v>
      </c>
      <c r="B8934" s="2" t="str">
        <f>IFERROR(__xludf.DUMMYFUNCTION("GOOGLETRANSLATE(A8934, ""en"", ""mt"")"),"L-Ewropa, l-Amerika ta ’Fuq, l-Asja u l-Afrika ta’ Fuq")</f>
        <v>L-Ewropa, l-Amerika ta ’Fuq, l-Asja u l-Afrika ta’ Fuq</v>
      </c>
    </row>
    <row r="8935" ht="15.75" customHeight="1">
      <c r="A8935" s="2" t="s">
        <v>8935</v>
      </c>
      <c r="B8935" s="2" t="str">
        <f>IFERROR(__xludf.DUMMYFUNCTION("GOOGLETRANSLATE(A8935, ""en"", ""mt"")"),"Imblokk Brittaniku")</f>
        <v>Imblokk Brittaniku</v>
      </c>
    </row>
    <row r="8936" ht="15.75" customHeight="1">
      <c r="A8936" s="2" t="s">
        <v>8936</v>
      </c>
      <c r="B8936" s="2" t="str">
        <f>IFERROR(__xludf.DUMMYFUNCTION("GOOGLETRANSLATE(A8936, ""en"", ""mt"")"),"Merit Network, Inc., korporazzjoni indipendenti bla skop ta 'qligħ 501 (c) (3) regolata mill-universitajiet pubbliċi ta' Michigan, ġiet iffurmata fl-1966 bħala l-informazzjoni dwar ir-riċerka edukattiva ta 'Michigan biex tesplora netwerking tal-kompjuter "&amp;"bejn tlieta mill-universitajiet pubbliċi ta' Michigan bħala mezz għal tgħin l-iżvilupp edukattiv u ekonomiku tal-istat. Bl-appoġġ inizjali mill-Istat ta 'Michigan u l-Fondazzjoni Nazzjonali tax-Xjenza (NSF), in-netwerk li jinxtegħel il-pakketti l-ewwel in"&amp;"twera f'Diċembru 1971 meta sar konnessjoni interattiva għall-ospitanti bejn is-sistemi tal-kompjuter IBM Mainframe fl-Università ta' Michigan f'Ann f'Ann Arbor u Wayne State University f'Detroit. F’Ottubru 1972 il-konnessjonijiet mal-mainframe CDC fil-Mic"&amp;"higan State University fil-East Lansing temmew it-Triad. Matul id-diversi snin li ġejjin minbarra l-ospitanti biex jospitaw konnessjonijiet interattivi n-netwerk kien imsaħħaħ biex jappoġġja t-terminal għal konnessjonijiet ospitanti, ospitanti għal konnes"&amp;"sjonijiet tal-lott ospitanti (sottomissjoni ta 'impjiegi remoti, stampar mill-bogħod, trasferiment ta' fajls tal-lott), trasferiment ta 'fajl interattiv, gateways għat-Tymnet u Networks tad-Dejta Pubblika tat-Telenet, X.25 Attachments ospitanti, Gateways "&amp;"għal X.25 Networks tad-Dejta, Ethernet Hosts mehmuża, u eventwalment TCP / IP u universitajiet pubbliċi addizzjonali fil-Michigan jingħaqdu man-netwerk. Dan kollu stabbilixxa l-istadju għar-rwol ta 'Merit fil-proġett NSFNET li jibda f'nofs is-snin 1980.")</f>
        <v>Merit Network, Inc., korporazzjoni indipendenti bla skop ta 'qligħ 501 (c) (3) regolata mill-universitajiet pubbliċi ta' Michigan, ġiet iffurmata fl-1966 bħala l-informazzjoni dwar ir-riċerka edukattiva ta 'Michigan biex tesplora netwerking tal-kompjuter bejn tlieta mill-universitajiet pubbliċi ta' Michigan bħala mezz għal tgħin l-iżvilupp edukattiv u ekonomiku tal-istat. Bl-appoġġ inizjali mill-Istat ta 'Michigan u l-Fondazzjoni Nazzjonali tax-Xjenza (NSF), in-netwerk li jinxtegħel il-pakketti l-ewwel intwera f'Diċembru 1971 meta sar konnessjoni interattiva għall-ospitanti bejn is-sistemi tal-kompjuter IBM Mainframe fl-Università ta' Michigan f'Ann f'Ann Arbor u Wayne State University f'Detroit. F’Ottubru 1972 il-konnessjonijiet mal-mainframe CDC fil-Michigan State University fil-East Lansing temmew it-Triad. Matul id-diversi snin li ġejjin minbarra l-ospitanti biex jospitaw konnessjonijiet interattivi n-netwerk kien imsaħħaħ biex jappoġġja t-terminal għal konnessjonijiet ospitanti, ospitanti għal konnessjonijiet tal-lott ospitanti (sottomissjoni ta 'impjiegi remoti, stampar mill-bogħod, trasferiment ta' fajls tal-lott), trasferiment ta 'fajl interattiv, gateways għat-Tymnet u Networks tad-Dejta Pubblika tat-Telenet, X.25 Attachments ospitanti, Gateways għal X.25 Networks tad-Dejta, Ethernet Hosts mehmuża, u eventwalment TCP / IP u universitajiet pubbliċi addizzjonali fil-Michigan jingħaqdu man-netwerk. Dan kollu stabbilixxa l-istadju għar-rwol ta 'Merit fil-proġett NSFNET li jibda f'nofs is-snin 1980.</v>
      </c>
    </row>
    <row r="8937" ht="15.75" customHeight="1">
      <c r="A8937" s="2" t="s">
        <v>8937</v>
      </c>
      <c r="B8937" s="2" t="str">
        <f>IFERROR(__xludf.DUMMYFUNCTION("GOOGLETRANSLATE(A8937, ""en"", ""mt"")"),"Min jikkontesta l-kunċett ta 'l-ipoteżi tal-kurva Kuznets?")</f>
        <v>Min jikkontesta l-kunċett ta 'l-ipoteżi tal-kurva Kuznets?</v>
      </c>
    </row>
    <row r="8938" ht="15.75" customHeight="1">
      <c r="A8938" s="2" t="s">
        <v>8938</v>
      </c>
      <c r="B8938" s="2" t="str">
        <f>IFERROR(__xludf.DUMMYFUNCTION("GOOGLETRANSLATE(A8938, ""en"", ""mt"")"),"Apollo 20")</f>
        <v>Apollo 20</v>
      </c>
    </row>
    <row r="8939" ht="15.75" customHeight="1">
      <c r="A8939" s="2" t="s">
        <v>8939</v>
      </c>
      <c r="B8939" s="2" t="str">
        <f>IFERROR(__xludf.DUMMYFUNCTION("GOOGLETRANSLATE(A8939, ""en"", ""mt"")"),"Kemm studenti rċivew attenzjoni sesswali mhux mixtieqa minn għalliem jew figura oħra ta 'edukazzjoni?")</f>
        <v>Kemm studenti rċivew attenzjoni sesswali mhux mixtieqa minn għalliem jew figura oħra ta 'edukazzjoni?</v>
      </c>
    </row>
    <row r="8940" ht="15.75" customHeight="1">
      <c r="A8940" s="2" t="s">
        <v>8940</v>
      </c>
      <c r="B8940" s="2" t="str">
        <f>IFERROR(__xludf.DUMMYFUNCTION("GOOGLETRANSLATE(A8940, ""en"", ""mt"")"),"Ċentrali")</f>
        <v>Ċentrali</v>
      </c>
    </row>
    <row r="8941" ht="15.75" customHeight="1">
      <c r="A8941" s="2" t="s">
        <v>8941</v>
      </c>
      <c r="B8941" s="2" t="str">
        <f>IFERROR(__xludf.DUMMYFUNCTION("GOOGLETRANSLATE(A8941, ""en"", ""mt"")"),"X'inhu t-terminu mogħti lill-algoritmi li jużaw bits bl-addoċċ?")</f>
        <v>X'inhu t-terminu mogħti lill-algoritmi li jużaw bits bl-addoċċ?</v>
      </c>
    </row>
    <row r="8942" ht="15.75" customHeight="1">
      <c r="A8942" s="2" t="s">
        <v>8942</v>
      </c>
      <c r="B8942" s="2" t="str">
        <f>IFERROR(__xludf.DUMMYFUNCTION("GOOGLETRANSLATE(A8942, ""en"", ""mt"")"),"stati u gvernijiet")</f>
        <v>stati u gvernijiet</v>
      </c>
    </row>
    <row r="8943" ht="15.75" customHeight="1">
      <c r="A8943" s="2" t="s">
        <v>8943</v>
      </c>
      <c r="B8943" s="2" t="str">
        <f>IFERROR(__xludf.DUMMYFUNCTION("GOOGLETRANSLATE(A8943, ""en"", ""mt"")"),"Artrite, u infezzjoni fil-widna kissru ċilindru tal-widna. F'Diċembru 1544, huwa beda jħoss l-effetti ta 'l-anġina.")</f>
        <v>Artrite, u infezzjoni fil-widna kissru ċilindru tal-widna. F'Diċembru 1544, huwa beda jħoss l-effetti ta 'l-anġina.</v>
      </c>
    </row>
    <row r="8944" ht="15.75" customHeight="1">
      <c r="A8944" s="2" t="s">
        <v>8944</v>
      </c>
      <c r="B8944" s="2" t="str">
        <f>IFERROR(__xludf.DUMMYFUNCTION("GOOGLETRANSLATE(A8944, ""en"", ""mt"")"),"Kemm nies importanti oħra bagħtu ittri?")</f>
        <v>Kemm nies importanti oħra bagħtu ittri?</v>
      </c>
    </row>
    <row r="8945" ht="15.75" customHeight="1">
      <c r="A8945" s="2" t="s">
        <v>8945</v>
      </c>
      <c r="B8945" s="2" t="str">
        <f>IFERROR(__xludf.DUMMYFUNCTION("GOOGLETRANSLATE(A8945, ""en"", ""mt"")"),"X'kienet is-sitwazzjoni finanzjarja ta 'Tesla wara li ġiet sfurzata?")</f>
        <v>X'kienet is-sitwazzjoni finanzjarja ta 'Tesla wara li ġiet sfurzata?</v>
      </c>
    </row>
    <row r="8946" ht="15.75" customHeight="1">
      <c r="A8946" s="2" t="s">
        <v>8946</v>
      </c>
      <c r="B8946" s="2" t="str">
        <f>IFERROR(__xludf.DUMMYFUNCTION("GOOGLETRANSLATE(A8946, ""en"", ""mt"")"),"Jiltaqa 'darbtejn fis-sena fi")</f>
        <v>Jiltaqa 'darbtejn fis-sena fi</v>
      </c>
    </row>
    <row r="8947" ht="15.75" customHeight="1">
      <c r="A8947" s="2" t="s">
        <v>8947</v>
      </c>
      <c r="B8947" s="2" t="str">
        <f>IFERROR(__xludf.DUMMYFUNCTION("GOOGLETRANSLATE(A8947, ""en"", ""mt"")"),"Ħwawar oħra mhux elenkati")</f>
        <v>Ħwawar oħra mhux elenkati</v>
      </c>
    </row>
    <row r="8948" ht="15.75" customHeight="1">
      <c r="A8948" s="2" t="s">
        <v>8948</v>
      </c>
      <c r="B8948" s="2" t="str">
        <f>IFERROR(__xludf.DUMMYFUNCTION("GOOGLETRANSLATE(A8948, ""en"", ""mt"")"),"Liema kumpanija żviluppat l-aktar indikatur tal-magna tal-fwar ta 'suċċess?")</f>
        <v>Liema kumpanija żviluppat l-aktar indikatur tal-magna tal-fwar ta 'suċċess?</v>
      </c>
    </row>
    <row r="8949" ht="15.75" customHeight="1">
      <c r="A8949" s="2" t="s">
        <v>8949</v>
      </c>
      <c r="B8949" s="2" t="str">
        <f>IFERROR(__xludf.DUMMYFUNCTION("GOOGLETRANSLATE(A8949, ""en"", ""mt"")"),"Reklamar tas-Sigaretti")</f>
        <v>Reklamar tas-Sigaretti</v>
      </c>
    </row>
    <row r="8950" ht="15.75" customHeight="1">
      <c r="A8950" s="2" t="s">
        <v>8950</v>
      </c>
      <c r="B8950" s="2" t="str">
        <f>IFERROR(__xludf.DUMMYFUNCTION("GOOGLETRANSLATE(A8950, ""en"", ""mt"")"),"Liema tielet tip ta 'motiv juża kliem kreattiv?")</f>
        <v>Liema tielet tip ta 'motiv juża kliem kreattiv?</v>
      </c>
    </row>
    <row r="8951" ht="15.75" customHeight="1">
      <c r="A8951" s="2" t="s">
        <v>8951</v>
      </c>
      <c r="B8951" s="2" t="str">
        <f>IFERROR(__xludf.DUMMYFUNCTION("GOOGLETRANSLATE(A8951, ""en"", ""mt"")"),"Sir Charles Lyell ippubblika l-ewwel ktieb famuż tiegħu, Principles of Geology, fl-1830. Dan il-ktieb, li influwenza l-ħsieb ta ’Charles Darwin, ippromwova b’suċċess id-duttrina tal-uniformitarjiżmu. Din it-teorija tgħid li proċessi ġeoloġiċi bil-mod seħħ"&amp;"ew matul l-istorja tad-Dinja u għadhom iseħħu sal-lum. B'kuntrast, il-katastrofizmu huwa t-teorija li l-karatteristiċi tad-Dinja ffurmaw f'avvenimenti singoli u katastrofiċi u baqgħu mhux mibdula wara. Għalkemm Hutton emmen fl-uniformitarjiżmu, l-idea ma "&amp;"kinitx aċċettata ħafna dak iż-żmien.")</f>
        <v>Sir Charles Lyell ippubblika l-ewwel ktieb famuż tiegħu, Principles of Geology, fl-1830. Dan il-ktieb, li influwenza l-ħsieb ta ’Charles Darwin, ippromwova b’suċċess id-duttrina tal-uniformitarjiżmu. Din it-teorija tgħid li proċessi ġeoloġiċi bil-mod seħħew matul l-istorja tad-Dinja u għadhom iseħħu sal-lum. B'kuntrast, il-katastrofizmu huwa t-teorija li l-karatteristiċi tad-Dinja ffurmaw f'avvenimenti singoli u katastrofiċi u baqgħu mhux mibdula wara. Għalkemm Hutton emmen fl-uniformitarjiżmu, l-idea ma kinitx aċċettata ħafna dak iż-żmien.</v>
      </c>
    </row>
    <row r="8952" ht="15.75" customHeight="1">
      <c r="A8952" s="2" t="s">
        <v>8952</v>
      </c>
      <c r="B8952" s="2" t="str">
        <f>IFERROR(__xludf.DUMMYFUNCTION("GOOGLETRANSLATE(A8952, ""en"", ""mt"")"),"jista 'jkun ta' interess għal qasam partikolari bħal kostitwenza ta 'membru")</f>
        <v>jista 'jkun ta' interess għal qasam partikolari bħal kostitwenza ta 'membru</v>
      </c>
    </row>
    <row r="8953" ht="15.75" customHeight="1">
      <c r="A8953" s="2" t="s">
        <v>8953</v>
      </c>
      <c r="B8953" s="2" t="str">
        <f>IFERROR(__xludf.DUMMYFUNCTION("GOOGLETRANSLATE(A8953, ""en"", ""mt"")"),"Meta l-attakki fuq l-għalliema kienu l-ogħla?")</f>
        <v>Meta l-attakki fuq l-għalliema kienu l-ogħla?</v>
      </c>
    </row>
    <row r="8954" ht="15.75" customHeight="1">
      <c r="A8954" s="2" t="s">
        <v>8954</v>
      </c>
      <c r="B8954" s="2" t="str">
        <f>IFERROR(__xludf.DUMMYFUNCTION("GOOGLETRANSLATE(A8954, ""en"", ""mt"")"),"Fil-75 anniversarju ta 'Tesla fl-1931, Time Magazine poġġietu fuq il-qoxra tiegħu. Il-cover caption ""id-dinja kollha tad-dinja tiegħu"" innota l-kontribut tiegħu għall-ġenerazzjoni tal-enerġija elettrika. Huwa rċieva ittri ta 'awguri minn aktar minn 70 p"&amp;"ijunier fix-xjenza u l-inġinerija, inkluż Albert Einstein.")</f>
        <v>Fil-75 anniversarju ta 'Tesla fl-1931, Time Magazine poġġietu fuq il-qoxra tiegħu. Il-cover caption "id-dinja kollha tad-dinja tiegħu" innota l-kontribut tiegħu għall-ġenerazzjoni tal-enerġija elettrika. Huwa rċieva ittri ta 'awguri minn aktar minn 70 pijunier fix-xjenza u l-inġinerija, inkluż Albert Einstein.</v>
      </c>
    </row>
    <row r="8955" ht="15.75" customHeight="1">
      <c r="A8955" s="2" t="s">
        <v>8955</v>
      </c>
      <c r="B8955" s="2" t="str">
        <f>IFERROR(__xludf.DUMMYFUNCTION("GOOGLETRANSLATE(A8955, ""en"", ""mt"")"),"apposta jagħmlu ħsara lis-sistema fotosintetika tagħhom")</f>
        <v>apposta jagħmlu ħsara lis-sistema fotosintetika tagħhom</v>
      </c>
    </row>
    <row r="8956" ht="15.75" customHeight="1">
      <c r="A8956" s="2" t="s">
        <v>8956</v>
      </c>
      <c r="B8956" s="2" t="str">
        <f>IFERROR(__xludf.DUMMYFUNCTION("GOOGLETRANSLATE(A8956, ""en"", ""mt"")"),"Min lagħab Doctor Who fuq il-palk fis-snin 70?")</f>
        <v>Min lagħab Doctor Who fuq il-palk fis-snin 70?</v>
      </c>
    </row>
    <row r="8957" ht="15.75" customHeight="1">
      <c r="A8957" s="2" t="s">
        <v>8957</v>
      </c>
      <c r="B8957" s="2" t="str">
        <f>IFERROR(__xludf.DUMMYFUNCTION("GOOGLETRANSLATE(A8957, ""en"", ""mt"")"),"X'kienet l-ispiża tal-avvenimenti l-oħra tas-Super Bowl fiż-żona ta 'San Francisco?")</f>
        <v>X'kienet l-ispiża tal-avvenimenti l-oħra tas-Super Bowl fiż-żona ta 'San Francisco?</v>
      </c>
    </row>
    <row r="8958" ht="15.75" customHeight="1">
      <c r="A8958" s="2" t="s">
        <v>8958</v>
      </c>
      <c r="B8958" s="2" t="str">
        <f>IFERROR(__xludf.DUMMYFUNCTION("GOOGLETRANSLATE(A8958, ""en"", ""mt"")"),"Min kien l-ewwel magħruf Ewropew li jżur iċ-Ċina u jirritorna?")</f>
        <v>Min kien l-ewwel magħruf Ewropew li jżur iċ-Ċina u jirritorna?</v>
      </c>
    </row>
    <row r="8959" ht="15.75" customHeight="1">
      <c r="A8959" s="2" t="s">
        <v>8959</v>
      </c>
      <c r="B8959" s="2" t="str">
        <f>IFERROR(__xludf.DUMMYFUNCTION("GOOGLETRANSLATE(A8959, ""en"", ""mt"")"),"F'liema sena ġie ddikjarat li l-ebda numri Rumani ma jintużaw f'isem il-50 Super Bowl?")</f>
        <v>F'liema sena ġie ddikjarat li l-ebda numri Rumani ma jintużaw f'isem il-50 Super Bowl?</v>
      </c>
    </row>
    <row r="8960" ht="15.75" customHeight="1">
      <c r="A8960" s="2" t="s">
        <v>8960</v>
      </c>
      <c r="B8960" s="2" t="str">
        <f>IFERROR(__xludf.DUMMYFUNCTION("GOOGLETRANSLATE(A8960, ""en"", ""mt"")"),"Il-belt għandha storja kburija tat-teatru. Stephen Kemble tal-famuża familja Kemble ġestiet b’suċċess it-teatru oriġinali Royal, Newcastle għal ħmistax-il sena (1791-1806). Huwa ġab membri tal-famuża familja li taġixxi bħal Sarah Siddons u John Kemble bar"&amp;"ra minn Londra għal Newcastle. Stephen Kemble iggwida t-teatru permezz ta ’bosta staġuni ċċelebrati. It-Teatru Oriġinali Royal fi Newcastle nfetaħ fil-21 ta ’Jannar 1788 u kien jinsab fi Triq Mosley. Ġie mwaqqa 'biex jagħmel triq għal Gray Street, fejn in"&amp;"bena s-sostituzzjoni tagħha.")</f>
        <v>Il-belt għandha storja kburija tat-teatru. Stephen Kemble tal-famuża familja Kemble ġestiet b’suċċess it-teatru oriġinali Royal, Newcastle għal ħmistax-il sena (1791-1806). Huwa ġab membri tal-famuża familja li taġixxi bħal Sarah Siddons u John Kemble barra minn Londra għal Newcastle. Stephen Kemble iggwida t-teatru permezz ta ’bosta staġuni ċċelebrati. It-Teatru Oriġinali Royal fi Newcastle nfetaħ fil-21 ta ’Jannar 1788 u kien jinsab fi Triq Mosley. Ġie mwaqqa 'biex jagħmel triq għal Gray Street, fejn inbena s-sostituzzjoni tagħha.</v>
      </c>
    </row>
    <row r="8961" ht="15.75" customHeight="1">
      <c r="A8961" s="2" t="s">
        <v>8961</v>
      </c>
      <c r="B8961" s="2" t="str">
        <f>IFERROR(__xludf.DUMMYFUNCTION("GOOGLETRANSLATE(A8961, ""en"", ""mt"")"),"Fuq liema għalliem jivvaluta l-livelli ta 'student?")</f>
        <v>Fuq liema għalliem jivvaluta l-livelli ta 'student?</v>
      </c>
    </row>
    <row r="8962" ht="15.75" customHeight="1">
      <c r="A8962" s="2" t="s">
        <v>8962</v>
      </c>
      <c r="B8962" s="2" t="str">
        <f>IFERROR(__xludf.DUMMYFUNCTION("GOOGLETRANSLATE(A8962, ""en"", ""mt"")"),"Kif jintbagħtu l-pakketti normalment")</f>
        <v>Kif jintbagħtu l-pakketti normalment</v>
      </c>
    </row>
    <row r="8963" ht="15.75" customHeight="1">
      <c r="A8963" s="2" t="s">
        <v>8963</v>
      </c>
      <c r="B8963" s="2" t="str">
        <f>IFERROR(__xludf.DUMMYFUNCTION("GOOGLETRANSLATE(A8963, ""en"", ""mt"")"),"Minn min huma kumitati?")</f>
        <v>Minn min huma kumitati?</v>
      </c>
    </row>
    <row r="8964" ht="15.75" customHeight="1">
      <c r="A8964" s="2" t="s">
        <v>8964</v>
      </c>
      <c r="B8964" s="2" t="str">
        <f>IFERROR(__xludf.DUMMYFUNCTION("GOOGLETRANSLATE(A8964, ""en"", ""mt"")"),"Inkluż fil-kollezzjoni V &amp; A hemm it-tieqa tad-dormer datata 1523-35 minn liema chateau Ewropew?")</f>
        <v>Inkluż fil-kollezzjoni V &amp; A hemm it-tieqa tad-dormer datata 1523-35 minn liema chateau Ewropew?</v>
      </c>
    </row>
    <row r="8965" ht="15.75" customHeight="1">
      <c r="A8965" s="2" t="s">
        <v>8965</v>
      </c>
      <c r="B8965" s="2" t="str">
        <f>IFERROR(__xludf.DUMMYFUNCTION("GOOGLETRANSLATE(A8965, ""en"", ""mt"")"),"Is-suċċess tal-Gran Brittanja jista 'jagħmel il-wirja wassal għall-ippjanar ta' liema wirja fl-1951?")</f>
        <v>Is-suċċess tal-Gran Brittanja jista 'jagħmel il-wirja wassal għall-ippjanar ta' liema wirja fl-1951?</v>
      </c>
    </row>
    <row r="8966" ht="15.75" customHeight="1">
      <c r="A8966" s="2" t="s">
        <v>8966</v>
      </c>
      <c r="B8966" s="2" t="str">
        <f>IFERROR(__xludf.DUMMYFUNCTION("GOOGLETRANSLATE(A8966, ""en"", ""mt"")"),"Meta l-Ewropa ġiet forestata kompletament u rkuprata mill-aħħar età tas-silġ?")</f>
        <v>Meta l-Ewropa ġiet forestata kompletament u rkuprata mill-aħħar età tas-silġ?</v>
      </c>
    </row>
    <row r="8967" ht="15.75" customHeight="1">
      <c r="A8967" s="2" t="s">
        <v>8967</v>
      </c>
      <c r="B8967" s="2" t="str">
        <f>IFERROR(__xludf.DUMMYFUNCTION("GOOGLETRANSLATE(A8967, ""en"", ""mt"")"),"Lag überlingen")</f>
        <v>Lag überlingen</v>
      </c>
    </row>
    <row r="8968" ht="15.75" customHeight="1">
      <c r="A8968" s="2" t="s">
        <v>8968</v>
      </c>
      <c r="B8968" s="2" t="str">
        <f>IFERROR(__xludf.DUMMYFUNCTION("GOOGLETRANSLATE(A8968, ""en"", ""mt"")"),"Griegi tal-qedem")</f>
        <v>Griegi tal-qedem</v>
      </c>
    </row>
    <row r="8969" ht="15.75" customHeight="1">
      <c r="A8969" s="2" t="s">
        <v>8969</v>
      </c>
      <c r="B8969" s="2" t="str">
        <f>IFERROR(__xludf.DUMMYFUNCTION("GOOGLETRANSLATE(A8969, ""en"", ""mt"")"),"Kif jidhru t-tweġibiet iva / le ta 'problema ta' kumpliment ta 'NP?")</f>
        <v>Kif jidhru t-tweġibiet iva / le ta 'problema ta' kumpliment ta 'NP?</v>
      </c>
    </row>
    <row r="8970" ht="15.75" customHeight="1">
      <c r="A8970" s="2" t="s">
        <v>8970</v>
      </c>
      <c r="B8970" s="2" t="str">
        <f>IFERROR(__xludf.DUMMYFUNCTION("GOOGLETRANSLATE(A8970, ""en"", ""mt"")"),"Singlet Oxygen")</f>
        <v>Singlet Oxygen</v>
      </c>
    </row>
    <row r="8971" ht="15.75" customHeight="1">
      <c r="A8971" s="2" t="s">
        <v>8971</v>
      </c>
      <c r="B8971" s="2" t="str">
        <f>IFERROR(__xludf.DUMMYFUNCTION("GOOGLETRANSLATE(A8971, ""en"", ""mt"")"),"Id-diżubbidjenti ċivili għażlu varjetà ta 'atti illegali differenti. Bedau jikteb, ""Hemm klassi sħiħa ta 'atti, imwettqa f'isem id-diżubbidjenza ċivili, li, anke jekk kienu pprattikati b'mod wiesa', fihom infushom jikkostitwixxu ftit iktar minn inkonvenj"&amp;"ent (e.g. qbiż f'installazzjoni ta 'missili nukleari). . L-atti ta 'spiss huma biss fastidju u, għall-inqas għall-bystander, kemmxejn inane ... il-bogħod tal-konnessjoni bejn l-att diżubbidjenti u l-liġi oġġezzjonabbli jistabbilixxi tali atti miftuħa għal"&amp;"l-akkuża ta' ineffettività u assurdità. "" Bedau jinnota wkoll, madankollu, li l-ħsara stess ta 'protesti illegali kompletament simboliċi lejn għanijiet ta' politika pubblika jistgħu jservu skop ta 'propaganda. Xi diżubbidjenti ċivili, bħall-proprjetarji "&amp;"ta 'dispensarji ta' kannabis mediċi illegali u vuċi fid-deżert, li ġabu mediċina fl-Iraq mingħajr il-permess tal-gvern ta 'l-Istati Uniti, jiksbu direttament għan soċjali mixtieq (bħalma huma l-provvista ta' medikazzjoni għall-morda) waqt li Kisser bil-mi"&amp;"ftuħ il-liġi. Julia Butterfly Hill kienet toqgħod f'Luna, ta '180 pied (55 m) -tall, siġra ta' California Redwood ta '600 sena għal 738 ġurnata, u ma ħallietx b'suċċess milli tinqata'.")</f>
        <v>Id-diżubbidjenti ċivili għażlu varjetà ta 'atti illegali differenti. Bedau jikteb, "Hemm klassi sħiħa ta 'atti, imwettqa f'isem id-diżubbidjenza ċivili, li, anke jekk kienu pprattikati b'mod wiesa', fihom infushom jikkostitwixxu ftit iktar minn inkonvenjent (e.g. qbiż f'installazzjoni ta 'missili nukleari). . L-atti ta 'spiss huma biss fastidju u, għall-inqas għall-bystander, kemmxejn inane ... il-bogħod tal-konnessjoni bejn l-att diżubbidjenti u l-liġi oġġezzjonabbli jistabbilixxi tali atti miftuħa għall-akkuża ta' ineffettività u assurdità. " Bedau jinnota wkoll, madankollu, li l-ħsara stess ta 'protesti illegali kompletament simboliċi lejn għanijiet ta' politika pubblika jistgħu jservu skop ta 'propaganda. Xi diżubbidjenti ċivili, bħall-proprjetarji ta 'dispensarji ta' kannabis mediċi illegali u vuċi fid-deżert, li ġabu mediċina fl-Iraq mingħajr il-permess tal-gvern ta 'l-Istati Uniti, jiksbu direttament għan soċjali mixtieq (bħalma huma l-provvista ta' medikazzjoni għall-morda) waqt li Kisser bil-miftuħ il-liġi. Julia Butterfly Hill kienet toqgħod f'Luna, ta '180 pied (55 m) -tall, siġra ta' California Redwood ta '600 sena għal 738 ġurnata, u ma ħallietx b'suċċess milli tinqata'.</v>
      </c>
    </row>
    <row r="8972" ht="15.75" customHeight="1">
      <c r="A8972" s="2" t="s">
        <v>8972</v>
      </c>
      <c r="B8972" s="2" t="str">
        <f>IFERROR(__xludf.DUMMYFUNCTION("GOOGLETRANSLATE(A8972, ""en"", ""mt"")"),"Kemm hija twila l-pjanura tar-Renu ta 'Fuq?")</f>
        <v>Kemm hija twila l-pjanura tar-Renu ta 'Fuq?</v>
      </c>
    </row>
    <row r="8973" ht="15.75" customHeight="1">
      <c r="A8973" s="2" t="s">
        <v>8973</v>
      </c>
      <c r="B8973" s="2" t="str">
        <f>IFERROR(__xludf.DUMMYFUNCTION("GOOGLETRANSLATE(A8973, ""en"", ""mt"")"),"Meta kien awtorizzat il-bejgħ ta 'NBC Blue lil Edward John Noble?")</f>
        <v>Meta kien awtorizzat il-bejgħ ta 'NBC Blue lil Edward John Noble?</v>
      </c>
    </row>
    <row r="8974" ht="15.75" customHeight="1">
      <c r="A8974" s="2" t="s">
        <v>8974</v>
      </c>
      <c r="B8974" s="2" t="str">
        <f>IFERROR(__xludf.DUMMYFUNCTION("GOOGLETRANSLATE(A8974, ""en"", ""mt"")"),"X'jistgħu jdawru t-thylakoids konċentriċi mhux stacked?")</f>
        <v>X'jistgħu jdawru t-thylakoids konċentriċi mhux stacked?</v>
      </c>
    </row>
    <row r="8975" ht="15.75" customHeight="1">
      <c r="A8975" s="2" t="s">
        <v>8975</v>
      </c>
      <c r="B8975" s="2" t="str">
        <f>IFERROR(__xludf.DUMMYFUNCTION("GOOGLETRANSLATE(A8975, ""en"", ""mt"")"),"Il-kloroplasti huma tip speċjali ta 'organella taċ-ċellula tal-pjanti msejħa plastid, għalkemm iż-żewġ termini xi kultant jintużaw minflok xulxin. Hemm ħafna tipi oħra ta 'plastidi, li jwettqu diversi funzjonijiet. Il-kloroplasti kollha f'impjant huma dix"&amp;"xendenti minn proplastidi mhux differenzjati misjuba fiż-żigot, jew bajda fertilizzata. Proplastidi huma komunement misjuba fil-meristemi apikali ta 'pjanta adulta. Il-kloroplasti normalment ma jiżviluppawx minn proplastidi fil-meristems tal-ponta tal-għe"&amp;"ruq - minflok, il-formazzjoni ta 'amiloplasti tal-ħżin tal-lamtu hija aktar komuni.")</f>
        <v>Il-kloroplasti huma tip speċjali ta 'organella taċ-ċellula tal-pjanti msejħa plastid, għalkemm iż-żewġ termini xi kultant jintużaw minflok xulxin. Hemm ħafna tipi oħra ta 'plastidi, li jwettqu diversi funzjonijiet. Il-kloroplasti kollha f'impjant huma dixxendenti minn proplastidi mhux differenzjati misjuba fiż-żigot, jew bajda fertilizzata. Proplastidi huma komunement misjuba fil-meristemi apikali ta 'pjanta adulta. Il-kloroplasti normalment ma jiżviluppawx minn proplastidi fil-meristems tal-ponta tal-għeruq - minflok, il-formazzjoni ta 'amiloplasti tal-ħżin tal-lamtu hija aktar komuni.</v>
      </c>
    </row>
    <row r="8976" ht="15.75" customHeight="1">
      <c r="A8976" s="2" t="s">
        <v>8976</v>
      </c>
      <c r="B8976" s="2" t="str">
        <f>IFERROR(__xludf.DUMMYFUNCTION("GOOGLETRANSLATE(A8976, ""en"", ""mt"")"),"X'inhu l-isem sħiħ tal-ASER?")</f>
        <v>X'inhu l-isem sħiħ tal-ASER?</v>
      </c>
    </row>
    <row r="8977" ht="15.75" customHeight="1">
      <c r="A8977" s="2" t="s">
        <v>8977</v>
      </c>
      <c r="B8977" s="2" t="str">
        <f>IFERROR(__xludf.DUMMYFUNCTION("GOOGLETRANSLATE(A8977, ""en"", ""mt"")"),"X'kienet it-tema tas-Super Bowl 50?")</f>
        <v>X'kienet it-tema tas-Super Bowl 50?</v>
      </c>
    </row>
    <row r="8978" ht="15.75" customHeight="1">
      <c r="A8978" s="2" t="s">
        <v>8978</v>
      </c>
      <c r="B8978" s="2" t="str">
        <f>IFERROR(__xludf.DUMMYFUNCTION("GOOGLETRANSLATE(A8978, ""en"", ""mt"")"),"is-sovran")</f>
        <v>is-sovran</v>
      </c>
    </row>
    <row r="8979" ht="15.75" customHeight="1">
      <c r="A8979" s="2" t="s">
        <v>8979</v>
      </c>
      <c r="B8979" s="2" t="str">
        <f>IFERROR(__xludf.DUMMYFUNCTION("GOOGLETRANSLATE(A8979, ""en"", ""mt"")"),"irġiel fis-suq tax-xogħol")</f>
        <v>irġiel fis-suq tax-xogħol</v>
      </c>
    </row>
    <row r="8980" ht="15.75" customHeight="1">
      <c r="A8980" s="2" t="s">
        <v>8980</v>
      </c>
      <c r="B8980" s="2" t="str">
        <f>IFERROR(__xludf.DUMMYFUNCTION("GOOGLETRANSLATE(A8980, ""en"", ""mt"")"),"L-okkupazzjoni ta 'min tal-Kuwajt il-militar tal-Istati Uniti fittex li jtemm?")</f>
        <v>L-okkupazzjoni ta 'min tal-Kuwajt il-militar tal-Istati Uniti fittex li jtemm?</v>
      </c>
    </row>
    <row r="8981" ht="15.75" customHeight="1">
      <c r="A8981" s="2" t="s">
        <v>8981</v>
      </c>
      <c r="B8981" s="2" t="str">
        <f>IFERROR(__xludf.DUMMYFUNCTION("GOOGLETRANSLATE(A8981, ""en"", ""mt"")"),"klijent magħruf")</f>
        <v>klijent magħruf</v>
      </c>
    </row>
    <row r="8982" ht="15.75" customHeight="1">
      <c r="A8982" s="2" t="s">
        <v>8982</v>
      </c>
      <c r="B8982" s="2" t="str">
        <f>IFERROR(__xludf.DUMMYFUNCTION("GOOGLETRANSLATE(A8982, ""en"", ""mt"")"),"Qlib ta 'blokka ta' messaġġi adattivi distribwiti")</f>
        <v>Qlib ta 'blokka ta' messaġġi adattivi distribwiti</v>
      </c>
    </row>
    <row r="8983" ht="15.75" customHeight="1">
      <c r="A8983" s="2" t="s">
        <v>8983</v>
      </c>
      <c r="B8983" s="2" t="str">
        <f>IFERROR(__xludf.DUMMYFUNCTION("GOOGLETRANSLATE(A8983, ""en"", ""mt"")"),"Persja")</f>
        <v>Persja</v>
      </c>
    </row>
    <row r="8984" ht="15.75" customHeight="1">
      <c r="A8984" s="2" t="s">
        <v>8984</v>
      </c>
      <c r="B8984" s="2" t="str">
        <f>IFERROR(__xludf.DUMMYFUNCTION("GOOGLETRANSLATE(A8984, ""en"", ""mt"")"),"Min ħoloq it-tema tal-2005 għal Doctor Who?")</f>
        <v>Min ħoloq it-tema tal-2005 għal Doctor Who?</v>
      </c>
    </row>
    <row r="8985" ht="15.75" customHeight="1">
      <c r="A8985" s="2" t="s">
        <v>8985</v>
      </c>
      <c r="B8985" s="2" t="str">
        <f>IFERROR(__xludf.DUMMYFUNCTION("GOOGLETRANSLATE(A8985, ""en"", ""mt"")"),"F'Marzu 2007, il-Kunsill tal-Missjoni tal-Ġurisdizzjoni Ċentrali tan-Nofsinhar approva kirja ta '99 sena fuq kemm acres?")</f>
        <v>F'Marzu 2007, il-Kunsill tal-Missjoni tal-Ġurisdizzjoni Ċentrali tan-Nofsinhar approva kirja ta '99 sena fuq kemm acres?</v>
      </c>
    </row>
    <row r="8986" ht="15.75" customHeight="1">
      <c r="A8986" s="2" t="s">
        <v>8986</v>
      </c>
      <c r="B8986" s="2" t="str">
        <f>IFERROR(__xludf.DUMMYFUNCTION("GOOGLETRANSLATE(A8986, ""en"", ""mt"")"),"poteri sekulari")</f>
        <v>poteri sekulari</v>
      </c>
    </row>
    <row r="8987" ht="15.75" customHeight="1">
      <c r="A8987" s="2" t="s">
        <v>8987</v>
      </c>
      <c r="B8987" s="2" t="str">
        <f>IFERROR(__xludf.DUMMYFUNCTION("GOOGLETRANSLATE(A8987, ""en"", ""mt"")"),"Naimans")</f>
        <v>Naimans</v>
      </c>
    </row>
    <row r="8988" ht="15.75" customHeight="1">
      <c r="A8988" s="2" t="s">
        <v>8988</v>
      </c>
      <c r="B8988" s="2" t="str">
        <f>IFERROR(__xludf.DUMMYFUNCTION("GOOGLETRANSLATE(A8988, ""en"", ""mt"")"),"Richard Wilkinson u Kate Pickett")</f>
        <v>Richard Wilkinson u Kate Pickett</v>
      </c>
    </row>
    <row r="8989" ht="15.75" customHeight="1">
      <c r="A8989" s="2" t="s">
        <v>8989</v>
      </c>
      <c r="B8989" s="2" t="str">
        <f>IFERROR(__xludf.DUMMYFUNCTION("GOOGLETRANSLATE(A8989, ""en"", ""mt"")"),"minimalità jew indekompożizzjoni")</f>
        <v>minimalità jew indekompożizzjoni</v>
      </c>
    </row>
    <row r="8990" ht="15.75" customHeight="1">
      <c r="A8990" s="2" t="s">
        <v>8990</v>
      </c>
      <c r="B8990" s="2" t="str">
        <f>IFERROR(__xludf.DUMMYFUNCTION("GOOGLETRANSLATE(A8990, ""en"", ""mt"")"),"Mewt nobbli.")</f>
        <v>Mewt nobbli.</v>
      </c>
    </row>
    <row r="8991" ht="15.75" customHeight="1">
      <c r="A8991" s="2" t="s">
        <v>8991</v>
      </c>
      <c r="B8991" s="2" t="str">
        <f>IFERROR(__xludf.DUMMYFUNCTION("GOOGLETRANSLATE(A8991, ""en"", ""mt"")"),"Min irċieva offerta fl-1915?")</f>
        <v>Min irċieva offerta fl-1915?</v>
      </c>
    </row>
    <row r="8992" ht="15.75" customHeight="1">
      <c r="A8992" s="2" t="s">
        <v>8992</v>
      </c>
      <c r="B8992" s="2" t="str">
        <f>IFERROR(__xludf.DUMMYFUNCTION("GOOGLETRANSLATE(A8992, ""en"", ""mt"")"),"Fejn kienet il-prattika li l-Panthers jintużaw għas-Super Bowl?")</f>
        <v>Fejn kienet il-prattika li l-Panthers jintużaw għas-Super Bowl?</v>
      </c>
    </row>
    <row r="8993" ht="15.75" customHeight="1">
      <c r="A8993" s="2" t="s">
        <v>8993</v>
      </c>
      <c r="B8993" s="2" t="str">
        <f>IFERROR(__xludf.DUMMYFUNCTION("GOOGLETRANSLATE(A8993, ""en"", ""mt"")"),"impost verżjoni selettiva tat-tgħammir ta 'eugenics")</f>
        <v>impost verżjoni selettiva tat-tgħammir ta 'eugenics</v>
      </c>
    </row>
    <row r="8994" ht="15.75" customHeight="1">
      <c r="A8994" s="2" t="s">
        <v>8994</v>
      </c>
      <c r="B8994" s="2" t="str">
        <f>IFERROR(__xludf.DUMMYFUNCTION("GOOGLETRANSLATE(A8994, ""en"", ""mt"")"),"tarka tar-radjazzjoni")</f>
        <v>tarka tar-radjazzjoni</v>
      </c>
    </row>
    <row r="8995" ht="15.75" customHeight="1">
      <c r="A8995" s="2" t="s">
        <v>8995</v>
      </c>
      <c r="B8995" s="2" t="str">
        <f>IFERROR(__xludf.DUMMYFUNCTION("GOOGLETRANSLATE(A8995, ""en"", ""mt"")"),"il-massa () u r-raġġ () tad-dinja")</f>
        <v>il-massa () u r-raġġ () tad-dinja</v>
      </c>
    </row>
    <row r="8996" ht="15.75" customHeight="1">
      <c r="A8996" s="2" t="s">
        <v>8996</v>
      </c>
      <c r="B8996" s="2" t="str">
        <f>IFERROR(__xludf.DUMMYFUNCTION("GOOGLETRANSLATE(A8996, ""en"", ""mt"")"),"Xi Huguenots ġġieldu fil-pajjiżi baxxi flimkien mal-Olandiżi kontra Spanja matul l-ewwel snin tar-rewwixta Olandiża (1568-1609). Ir-Repubblika Olandiża malajr saret destinazzjoni għal Huguenot Exiles. Ir-rabtiet bikrija kienu diġà viżibbli fl- ""apologie"&amp;""" ta 'William is-siekta, li kkundanna l-Inkwiżizzjoni Spanjola, li kienet miktuba mill-ministru tal-qorti tiegħu, il-Huguenot Pierre L'Oyseleur, Lord of Villiers. Louise de Coligny, bint il-mexxej tal-Huguenot maqtul Gaspard de Coligny, iżżewġet lil Will"&amp;"iam is-Silent, mexxej tar-rewwixta Olandiża (Kalvinista) kontra l-ħakma Spanjola (Kattolika). Hekk kif it-tnejn tkellmu bil-Franċiż fil-ħajja ta ’kuljum, il-knisja tal-qorti tagħhom fil-Prinsenhof f’Delft kellha servizzi bil-Franċiż. Il-prattika kompliet "&amp;"sal-ġurnata tal-lum. Il-Prinsenhof hija waħda mill-14-il knisja attiva tal-walloon tal-Knisja Riformata Olandiża. Ir-rabtiet bejn Huguenots u t-tmexxija militari u politika tar-Repubblika Olandiża, il-Kamra ta 'Orange-Nassau, li kienet teżisti mill-jiem b"&amp;"ikrija tar-rewwixta Olandiża, għenu biex jappoġġjaw il-bosta insedjamenti bikrija ta' Huguenots fil-kolonji tar-Repubblika Olandiża. Huma stabbilixxew fil-Kap ta ’Tama Tajba fl-Afrika t'Isfel u l-Olanda Ġdida fl-Amerika ta’ Fuq.")</f>
        <v>Xi Huguenots ġġieldu fil-pajjiżi baxxi flimkien mal-Olandiżi kontra Spanja matul l-ewwel snin tar-rewwixta Olandiża (1568-1609). Ir-Repubblika Olandiża malajr saret destinazzjoni għal Huguenot Exiles. Ir-rabtiet bikrija kienu diġà viżibbli fl- "apologie" ta 'William is-siekta, li kkundanna l-Inkwiżizzjoni Spanjola, li kienet miktuba mill-ministru tal-qorti tiegħu, il-Huguenot Pierre L'Oyseleur, Lord of Villiers. Louise de Coligny, bint il-mexxej tal-Huguenot maqtul Gaspard de Coligny, iżżewġet lil William is-Silent, mexxej tar-rewwixta Olandiża (Kalvinista) kontra l-ħakma Spanjola (Kattolika). Hekk kif it-tnejn tkellmu bil-Franċiż fil-ħajja ta ’kuljum, il-knisja tal-qorti tagħhom fil-Prinsenhof f’Delft kellha servizzi bil-Franċiż. Il-prattika kompliet sal-ġurnata tal-lum. Il-Prinsenhof hija waħda mill-14-il knisja attiva tal-walloon tal-Knisja Riformata Olandiża. Ir-rabtiet bejn Huguenots u t-tmexxija militari u politika tar-Repubblika Olandiża, il-Kamra ta 'Orange-Nassau, li kienet teżisti mill-jiem bikrija tar-rewwixta Olandiża, għenu biex jappoġġjaw il-bosta insedjamenti bikrija ta' Huguenots fil-kolonji tar-Repubblika Olandiża. Huma stabbilixxew fil-Kap ta ’Tama Tajba fl-Afrika t'Isfel u l-Olanda Ġdida fl-Amerika ta’ Fuq.</v>
      </c>
    </row>
    <row r="8997" ht="15.75" customHeight="1">
      <c r="A8997" s="2" t="s">
        <v>8997</v>
      </c>
      <c r="B8997" s="2" t="str">
        <f>IFERROR(__xludf.DUMMYFUNCTION("GOOGLETRANSLATE(A8997, ""en"", ""mt"")"),"monofiletiku")</f>
        <v>monofiletiku</v>
      </c>
    </row>
    <row r="8998" ht="15.75" customHeight="1">
      <c r="A8998" s="2" t="s">
        <v>8998</v>
      </c>
      <c r="B8998" s="2" t="str">
        <f>IFERROR(__xludf.DUMMYFUNCTION("GOOGLETRANSLATE(A8998, ""en"", ""mt"")"),"Netwerks Nazzjonali")</f>
        <v>Netwerks Nazzjonali</v>
      </c>
    </row>
    <row r="8999" ht="15.75" customHeight="1">
      <c r="A8999" s="2" t="s">
        <v>8999</v>
      </c>
      <c r="B8999" s="2" t="str">
        <f>IFERROR(__xludf.DUMMYFUNCTION("GOOGLETRANSLATE(A8999, ""en"", ""mt"")"),"It-teorema fundamentali tal-Euclid tal-aritmetika")</f>
        <v>It-teorema fundamentali tal-Euclid tal-aritmetika</v>
      </c>
    </row>
    <row r="9000" ht="15.75" customHeight="1">
      <c r="A9000" s="2" t="s">
        <v>9000</v>
      </c>
      <c r="B9000" s="2" t="str">
        <f>IFERROR(__xludf.DUMMYFUNCTION("GOOGLETRANSLATE(A9000, ""en"", ""mt"")"),"Liema kummerċ kienet il-belt ċentru importanti fis-seklu 14?")</f>
        <v>Liema kummerċ kienet il-belt ċentru importanti fis-seklu 14?</v>
      </c>
    </row>
    <row r="9001" ht="15.75" customHeight="1">
      <c r="A9001" s="2" t="s">
        <v>9001</v>
      </c>
      <c r="B9001" s="2" t="str">
        <f>IFERROR(__xludf.DUMMYFUNCTION("GOOGLETRANSLATE(A9001, ""en"", ""mt"")"),"L-Isvizzera u l-Olanda")</f>
        <v>L-Isvizzera u l-Olanda</v>
      </c>
    </row>
    <row r="9002" ht="15.75" customHeight="1">
      <c r="A9002" s="2" t="s">
        <v>9002</v>
      </c>
      <c r="B9002" s="2" t="str">
        <f>IFERROR(__xludf.DUMMYFUNCTION("GOOGLETRANSLATE(A9002, ""en"", ""mt"")"),"Il-pjan ta 'Pitt talab għal liema attakki?")</f>
        <v>Il-pjan ta 'Pitt talab għal liema attakki?</v>
      </c>
    </row>
    <row r="9003" ht="15.75" customHeight="1">
      <c r="A9003" s="2" t="s">
        <v>9003</v>
      </c>
      <c r="B9003" s="2" t="str">
        <f>IFERROR(__xludf.DUMMYFUNCTION("GOOGLETRANSLATE(A9003, ""en"", ""mt"")"),"75% tas-siġġijiet totali")</f>
        <v>75% tas-siġġijiet totali</v>
      </c>
    </row>
    <row r="9004" ht="15.75" customHeight="1">
      <c r="A9004" s="2" t="s">
        <v>9004</v>
      </c>
      <c r="B9004" s="2" t="str">
        <f>IFERROR(__xludf.DUMMYFUNCTION("GOOGLETRANSLATE(A9004, ""en"", ""mt"")"),"Kif jista 'xi għoqda tkun indikata b'mod distint?")</f>
        <v>Kif jista 'xi għoqda tkun indikata b'mod distint?</v>
      </c>
    </row>
    <row r="9005" ht="15.75" customHeight="1">
      <c r="A9005" s="2" t="s">
        <v>9005</v>
      </c>
      <c r="B9005" s="2" t="str">
        <f>IFERROR(__xludf.DUMMYFUNCTION("GOOGLETRANSLATE(A9005, ""en"", ""mt"")"),"Duka ta ’Cumberland")</f>
        <v>Duka ta ’Cumberland</v>
      </c>
    </row>
    <row r="9006" ht="15.75" customHeight="1">
      <c r="A9006" s="2" t="s">
        <v>9006</v>
      </c>
      <c r="B9006" s="2" t="str">
        <f>IFERROR(__xludf.DUMMYFUNCTION("GOOGLETRANSLATE(A9006, ""en"", ""mt"")"),"Ċiniż tat-Tramuntana")</f>
        <v>Ċiniż tat-Tramuntana</v>
      </c>
    </row>
    <row r="9007" ht="15.75" customHeight="1">
      <c r="A9007" s="2" t="s">
        <v>9007</v>
      </c>
      <c r="B9007" s="2" t="str">
        <f>IFERROR(__xludf.DUMMYFUNCTION("GOOGLETRANSLATE(A9007, ""en"", ""mt"")"),"L-aħħar tas-snin sebgħin")</f>
        <v>L-aħħar tas-snin sebgħin</v>
      </c>
    </row>
    <row r="9008" ht="15.75" customHeight="1">
      <c r="A9008" s="2" t="s">
        <v>9008</v>
      </c>
      <c r="B9008" s="2" t="str">
        <f>IFERROR(__xludf.DUMMYFUNCTION("GOOGLETRANSLATE(A9008, ""en"", ""mt"")"),"Mozzjoni kontinwa")</f>
        <v>Mozzjoni kontinwa</v>
      </c>
    </row>
    <row r="9009" ht="15.75" customHeight="1">
      <c r="A9009" s="2" t="s">
        <v>9009</v>
      </c>
      <c r="B9009" s="2" t="str">
        <f>IFERROR(__xludf.DUMMYFUNCTION("GOOGLETRANSLATE(A9009, ""en"", ""mt"")"),"Fejn ħareġ l-ilma fil-baċin tal-Amażonja meta miexi lejn il-punent?")</f>
        <v>Fejn ħareġ l-ilma fil-baċin tal-Amażonja meta miexi lejn il-punent?</v>
      </c>
    </row>
    <row r="9010" ht="15.75" customHeight="1">
      <c r="A9010" s="2" t="s">
        <v>9010</v>
      </c>
      <c r="B9010" s="2" t="str">
        <f>IFERROR(__xludf.DUMMYFUNCTION("GOOGLETRANSLATE(A9010, ""en"", ""mt"")"),"Għaliex l-Arabja Sawdita ppruvat iżżid il-produzzjoni, u naqqas il-profitti għal produtturi ta 'spejjeż għoljin?")</f>
        <v>Għaliex l-Arabja Sawdita ppruvat iżżid il-produzzjoni, u naqqas il-profitti għal produtturi ta 'spejjeż għoljin?</v>
      </c>
    </row>
    <row r="9011" ht="15.75" customHeight="1">
      <c r="A9011" s="2" t="s">
        <v>9011</v>
      </c>
      <c r="B9011" s="2" t="str">
        <f>IFERROR(__xludf.DUMMYFUNCTION("GOOGLETRANSLATE(A9011, ""en"", ""mt"")"),"Jerónimo de Ayanz y Beaumont")</f>
        <v>Jerónimo de Ayanz y Beaumont</v>
      </c>
    </row>
    <row r="9012" ht="15.75" customHeight="1">
      <c r="A9012" s="2" t="s">
        <v>9012</v>
      </c>
      <c r="B9012" s="2" t="str">
        <f>IFERROR(__xludf.DUMMYFUNCTION("GOOGLETRANSLATE(A9012, ""en"", ""mt"")"),"139th")</f>
        <v>139th</v>
      </c>
    </row>
    <row r="9013" ht="15.75" customHeight="1">
      <c r="A9013" s="2" t="s">
        <v>9013</v>
      </c>
      <c r="B9013" s="2" t="str">
        <f>IFERROR(__xludf.DUMMYFUNCTION("GOOGLETRANSLATE(A9013, ""en"", ""mt"")"),"X'kienu l-ewwel żewġ destinazzjonijiet ta 'Huguenot Emigres?")</f>
        <v>X'kienu l-ewwel żewġ destinazzjonijiet ta 'Huguenot Emigres?</v>
      </c>
    </row>
    <row r="9014" ht="15.75" customHeight="1">
      <c r="A9014" s="2" t="s">
        <v>9014</v>
      </c>
      <c r="B9014" s="2" t="str">
        <f>IFERROR(__xludf.DUMMYFUNCTION("GOOGLETRANSLATE(A9014, ""en"", ""mt"")"),"Padiljun Lavietes")</f>
        <v>Padiljun Lavietes</v>
      </c>
    </row>
    <row r="9015" ht="15.75" customHeight="1">
      <c r="A9015" s="2" t="s">
        <v>9015</v>
      </c>
      <c r="B9015" s="2" t="str">
        <f>IFERROR(__xludf.DUMMYFUNCTION("GOOGLETRANSLATE(A9015, ""en"", ""mt"")"),"Kmieni fl-1537, Johannes Agricola (1494-1566) - li jservi dak iż-żmien bħala ragħaj fil-post fejn twieled Luther, Eisleben - ippriedka priedka li fiha huwa ddikjara li l-Evanġelju ta ’Alla, mhux il-liġi morali ta’ Alla (l-Għaxar Kmandamenti), żvela l-irbi"&amp;"t ta ’Alla lill-Kristjani - Ibbażat fuq dan il-priedka u oħrajn minn Agricola, Luther suspettat li Agricola kien wara ċerti teżijiet anonimi ta 'antinomjani li jiċċirkolaw f'Wittenberg. Dawn it-teżijiet affermaw li l-liġi m'għadhiex tiġi mgħallma lill-ins"&amp;"ara imma kienet tappartjeni biss lill-Belt. Luther irrisponda għal dawn it-teżijiet b'sitt serje ta 'teżijiet kontra Agricola u l-Antinomjani, li erbgħa minnhom saru l-bażi għal tilwim bejn l-1538 u l-1540. Huwa wieġeb ukoll għal dawn l-affermazzjonijiet "&amp;"fi kitbiet oħra, bħalma huma l-ittra miftuħa tiegħu 1539 lil C. Güttel kontra L-Antinomjani, u l-ktieb tiegħu dwar il-Kunsilli u l-Knisja mill-istess sena.")</f>
        <v>Kmieni fl-1537, Johannes Agricola (1494-1566) - li jservi dak iż-żmien bħala ragħaj fil-post fejn twieled Luther, Eisleben - ippriedka priedka li fiha huwa ddikjara li l-Evanġelju ta ’Alla, mhux il-liġi morali ta’ Alla (l-Għaxar Kmandamenti), żvela l-irbit ta ’Alla lill-Kristjani - Ibbażat fuq dan il-priedka u oħrajn minn Agricola, Luther suspettat li Agricola kien wara ċerti teżijiet anonimi ta 'antinomjani li jiċċirkolaw f'Wittenberg. Dawn it-teżijiet affermaw li l-liġi m'għadhiex tiġi mgħallma lill-insara imma kienet tappartjeni biss lill-Belt. Luther irrisponda għal dawn it-teżijiet b'sitt serje ta 'teżijiet kontra Agricola u l-Antinomjani, li erbgħa minnhom saru l-bażi għal tilwim bejn l-1538 u l-1540. Huwa wieġeb ukoll għal dawn l-affermazzjonijiet fi kitbiet oħra, bħalma huma l-ittra miftuħa tiegħu 1539 lil C. Güttel kontra L-Antinomjani, u l-ktieb tiegħu dwar il-Kunsilli u l-Knisja mill-istess sena.</v>
      </c>
    </row>
    <row r="9016" ht="15.75" customHeight="1">
      <c r="A9016" s="2" t="s">
        <v>9016</v>
      </c>
      <c r="B9016" s="2" t="str">
        <f>IFERROR(__xludf.DUMMYFUNCTION("GOOGLETRANSLATE(A9016, ""en"", ""mt"")"),"Kuntratturi D&amp;B")</f>
        <v>Kuntratturi D&amp;B</v>
      </c>
    </row>
    <row r="9017" ht="15.75" customHeight="1">
      <c r="A9017" s="2" t="s">
        <v>9017</v>
      </c>
      <c r="B9017" s="2" t="str">
        <f>IFERROR(__xludf.DUMMYFUNCTION("GOOGLETRANSLATE(A9017, ""en"", ""mt"")"),"Repulsjoni Pauli")</f>
        <v>Repulsjoni Pauli</v>
      </c>
    </row>
    <row r="9018" ht="15.75" customHeight="1">
      <c r="A9018" s="2" t="s">
        <v>9018</v>
      </c>
      <c r="B9018" s="2" t="str">
        <f>IFERROR(__xludf.DUMMYFUNCTION("GOOGLETRANSLATE(A9018, ""en"", ""mt"")"),"X'inhu l-adattament proto-Ġermaniku tal-isem tar-Renu?")</f>
        <v>X'inhu l-adattament proto-Ġermaniku tal-isem tar-Renu?</v>
      </c>
    </row>
    <row r="9019" ht="15.75" customHeight="1">
      <c r="A9019" s="2" t="s">
        <v>9019</v>
      </c>
      <c r="B9019" s="2" t="str">
        <f>IFERROR(__xludf.DUMMYFUNCTION("GOOGLETRANSLATE(A9019, ""en"", ""mt"")"),"spazju vojt")</f>
        <v>spazju vojt</v>
      </c>
    </row>
    <row r="9020" ht="15.75" customHeight="1">
      <c r="A9020" s="2" t="s">
        <v>9020</v>
      </c>
      <c r="B9020" s="2" t="str">
        <f>IFERROR(__xludf.DUMMYFUNCTION("GOOGLETRANSLATE(A9020, ""en"", ""mt"")"),"Meta ġie ttestjat Apollo 6, jew AS-502?")</f>
        <v>Meta ġie ttestjat Apollo 6, jew AS-502?</v>
      </c>
    </row>
    <row r="9021" ht="15.75" customHeight="1">
      <c r="A9021" s="2" t="s">
        <v>9021</v>
      </c>
      <c r="B9021" s="2" t="str">
        <f>IFERROR(__xludf.DUMMYFUNCTION("GOOGLETRANSLATE(A9021, ""en"", ""mt"")"),"Kif huwa deskritt it-temp tax-xitwa f'Jacksonville?")</f>
        <v>Kif huwa deskritt it-temp tax-xitwa f'Jacksonville?</v>
      </c>
    </row>
    <row r="9022" ht="15.75" customHeight="1">
      <c r="A9022" s="2" t="s">
        <v>9022</v>
      </c>
      <c r="B9022" s="2" t="str">
        <f>IFERROR(__xludf.DUMMYFUNCTION("GOOGLETRANSLATE(A9022, ""en"", ""mt"")"),"Liema mexxej tal-Mongolja temm il-konkwista ta 'Kievan Rus'?")</f>
        <v>Liema mexxej tal-Mongolja temm il-konkwista ta 'Kievan Rus'?</v>
      </c>
    </row>
    <row r="9023" ht="15.75" customHeight="1">
      <c r="A9023" s="2" t="s">
        <v>9023</v>
      </c>
      <c r="B9023" s="2" t="str">
        <f>IFERROR(__xludf.DUMMYFUNCTION("GOOGLETRANSLATE(A9023, ""en"", ""mt"")"),"Kif tissejjaħ meta n-nies fis-soċjetà jirribellaw kontra l-liġijiet li jaħsbu li huma inġusti?")</f>
        <v>Kif tissejjaħ meta n-nies fis-soċjetà jirribellaw kontra l-liġijiet li jaħsbu li huma inġusti?</v>
      </c>
    </row>
    <row r="9024" ht="15.75" customHeight="1">
      <c r="A9024" s="2" t="s">
        <v>9024</v>
      </c>
      <c r="B9024" s="2" t="str">
        <f>IFERROR(__xludf.DUMMYFUNCTION("GOOGLETRANSLATE(A9024, ""en"", ""mt"")"),"Dħul mhux mill-ħolqien tal-ġid imma billi taqbad sehem akbar minnu jafu lill-ekonomisti skont liema terminu?")</f>
        <v>Dħul mhux mill-ħolqien tal-ġid imma billi taqbad sehem akbar minnu jafu lill-ekonomisti skont liema terminu?</v>
      </c>
    </row>
    <row r="9025" ht="15.75" customHeight="1">
      <c r="A9025" s="2" t="s">
        <v>9025</v>
      </c>
      <c r="B9025" s="2" t="str">
        <f>IFERROR(__xludf.DUMMYFUNCTION("GOOGLETRANSLATE(A9025, ""en"", ""mt"")"),"ippriedka tmien priedki")</f>
        <v>ippriedka tmien priedki</v>
      </c>
    </row>
    <row r="9026" ht="15.75" customHeight="1">
      <c r="A9026" s="2" t="s">
        <v>9026</v>
      </c>
      <c r="B9026" s="2" t="str">
        <f>IFERROR(__xludf.DUMMYFUNCTION("GOOGLETRANSLATE(A9026, ""en"", ""mt"")"),"Fis-snin immedjati ta 'wara l-gwerra kien hemm ftit flus disponibbli għal tiswijiet essenzjali. Is-snin 1950 u l-bidu tas-snin 1960 raw ftit fil-mod ta 'bini tax-xogħol; L-ewwel xogħol ewlieni kien il-ħolqien ta 'spazju ta' ħażna ġdid għall-kotba fil-libr"&amp;"erija tal-arti fl-1966 u fl-1967. Dan kien jinvolvi art fuq is-sala ewlenija ta 'Aston Webb biex tifforma l-munzelli tal-kotba, b'gallerija medjevali ġdida fil-pjan terran (issa l-ħanut, miftuħa fl-2006). Imbagħad il-galleriji ta 'l-art ta' isfel fil-part"&amp;"i tal-lbiċ ġew iddisinjati mill-ġdid, li fetħu fl-1978 biex jiffurmaw il-galleriji l-ġodda li jkopru l-arti kontinentali 1600-1800 (Rinaxximent tard, Barokk permezz ta 'Rococo u Neo-Klassiku). Fl-1974 il-mużew kien akkwista dak li issa hu l-Wing Henry Col"&amp;"e mill-Royal College of Science. Sabiex jadattaw il-bini bħala galleriji, l-interjuri kollha ta 'Vittorjan ħlief għat-taraġ ġew imfassla mill-ġdid waqt it-tibdil mill-ġdid. Biex tgħaqqad dan mal-bqija tal-mużew, ġie mibni bini ġdid fuq is-sit tad-dar tal-"&amp;"bojler ta 'qabel, is-sit maħsub tal-ispirall, bejn l-1978 u l-1982. Dan il-bini huwa ta' konkrit u funzjonali ħafna, l-uniku tisbiħ huwa Il-Gates tal-Ħadid minn Christopher Hay u Douglas Coyne tar-Royal College of Art. Dawn huma stabbiliti fil-ħajt tal-is"&amp;"krin kolumned iddisinjat minn Aston Webb li jifforma l-faċċata.")</f>
        <v>Fis-snin immedjati ta 'wara l-gwerra kien hemm ftit flus disponibbli għal tiswijiet essenzjali. Is-snin 1950 u l-bidu tas-snin 1960 raw ftit fil-mod ta 'bini tax-xogħol; L-ewwel xogħol ewlieni kien il-ħolqien ta 'spazju ta' ħażna ġdid għall-kotba fil-librerija tal-arti fl-1966 u fl-1967. Dan kien jinvolvi art fuq is-sala ewlenija ta 'Aston Webb biex tifforma l-munzelli tal-kotba, b'gallerija medjevali ġdida fil-pjan terran (issa l-ħanut, miftuħa fl-2006). Imbagħad il-galleriji ta 'l-art ta' isfel fil-parti tal-lbiċ ġew iddisinjati mill-ġdid, li fetħu fl-1978 biex jiffurmaw il-galleriji l-ġodda li jkopru l-arti kontinentali 1600-1800 (Rinaxximent tard, Barokk permezz ta 'Rococo u Neo-Klassiku). Fl-1974 il-mużew kien akkwista dak li issa hu l-Wing Henry Cole mill-Royal College of Science. Sabiex jadattaw il-bini bħala galleriji, l-interjuri kollha ta 'Vittorjan ħlief għat-taraġ ġew imfassla mill-ġdid waqt it-tibdil mill-ġdid. Biex tgħaqqad dan mal-bqija tal-mużew, ġie mibni bini ġdid fuq is-sit tad-dar tal-bojler ta 'qabel, is-sit maħsub tal-ispirall, bejn l-1978 u l-1982. Dan il-bini huwa ta' konkrit u funzjonali ħafna, l-uniku tisbiħ huwa Il-Gates tal-Ħadid minn Christopher Hay u Douglas Coyne tar-Royal College of Art. Dawn huma stabbiliti fil-ħajt tal-iskrin kolumned iddisinjat minn Aston Webb li jifforma l-faċċata.</v>
      </c>
    </row>
    <row r="9027" ht="15.75" customHeight="1">
      <c r="A9027" s="2" t="s">
        <v>9027</v>
      </c>
      <c r="B9027" s="2" t="str">
        <f>IFERROR(__xludf.DUMMYFUNCTION("GOOGLETRANSLATE(A9027, ""en"", ""mt"")"),"jimpjegaw spiżjara konsulenti")</f>
        <v>jimpjegaw spiżjara konsulenti</v>
      </c>
    </row>
    <row r="9028" ht="15.75" customHeight="1">
      <c r="A9028" s="2" t="s">
        <v>9028</v>
      </c>
      <c r="B9028" s="2" t="str">
        <f>IFERROR(__xludf.DUMMYFUNCTION("GOOGLETRANSLATE(A9028, ""en"", ""mt"")"),"Fejn kantanta kellha konferenza stampa f'Mejju 2000?")</f>
        <v>Fejn kantanta kellha konferenza stampa f'Mejju 2000?</v>
      </c>
    </row>
    <row r="9029" ht="15.75" customHeight="1">
      <c r="A9029" s="2" t="s">
        <v>9029</v>
      </c>
      <c r="B9029" s="2" t="str">
        <f>IFERROR(__xludf.DUMMYFUNCTION("GOOGLETRANSLATE(A9029, ""en"", ""mt"")"),"X'inhu l-isem tal-ewwel komunità tal-avjazzjoni mibnija?")</f>
        <v>X'inhu l-isem tal-ewwel komunità tal-avjazzjoni mibnija?</v>
      </c>
    </row>
    <row r="9030" ht="15.75" customHeight="1">
      <c r="A9030" s="2" t="s">
        <v>9030</v>
      </c>
      <c r="B9030" s="2" t="str">
        <f>IFERROR(__xludf.DUMMYFUNCTION("GOOGLETRANSLATE(A9030, ""en"", ""mt"")"),"X’għandhom l-aqwa 400 Amerikani l-aktar sinjuri minn nofs l-Amerikani kollha?")</f>
        <v>X’għandhom l-aqwa 400 Amerikani l-aktar sinjuri minn nofs l-Amerikani kollha?</v>
      </c>
    </row>
    <row r="9031" ht="15.75" customHeight="1">
      <c r="A9031" s="2" t="s">
        <v>9031</v>
      </c>
      <c r="B9031" s="2" t="str">
        <f>IFERROR(__xludf.DUMMYFUNCTION("GOOGLETRANSLATE(A9031, ""en"", ""mt"")"),"Torque żbilanċjat")</f>
        <v>Torque żbilanċjat</v>
      </c>
    </row>
    <row r="9032" ht="15.75" customHeight="1">
      <c r="A9032" s="2" t="s">
        <v>9032</v>
      </c>
      <c r="B9032" s="2" t="str">
        <f>IFERROR(__xludf.DUMMYFUNCTION("GOOGLETRANSLATE(A9032, ""en"", ""mt"")"),"Liema plejer tal-Panthers kiseb penalty, li ta lill-Broncos sett ġdid ta 'downs?")</f>
        <v>Liema plejer tal-Panthers kiseb penalty, li ta lill-Broncos sett ġdid ta 'downs?</v>
      </c>
    </row>
    <row r="9033" ht="15.75" customHeight="1">
      <c r="A9033" s="2" t="s">
        <v>9033</v>
      </c>
      <c r="B9033" s="2" t="str">
        <f>IFERROR(__xludf.DUMMYFUNCTION("GOOGLETRANSLATE(A9033, ""en"", ""mt"")"),"Jekk il-kap tal-gvern jirrifjuta li jinforza deċiżjoni tal-ogħla qorti liema terminoloġija tista 'tintuża?")</f>
        <v>Jekk il-kap tal-gvern jirrifjuta li jinforza deċiżjoni tal-ogħla qorti liema terminoloġija tista 'tintuża?</v>
      </c>
    </row>
    <row r="9034" ht="15.75" customHeight="1">
      <c r="A9034" s="2" t="s">
        <v>9034</v>
      </c>
      <c r="B9034" s="2" t="str">
        <f>IFERROR(__xludf.DUMMYFUNCTION("GOOGLETRANSLATE(A9034, ""en"", ""mt"")"),"Liema spettaklu jixxandar fuq CBS wara programmazzjoni lokali tard?")</f>
        <v>Liema spettaklu jixxandar fuq CBS wara programmazzjoni lokali tard?</v>
      </c>
    </row>
    <row r="9035" ht="15.75" customHeight="1">
      <c r="A9035" s="2" t="s">
        <v>9035</v>
      </c>
      <c r="B9035" s="2" t="str">
        <f>IFERROR(__xludf.DUMMYFUNCTION("GOOGLETRANSLATE(A9035, ""en"", ""mt"")"),"temperatura u dawl")</f>
        <v>temperatura u dawl</v>
      </c>
    </row>
    <row r="9036" ht="15.75" customHeight="1">
      <c r="A9036" s="2" t="s">
        <v>9036</v>
      </c>
      <c r="B9036" s="2" t="str">
        <f>IFERROR(__xludf.DUMMYFUNCTION("GOOGLETRANSLATE(A9036, ""en"", ""mt"")"),"Il-votanti approvaw il-pjan")</f>
        <v>Il-votanti approvaw il-pjan</v>
      </c>
    </row>
    <row r="9037" ht="15.75" customHeight="1">
      <c r="A9037" s="2" t="s">
        <v>9037</v>
      </c>
      <c r="B9037" s="2" t="str">
        <f>IFERROR(__xludf.DUMMYFUNCTION("GOOGLETRANSLATE(A9037, ""en"", ""mt"")"),"Il-Katidral ta ’San Ġwann id-Divin")</f>
        <v>Il-Katidral ta ’San Ġwann id-Divin</v>
      </c>
    </row>
    <row r="9038" ht="15.75" customHeight="1">
      <c r="A9038" s="2" t="s">
        <v>9038</v>
      </c>
      <c r="B9038" s="2" t="str">
        <f>IFERROR(__xludf.DUMMYFUNCTION("GOOGLETRANSLATE(A9038, ""en"", ""mt"")"),"X’temm id-DFDs bħala r-raġunijiet li temmew l-operazzjonijiet?")</f>
        <v>X’temm id-DFDs bħala r-raġunijiet li temmew l-operazzjonijiet?</v>
      </c>
    </row>
    <row r="9039" ht="15.75" customHeight="1">
      <c r="A9039" s="2" t="s">
        <v>9039</v>
      </c>
      <c r="B9039" s="2" t="str">
        <f>IFERROR(__xludf.DUMMYFUNCTION("GOOGLETRANSLATE(A9039, ""en"", ""mt"")"),"2.45 a.m.")</f>
        <v>2.45 a.m.</v>
      </c>
    </row>
    <row r="9040" ht="15.75" customHeight="1">
      <c r="A9040" s="2" t="s">
        <v>9040</v>
      </c>
      <c r="B9040" s="2" t="str">
        <f>IFERROR(__xludf.DUMMYFUNCTION("GOOGLETRANSLATE(A9040, ""en"", ""mt"")"),"Hemm Sit ta 'Wirt Dinji tal-UNESCO fil-Gorge Rhine bejn il-Koblenz u xiex?")</f>
        <v>Hemm Sit ta 'Wirt Dinji tal-UNESCO fil-Gorge Rhine bejn il-Koblenz u xiex?</v>
      </c>
    </row>
    <row r="9041" ht="15.75" customHeight="1">
      <c r="A9041" s="2" t="s">
        <v>9041</v>
      </c>
      <c r="B9041" s="2" t="str">
        <f>IFERROR(__xludf.DUMMYFUNCTION("GOOGLETRANSLATE(A9041, ""en"", ""mt"")"),"Min kien mikri biex ikun id-Deputat Direttur tal-Uffiċċju tat-Titjira Spazjali Elanned?")</f>
        <v>Min kien mikri biex ikun id-Deputat Direttur tal-Uffiċċju tat-Titjira Spazjali Elanned?</v>
      </c>
    </row>
    <row r="9042" ht="15.75" customHeight="1">
      <c r="A9042" s="2" t="s">
        <v>9042</v>
      </c>
      <c r="B9042" s="2" t="str">
        <f>IFERROR(__xludf.DUMMYFUNCTION("GOOGLETRANSLATE(A9042, ""en"", ""mt"")"),"Enerġija ATP")</f>
        <v>Enerġija ATP</v>
      </c>
    </row>
    <row r="9043" ht="15.75" customHeight="1">
      <c r="A9043" s="2" t="s">
        <v>9043</v>
      </c>
      <c r="B9043" s="2" t="str">
        <f>IFERROR(__xludf.DUMMYFUNCTION("GOOGLETRANSLATE(A9043, ""en"", ""mt"")"),"Mill-aħħar tas-snin 1340 'il quddiem")</f>
        <v>Mill-aħħar tas-snin 1340 'il quddiem</v>
      </c>
    </row>
    <row r="9044" ht="15.75" customHeight="1">
      <c r="A9044" s="2" t="s">
        <v>9044</v>
      </c>
      <c r="B9044" s="2" t="str">
        <f>IFERROR(__xludf.DUMMYFUNCTION("GOOGLETRANSLATE(A9044, ""en"", ""mt"")"),"30 Stati Amerikani pprojbixxew kastig korporali, l-oħrajn (l-aktar fin-Nofsinhar) ma kellhomx. Għadu jintuża fi grad sinifikanti (għalkemm qed jonqos) f'xi skejjel pubbliċi fl-Alabama, l-Arkansas, il-Ġeorġja, Louisiana, Mississippi, Oklahoma, Tennessee u "&amp;"Texas. Skejjel privati ​​f'dawn u fil-biċċa l-kbira tal-istati l-oħra jistgħu wkoll jużawha. Il-kastig korporali fl-iskejjel Amerikani huwa amministrat lis-sede tal-qalziet tal-istudent jew falda ma 'paddle tal-injam magħmul apposta. Dan spiss jintuża fil"&amp;"-klassi jew fil-hallway, iżda llum il-piena ġeneralment tingħata privatament fl-uffiċċju tal-prinċipal.")</f>
        <v>30 Stati Amerikani pprojbixxew kastig korporali, l-oħrajn (l-aktar fin-Nofsinhar) ma kellhomx. Għadu jintuża fi grad sinifikanti (għalkemm qed jonqos) f'xi skejjel pubbliċi fl-Alabama, l-Arkansas, il-Ġeorġja, Louisiana, Mississippi, Oklahoma, Tennessee u Texas. Skejjel privati ​​f'dawn u fil-biċċa l-kbira tal-istati l-oħra jistgħu wkoll jużawha. Il-kastig korporali fl-iskejjel Amerikani huwa amministrat lis-sede tal-qalziet tal-istudent jew falda ma 'paddle tal-injam magħmul apposta. Dan spiss jintuża fil-klassi jew fil-hallway, iżda llum il-piena ġeneralment tingħata privatament fl-uffiċċju tal-prinċipal.</v>
      </c>
    </row>
    <row r="9045" ht="15.75" customHeight="1">
      <c r="A9045" s="2" t="s">
        <v>9045</v>
      </c>
      <c r="B9045" s="2" t="str">
        <f>IFERROR(__xludf.DUMMYFUNCTION("GOOGLETRANSLATE(A9045, ""en"", ""mt"")"),"X'tip ta 'ekonomija bdiet tikber fis-snin 2000 ta' California fit-Tramuntana?")</f>
        <v>X'tip ta 'ekonomija bdiet tikber fis-snin 2000 ta' California fit-Tramuntana?</v>
      </c>
    </row>
    <row r="9046" ht="15.75" customHeight="1">
      <c r="A9046" s="2" t="s">
        <v>9046</v>
      </c>
      <c r="B9046" s="2" t="str">
        <f>IFERROR(__xludf.DUMMYFUNCTION("GOOGLETRANSLATE(A9046, ""en"", ""mt"")"),"Jekk huma klassijiet distinti jew ugwali")</f>
        <v>Jekk huma klassijiet distinti jew ugwali</v>
      </c>
    </row>
    <row r="9047" ht="15.75" customHeight="1">
      <c r="A9047" s="2" t="s">
        <v>9047</v>
      </c>
      <c r="B9047" s="2" t="str">
        <f>IFERROR(__xludf.DUMMYFUNCTION("GOOGLETRANSLATE(A9047, ""en"", ""mt"")"),"Porzjon sostanzjali tal-Asja Ċentrali u ċ-Ċina")</f>
        <v>Porzjon sostanzjali tal-Asja Ċentrali u ċ-Ċina</v>
      </c>
    </row>
    <row r="9048" ht="15.75" customHeight="1">
      <c r="A9048" s="2" t="s">
        <v>9048</v>
      </c>
      <c r="B9048" s="2" t="str">
        <f>IFERROR(__xludf.DUMMYFUNCTION("GOOGLETRANSLATE(A9048, ""en"", ""mt"")"),"Periti, disinjaturi interni, inġiniera u kostrutturi")</f>
        <v>Periti, disinjaturi interni, inġiniera u kostrutturi</v>
      </c>
    </row>
    <row r="9049" ht="15.75" customHeight="1">
      <c r="A9049" s="2" t="s">
        <v>9049</v>
      </c>
      <c r="B9049" s="2" t="str">
        <f>IFERROR(__xludf.DUMMYFUNCTION("GOOGLETRANSLATE(A9049, ""en"", ""mt"")"),"Meta kien l-ewwel kejl tal-valur tal-kostanti tal-gravitazzjoni universali ta ’Newton?")</f>
        <v>Meta kien l-ewwel kejl tal-valur tal-kostanti tal-gravitazzjoni universali ta ’Newton?</v>
      </c>
    </row>
    <row r="9050" ht="15.75" customHeight="1">
      <c r="A9050" s="2" t="s">
        <v>9050</v>
      </c>
      <c r="B9050" s="2" t="str">
        <f>IFERROR(__xludf.DUMMYFUNCTION("GOOGLETRANSLATE(A9050, ""en"", ""mt"")"),"Nuqqas ta 'għalliema rġiel")</f>
        <v>Nuqqas ta 'għalliema rġiel</v>
      </c>
    </row>
    <row r="9051" ht="15.75" customHeight="1">
      <c r="A9051" s="2" t="s">
        <v>9051</v>
      </c>
      <c r="B9051" s="2" t="str">
        <f>IFERROR(__xludf.DUMMYFUNCTION("GOOGLETRANSLATE(A9051, ""en"", ""mt"")"),"Anke qabel il-konkwista Norman tal-Ingilterra, in-Normanni ġew f'kuntatt ma 'Wales. Edward il-konfessur waqqaf lil Ralph imsemmi hawn fuq bħala Earl of Hereford u akkużah li jiddefendi l-marċi u jiġġieled mal-Welsh. F’dawn l-impriżi oriġinali, in-Normanni"&amp;" naqsu milli jagħmlu l-ebda pass f’Wales.")</f>
        <v>Anke qabel il-konkwista Norman tal-Ingilterra, in-Normanni ġew f'kuntatt ma 'Wales. Edward il-konfessur waqqaf lil Ralph imsemmi hawn fuq bħala Earl of Hereford u akkużah li jiddefendi l-marċi u jiġġieled mal-Welsh. F’dawn l-impriżi oriġinali, in-Normanni naqsu milli jagħmlu l-ebda pass f’Wales.</v>
      </c>
    </row>
    <row r="9052" ht="15.75" customHeight="1">
      <c r="A9052" s="2" t="s">
        <v>9052</v>
      </c>
      <c r="B9052" s="2" t="str">
        <f>IFERROR(__xludf.DUMMYFUNCTION("GOOGLETRANSLATE(A9052, ""en"", ""mt"")"),"Ġbir ta 'riżorsi mill-kolonji")</f>
        <v>Ġbir ta 'riżorsi mill-kolonji</v>
      </c>
    </row>
    <row r="9053" ht="15.75" customHeight="1">
      <c r="A9053" s="2" t="s">
        <v>9053</v>
      </c>
      <c r="B9053" s="2" t="str">
        <f>IFERROR(__xludf.DUMMYFUNCTION("GOOGLETRANSLATE(A9053, ""en"", ""mt"")"),"X'kien l-isem ta 'ħu Tesla?")</f>
        <v>X'kien l-isem ta 'ħu Tesla?</v>
      </c>
    </row>
    <row r="9054" ht="15.75" customHeight="1">
      <c r="A9054" s="2" t="s">
        <v>9054</v>
      </c>
      <c r="B9054" s="2" t="str">
        <f>IFERROR(__xludf.DUMMYFUNCTION("GOOGLETRANSLATE(A9054, ""en"", ""mt"")"),"Fiorello la Guardia")</f>
        <v>Fiorello la Guardia</v>
      </c>
    </row>
    <row r="9055" ht="15.75" customHeight="1">
      <c r="A9055" s="2" t="s">
        <v>9055</v>
      </c>
      <c r="B9055" s="2" t="str">
        <f>IFERROR(__xludf.DUMMYFUNCTION("GOOGLETRANSLATE(A9055, ""en"", ""mt"")"),"Supretendent Brittaniku għall-Affarijiet Indjani")</f>
        <v>Supretendent Brittaniku għall-Affarijiet Indjani</v>
      </c>
    </row>
    <row r="9056" ht="15.75" customHeight="1">
      <c r="A9056" s="2" t="s">
        <v>9056</v>
      </c>
      <c r="B9056" s="2" t="str">
        <f>IFERROR(__xludf.DUMMYFUNCTION("GOOGLETRANSLATE(A9056, ""en"", ""mt"")"),"gvernijiet")</f>
        <v>gvernijiet</v>
      </c>
    </row>
    <row r="9057" ht="15.75" customHeight="1">
      <c r="A9057" s="2" t="s">
        <v>9057</v>
      </c>
      <c r="B9057" s="2" t="str">
        <f>IFERROR(__xludf.DUMMYFUNCTION("GOOGLETRANSLATE(A9057, ""en"", ""mt"")"),"It-tkissir tal-ostakli għall-kummerċ u t-titjib tal-moviment liberu tal-merkanzija huwa maħsub biex inaqqas xiex?")</f>
        <v>It-tkissir tal-ostakli għall-kummerċ u t-titjib tal-moviment liberu tal-merkanzija huwa maħsub biex inaqqas xiex?</v>
      </c>
    </row>
    <row r="9058" ht="15.75" customHeight="1">
      <c r="A9058" s="2" t="s">
        <v>9058</v>
      </c>
      <c r="B9058" s="2" t="str">
        <f>IFERROR(__xludf.DUMMYFUNCTION("GOOGLETRANSLATE(A9058, ""en"", ""mt"")"),"3 ijiem")</f>
        <v>3 ijiem</v>
      </c>
    </row>
    <row r="9059" ht="15.75" customHeight="1">
      <c r="A9059" s="2" t="s">
        <v>9059</v>
      </c>
      <c r="B9059" s="2" t="str">
        <f>IFERROR(__xludf.DUMMYFUNCTION("GOOGLETRANSLATE(A9059, ""en"", ""mt"")"),"Ir-reġjun kien mexxej f'liema avveniment bejn l-2001 - 2007?")</f>
        <v>Ir-reġjun kien mexxej f'liema avveniment bejn l-2001 - 2007?</v>
      </c>
    </row>
    <row r="9060" ht="15.75" customHeight="1">
      <c r="A9060" s="2" t="s">
        <v>9060</v>
      </c>
      <c r="B9060" s="2" t="str">
        <f>IFERROR(__xludf.DUMMYFUNCTION("GOOGLETRANSLATE(A9060, ""en"", ""mt"")"),"X'jiġri meta s-sħab tal-elettroni jikkoinċidu minn atomi differenti?")</f>
        <v>X'jiġri meta s-sħab tal-elettroni jikkoinċidu minn atomi differenti?</v>
      </c>
    </row>
    <row r="9061" ht="15.75" customHeight="1">
      <c r="A9061" s="2" t="s">
        <v>9061</v>
      </c>
      <c r="B9061" s="2" t="str">
        <f>IFERROR(__xludf.DUMMYFUNCTION("GOOGLETRANSLATE(A9061, ""en"", ""mt"")"),"ix-xogħol tax-xitan")</f>
        <v>ix-xogħol tax-xitan</v>
      </c>
    </row>
    <row r="9062" ht="15.75" customHeight="1">
      <c r="A9062" s="2" t="s">
        <v>9062</v>
      </c>
      <c r="B9062" s="2" t="str">
        <f>IFERROR(__xludf.DUMMYFUNCTION("GOOGLETRANSLATE(A9062, ""en"", ""mt"")"),"Meta bdiet l-esplorazzjoni tal-intern?")</f>
        <v>Meta bdiet l-esplorazzjoni tal-intern?</v>
      </c>
    </row>
    <row r="9063" ht="15.75" customHeight="1">
      <c r="A9063" s="2" t="s">
        <v>9063</v>
      </c>
      <c r="B9063" s="2" t="str">
        <f>IFERROR(__xludf.DUMMYFUNCTION("GOOGLETRANSLATE(A9063, ""en"", ""mt"")"),"kloroplasti ta 'pjanti C4")</f>
        <v>kloroplasti ta 'pjanti C4</v>
      </c>
    </row>
    <row r="9064" ht="15.75" customHeight="1">
      <c r="A9064" s="2" t="s">
        <v>9064</v>
      </c>
      <c r="B9064" s="2" t="str">
        <f>IFERROR(__xludf.DUMMYFUNCTION("GOOGLETRANSLATE(A9064, ""en"", ""mt"")"),"Shirley u Johnson")</f>
        <v>Shirley u Johnson</v>
      </c>
    </row>
    <row r="9065" ht="15.75" customHeight="1">
      <c r="A9065" s="2" t="s">
        <v>9065</v>
      </c>
      <c r="B9065" s="2" t="str">
        <f>IFERROR(__xludf.DUMMYFUNCTION("GOOGLETRANSLATE(A9065, ""en"", ""mt"")"),"gass ​​ikkompressat")</f>
        <v>gass ​​ikkompressat</v>
      </c>
    </row>
    <row r="9066" ht="15.75" customHeight="1">
      <c r="A9066" s="2" t="s">
        <v>9066</v>
      </c>
      <c r="B9066" s="2" t="str">
        <f>IFERROR(__xludf.DUMMYFUNCTION("GOOGLETRANSLATE(A9066, ""en"", ""mt"")"),"Liema programm għal ABC kien remake tal-film The Boy minn Oklahoma?")</f>
        <v>Liema programm għal ABC kien remake tal-film The Boy minn Oklahoma?</v>
      </c>
    </row>
    <row r="9067" ht="15.75" customHeight="1">
      <c r="A9067" s="2" t="s">
        <v>9067</v>
      </c>
      <c r="B9067" s="2" t="str">
        <f>IFERROR(__xludf.DUMMYFUNCTION("GOOGLETRANSLATE(A9067, ""en"", ""mt"")"),"Liema żvilupp mhux intenzjonat kellha r-relazzjoni mal-elettur fuq il-gvern tal-knisja?")</f>
        <v>Liema żvilupp mhux intenzjonat kellha r-relazzjoni mal-elettur fuq il-gvern tal-knisja?</v>
      </c>
    </row>
    <row r="9068" ht="15.75" customHeight="1">
      <c r="A9068" s="2" t="s">
        <v>9068</v>
      </c>
      <c r="B9068" s="2" t="str">
        <f>IFERROR(__xludf.DUMMYFUNCTION("GOOGLETRANSLATE(A9068, ""en"", ""mt"")"),"Belt tal-Blokk tal-Lvant")</f>
        <v>Belt tal-Blokk tal-Lvant</v>
      </c>
    </row>
    <row r="9069" ht="15.75" customHeight="1">
      <c r="A9069" s="2" t="s">
        <v>9069</v>
      </c>
      <c r="B9069" s="2" t="str">
        <f>IFERROR(__xludf.DUMMYFUNCTION("GOOGLETRANSLATE(A9069, ""en"", ""mt"")"),"Liema Apollo kien l-ewwel ittestjar tal-LM, mingħajr ekwipaġġ, fl-orbita tad-Dinja?")</f>
        <v>Liema Apollo kien l-ewwel ittestjar tal-LM, mingħajr ekwipaġġ, fl-orbita tad-Dinja?</v>
      </c>
    </row>
    <row r="9070" ht="15.75" customHeight="1">
      <c r="A9070" s="2" t="s">
        <v>9070</v>
      </c>
      <c r="B9070" s="2" t="str">
        <f>IFERROR(__xludf.DUMMYFUNCTION("GOOGLETRANSLATE(A9070, ""en"", ""mt"")"),"In-nazzjonijiet industrijalizzati żiedu r-riservi tagħhom")</f>
        <v>In-nazzjonijiet industrijalizzati żiedu r-riservi tagħhom</v>
      </c>
    </row>
    <row r="9071" ht="15.75" customHeight="1">
      <c r="A9071" s="2" t="s">
        <v>9071</v>
      </c>
      <c r="B9071" s="2" t="str">
        <f>IFERROR(__xludf.DUMMYFUNCTION("GOOGLETRANSLATE(A9071, ""en"", ""mt"")"),"Skejjel tal-Istat jew tal-Gvern")</f>
        <v>Skejjel tal-Istat jew tal-Gvern</v>
      </c>
    </row>
    <row r="9072" ht="15.75" customHeight="1">
      <c r="A9072" s="2" t="s">
        <v>9072</v>
      </c>
      <c r="B9072" s="2" t="str">
        <f>IFERROR(__xludf.DUMMYFUNCTION("GOOGLETRANSLATE(A9072, ""en"", ""mt"")"),"X'kienet it-telespettatur nazzjonali ta 'ABC fl-1958?")</f>
        <v>X'kienet it-telespettatur nazzjonali ta 'ABC fl-1958?</v>
      </c>
    </row>
    <row r="9073" ht="15.75" customHeight="1">
      <c r="A9073" s="2" t="s">
        <v>9073</v>
      </c>
      <c r="B9073" s="2" t="str">
        <f>IFERROR(__xludf.DUMMYFUNCTION("GOOGLETRANSLATE(A9073, ""en"", ""mt"")"),"simili ħafna")</f>
        <v>simili ħafna</v>
      </c>
    </row>
    <row r="9074" ht="15.75" customHeight="1">
      <c r="A9074" s="2" t="s">
        <v>9074</v>
      </c>
      <c r="B9074" s="2" t="str">
        <f>IFERROR(__xludf.DUMMYFUNCTION("GOOGLETRANSLATE(A9074, ""en"", ""mt"")"),"29 ta ’Frar 2008")</f>
        <v>29 ta ’Frar 2008</v>
      </c>
    </row>
    <row r="9075" ht="15.75" customHeight="1">
      <c r="A9075" s="2" t="s">
        <v>9075</v>
      </c>
      <c r="B9075" s="2" t="str">
        <f>IFERROR(__xludf.DUMMYFUNCTION("GOOGLETRANSLATE(A9075, ""en"", ""mt"")"),"April 1959")</f>
        <v>April 1959</v>
      </c>
    </row>
    <row r="9076" ht="15.75" customHeight="1">
      <c r="A9076" s="2" t="s">
        <v>9076</v>
      </c>
      <c r="B9076" s="2" t="str">
        <f>IFERROR(__xludf.DUMMYFUNCTION("GOOGLETRANSLATE(A9076, ""en"", ""mt"")"),"X'kienet is-sede tal-eks mexxej tal-partit David McLetchie?")</f>
        <v>X'kienet is-sede tal-eks mexxej tal-partit David McLetchie?</v>
      </c>
    </row>
    <row r="9077" ht="15.75" customHeight="1">
      <c r="A9077" s="2" t="s">
        <v>9077</v>
      </c>
      <c r="B9077" s="2" t="str">
        <f>IFERROR(__xludf.DUMMYFUNCTION("GOOGLETRANSLATE(A9077, ""en"", ""mt"")"),"żewġ terzi tal-popolazzjoni tagħha")</f>
        <v>żewġ terzi tal-popolazzjoni tagħha</v>
      </c>
    </row>
    <row r="9078" ht="15.75" customHeight="1">
      <c r="A9078" s="2" t="s">
        <v>9078</v>
      </c>
      <c r="B9078" s="2" t="str">
        <f>IFERROR(__xludf.DUMMYFUNCTION("GOOGLETRANSLATE(A9078, ""en"", ""mt"")"),"Luther's Tune")</f>
        <v>Luther's Tune</v>
      </c>
    </row>
    <row r="9079" ht="15.75" customHeight="1">
      <c r="A9079" s="2" t="s">
        <v>9079</v>
      </c>
      <c r="B9079" s="2" t="str">
        <f>IFERROR(__xludf.DUMMYFUNCTION("GOOGLETRANSLATE(A9079, ""en"", ""mt"")"),"Aqbad it-TV")</f>
        <v>Aqbad it-TV</v>
      </c>
    </row>
    <row r="9080" ht="15.75" customHeight="1">
      <c r="A9080" s="2" t="s">
        <v>9080</v>
      </c>
      <c r="B9080" s="2" t="str">
        <f>IFERROR(__xludf.DUMMYFUNCTION("GOOGLETRANSLATE(A9080, ""en"", ""mt"")"),"ibbażat popolarment")</f>
        <v>ibbażat popolarment</v>
      </c>
    </row>
    <row r="9081" ht="15.75" customHeight="1">
      <c r="A9081" s="2" t="s">
        <v>9081</v>
      </c>
      <c r="B9081" s="2" t="str">
        <f>IFERROR(__xludf.DUMMYFUNCTION("GOOGLETRANSLATE(A9081, ""en"", ""mt"")"),"Kemm btieħi kellhom Denver għal Super Bowl 50?")</f>
        <v>Kemm btieħi kellhom Denver għal Super Bowl 50?</v>
      </c>
    </row>
    <row r="9082" ht="15.75" customHeight="1">
      <c r="A9082" s="2" t="s">
        <v>9082</v>
      </c>
      <c r="B9082" s="2" t="str">
        <f>IFERROR(__xludf.DUMMYFUNCTION("GOOGLETRANSLATE(A9082, ""en"", ""mt"")"),"L-1 seklu QK")</f>
        <v>L-1 seklu QK</v>
      </c>
    </row>
    <row r="9083" ht="15.75" customHeight="1">
      <c r="A9083" s="2" t="s">
        <v>9083</v>
      </c>
      <c r="B9083" s="2" t="str">
        <f>IFERROR(__xludf.DUMMYFUNCTION("GOOGLETRANSLATE(A9083, ""en"", ""mt"")"),"X’għamel ir-re rigward l-edukazzjoni Huguenot?")</f>
        <v>X’għamel ir-re rigward l-edukazzjoni Huguenot?</v>
      </c>
    </row>
    <row r="9084" ht="15.75" customHeight="1">
      <c r="A9084" s="2" t="s">
        <v>9084</v>
      </c>
      <c r="B9084" s="2" t="str">
        <f>IFERROR(__xludf.DUMMYFUNCTION("GOOGLETRANSLATE(A9084, ""en"", ""mt"")"),"X'inhu differenti dwar Cyanidioschyzon Merolæ?")</f>
        <v>X'inhu differenti dwar Cyanidioschyzon Merolæ?</v>
      </c>
    </row>
    <row r="9085" ht="15.75" customHeight="1">
      <c r="A9085" s="2" t="s">
        <v>9085</v>
      </c>
      <c r="B9085" s="2" t="str">
        <f>IFERROR(__xludf.DUMMYFUNCTION("GOOGLETRANSLATE(A9085, ""en"", ""mt"")"),"Essenzjali għall-bidu tat-traduzzjoni fil-biċċa l-kbira tal-kloroplasti u l-prokarioti")</f>
        <v>Essenzjali għall-bidu tat-traduzzjoni fil-biċċa l-kbira tal-kloroplasti u l-prokarioti</v>
      </c>
    </row>
    <row r="9086" ht="15.75" customHeight="1">
      <c r="A9086" s="2" t="s">
        <v>9086</v>
      </c>
      <c r="B9086" s="2" t="str">
        <f>IFERROR(__xludf.DUMMYFUNCTION("GOOGLETRANSLATE(A9086, ""en"", ""mt"")"),"Metodu li jalloka minn qabel il-wisa 'tal-banda netwerk iddedikat speċifikament għal kull sessjoni ta' komunikazzjoni")</f>
        <v>Metodu li jalloka minn qabel il-wisa 'tal-banda netwerk iddedikat speċifikament għal kull sessjoni ta' komunikazzjoni</v>
      </c>
    </row>
    <row r="9087" ht="15.75" customHeight="1">
      <c r="A9087" s="2" t="s">
        <v>9087</v>
      </c>
      <c r="B9087" s="2" t="str">
        <f>IFERROR(__xludf.DUMMYFUNCTION("GOOGLETRANSLATE(A9087, ""en"", ""mt"")"),"Peter Davison")</f>
        <v>Peter Davison</v>
      </c>
    </row>
    <row r="9088" ht="15.75" customHeight="1">
      <c r="A9088" s="2" t="s">
        <v>9088</v>
      </c>
      <c r="B9088" s="2" t="str">
        <f>IFERROR(__xludf.DUMMYFUNCTION("GOOGLETRANSLATE(A9088, ""en"", ""mt"")"),"L-azzjonijiet kollha")</f>
        <v>L-azzjonijiet kollha</v>
      </c>
    </row>
    <row r="9089" ht="15.75" customHeight="1">
      <c r="A9089" s="2" t="s">
        <v>9089</v>
      </c>
      <c r="B9089" s="2" t="str">
        <f>IFERROR(__xludf.DUMMYFUNCTION("GOOGLETRANSLATE(A9089, ""en"", ""mt"")"),"Sir Francis Chantrey,")</f>
        <v>Sir Francis Chantrey,</v>
      </c>
    </row>
    <row r="9090" ht="15.75" customHeight="1">
      <c r="A9090" s="2" t="s">
        <v>9090</v>
      </c>
      <c r="B9090" s="2" t="str">
        <f>IFERROR(__xludf.DUMMYFUNCTION("GOOGLETRANSLATE(A9090, ""en"", ""mt"")"),"Numru żgħir ta 'MSPs")</f>
        <v>Numru żgħir ta 'MSPs</v>
      </c>
    </row>
    <row r="9091" ht="15.75" customHeight="1">
      <c r="A9091" s="2" t="s">
        <v>9091</v>
      </c>
      <c r="B9091" s="2" t="str">
        <f>IFERROR(__xludf.DUMMYFUNCTION("GOOGLETRANSLATE(A9091, ""en"", ""mt"")"),"Projezzjonijiet ġelatinużi mmarkati biċ-ċili")</f>
        <v>Projezzjonijiet ġelatinużi mmarkati biċ-ċili</v>
      </c>
    </row>
    <row r="9092" ht="15.75" customHeight="1">
      <c r="A9092" s="2" t="s">
        <v>9092</v>
      </c>
      <c r="B9092" s="2" t="str">
        <f>IFERROR(__xludf.DUMMYFUNCTION("GOOGLETRANSLATE(A9092, ""en"", ""mt"")"),"L-ex Kamra tad-Dibattitu tal-Kunsill Reġjonali ta 'Strathclyde")</f>
        <v>L-ex Kamra tad-Dibattitu tal-Kunsill Reġjonali ta 'Strathclyde</v>
      </c>
    </row>
    <row r="9093" ht="15.75" customHeight="1">
      <c r="A9093" s="2" t="s">
        <v>9093</v>
      </c>
      <c r="B9093" s="2" t="str">
        <f>IFERROR(__xludf.DUMMYFUNCTION("GOOGLETRANSLATE(A9093, ""en"", ""mt"")"),"Testijiet ta 'Solovay-Strassen")</f>
        <v>Testijiet ta 'Solovay-Strassen</v>
      </c>
    </row>
    <row r="9094" ht="15.75" customHeight="1">
      <c r="A9094" s="2" t="s">
        <v>9094</v>
      </c>
      <c r="B9094" s="2" t="str">
        <f>IFERROR(__xludf.DUMMYFUNCTION("GOOGLETRANSLATE(A9094, ""en"", ""mt"")"),"Hoelun")</f>
        <v>Hoelun</v>
      </c>
    </row>
    <row r="9095" ht="15.75" customHeight="1">
      <c r="A9095" s="2" t="s">
        <v>9095</v>
      </c>
      <c r="B9095" s="2" t="str">
        <f>IFERROR(__xludf.DUMMYFUNCTION("GOOGLETRANSLATE(A9095, ""en"", ""mt"")"),"Kattoliku Ruman")</f>
        <v>Kattoliku Ruman</v>
      </c>
    </row>
    <row r="9096" ht="15.75" customHeight="1">
      <c r="A9096" s="2" t="s">
        <v>9096</v>
      </c>
      <c r="B9096" s="2" t="str">
        <f>IFERROR(__xludf.DUMMYFUNCTION("GOOGLETRANSLATE(A9096, ""en"", ""mt"")"),"Wara li huwa ħabbar rebbieħ")</f>
        <v>Wara li huwa ħabbar rebbieħ</v>
      </c>
    </row>
    <row r="9097" ht="15.75" customHeight="1">
      <c r="A9097" s="2" t="s">
        <v>9097</v>
      </c>
      <c r="B9097" s="2" t="str">
        <f>IFERROR(__xludf.DUMMYFUNCTION("GOOGLETRANSLATE(A9097, ""en"", ""mt"")"),"tlieta sa ħamsa")</f>
        <v>tlieta sa ħamsa</v>
      </c>
    </row>
    <row r="9098" ht="15.75" customHeight="1">
      <c r="A9098" s="2" t="s">
        <v>9098</v>
      </c>
      <c r="B9098" s="2" t="str">
        <f>IFERROR(__xludf.DUMMYFUNCTION("GOOGLETRANSLATE(A9098, ""en"", ""mt"")"),"Min feraħ lill-SNP waqt li wegħdet li tagħmel kampanja kontra r-referendum tagħhom?")</f>
        <v>Min feraħ lill-SNP waqt li wegħdet li tagħmel kampanja kontra r-referendum tagħhom?</v>
      </c>
    </row>
    <row r="9099" ht="15.75" customHeight="1">
      <c r="A9099" s="2" t="s">
        <v>9099</v>
      </c>
      <c r="B9099" s="2" t="str">
        <f>IFERROR(__xludf.DUMMYFUNCTION("GOOGLETRANSLATE(A9099, ""en"", ""mt"")"),"Min kien id-direttur tas-Soċjetà Ġeografika Amerikana fl-1914?")</f>
        <v>Min kien id-direttur tas-Soċjetà Ġeografika Amerikana fl-1914?</v>
      </c>
    </row>
    <row r="9100" ht="15.75" customHeight="1">
      <c r="A9100" s="2" t="s">
        <v>9100</v>
      </c>
      <c r="B9100" s="2" t="str">
        <f>IFERROR(__xludf.DUMMYFUNCTION("GOOGLETRANSLATE(A9100, ""en"", ""mt"")"),"kemm jekk tinvoka ħati jew le")</f>
        <v>kemm jekk tinvoka ħati jew le</v>
      </c>
    </row>
    <row r="9101" ht="15.75" customHeight="1">
      <c r="A9101" s="2" t="s">
        <v>9101</v>
      </c>
      <c r="B9101" s="2" t="str">
        <f>IFERROR(__xludf.DUMMYFUNCTION("GOOGLETRANSLATE(A9101, ""en"", ""mt"")"),"Min kien figura importanti fil-qawmien mill-ġdid tas-seklu għoxrin fl-Indja?")</f>
        <v>Min kien figura importanti fil-qawmien mill-ġdid tas-seklu għoxrin fl-Indja?</v>
      </c>
    </row>
    <row r="9102" ht="15.75" customHeight="1">
      <c r="A9102" s="2" t="s">
        <v>9102</v>
      </c>
      <c r="B9102" s="2" t="str">
        <f>IFERROR(__xludf.DUMMYFUNCTION("GOOGLETRANSLATE(A9102, ""en"", ""mt"")"),"Ħafna elementi tal-lingwa l-qadima.")</f>
        <v>Ħafna elementi tal-lingwa l-qadima.</v>
      </c>
    </row>
    <row r="9103" ht="15.75" customHeight="1">
      <c r="A9103" s="2" t="s">
        <v>9103</v>
      </c>
      <c r="B9103" s="2" t="str">
        <f>IFERROR(__xludf.DUMMYFUNCTION("GOOGLETRANSLATE(A9103, ""en"", ""mt"")"),"Anatomija ta 'Grey")</f>
        <v>Anatomija ta 'Grey</v>
      </c>
    </row>
    <row r="9104" ht="15.75" customHeight="1">
      <c r="A9104" s="2" t="s">
        <v>9104</v>
      </c>
      <c r="B9104" s="2" t="str">
        <f>IFERROR(__xludf.DUMMYFUNCTION("GOOGLETRANSLATE(A9104, ""en"", ""mt"")"),"aħdar")</f>
        <v>aħdar</v>
      </c>
    </row>
    <row r="9105" ht="15.75" customHeight="1">
      <c r="A9105" s="2" t="s">
        <v>9105</v>
      </c>
      <c r="B9105" s="2" t="str">
        <f>IFERROR(__xludf.DUMMYFUNCTION("GOOGLETRANSLATE(A9105, ""en"", ""mt"")"),"X'inhu etioplast?")</f>
        <v>X'inhu etioplast?</v>
      </c>
    </row>
    <row r="9106" ht="15.75" customHeight="1">
      <c r="A9106" s="2" t="s">
        <v>9106</v>
      </c>
      <c r="B9106" s="2" t="str">
        <f>IFERROR(__xludf.DUMMYFUNCTION("GOOGLETRANSLATE(A9106, ""en"", ""mt"")"),"X'għandhom jagħtu evidenza ta 'ġeni mogħtija?")</f>
        <v>X'għandhom jagħtu evidenza ta 'ġeni mogħtija?</v>
      </c>
    </row>
    <row r="9107" ht="15.75" customHeight="1">
      <c r="A9107" s="2" t="s">
        <v>9107</v>
      </c>
      <c r="B9107" s="2" t="str">
        <f>IFERROR(__xludf.DUMMYFUNCTION("GOOGLETRANSLATE(A9107, ""en"", ""mt"")"),"X'inhi l-opinjoni ta 'Luther dwar dak li tkopri l-liġi ??")</f>
        <v>X'inhi l-opinjoni ta 'Luther dwar dak li tkopri l-liġi ??</v>
      </c>
    </row>
    <row r="9108" ht="15.75" customHeight="1">
      <c r="A9108" s="2" t="s">
        <v>9108</v>
      </c>
      <c r="B9108" s="2" t="str">
        <f>IFERROR(__xludf.DUMMYFUNCTION("GOOGLETRANSLATE(A9108, ""en"", ""mt"")"),"Supplimentazzjoni ta 'ossiġnu")</f>
        <v>Supplimentazzjoni ta 'ossiġnu</v>
      </c>
    </row>
    <row r="9109" ht="15.75" customHeight="1">
      <c r="A9109" s="2" t="s">
        <v>9109</v>
      </c>
      <c r="B9109" s="2" t="str">
        <f>IFERROR(__xludf.DUMMYFUNCTION("GOOGLETRANSLATE(A9109, ""en"", ""mt"")"),"Ventilaturi mekkaniċi")</f>
        <v>Ventilaturi mekkaniċi</v>
      </c>
    </row>
    <row r="9110" ht="15.75" customHeight="1">
      <c r="A9110" s="2" t="s">
        <v>9110</v>
      </c>
      <c r="B9110" s="2" t="str">
        <f>IFERROR(__xludf.DUMMYFUNCTION("GOOGLETRANSLATE(A9110, ""en"", ""mt"")"),"Liema pajjiż kien imexxi California?")</f>
        <v>Liema pajjiż kien imexxi California?</v>
      </c>
    </row>
    <row r="9111" ht="15.75" customHeight="1">
      <c r="A9111" s="2" t="s">
        <v>9111</v>
      </c>
      <c r="B9111" s="2" t="str">
        <f>IFERROR(__xludf.DUMMYFUNCTION("GOOGLETRANSLATE(A9111, ""en"", ""mt"")"),"X'kien l-ewwel kabaret letterarju ta 'Varsavja?")</f>
        <v>X'kien l-ewwel kabaret letterarju ta 'Varsavja?</v>
      </c>
    </row>
    <row r="9112" ht="15.75" customHeight="1">
      <c r="A9112" s="2" t="s">
        <v>9112</v>
      </c>
      <c r="B9112" s="2" t="str">
        <f>IFERROR(__xludf.DUMMYFUNCTION("GOOGLETRANSLATE(A9112, ""en"", ""mt"")"),"Cheyenne")</f>
        <v>Cheyenne</v>
      </c>
    </row>
    <row r="9113" ht="15.75" customHeight="1">
      <c r="A9113" s="2" t="s">
        <v>9113</v>
      </c>
      <c r="B9113" s="2" t="str">
        <f>IFERROR(__xludf.DUMMYFUNCTION("GOOGLETRANSLATE(A9113, ""en"", ""mt"")"),"1340s 'il quddiem")</f>
        <v>1340s 'il quddiem</v>
      </c>
    </row>
    <row r="9114" ht="15.75" customHeight="1">
      <c r="A9114" s="2" t="s">
        <v>9114</v>
      </c>
      <c r="B9114" s="2" t="str">
        <f>IFERROR(__xludf.DUMMYFUNCTION("GOOGLETRANSLATE(A9114, ""en"", ""mt"")"),"X'kienet it-tellieqa primarja ta 'studenti li jattendu akkademji Kristjani wara d-deċiżjoni ta' Brown?")</f>
        <v>X'kienet it-tellieqa primarja ta 'studenti li jattendu akkademji Kristjani wara d-deċiżjoni ta' Brown?</v>
      </c>
    </row>
    <row r="9115" ht="15.75" customHeight="1">
      <c r="A9115" s="2" t="s">
        <v>9115</v>
      </c>
      <c r="B9115" s="2" t="str">
        <f>IFERROR(__xludf.DUMMYFUNCTION("GOOGLETRANSLATE(A9115, ""en"", ""mt"")"),"Liġi Kostituzzjonali")</f>
        <v>Liġi Kostituzzjonali</v>
      </c>
    </row>
    <row r="9116" ht="15.75" customHeight="1">
      <c r="A9116" s="2" t="s">
        <v>9116</v>
      </c>
      <c r="B9116" s="2" t="str">
        <f>IFERROR(__xludf.DUMMYFUNCTION("GOOGLETRANSLATE(A9116, ""en"", ""mt"")"),"fidda u intarsjati bid-deheb")</f>
        <v>fidda u intarsjati bid-deheb</v>
      </c>
    </row>
    <row r="9117" ht="15.75" customHeight="1">
      <c r="A9117" s="2" t="s">
        <v>9117</v>
      </c>
      <c r="B9117" s="2" t="str">
        <f>IFERROR(__xludf.DUMMYFUNCTION("GOOGLETRANSLATE(A9117, ""en"", ""mt"")"),"Kif inkella jistgħu l-petroloġisti jifhmu t-temperatura li fiha jidhru fażijiet minerali differenti?")</f>
        <v>Kif inkella jistgħu l-petroloġisti jifhmu t-temperatura li fiha jidhru fażijiet minerali differenti?</v>
      </c>
    </row>
    <row r="9118" ht="15.75" customHeight="1">
      <c r="A9118" s="2" t="s">
        <v>9118</v>
      </c>
      <c r="B9118" s="2" t="str">
        <f>IFERROR(__xludf.DUMMYFUNCTION("GOOGLETRANSLATE(A9118, ""en"", ""mt"")"),"Sebgħa")</f>
        <v>Sebgħa</v>
      </c>
    </row>
    <row r="9119" ht="15.75" customHeight="1">
      <c r="A9119" s="2" t="s">
        <v>9119</v>
      </c>
      <c r="B9119" s="2" t="str">
        <f>IFERROR(__xludf.DUMMYFUNCTION("GOOGLETRANSLATE(A9119, ""en"", ""mt"")"),"kuntest modern")</f>
        <v>kuntest modern</v>
      </c>
    </row>
    <row r="9120" ht="15.75" customHeight="1">
      <c r="A9120" s="2" t="s">
        <v>9120</v>
      </c>
      <c r="B9120" s="2" t="str">
        <f>IFERROR(__xludf.DUMMYFUNCTION("GOOGLETRANSLATE(A9120, ""en"", ""mt"")"),"X'inhi mġieba kriminali waħda li hija diffiċli biex tieqaf mill-awtoritajiet?")</f>
        <v>X'inhi mġieba kriminali waħda li hija diffiċli biex tieqaf mill-awtoritajiet?</v>
      </c>
    </row>
    <row r="9121" ht="15.75" customHeight="1">
      <c r="A9121" s="2" t="s">
        <v>9121</v>
      </c>
      <c r="B9121" s="2" t="str">
        <f>IFERROR(__xludf.DUMMYFUNCTION("GOOGLETRANSLATE(A9121, ""en"", ""mt"")"),"Wardenclyffe")</f>
        <v>Wardenclyffe</v>
      </c>
    </row>
    <row r="9122" ht="15.75" customHeight="1">
      <c r="A9122" s="2" t="s">
        <v>9122</v>
      </c>
      <c r="B9122" s="2" t="str">
        <f>IFERROR(__xludf.DUMMYFUNCTION("GOOGLETRANSLATE(A9122, ""en"", ""mt"")"),"ThereTofore stabbiliti prinċipji ta 'allokazzjoni minn qabel ta' bandwidth tan-netwerk")</f>
        <v>ThereTofore stabbiliti prinċipji ta 'allokazzjoni minn qabel ta' bandwidth tan-netwerk</v>
      </c>
    </row>
    <row r="9123" ht="15.75" customHeight="1">
      <c r="A9123" s="2" t="s">
        <v>9123</v>
      </c>
      <c r="B9123" s="2" t="str">
        <f>IFERROR(__xludf.DUMMYFUNCTION("GOOGLETRANSLATE(A9123, ""en"", ""mt"")"),"F'liema grad il-GPS per capita jistabbilixxi Victoria?")</f>
        <v>F'liema grad il-GPS per capita jistabbilixxi Victoria?</v>
      </c>
    </row>
    <row r="9124" ht="15.75" customHeight="1">
      <c r="A9124" s="2" t="s">
        <v>9124</v>
      </c>
      <c r="B9124" s="2" t="str">
        <f>IFERROR(__xludf.DUMMYFUNCTION("GOOGLETRANSLATE(A9124, ""en"", ""mt"")"),"Khan meta ddikjara formalment id-dinastija Yuan?")</f>
        <v>Khan meta ddikjara formalment id-dinastija Yuan?</v>
      </c>
    </row>
    <row r="9125" ht="15.75" customHeight="1">
      <c r="A9125" s="2" t="s">
        <v>9125</v>
      </c>
      <c r="B9125" s="2" t="str">
        <f>IFERROR(__xludf.DUMMYFUNCTION("GOOGLETRANSLATE(A9125, ""en"", ""mt"")"),"It-tifqigħa tal-Ewwel Gwerra Dinjija")</f>
        <v>It-tifqigħa tal-Ewwel Gwerra Dinjija</v>
      </c>
    </row>
    <row r="9126" ht="15.75" customHeight="1">
      <c r="A9126" s="2" t="s">
        <v>9126</v>
      </c>
      <c r="B9126" s="2" t="str">
        <f>IFERROR(__xludf.DUMMYFUNCTION("GOOGLETRANSLATE(A9126, ""en"", ""mt"")"),"6")</f>
        <v>6</v>
      </c>
    </row>
    <row r="9127" ht="15.75" customHeight="1">
      <c r="A9127" s="2" t="s">
        <v>9127</v>
      </c>
      <c r="B9127" s="2" t="str">
        <f>IFERROR(__xludf.DUMMYFUNCTION("GOOGLETRANSLATE(A9127, ""en"", ""mt"")"),"Is-servizz tas-satellita dirett għad-dar tal-BSKYB sar disponibbli f'10 miljun djar fl-2010, l-ewwel pjattaforma tat-TV bi ħlas tal-Ewropa biex tinkiseb dak il-pass importanti. Meta kkonferma li kienet laħqet il-mira tagħha, ix-xandar qal li l-firxa tagħh"&amp;"a f'36% tad-djar fir-Renju Unit kienet tirrappreżenta udjenza ta 'aktar minn 25m persuna. Il-mira ġiet imħabbra għall-ewwel darba f'Awwissu 2004, minn dakinhar, klijenti addizzjonali ta '2.4M kienu ssottoskrivu għas-servizz dirett għad-dar ta' BSKYB. Il-k"&amp;"ummentaturi tal-midja kienu ddiskutew jekk iċ-ċifra tistax tintlaħaq hekk kif it-tkabbir fin-numri tal-abbonati x'imkien ieħor fl-Ewropa ċċattjat.")</f>
        <v>Is-servizz tas-satellita dirett għad-dar tal-BSKYB sar disponibbli f'10 miljun djar fl-2010, l-ewwel pjattaforma tat-TV bi ħlas tal-Ewropa biex tinkiseb dak il-pass importanti. Meta kkonferma li kienet laħqet il-mira tagħha, ix-xandar qal li l-firxa tagħha f'36% tad-djar fir-Renju Unit kienet tirrappreżenta udjenza ta 'aktar minn 25m persuna. Il-mira ġiet imħabbra għall-ewwel darba f'Awwissu 2004, minn dakinhar, klijenti addizzjonali ta '2.4M kienu ssottoskrivu għas-servizz dirett għad-dar ta' BSKYB. Il-kummentaturi tal-midja kienu ddiskutew jekk iċ-ċifra tistax tintlaħaq hekk kif it-tkabbir fin-numri tal-abbonati x'imkien ieħor fl-Ewropa ċċattjat.</v>
      </c>
    </row>
    <row r="9128" ht="15.75" customHeight="1">
      <c r="A9128" s="2" t="s">
        <v>9128</v>
      </c>
      <c r="B9128" s="2" t="str">
        <f>IFERROR(__xludf.DUMMYFUNCTION("GOOGLETRANSLATE(A9128, ""en"", ""mt"")"),"Ossidi tas-silikon")</f>
        <v>Ossidi tas-silikon</v>
      </c>
    </row>
    <row r="9129" ht="15.75" customHeight="1">
      <c r="A9129" s="2" t="s">
        <v>9129</v>
      </c>
      <c r="B9129" s="2" t="str">
        <f>IFERROR(__xludf.DUMMYFUNCTION("GOOGLETRANSLATE(A9129, ""en"", ""mt"")"),"Il-Qilla ta ’Alla lill-Insara")</f>
        <v>Il-Qilla ta ’Alla lill-Insara</v>
      </c>
    </row>
    <row r="9130" ht="15.75" customHeight="1">
      <c r="A9130" s="2" t="s">
        <v>9130</v>
      </c>
      <c r="B9130" s="2" t="str">
        <f>IFERROR(__xludf.DUMMYFUNCTION("GOOGLETRANSLATE(A9130, ""en"", ""mt"")"),"Liema sena r-Re Sigismund III Vasa mexa l-qorti tiegħu lejn Varsavja?")</f>
        <v>Liema sena r-Re Sigismund III Vasa mexa l-qorti tiegħu lejn Varsavja?</v>
      </c>
    </row>
    <row r="9131" ht="15.75" customHeight="1">
      <c r="A9131" s="2" t="s">
        <v>9131</v>
      </c>
      <c r="B9131" s="2" t="str">
        <f>IFERROR(__xludf.DUMMYFUNCTION("GOOGLETRANSLATE(A9131, ""en"", ""mt"")"),"X'jospita ċ-Ċentru Moscone?")</f>
        <v>X'jospita ċ-Ċentru Moscone?</v>
      </c>
    </row>
    <row r="9132" ht="15.75" customHeight="1">
      <c r="A9132" s="2" t="s">
        <v>9132</v>
      </c>
      <c r="B9132" s="2" t="str">
        <f>IFERROR(__xludf.DUMMYFUNCTION("GOOGLETRANSLATE(A9132, ""en"", ""mt"")"),"Khan meta stabbilixxa l-Yuan il-Kbir?")</f>
        <v>Khan meta stabbilixxa l-Yuan il-Kbir?</v>
      </c>
    </row>
    <row r="9133" ht="15.75" customHeight="1">
      <c r="A9133" s="2" t="s">
        <v>9133</v>
      </c>
      <c r="B9133" s="2" t="str">
        <f>IFERROR(__xludf.DUMMYFUNCTION("GOOGLETRANSLATE(A9133, ""en"", ""mt"")"),"Dak kollu li jintuża biex jaħdem niket fuq id-dnub jissejjaħ il-liġi,")</f>
        <v>Dak kollu li jintuża biex jaħdem niket fuq id-dnub jissejjaħ il-liġi,</v>
      </c>
    </row>
    <row r="9134" ht="15.75" customHeight="1">
      <c r="A9134" s="2" t="s">
        <v>9134</v>
      </c>
      <c r="B9134" s="2" t="str">
        <f>IFERROR(__xludf.DUMMYFUNCTION("GOOGLETRANSLATE(A9134, ""en"", ""mt"")"),"ippriedka")</f>
        <v>ippriedka</v>
      </c>
    </row>
    <row r="9135" ht="15.75" customHeight="1">
      <c r="A9135" s="2" t="s">
        <v>9135</v>
      </c>
      <c r="B9135" s="2" t="str">
        <f>IFERROR(__xludf.DUMMYFUNCTION("GOOGLETRANSLATE(A9135, ""en"", ""mt"")"),"X'inhuma ż-żewġ affiljati ABC għal Tampa, Florida?")</f>
        <v>X'inhuma ż-żewġ affiljati ABC għal Tampa, Florida?</v>
      </c>
    </row>
    <row r="9136" ht="15.75" customHeight="1">
      <c r="A9136" s="2" t="s">
        <v>9136</v>
      </c>
      <c r="B9136" s="2" t="str">
        <f>IFERROR(__xludf.DUMMYFUNCTION("GOOGLETRANSLATE(A9136, ""en"", ""mt"")"),"Il-Baltimore Ravens")</f>
        <v>Il-Baltimore Ravens</v>
      </c>
    </row>
    <row r="9137" ht="15.75" customHeight="1">
      <c r="A9137" s="2" t="s">
        <v>9137</v>
      </c>
      <c r="B9137" s="2" t="str">
        <f>IFERROR(__xludf.DUMMYFUNCTION("GOOGLETRANSLATE(A9137, ""en"", ""mt"")"),"Matul dik is-sena, Tesla ħadmet f'Pittsburgh, billi tgħin biex toħloq sistema kurrenti alternattiva biex tixgħel il-streetcars tal-belt. Huwa sab il-ħin hemm frustranti minħabba kunflitti bejnu u l-inġiniera l-oħra ta 'Westinghouse dwar kif l-aħjar li tim"&amp;"plimenta AC Power. Bejniethom, huma stabbilixxew is-sistema kurrenti ta '60 ċiklu AC ipproponiet Tesla (biex taqbel mal-frekwenza tax-xogħol tal-mutur ta 'Tesla), għalkemm dalwaqt sabu li, peress li l-mutur ta' induzzjoni ta 'Tesla jista' jimxi biss b'vel"&amp;"oċità kostanti, ma jaħdimx għal triq karozzi. Huma spiċċaw jużaw mutur ta 'trazzjoni DC minflok.")</f>
        <v>Matul dik is-sena, Tesla ħadmet f'Pittsburgh, billi tgħin biex toħloq sistema kurrenti alternattiva biex tixgħel il-streetcars tal-belt. Huwa sab il-ħin hemm frustranti minħabba kunflitti bejnu u l-inġiniera l-oħra ta 'Westinghouse dwar kif l-aħjar li timplimenta AC Power. Bejniethom, huma stabbilixxew is-sistema kurrenti ta '60 ċiklu AC ipproponiet Tesla (biex taqbel mal-frekwenza tax-xogħol tal-mutur ta 'Tesla), għalkemm dalwaqt sabu li, peress li l-mutur ta' induzzjoni ta 'Tesla jista' jimxi biss b'veloċità kostanti, ma jaħdimx għal triq karozzi. Huma spiċċaw jużaw mutur ta 'trazzjoni DC minflok.</v>
      </c>
    </row>
    <row r="9138" ht="15.75" customHeight="1">
      <c r="A9138" s="2" t="s">
        <v>9138</v>
      </c>
      <c r="B9138" s="2" t="str">
        <f>IFERROR(__xludf.DUMMYFUNCTION("GOOGLETRANSLATE(A9138, ""en"", ""mt"")"),"Il-weekend li għadda ta 'Settembru")</f>
        <v>Il-weekend li għadda ta 'Settembru</v>
      </c>
    </row>
    <row r="9139" ht="15.75" customHeight="1">
      <c r="A9139" s="2" t="s">
        <v>9139</v>
      </c>
      <c r="B9139" s="2" t="str">
        <f>IFERROR(__xludf.DUMMYFUNCTION("GOOGLETRANSLATE(A9139, ""en"", ""mt"")"),"Flimkien mal-kongregazzjoni ta 'Brothers Christian, x'inhu grupp reliġjuż notevoli li jmexxi skejjel li jħallsu l-ħlas fl-Irlanda?")</f>
        <v>Flimkien mal-kongregazzjoni ta 'Brothers Christian, x'inhu grupp reliġjuż notevoli li jmexxi skejjel li jħallsu l-ħlas fl-Irlanda?</v>
      </c>
    </row>
    <row r="9140" ht="15.75" customHeight="1">
      <c r="A9140" s="2" t="s">
        <v>9140</v>
      </c>
      <c r="B9140" s="2" t="str">
        <f>IFERROR(__xludf.DUMMYFUNCTION("GOOGLETRANSLATE(A9140, ""en"", ""mt"")"),"Daħħal is-saċerdozju")</f>
        <v>Daħħal is-saċerdozju</v>
      </c>
    </row>
    <row r="9141" ht="15.75" customHeight="1">
      <c r="A9141" s="2" t="s">
        <v>9141</v>
      </c>
      <c r="B9141" s="2" t="str">
        <f>IFERROR(__xludf.DUMMYFUNCTION("GOOGLETRANSLATE(A9141, ""en"", ""mt"")"),"Il-qoxra tad-Dinja")</f>
        <v>Il-qoxra tad-Dinja</v>
      </c>
    </row>
    <row r="9142" ht="15.75" customHeight="1">
      <c r="A9142" s="2" t="s">
        <v>9142</v>
      </c>
      <c r="B9142" s="2" t="str">
        <f>IFERROR(__xludf.DUMMYFUNCTION("GOOGLETRANSLATE(A9142, ""en"", ""mt"")"),"X'inhu mod wieħed ta 'diżubbidjenza ċivili diġitali li jista' jkollha konsegwenzi ferm?")</f>
        <v>X'inhu mod wieħed ta 'diżubbidjenza ċivili diġitali li jista' jkollha konsegwenzi ferm?</v>
      </c>
    </row>
    <row r="9143" ht="15.75" customHeight="1">
      <c r="A9143" s="2" t="s">
        <v>9143</v>
      </c>
      <c r="B9143" s="2" t="str">
        <f>IFERROR(__xludf.DUMMYFUNCTION("GOOGLETRANSLATE(A9143, ""en"", ""mt"")"),"Oranġjo")</f>
        <v>Oranġjo</v>
      </c>
    </row>
    <row r="9144" ht="15.75" customHeight="1">
      <c r="A9144" s="2" t="s">
        <v>9144</v>
      </c>
      <c r="B9144" s="2" t="str">
        <f>IFERROR(__xludf.DUMMYFUNCTION("GOOGLETRANSLATE(A9144, ""en"", ""mt"")"),"L-esperimenti tiegħu ta 'Colorado Springs")</f>
        <v>L-esperimenti tiegħu ta 'Colorado Springs</v>
      </c>
    </row>
    <row r="9145" ht="15.75" customHeight="1">
      <c r="A9145" s="2" t="s">
        <v>9145</v>
      </c>
      <c r="B9145" s="2" t="str">
        <f>IFERROR(__xludf.DUMMYFUNCTION("GOOGLETRANSLATE(A9145, ""en"", ""mt"")"),"33 pied")</f>
        <v>33 pied</v>
      </c>
    </row>
    <row r="9146" ht="15.75" customHeight="1">
      <c r="A9146" s="2" t="s">
        <v>9146</v>
      </c>
      <c r="B9146" s="2" t="str">
        <f>IFERROR(__xludf.DUMMYFUNCTION("GOOGLETRANSLATE(A9146, ""en"", ""mt"")"),"X'kien l-isem tal-kumpanija tat-telegrafija Tesla rritornat wara li sar funzjonali?")</f>
        <v>X'kien l-isem tal-kumpanija tat-telegrafija Tesla rritornat wara li sar funzjonali?</v>
      </c>
    </row>
    <row r="9147" ht="15.75" customHeight="1">
      <c r="A9147" s="2" t="s">
        <v>9147</v>
      </c>
      <c r="B9147" s="2" t="str">
        <f>IFERROR(__xludf.DUMMYFUNCTION("GOOGLETRANSLATE(A9147, ""en"", ""mt"")"),"AKS Test Primalità")</f>
        <v>AKS Test Primalità</v>
      </c>
    </row>
    <row r="9148" ht="15.75" customHeight="1">
      <c r="A9148" s="2" t="s">
        <v>9148</v>
      </c>
      <c r="B9148" s="2" t="str">
        <f>IFERROR(__xludf.DUMMYFUNCTION("GOOGLETRANSLATE(A9148, ""en"", ""mt"")"),"Iż-żewġ timijiet elenkati jilagħbu għal liema grupp NCAA?")</f>
        <v>Iż-żewġ timijiet elenkati jilagħbu għal liema grupp NCAA?</v>
      </c>
    </row>
    <row r="9149" ht="15.75" customHeight="1">
      <c r="A9149" s="2" t="s">
        <v>9149</v>
      </c>
      <c r="B9149" s="2" t="str">
        <f>IFERROR(__xludf.DUMMYFUNCTION("GOOGLETRANSLATE(A9149, ""en"", ""mt"")"),"Marzu 2007")</f>
        <v>Marzu 2007</v>
      </c>
    </row>
    <row r="9150" ht="15.75" customHeight="1">
      <c r="A9150" s="2" t="s">
        <v>9150</v>
      </c>
      <c r="B9150" s="2" t="str">
        <f>IFERROR(__xludf.DUMMYFUNCTION("GOOGLETRANSLATE(A9150, ""en"", ""mt"")"),"puplesija apoplettika")</f>
        <v>puplesija apoplettika</v>
      </c>
    </row>
    <row r="9151" ht="15.75" customHeight="1">
      <c r="A9151" s="2" t="s">
        <v>9151</v>
      </c>
      <c r="B9151" s="2" t="str">
        <f>IFERROR(__xludf.DUMMYFUNCTION("GOOGLETRANSLATE(A9151, ""en"", ""mt"")"),"Liema episodju fl-2008 kien aktar minn siegħa?")</f>
        <v>Liema episodju fl-2008 kien aktar minn siegħa?</v>
      </c>
    </row>
    <row r="9152" ht="15.75" customHeight="1">
      <c r="A9152" s="2" t="s">
        <v>9152</v>
      </c>
      <c r="B9152" s="2" t="str">
        <f>IFERROR(__xludf.DUMMYFUNCTION("GOOGLETRANSLATE(A9152, ""en"", ""mt"")"),"għedewwa perikolużi")</f>
        <v>għedewwa perikolużi</v>
      </c>
    </row>
    <row r="9153" ht="15.75" customHeight="1">
      <c r="A9153" s="2" t="s">
        <v>9153</v>
      </c>
      <c r="B9153" s="2" t="str">
        <f>IFERROR(__xludf.DUMMYFUNCTION("GOOGLETRANSLATE(A9153, ""en"", ""mt"")"),"1997")</f>
        <v>1997</v>
      </c>
    </row>
    <row r="9154" ht="15.75" customHeight="1">
      <c r="A9154" s="2" t="s">
        <v>9154</v>
      </c>
      <c r="B9154" s="2" t="str">
        <f>IFERROR(__xludf.DUMMYFUNCTION("GOOGLETRANSLATE(A9154, ""en"", ""mt"")"),"(provvista għolja) li jikkompetu għal xogħol li ftit jeħtieġu (domanda baxxa)")</f>
        <v>(provvista għolja) li jikkompetu għal xogħol li ftit jeħtieġu (domanda baxxa)</v>
      </c>
    </row>
    <row r="9155" ht="15.75" customHeight="1">
      <c r="A9155" s="2" t="s">
        <v>9155</v>
      </c>
      <c r="B9155" s="2" t="str">
        <f>IFERROR(__xludf.DUMMYFUNCTION("GOOGLETRANSLATE(A9155, ""en"", ""mt"")"),"Minbarra l-mewt tal-kafè Wish, kemm kompetituri oħra pparteċipaw fil-konkors?")</f>
        <v>Minbarra l-mewt tal-kafè Wish, kemm kompetituri oħra pparteċipaw fil-konkors?</v>
      </c>
    </row>
    <row r="9156" ht="15.75" customHeight="1">
      <c r="A9156" s="2" t="s">
        <v>9156</v>
      </c>
      <c r="B9156" s="2" t="str">
        <f>IFERROR(__xludf.DUMMYFUNCTION("GOOGLETRANSLATE(A9156, ""en"", ""mt"")"),"X'inhi l-iktar kawża komuni ta 'immunodefiċjenza fin-nazzjonijiet li qed jiżviluppaw?")</f>
        <v>X'inhi l-iktar kawża komuni ta 'immunodefiċjenza fin-nazzjonijiet li qed jiżviluppaw?</v>
      </c>
    </row>
    <row r="9157" ht="15.75" customHeight="1">
      <c r="A9157" s="2" t="s">
        <v>9157</v>
      </c>
      <c r="B9157" s="2" t="str">
        <f>IFERROR(__xludf.DUMMYFUNCTION("GOOGLETRANSLATE(A9157, ""en"", ""mt"")"),"Il-biċċa l-kbira tal-kongregazzjonijiet Huguenot (jew individwi) fl-Amerika ta 'Fuq eventwalment affiljati ma' denominazzjonijiet Protestanti oħra ma 'membri aktar numerużi. Il-Huguenots adattaw malajr u spiss miżżewġin barra l-komunitajiet Franċiżi immed"&amp;"jati tagħhom, u dan wassal għall-assimilazzjoni tagħhom. Id-dixxendenti tagħhom f’ħafna familji komplew jużaw l-ismijiet u l-kunjomijiet Franċiżi għat-tfal tagħhom sew fis-seklu dsatax. Assimilati, il-Franċiżi għamlu bosta kontribuzzjonijiet għall-ħajja e"&amp;"konomika tal-Istati Uniti, speċjalment bħala negozjanti u artiġjani fil-perjodi kolonjali u federali bikrija tard. Pereżempju, E.I. Du Pont, ex-student ta 'Lavoisier, stabbilixxa l-Eleutherian Gunpowder Mills.")</f>
        <v>Il-biċċa l-kbira tal-kongregazzjonijiet Huguenot (jew individwi) fl-Amerika ta 'Fuq eventwalment affiljati ma' denominazzjonijiet Protestanti oħra ma 'membri aktar numerużi. Il-Huguenots adattaw malajr u spiss miżżewġin barra l-komunitajiet Franċiżi immedjati tagħhom, u dan wassal għall-assimilazzjoni tagħhom. Id-dixxendenti tagħhom f’ħafna familji komplew jużaw l-ismijiet u l-kunjomijiet Franċiżi għat-tfal tagħhom sew fis-seklu dsatax. Assimilati, il-Franċiżi għamlu bosta kontribuzzjonijiet għall-ħajja ekonomika tal-Istati Uniti, speċjalment bħala negozjanti u artiġjani fil-perjodi kolonjali u federali bikrija tard. Pereżempju, E.I. Du Pont, ex-student ta 'Lavoisier, stabbilixxa l-Eleutherian Gunpowder Mills.</v>
      </c>
    </row>
    <row r="9158" ht="15.75" customHeight="1">
      <c r="A9158" s="2" t="s">
        <v>9158</v>
      </c>
      <c r="B9158" s="2" t="str">
        <f>IFERROR(__xludf.DUMMYFUNCTION("GOOGLETRANSLATE(A9158, ""en"", ""mt"")"),"2010,")</f>
        <v>2010,</v>
      </c>
    </row>
    <row r="9159" ht="15.75" customHeight="1">
      <c r="A9159" s="2" t="s">
        <v>9159</v>
      </c>
      <c r="B9159" s="2" t="str">
        <f>IFERROR(__xludf.DUMMYFUNCTION("GOOGLETRANSLATE(A9159, ""en"", ""mt"")"),"Fejn tista 'tara Greyhound Racing fi Newcastle?")</f>
        <v>Fejn tista 'tara Greyhound Racing fi Newcastle?</v>
      </c>
    </row>
    <row r="9160" ht="15.75" customHeight="1">
      <c r="A9160" s="2" t="s">
        <v>9160</v>
      </c>
      <c r="B9160" s="2" t="str">
        <f>IFERROR(__xludf.DUMMYFUNCTION("GOOGLETRANSLATE(A9160, ""en"", ""mt"")"),"Liema forma ta 'poeżija ġiet żviluppata fil-wan?")</f>
        <v>Liema forma ta 'poeżija ġiet żviluppata fil-wan?</v>
      </c>
    </row>
    <row r="9161" ht="15.75" customHeight="1">
      <c r="A9161" s="2" t="s">
        <v>9161</v>
      </c>
      <c r="B9161" s="2" t="str">
        <f>IFERROR(__xludf.DUMMYFUNCTION("GOOGLETRANSLATE(A9161, ""en"", ""mt"")"),"Andy Warhol")</f>
        <v>Andy Warhol</v>
      </c>
    </row>
    <row r="9162" ht="15.75" customHeight="1">
      <c r="A9162" s="2" t="s">
        <v>9162</v>
      </c>
      <c r="B9162" s="2" t="str">
        <f>IFERROR(__xludf.DUMMYFUNCTION("GOOGLETRANSLATE(A9162, ""en"", ""mt"")"),"JAMUKHA")</f>
        <v>JAMUKHA</v>
      </c>
    </row>
    <row r="9163" ht="15.75" customHeight="1">
      <c r="A9163" s="2" t="s">
        <v>9163</v>
      </c>
      <c r="B9163" s="2" t="str">
        <f>IFERROR(__xludf.DUMMYFUNCTION("GOOGLETRANSLATE(A9163, ""en"", ""mt"")"),"'Ragħaj lokali liċenzjat")</f>
        <v>'Ragħaj lokali liċenzjat</v>
      </c>
    </row>
    <row r="9164" ht="15.75" customHeight="1">
      <c r="A9164" s="2" t="s">
        <v>9164</v>
      </c>
      <c r="B9164" s="2" t="str">
        <f>IFERROR(__xludf.DUMMYFUNCTION("GOOGLETRANSLATE(A9164, ""en"", ""mt"")"),"F’liema tip ta ’jihad jevita ht?")</f>
        <v>F’liema tip ta ’jihad jevita ht?</v>
      </c>
    </row>
    <row r="9165" ht="15.75" customHeight="1">
      <c r="A9165" s="2" t="s">
        <v>9165</v>
      </c>
      <c r="B9165" s="2" t="str">
        <f>IFERROR(__xludf.DUMMYFUNCTION("GOOGLETRANSLATE(A9165, ""en"", ""mt"")"),"Reġjun tal-Muntanji Cévennes")</f>
        <v>Reġjun tal-Muntanji Cévennes</v>
      </c>
    </row>
    <row r="9166" ht="15.75" customHeight="1">
      <c r="A9166" s="2" t="s">
        <v>9166</v>
      </c>
      <c r="B9166" s="2" t="str">
        <f>IFERROR(__xludf.DUMMYFUNCTION("GOOGLETRANSLATE(A9166, ""en"", ""mt"")"),"X'jista 'jkun il-ħbub tal-lamtu?")</f>
        <v>X'jista 'jkun il-ħbub tal-lamtu?</v>
      </c>
    </row>
    <row r="9167" ht="15.75" customHeight="1">
      <c r="A9167" s="2" t="s">
        <v>9167</v>
      </c>
      <c r="B9167" s="2" t="str">
        <f>IFERROR(__xludf.DUMMYFUNCTION("GOOGLETRANSLATE(A9167, ""en"", ""mt"")"),"Min għen lil Wesley bl-ordna ta 'Whatcoat u Vasey bħala Presbyters?")</f>
        <v>Min għen lil Wesley bl-ordna ta 'Whatcoat u Vasey bħala Presbyters?</v>
      </c>
    </row>
    <row r="9168" ht="15.75" customHeight="1">
      <c r="A9168" s="2" t="s">
        <v>9168</v>
      </c>
      <c r="B9168" s="2" t="str">
        <f>IFERROR(__xludf.DUMMYFUNCTION("GOOGLETRANSLATE(A9168, ""en"", ""mt"")"),"Min lagħab l-ewwel inkarnazzjoni tat-tabib fl-ispeċjal?")</f>
        <v>Min lagħab l-ewwel inkarnazzjoni tat-tabib fl-ispeċjal?</v>
      </c>
    </row>
    <row r="9169" ht="15.75" customHeight="1">
      <c r="A9169" s="2" t="s">
        <v>9169</v>
      </c>
      <c r="B9169" s="2" t="str">
        <f>IFERROR(__xludf.DUMMYFUNCTION("GOOGLETRANSLATE(A9169, ""en"", ""mt"")"),"il-komunità usa '")</f>
        <v>il-komunità usa '</v>
      </c>
    </row>
    <row r="9170" ht="15.75" customHeight="1">
      <c r="A9170" s="2" t="s">
        <v>9170</v>
      </c>
      <c r="B9170" s="2" t="str">
        <f>IFERROR(__xludf.DUMMYFUNCTION("GOOGLETRANSLATE(A9170, ""en"", ""mt"")"),"Kif ġiet iffurmata l-Gorge Rhine?")</f>
        <v>Kif ġiet iffurmata l-Gorge Rhine?</v>
      </c>
    </row>
    <row r="9171" ht="15.75" customHeight="1">
      <c r="A9171" s="2" t="s">
        <v>9171</v>
      </c>
      <c r="B9171" s="2" t="str">
        <f>IFERROR(__xludf.DUMMYFUNCTION("GOOGLETRANSLATE(A9171, ""en"", ""mt"")"),"X'jista 'jispjega għaliex xi Amerikani li saru sinjuri setgħu kellhom bidu?")</f>
        <v>X'jista 'jispjega għaliex xi Amerikani li saru sinjuri setgħu kellhom bidu?</v>
      </c>
    </row>
    <row r="9172" ht="15.75" customHeight="1">
      <c r="A9172" s="2" t="s">
        <v>9172</v>
      </c>
      <c r="B9172" s="2" t="str">
        <f>IFERROR(__xludf.DUMMYFUNCTION("GOOGLETRANSLATE(A9172, ""en"", ""mt"")"),"1963–1989")</f>
        <v>1963–1989</v>
      </c>
    </row>
    <row r="9173" ht="15.75" customHeight="1">
      <c r="A9173" s="2" t="s">
        <v>9173</v>
      </c>
      <c r="B9173" s="2" t="str">
        <f>IFERROR(__xludf.DUMMYFUNCTION("GOOGLETRANSLATE(A9173, ""en"", ""mt"")"),"Meta ħarġet it-tieni edizzjoni tal-ktieb ta 'Gasquet?")</f>
        <v>Meta ħarġet it-tieni edizzjoni tal-ktieb ta 'Gasquet?</v>
      </c>
    </row>
    <row r="9174" ht="15.75" customHeight="1">
      <c r="A9174" s="2" t="s">
        <v>9174</v>
      </c>
      <c r="B9174" s="2" t="str">
        <f>IFERROR(__xludf.DUMMYFUNCTION("GOOGLETRANSLATE(A9174, ""en"", ""mt"")"),"Ċellula tal-pjanti li fiha kloroplasti")</f>
        <v>Ċellula tal-pjanti li fiha kloroplasti</v>
      </c>
    </row>
    <row r="9175" ht="15.75" customHeight="1">
      <c r="A9175" s="2" t="s">
        <v>9175</v>
      </c>
      <c r="B9175" s="2" t="str">
        <f>IFERROR(__xludf.DUMMYFUNCTION("GOOGLETRANSLATE(A9175, ""en"", ""mt"")"),"darbtejn")</f>
        <v>darbtejn</v>
      </c>
    </row>
    <row r="9176" ht="15.75" customHeight="1">
      <c r="A9176" s="2" t="s">
        <v>9176</v>
      </c>
      <c r="B9176" s="2" t="str">
        <f>IFERROR(__xludf.DUMMYFUNCTION("GOOGLETRANSLATE(A9176, ""en"", ""mt"")"),"eżempju problema")</f>
        <v>eżempju problema</v>
      </c>
    </row>
    <row r="9177" ht="15.75" customHeight="1">
      <c r="A9177" s="2" t="s">
        <v>9177</v>
      </c>
      <c r="B9177" s="2" t="str">
        <f>IFERROR(__xludf.DUMMYFUNCTION("GOOGLETRANSLATE(A9177, ""en"", ""mt"")"),"X'għamel Luther li l-Lhud kienu?")</f>
        <v>X'għamel Luther li l-Lhud kienu?</v>
      </c>
    </row>
    <row r="9178" ht="15.75" customHeight="1">
      <c r="A9178" s="2" t="s">
        <v>9178</v>
      </c>
      <c r="B9178" s="2" t="str">
        <f>IFERROR(__xludf.DUMMYFUNCTION("GOOGLETRANSLATE(A9178, ""en"", ""mt"")"),"Darren Fletcher")</f>
        <v>Darren Fletcher</v>
      </c>
    </row>
    <row r="9179" ht="15.75" customHeight="1">
      <c r="A9179" s="2" t="s">
        <v>9179</v>
      </c>
      <c r="B9179" s="2" t="str">
        <f>IFERROR(__xludf.DUMMYFUNCTION("GOOGLETRANSLATE(A9179, ""en"", ""mt"")"),"Minn xiex tista 'skola charter teħtieġ li l-għalliema tagħhom jilħqu l-istandards biex ikunu kwalifikati ħafna?")</f>
        <v>Minn xiex tista 'skola charter teħtieġ li l-għalliema tagħhom jilħqu l-istandards biex ikunu kwalifikati ħafna?</v>
      </c>
    </row>
    <row r="9180" ht="15.75" customHeight="1">
      <c r="A9180" s="2" t="s">
        <v>9180</v>
      </c>
      <c r="B9180" s="2" t="str">
        <f>IFERROR(__xludf.DUMMYFUNCTION("GOOGLETRANSLATE(A9180, ""en"", ""mt"")"),"Liema pjattaforma kienet Sentanta Sports li qed tippjana fuq it-tnedija?")</f>
        <v>Liema pjattaforma kienet Sentanta Sports li qed tippjana fuq it-tnedija?</v>
      </c>
    </row>
    <row r="9181" ht="15.75" customHeight="1">
      <c r="A9181" s="2" t="s">
        <v>9181</v>
      </c>
      <c r="B9181" s="2" t="str">
        <f>IFERROR(__xludf.DUMMYFUNCTION("GOOGLETRANSLATE(A9181, ""en"", ""mt"")"),"bħala persuni")</f>
        <v>bħala persuni</v>
      </c>
    </row>
    <row r="9182" ht="15.75" customHeight="1">
      <c r="A9182" s="2" t="s">
        <v>9182</v>
      </c>
      <c r="B9182" s="2" t="str">
        <f>IFERROR(__xludf.DUMMYFUNCTION("GOOGLETRANSLATE(A9182, ""en"", ""mt"")"),"Perossidi, klorati, nitrati, perklorati, u dikromi")</f>
        <v>Perossidi, klorati, nitrati, perklorati, u dikromi</v>
      </c>
    </row>
    <row r="9183" ht="15.75" customHeight="1">
      <c r="A9183" s="2" t="s">
        <v>9183</v>
      </c>
      <c r="B9183" s="2" t="str">
        <f>IFERROR(__xludf.DUMMYFUNCTION("GOOGLETRANSLATE(A9183, ""en"", ""mt"")"),"Il-korp akkademiku tal-università huwa magħmul minn kemm diviżjonijiet tal-gradwati?")</f>
        <v>Il-korp akkademiku tal-università huwa magħmul minn kemm diviżjonijiet tal-gradwati?</v>
      </c>
    </row>
    <row r="9184" ht="15.75" customHeight="1">
      <c r="A9184" s="2" t="s">
        <v>9184</v>
      </c>
      <c r="B9184" s="2" t="str">
        <f>IFERROR(__xludf.DUMMYFUNCTION("GOOGLETRANSLATE(A9184, ""en"", ""mt"")"),"isegwi l-istess proċeduri bħal għal rapporti ta 'valutazzjoni tal-IPCC")</f>
        <v>isegwi l-istess proċeduri bħal għal rapporti ta 'valutazzjoni tal-IPCC</v>
      </c>
    </row>
    <row r="9185" ht="15.75" customHeight="1">
      <c r="A9185" s="2" t="s">
        <v>9185</v>
      </c>
      <c r="B9185" s="2" t="str">
        <f>IFERROR(__xludf.DUMMYFUNCTION("GOOGLETRANSLATE(A9185, ""en"", ""mt"")"),"kabina fjammabbli u materjali tal-libsa spazjali")</f>
        <v>kabina fjammabbli u materjali tal-libsa spazjali</v>
      </c>
    </row>
    <row r="9186" ht="15.75" customHeight="1">
      <c r="A9186" s="2" t="s">
        <v>9186</v>
      </c>
      <c r="B9186" s="2" t="str">
        <f>IFERROR(__xludf.DUMMYFUNCTION("GOOGLETRANSLATE(A9186, ""en"", ""mt"")"),"Kemm kien jilgħab Denver miżmum barra miż-żona finali wara li rċieva l-ballun minn Newton?")</f>
        <v>Kemm kien jilgħab Denver miżmum barra miż-żona finali wara li rċieva l-ballun minn Newton?</v>
      </c>
    </row>
    <row r="9187" ht="15.75" customHeight="1">
      <c r="A9187" s="2" t="s">
        <v>9187</v>
      </c>
      <c r="B9187" s="2" t="str">
        <f>IFERROR(__xludf.DUMMYFUNCTION("GOOGLETRANSLATE(A9187, ""en"", ""mt"")"),"Aspett kontroversjali tal-imperjalizmu huwa d-difiża u l-ġustifikazzjoni tal-bini tal-imperu bbażati fuq raġunijiet apparentement razzjonali. J. A. Hobson jidentifika din il-ġustifikazzjoni għal raġunijiet ġenerali bħala: ""Huwa mixtieq li d-Dinja għandha"&amp;" tkun imqaxxra, regolata u żviluppata, kemm jista 'jkun, mir-razez li jistgħu jagħmlu dan ix-xogħol l-aħjar, i.e. mir-razez tal-ogħla' effiċjenza soċjali ' """". Ħafna oħrajn argumentaw li l-imperjalizmu huwa ġġustifikat għal diversi raġunijiet differenti"&amp;". Friedrich Ratzel kien jemmen li sabiex stat jgħix, kien meħtieġ l-imperjalizmu. Halford Mackinder ħass li l-Gran Brittanja kellha tkun waħda mill-ikbar imperjalisti u għalhekk iġġustifika l-imperjalizmu. In-natura xjentifika li suppost ta '""darwiniżmu "&amp;"soċjali"" u teorija tar-razez iffurmaw ġustifikazzjoni allegatament razzjonali għall-imperjalizmu. Ir-retorika tal-kolonizzaturi li hija razzjalment superjuri tidher li kisbet l-iskop tagħha, pereżempju matul l-Amerika Latina ""Bjuda"" għadha apprezzata l"&amp;"lum u diversi forom ta 'Blanqueamiento (whitening) huma komuni.")</f>
        <v>Aspett kontroversjali tal-imperjalizmu huwa d-difiża u l-ġustifikazzjoni tal-bini tal-imperu bbażati fuq raġunijiet apparentement razzjonali. J. A. Hobson jidentifika din il-ġustifikazzjoni għal raġunijiet ġenerali bħala: "Huwa mixtieq li d-Dinja għandha tkun imqaxxra, regolata u żviluppata, kemm jista 'jkun, mir-razez li jistgħu jagħmlu dan ix-xogħol l-aħjar, i.e. mir-razez tal-ogħla' effiċjenza soċjali ' "". Ħafna oħrajn argumentaw li l-imperjalizmu huwa ġġustifikat għal diversi raġunijiet differenti. Friedrich Ratzel kien jemmen li sabiex stat jgħix, kien meħtieġ l-imperjalizmu. Halford Mackinder ħass li l-Gran Brittanja kellha tkun waħda mill-ikbar imperjalisti u għalhekk iġġustifika l-imperjalizmu. In-natura xjentifika li suppost ta '"darwiniżmu soċjali" u teorija tar-razez iffurmaw ġustifikazzjoni allegatament razzjonali għall-imperjalizmu. Ir-retorika tal-kolonizzaturi li hija razzjalment superjuri tidher li kisbet l-iskop tagħha, pereżempju matul l-Amerika Latina "Bjuda" għadha apprezzata llum u diversi forom ta 'Blanqueamiento (whitening) huma komuni.</v>
      </c>
    </row>
    <row r="9188" ht="15.75" customHeight="1">
      <c r="A9188" s="2" t="s">
        <v>9188</v>
      </c>
      <c r="B9188" s="2" t="str">
        <f>IFERROR(__xludf.DUMMYFUNCTION("GOOGLETRANSLATE(A9188, ""en"", ""mt"")"),"li fih il-phycobilin")</f>
        <v>li fih il-phycobilin</v>
      </c>
    </row>
    <row r="9189" ht="15.75" customHeight="1">
      <c r="A9189" s="2" t="s">
        <v>9189</v>
      </c>
      <c r="B9189" s="2" t="str">
        <f>IFERROR(__xludf.DUMMYFUNCTION("GOOGLETRANSLATE(A9189, ""en"", ""mt"")"),"Matul l-Oligocene, pereżempju, il-foresta tropikali mifruxa faxxa relattivament dejqa.")</f>
        <v>Matul l-Oligocene, pereżempju, il-foresta tropikali mifruxa faxxa relattivament dejqa.</v>
      </c>
    </row>
    <row r="9190" ht="15.75" customHeight="1">
      <c r="A9190" s="2" t="s">
        <v>9190</v>
      </c>
      <c r="B9190" s="2" t="str">
        <f>IFERROR(__xludf.DUMMYFUNCTION("GOOGLETRANSLATE(A9190, ""en"", ""mt"")"),"Fuq il-pussess li jmiss ta 'Carolina Mike Tolbert tilef fumble waqt li ġie ttrattat mis-sigurtà ta' Darian Stewart, li l-linebacker Danny Trevathan irkupra fuq il-linja ta 'Broncos 40-yard. Madankollu, il-Panthers dalwaqt ħadu l-ballun lura meta t-tmiem d"&amp;"ifensiv ta 'Kony Ealy waqqgħet pass ta' manning lilu nnifsu u mbagħad interċettah, u rritorna l-ballun 19-il tarzna lejn il-linja ta '39-tarzna tal-Panthers b'1.55 xellug fuq l-arloġġ. Il-Panthers ma setgħu jiksbu l-ebda btieħi bil-pussess tagħhom u kellh"&amp;"om punt. Wara Punt ta 'Denver, Carolina saq lejn il-linja ta' Broncos 45-yard. Iżda bi 11-il sekonda xellug, Newton ġie mkeċċi minn DeMarcus Ware hekk kif skada ż-żmien fin-nofs.")</f>
        <v>Fuq il-pussess li jmiss ta 'Carolina Mike Tolbert tilef fumble waqt li ġie ttrattat mis-sigurtà ta' Darian Stewart, li l-linebacker Danny Trevathan irkupra fuq il-linja ta 'Broncos 40-yard. Madankollu, il-Panthers dalwaqt ħadu l-ballun lura meta t-tmiem difensiv ta 'Kony Ealy waqqgħet pass ta' manning lilu nnifsu u mbagħad interċettah, u rritorna l-ballun 19-il tarzna lejn il-linja ta '39-tarzna tal-Panthers b'1.55 xellug fuq l-arloġġ. Il-Panthers ma setgħu jiksbu l-ebda btieħi bil-pussess tagħhom u kellhom punt. Wara Punt ta 'Denver, Carolina saq lejn il-linja ta' Broncos 45-yard. Iżda bi 11-il sekonda xellug, Newton ġie mkeċċi minn DeMarcus Ware hekk kif skada ż-żmien fin-nofs.</v>
      </c>
    </row>
    <row r="9191" ht="15.75" customHeight="1">
      <c r="A9191" s="2" t="s">
        <v>9191</v>
      </c>
      <c r="B9191" s="2" t="str">
        <f>IFERROR(__xludf.DUMMYFUNCTION("GOOGLETRANSLATE(A9191, ""en"", ""mt"")"),"Avvenimenti f'ħajtu")</f>
        <v>Avvenimenti f'ħajtu</v>
      </c>
    </row>
    <row r="9192" ht="15.75" customHeight="1">
      <c r="A9192" s="2" t="s">
        <v>9192</v>
      </c>
      <c r="B9192" s="2" t="str">
        <f>IFERROR(__xludf.DUMMYFUNCTION("GOOGLETRANSLATE(A9192, ""en"", ""mt"")"),"Dak li l-matematiku Ingliż ħa kburi li għamel xogħol li huwa ħass li ma kellux benefiċċju militari?")</f>
        <v>Dak li l-matematiku Ingliż ħa kburi li għamel xogħol li huwa ħass li ma kellux benefiċċju militari?</v>
      </c>
    </row>
    <row r="9193" ht="15.75" customHeight="1">
      <c r="A9193" s="2" t="s">
        <v>9193</v>
      </c>
      <c r="B9193" s="2" t="str">
        <f>IFERROR(__xludf.DUMMYFUNCTION("GOOGLETRANSLATE(A9193, ""en"", ""mt"")"),"in-netwerk")</f>
        <v>in-netwerk</v>
      </c>
    </row>
    <row r="9194" ht="15.75" customHeight="1">
      <c r="A9194" s="2" t="s">
        <v>9194</v>
      </c>
      <c r="B9194" s="2" t="str">
        <f>IFERROR(__xludf.DUMMYFUNCTION("GOOGLETRANSLATE(A9194, ""en"", ""mt"")"),"Fix-xogħlijiet akkademiċi Anglophone, it-teoriji rigward l-imperjalizmu spiss huma bbażati fuq l-esperjenza Ingliża. It-terminu ""imperjalizmu"" kien oriġinarjament introdott fl-Ingliż fis-sens preżenti tiegħu fl-aħħar tas-snin 1870 minn avversarji tal-po"&amp;"litiki imperjali allegatament aggressivi u ostentatious tal-Prim Ministru Ingliż Benjamin Disraeli. Ftit kien approprjat mill-partitarji ta '""imperjalizmu"" bħal Joseph Chamberlain. Għal uħud, l-imperjalizmu ħatar politika ta ’idealiżmu u filantropija; O"&amp;"ħrajn allegaw li kien ikkaratterizzat minn interess politiku tal-awto, u numru dejjem jikber assoċjatha mar-regħba kapitalista. Liberali John A. Hobson u Marxist Vladimir Lenin żiedu konnotazzjoni makroekonomika aktar teoretika mat-terminu. Lenin b'mod pa"&amp;"rtikolari eżerċita influwenza sostanzjali fuq kunċetti Marxisti aktar tard dwar l-imperjalizmu bl-imperjalizmu tax-xogħol tiegħu, l-ogħla stadju tal-kapitaliżmu. Fil-kitbiet tiegħu Lenin ippreżentat l-imperjalizmu bħala estensjoni naturali tal-kapitaliżmu"&amp;" li nibtet mill-ħtieġa għall-ekonomiji kapitalisti biex kontinwament jespandu l-investiment, ir-riżorsi materjali u l-ħaddiema b'tali mod li kien jeħtieġ espansjoni kolonjali. Din il-kunċett ta 'l-imperjalizmu bħala karatteristika strutturali tal-kapitali"&amp;"żmu hija mtennija minn teoriċi Marxisti aktar tard. Ħafna teoriċi fuq ix-xellug segwew fl-enfasi tal-karattru strutturali jew sistemiku ta '""imperjalizmu"". Kittieba bħal dawn espandew il-perjodu ta 'żmien assoċjat mat-terminu sabiex issa jinnomina polit"&amp;"ika, u lanqas spazju qasir ta' għexieren ta 'snin fl-aħħar tas-seklu 19, iżda sistema dinjija li testendi fuq perjodu ta' sekli, ħafna drabi tmur lura lejn Christopher Columbus u , f'xi kontijiet, għall-Kruċjati. Hekk kif l-applikazzjoni tat-terminu espan"&amp;"diet, it-tifsira tagħha tbiddlet tul ħames assi distinti imma ta 'spiss paralleli: il-morali, l-ekonomiku, il-sistemiku, il-kulturali, u t-temporali. Dawk il-bidliet jirriflettu - fost ċaqliq ieħor fis-sensibilità - inkwiet dejjem jikber, anke squeamishne"&amp;"ss, bil-fatt tal-poter, speċifikament, il-qawwa tal-Punent.")</f>
        <v>Fix-xogħlijiet akkademiċi Anglophone, it-teoriji rigward l-imperjalizmu spiss huma bbażati fuq l-esperjenza Ingliża. It-terminu "imperjalizmu" kien oriġinarjament introdott fl-Ingliż fis-sens preżenti tiegħu fl-aħħar tas-snin 1870 minn avversarji tal-politiki imperjali allegatament aggressivi u ostentatious tal-Prim Ministru Ingliż Benjamin Disraeli. Ftit kien approprjat mill-partitarji ta '"imperjalizmu" bħal Joseph Chamberlain. Għal uħud, l-imperjalizmu ħatar politika ta ’idealiżmu u filantropija; Oħrajn allegaw li kien ikkaratterizzat minn interess politiku tal-awto, u numru dejjem jikber assoċjatha mar-regħba kapitalista. Liberali John A. Hobson u Marxist Vladimir Lenin żiedu konnotazzjoni makroekonomika aktar teoretika mat-terminu. Lenin b'mod partikolari eżerċita influwenza sostanzjali fuq kunċetti Marxisti aktar tard dwar l-imperjalizmu bl-imperjalizmu tax-xogħol tiegħu, l-ogħla stadju tal-kapitaliżmu. Fil-kitbiet tiegħu Lenin ippreżentat l-imperjalizmu bħala estensjoni naturali tal-kapitaliżmu li nibtet mill-ħtieġa għall-ekonomiji kapitalisti biex kontinwament jespandu l-investiment, ir-riżorsi materjali u l-ħaddiema b'tali mod li kien jeħtieġ espansjoni kolonjali. Din il-kunċett ta 'l-imperjalizmu bħala karatteristika strutturali tal-kapitaliżmu hija mtennija minn teoriċi Marxisti aktar tard. Ħafna teoriċi fuq ix-xellug segwew fl-enfasi tal-karattru strutturali jew sistemiku ta '"imperjalizmu". Kittieba bħal dawn espandew il-perjodu ta 'żmien assoċjat mat-terminu sabiex issa jinnomina politika, u lanqas spazju qasir ta' għexieren ta 'snin fl-aħħar tas-seklu 19, iżda sistema dinjija li testendi fuq perjodu ta' sekli, ħafna drabi tmur lura lejn Christopher Columbus u , f'xi kontijiet, għall-Kruċjati. Hekk kif l-applikazzjoni tat-terminu espandiet, it-tifsira tagħha tbiddlet tul ħames assi distinti imma ta 'spiss paralleli: il-morali, l-ekonomiku, il-sistemiku, il-kulturali, u t-temporali. Dawk il-bidliet jirriflettu - fost ċaqliq ieħor fis-sensibilità - inkwiet dejjem jikber, anke squeamishness, bil-fatt tal-poter, speċifikament, il-qawwa tal-Punent.</v>
      </c>
    </row>
    <row r="9195" ht="15.75" customHeight="1">
      <c r="A9195" s="2" t="s">
        <v>9195</v>
      </c>
      <c r="B9195" s="2" t="str">
        <f>IFERROR(__xludf.DUMMYFUNCTION("GOOGLETRANSLATE(A9195, ""en"", ""mt"")"),"dettaljat")</f>
        <v>dettaljat</v>
      </c>
    </row>
    <row r="9196" ht="15.75" customHeight="1">
      <c r="A9196" s="2" t="s">
        <v>9196</v>
      </c>
      <c r="B9196" s="2" t="str">
        <f>IFERROR(__xludf.DUMMYFUNCTION("GOOGLETRANSLATE(A9196, ""en"", ""mt"")"),"L-għada tax-xandira oriġinali tagħhom")</f>
        <v>L-għada tax-xandira oriġinali tagħhom</v>
      </c>
    </row>
    <row r="9197" ht="15.75" customHeight="1">
      <c r="A9197" s="2" t="s">
        <v>9197</v>
      </c>
      <c r="B9197" s="2" t="str">
        <f>IFERROR(__xludf.DUMMYFUNCTION("GOOGLETRANSLATE(A9197, ""en"", ""mt"")"),"""Nies sempliċi")</f>
        <v>"Nies sempliċi</v>
      </c>
    </row>
    <row r="9198" ht="15.75" customHeight="1">
      <c r="A9198" s="2" t="s">
        <v>9198</v>
      </c>
      <c r="B9198" s="2" t="str">
        <f>IFERROR(__xludf.DUMMYFUNCTION("GOOGLETRANSLATE(A9198, ""en"", ""mt"")"),"Kemm-il linji għandha s-sistema ferrovjarja tal-vjaġġatur?")</f>
        <v>Kemm-il linji għandha s-sistema ferrovjarja tal-vjaġġatur?</v>
      </c>
    </row>
    <row r="9199" ht="15.75" customHeight="1">
      <c r="A9199" s="2" t="s">
        <v>9199</v>
      </c>
      <c r="B9199" s="2" t="str">
        <f>IFERROR(__xludf.DUMMYFUNCTION("GOOGLETRANSLATE(A9199, ""en"", ""mt"")"),"Fl-2010 l-Amazon Rainforest esperjenzat nixfa kbira oħra, b'xi modi aktar estrema min-nixfa tal-2005. Ir-reġjun affettwat kien approssimattiv ta '1,160,000 mil kwadru (3,000,000 km2) ta' foresta tropikali, meta mqabbel ma '734,000 mil kwadru (1,900,000 km"&amp;"2) fl-2005. In-nixfa tal-2010 kellha tliet epiċentri fejn il-veġetazzjoni mietet, filwaqt li fl-2005 in-nixfa kienet iffokata fuq il-parti tal-Lbiċ. Is-sejbiet ġew ippubblikati fil-ġurnal Science. F’sena tipika l-Amazon tassorbi 1.5 gigatons ta ’dijossidu"&amp;" tal-karbonju; Matul l-2005 minflok ġew rilaxxati 5 gigatons u fl-2010 ġew rilaxxati 8 gigatons.")</f>
        <v>Fl-2010 l-Amazon Rainforest esperjenzat nixfa kbira oħra, b'xi modi aktar estrema min-nixfa tal-2005. Ir-reġjun affettwat kien approssimattiv ta '1,160,000 mil kwadru (3,000,000 km2) ta' foresta tropikali, meta mqabbel ma '734,000 mil kwadru (1,900,000 km2) fl-2005. In-nixfa tal-2010 kellha tliet epiċentri fejn il-veġetazzjoni mietet, filwaqt li fl-2005 in-nixfa kienet iffokata fuq il-parti tal-Lbiċ. Is-sejbiet ġew ippubblikati fil-ġurnal Science. F’sena tipika l-Amazon tassorbi 1.5 gigatons ta ’dijossidu tal-karbonju; Matul l-2005 minflok ġew rilaxxati 5 gigatons u fl-2010 ġew rilaxxati 8 gigatons.</v>
      </c>
    </row>
    <row r="9200" ht="15.75" customHeight="1">
      <c r="A9200" s="2" t="s">
        <v>9200</v>
      </c>
      <c r="B9200" s="2" t="str">
        <f>IFERROR(__xludf.DUMMYFUNCTION("GOOGLETRANSLATE(A9200, ""en"", ""mt"")"),"Tagħna")</f>
        <v>Tagħna</v>
      </c>
    </row>
    <row r="9201" ht="15.75" customHeight="1">
      <c r="A9201" s="2" t="s">
        <v>9201</v>
      </c>
      <c r="B9201" s="2" t="str">
        <f>IFERROR(__xludf.DUMMYFUNCTION("GOOGLETRANSLATE(A9201, ""en"", ""mt"")"),"Ko-riċettur CD4")</f>
        <v>Ko-riċettur CD4</v>
      </c>
    </row>
    <row r="9202" ht="15.75" customHeight="1">
      <c r="A9202" s="2" t="s">
        <v>9202</v>
      </c>
      <c r="B9202" s="2" t="str">
        <f>IFERROR(__xludf.DUMMYFUNCTION("GOOGLETRANSLATE(A9202, ""en"", ""mt"")"),"il-problema ta 'ħabta np-kompluta")</f>
        <v>il-problema ta 'ħabta np-kompluta</v>
      </c>
    </row>
    <row r="9203" ht="15.75" customHeight="1">
      <c r="A9203" s="2" t="s">
        <v>9203</v>
      </c>
      <c r="B9203" s="2" t="str">
        <f>IFERROR(__xludf.DUMMYFUNCTION("GOOGLETRANSLATE(A9203, ""en"", ""mt"")"),"X’kisja Luther li l-knisja kienet se tinkludi jekk il-liġi ma kinitx mgħallma?")</f>
        <v>X’kisja Luther li l-knisja kienet se tinkludi jekk il-liġi ma kinitx mgħallma?</v>
      </c>
    </row>
    <row r="9204" ht="15.75" customHeight="1">
      <c r="A9204" s="2" t="s">
        <v>9204</v>
      </c>
      <c r="B9204" s="2" t="str">
        <f>IFERROR(__xludf.DUMMYFUNCTION("GOOGLETRANSLATE(A9204, ""en"", ""mt"")"),"F'liema episodju ġie kkonfermat il-ħames tabib?")</f>
        <v>F'liema episodju ġie kkonfermat il-ħames tabib?</v>
      </c>
    </row>
    <row r="9205" ht="15.75" customHeight="1">
      <c r="A9205" s="2" t="s">
        <v>9205</v>
      </c>
      <c r="B9205" s="2" t="str">
        <f>IFERROR(__xludf.DUMMYFUNCTION("GOOGLETRANSLATE(A9205, ""en"", ""mt"")"),"X'qed jaqblu dwar l-istudjużi dwar l-istazzjonar fuq l-istorja tal-bieb?")</f>
        <v>X'qed jaqblu dwar l-istudjużi dwar l-istazzjonar fuq l-istorja tal-bieb?</v>
      </c>
    </row>
    <row r="9206" ht="15.75" customHeight="1">
      <c r="A9206" s="2" t="s">
        <v>9206</v>
      </c>
      <c r="B9206" s="2" t="str">
        <f>IFERROR(__xludf.DUMMYFUNCTION("GOOGLETRANSLATE(A9206, ""en"", ""mt"")"),"Rivoluzzjoni Iżlamika")</f>
        <v>Rivoluzzjoni Iżlamika</v>
      </c>
    </row>
    <row r="9207" ht="15.75" customHeight="1">
      <c r="A9207" s="2" t="s">
        <v>9207</v>
      </c>
      <c r="B9207" s="2" t="str">
        <f>IFERROR(__xludf.DUMMYFUNCTION("GOOGLETRANSLATE(A9207, ""en"", ""mt"")"),"Liema monasteru Buddista ospita l-mausoleum ta 'Genghis Khan waqt l-okkupazzjoni Ġappuniża?")</f>
        <v>Liema monasteru Buddista ospita l-mausoleum ta 'Genghis Khan waqt l-okkupazzjoni Ġappuniża?</v>
      </c>
    </row>
    <row r="9208" ht="15.75" customHeight="1">
      <c r="A9208" s="2" t="s">
        <v>9208</v>
      </c>
      <c r="B9208" s="2" t="str">
        <f>IFERROR(__xludf.DUMMYFUNCTION("GOOGLETRANSLATE(A9208, ""en"", ""mt"")"),"Kif kienet tissejjaħ il-kampanja ta 'reklamar tas-Super Bowl tal-klijent Doritos?")</f>
        <v>Kif kienet tissejjaħ il-kampanja ta 'reklamar tas-Super Bowl tal-klijent Doritos?</v>
      </c>
    </row>
    <row r="9209" ht="15.75" customHeight="1">
      <c r="A9209" s="2" t="s">
        <v>9209</v>
      </c>
      <c r="B9209" s="2" t="str">
        <f>IFERROR(__xludf.DUMMYFUNCTION("GOOGLETRANSLATE(A9209, ""en"", ""mt"")"),"Liema ġene huwa responsabbli għall-konverżjoni ta 'calcidiol f'kalcitriol?")</f>
        <v>Liema ġene huwa responsabbli għall-konverżjoni ta 'calcidiol f'kalcitriol?</v>
      </c>
    </row>
    <row r="9210" ht="15.75" customHeight="1">
      <c r="A9210" s="2" t="s">
        <v>9210</v>
      </c>
      <c r="B9210" s="2" t="str">
        <f>IFERROR(__xludf.DUMMYFUNCTION("GOOGLETRANSLATE(A9210, ""en"", ""mt"")"),"Chéngjísī Hán")</f>
        <v>Chéngjísī Hán</v>
      </c>
    </row>
    <row r="9211" ht="15.75" customHeight="1">
      <c r="A9211" s="2" t="s">
        <v>9211</v>
      </c>
      <c r="B9211" s="2" t="str">
        <f>IFERROR(__xludf.DUMMYFUNCTION("GOOGLETRANSLATE(A9211, ""en"", ""mt"")"),"X’semmew il-BSKYB is-servizz interattiv tagħhom?")</f>
        <v>X’semmew il-BSKYB is-servizz interattiv tagħhom?</v>
      </c>
    </row>
    <row r="9212" ht="15.75" customHeight="1">
      <c r="A9212" s="2" t="s">
        <v>9212</v>
      </c>
      <c r="B9212" s="2" t="str">
        <f>IFERROR(__xludf.DUMMYFUNCTION("GOOGLETRANSLATE(A9212, ""en"", ""mt"")"),"Liema proklamazzjoni intemmet uffiċjalment l-awtonomija Huguenot limitata?")</f>
        <v>Liema proklamazzjoni intemmet uffiċjalment l-awtonomija Huguenot limitata?</v>
      </c>
    </row>
    <row r="9213" ht="15.75" customHeight="1">
      <c r="A9213" s="2" t="s">
        <v>9213</v>
      </c>
      <c r="B9213" s="2" t="str">
        <f>IFERROR(__xludf.DUMMYFUNCTION("GOOGLETRANSLATE(A9213, ""en"", ""mt"")"),"20,000")</f>
        <v>20,000</v>
      </c>
    </row>
    <row r="9214" ht="15.75" customHeight="1">
      <c r="A9214" s="2" t="s">
        <v>9214</v>
      </c>
      <c r="B9214" s="2" t="str">
        <f>IFERROR(__xludf.DUMMYFUNCTION("GOOGLETRANSLATE(A9214, ""en"", ""mt"")"),"Dubbidjenza ċivili mhux rivoluzzjonarja")</f>
        <v>Dubbidjenza ċivili mhux rivoluzzjonarja</v>
      </c>
    </row>
    <row r="9215" ht="15.75" customHeight="1">
      <c r="A9215" s="2" t="s">
        <v>9215</v>
      </c>
      <c r="B9215" s="2" t="str">
        <f>IFERROR(__xludf.DUMMYFUNCTION("GOOGLETRANSLATE(A9215, ""en"", ""mt"")"),"katalitiku")</f>
        <v>katalitiku</v>
      </c>
    </row>
    <row r="9216" ht="15.75" customHeight="1">
      <c r="A9216" s="2" t="s">
        <v>9216</v>
      </c>
      <c r="B9216" s="2" t="str">
        <f>IFERROR(__xludf.DUMMYFUNCTION("GOOGLETRANSLATE(A9216, ""en"", ""mt"")"),"mentalità isterika u demonizzanti")</f>
        <v>mentalità isterika u demonizzanti</v>
      </c>
    </row>
    <row r="9217" ht="15.75" customHeight="1">
      <c r="A9217" s="2" t="s">
        <v>9217</v>
      </c>
      <c r="B9217" s="2" t="str">
        <f>IFERROR(__xludf.DUMMYFUNCTION("GOOGLETRANSLATE(A9217, ""en"", ""mt"")"),"Appoġġ għal attakk")</f>
        <v>Appoġġ għal attakk</v>
      </c>
    </row>
    <row r="9218" ht="15.75" customHeight="1">
      <c r="A9218" s="2" t="s">
        <v>9218</v>
      </c>
      <c r="B9218" s="2" t="str">
        <f>IFERROR(__xludf.DUMMYFUNCTION("GOOGLETRANSLATE(A9218, ""en"", ""mt"")"),"Bajja ta 'Sullivan")</f>
        <v>Bajja ta 'Sullivan</v>
      </c>
    </row>
    <row r="9219" ht="15.75" customHeight="1">
      <c r="A9219" s="2" t="s">
        <v>9219</v>
      </c>
      <c r="B9219" s="2" t="str">
        <f>IFERROR(__xludf.DUMMYFUNCTION("GOOGLETRANSLATE(A9219, ""en"", ""mt"")"),"Programm Apollo")</f>
        <v>Programm Apollo</v>
      </c>
    </row>
    <row r="9220" ht="15.75" customHeight="1">
      <c r="A9220" s="2" t="s">
        <v>9220</v>
      </c>
      <c r="B9220" s="2" t="str">
        <f>IFERROR(__xludf.DUMMYFUNCTION("GOOGLETRANSLATE(A9220, ""en"", ""mt"")"),"X'kien l-isem tal-ewwel tifel ta 'Börte ta' Temüjin?")</f>
        <v>X'kien l-isem tal-ewwel tifel ta 'Börte ta' Temüjin?</v>
      </c>
    </row>
    <row r="9221" ht="15.75" customHeight="1">
      <c r="A9221" s="2" t="s">
        <v>9221</v>
      </c>
      <c r="B9221" s="2" t="str">
        <f>IFERROR(__xludf.DUMMYFUNCTION("GOOGLETRANSLATE(A9221, ""en"", ""mt"")"),"Biex tirbaħ il-ħelsien u tevita ħabs jew multa")</f>
        <v>Biex tirbaħ il-ħelsien u tevita ħabs jew multa</v>
      </c>
    </row>
    <row r="9222" ht="15.75" customHeight="1">
      <c r="A9222" s="2" t="s">
        <v>9222</v>
      </c>
      <c r="B9222" s="2" t="str">
        <f>IFERROR(__xludf.DUMMYFUNCTION("GOOGLETRANSLATE(A9222, ""en"", ""mt"")"),"X'jagħmel il-pjanti ħodor?")</f>
        <v>X'jagħmel il-pjanti ħodor?</v>
      </c>
    </row>
    <row r="9223" ht="15.75" customHeight="1">
      <c r="A9223" s="2" t="s">
        <v>9223</v>
      </c>
      <c r="B9223" s="2" t="str">
        <f>IFERROR(__xludf.DUMMYFUNCTION("GOOGLETRANSLATE(A9223, ""en"", ""mt"")"),"Chicago Pile-1")</f>
        <v>Chicago Pile-1</v>
      </c>
    </row>
    <row r="9224" ht="15.75" customHeight="1">
      <c r="A9224" s="2" t="s">
        <v>9224</v>
      </c>
      <c r="B9224" s="2" t="str">
        <f>IFERROR(__xludf.DUMMYFUNCTION("GOOGLETRANSLATE(A9224, ""en"", ""mt"")"),"Xi jfisser 'Gram-negattiv'?")</f>
        <v>Xi jfisser 'Gram-negattiv'?</v>
      </c>
    </row>
    <row r="9225" ht="15.75" customHeight="1">
      <c r="A9225" s="2" t="s">
        <v>9225</v>
      </c>
      <c r="B9225" s="2" t="str">
        <f>IFERROR(__xludf.DUMMYFUNCTION("GOOGLETRANSLATE(A9225, ""en"", ""mt"")"),"NP-Sodisfazzjon Boolean NP")</f>
        <v>NP-Sodisfazzjon Boolean NP</v>
      </c>
    </row>
    <row r="9226" ht="15.75" customHeight="1">
      <c r="A9226" s="2" t="s">
        <v>9226</v>
      </c>
      <c r="B9226" s="2" t="str">
        <f>IFERROR(__xludf.DUMMYFUNCTION("GOOGLETRANSLATE(A9226, ""en"", ""mt"")"),"Il-Ġnien Sassonu")</f>
        <v>Il-Ġnien Sassonu</v>
      </c>
    </row>
    <row r="9227" ht="15.75" customHeight="1">
      <c r="A9227" s="2" t="s">
        <v>9227</v>
      </c>
      <c r="B9227" s="2" t="str">
        <f>IFERROR(__xludf.DUMMYFUNCTION("GOOGLETRANSLATE(A9227, ""en"", ""mt"")"),"Għal xiex jużaw it-tribujiet Google Earth u GPS?")</f>
        <v>Għal xiex jużaw it-tribujiet Google Earth u GPS?</v>
      </c>
    </row>
    <row r="9228" ht="15.75" customHeight="1">
      <c r="A9228" s="2" t="s">
        <v>9228</v>
      </c>
      <c r="B9228" s="2" t="str">
        <f>IFERROR(__xludf.DUMMYFUNCTION("GOOGLETRANSLATE(A9228, ""en"", ""mt"")"),"X'inhu l-akbar ctenophore?")</f>
        <v>X'inhu l-akbar ctenophore?</v>
      </c>
    </row>
    <row r="9229" ht="15.75" customHeight="1">
      <c r="A9229" s="2" t="s">
        <v>9229</v>
      </c>
      <c r="B9229" s="2" t="str">
        <f>IFERROR(__xludf.DUMMYFUNCTION("GOOGLETRANSLATE(A9229, ""en"", ""mt"")"),"Fejn baqa 'Jochi wara li Genghis Khan bagħat lil uliedu fir-rebbiegħa tal-1223?")</f>
        <v>Fejn baqa 'Jochi wara li Genghis Khan bagħat lil uliedu fir-rebbiegħa tal-1223?</v>
      </c>
    </row>
    <row r="9230" ht="15.75" customHeight="1">
      <c r="A9230" s="2" t="s">
        <v>9230</v>
      </c>
      <c r="B9230" s="2" t="str">
        <f>IFERROR(__xludf.DUMMYFUNCTION("GOOGLETRANSLATE(A9230, ""en"", ""mt"")"),"Laqgħa inizjalment fil-qlugħ loft fi Triq il-Baċir")</f>
        <v>Laqgħa inizjalment fil-qlugħ loft fi Triq il-Baċir</v>
      </c>
    </row>
    <row r="9231" ht="15.75" customHeight="1">
      <c r="A9231" s="2" t="s">
        <v>9231</v>
      </c>
      <c r="B9231" s="2" t="str">
        <f>IFERROR(__xludf.DUMMYFUNCTION("GOOGLETRANSLATE(A9231, ""en"", ""mt"")"),"L-Ewwel Ministru")</f>
        <v>L-Ewwel Ministru</v>
      </c>
    </row>
    <row r="9232" ht="15.75" customHeight="1">
      <c r="A9232" s="2" t="s">
        <v>9232</v>
      </c>
      <c r="B9232" s="2" t="str">
        <f>IFERROR(__xludf.DUMMYFUNCTION("GOOGLETRANSLATE(A9232, ""en"", ""mt"")"),"Direttur")</f>
        <v>Direttur</v>
      </c>
    </row>
    <row r="9233" ht="15.75" customHeight="1">
      <c r="A9233" s="2" t="s">
        <v>9233</v>
      </c>
      <c r="B9233" s="2" t="str">
        <f>IFERROR(__xludf.DUMMYFUNCTION("GOOGLETRANSLATE(A9233, ""en"", ""mt"")"),"X'jista 'jiġi msemmi wara figura bibliċi?")</f>
        <v>X'jista 'jiġi msemmi wara figura bibliċi?</v>
      </c>
    </row>
    <row r="9234" ht="15.75" customHeight="1">
      <c r="A9234" s="2" t="s">
        <v>9234</v>
      </c>
      <c r="B9234" s="2" t="str">
        <f>IFERROR(__xludf.DUMMYFUNCTION("GOOGLETRANSLATE(A9234, ""en"", ""mt"")"),"Meta l-FCC imponiet ir-regoli FIN-Syn tagħha fl-1970, ABC ħoloq b'mod proattiv żewġ kumpaniji: WorldVision Enterprises bħala distributur ta 'sindikazzjoni, u ABC Circle Films bħala kumpanija tal-produzzjoni. Madankollu, bejn il-pubblikazzjoni u l-implimen"&amp;"tazzjoni ta 'dawn ir-regolamenti, is-separazzjoni tal-katalgu tan-netwerk saret fl-1973. Id-drittijiet tax-xandir għal produzzjonijiet ta' qabel l-1973 ġew trasferiti għal WorldVision, li saret indipendenti fl-istess sena. Il-kumpanija nbiegħet diversi dr"&amp;"abi minn meta Paramount Television akkwistatha fl-1999, u reċentement ġiet assorbita fid-distribuzzjoni tat-televiżjoni CBS, unità ta 'CBS Corporation. Madankollu, WorldVision biegħ porzjonijiet tal-katalgu tiegħu, inklużi l-libreriji Ruby-Spears u Hanna-"&amp;"Barbera, lis-sistema ta 'xandir Turner fl-1990. Max-xiri ta' Disney fl-1996 ta 'ABC, ABC Circle Films ġie assorbit fi Touchstone Television, sussidjarja ta' Disney, li mbagħad kienet Semmiet ABC Studios fl-2007.")</f>
        <v>Meta l-FCC imponiet ir-regoli FIN-Syn tagħha fl-1970, ABC ħoloq b'mod proattiv żewġ kumpaniji: WorldVision Enterprises bħala distributur ta 'sindikazzjoni, u ABC Circle Films bħala kumpanija tal-produzzjoni. Madankollu, bejn il-pubblikazzjoni u l-implimentazzjoni ta 'dawn ir-regolamenti, is-separazzjoni tal-katalgu tan-netwerk saret fl-1973. Id-drittijiet tax-xandir għal produzzjonijiet ta' qabel l-1973 ġew trasferiti għal WorldVision, li saret indipendenti fl-istess sena. Il-kumpanija nbiegħet diversi drabi minn meta Paramount Television akkwistatha fl-1999, u reċentement ġiet assorbita fid-distribuzzjoni tat-televiżjoni CBS, unità ta 'CBS Corporation. Madankollu, WorldVision biegħ porzjonijiet tal-katalgu tiegħu, inklużi l-libreriji Ruby-Spears u Hanna-Barbera, lis-sistema ta 'xandir Turner fl-1990. Max-xiri ta' Disney fl-1996 ta 'ABC, ABC Circle Films ġie assorbit fi Touchstone Television, sussidjarja ta' Disney, li mbagħad kienet Semmiet ABC Studios fl-2007.</v>
      </c>
    </row>
    <row r="9235" ht="15.75" customHeight="1">
      <c r="A9235" s="2" t="s">
        <v>9235</v>
      </c>
      <c r="B9235" s="2" t="str">
        <f>IFERROR(__xludf.DUMMYFUNCTION("GOOGLETRANSLATE(A9235, ""en"", ""mt"")"),"Stratigraphers jippruvaw jillokalizzaw oqsma għal liema tipi ta 'estrazzjoni?")</f>
        <v>Stratigraphers jippruvaw jillokalizzaw oqsma għal liema tipi ta 'estrazzjoni?</v>
      </c>
    </row>
    <row r="9236" ht="15.75" customHeight="1">
      <c r="A9236" s="2" t="s">
        <v>9236</v>
      </c>
      <c r="B9236" s="2" t="str">
        <f>IFERROR(__xludf.DUMMYFUNCTION("GOOGLETRANSLATE(A9236, ""en"", ""mt"")"),"L-użu tad-dawl tal-gass għamel dak li kien possibbli s-sena wara li nfetaħ uffiċjalment il-mużew?")</f>
        <v>L-użu tad-dawl tal-gass għamel dak li kien possibbli s-sena wara li nfetaħ uffiċjalment il-mużew?</v>
      </c>
    </row>
    <row r="9237" ht="15.75" customHeight="1">
      <c r="A9237" s="2" t="s">
        <v>9237</v>
      </c>
      <c r="B9237" s="2" t="str">
        <f>IFERROR(__xludf.DUMMYFUNCTION("GOOGLETRANSLATE(A9237, ""en"", ""mt"")"),"700")</f>
        <v>700</v>
      </c>
    </row>
    <row r="9238" ht="15.75" customHeight="1">
      <c r="A9238" s="2" t="s">
        <v>9238</v>
      </c>
      <c r="B9238" s="2" t="str">
        <f>IFERROR(__xludf.DUMMYFUNCTION("GOOGLETRANSLATE(A9238, ""en"", ""mt"")"),"Xi juri l-manuskritt oriġinali?")</f>
        <v>Xi juri l-manuskritt oriġinali?</v>
      </c>
    </row>
    <row r="9239" ht="15.75" customHeight="1">
      <c r="A9239" s="2" t="s">
        <v>9239</v>
      </c>
      <c r="B9239" s="2" t="str">
        <f>IFERROR(__xludf.DUMMYFUNCTION("GOOGLETRANSLATE(A9239, ""en"", ""mt"")"),"sistema ta 'ħafna strutturi u proċessi bijoloġiċi")</f>
        <v>sistema ta 'ħafna strutturi u proċessi bijoloġiċi</v>
      </c>
    </row>
    <row r="9240" ht="15.75" customHeight="1">
      <c r="A9240" s="2" t="s">
        <v>9240</v>
      </c>
      <c r="B9240" s="2" t="str">
        <f>IFERROR(__xludf.DUMMYFUNCTION("GOOGLETRANSLATE(A9240, ""en"", ""mt"")"),"""Cydippids"" mhumiex monofiletiċi")</f>
        <v>"Cydippids" mhumiex monofiletiċi</v>
      </c>
    </row>
    <row r="9241" ht="15.75" customHeight="1">
      <c r="A9241" s="2" t="s">
        <v>9241</v>
      </c>
      <c r="B9241" s="2" t="str">
        <f>IFERROR(__xludf.DUMMYFUNCTION("GOOGLETRANSLATE(A9241, ""en"", ""mt"")"),"mid-dipartiment")</f>
        <v>mid-dipartiment</v>
      </c>
    </row>
    <row r="9242" ht="15.75" customHeight="1">
      <c r="A9242" s="2" t="s">
        <v>9242</v>
      </c>
      <c r="B9242" s="2" t="str">
        <f>IFERROR(__xludf.DUMMYFUNCTION("GOOGLETRANSLATE(A9242, ""en"", ""mt"")"),"Monasteru Latin f'Sant'eufemia")</f>
        <v>Monasteru Latin f'Sant'eufemia</v>
      </c>
    </row>
    <row r="9243" ht="15.75" customHeight="1">
      <c r="A9243" s="2" t="s">
        <v>9243</v>
      </c>
      <c r="B9243" s="2" t="str">
        <f>IFERROR(__xludf.DUMMYFUNCTION("GOOGLETRANSLATE(A9243, ""en"", ""mt"")"),"Dak li ġiegħel lil Shen Kuo jemmen li l-art kienet iffurmata mill-erożjoni tal-muntanji?")</f>
        <v>Dak li ġiegħel lil Shen Kuo jemmen li l-art kienet iffurmata mill-erożjoni tal-muntanji?</v>
      </c>
    </row>
    <row r="9244" ht="15.75" customHeight="1">
      <c r="A9244" s="2" t="s">
        <v>9244</v>
      </c>
      <c r="B9244" s="2" t="str">
        <f>IFERROR(__xludf.DUMMYFUNCTION("GOOGLETRANSLATE(A9244, ""en"", ""mt"")"),"Problemi makroekonomiċi")</f>
        <v>Problemi makroekonomiċi</v>
      </c>
    </row>
    <row r="9245" ht="15.75" customHeight="1">
      <c r="A9245" s="2" t="s">
        <v>9245</v>
      </c>
      <c r="B9245" s="2" t="str">
        <f>IFERROR(__xludf.DUMMYFUNCTION("GOOGLETRANSLATE(A9245, ""en"", ""mt"")"),"Hemm tnejn minn liema tip ta 'istituzzjoni fi Newcastle?")</f>
        <v>Hemm tnejn minn liema tip ta 'istituzzjoni fi Newcastle?</v>
      </c>
    </row>
    <row r="9246" ht="15.75" customHeight="1">
      <c r="A9246" s="2" t="s">
        <v>9246</v>
      </c>
      <c r="B9246" s="2" t="str">
        <f>IFERROR(__xludf.DUMMYFUNCTION("GOOGLETRANSLATE(A9246, ""en"", ""mt"")"),"Immaġni tar-raġġi X.")</f>
        <v>Immaġni tar-raġġi X.</v>
      </c>
    </row>
    <row r="9247" ht="15.75" customHeight="1">
      <c r="A9247" s="2" t="s">
        <v>9247</v>
      </c>
      <c r="B9247" s="2" t="str">
        <f>IFERROR(__xludf.DUMMYFUNCTION("GOOGLETRANSLATE(A9247, ""en"", ""mt"")"),"Dongshan Dafo Dian")</f>
        <v>Dongshan Dafo Dian</v>
      </c>
    </row>
    <row r="9248" ht="15.75" customHeight="1">
      <c r="A9248" s="2" t="s">
        <v>9248</v>
      </c>
      <c r="B9248" s="2" t="str">
        <f>IFERROR(__xludf.DUMMYFUNCTION("GOOGLETRANSLATE(A9248, ""en"", ""mt"")"),"Ma 'min togrun ingħaqad f'kampanja kontra Temüjin?")</f>
        <v>Ma 'min togrun ingħaqad f'kampanja kontra Temüjin?</v>
      </c>
    </row>
    <row r="9249" ht="15.75" customHeight="1">
      <c r="A9249" s="2" t="s">
        <v>9249</v>
      </c>
      <c r="B9249" s="2" t="str">
        <f>IFERROR(__xludf.DUMMYFUNCTION("GOOGLETRANSLATE(A9249, ""en"", ""mt"")"),"Yuan")</f>
        <v>Yuan</v>
      </c>
    </row>
    <row r="9250" ht="15.75" customHeight="1">
      <c r="A9250" s="2" t="s">
        <v>9250</v>
      </c>
      <c r="B9250" s="2" t="str">
        <f>IFERROR(__xludf.DUMMYFUNCTION("GOOGLETRANSLATE(A9250, ""en"", ""mt"")"),"Sistema awtokratika-burokratika")</f>
        <v>Sistema awtokratika-burokratika</v>
      </c>
    </row>
    <row r="9251" ht="15.75" customHeight="1">
      <c r="A9251" s="2" t="s">
        <v>9251</v>
      </c>
      <c r="B9251" s="2" t="str">
        <f>IFERROR(__xludf.DUMMYFUNCTION("GOOGLETRANSLATE(A9251, ""en"", ""mt"")"),"Fejn il-kontroll tal-konfederazzjoni Iroquois?")</f>
        <v>Fejn il-kontroll tal-konfederazzjoni Iroquois?</v>
      </c>
    </row>
    <row r="9252" ht="15.75" customHeight="1">
      <c r="A9252" s="2" t="s">
        <v>9252</v>
      </c>
      <c r="B9252" s="2" t="str">
        <f>IFERROR(__xludf.DUMMYFUNCTION("GOOGLETRANSLATE(A9252, ""en"", ""mt"")"),"Derek Jacobi")</f>
        <v>Derek Jacobi</v>
      </c>
    </row>
    <row r="9253" ht="15.75" customHeight="1">
      <c r="A9253" s="2" t="s">
        <v>9253</v>
      </c>
      <c r="B9253" s="2" t="str">
        <f>IFERROR(__xludf.DUMMYFUNCTION("GOOGLETRANSLATE(A9253, ""en"", ""mt"")"),"X'kienu l-armati tal-wan dgħajfa wisq biex jieqfu?")</f>
        <v>X'kienu l-armati tal-wan dgħajfa wisq biex jieqfu?</v>
      </c>
    </row>
    <row r="9254" ht="15.75" customHeight="1">
      <c r="A9254" s="2" t="s">
        <v>9254</v>
      </c>
      <c r="B9254" s="2" t="str">
        <f>IFERROR(__xludf.DUMMYFUNCTION("GOOGLETRANSLATE(A9254, ""en"", ""mt"")"),"Fejn il-forzi ta 'Jebe l-ewwel telfa lil Kuchlug?")</f>
        <v>Fejn il-forzi ta 'Jebe l-ewwel telfa lil Kuchlug?</v>
      </c>
    </row>
    <row r="9255" ht="15.75" customHeight="1">
      <c r="A9255" s="2" t="s">
        <v>9255</v>
      </c>
      <c r="B9255" s="2" t="str">
        <f>IFERROR(__xludf.DUMMYFUNCTION("GOOGLETRANSLATE(A9255, ""en"", ""mt"")"),"Ma 'liema grupp jistgħu jirreġistraw l-għalliema f'Wales?")</f>
        <v>Ma 'liema grupp jistgħu jirreġistraw l-għalliema f'Wales?</v>
      </c>
    </row>
    <row r="9256" ht="15.75" customHeight="1">
      <c r="A9256" s="2" t="s">
        <v>9256</v>
      </c>
      <c r="B9256" s="2" t="str">
        <f>IFERROR(__xludf.DUMMYFUNCTION("GOOGLETRANSLATE(A9256, ""en"", ""mt"")"),"X'inhu l-isem tal-festival tax-xitwa li sar f'Jannar li huwa bbażat fuq il-fitness?")</f>
        <v>X'inhu l-isem tal-festival tax-xitwa li sar f'Jannar li huwa bbażat fuq il-fitness?</v>
      </c>
    </row>
    <row r="9257" ht="15.75" customHeight="1">
      <c r="A9257" s="2" t="s">
        <v>9257</v>
      </c>
      <c r="B9257" s="2" t="str">
        <f>IFERROR(__xludf.DUMMYFUNCTION("GOOGLETRANSLATE(A9257, ""en"", ""mt"")"),"1983")</f>
        <v>1983</v>
      </c>
    </row>
    <row r="9258" ht="15.75" customHeight="1">
      <c r="A9258" s="2" t="s">
        <v>9258</v>
      </c>
      <c r="B9258" s="2" t="str">
        <f>IFERROR(__xludf.DUMMYFUNCTION("GOOGLETRANSLATE(A9258, ""en"", ""mt"")"),"tqajjem il-produttività ta 'kull ħaddiem,")</f>
        <v>tqajjem il-produttività ta 'kull ħaddiem,</v>
      </c>
    </row>
    <row r="9259" ht="15.75" customHeight="1">
      <c r="A9259" s="2" t="s">
        <v>9259</v>
      </c>
      <c r="B9259" s="2" t="str">
        <f>IFERROR(__xludf.DUMMYFUNCTION("GOOGLETRANSLATE(A9259, ""en"", ""mt"")"),"X'kien ix-xogħol ta 'Kenneth Swezey?")</f>
        <v>X'kien ix-xogħol ta 'Kenneth Swezey?</v>
      </c>
    </row>
    <row r="9260" ht="15.75" customHeight="1">
      <c r="A9260" s="2" t="s">
        <v>9260</v>
      </c>
      <c r="B9260" s="2" t="str">
        <f>IFERROR(__xludf.DUMMYFUNCTION("GOOGLETRANSLATE(A9260, ""en"", ""mt"")"),"Flimkien mal-post, id-dotazzjoni u r-rieda tal-ġenituri li jħallsu, liema fattur jinfluwenza t-tagħlim tal-iskola privata?")</f>
        <v>Flimkien mal-post, id-dotazzjoni u r-rieda tal-ġenituri li jħallsu, liema fattur jinfluwenza t-tagħlim tal-iskola privata?</v>
      </c>
    </row>
    <row r="9261" ht="15.75" customHeight="1">
      <c r="A9261" s="2" t="s">
        <v>9261</v>
      </c>
      <c r="B9261" s="2" t="str">
        <f>IFERROR(__xludf.DUMMYFUNCTION("GOOGLETRANSLATE(A9261, ""en"", ""mt"")"),"X'kienet il-kumpanija l-ġdida ta 'Tesla, Brown u Peck?")</f>
        <v>X'kienet il-kumpanija l-ġdida ta 'Tesla, Brown u Peck?</v>
      </c>
    </row>
    <row r="9262" ht="15.75" customHeight="1">
      <c r="A9262" s="2" t="s">
        <v>9262</v>
      </c>
      <c r="B9262" s="2" t="str">
        <f>IFERROR(__xludf.DUMMYFUNCTION("GOOGLETRANSLATE(A9262, ""en"", ""mt"")"),"Minn liema gruppi ta 'proġetti ġew magħżula l-astronawti Apollo?")</f>
        <v>Minn liema gruppi ta 'proġetti ġew magħżula l-astronawti Apollo?</v>
      </c>
    </row>
    <row r="9263" ht="15.75" customHeight="1">
      <c r="A9263" s="2" t="s">
        <v>9263</v>
      </c>
      <c r="B9263" s="2" t="str">
        <f>IFERROR(__xludf.DUMMYFUNCTION("GOOGLETRANSLATE(A9263, ""en"", ""mt"")"),"Fejn ħadem fuq l-oxxillaturi?")</f>
        <v>Fejn ħadem fuq l-oxxillaturi?</v>
      </c>
    </row>
    <row r="9264" ht="15.75" customHeight="1">
      <c r="A9264" s="2" t="s">
        <v>9264</v>
      </c>
      <c r="B9264" s="2" t="str">
        <f>IFERROR(__xludf.DUMMYFUNCTION("GOOGLETRANSLATE(A9264, ""en"", ""mt"")"),"Aufbau")</f>
        <v>Aufbau</v>
      </c>
    </row>
    <row r="9265" ht="15.75" customHeight="1">
      <c r="A9265" s="2" t="s">
        <v>9265</v>
      </c>
      <c r="B9265" s="2" t="str">
        <f>IFERROR(__xludf.DUMMYFUNCTION("GOOGLETRANSLATE(A9265, ""en"", ""mt"")"),"Chicago")</f>
        <v>Chicago</v>
      </c>
    </row>
    <row r="9266" ht="15.75" customHeight="1">
      <c r="A9266" s="2" t="s">
        <v>9266</v>
      </c>
      <c r="B9266" s="2" t="str">
        <f>IFERROR(__xludf.DUMMYFUNCTION("GOOGLETRANSLATE(A9266, ""en"", ""mt"")"),"B'mod ġenerali, liema daqs huma t-terremoti li jolqtu n-Nofsinhar ta 'California?")</f>
        <v>B'mod ġenerali, liema daqs huma t-terremoti li jolqtu n-Nofsinhar ta 'California?</v>
      </c>
    </row>
    <row r="9267" ht="15.75" customHeight="1">
      <c r="A9267" s="2" t="s">
        <v>9267</v>
      </c>
      <c r="B9267" s="2" t="str">
        <f>IFERROR(__xludf.DUMMYFUNCTION("GOOGLETRANSLATE(A9267, ""en"", ""mt"")"),"Kemm skejjel privati ​​jeżistu fi New Zealand f'April 2014?")</f>
        <v>Kemm skejjel privati ​​jeżistu fi New Zealand f'April 2014?</v>
      </c>
    </row>
    <row r="9268" ht="15.75" customHeight="1">
      <c r="A9268" s="2" t="s">
        <v>9268</v>
      </c>
      <c r="B9268" s="2" t="str">
        <f>IFERROR(__xludf.DUMMYFUNCTION("GOOGLETRANSLATE(A9268, ""en"", ""mt"")"),"X'inhuma l-inputs molekulari għall-fotosintesi?")</f>
        <v>X'inhuma l-inputs molekulari għall-fotosintesi?</v>
      </c>
    </row>
    <row r="9269" ht="15.75" customHeight="1">
      <c r="A9269" s="2" t="s">
        <v>9269</v>
      </c>
      <c r="B9269" s="2" t="str">
        <f>IFERROR(__xludf.DUMMYFUNCTION("GOOGLETRANSLATE(A9269, ""en"", ""mt"")"),"Minn liema sistema tal-muntanji huma l-Alpi Vittorjani bħala parti?")</f>
        <v>Minn liema sistema tal-muntanji huma l-Alpi Vittorjani bħala parti?</v>
      </c>
    </row>
    <row r="9270" ht="15.75" customHeight="1">
      <c r="A9270" s="2" t="s">
        <v>9270</v>
      </c>
      <c r="B9270" s="2" t="str">
        <f>IFERROR(__xludf.DUMMYFUNCTION("GOOGLETRANSLATE(A9270, ""en"", ""mt"")"),"Ftit qtar")</f>
        <v>Ftit qtar</v>
      </c>
    </row>
    <row r="9271" ht="15.75" customHeight="1">
      <c r="A9271" s="2" t="s">
        <v>9271</v>
      </c>
      <c r="B9271" s="2" t="str">
        <f>IFERROR(__xludf.DUMMYFUNCTION("GOOGLETRANSLATE(A9271, ""en"", ""mt"")"),"Kemm timijiet sa Super Bowl 50 ġew fil-logħba tal-kampjonat tmien darbiet?")</f>
        <v>Kemm timijiet sa Super Bowl 50 ġew fil-logħba tal-kampjonat tmien darbiet?</v>
      </c>
    </row>
    <row r="9272" ht="15.75" customHeight="1">
      <c r="A9272" s="2" t="s">
        <v>9272</v>
      </c>
      <c r="B9272" s="2" t="str">
        <f>IFERROR(__xludf.DUMMYFUNCTION("GOOGLETRANSLATE(A9272, ""en"", ""mt"")"),"F'liema ġurnal ġiet ippubblikata d-dikjarazzjoni konġunta?")</f>
        <v>F'liema ġurnal ġiet ippubblikata d-dikjarazzjoni konġunta?</v>
      </c>
    </row>
    <row r="9273" ht="15.75" customHeight="1">
      <c r="A9273" s="2" t="s">
        <v>9273</v>
      </c>
      <c r="B9273" s="2" t="str">
        <f>IFERROR(__xludf.DUMMYFUNCTION("GOOGLETRANSLATE(A9273, ""en"", ""mt"")"),"Mużew tal-Indipendenza")</f>
        <v>Mużew tal-Indipendenza</v>
      </c>
    </row>
    <row r="9274" ht="15.75" customHeight="1">
      <c r="A9274" s="2" t="s">
        <v>9274</v>
      </c>
      <c r="B9274" s="2" t="str">
        <f>IFERROR(__xludf.DUMMYFUNCTION("GOOGLETRANSLATE(A9274, ""en"", ""mt"")"),"Ir-rotta ta 'pakkett teħtieġ li l-għoqda tfittex l-ID tal-konnessjoni f'tabella")</f>
        <v>Ir-rotta ta 'pakkett teħtieġ li l-għoqda tfittex l-ID tal-konnessjoni f'tabella</v>
      </c>
    </row>
    <row r="9275" ht="15.75" customHeight="1">
      <c r="A9275" s="2" t="s">
        <v>9275</v>
      </c>
      <c r="B9275" s="2" t="str">
        <f>IFERROR(__xludf.DUMMYFUNCTION("GOOGLETRANSLATE(A9275, ""en"", ""mt"")"),"Madankollu, li tipprova tirrikonċilja t-teorija elettromanjetika b'żewġ osservazzjonijiet, l-effett fotoelettriku, u l-inesistenza tal-katastrofi ultravjola, irriżultaw inkwetanti. Permezz tax-xogħol ta 'fiżiċi teoretiċi ewlenin, ġiet żviluppata teorija ġ"&amp;"dida ta' l-elettromanjetiżmu bl-użu ta 'mekkanika kwantistika. Din il-modifika finali għat-teorija elettromanjetika fl-aħħar wasslet għal elettrodinamiċità kwantistika (jew QED), li tiddeskrivi bis-sħiħ il-fenomeni elettromanjetiċi kollha bħala medjati mi"&amp;"ll-partiċelli tal-mewġ magħrufa bħala fotoni. Fil-QED, il-fotoni huma l-partiċella tal-kambju fundamentali, li ddeskriviet l-interazzjonijiet kollha relatati mal-elettromanjetiżmu inkluża l-forza elettromanjetika. [Nota 4]")</f>
        <v>Madankollu, li tipprova tirrikonċilja t-teorija elettromanjetika b'żewġ osservazzjonijiet, l-effett fotoelettriku, u l-inesistenza tal-katastrofi ultravjola, irriżultaw inkwetanti. Permezz tax-xogħol ta 'fiżiċi teoretiċi ewlenin, ġiet żviluppata teorija ġdida ta' l-elettromanjetiżmu bl-użu ta 'mekkanika kwantistika. Din il-modifika finali għat-teorija elettromanjetika fl-aħħar wasslet għal elettrodinamiċità kwantistika (jew QED), li tiddeskrivi bis-sħiħ il-fenomeni elettromanjetiċi kollha bħala medjati mill-partiċelli tal-mewġ magħrufa bħala fotoni. Fil-QED, il-fotoni huma l-partiċella tal-kambju fundamentali, li ddeskriviet l-interazzjonijiet kollha relatati mal-elettromanjetiżmu inkluża l-forza elettromanjetika. [Nota 4]</v>
      </c>
    </row>
    <row r="9276" ht="15.75" customHeight="1">
      <c r="A9276" s="2" t="s">
        <v>9276</v>
      </c>
      <c r="B9276" s="2" t="str">
        <f>IFERROR(__xludf.DUMMYFUNCTION("GOOGLETRANSLATE(A9276, ""en"", ""mt"")"),"Livelli għoljin ta 'inugwaljanza")</f>
        <v>Livelli għoljin ta 'inugwaljanza</v>
      </c>
    </row>
    <row r="9277" ht="15.75" customHeight="1">
      <c r="A9277" s="2" t="s">
        <v>9277</v>
      </c>
      <c r="B9277" s="2" t="str">
        <f>IFERROR(__xludf.DUMMYFUNCTION("GOOGLETRANSLATE(A9277, ""en"", ""mt"")"),"Il-biċċa l-kbira tal-binjiet distintivi")</f>
        <v>Il-biċċa l-kbira tal-binjiet distintivi</v>
      </c>
    </row>
    <row r="9278" ht="15.75" customHeight="1">
      <c r="A9278" s="2" t="s">
        <v>9278</v>
      </c>
      <c r="B9278" s="2" t="str">
        <f>IFERROR(__xludf.DUMMYFUNCTION("GOOGLETRANSLATE(A9278, ""en"", ""mt"")"),"Sessile-frond bħal")</f>
        <v>Sessile-frond bħal</v>
      </c>
    </row>
    <row r="9279" ht="15.75" customHeight="1">
      <c r="A9279" s="2" t="s">
        <v>9279</v>
      </c>
      <c r="B9279" s="2" t="str">
        <f>IFERROR(__xludf.DUMMYFUNCTION("GOOGLETRANSLATE(A9279, ""en"", ""mt"")"),"fidda")</f>
        <v>fidda</v>
      </c>
    </row>
    <row r="9280" ht="15.75" customHeight="1">
      <c r="A9280" s="2" t="s">
        <v>9280</v>
      </c>
      <c r="B9280" s="2" t="str">
        <f>IFERROR(__xludf.DUMMYFUNCTION("GOOGLETRANSLATE(A9280, ""en"", ""mt"")"),"X'tip ta 'suq huwa kkunsidrat il-Kenja?")</f>
        <v>X'tip ta 'suq huwa kkunsidrat il-Kenja?</v>
      </c>
    </row>
    <row r="9281" ht="15.75" customHeight="1">
      <c r="A9281" s="2" t="s">
        <v>9281</v>
      </c>
      <c r="B9281" s="2" t="str">
        <f>IFERROR(__xludf.DUMMYFUNCTION("GOOGLETRANSLATE(A9281, ""en"", ""mt"")"),"F'liema belt tinsab iċ-Ċentru SAP?")</f>
        <v>F'liema belt tinsab iċ-Ċentru SAP?</v>
      </c>
    </row>
    <row r="9282" ht="15.75" customHeight="1">
      <c r="A9282" s="2" t="s">
        <v>9282</v>
      </c>
      <c r="B9282" s="2" t="str">
        <f>IFERROR(__xludf.DUMMYFUNCTION("GOOGLETRANSLATE(A9282, ""en"", ""mt"")"),"Fl-aħħar 5-10 miljun sena")</f>
        <v>Fl-aħħar 5-10 miljun sena</v>
      </c>
    </row>
    <row r="9283" ht="15.75" customHeight="1">
      <c r="A9283" s="2" t="s">
        <v>9283</v>
      </c>
      <c r="B9283" s="2" t="str">
        <f>IFERROR(__xludf.DUMMYFUNCTION("GOOGLETRANSLATE(A9283, ""en"", ""mt"")"),"Għas-sena skolastika 2012–13 it-tagħlim annwali kien ta ’$ 38,000, bi spiża totali ta’ attendenza ta ’$ 57,000. Mill-2007, familji bi dħul taħt $ 60,000 ma jħallsu xejn biex jattendu uliedhom, inklużi kamra u bord. Familji bi dħul bejn $ 60,000 sa $ 80,00"&amp;"0 iħallsu biss ftit eluf ta 'dollari fis-sena, u l-familji li jaqilgħu bejn $ 120,000 u $ 180,000 iħallsu mhux aktar minn 10% tad-dħul annwali tagħhom. Fl-2009, Harvard offra għotjiet li jammontaw għal $ 414 miljun fil-ħdax-il diviżjoni kollha; [aktar spj"&amp;"egazzjoni meħtieġa] $ 340 miljun ġew minn fondi istituzzjonali, $ 35 miljun mill-appoġġ federali, u $ 39 miljun minn appoġġ ieħor barra. Għotjiet totali ta '88% tal-għajnuna ta 'Harvard għal studenti li għadhom ma ggradwawx, bl-għajnuna pprovduta wkoll mi"&amp;"nn self (8%) u studju tax-xogħol (4%).")</f>
        <v>Għas-sena skolastika 2012–13 it-tagħlim annwali kien ta ’$ 38,000, bi spiża totali ta’ attendenza ta ’$ 57,000. Mill-2007, familji bi dħul taħt $ 60,000 ma jħallsu xejn biex jattendu uliedhom, inklużi kamra u bord. Familji bi dħul bejn $ 60,000 sa $ 80,000 iħallsu biss ftit eluf ta 'dollari fis-sena, u l-familji li jaqilgħu bejn $ 120,000 u $ 180,000 iħallsu mhux aktar minn 10% tad-dħul annwali tagħhom. Fl-2009, Harvard offra għotjiet li jammontaw għal $ 414 miljun fil-ħdax-il diviżjoni kollha; [aktar spjegazzjoni meħtieġa] $ 340 miljun ġew minn fondi istituzzjonali, $ 35 miljun mill-appoġġ federali, u $ 39 miljun minn appoġġ ieħor barra. Għotjiet totali ta '88% tal-għajnuna ta 'Harvard għal studenti li għadhom ma ggradwawx, bl-għajnuna pprovduta wkoll minn self (8%) u studju tax-xogħol (4%).</v>
      </c>
    </row>
    <row r="9284" ht="15.75" customHeight="1">
      <c r="A9284" s="2" t="s">
        <v>9284</v>
      </c>
      <c r="B9284" s="2" t="str">
        <f>IFERROR(__xludf.DUMMYFUNCTION("GOOGLETRANSLATE(A9284, ""en"", ""mt"")"),"Liema reliġjonijiet segwew Tugh Temur?")</f>
        <v>Liema reliġjonijiet segwew Tugh Temur?</v>
      </c>
    </row>
    <row r="9285" ht="15.75" customHeight="1">
      <c r="A9285" s="2" t="s">
        <v>9285</v>
      </c>
      <c r="B9285" s="2" t="str">
        <f>IFERROR(__xludf.DUMMYFUNCTION("GOOGLETRANSLATE(A9285, ""en"", ""mt"")"),"Madwar miljun Protestant fi Franza moderna jirrappreżentaw madwar 2% tal-popolazzjoni tagħha. Il-biċċa l-kbira huma kkonċentrati fl-Alsace fil-Grigal ta ’Franza u fir-reġjun tal-Muntanji Cévennes fin-Nofsinhar, li għadhom iqisu lilhom infushom bħala Hugue"&amp;"nots sal-lum. [Ċitazzjoni meħtieġa] Diaspora tal-Awstraljani Franċiżi għadha tqis lilha nnifisha Huguenot, anke wara sekli ta’ eżilju. Long integrata fis-soċjetà Awstraljana, hija mħeġġa mis-Soċjetà Huguenot tal-Awstralja biex tħaddan u tikkonserva l-wirt"&amp;" kulturali tagħha, megħjuna mis-servizzi ta 'riċerka ġenealoġika tas-soċjetà.")</f>
        <v>Madwar miljun Protestant fi Franza moderna jirrappreżentaw madwar 2% tal-popolazzjoni tagħha. Il-biċċa l-kbira huma kkonċentrati fl-Alsace fil-Grigal ta ’Franza u fir-reġjun tal-Muntanji Cévennes fin-Nofsinhar, li għadhom iqisu lilhom infushom bħala Huguenots sal-lum. [Ċitazzjoni meħtieġa] Diaspora tal-Awstraljani Franċiżi għadha tqis lilha nnifisha Huguenot, anke wara sekli ta’ eżilju. Long integrata fis-soċjetà Awstraljana, hija mħeġġa mis-Soċjetà Huguenot tal-Awstralja biex tħaddan u tikkonserva l-wirt kulturali tagħha, megħjuna mis-servizzi ta 'riċerka ġenealoġika tas-soċjetà.</v>
      </c>
    </row>
    <row r="9286" ht="15.75" customHeight="1">
      <c r="A9286" s="2" t="s">
        <v>9286</v>
      </c>
      <c r="B9286" s="2" t="str">
        <f>IFERROR(__xludf.DUMMYFUNCTION("GOOGLETRANSLATE(A9286, ""en"", ""mt"")"),"patoġeni, allograft")</f>
        <v>patoġeni, allograft</v>
      </c>
    </row>
    <row r="9287" ht="15.75" customHeight="1">
      <c r="A9287" s="2" t="s">
        <v>9287</v>
      </c>
      <c r="B9287" s="2" t="str">
        <f>IFERROR(__xludf.DUMMYFUNCTION("GOOGLETRANSLATE(A9287, ""en"", ""mt"")"),"L-UMC jifhem lilu nnifsu bħala parti minn liema knisja?")</f>
        <v>L-UMC jifhem lilu nnifsu bħala parti minn liema knisja?</v>
      </c>
    </row>
    <row r="9288" ht="15.75" customHeight="1">
      <c r="A9288" s="2" t="s">
        <v>9288</v>
      </c>
      <c r="B9288" s="2" t="str">
        <f>IFERROR(__xludf.DUMMYFUNCTION("GOOGLETRANSLATE(A9288, ""en"", ""mt"")"),"Kemm mill-Mau Mau qatilhom id-dar?")</f>
        <v>Kemm mill-Mau Mau qatilhom id-dar?</v>
      </c>
    </row>
    <row r="9289" ht="15.75" customHeight="1">
      <c r="A9289" s="2" t="s">
        <v>9289</v>
      </c>
      <c r="B9289" s="2" t="str">
        <f>IFERROR(__xludf.DUMMYFUNCTION("GOOGLETRANSLATE(A9289, ""en"", ""mt"")"),"Jista 'jkollhom infinitament ħafna primes biss meta A u Q huma koprime, i.e., l-akbar divisor komuni tagħhom huwa wieħed. Jekk din il-kundizzjoni meħtieġa tkun sodisfatta, it-teorema ta 'Dirichlet fuq il-progressjonijiet aritmetiċi tafferma li l-progressj"&amp;"oni fiha ħafna primes infinitament. L-istampa hawn taħt turi dan bi q = 9: in-numri huma ""mgeżwra"" malli jiġi mgħoddi multiplu ta '9. Il-primes huma enfasizzati bl-aħmar. Ir-ringieli (= progressjonijiet) li jibdew b '= 3, 6, jew 9 fihom l-aktar numru ew"&amp;"lieni. Fir-ringieli l-oħra kollha (a = 1, 2, 4, 5, 7, u 8) hemm ħafna numri ewlenin. Barra minn hekk, il-primes huma mqassma bl-istess mod bejn dawk ir-ringieli fit-tul - id-densità tal-primes kollha kongruwenti Modulo 9 hija 1/6.")</f>
        <v>Jista 'jkollhom infinitament ħafna primes biss meta A u Q huma koprime, i.e., l-akbar divisor komuni tagħhom huwa wieħed. Jekk din il-kundizzjoni meħtieġa tkun sodisfatta, it-teorema ta 'Dirichlet fuq il-progressjonijiet aritmetiċi tafferma li l-progressjoni fiha ħafna primes infinitament. L-istampa hawn taħt turi dan bi q = 9: in-numri huma "mgeżwra" malli jiġi mgħoddi multiplu ta '9. Il-primes huma enfasizzati bl-aħmar. Ir-ringieli (= progressjonijiet) li jibdew b '= 3, 6, jew 9 fihom l-aktar numru ewlieni. Fir-ringieli l-oħra kollha (a = 1, 2, 4, 5, 7, u 8) hemm ħafna numri ewlenin. Barra minn hekk, il-primes huma mqassma bl-istess mod bejn dawk ir-ringieli fit-tul - id-densità tal-primes kollha kongruwenti Modulo 9 hija 1/6.</v>
      </c>
    </row>
    <row r="9290" ht="15.75" customHeight="1">
      <c r="A9290" s="2" t="s">
        <v>9290</v>
      </c>
      <c r="B9290" s="2" t="str">
        <f>IFERROR(__xludf.DUMMYFUNCTION("GOOGLETRANSLATE(A9290, ""en"", ""mt"")"),"Jekk wieħed jassumi li T tirrappreżenta polinomju f'T (n), x'inhu t-terminu mogħti lill-algoritmu korrispondenti?")</f>
        <v>Jekk wieħed jassumi li T tirrappreżenta polinomju f'T (n), x'inhu t-terminu mogħti lill-algoritmu korrispondenti?</v>
      </c>
    </row>
    <row r="9291" ht="15.75" customHeight="1">
      <c r="A9291" s="2" t="s">
        <v>9291</v>
      </c>
      <c r="B9291" s="2" t="str">
        <f>IFERROR(__xludf.DUMMYFUNCTION("GOOGLETRANSLATE(A9291, ""en"", ""mt"")"),"Liema xhur barra mis-sena huwa miftuħ Woodward Park?")</f>
        <v>Liema xhur barra mis-sena huwa miftuħ Woodward Park?</v>
      </c>
    </row>
    <row r="9292" ht="15.75" customHeight="1">
      <c r="A9292" s="2" t="s">
        <v>9292</v>
      </c>
      <c r="B9292" s="2" t="str">
        <f>IFERROR(__xludf.DUMMYFUNCTION("GOOGLETRANSLATE(A9292, ""en"", ""mt"")"),"Assemblea Skoċċiża eletta direttament")</f>
        <v>Assemblea Skoċċiża eletta direttament</v>
      </c>
    </row>
    <row r="9293" ht="15.75" customHeight="1">
      <c r="A9293" s="2" t="s">
        <v>9293</v>
      </c>
      <c r="B9293" s="2" t="str">
        <f>IFERROR(__xludf.DUMMYFUNCTION("GOOGLETRANSLATE(A9293, ""en"", ""mt"")"),"Daħħal bedchamber ippreparat li fih jorqdu fil-paċi.")</f>
        <v>Daħħal bedchamber ippreparat li fih jorqdu fil-paċi.</v>
      </c>
    </row>
    <row r="9294" ht="15.75" customHeight="1">
      <c r="A9294" s="2" t="s">
        <v>9294</v>
      </c>
      <c r="B9294" s="2" t="str">
        <f>IFERROR(__xludf.DUMMYFUNCTION("GOOGLETRANSLATE(A9294, ""en"", ""mt"")"),"sistema umoristika")</f>
        <v>sistema umoristika</v>
      </c>
    </row>
    <row r="9295" ht="15.75" customHeight="1">
      <c r="A9295" s="2" t="s">
        <v>9295</v>
      </c>
      <c r="B9295" s="2" t="str">
        <f>IFERROR(__xludf.DUMMYFUNCTION("GOOGLETRANSLATE(A9295, ""en"", ""mt"")"),"Kemm galleriji għandu l-V &amp; A?")</f>
        <v>Kemm galleriji għandu l-V &amp; A?</v>
      </c>
    </row>
    <row r="9296" ht="15.75" customHeight="1">
      <c r="A9296" s="2" t="s">
        <v>9296</v>
      </c>
      <c r="B9296" s="2" t="str">
        <f>IFERROR(__xludf.DUMMYFUNCTION("GOOGLETRANSLATE(A9296, ""en"", ""mt"")"),"Urgench")</f>
        <v>Urgench</v>
      </c>
    </row>
    <row r="9297" ht="15.75" customHeight="1">
      <c r="A9297" s="2" t="s">
        <v>9297</v>
      </c>
      <c r="B9297" s="2" t="str">
        <f>IFERROR(__xludf.DUMMYFUNCTION("GOOGLETRANSLATE(A9297, ""en"", ""mt"")"),"Liema sess huwa aktar popolat fil-gruppi kollha f'Jacksonville?")</f>
        <v>Liema sess huwa aktar popolat fil-gruppi kollha f'Jacksonville?</v>
      </c>
    </row>
    <row r="9298" ht="15.75" customHeight="1">
      <c r="A9298" s="2" t="s">
        <v>9298</v>
      </c>
      <c r="B9298" s="2" t="str">
        <f>IFERROR(__xludf.DUMMYFUNCTION("GOOGLETRANSLATE(A9298, ""en"", ""mt"")"),"Il-membri tal-Knisja Metodista Magħquda li jidentifikaw mal-pożizzjoni favur il-ħajja organizzaw fit-taskforce tal-Metodisti Magħquda dwar l-abort u s-sesswalità (TUMAS) biex ikomplu l-pożizzjoni tagħhom fi ħdan id-denominazzjoni. Kien hemm tentattiv biex"&amp;" tirtira s-sħubija tal-Knisja Metodista Magħquda fil-koalizzjoni reliġjuża għall-għażla riproduttiva fil-konferenza ġenerali tagħhom, li saret f'Mejju 2012, b'petizzjoni li għaddiet mis-sottokumitat leġiżlattiv u l-voti tal-kumitat, iżda ma ngħatatx ​​vot"&amp;" fl-art. Rev Paul T. Stallsworth, president tat-Taskforce of United Methodists dwar l-abort u s-sesswalità qal li ""kellu kull raġuni biex jemmen"" li d-delegati favur il-ħajja kienu rebħu vot fl-art.")</f>
        <v>Il-membri tal-Knisja Metodista Magħquda li jidentifikaw mal-pożizzjoni favur il-ħajja organizzaw fit-taskforce tal-Metodisti Magħquda dwar l-abort u s-sesswalità (TUMAS) biex ikomplu l-pożizzjoni tagħhom fi ħdan id-denominazzjoni. Kien hemm tentattiv biex tirtira s-sħubija tal-Knisja Metodista Magħquda fil-koalizzjoni reliġjuża għall-għażla riproduttiva fil-konferenza ġenerali tagħhom, li saret f'Mejju 2012, b'petizzjoni li għaddiet mis-sottokumitat leġiżlattiv u l-voti tal-kumitat, iżda ma ngħatatx ​​vot fl-art. Rev Paul T. Stallsworth, president tat-Taskforce of United Methodists dwar l-abort u s-sesswalità qal li "kellu kull raġuni biex jemmen" li d-delegati favur il-ħajja kienu rebħu vot fl-art.</v>
      </c>
    </row>
    <row r="9299" ht="15.75" customHeight="1">
      <c r="A9299" s="2" t="s">
        <v>9299</v>
      </c>
      <c r="B9299" s="2" t="str">
        <f>IFERROR(__xludf.DUMMYFUNCTION("GOOGLETRANSLATE(A9299, ""en"", ""mt"")"),"Meta l-irvellijiet ikkawżaw it-tkeċċija tal-Lhud minn diversi stati Ġermaniżi?")</f>
        <v>Meta l-irvellijiet ikkawżaw it-tkeċċija tal-Lhud minn diversi stati Ġermaniżi?</v>
      </c>
    </row>
    <row r="9300" ht="15.75" customHeight="1">
      <c r="A9300" s="2" t="s">
        <v>9300</v>
      </c>
      <c r="B9300" s="2" t="str">
        <f>IFERROR(__xludf.DUMMYFUNCTION("GOOGLETRANSLATE(A9300, ""en"", ""mt"")"),"Il-Konvenzjoni Ewropea dwar id-Drittijiet tal-Bniedem fl-1950 u t-Twaqqif tal-Qorti Ewropea tad-Drittijiet tal-Bniedem")</f>
        <v>Il-Konvenzjoni Ewropea dwar id-Drittijiet tal-Bniedem fl-1950 u t-Twaqqif tal-Qorti Ewropea tad-Drittijiet tal-Bniedem</v>
      </c>
    </row>
    <row r="9301" ht="15.75" customHeight="1">
      <c r="A9301" s="2" t="s">
        <v>9301</v>
      </c>
      <c r="B9301" s="2" t="str">
        <f>IFERROR(__xludf.DUMMYFUNCTION("GOOGLETRANSLATE(A9301, ""en"", ""mt"")"),"il-Kunsill tad-Disinn Industrijali")</f>
        <v>il-Kunsill tad-Disinn Industrijali</v>
      </c>
    </row>
    <row r="9302" ht="15.75" customHeight="1">
      <c r="A9302" s="2" t="s">
        <v>9302</v>
      </c>
      <c r="B9302" s="2" t="str">
        <f>IFERROR(__xludf.DUMMYFUNCTION("GOOGLETRANSLATE(A9302, ""en"", ""mt"")"),"Il-kloroplasti ta 'xi hornworts u alka fihom strutturi msejħa pyrenoids. Ma jinstabux fi pjanti ogħla. Il-pirenojdi huma bejn wieħed u ieħor korpi sferiċi u rifrazzjoni ħafna li huma sit ta 'akkumulazzjoni ta' lamtu f'impjanti li fihomhom. Huma jikkonsist"&amp;"u minn matriċi opaka għal elettroni, imdawra minn żewġ pjanċi tal-lamtu emisferiċi. Il-lamtu huwa akkumulat hekk kif il-pyrenoids jimmaturaw. Fl-alka b'mekkaniżmi ta 'konċentrazzjoni tal-karbonju, l-enzima rubisco tinstab fil-pirenojdi. Il-lamtu jista 'wk"&amp;"oll jakkumula madwar il-pirenojdi meta s-CO2 huwa skars. Pirenoids jistgħu jaqsmu biex jiffurmaw pyrenoids ġodda, jew jiġu prodotti ""de novo"".")</f>
        <v>Il-kloroplasti ta 'xi hornworts u alka fihom strutturi msejħa pyrenoids. Ma jinstabux fi pjanti ogħla. Il-pirenojdi huma bejn wieħed u ieħor korpi sferiċi u rifrazzjoni ħafna li huma sit ta 'akkumulazzjoni ta' lamtu f'impjanti li fihomhom. Huma jikkonsistu minn matriċi opaka għal elettroni, imdawra minn żewġ pjanċi tal-lamtu emisferiċi. Il-lamtu huwa akkumulat hekk kif il-pyrenoids jimmaturaw. Fl-alka b'mekkaniżmi ta 'konċentrazzjoni tal-karbonju, l-enzima rubisco tinstab fil-pirenojdi. Il-lamtu jista 'wkoll jakkumula madwar il-pirenojdi meta s-CO2 huwa skars. Pirenoids jistgħu jaqsmu biex jiffurmaw pyrenoids ġodda, jew jiġu prodotti "de novo".</v>
      </c>
    </row>
    <row r="9303" ht="15.75" customHeight="1">
      <c r="A9303" s="2" t="s">
        <v>9303</v>
      </c>
      <c r="B9303" s="2" t="str">
        <f>IFERROR(__xludf.DUMMYFUNCTION("GOOGLETRANSLATE(A9303, ""en"", ""mt"")"),"Tard 1545")</f>
        <v>Tard 1545</v>
      </c>
    </row>
    <row r="9304" ht="15.75" customHeight="1">
      <c r="A9304" s="2" t="s">
        <v>9304</v>
      </c>
      <c r="B9304" s="2" t="str">
        <f>IFERROR(__xludf.DUMMYFUNCTION("GOOGLETRANSLATE(A9304, ""en"", ""mt"")"),"X'tip ta 'pajsaġġi minbarra pajsaġġi ta' ekosistema ġeoloġika u naturali jistgħu jinstabu fin-Nofsinhar ta 'California?")</f>
        <v>X'tip ta 'pajsaġġi minbarra pajsaġġi ta' ekosistema ġeoloġika u naturali jistgħu jinstabu fin-Nofsinhar ta 'California?</v>
      </c>
    </row>
    <row r="9305" ht="15.75" customHeight="1">
      <c r="A9305" s="2" t="s">
        <v>9305</v>
      </c>
      <c r="B9305" s="2" t="str">
        <f>IFERROR(__xludf.DUMMYFUNCTION("GOOGLETRANSLATE(A9305, ""en"", ""mt"")"),"Alga")</f>
        <v>Alga</v>
      </c>
    </row>
    <row r="9306" ht="15.75" customHeight="1">
      <c r="A9306" s="2" t="s">
        <v>9306</v>
      </c>
      <c r="B9306" s="2" t="str">
        <f>IFERROR(__xludf.DUMMYFUNCTION("GOOGLETRANSLATE(A9306, ""en"", ""mt"")"),"3.7")</f>
        <v>3.7</v>
      </c>
    </row>
    <row r="9307" ht="15.75" customHeight="1">
      <c r="A9307" s="2" t="s">
        <v>9307</v>
      </c>
      <c r="B9307" s="2" t="str">
        <f>IFERROR(__xludf.DUMMYFUNCTION("GOOGLETRANSLATE(A9307, ""en"", ""mt"")"),"Band Ku universali LNB (9.75 / 10.600 GHz) li hija mwaħħla fl-aħħar tad-dixx u indikata lejn il-kostellazzjoni tas-satellita korretta; Il-biċċa l-kbira tar-riċevituri diġitali jirċievu l-kanali tal-ajru bla ħlas. Xi xandiriet huma bla ħlas u mhux ikkripta"&amp;"ti, uħud huma kriptati iżda ma jeħtiġux abbonament ta 'kull xahar (magħrufa bħala free-to-view), uħud huma kriptati u jeħtieġu abbonament kull xahar, u xi wħud huma servizzi ta' ħlas għal kull veduta. Biex tara l-kontenut encrypted, hemm bżonn ta 'riċevit"&amp;"ur mgħammar tar-Renju Unit (li kollha huma ddedikati għas-servizz tas-sema, u ma jistgħux jintużaw biex jiddekriptaw servizzi oħra) jeħtieġ li jintużaw. CAMs mhux uffiċjali issa huma disponibbli biex jaraw is-servizz, għalkemm l-użu tagħhom jikser il-kunt"&amp;"ratt tal-utent ma 'Sky u jinvalida d-drittijiet tal-utent biex juża l-karta.")</f>
        <v>Band Ku universali LNB (9.75 / 10.600 GHz) li hija mwaħħla fl-aħħar tad-dixx u indikata lejn il-kostellazzjoni tas-satellita korretta; Il-biċċa l-kbira tar-riċevituri diġitali jirċievu l-kanali tal-ajru bla ħlas. Xi xandiriet huma bla ħlas u mhux ikkriptati, uħud huma kriptati iżda ma jeħtiġux abbonament ta 'kull xahar (magħrufa bħala free-to-view), uħud huma kriptati u jeħtieġu abbonament kull xahar, u xi wħud huma servizzi ta' ħlas għal kull veduta. Biex tara l-kontenut encrypted, hemm bżonn ta 'riċevitur mgħammar tar-Renju Unit (li kollha huma ddedikati għas-servizz tas-sema, u ma jistgħux jintużaw biex jiddekriptaw servizzi oħra) jeħtieġ li jintużaw. CAMs mhux uffiċjali issa huma disponibbli biex jaraw is-servizz, għalkemm l-użu tagħhom jikser il-kuntratt tal-utent ma 'Sky u jinvalida d-drittijiet tal-utent biex juża l-karta.</v>
      </c>
    </row>
    <row r="9308" ht="15.75" customHeight="1">
      <c r="A9308" s="2" t="s">
        <v>9308</v>
      </c>
      <c r="B9308" s="2" t="str">
        <f>IFERROR(__xludf.DUMMYFUNCTION("GOOGLETRANSLATE(A9308, ""en"", ""mt"")"),"Il-galleriji jgħaqqdu wkoll id-disinn ma 'xejriet usa' fil-kultura Ingliża. Pereżempju, id-disinn fil-perjodu ta 'Tudor kien influwenzat mit-tixrid ta' kotba stampati u x-xogħol ta 'artisti u nies tas-sengħa Ewropej impjegati fil-Gran Brittanja. Fil-perjo"&amp;"du ta 'Stuart, iż-żieda fil-kummerċ, speċjalment mal-Asja, ippermettiet aċċess usa' għal lussu bħal twapet, għamara lakka, ħarir u porċellana. Fl-età tal-Ġeorġja kien hemm enfasi dejjem akbar fuq id-divertiment u d-divertiment. Pereżempju, iż-żieda fix-xo"&amp;"rb tat-te wasslet għall-produzzjoni ta 'parafernalia tat-te bħaċ-Ċina u l-kaddijiet. Stili Ewropej li dehru fuq il-Grand Tour influwenzaw ukoll it-togħma. Hekk kif ir-Rivoluzzjoni Industrijali qabdet, it-tkabbir tal-produzzjoni tal-massa pproduċa intrapre"&amp;"ndituri bħal Josiah Wedgwood, Matthew Boulton u Eleanor Coade. Fl-era Vittorjana t-teknoloġija u l-makkinarju l-ġdid kellhom effett sinifikanti fuq il-manifattura, u għall-ewwel darba mir-Riforma, il-knejjes Kattoliċi Anglikani u Rumani kellhom effett kbi"&amp;"r fuq l-arti u d-disinn bħall-qawmien mill-ġdid Gotiku. Hemm wirja kbira fuq il-wirja l-kbira li, fost affarijiet oħra, wasslet għall-fondazzjoni tal-V &amp; A. Fis-seklu 19 aktar tard, ir-ritmu dejjem jiżdied kontra l-industrijalizzazzjoni, immexxi minn John"&amp;" Ruskin, ikkontribwixxa għall-moviment tal-arti u l-artiġjanat.")</f>
        <v>Il-galleriji jgħaqqdu wkoll id-disinn ma 'xejriet usa' fil-kultura Ingliża. Pereżempju, id-disinn fil-perjodu ta 'Tudor kien influwenzat mit-tixrid ta' kotba stampati u x-xogħol ta 'artisti u nies tas-sengħa Ewropej impjegati fil-Gran Brittanja. Fil-perjodu ta 'Stuart, iż-żieda fil-kummerċ, speċjalment mal-Asja, ippermettiet aċċess usa' għal lussu bħal twapet, għamara lakka, ħarir u porċellana. Fl-età tal-Ġeorġja kien hemm enfasi dejjem akbar fuq id-divertiment u d-divertiment. Pereżempju, iż-żieda fix-xorb tat-te wasslet għall-produzzjoni ta 'parafernalia tat-te bħaċ-Ċina u l-kaddijiet. Stili Ewropej li dehru fuq il-Grand Tour influwenzaw ukoll it-togħma. Hekk kif ir-Rivoluzzjoni Industrijali qabdet, it-tkabbir tal-produzzjoni tal-massa pproduċa intraprendituri bħal Josiah Wedgwood, Matthew Boulton u Eleanor Coade. Fl-era Vittorjana t-teknoloġija u l-makkinarju l-ġdid kellhom effett sinifikanti fuq il-manifattura, u għall-ewwel darba mir-Riforma, il-knejjes Kattoliċi Anglikani u Rumani kellhom effett kbir fuq l-arti u d-disinn bħall-qawmien mill-ġdid Gotiku. Hemm wirja kbira fuq il-wirja l-kbira li, fost affarijiet oħra, wasslet għall-fondazzjoni tal-V &amp; A. Fis-seklu 19 aktar tard, ir-ritmu dejjem jiżdied kontra l-industrijalizzazzjoni, immexxi minn John Ruskin, ikkontribwixxa għall-moviment tal-arti u l-artiġjanat.</v>
      </c>
    </row>
    <row r="9309" ht="15.75" customHeight="1">
      <c r="A9309" s="2" t="s">
        <v>9309</v>
      </c>
      <c r="B9309" s="2" t="str">
        <f>IFERROR(__xludf.DUMMYFUNCTION("GOOGLETRANSLATE(A9309, ""en"", ""mt"")"),"Dawk li jipproċedu għal skola sekondarja jew taħriġ vokazzjonali")</f>
        <v>Dawk li jipproċedu għal skola sekondarja jew taħriġ vokazzjonali</v>
      </c>
    </row>
    <row r="9310" ht="15.75" customHeight="1">
      <c r="A9310" s="2" t="s">
        <v>9310</v>
      </c>
      <c r="B9310" s="2" t="str">
        <f>IFERROR(__xludf.DUMMYFUNCTION("GOOGLETRANSLATE(A9310, ""en"", ""mt"")"),"Min ikkompona t-tema tat-tabib oriġinali min?")</f>
        <v>Min ikkompona t-tema tat-tabib oriġinali min?</v>
      </c>
    </row>
    <row r="9311" ht="15.75" customHeight="1">
      <c r="A9311" s="2" t="s">
        <v>9311</v>
      </c>
      <c r="B9311" s="2" t="str">
        <f>IFERROR(__xludf.DUMMYFUNCTION("GOOGLETRANSLATE(A9311, ""en"", ""mt"")"),"teatru.")</f>
        <v>teatru.</v>
      </c>
    </row>
    <row r="9312" ht="15.75" customHeight="1">
      <c r="A9312" s="2" t="s">
        <v>9312</v>
      </c>
      <c r="B9312" s="2" t="str">
        <f>IFERROR(__xludf.DUMMYFUNCTION("GOOGLETRANSLATE(A9312, ""en"", ""mt"")"),"Luther kif ried li n-nies iġibu bidla?")</f>
        <v>Luther kif ried li n-nies iġibu bidla?</v>
      </c>
    </row>
    <row r="9313" ht="15.75" customHeight="1">
      <c r="A9313" s="2" t="s">
        <v>9313</v>
      </c>
      <c r="B9313" s="2" t="str">
        <f>IFERROR(__xludf.DUMMYFUNCTION("GOOGLETRANSLATE(A9313, ""en"", ""mt"")"),"Il-fagoċiti jistgħu jissejħu għal post speċifiku minn xiex?")</f>
        <v>Il-fagoċiti jistgħu jissejħu għal post speċifiku minn xiex?</v>
      </c>
    </row>
    <row r="9314" ht="15.75" customHeight="1">
      <c r="A9314" s="2" t="s">
        <v>9314</v>
      </c>
      <c r="B9314" s="2" t="str">
        <f>IFERROR(__xludf.DUMMYFUNCTION("GOOGLETRANSLATE(A9314, ""en"", ""mt"")"),"X'inhu eżempju ta 'magna li ddur mingħajr pistuni?")</f>
        <v>X'inhu eżempju ta 'magna li ddur mingħajr pistuni?</v>
      </c>
    </row>
    <row r="9315" ht="15.75" customHeight="1">
      <c r="A9315" s="2" t="s">
        <v>9315</v>
      </c>
      <c r="B9315" s="2" t="str">
        <f>IFERROR(__xludf.DUMMYFUNCTION("GOOGLETRANSLATE(A9315, ""en"", ""mt"")"),"X’jagħmel il-ministru li kien jagħmel il-katalist tan-negozju tal-membri billi jitkellem wara kulħadd?")</f>
        <v>X’jagħmel il-ministru li kien jagħmel il-katalist tan-negozju tal-membri billi jitkellem wara kulħadd?</v>
      </c>
    </row>
    <row r="9316" ht="15.75" customHeight="1">
      <c r="A9316" s="2" t="s">
        <v>9316</v>
      </c>
      <c r="B9316" s="2" t="str">
        <f>IFERROR(__xludf.DUMMYFUNCTION("GOOGLETRANSLATE(A9316, ""en"", ""mt"")"),"Liema pjanti m'għandhomx bżonn dawl biex jagħmlu kloroplasti?")</f>
        <v>Liema pjanti m'għandhomx bżonn dawl biex jagħmlu kloroplasti?</v>
      </c>
    </row>
    <row r="9317" ht="15.75" customHeight="1">
      <c r="A9317" s="2" t="s">
        <v>9317</v>
      </c>
      <c r="B9317" s="2" t="str">
        <f>IFERROR(__xludf.DUMMYFUNCTION("GOOGLETRANSLATE(A9317, ""en"", ""mt"")"),"Kustodju tal-Propjetà Aljena")</f>
        <v>Kustodju tal-Propjetà Aljena</v>
      </c>
    </row>
    <row r="9318" ht="15.75" customHeight="1">
      <c r="A9318" s="2" t="s">
        <v>9318</v>
      </c>
      <c r="B9318" s="2" t="str">
        <f>IFERROR(__xludf.DUMMYFUNCTION("GOOGLETRANSLATE(A9318, ""en"", ""mt"")"),"Kemm nefqet Tesla fuq il-ħamiem imweġġa '?")</f>
        <v>Kemm nefqet Tesla fuq il-ħamiem imweġġa '?</v>
      </c>
    </row>
    <row r="9319" ht="15.75" customHeight="1">
      <c r="A9319" s="2" t="s">
        <v>9319</v>
      </c>
      <c r="B9319" s="2" t="str">
        <f>IFERROR(__xludf.DUMMYFUNCTION("GOOGLETRANSLATE(A9319, ""en"", ""mt"")"),"Kemm Panthers marru għand il-Pro Bowl?")</f>
        <v>Kemm Panthers marru għand il-Pro Bowl?</v>
      </c>
    </row>
    <row r="9320" ht="15.75" customHeight="1">
      <c r="A9320" s="2" t="s">
        <v>9320</v>
      </c>
      <c r="B9320" s="2" t="str">
        <f>IFERROR(__xludf.DUMMYFUNCTION("GOOGLETRANSLATE(A9320, ""en"", ""mt"")"),"Oxxillaturi / ġeneraturi mekkaniċi, tubi ta 'kwittanza elettrika, u immaġni tar-raġġi X bikrija")</f>
        <v>Oxxillaturi / ġeneraturi mekkaniċi, tubi ta 'kwittanza elettrika, u immaġni tar-raġġi X bikrija</v>
      </c>
    </row>
    <row r="9321" ht="15.75" customHeight="1">
      <c r="A9321" s="2" t="s">
        <v>9321</v>
      </c>
      <c r="B9321" s="2" t="str">
        <f>IFERROR(__xludf.DUMMYFUNCTION("GOOGLETRANSLATE(A9321, ""en"", ""mt"")"),"X'kien il-persentaġġ ta 'nies li fi Fresno fl-2010?")</f>
        <v>X'kien il-persentaġġ ta 'nies li fi Fresno fl-2010?</v>
      </c>
    </row>
    <row r="9322" ht="15.75" customHeight="1">
      <c r="A9322" s="2" t="s">
        <v>9322</v>
      </c>
      <c r="B9322" s="2" t="str">
        <f>IFERROR(__xludf.DUMMYFUNCTION("GOOGLETRANSLATE(A9322, ""en"", ""mt"")"),"Liema ittra ta 'Washington ippreżentat lil Saint-Pierre?")</f>
        <v>Liema ittra ta 'Washington ippreżentat lil Saint-Pierre?</v>
      </c>
    </row>
    <row r="9323" ht="15.75" customHeight="1">
      <c r="A9323" s="2" t="s">
        <v>9323</v>
      </c>
      <c r="B9323" s="2" t="str">
        <f>IFERROR(__xludf.DUMMYFUNCTION("GOOGLETRANSLATE(A9323, ""en"", ""mt"")"),"is-sid")</f>
        <v>is-sid</v>
      </c>
    </row>
    <row r="9324" ht="15.75" customHeight="1">
      <c r="A9324" s="2" t="s">
        <v>9324</v>
      </c>
      <c r="B9324" s="2" t="str">
        <f>IFERROR(__xludf.DUMMYFUNCTION("GOOGLETRANSLATE(A9324, ""en"", ""mt"")"),"Punt Ticonderoga")</f>
        <v>Punt Ticonderoga</v>
      </c>
    </row>
    <row r="9325" ht="15.75" customHeight="1">
      <c r="A9325" s="2" t="s">
        <v>9325</v>
      </c>
      <c r="B9325" s="2" t="str">
        <f>IFERROR(__xludf.DUMMYFUNCTION("GOOGLETRANSLATE(A9325, ""en"", ""mt"")"),"Liema partit jirregola fir-reġjuni ta 'ġewwa ta' Melbourne?")</f>
        <v>Liema partit jirregola fir-reġjuni ta 'ġewwa ta' Melbourne?</v>
      </c>
    </row>
    <row r="9326" ht="15.75" customHeight="1">
      <c r="A9326" s="2" t="s">
        <v>9326</v>
      </c>
      <c r="B9326" s="2" t="str">
        <f>IFERROR(__xludf.DUMMYFUNCTION("GOOGLETRANSLATE(A9326, ""en"", ""mt"")"),"Robert Stephenson")</f>
        <v>Robert Stephenson</v>
      </c>
    </row>
    <row r="9327" ht="15.75" customHeight="1">
      <c r="A9327" s="2" t="s">
        <v>9327</v>
      </c>
      <c r="B9327" s="2" t="str">
        <f>IFERROR(__xludf.DUMMYFUNCTION("GOOGLETRANSLATE(A9327, ""en"", ""mt"")"),"Novgorod u Pskov")</f>
        <v>Novgorod u Pskov</v>
      </c>
    </row>
    <row r="9328" ht="15.75" customHeight="1">
      <c r="A9328" s="2" t="s">
        <v>9328</v>
      </c>
      <c r="B9328" s="2" t="str">
        <f>IFERROR(__xludf.DUMMYFUNCTION("GOOGLETRANSLATE(A9328, ""en"", ""mt"")"),"L-avvanzi li saru fil-Lvant Nofsani fil-Botanika u l-Kimika wasslu l-mediċina fl-Iżlam medjevali sostanzjalment biex tiżviluppa farmakoloġija. Muhammad Ibn Zakarīya Rāzi (Rhazes) (865-915), pereżempju, aġixxa biex jippromwovi l-użi mediċi ta 'komposti kim"&amp;"iċi. Abu al-Qasim al-Zahrawi (abulcasis) (936-1013) pijunier fil-preparazzjoni ta 'mediċini permezz ta' sublimazzjoni u distillazzjoni. Il-libertà tiegħu huwa ta 'interess partikolari, peress li jipprovdi lill-qarrej b'riċetti u jispjega kif iħejji l-'fle"&amp;"s' li minnu ġew aggravati l-mediċini kumplessi li mbagħad jintużaw ġeneralment. Sabur Ibn Sahl (D 869), kien, madankollu, l-ewwel tabib li beda l-farmakopoedija, li jiddeskrivi varjetà kbira ta 'mediċini u rimedji għall-mard. Al-Biruni (973-1050) kiteb wa"&amp;"ħda mill-iktar xogħlijiet Iżlamiċi siewja fuq il-farmakoloġija, intitolata Kitab al-Saydalah (il-Ktieb tad-Drogi), li fih iddettalja l-proprjetajiet tad-drogi u ddeskriva r-rwol tal-ispiżerija u l-funzjonijiet u d-dmirijiet tal-ispiżjar. Avicenna wkoll id"&amp;"deskriviet xejn inqas minn 700 preparazzjoni, il-proprjetajiet tagħhom, modi ta 'azzjoni, u l-indikazzjonijiet tagħhom. Huwa ddedika fil-fatt volum sħiħ għal mediċini sempliċi fil-kanon tal-mediċina. Ta 'impatt kbir kienu wkoll ix-xogħlijiet minn al-Marid"&amp;"ini ta' Bagdad u l-Kajr, u Ibn al-Wafid (1008-1074), it-tnejn li t-tnejn ġew stampati bil-Latin aktar minn ħamsin darba, li jidhru bħala de mediciinis universalibus et partikolaribus minn ""mesue"" l-iżgħar, u l-medicamentis sempliċibus minn 'Abenguefit'."&amp;" Peter ta 'Abano (1250-1316) tradotta u żied suppliment għax-xogħol ta' Al-Maridini taħt it-Titolu de Veneris. Il-kontribuzzjonijiet ta 'Al-Muwaffaq fil-qasam huma wkoll pijunieri. Jgħix fis-seklu 10, huwa kiteb il-pedamenti tal-proprjetajiet veri tar-rim"&amp;"edji, fost oħrajn li jiddeskrivu l-ossidu arsenious, u li kienu midħla tal-aċidu siliku. Huwa għamel distinzjoni ċara bejn il-karbonat tas-sodju u l-karbonat tal-potassju, u ġibed l-attenzjoni għan-natura velenuża tal-komposti tar-ram, speċjalment il-vitr"&amp;"iol tar-ram, u wkoll il-komposti taċ-ċomb. Huwa jiddeskrivi wkoll id-distillazzjoni tal-ilma tal-baħar għax-xorb. [Verifika meħtieġa]")</f>
        <v>L-avvanzi li saru fil-Lvant Nofsani fil-Botanika u l-Kimika wasslu l-mediċina fl-Iżlam medjevali sostanzjalment biex tiżviluppa farmakoloġija. Muhammad Ibn Zakarīya Rāzi (Rhazes) (865-915), pereżempju, aġixxa biex jippromwovi l-użi mediċi ta 'komposti kimiċi. Abu al-Qasim al-Zahrawi (abulcasis) (936-1013) pijunier fil-preparazzjoni ta 'mediċini permezz ta' sublimazzjoni u distillazzjoni. Il-libertà tiegħu huwa ta 'interess partikolari, peress li jipprovdi lill-qarrej b'riċetti u jispjega kif iħejji l-'fles' li minnu ġew aggravati l-mediċini kumplessi li mbagħad jintużaw ġeneralment. Sabur Ibn Sahl (D 869), kien, madankollu, l-ewwel tabib li beda l-farmakopoedija, li jiddeskrivi varjetà kbira ta 'mediċini u rimedji għall-mard. Al-Biruni (973-1050) kiteb waħda mill-iktar xogħlijiet Iżlamiċi siewja fuq il-farmakoloġija, intitolata Kitab al-Saydalah (il-Ktieb tad-Drogi), li fih iddettalja l-proprjetajiet tad-drogi u ddeskriva r-rwol tal-ispiżerija u l-funzjonijiet u d-dmirijiet tal-ispiżjar. Avicenna wkoll iddeskriviet xejn inqas minn 700 preparazzjoni, il-proprjetajiet tagħhom, modi ta 'azzjoni, u l-indikazzjonijiet tagħhom. Huwa ddedika fil-fatt volum sħiħ għal mediċini sempliċi fil-kanon tal-mediċina. Ta 'impatt kbir kienu wkoll ix-xogħlijiet minn al-Maridini ta' Bagdad u l-Kajr, u Ibn al-Wafid (1008-1074), it-tnejn li t-tnejn ġew stampati bil-Latin aktar minn ħamsin darba, li jidhru bħala de mediciinis universalibus et partikolaribus minn "mesue" l-iżgħar, u l-medicamentis sempliċibus minn 'Abenguefit'. Peter ta 'Abano (1250-1316) tradotta u żied suppliment għax-xogħol ta' Al-Maridini taħt it-Titolu de Veneris. Il-kontribuzzjonijiet ta 'Al-Muwaffaq fil-qasam huma wkoll pijunieri. Jgħix fis-seklu 10, huwa kiteb il-pedamenti tal-proprjetajiet veri tar-rimedji, fost oħrajn li jiddeskrivu l-ossidu arsenious, u li kienu midħla tal-aċidu siliku. Huwa għamel distinzjoni ċara bejn il-karbonat tas-sodju u l-karbonat tal-potassju, u ġibed l-attenzjoni għan-natura velenuża tal-komposti tar-ram, speċjalment il-vitriol tar-ram, u wkoll il-komposti taċ-ċomb. Huwa jiddeskrivi wkoll id-distillazzjoni tal-ilma tal-baħar għax-xorb. [Verifika meħtieġa]</v>
      </c>
    </row>
    <row r="9329" ht="15.75" customHeight="1">
      <c r="A9329" s="2" t="s">
        <v>9329</v>
      </c>
      <c r="B9329" s="2" t="str">
        <f>IFERROR(__xludf.DUMMYFUNCTION("GOOGLETRANSLATE(A9329, ""en"", ""mt"")"),"X'inhu t-tim l-ieħor tal-NHL apparti mill-Papri ta 'Anaheim biex joqgħod fin-Nofsinhar ta' California?")</f>
        <v>X'inhu t-tim l-ieħor tal-NHL apparti mill-Papri ta 'Anaheim biex joqgħod fin-Nofsinhar ta' California?</v>
      </c>
    </row>
    <row r="9330" ht="15.75" customHeight="1">
      <c r="A9330" s="2" t="s">
        <v>9330</v>
      </c>
      <c r="B9330" s="2" t="str">
        <f>IFERROR(__xludf.DUMMYFUNCTION("GOOGLETRANSLATE(A9330, ""en"", ""mt"")"),"Jailer u Hangman")</f>
        <v>Jailer u Hangman</v>
      </c>
    </row>
    <row r="9331" ht="15.75" customHeight="1">
      <c r="A9331" s="2" t="s">
        <v>9331</v>
      </c>
      <c r="B9331" s="2" t="str">
        <f>IFERROR(__xludf.DUMMYFUNCTION("GOOGLETRANSLATE(A9331, ""en"", ""mt"")"),"Min wettaq il-mużika kollha Doctor Who mill-Ispecial tal-Milied tal-2005?")</f>
        <v>Min wettaq il-mużika kollha Doctor Who mill-Ispecial tal-Milied tal-2005?</v>
      </c>
    </row>
    <row r="9332" ht="15.75" customHeight="1">
      <c r="A9332" s="2" t="s">
        <v>9332</v>
      </c>
      <c r="B9332" s="2" t="str">
        <f>IFERROR(__xludf.DUMMYFUNCTION("GOOGLETRANSLATE(A9332, ""en"", ""mt"")"),"Fil-host Dinophyte")</f>
        <v>Fil-host Dinophyte</v>
      </c>
    </row>
    <row r="9333" ht="15.75" customHeight="1">
      <c r="A9333" s="2" t="s">
        <v>9333</v>
      </c>
      <c r="B9333" s="2" t="str">
        <f>IFERROR(__xludf.DUMMYFUNCTION("GOOGLETRANSLATE(A9333, ""en"", ""mt"")"),"Fil-modalità mingħajr konnessjoni kull pakkett jinkludi informazzjoni kompluta dwar l-indirizzar. Il-pakketti huma mgħoddija individwalment, u xi kultant jirriżultaw fi mogħdijiet differenti u kunsinna barra mill-ordni. Kull pakkett huwa ttikkettjat b'ind"&amp;"irizz ta 'destinazzjoni, indirizz tas-sors, u numri tal-port. Jista 'jkun ukoll ittikkettat bin-numru tas-sekwenza tal-pakkett. Dan jipprekludi l-ħtieġa għal triq iddedikata biex tgħin lill-pakkett isib triqtu lejn id-destinazzjoni tiegħu, iżda jfisser li"&amp;" hemm bżonn ta 'ħafna aktar informazzjoni fl-intestatura tal-pakkett, li hija għalhekk ikbar, u din l-informazzjoni teħtieġ li titħares fil-kontenut bil-ġuħ tal-enerġija Memorja Addressabbli. Kull pakkett jintbagħat u jista 'jmur permezz ta' rotot differe"&amp;"nti; Potenzjalment, is-sistema trid tagħmel daqshekk xogħol għal kull pakkett kif is-sistema orjentata lejn il-konnessjoni għandha tagħmel f'konnessjoni stabbilita, iżda b'inqas informazzjoni dwar ir-rekwiżiti tal-applikazzjoni. Fid-destinazzjoni, il-mess"&amp;"aġġ / dejta oriġinali huwa mmuntat mill-ġdid fl-ordni korretta, ibbażat fuq in-numru tas-sekwenza tal-pakketti. Għalhekk konnessjoni virtwali, magħrufa wkoll bħala ċirkwit virtwali jew fluss ta 'byte hija pprovduta lill-utent aħħari minn protokoll ta' saf"&amp;"f tat-trasport, għalkemm l-għoqiedi tan-netwerk intermedju jipprovdi biss servizz ta 'saff ta' netwerk mingħajr konnessjoni.")</f>
        <v>Fil-modalità mingħajr konnessjoni kull pakkett jinkludi informazzjoni kompluta dwar l-indirizzar. Il-pakketti huma mgħoddija individwalment, u xi kultant jirriżultaw fi mogħdijiet differenti u kunsinna barra mill-ordni. Kull pakkett huwa ttikkettjat b'indirizz ta 'destinazzjoni, indirizz tas-sors, u numri tal-port. Jista 'jkun ukoll ittikkettat bin-numru tas-sekwenza tal-pakkett. Dan jipprekludi l-ħtieġa għal triq iddedikata biex tgħin lill-pakkett isib triqtu lejn id-destinazzjoni tiegħu, iżda jfisser li hemm bżonn ta 'ħafna aktar informazzjoni fl-intestatura tal-pakkett, li hija għalhekk ikbar, u din l-informazzjoni teħtieġ li titħares fil-kontenut bil-ġuħ tal-enerġija Memorja Addressabbli. Kull pakkett jintbagħat u jista 'jmur permezz ta' rotot differenti; Potenzjalment, is-sistema trid tagħmel daqshekk xogħol għal kull pakkett kif is-sistema orjentata lejn il-konnessjoni għandha tagħmel f'konnessjoni stabbilita, iżda b'inqas informazzjoni dwar ir-rekwiżiti tal-applikazzjoni. Fid-destinazzjoni, il-messaġġ / dejta oriġinali huwa mmuntat mill-ġdid fl-ordni korretta, ibbażat fuq in-numru tas-sekwenza tal-pakketti. Għalhekk konnessjoni virtwali, magħrufa wkoll bħala ċirkwit virtwali jew fluss ta 'byte hija pprovduta lill-utent aħħari minn protokoll ta' saff tat-trasport, għalkemm l-għoqiedi tan-netwerk intermedju jipprovdi biss servizz ta 'saff ta' netwerk mingħajr konnessjoni.</v>
      </c>
    </row>
    <row r="9334" ht="15.75" customHeight="1">
      <c r="A9334" s="2" t="s">
        <v>9334</v>
      </c>
      <c r="B9334" s="2" t="str">
        <f>IFERROR(__xludf.DUMMYFUNCTION("GOOGLETRANSLATE(A9334, ""en"", ""mt"")"),"Kif huwa pprovdut id-dawra billi tirkeb fuq il-port tal-ġenb tad-dħul?")</f>
        <v>Kif huwa pprovdut id-dawra billi tirkeb fuq il-port tal-ġenb tad-dħul?</v>
      </c>
    </row>
    <row r="9335" ht="15.75" customHeight="1">
      <c r="A9335" s="2" t="s">
        <v>9335</v>
      </c>
      <c r="B9335" s="2" t="str">
        <f>IFERROR(__xludf.DUMMYFUNCTION("GOOGLETRANSLATE(A9335, ""en"", ""mt"")"),"X'se tbiddel l-inerzja rotazzjonali ta 'korp taħt l-ewwel liġi ta' mozzjoni ta 'Newton?")</f>
        <v>X'se tbiddel l-inerzja rotazzjonali ta 'korp taħt l-ewwel liġi ta' mozzjoni ta 'Newton?</v>
      </c>
    </row>
    <row r="9336" ht="15.75" customHeight="1">
      <c r="A9336" s="2" t="s">
        <v>9336</v>
      </c>
      <c r="B9336" s="2" t="str">
        <f>IFERROR(__xludf.DUMMYFUNCTION("GOOGLETRANSLATE(A9336, ""en"", ""mt"")"),"Mina subway mill-mużew twassal għal liema stazzjon tat-tubu?")</f>
        <v>Mina subway mill-mużew twassal għal liema stazzjon tat-tubu?</v>
      </c>
    </row>
    <row r="9337" ht="15.75" customHeight="1">
      <c r="A9337" s="2" t="s">
        <v>9337</v>
      </c>
      <c r="B9337" s="2" t="str">
        <f>IFERROR(__xludf.DUMMYFUNCTION("GOOGLETRANSLATE(A9337, ""en"", ""mt"")"),"Meta ġiet introdotta l-Iskola Primarja Ħieles?")</f>
        <v>Meta ġiet introdotta l-Iskola Primarja Ħieles?</v>
      </c>
    </row>
    <row r="9338" ht="15.75" customHeight="1">
      <c r="A9338" s="2" t="s">
        <v>9338</v>
      </c>
      <c r="B9338" s="2" t="str">
        <f>IFERROR(__xludf.DUMMYFUNCTION("GOOGLETRANSLATE(A9338, ""en"", ""mt"")"),"tliet miljun")</f>
        <v>tliet miljun</v>
      </c>
    </row>
    <row r="9339" ht="15.75" customHeight="1">
      <c r="A9339" s="2" t="s">
        <v>9339</v>
      </c>
      <c r="B9339" s="2" t="str">
        <f>IFERROR(__xludf.DUMMYFUNCTION("GOOGLETRANSLATE(A9339, ""en"", ""mt"")"),"il-50")</f>
        <v>il-50</v>
      </c>
    </row>
    <row r="9340" ht="15.75" customHeight="1">
      <c r="A9340" s="2" t="s">
        <v>9340</v>
      </c>
      <c r="B9340" s="2" t="str">
        <f>IFERROR(__xludf.DUMMYFUNCTION("GOOGLETRANSLATE(A9340, ""en"", ""mt"")"),"Tossiċità tal-ossiġnu")</f>
        <v>Tossiċità tal-ossiġnu</v>
      </c>
    </row>
    <row r="9341" ht="15.75" customHeight="1">
      <c r="A9341" s="2" t="s">
        <v>9341</v>
      </c>
      <c r="B9341" s="2" t="str">
        <f>IFERROR(__xludf.DUMMYFUNCTION("GOOGLETRANSLATE(A9341, ""en"", ""mt"")"),"Liema triq li għandha rwol fir-rispons immuni għall-viruses hija preżenti fl-ewkarioti kollha?")</f>
        <v>Liema triq li għandha rwol fir-rispons immuni għall-viruses hija preżenti fl-ewkarioti kollha?</v>
      </c>
    </row>
    <row r="9342" ht="15.75" customHeight="1">
      <c r="A9342" s="2" t="s">
        <v>9342</v>
      </c>
      <c r="B9342" s="2" t="str">
        <f>IFERROR(__xludf.DUMMYFUNCTION("GOOGLETRANSLATE(A9342, ""en"", ""mt"")"),"1294")</f>
        <v>1294</v>
      </c>
    </row>
    <row r="9343" ht="15.75" customHeight="1">
      <c r="A9343" s="2" t="s">
        <v>9343</v>
      </c>
      <c r="B9343" s="2" t="str">
        <f>IFERROR(__xludf.DUMMYFUNCTION("GOOGLETRANSLATE(A9343, ""en"", ""mt"")"),"Sidien tal-NFL")</f>
        <v>Sidien tal-NFL</v>
      </c>
    </row>
    <row r="9344" ht="15.75" customHeight="1">
      <c r="A9344" s="2" t="s">
        <v>9344</v>
      </c>
      <c r="B9344" s="2" t="str">
        <f>IFERROR(__xludf.DUMMYFUNCTION("GOOGLETRANSLATE(A9344, ""en"", ""mt"")"),"X'jiġri t-tieni jekk l-iskadenza ta 'direttiva ma tintlaħaqx?")</f>
        <v>X'jiġri t-tieni jekk l-iskadenza ta 'direttiva ma tintlaħaqx?</v>
      </c>
    </row>
    <row r="9345" ht="15.75" customHeight="1">
      <c r="A9345" s="2" t="s">
        <v>9345</v>
      </c>
      <c r="B9345" s="2" t="str">
        <f>IFERROR(__xludf.DUMMYFUNCTION("GOOGLETRANSLATE(A9345, ""en"", ""mt"")"),"Il-proprjetà li tkun prim (jew le) tissejjaħ primalità. Metodu sempliċi imma bil-mod tal-verifika tal-primalità ta 'numru partikolari n huwa magħruf bħala diviżjoni ta' prova. Tikkonsisti fl-ittestjar jekk N huwiex multiplu minn kwalunkwe numru sħiħ bejn "&amp;"2 u. Algoritmi ferm aktar effiċjenti mid-diviżjoni tal-prova ġew iddisinjati biex jittestjaw il-primalità ta 'numri kbar. Dawn jinkludu t-test tal-primalità Miller-Rabin, li huwa mgħaġġel iżda għandu probabbiltà żgħira ta 'żball, u t-test tal-primalità AK"&amp;"S, li dejjem jipproduċi t-tweġiba t-tajba fi żmien polinomjali iżda huwa bil-mod wisq biex ikun prattiku. Metodi partikolarment veloċi huma disponibbli għal numri ta 'forom speċjali, bħal numri ta' mersenne. Minn Jannar 2016 [aġġornament], l-akbar numru e"&amp;"wlieni magħruf għandu 22,338,618 ċifri deċimali.")</f>
        <v>Il-proprjetà li tkun prim (jew le) tissejjaħ primalità. Metodu sempliċi imma bil-mod tal-verifika tal-primalità ta 'numru partikolari n huwa magħruf bħala diviżjoni ta' prova. Tikkonsisti fl-ittestjar jekk N huwiex multiplu minn kwalunkwe numru sħiħ bejn 2 u. Algoritmi ferm aktar effiċjenti mid-diviżjoni tal-prova ġew iddisinjati biex jittestjaw il-primalità ta 'numri kbar. Dawn jinkludu t-test tal-primalità Miller-Rabin, li huwa mgħaġġel iżda għandu probabbiltà żgħira ta 'żball, u t-test tal-primalità AKS, li dejjem jipproduċi t-tweġiba t-tajba fi żmien polinomjali iżda huwa bil-mod wisq biex ikun prattiku. Metodi partikolarment veloċi huma disponibbli għal numri ta 'forom speċjali, bħal numri ta' mersenne. Minn Jannar 2016 [aġġornament], l-akbar numru ewlieni magħruf għandu 22,338,618 ċifri deċimali.</v>
      </c>
    </row>
    <row r="9346" ht="15.75" customHeight="1">
      <c r="A9346" s="2" t="s">
        <v>9346</v>
      </c>
      <c r="B9346" s="2" t="str">
        <f>IFERROR(__xludf.DUMMYFUNCTION("GOOGLETRANSLATE(A9346, ""en"", ""mt"")"),"Fil-bidu tal-Olokene (~ 11,700 sena ilu), ir-Renu okkupa l-wied tal-glaċjali tard tiegħu. Bħala xmara meandering, hija maħduma mill-ġdid tagħha Braidplain tal-età tas-silġ. Hekk kif il-livell tal-baħar kompla jiżdied fl-Olanda, bdiet il-formazzjoni tad-de"&amp;"lta tal-Meuse Rhine-Meuse Holocene (~ 8,000 sena ilu). Żieda assoluta fil-livell tal-baħar assolut u sussidju tettoniku influwenzaw sew l-evoluzzjoni tad-delta. Fatturi oħra ta 'importanza għall-forma tad-delta huma l-attivitajiet tettoniċi lokali tat-tor"&amp;"t tal-konfini tal-qoxra, is-sottostrat u l-ġeomorfoloġija, kif jintirtu mill-aħħar dinamika glaċjali u kostali-marini, bħalma huma l-formazzjonijiet ta' barriera u tal-marea tad-dħul.")</f>
        <v>Fil-bidu tal-Olokene (~ 11,700 sena ilu), ir-Renu okkupa l-wied tal-glaċjali tard tiegħu. Bħala xmara meandering, hija maħduma mill-ġdid tagħha Braidplain tal-età tas-silġ. Hekk kif il-livell tal-baħar kompla jiżdied fl-Olanda, bdiet il-formazzjoni tad-delta tal-Meuse Rhine-Meuse Holocene (~ 8,000 sena ilu). Żieda assoluta fil-livell tal-baħar assolut u sussidju tettoniku influwenzaw sew l-evoluzzjoni tad-delta. Fatturi oħra ta 'importanza għall-forma tad-delta huma l-attivitajiet tettoniċi lokali tat-tort tal-konfini tal-qoxra, is-sottostrat u l-ġeomorfoloġija, kif jintirtu mill-aħħar dinamika glaċjali u kostali-marini, bħalma huma l-formazzjonijiet ta' barriera u tal-marea tad-dħul.</v>
      </c>
    </row>
    <row r="9347" ht="15.75" customHeight="1">
      <c r="A9347" s="2" t="s">
        <v>9347</v>
      </c>
      <c r="B9347" s="2" t="str">
        <f>IFERROR(__xludf.DUMMYFUNCTION("GOOGLETRANSLATE(A9347, ""en"", ""mt"")"),"F'liema sena l-FCC bdiet investigazzjoni fl-operat tan-netwerks tar-radju fl-Amerika")</f>
        <v>F'liema sena l-FCC bdiet investigazzjoni fl-operat tan-netwerks tar-radju fl-Amerika</v>
      </c>
    </row>
    <row r="9348" ht="15.75" customHeight="1">
      <c r="A9348" s="2" t="s">
        <v>9348</v>
      </c>
      <c r="B9348" s="2" t="str">
        <f>IFERROR(__xludf.DUMMYFUNCTION("GOOGLETRANSLATE(A9348, ""en"", ""mt"")"),"mużikali")</f>
        <v>mużikali</v>
      </c>
    </row>
    <row r="9349" ht="15.75" customHeight="1">
      <c r="A9349" s="2" t="s">
        <v>9349</v>
      </c>
      <c r="B9349" s="2" t="str">
        <f>IFERROR(__xludf.DUMMYFUNCTION("GOOGLETRANSLATE(A9349, ""en"", ""mt"")"),"1677–1683")</f>
        <v>1677–1683</v>
      </c>
    </row>
    <row r="9350" ht="15.75" customHeight="1">
      <c r="A9350" s="2" t="s">
        <v>9350</v>
      </c>
      <c r="B9350" s="2" t="str">
        <f>IFERROR(__xludf.DUMMYFUNCTION("GOOGLETRANSLATE(A9350, ""en"", ""mt"")"),"Diviżjoni u Amministrazzjoni")</f>
        <v>Diviżjoni u Amministrazzjoni</v>
      </c>
    </row>
    <row r="9351" ht="15.75" customHeight="1">
      <c r="A9351" s="2" t="s">
        <v>9351</v>
      </c>
      <c r="B9351" s="2" t="str">
        <f>IFERROR(__xludf.DUMMYFUNCTION("GOOGLETRANSLATE(A9351, ""en"", ""mt"")"),"kon")</f>
        <v>kon</v>
      </c>
    </row>
    <row r="9352" ht="15.75" customHeight="1">
      <c r="A9352" s="2" t="s">
        <v>9352</v>
      </c>
      <c r="B9352" s="2" t="str">
        <f>IFERROR(__xludf.DUMMYFUNCTION("GOOGLETRANSLATE(A9352, ""en"", ""mt"")"),"Il-konkwista ta ’Ċipru mill-forzi Anglo-Norman tat-Tielet Kruċjata fetħet kapitolu ġdid fl-istorja tal-gżira, li kienet tkun taħt il-ħakma tal-Ewropa tal-Punent għat-380 sena li ġejjin. Għalkemm mhux parti minn operazzjoni ppjanata, il-konkwista kellha ri"&amp;"żultati ferm aktar permanenti milli kien mistenni inizjalment.")</f>
        <v>Il-konkwista ta ’Ċipru mill-forzi Anglo-Norman tat-Tielet Kruċjata fetħet kapitolu ġdid fl-istorja tal-gżira, li kienet tkun taħt il-ħakma tal-Ewropa tal-Punent għat-380 sena li ġejjin. Għalkemm mhux parti minn operazzjoni ppjanata, il-konkwista kellha riżultati ferm aktar permanenti milli kien mistenni inizjalment.</v>
      </c>
    </row>
    <row r="9353" ht="15.75" customHeight="1">
      <c r="A9353" s="2" t="s">
        <v>9353</v>
      </c>
      <c r="B9353" s="2" t="str">
        <f>IFERROR(__xludf.DUMMYFUNCTION("GOOGLETRANSLATE(A9353, ""en"", ""mt"")"),"Kemm hemm tumens Khitan?")</f>
        <v>Kemm hemm tumens Khitan?</v>
      </c>
    </row>
    <row r="9354" ht="15.75" customHeight="1">
      <c r="A9354" s="2" t="s">
        <v>9354</v>
      </c>
      <c r="B9354" s="2" t="str">
        <f>IFERROR(__xludf.DUMMYFUNCTION("GOOGLETRANSLATE(A9354, ""en"", ""mt"")"),"Luther huwa onorat fit-18 ta 'Frar b'kommemorazzjoni fil-Kalendarju tal-Qaddisin Luterani u fil-Kalendarju tal-Qaddisin Episkopali (l-Istati Uniti). Fil-kalendarju tal-Qaddisin tal-Knisja tal-Ingilterra huwa kkommemorat fil-31 ta ’Ottubru.")</f>
        <v>Luther huwa onorat fit-18 ta 'Frar b'kommemorazzjoni fil-Kalendarju tal-Qaddisin Luterani u fil-Kalendarju tal-Qaddisin Episkopali (l-Istati Uniti). Fil-kalendarju tal-Qaddisin tal-Knisja tal-Ingilterra huwa kkommemorat fil-31 ta ’Ottubru.</v>
      </c>
    </row>
    <row r="9355" ht="15.75" customHeight="1">
      <c r="A9355" s="2" t="s">
        <v>9355</v>
      </c>
      <c r="B9355" s="2" t="str">
        <f>IFERROR(__xludf.DUMMYFUNCTION("GOOGLETRANSLATE(A9355, ""en"", ""mt"")"),"3 ta 'Novembru, 1975")</f>
        <v>3 ta 'Novembru, 1975</v>
      </c>
    </row>
    <row r="9356" ht="15.75" customHeight="1">
      <c r="A9356" s="2" t="s">
        <v>9356</v>
      </c>
      <c r="B9356" s="2" t="str">
        <f>IFERROR(__xludf.DUMMYFUNCTION("GOOGLETRANSLATE(A9356, ""en"", ""mt"")"),"Kemm fatturat il-Panthers seħħew waqt il-logħba tal-kampjonat NFC?")</f>
        <v>Kemm fatturat il-Panthers seħħew waqt il-logħba tal-kampjonat NFC?</v>
      </c>
    </row>
    <row r="9357" ht="15.75" customHeight="1">
      <c r="A9357" s="2" t="s">
        <v>9357</v>
      </c>
      <c r="B9357" s="2" t="str">
        <f>IFERROR(__xludf.DUMMYFUNCTION("GOOGLETRANSLATE(A9357, ""en"", ""mt"")"),"Tipprevjeni l-installazzjoni ta 'immaġini pagani fit-tempju f'Ġerusalemm")</f>
        <v>Tipprevjeni l-installazzjoni ta 'immaġini pagani fit-tempju f'Ġerusalemm</v>
      </c>
    </row>
    <row r="9358" ht="15.75" customHeight="1">
      <c r="A9358" s="2" t="s">
        <v>9358</v>
      </c>
      <c r="B9358" s="2" t="str">
        <f>IFERROR(__xludf.DUMMYFUNCTION("GOOGLETRANSLATE(A9358, ""en"", ""mt"")"),"Sferi epistemoloġiċi differenti.")</f>
        <v>Sferi epistemoloġiċi differenti.</v>
      </c>
    </row>
    <row r="9359" ht="15.75" customHeight="1">
      <c r="A9359" s="2" t="s">
        <v>9359</v>
      </c>
      <c r="B9359" s="2" t="str">
        <f>IFERROR(__xludf.DUMMYFUNCTION("GOOGLETRANSLATE(A9359, ""en"", ""mt"")"),"il-mudell tal-magna magħżul")</f>
        <v>il-mudell tal-magna magħżul</v>
      </c>
    </row>
    <row r="9360" ht="15.75" customHeight="1">
      <c r="A9360" s="2" t="s">
        <v>9360</v>
      </c>
      <c r="B9360" s="2" t="str">
        <f>IFERROR(__xludf.DUMMYFUNCTION("GOOGLETRANSLATE(A9360, ""en"", ""mt"")"),"sport")</f>
        <v>sport</v>
      </c>
    </row>
    <row r="9361" ht="15.75" customHeight="1">
      <c r="A9361" s="2" t="s">
        <v>9361</v>
      </c>
      <c r="B9361" s="2" t="str">
        <f>IFERROR(__xludf.DUMMYFUNCTION("GOOGLETRANSLATE(A9361, ""en"", ""mt"")"),"Min editja Magazine World Electrical?")</f>
        <v>Min editja Magazine World Electrical?</v>
      </c>
    </row>
    <row r="9362" ht="15.75" customHeight="1">
      <c r="A9362" s="2" t="s">
        <v>9362</v>
      </c>
      <c r="B9362" s="2" t="str">
        <f>IFERROR(__xludf.DUMMYFUNCTION("GOOGLETRANSLATE(A9362, ""en"", ""mt"")"),"Fejn tmur il-forza ċentripetali?")</f>
        <v>Fejn tmur il-forza ċentripetali?</v>
      </c>
    </row>
    <row r="9363" ht="15.75" customHeight="1">
      <c r="A9363" s="2" t="s">
        <v>9363</v>
      </c>
      <c r="B9363" s="2" t="str">
        <f>IFERROR(__xludf.DUMMYFUNCTION("GOOGLETRANSLATE(A9363, ""en"", ""mt"")"),"Kemm speċi ta 'ctenophores ġew ivvalidati?")</f>
        <v>Kemm speċi ta 'ctenophores ġew ivvalidati?</v>
      </c>
    </row>
    <row r="9364" ht="15.75" customHeight="1">
      <c r="A9364" s="2" t="s">
        <v>9364</v>
      </c>
      <c r="B9364" s="2" t="str">
        <f>IFERROR(__xludf.DUMMYFUNCTION("GOOGLETRANSLATE(A9364, ""en"", ""mt"")"),"Anderson")</f>
        <v>Anderson</v>
      </c>
    </row>
    <row r="9365" ht="15.75" customHeight="1">
      <c r="A9365" s="2" t="s">
        <v>9365</v>
      </c>
      <c r="B9365" s="2" t="str">
        <f>IFERROR(__xludf.DUMMYFUNCTION("GOOGLETRANSLATE(A9365, ""en"", ""mt"")"),"Meta fetaħ it-teatru fi Newcastle oriġinarjament?")</f>
        <v>Meta fetaħ it-teatru fi Newcastle oriġinarjament?</v>
      </c>
    </row>
    <row r="9366" ht="15.75" customHeight="1">
      <c r="A9366" s="2" t="s">
        <v>9366</v>
      </c>
      <c r="B9366" s="2" t="str">
        <f>IFERROR(__xludf.DUMMYFUNCTION("GOOGLETRANSLATE(A9366, ""en"", ""mt"")"),"Charles Brenton Huggins u Janet Rowley")</f>
        <v>Charles Brenton Huggins u Janet Rowley</v>
      </c>
    </row>
    <row r="9367" ht="15.75" customHeight="1">
      <c r="A9367" s="2" t="s">
        <v>9367</v>
      </c>
      <c r="B9367" s="2" t="str">
        <f>IFERROR(__xludf.DUMMYFUNCTION("GOOGLETRANSLATE(A9367, ""en"", ""mt"")"),"Liema marda qabdet Tesla?")</f>
        <v>Liema marda qabdet Tesla?</v>
      </c>
    </row>
    <row r="9368" ht="15.75" customHeight="1">
      <c r="A9368" s="2" t="s">
        <v>9368</v>
      </c>
      <c r="B9368" s="2" t="str">
        <f>IFERROR(__xludf.DUMMYFUNCTION("GOOGLETRANSLATE(A9368, ""en"", ""mt"")"),"Min kienet l-istilla tal-avventuri ta 'Sarah Jane?")</f>
        <v>Min kienet l-istilla tal-avventuri ta 'Sarah Jane?</v>
      </c>
    </row>
    <row r="9369" ht="15.75" customHeight="1">
      <c r="A9369" s="2" t="s">
        <v>9369</v>
      </c>
      <c r="B9369" s="2" t="str">
        <f>IFERROR(__xludf.DUMMYFUNCTION("GOOGLETRANSLATE(A9369, ""en"", ""mt"")"),"X'għandu jiġi evitat meta tkellem lill-awtoritajiet?")</f>
        <v>X'għandu jiġi evitat meta tkellem lill-awtoritajiet?</v>
      </c>
    </row>
    <row r="9370" ht="15.75" customHeight="1">
      <c r="A9370" s="2" t="s">
        <v>9370</v>
      </c>
      <c r="B9370" s="2" t="str">
        <f>IFERROR(__xludf.DUMMYFUNCTION("GOOGLETRANSLATE(A9370, ""en"", ""mt"")"),"X'kien l-isem tas-sett tal-manifattur tal-kaxxa ta 'fuq li BSKYB kellu problemi?")</f>
        <v>X'kien l-isem tas-sett tal-manifattur tal-kaxxa ta 'fuq li BSKYB kellu problemi?</v>
      </c>
    </row>
    <row r="9371" ht="15.75" customHeight="1">
      <c r="A9371" s="2" t="s">
        <v>9371</v>
      </c>
      <c r="B9371" s="2" t="str">
        <f>IFERROR(__xludf.DUMMYFUNCTION("GOOGLETRANSLATE(A9371, ""en"", ""mt"")"),"Il-gvernatur ċentrifugali ġie adottat minn James Watt għall-użu fuq magna tal-fwar fl-1788 wara li s-sieħeb ta 'Watt Boulton ra wieħed fi Dqiq Mill Boulton &amp; Watt kienu qed jibnu. Il-gvernatur ma setax fil-fatt iżomm veloċità stabbilita, minħabba li jassu"&amp;"mi veloċità kostanti ġdida b'reazzjoni għal bidliet fit-tagħbija. Il-gvernatur kien kapaċi jimmaniġġa varjazzjonijiet iżgħar bħal dawk ikkawżati minn tagħbija tas-sħana li tvarja lill-bojler. Ukoll, kien hemm tendenza għall-oxxillazzjoni kull meta kien he"&amp;"mm bidla fil-veloċità. Bħala konsegwenza, magni mgħammra biss ma 'dan il-gvernatur ma kinux adattati għal operazzjonijiet li jeħtieġu veloċità kostanti, bħall-għażil tal-qoton. Il-gvernatur ġie mtejjeb maż-żmien u flimkien ma 'fwar varjabbli maqtugħ, kont"&amp;"roll tal-veloċità tajba b'reazzjoni għal bidliet fit-tagħbija kien jista' jintlaħaq qrib it-tmiem tas-seklu 19.")</f>
        <v>Il-gvernatur ċentrifugali ġie adottat minn James Watt għall-użu fuq magna tal-fwar fl-1788 wara li s-sieħeb ta 'Watt Boulton ra wieħed fi Dqiq Mill Boulton &amp; Watt kienu qed jibnu. Il-gvernatur ma setax fil-fatt iżomm veloċità stabbilita, minħabba li jassumi veloċità kostanti ġdida b'reazzjoni għal bidliet fit-tagħbija. Il-gvernatur kien kapaċi jimmaniġġa varjazzjonijiet iżgħar bħal dawk ikkawżati minn tagħbija tas-sħana li tvarja lill-bojler. Ukoll, kien hemm tendenza għall-oxxillazzjoni kull meta kien hemm bidla fil-veloċità. Bħala konsegwenza, magni mgħammra biss ma 'dan il-gvernatur ma kinux adattati għal operazzjonijiet li jeħtieġu veloċità kostanti, bħall-għażil tal-qoton. Il-gvernatur ġie mtejjeb maż-żmien u flimkien ma 'fwar varjabbli maqtugħ, kontroll tal-veloċità tajba b'reazzjoni għal bidliet fit-tagħbija kien jista' jintlaħaq qrib it-tmiem tas-seklu 19.</v>
      </c>
    </row>
    <row r="9372" ht="15.75" customHeight="1">
      <c r="A9372" s="2" t="s">
        <v>9372</v>
      </c>
      <c r="B9372" s="2" t="str">
        <f>IFERROR(__xludf.DUMMYFUNCTION("GOOGLETRANSLATE(A9372, ""en"", ""mt"")"),"Ir-Renu t'isfel")</f>
        <v>Ir-Renu t'isfel</v>
      </c>
    </row>
    <row r="9373" ht="15.75" customHeight="1">
      <c r="A9373" s="2" t="s">
        <v>9373</v>
      </c>
      <c r="B9373" s="2" t="str">
        <f>IFERROR(__xludf.DUMMYFUNCTION("GOOGLETRANSLATE(A9373, ""en"", ""mt"")"),"Christopher Eccleston")</f>
        <v>Christopher Eccleston</v>
      </c>
    </row>
    <row r="9374" ht="15.75" customHeight="1">
      <c r="A9374" s="2" t="s">
        <v>9374</v>
      </c>
      <c r="B9374" s="2" t="str">
        <f>IFERROR(__xludf.DUMMYFUNCTION("GOOGLETRANSLATE(A9374, ""en"", ""mt"")"),"X'inhu l-isem ta 'vot ta' bodhisattva?")</f>
        <v>X'inhu l-isem ta 'vot ta' bodhisattva?</v>
      </c>
    </row>
    <row r="9375" ht="15.75" customHeight="1">
      <c r="A9375" s="2" t="s">
        <v>9375</v>
      </c>
      <c r="B9375" s="2" t="str">
        <f>IFERROR(__xludf.DUMMYFUNCTION("GOOGLETRANSLATE(A9375, ""en"", ""mt"")"),"Kemm marret il-verżjoni tal-umanità tat-tema?")</f>
        <v>Kemm marret il-verżjoni tal-umanità tat-tema?</v>
      </c>
    </row>
    <row r="9376" ht="15.75" customHeight="1">
      <c r="A9376" s="2" t="s">
        <v>9376</v>
      </c>
      <c r="B9376" s="2" t="str">
        <f>IFERROR(__xludf.DUMMYFUNCTION("GOOGLETRANSLATE(A9376, ""en"", ""mt"")"),"lil Budapest")</f>
        <v>lil Budapest</v>
      </c>
    </row>
    <row r="9377" ht="15.75" customHeight="1">
      <c r="A9377" s="2" t="s">
        <v>9377</v>
      </c>
      <c r="B9377" s="2" t="str">
        <f>IFERROR(__xludf.DUMMYFUNCTION("GOOGLETRANSLATE(A9377, ""en"", ""mt"")"),"X'kien il-prekursur tal-IEEE tal-ġurnata moderna?")</f>
        <v>X'kien il-prekursur tal-IEEE tal-ġurnata moderna?</v>
      </c>
    </row>
    <row r="9378" ht="15.75" customHeight="1">
      <c r="A9378" s="2" t="s">
        <v>9378</v>
      </c>
      <c r="B9378" s="2" t="str">
        <f>IFERROR(__xludf.DUMMYFUNCTION("GOOGLETRANSLATE(A9378, ""en"", ""mt"")"),"Fejn iseħħu l-mewġ tal-plażma?")</f>
        <v>Fejn iseħħu l-mewġ tal-plażma?</v>
      </c>
    </row>
    <row r="9379" ht="15.75" customHeight="1">
      <c r="A9379" s="2" t="s">
        <v>9379</v>
      </c>
      <c r="B9379" s="2" t="str">
        <f>IFERROR(__xludf.DUMMYFUNCTION("GOOGLETRANSLATE(A9379, ""en"", ""mt"")"),"Hilux")</f>
        <v>Hilux</v>
      </c>
    </row>
    <row r="9380" ht="15.75" customHeight="1">
      <c r="A9380" s="2" t="s">
        <v>9380</v>
      </c>
      <c r="B9380" s="2" t="str">
        <f>IFERROR(__xludf.DUMMYFUNCTION("GOOGLETRANSLATE(A9380, ""en"", ""mt"")"),"l-istess proċeduri bħal għal rapporti ta 'valutazzjoni tal-IPCC")</f>
        <v>l-istess proċeduri bħal għal rapporti ta 'valutazzjoni tal-IPCC</v>
      </c>
    </row>
    <row r="9381" ht="15.75" customHeight="1">
      <c r="A9381" s="2" t="s">
        <v>9381</v>
      </c>
      <c r="B9381" s="2" t="str">
        <f>IFERROR(__xludf.DUMMYFUNCTION("GOOGLETRANSLATE(A9381, ""en"", ""mt"")"),"Kemm bliet fin-Nofsinhar tal-Kalifornja għandhom aktar minn 200,000 resident?")</f>
        <v>Kemm bliet fin-Nofsinhar tal-Kalifornja għandhom aktar minn 200,000 resident?</v>
      </c>
    </row>
    <row r="9382" ht="15.75" customHeight="1">
      <c r="A9382" s="2" t="s">
        <v>9382</v>
      </c>
      <c r="B9382" s="2" t="str">
        <f>IFERROR(__xludf.DUMMYFUNCTION("GOOGLETRANSLATE(A9382, ""en"", ""mt"")"),"Qerda ta 'Iżrael")</f>
        <v>Qerda ta 'Iżrael</v>
      </c>
    </row>
    <row r="9383" ht="15.75" customHeight="1">
      <c r="A9383" s="2" t="s">
        <v>9383</v>
      </c>
      <c r="B9383" s="2" t="str">
        <f>IFERROR(__xludf.DUMMYFUNCTION("GOOGLETRANSLATE(A9383, ""en"", ""mt"")"),"Assigurazzjonijiet foloz.")</f>
        <v>Assigurazzjonijiet foloz.</v>
      </c>
    </row>
    <row r="9384" ht="15.75" customHeight="1">
      <c r="A9384" s="2" t="s">
        <v>9384</v>
      </c>
      <c r="B9384" s="2" t="str">
        <f>IFERROR(__xludf.DUMMYFUNCTION("GOOGLETRANSLATE(A9384, ""en"", ""mt"")"),"Kemm-il ġurnata għandu l-Parlament biex jinnomina l-ewwel ministru wara elezzjoni ġenerali?")</f>
        <v>Kemm-il ġurnata għandu l-Parlament biex jinnomina l-ewwel ministru wara elezzjoni ġenerali?</v>
      </c>
    </row>
    <row r="9385" ht="15.75" customHeight="1">
      <c r="A9385" s="2" t="s">
        <v>9385</v>
      </c>
      <c r="B9385" s="2" t="str">
        <f>IFERROR(__xludf.DUMMYFUNCTION("GOOGLETRANSLATE(A9385, ""en"", ""mt"")"),"91")</f>
        <v>91</v>
      </c>
    </row>
    <row r="9386" ht="15.75" customHeight="1">
      <c r="A9386" s="2" t="s">
        <v>9386</v>
      </c>
      <c r="B9386" s="2" t="str">
        <f>IFERROR(__xludf.DUMMYFUNCTION("GOOGLETRANSLATE(A9386, ""en"", ""mt"")"),"Vinogradov's")</f>
        <v>Vinogradov's</v>
      </c>
    </row>
    <row r="9387" ht="15.75" customHeight="1">
      <c r="A9387" s="2" t="s">
        <v>9387</v>
      </c>
      <c r="B9387" s="2" t="str">
        <f>IFERROR(__xludf.DUMMYFUNCTION("GOOGLETRANSLATE(A9387, ""en"", ""mt"")"),"X’għamel Austpac")</f>
        <v>X’għamel Austpac</v>
      </c>
    </row>
    <row r="9388" ht="15.75" customHeight="1">
      <c r="A9388" s="2" t="s">
        <v>9388</v>
      </c>
      <c r="B9388" s="2" t="str">
        <f>IFERROR(__xludf.DUMMYFUNCTION("GOOGLETRANSLATE(A9388, ""en"", ""mt"")"),"X'inhu użat biex tikkwantifika l-underanding intuwittiv tal-forzi?")</f>
        <v>X'inhu użat biex tikkwantifika l-underanding intuwittiv tal-forzi?</v>
      </c>
    </row>
    <row r="9389" ht="15.75" customHeight="1">
      <c r="A9389" s="2" t="s">
        <v>9389</v>
      </c>
      <c r="B9389" s="2" t="str">
        <f>IFERROR(__xludf.DUMMYFUNCTION("GOOGLETRANSLATE(A9389, ""en"", ""mt"")"),"Għal xiex tfisser LGM?")</f>
        <v>Għal xiex tfisser LGM?</v>
      </c>
    </row>
    <row r="9390" ht="15.75" customHeight="1">
      <c r="A9390" s="2" t="s">
        <v>9390</v>
      </c>
      <c r="B9390" s="2" t="str">
        <f>IFERROR(__xludf.DUMMYFUNCTION("GOOGLETRANSLATE(A9390, ""en"", ""mt"")"),"il-muntanji")</f>
        <v>il-muntanji</v>
      </c>
    </row>
    <row r="9391" ht="15.75" customHeight="1">
      <c r="A9391" s="2" t="s">
        <v>9391</v>
      </c>
      <c r="B9391" s="2" t="str">
        <f>IFERROR(__xludf.DUMMYFUNCTION("GOOGLETRANSLATE(A9391, ""en"", ""mt"")"),"Kif jissejjaħ plastoglobuli wieħed?")</f>
        <v>Kif jissejjaħ plastoglobuli wieħed?</v>
      </c>
    </row>
    <row r="9392" ht="15.75" customHeight="1">
      <c r="A9392" s="2" t="s">
        <v>9392</v>
      </c>
      <c r="B9392" s="2" t="str">
        <f>IFERROR(__xludf.DUMMYFUNCTION("GOOGLETRANSLATE(A9392, ""en"", ""mt"")"),"542")</f>
        <v>542</v>
      </c>
    </row>
    <row r="9393" ht="15.75" customHeight="1">
      <c r="A9393" s="2" t="s">
        <v>9393</v>
      </c>
      <c r="B9393" s="2" t="str">
        <f>IFERROR(__xludf.DUMMYFUNCTION("GOOGLETRANSLATE(A9393, ""en"", ""mt"")"),"klassijiet ta 'konferma u preparazzjoni tas-sħubija")</f>
        <v>klassijiet ta 'konferma u preparazzjoni tas-sħubija</v>
      </c>
    </row>
    <row r="9394" ht="15.75" customHeight="1">
      <c r="A9394" s="2" t="s">
        <v>9394</v>
      </c>
      <c r="B9394" s="2" t="str">
        <f>IFERROR(__xludf.DUMMYFUNCTION("GOOGLETRANSLATE(A9394, ""en"", ""mt"")"),"Suite proprjetarja ta 'protokolli ta' netwerking żviluppati minn Apple Inc")</f>
        <v>Suite proprjetarja ta 'protokolli ta' netwerking żviluppati minn Apple Inc</v>
      </c>
    </row>
    <row r="9395" ht="15.75" customHeight="1">
      <c r="A9395" s="2" t="s">
        <v>9395</v>
      </c>
      <c r="B9395" s="2" t="str">
        <f>IFERROR(__xludf.DUMMYFUNCTION("GOOGLETRANSLATE(A9395, ""en"", ""mt"")"),"Xi xogħlijiet mhux Ingliżi fil-galleriji Ingliżi ġew importati minn liema kontinent?")</f>
        <v>Xi xogħlijiet mhux Ingliżi fil-galleriji Ingliżi ġew importati minn liema kontinent?</v>
      </c>
    </row>
    <row r="9396" ht="15.75" customHeight="1">
      <c r="A9396" s="2" t="s">
        <v>9396</v>
      </c>
      <c r="B9396" s="2" t="str">
        <f>IFERROR(__xludf.DUMMYFUNCTION("GOOGLETRANSLATE(A9396, ""en"", ""mt"")"),"X'kien l-isem taż-żmien li r-Renu ta 'Fuq jifforma fruntiera bejn Franza u l-Ġermanja?")</f>
        <v>X'kien l-isem taż-żmien li r-Renu ta 'Fuq jifforma fruntiera bejn Franza u l-Ġermanja?</v>
      </c>
    </row>
    <row r="9397" ht="15.75" customHeight="1">
      <c r="A9397" s="2" t="s">
        <v>9397</v>
      </c>
      <c r="B9397" s="2" t="str">
        <f>IFERROR(__xludf.DUMMYFUNCTION("GOOGLETRANSLATE(A9397, ""en"", ""mt"")"),"Il-kostruzzjoni tal-bini ġeneralment tkun maqsuma aktar f'liema kategoriji?")</f>
        <v>Il-kostruzzjoni tal-bini ġeneralment tkun maqsuma aktar f'liema kategoriji?</v>
      </c>
    </row>
    <row r="9398" ht="15.75" customHeight="1">
      <c r="A9398" s="2" t="s">
        <v>9398</v>
      </c>
      <c r="B9398" s="2" t="str">
        <f>IFERROR(__xludf.DUMMYFUNCTION("GOOGLETRANSLATE(A9398, ""en"", ""mt"")"),"Dawk involuti fid-disinn u l-eżekuzzjoni tal-infrastruttura in kwistjoni")</f>
        <v>Dawk involuti fid-disinn u l-eżekuzzjoni tal-infrastruttura in kwistjoni</v>
      </c>
    </row>
    <row r="9399" ht="15.75" customHeight="1">
      <c r="A9399" s="2" t="s">
        <v>9399</v>
      </c>
      <c r="B9399" s="2" t="str">
        <f>IFERROR(__xludf.DUMMYFUNCTION("GOOGLETRANSLATE(A9399, ""en"", ""mt"")"),"Dak li jippermetti li s-sistema immuni adatta tirreaġixxi aktar malajr u b'mod aktar qawwi kull ħin sussegwenti li jkun hemm patoġen?")</f>
        <v>Dak li jippermetti li s-sistema immuni adatta tirreaġixxi aktar malajr u b'mod aktar qawwi kull ħin sussegwenti li jkun hemm patoġen?</v>
      </c>
    </row>
    <row r="9400" ht="15.75" customHeight="1">
      <c r="A9400" s="2" t="s">
        <v>9400</v>
      </c>
      <c r="B9400" s="2" t="str">
        <f>IFERROR(__xludf.DUMMYFUNCTION("GOOGLETRANSLATE(A9400, ""en"", ""mt"")"),"pittura, matematika, kaligrafija, poeżija, u teatru")</f>
        <v>pittura, matematika, kaligrafija, poeżija, u teatru</v>
      </c>
    </row>
    <row r="9401" ht="15.75" customHeight="1">
      <c r="A9401" s="2" t="s">
        <v>9401</v>
      </c>
      <c r="B9401" s="2" t="str">
        <f>IFERROR(__xludf.DUMMYFUNCTION("GOOGLETRANSLATE(A9401, ""en"", ""mt"")"),"L-ekonomista Korean Hoesung Lee huwa l-president tal-IPCC mit-8 ta 'Ottubru, 2015, wara l-elezzjoni tal-Uffiċċju l-ġdid tal-IPCC. Qabel din l-elezzjoni, l-IPCC kien immexxi mill-viċi-president tiegħu Ismail El Gizouli, li ġie nominat li jaġixxi president "&amp;"wara r-riżenja ta 'Rajendra K. Pachauri fi Frar 2015. Is-siġġijiet preċedenti kienu Rajendra K. Pachauri, eletti f'Mejju 2002; Robert Watson fl-1997; u Bert Bolin fl-1988. Is-siġġu huwa megħjun minn Bureau Elett inkluż il-Viċi-Chairs, il-Ko-Presidenti tal"&amp;"-Grupp ta ’Ħidma, u Segretarjat.")</f>
        <v>L-ekonomista Korean Hoesung Lee huwa l-president tal-IPCC mit-8 ta 'Ottubru, 2015, wara l-elezzjoni tal-Uffiċċju l-ġdid tal-IPCC. Qabel din l-elezzjoni, l-IPCC kien immexxi mill-viċi-president tiegħu Ismail El Gizouli, li ġie nominat li jaġixxi president wara r-riżenja ta 'Rajendra K. Pachauri fi Frar 2015. Is-siġġijiet preċedenti kienu Rajendra K. Pachauri, eletti f'Mejju 2002; Robert Watson fl-1997; u Bert Bolin fl-1988. Is-siġġu huwa megħjun minn Bureau Elett inkluż il-Viċi-Chairs, il-Ko-Presidenti tal-Grupp ta ’Ħidma, u Segretarjat.</v>
      </c>
    </row>
    <row r="9402" ht="15.75" customHeight="1">
      <c r="A9402" s="2" t="s">
        <v>9402</v>
      </c>
      <c r="B9402" s="2" t="str">
        <f>IFERROR(__xludf.DUMMYFUNCTION("GOOGLETRANSLATE(A9402, ""en"", ""mt"")"),"Paniku tal-1901")</f>
        <v>Paniku tal-1901</v>
      </c>
    </row>
    <row r="9403" ht="15.75" customHeight="1">
      <c r="A9403" s="2" t="s">
        <v>9403</v>
      </c>
      <c r="B9403" s="2" t="str">
        <f>IFERROR(__xludf.DUMMYFUNCTION("GOOGLETRANSLATE(A9403, ""en"", ""mt"")"),"Limiti ta 'fuq u t'isfel")</f>
        <v>Limiti ta 'fuq u t'isfel</v>
      </c>
    </row>
    <row r="9404" ht="15.75" customHeight="1">
      <c r="A9404" s="2" t="s">
        <v>9404</v>
      </c>
      <c r="B9404" s="2" t="str">
        <f>IFERROR(__xludf.DUMMYFUNCTION("GOOGLETRANSLATE(A9404, ""en"", ""mt"")"),"lura lejn New York")</f>
        <v>lura lejn New York</v>
      </c>
    </row>
    <row r="9405" ht="15.75" customHeight="1">
      <c r="A9405" s="2" t="s">
        <v>9405</v>
      </c>
      <c r="B9405" s="2" t="str">
        <f>IFERROR(__xludf.DUMMYFUNCTION("GOOGLETRANSLATE(A9405, ""en"", ""mt"")"),"X'kienet id-definizzjoni ta 'professjonisti, għal dan l-istudju?")</f>
        <v>X'kienet id-definizzjoni ta 'professjonisti, għal dan l-istudju?</v>
      </c>
    </row>
    <row r="9406" ht="15.75" customHeight="1">
      <c r="A9406" s="2" t="s">
        <v>9406</v>
      </c>
      <c r="B9406" s="2" t="str">
        <f>IFERROR(__xludf.DUMMYFUNCTION("GOOGLETRANSLATE(A9406, ""en"", ""mt"")"),"Dan jgħodd ukoll matul il-biċċa l-kbira tal-Istati Uniti. Madankollu, jeżistu approċċi alternattivi għall-edukazzjoni primarja. Waħda minn dawn, xi kultant imsejħa bħala sistema ta '""platoon"", tinvolvi li tpoġġi grupp ta' studenti flimkien fi klassi waħ"&amp;"da li timxi minn speċjalista għal ieħor għal kull suġġett. Il-vantaġġ hawnhekk huwa li l-istudenti jitgħallmu minn għalliema li jispeċjalizzaw f'suġġett wieħed u li għandhom it-tendenza li jkunu aktar infurmati f'dak il-qasam minn għalliem li jgħallem ħaf"&amp;"na suġġetti. L-istudenti għadhom jiksbu sens qawwi ta 'sigurtà billi joqogħdu mal-istess grupp ta' sħabhom għall-klassijiet kollha.")</f>
        <v>Dan jgħodd ukoll matul il-biċċa l-kbira tal-Istati Uniti. Madankollu, jeżistu approċċi alternattivi għall-edukazzjoni primarja. Waħda minn dawn, xi kultant imsejħa bħala sistema ta '"platoon", tinvolvi li tpoġġi grupp ta' studenti flimkien fi klassi waħda li timxi minn speċjalista għal ieħor għal kull suġġett. Il-vantaġġ hawnhekk huwa li l-istudenti jitgħallmu minn għalliema li jispeċjalizzaw f'suġġett wieħed u li għandhom it-tendenza li jkunu aktar infurmati f'dak il-qasam minn għalliem li jgħallem ħafna suġġetti. L-istudenti għadhom jiksbu sens qawwi ta 'sigurtà billi joqogħdu mal-istess grupp ta' sħabhom għall-klassijiet kollha.</v>
      </c>
    </row>
    <row r="9407" ht="15.75" customHeight="1">
      <c r="A9407" s="2" t="s">
        <v>9407</v>
      </c>
      <c r="B9407" s="2" t="str">
        <f>IFERROR(__xludf.DUMMYFUNCTION("GOOGLETRANSLATE(A9407, ""en"", ""mt"")"),"Għaliex l-operazzjoni Ingliża naqset fl-1755, 56, 57?")</f>
        <v>Għaliex l-operazzjoni Ingliża naqset fl-1755, 56, 57?</v>
      </c>
    </row>
    <row r="9408" ht="15.75" customHeight="1">
      <c r="A9408" s="2" t="s">
        <v>9408</v>
      </c>
      <c r="B9408" s="2" t="str">
        <f>IFERROR(__xludf.DUMMYFUNCTION("GOOGLETRANSLATE(A9408, ""en"", ""mt"")"),"X'inhi ċ-ċitazzjoni għall-każ Pierce v. Society of Sisters?")</f>
        <v>X'inhi ċ-ċitazzjoni għall-każ Pierce v. Society of Sisters?</v>
      </c>
    </row>
    <row r="9409" ht="15.75" customHeight="1">
      <c r="A9409" s="2" t="s">
        <v>9409</v>
      </c>
      <c r="B9409" s="2" t="str">
        <f>IFERROR(__xludf.DUMMYFUNCTION("GOOGLETRANSLATE(A9409, ""en"", ""mt"")"),"ċirku r")</f>
        <v>ċirku r</v>
      </c>
    </row>
    <row r="9410" ht="15.75" customHeight="1">
      <c r="A9410" s="2" t="s">
        <v>9410</v>
      </c>
      <c r="B9410" s="2" t="str">
        <f>IFERROR(__xludf.DUMMYFUNCTION("GOOGLETRANSLATE(A9410, ""en"", ""mt"")"),"Aare")</f>
        <v>Aare</v>
      </c>
    </row>
    <row r="9411" ht="15.75" customHeight="1">
      <c r="A9411" s="2" t="s">
        <v>9411</v>
      </c>
      <c r="B9411" s="2" t="str">
        <f>IFERROR(__xludf.DUMMYFUNCTION("GOOGLETRANSLATE(A9411, ""en"", ""mt"")"),"Meta Disney-ABC Television Group implimenta restrizzjonijiet fuq Hulu u Watch ABC biex jinkoraġġixxi l-wiri ħaj?")</f>
        <v>Meta Disney-ABC Television Group implimenta restrizzjonijiet fuq Hulu u Watch ABC biex jinkoraġġixxi l-wiri ħaj?</v>
      </c>
    </row>
    <row r="9412" ht="15.75" customHeight="1">
      <c r="A9412" s="2" t="s">
        <v>9412</v>
      </c>
      <c r="B9412" s="2" t="str">
        <f>IFERROR(__xludf.DUMMYFUNCTION("GOOGLETRANSLATE(A9412, ""en"", ""mt"")"),"X'inhuma l-ikbar piżijiet?")</f>
        <v>X'inhuma l-ikbar piżijiet?</v>
      </c>
    </row>
    <row r="9413" ht="15.75" customHeight="1">
      <c r="A9413" s="2" t="s">
        <v>9413</v>
      </c>
      <c r="B9413" s="2" t="str">
        <f>IFERROR(__xludf.DUMMYFUNCTION("GOOGLETRANSLATE(A9413, ""en"", ""mt"")"),"Edison")</f>
        <v>Edison</v>
      </c>
    </row>
    <row r="9414" ht="15.75" customHeight="1">
      <c r="A9414" s="2" t="s">
        <v>9414</v>
      </c>
      <c r="B9414" s="2" t="str">
        <f>IFERROR(__xludf.DUMMYFUNCTION("GOOGLETRANSLATE(A9414, ""en"", ""mt"")"),"prekursur tal-klorofilla isfar")</f>
        <v>prekursur tal-klorofilla isfar</v>
      </c>
    </row>
    <row r="9415" ht="15.75" customHeight="1">
      <c r="A9415" s="2" t="s">
        <v>9415</v>
      </c>
      <c r="B9415" s="2" t="str">
        <f>IFERROR(__xludf.DUMMYFUNCTION("GOOGLETRANSLATE(A9415, ""en"", ""mt"")"),"Problema tal-funzjoni hija problema tal-komputazzjoni fejn produzzjoni waħda (ta 'funzjoni totali) hija mistennija għal kull input, iżda l-output huwa iktar kumpless minn dak ta' problema ta 'deċiżjoni, jiġifieri, mhuwiex biss iva jew le. Eżempji notevoli"&amp;" jinkludu l-problema tal-bejjiegħ li jivvjaġġa u l-problema ta 'fatturizzazzjoni sħiħa.")</f>
        <v>Problema tal-funzjoni hija problema tal-komputazzjoni fejn produzzjoni waħda (ta 'funzjoni totali) hija mistennija għal kull input, iżda l-output huwa iktar kumpless minn dak ta' problema ta 'deċiżjoni, jiġifieri, mhuwiex biss iva jew le. Eżempji notevoli jinkludu l-problema tal-bejjiegħ li jivvjaġġa u l-problema ta 'fatturizzazzjoni sħiħa.</v>
      </c>
    </row>
    <row r="9416" ht="15.75" customHeight="1">
      <c r="A9416" s="2" t="s">
        <v>9416</v>
      </c>
      <c r="B9416" s="2" t="str">
        <f>IFERROR(__xludf.DUMMYFUNCTION("GOOGLETRANSLATE(A9416, ""en"", ""mt"")"),"X’argumentaw Kuznets irriżultaw minn stadji ta ’żvilupp?")</f>
        <v>X’argumentaw Kuznets irriżultaw minn stadji ta ’żvilupp?</v>
      </c>
    </row>
    <row r="9417" ht="15.75" customHeight="1">
      <c r="A9417" s="2" t="s">
        <v>9417</v>
      </c>
      <c r="B9417" s="2" t="str">
        <f>IFERROR(__xludf.DUMMYFUNCTION("GOOGLETRANSLATE(A9417, ""en"", ""mt"")"),"Kemm kellu Tesla meta sar ċittadin tal-Istati Uniti?")</f>
        <v>Kemm kellu Tesla meta sar ċittadin tal-Istati Uniti?</v>
      </c>
    </row>
    <row r="9418" ht="15.75" customHeight="1">
      <c r="A9418" s="2" t="s">
        <v>9418</v>
      </c>
      <c r="B9418" s="2" t="str">
        <f>IFERROR(__xludf.DUMMYFUNCTION("GOOGLETRANSLATE(A9418, ""en"", ""mt"")"),"Liema komponenti jgħollu t-temperatura tal-fwar 'il fuq mill-punt tal-fwar saturat tiegħu?")</f>
        <v>Liema komponenti jgħollu t-temperatura tal-fwar 'il fuq mill-punt tal-fwar saturat tiegħu?</v>
      </c>
    </row>
    <row r="9419" ht="15.75" customHeight="1">
      <c r="A9419" s="2" t="s">
        <v>9419</v>
      </c>
      <c r="B9419" s="2" t="str">
        <f>IFERROR(__xludf.DUMMYFUNCTION("GOOGLETRANSLATE(A9419, ""en"", ""mt"")"),"X'għamel nsfnet eventwalment")</f>
        <v>X'għamel nsfnet eventwalment</v>
      </c>
    </row>
    <row r="9420" ht="15.75" customHeight="1">
      <c r="A9420" s="2" t="s">
        <v>9420</v>
      </c>
      <c r="B9420" s="2" t="str">
        <f>IFERROR(__xludf.DUMMYFUNCTION("GOOGLETRANSLATE(A9420, ""en"", ""mt"")"),"Levi's Stadium")</f>
        <v>Levi's Stadium</v>
      </c>
    </row>
    <row r="9421" ht="15.75" customHeight="1">
      <c r="A9421" s="2" t="s">
        <v>9421</v>
      </c>
      <c r="B9421" s="2" t="str">
        <f>IFERROR(__xludf.DUMMYFUNCTION("GOOGLETRANSLATE(A9421, ""en"", ""mt"")"),"Fertilità tal-ħamrija u invażjoni tal-ħaxix ħażin")</f>
        <v>Fertilità tal-ħamrija u invażjoni tal-ħaxix ħażin</v>
      </c>
    </row>
    <row r="9422" ht="15.75" customHeight="1">
      <c r="A9422" s="2" t="s">
        <v>9422</v>
      </c>
      <c r="B9422" s="2" t="str">
        <f>IFERROR(__xludf.DUMMYFUNCTION("GOOGLETRANSLATE(A9422, ""en"", ""mt"")"),"Xi tipprotesta kontra d-diżubbidjenza ċivili?")</f>
        <v>Xi tipprotesta kontra d-diżubbidjenza ċivili?</v>
      </c>
    </row>
    <row r="9423" ht="15.75" customHeight="1">
      <c r="A9423" s="2" t="s">
        <v>9423</v>
      </c>
      <c r="B9423" s="2" t="str">
        <f>IFERROR(__xludf.DUMMYFUNCTION("GOOGLETRANSLATE(A9423, ""en"", ""mt"")"),"Jean Cauvin")</f>
        <v>Jean Cauvin</v>
      </c>
    </row>
    <row r="9424" ht="15.75" customHeight="1">
      <c r="A9424" s="2" t="s">
        <v>9424</v>
      </c>
      <c r="B9424" s="2" t="str">
        <f>IFERROR(__xludf.DUMMYFUNCTION("GOOGLETRANSLATE(A9424, ""en"", ""mt"")"),"L-ikbar ekonomija tal-Lvant u l-Afrika Ċentrali stazzjonat tkabbir tremend fis-settur tas-servizzi, imsaħħa mill-espansjoni rapida fit-telekomunikazzjoni u l-attività finanzjarja matul l-aħħar għaxar snin, u issa [meta?] Tikkontribwixxi 62% tal-PDG. 22% t"&amp;"al-PDG għadu ġej mis-settur agrikolu mhux affidabbli li jimpjega 75% tal-forza tax-xogħol (karatteristika konsistenti ta 'ekonomiji mhux żviluppati li ma laħqux is-sigurtà tal-ikel - katalizzatur importanti tat-tkabbir ekonomiku) porzjon żgħir tal-popolaz"&amp;"zjoni jiddependi fuq Għajnuna għall-ikel. [Ċitazzjoni meħtieġa] Industrija u l-manifattura hija l-iżgħar settur, li jammontaw għal 16% tal-PDG. Is-servizz, l-industrija u s-setturi tal-manifattura jimpjegaw biss 25% tal-forza tax-xogħol iżda jikkontribwix"&amp;"xu 75% tal-PDG.")</f>
        <v>L-ikbar ekonomija tal-Lvant u l-Afrika Ċentrali stazzjonat tkabbir tremend fis-settur tas-servizzi, imsaħħa mill-espansjoni rapida fit-telekomunikazzjoni u l-attività finanzjarja matul l-aħħar għaxar snin, u issa [meta?] Tikkontribwixxi 62% tal-PDG. 22% tal-PDG għadu ġej mis-settur agrikolu mhux affidabbli li jimpjega 75% tal-forza tax-xogħol (karatteristika konsistenti ta 'ekonomiji mhux żviluppati li ma laħqux is-sigurtà tal-ikel - katalizzatur importanti tat-tkabbir ekonomiku) porzjon żgħir tal-popolazzjoni jiddependi fuq Għajnuna għall-ikel. [Ċitazzjoni meħtieġa] Industrija u l-manifattura hija l-iżgħar settur, li jammontaw għal 16% tal-PDG. Is-servizz, l-industrija u s-setturi tal-manifattura jimpjegaw biss 25% tal-forza tax-xogħol iżda jikkontribwixxu 75% tal-PDG.</v>
      </c>
    </row>
    <row r="9425" ht="15.75" customHeight="1">
      <c r="A9425" s="2" t="s">
        <v>9425</v>
      </c>
      <c r="B9425" s="2" t="str">
        <f>IFERROR(__xludf.DUMMYFUNCTION("GOOGLETRANSLATE(A9425, ""en"", ""mt"")"),"F’liema sena l-iskola ġiet imsemmija mill-ġdid bħala Harvard College?")</f>
        <v>F’liema sena l-iskola ġiet imsemmija mill-ġdid bħala Harvard College?</v>
      </c>
    </row>
    <row r="9426" ht="15.75" customHeight="1">
      <c r="A9426" s="2" t="s">
        <v>9426</v>
      </c>
      <c r="B9426" s="2" t="str">
        <f>IFERROR(__xludf.DUMMYFUNCTION("GOOGLETRANSLATE(A9426, ""en"", ""mt"")"),"Meta ġiet miġġielda l-gwerra Pollakka-Bolshevik?")</f>
        <v>Meta ġiet miġġielda l-gwerra Pollakka-Bolshevik?</v>
      </c>
    </row>
    <row r="9427" ht="15.75" customHeight="1">
      <c r="A9427" s="2" t="s">
        <v>9427</v>
      </c>
      <c r="B9427" s="2" t="str">
        <f>IFERROR(__xludf.DUMMYFUNCTION("GOOGLETRANSLATE(A9427, ""en"", ""mt"")"),"L-Imperatur Gegeen Khan, it-tifel u s-suċċessur ta 'Ayurbarwada, iddeċieda għal sentejn biss, mill-1321 sal-1323. Huwa kompla l-politiki ta' missieru biex jirriforma l-gvern ibbażat fuq il-prinċipji Confucian, bl-għajnuna tal-Gran Kanċillier Baiju. Matul "&amp;"ir-renju tiegħu, id-da Yuan Tong Zhi (Ċiniż: 大元 大元, ""L-Istituzzjonijiet Komprensivi tal-Yuan il-Kbir""), ġabra enormi ta 'kodiċi u regolamenti tad-dinastija Yuan li bdiet minn missieru, ġiet promulgata formalment. Gegeen ġie maqtul fi kolp ta ’stat li ji"&amp;"nvolvi ħames prinċpijiet minn fazzjoni rivali, forsi Steppe Elite opposta għar-riformi Confucian. Huma poġġew lil Yesün Temür (jew Taidingdi) fuq it-tron, u, wara tentattiv li ma rnexxiex biex jikkalma l-prinċpijiet, huwa wkoll ċedew għar-regiċida.")</f>
        <v>L-Imperatur Gegeen Khan, it-tifel u s-suċċessur ta 'Ayurbarwada, iddeċieda għal sentejn biss, mill-1321 sal-1323. Huwa kompla l-politiki ta' missieru biex jirriforma l-gvern ibbażat fuq il-prinċipji Confucian, bl-għajnuna tal-Gran Kanċillier Baiju. Matul ir-renju tiegħu, id-da Yuan Tong Zhi (Ċiniż: 大元 大元, "L-Istituzzjonijiet Komprensivi tal-Yuan il-Kbir"), ġabra enormi ta 'kodiċi u regolamenti tad-dinastija Yuan li bdiet minn missieru, ġiet promulgata formalment. Gegeen ġie maqtul fi kolp ta ’stat li jinvolvi ħames prinċpijiet minn fazzjoni rivali, forsi Steppe Elite opposta għar-riformi Confucian. Huma poġġew lil Yesün Temür (jew Taidingdi) fuq it-tron, u, wara tentattiv li ma rnexxiex biex jikkalma l-prinċpijiet, huwa wkoll ċedew għar-regiċida.</v>
      </c>
    </row>
    <row r="9428" ht="15.75" customHeight="1">
      <c r="A9428" s="2" t="s">
        <v>9428</v>
      </c>
      <c r="B9428" s="2" t="str">
        <f>IFERROR(__xludf.DUMMYFUNCTION("GOOGLETRANSLATE(A9428, ""en"", ""mt"")"),"ħbiberija")</f>
        <v>ħbiberija</v>
      </c>
    </row>
    <row r="9429" ht="15.75" customHeight="1">
      <c r="A9429" s="2" t="s">
        <v>9429</v>
      </c>
      <c r="B9429" s="2" t="str">
        <f>IFERROR(__xludf.DUMMYFUNCTION("GOOGLETRANSLATE(A9429, ""en"", ""mt"")"),"Is-Soċjetà Letterarja u Filosofika ta ’Newcastle Upon Tyne")</f>
        <v>Is-Soċjetà Letterarja u Filosofika ta ’Newcastle Upon Tyne</v>
      </c>
    </row>
    <row r="9430" ht="15.75" customHeight="1">
      <c r="A9430" s="2" t="s">
        <v>9430</v>
      </c>
      <c r="B9430" s="2" t="str">
        <f>IFERROR(__xludf.DUMMYFUNCTION("GOOGLETRANSLATE(A9430, ""en"", ""mt"")"),"DC")</f>
        <v>DC</v>
      </c>
    </row>
    <row r="9431" ht="15.75" customHeight="1">
      <c r="A9431" s="2" t="s">
        <v>9431</v>
      </c>
      <c r="B9431" s="2" t="str">
        <f>IFERROR(__xludf.DUMMYFUNCTION("GOOGLETRANSLATE(A9431, ""en"", ""mt"")"),"Qabel il-ftehim Ewropew, iż-żona li issa kienet tikkostitwixxi Victoria kienet abitata minn numru kbir ta 'popli Aboriġini, magħrufa kollettivament bħala l-Koori. Bil-Gran Brittanja wara li ddikjarat il-kontinent Awstraljan kollu fil-lvant tal-135th Merid"&amp;"ian East fl-1788, ir-Rabat kienet inkluża fil-kolonja usa 'ta' New South Wales. L-ewwel ftehim fiż-żona seħħ fl-1803 fil-Bajja ta 'Sullivan, u ħafna minn dak li issa huwa Victoria kien inkluż fid-distrett ta' Port Phillip fl-1836, diviżjoni amministrattiv"&amp;"a ta 'New South Wales. Victoria inħolqot uffiċjalment kolonja separata fl-1851, u kisbet l-awto-gvern fl-1855. L-għaġla tad-deheb Vittorjan fl-1850s u l-1860 żiedet b'mod sinifikanti kemm il-popolazzjoni kif ukoll il-ġid tal-kolonja, u mill-Federazzjoni t"&amp;"al-Awstralja fl-1901, Melbourne kienet saret L-akbar belt u ċentru finanzjarju ewlieni fl-Awstralasja. Melbourne serva wkoll bħala kapitali tal-Awstralja sal-kostruzzjoni ta 'Canberra fl-1927, bil-laqgħa tal-Parlament Federali fil-Kamra tal-Parlament ta' "&amp;"Melbourne u l-uffiċċji prinċipali kollha tal-gvern federali li huma bbażati f'Melbourne.")</f>
        <v>Qabel il-ftehim Ewropew, iż-żona li issa kienet tikkostitwixxi Victoria kienet abitata minn numru kbir ta 'popli Aboriġini, magħrufa kollettivament bħala l-Koori. Bil-Gran Brittanja wara li ddikjarat il-kontinent Awstraljan kollu fil-lvant tal-135th Meridian East fl-1788, ir-Rabat kienet inkluża fil-kolonja usa 'ta' New South Wales. L-ewwel ftehim fiż-żona seħħ fl-1803 fil-Bajja ta 'Sullivan, u ħafna minn dak li issa huwa Victoria kien inkluż fid-distrett ta' Port Phillip fl-1836, diviżjoni amministrattiva ta 'New South Wales. Victoria inħolqot uffiċjalment kolonja separata fl-1851, u kisbet l-awto-gvern fl-1855. L-għaġla tad-deheb Vittorjan fl-1850s u l-1860 żiedet b'mod sinifikanti kemm il-popolazzjoni kif ukoll il-ġid tal-kolonja, u mill-Federazzjoni tal-Awstralja fl-1901, Melbourne kienet saret L-akbar belt u ċentru finanzjarju ewlieni fl-Awstralasja. Melbourne serva wkoll bħala kapitali tal-Awstralja sal-kostruzzjoni ta 'Canberra fl-1927, bil-laqgħa tal-Parlament Federali fil-Kamra tal-Parlament ta' Melbourne u l-uffiċċji prinċipali kollha tal-gvern federali li huma bbażati f'Melbourne.</v>
      </c>
    </row>
    <row r="9432" ht="15.75" customHeight="1">
      <c r="A9432" s="2" t="s">
        <v>9432</v>
      </c>
      <c r="B9432" s="2" t="str">
        <f>IFERROR(__xludf.DUMMYFUNCTION("GOOGLETRANSLATE(A9432, ""en"", ""mt"")"),"Il-kollezzjoni tal-ħġieġ tkopri 4000 sena ta ’produzzjoni tal-ħġieġ, u għandha aktar minn 6000 oġġett mill-Afrika, il-Gran Brittanja, l-Ewropa, l-Amerika u l-Asja. L-ewwel oġġetti tal-ħġieġ fuq il-wiri ġej mill-Eġittu tal-qedem u jkompli permezz taż-żoni "&amp;"Rumani, Medjevali, Rinaxximentali li jkopru bħal ħġieġ Venezjan u ħġieġ Boemja u perjodi aktar riċenti, inklużi Art Nouveau Glass minn Louis Comfort Tiffany u Émile Gallé, l-istil Art Deco huwa irrappreżentat minn diversi eżempji minn René Lalique. Hemm ħ"&amp;"afna eżempji ta 'linef tal-kristall kemm bl-Ingliż, murija fil-galleriji Ingliżi u barranin pereżempju Venezjana (attribwita għal Giuseppe Briati) datata C1750 huma fil-kollezzjoni. Il-kollezzjoni tal-ħġieġ imtebba hija possibilment l-ifjen fid-dinja, li "&amp;"tkopri l-medjevali għal perjodi moderni, u tkopri l-Ewropa kif ukoll il-Gran Brittanja. Diversi eżempji ta 'ħġieġ Heraldic Ingliż tas-seklu 16 huwa muri fil-galleriji Ingliżi. Ħafna disinjaturi magħrufa tal-ħġieġ imtebba huma rappreżentati fil-kollezzjoni"&amp;" inklużi, mis-seklu 19: Dante Gabriel Rossetti, Edward Burne-Jones u William Morris. Hemm ukoll eżempju tax-xogħol ta 'Frank Lloyd Wright fil-kollezzjoni. Disinjaturi tas-seklu 20 jinkludu Harry Clarke, John Piper, Patrick Reyntiens, Veronica Whall u Bria"&amp;"n Clarke.")</f>
        <v>Il-kollezzjoni tal-ħġieġ tkopri 4000 sena ta ’produzzjoni tal-ħġieġ, u għandha aktar minn 6000 oġġett mill-Afrika, il-Gran Brittanja, l-Ewropa, l-Amerika u l-Asja. L-ewwel oġġetti tal-ħġieġ fuq il-wiri ġej mill-Eġittu tal-qedem u jkompli permezz taż-żoni Rumani, Medjevali, Rinaxximentali li jkopru bħal ħġieġ Venezjan u ħġieġ Boemja u perjodi aktar riċenti, inklużi Art Nouveau Glass minn Louis Comfort Tiffany u Émile Gallé, l-istil Art Deco huwa irrappreżentat minn diversi eżempji minn René Lalique. Hemm ħafna eżempji ta 'linef tal-kristall kemm bl-Ingliż, murija fil-galleriji Ingliżi u barranin pereżempju Venezjana (attribwita għal Giuseppe Briati) datata C1750 huma fil-kollezzjoni. Il-kollezzjoni tal-ħġieġ imtebba hija possibilment l-ifjen fid-dinja, li tkopri l-medjevali għal perjodi moderni, u tkopri l-Ewropa kif ukoll il-Gran Brittanja. Diversi eżempji ta 'ħġieġ Heraldic Ingliż tas-seklu 16 huwa muri fil-galleriji Ingliżi. Ħafna disinjaturi magħrufa tal-ħġieġ imtebba huma rappreżentati fil-kollezzjoni inklużi, mis-seklu 19: Dante Gabriel Rossetti, Edward Burne-Jones u William Morris. Hemm ukoll eżempju tax-xogħol ta 'Frank Lloyd Wright fil-kollezzjoni. Disinjaturi tas-seklu 20 jinkludu Harry Clarke, John Piper, Patrick Reyntiens, Veronica Whall u Brian Clarke.</v>
      </c>
    </row>
    <row r="9433" ht="15.75" customHeight="1">
      <c r="A9433" s="2" t="s">
        <v>9433</v>
      </c>
      <c r="B9433" s="2" t="str">
        <f>IFERROR(__xludf.DUMMYFUNCTION("GOOGLETRANSLATE(A9433, ""en"", ""mt"")"),"X'inhu l-laqam għall-graff ""Millennial Northern Emisfera Reconstruction""?")</f>
        <v>X'inhu l-laqam għall-graff "Millennial Northern Emisfera Reconstruction"?</v>
      </c>
    </row>
    <row r="9434" ht="15.75" customHeight="1">
      <c r="A9434" s="2" t="s">
        <v>9434</v>
      </c>
      <c r="B9434" s="2" t="str">
        <f>IFERROR(__xludf.DUMMYFUNCTION("GOOGLETRANSLATE(A9434, ""en"", ""mt"")"),"Id-dewmien fis-CSM ikkawżat min-nar ippermetta n-NASA biex tlaħħaq mal-klassifikazzjoni tal-bniedem LM u Saturn V. Apollo 4 (AS-501) kienet l-ewwel titjira bla ekwipaġġ tas-Saturn V, li ġġorr blokk I CSM fid-9 ta 'Novembru, 1967. Il-kapaċità tat-tarka tas"&amp;"-sħana tal-modulu tal-kmand biex tibqa 'ħajja mill-ġdid trans-lunari ntweriet bl-użu tal-magna tal-modulu tas-servizz biex tgħaqqadha fl-atmosfera ogħla mill-veloċità tas-soltu tad-Dinja-orbitali mill-ġdid. Dan ġie segwit fl-4 ta 'April, 1968, minn Apollo"&amp;" 6 (AS-502) li ġab artiklu tat-test CSM u LM bħala saborra. L-intenzjoni ta 'din il-missjoni kienet li tinkiseb injezzjoni trans-lunari, segwita mill-qrib minn abort simulat ta' ritorn dirett, bl-użu tal-magna tal-modulu tas-servizz biex tinkiseb reentry "&amp;"ieħor ta 'veloċità għolja. Is-Saturn V esperjenzaw l-oxxillazzjoni POGO, problema kkawżata minn kombustjoni tal-magna mhux kostanti, li għamlet ħsara lill-linji tal-fjuwil fit-tieni u t-tielet stadji. Żewġ magni S-II jagħlqu qabel iż-żmien, iżda l-magni l"&amp;"i fadal setgħu jikkumpensaw. Il-ħsara fil-magna tat-tielet stadju kienet iktar severa, u ma tħallix li terġa 'tibda għall-injezzjoni trans-lunar. Il-kontrolluri tal-missjoni setgħu jużaw il-magna tal-modulu tas-servizz biex essenzjalment jirrepetu l-profi"&amp;"l tat-titjira ta 'Apollo 4. Ibbażat fuq il-prestazzjoni tajba ta' Apollo 6 u l-identifikazzjoni ta 'soluzzjonijiet sodisfaċenti għall-problemi ta' Apollo 6, in-NASA ddikjarat is-Saturn V lest għall-irġiel, tikkanċella it-tielet test mingħajr ekwipaġġ.")</f>
        <v>Id-dewmien fis-CSM ikkawżat min-nar ippermetta n-NASA biex tlaħħaq mal-klassifikazzjoni tal-bniedem LM u Saturn V. Apollo 4 (AS-501) kienet l-ewwel titjira bla ekwipaġġ tas-Saturn V, li ġġorr blokk I CSM fid-9 ta 'Novembru, 1967. Il-kapaċità tat-tarka tas-sħana tal-modulu tal-kmand biex tibqa 'ħajja mill-ġdid trans-lunari ntweriet bl-użu tal-magna tal-modulu tas-servizz biex tgħaqqadha fl-atmosfera ogħla mill-veloċità tas-soltu tad-Dinja-orbitali mill-ġdid. Dan ġie segwit fl-4 ta 'April, 1968, minn Apollo 6 (AS-502) li ġab artiklu tat-test CSM u LM bħala saborra. L-intenzjoni ta 'din il-missjoni kienet li tinkiseb injezzjoni trans-lunari, segwita mill-qrib minn abort simulat ta' ritorn dirett, bl-użu tal-magna tal-modulu tas-servizz biex tinkiseb reentry ieħor ta 'veloċità għolja. Is-Saturn V esperjenzaw l-oxxillazzjoni POGO, problema kkawżata minn kombustjoni tal-magna mhux kostanti, li għamlet ħsara lill-linji tal-fjuwil fit-tieni u t-tielet stadji. Żewġ magni S-II jagħlqu qabel iż-żmien, iżda l-magni li fadal setgħu jikkumpensaw. Il-ħsara fil-magna tat-tielet stadju kienet iktar severa, u ma tħallix li terġa 'tibda għall-injezzjoni trans-lunar. Il-kontrolluri tal-missjoni setgħu jużaw il-magna tal-modulu tas-servizz biex essenzjalment jirrepetu l-profil tat-titjira ta 'Apollo 4. Ibbażat fuq il-prestazzjoni tajba ta' Apollo 6 u l-identifikazzjoni ta 'soluzzjonijiet sodisfaċenti għall-problemi ta' Apollo 6, in-NASA ddikjarat is-Saturn V lest għall-irġiel, tikkanċella it-tielet test mingħajr ekwipaġġ.</v>
      </c>
    </row>
    <row r="9435" ht="15.75" customHeight="1">
      <c r="A9435" s="2" t="s">
        <v>9435</v>
      </c>
      <c r="B9435" s="2" t="str">
        <f>IFERROR(__xludf.DUMMYFUNCTION("GOOGLETRANSLATE(A9435, ""en"", ""mt"")"),"X’kienu jemmnu l-bdiewa li Luther se jagħmel għalihom?")</f>
        <v>X’kienu jemmnu l-bdiewa li Luther se jagħmel għalihom?</v>
      </c>
    </row>
    <row r="9436" ht="15.75" customHeight="1">
      <c r="A9436" s="2" t="s">
        <v>9436</v>
      </c>
      <c r="B9436" s="2" t="str">
        <f>IFERROR(__xludf.DUMMYFUNCTION("GOOGLETRANSLATE(A9436, ""en"", ""mt"")"),"tul il-kosta")</f>
        <v>tul il-kosta</v>
      </c>
    </row>
    <row r="9437" ht="15.75" customHeight="1">
      <c r="A9437" s="2" t="s">
        <v>9437</v>
      </c>
      <c r="B9437" s="2" t="str">
        <f>IFERROR(__xludf.DUMMYFUNCTION("GOOGLETRANSLATE(A9437, ""en"", ""mt"")"),"X'inhu d-djalett ta 'Newcastle magħruf bħala?")</f>
        <v>X'inhu d-djalett ta 'Newcastle magħruf bħala?</v>
      </c>
    </row>
    <row r="9438" ht="15.75" customHeight="1">
      <c r="A9438" s="2" t="s">
        <v>9438</v>
      </c>
      <c r="B9438" s="2" t="str">
        <f>IFERROR(__xludf.DUMMYFUNCTION("GOOGLETRANSLATE(A9438, ""en"", ""mt"")"),"id-dettalji speċifiċi tal-mudell tal-komputazzjoni użat")</f>
        <v>id-dettalji speċifiċi tal-mudell tal-komputazzjoni użat</v>
      </c>
    </row>
    <row r="9439" ht="15.75" customHeight="1">
      <c r="A9439" s="2" t="s">
        <v>9439</v>
      </c>
      <c r="B9439" s="2" t="str">
        <f>IFERROR(__xludf.DUMMYFUNCTION("GOOGLETRANSLATE(A9439, ""en"", ""mt"")"),"Liema karatteristika ġeoloġika hija magħmula minn ossidi ta 'ossiġnu?")</f>
        <v>Liema karatteristika ġeoloġika hija magħmula minn ossidi ta 'ossiġnu?</v>
      </c>
    </row>
    <row r="9440" ht="15.75" customHeight="1">
      <c r="A9440" s="2" t="s">
        <v>9440</v>
      </c>
      <c r="B9440" s="2" t="str">
        <f>IFERROR(__xludf.DUMMYFUNCTION("GOOGLETRANSLATE(A9440, ""en"", ""mt"")"),"X'inhu l-iktar algoritmu magħruf assoċjat mal-problema ta 'fatturizzazzjoni sħiħa?")</f>
        <v>X'inhu l-iktar algoritmu magħruf assoċjat mal-problema ta 'fatturizzazzjoni sħiħa?</v>
      </c>
    </row>
    <row r="9441" ht="15.75" customHeight="1">
      <c r="A9441" s="2" t="s">
        <v>9441</v>
      </c>
      <c r="B9441" s="2" t="str">
        <f>IFERROR(__xludf.DUMMYFUNCTION("GOOGLETRANSLATE(A9441, ""en"", ""mt"")"),"Martin_Luther")</f>
        <v>Martin_Luther</v>
      </c>
    </row>
    <row r="9442" ht="15.75" customHeight="1">
      <c r="A9442" s="2" t="s">
        <v>9442</v>
      </c>
      <c r="B9442" s="2" t="str">
        <f>IFERROR(__xludf.DUMMYFUNCTION("GOOGLETRANSLATE(A9442, ""en"", ""mt"")"),"email")</f>
        <v>email</v>
      </c>
    </row>
    <row r="9443" ht="15.75" customHeight="1">
      <c r="A9443" s="2" t="s">
        <v>9443</v>
      </c>
      <c r="B9443" s="2" t="str">
        <f>IFERROR(__xludf.DUMMYFUNCTION("GOOGLETRANSLATE(A9443, ""en"", ""mt"")"),"L-iktar stat b'popolazzjoni densa")</f>
        <v>L-iktar stat b'popolazzjoni densa</v>
      </c>
    </row>
    <row r="9444" ht="15.75" customHeight="1">
      <c r="A9444" s="2" t="s">
        <v>9444</v>
      </c>
      <c r="B9444" s="2" t="str">
        <f>IFERROR(__xludf.DUMMYFUNCTION("GOOGLETRANSLATE(A9444, ""en"", ""mt"")"),"Bainbridge's")</f>
        <v>Bainbridge's</v>
      </c>
    </row>
    <row r="9445" ht="15.75" customHeight="1">
      <c r="A9445" s="2" t="s">
        <v>9445</v>
      </c>
      <c r="B9445" s="2" t="str">
        <f>IFERROR(__xludf.DUMMYFUNCTION("GOOGLETRANSLATE(A9445, ""en"", ""mt"")"),"Kemm kien il-ġid ikkombinat tal- ""10 miljun dollaru miljunarji"" fl-2008?")</f>
        <v>Kemm kien il-ġid ikkombinat tal- "10 miljun dollaru miljunarji" fl-2008?</v>
      </c>
    </row>
    <row r="9446" ht="15.75" customHeight="1">
      <c r="A9446" s="2" t="s">
        <v>9446</v>
      </c>
      <c r="B9446" s="2" t="str">
        <f>IFERROR(__xludf.DUMMYFUNCTION("GOOGLETRANSLATE(A9446, ""en"", ""mt"")"),"Għal xiex huma akkużati l-poteri kolonjali?")</f>
        <v>Għal xiex huma akkużati l-poteri kolonjali?</v>
      </c>
    </row>
    <row r="9447" ht="15.75" customHeight="1">
      <c r="A9447" s="2" t="s">
        <v>9447</v>
      </c>
      <c r="B9447" s="2" t="str">
        <f>IFERROR(__xludf.DUMMYFUNCTION("GOOGLETRANSLATE(A9447, ""en"", ""mt"")"),"17 ta ’Frar 1546")</f>
        <v>17 ta ’Frar 1546</v>
      </c>
    </row>
    <row r="9448" ht="15.75" customHeight="1">
      <c r="A9448" s="2" t="s">
        <v>9448</v>
      </c>
      <c r="B9448" s="2" t="str">
        <f>IFERROR(__xludf.DUMMYFUNCTION("GOOGLETRANSLATE(A9448, ""en"", ""mt"")"),"Fejn kien ibbażat is-Segretarjat Ċentrali?")</f>
        <v>Fejn kien ibbażat is-Segretarjat Ċentrali?</v>
      </c>
    </row>
    <row r="9449" ht="15.75" customHeight="1">
      <c r="A9449" s="2" t="s">
        <v>9449</v>
      </c>
      <c r="B9449" s="2" t="str">
        <f>IFERROR(__xludf.DUMMYFUNCTION("GOOGLETRANSLATE(A9449, ""en"", ""mt"")"),"astenosfera")</f>
        <v>astenosfera</v>
      </c>
    </row>
    <row r="9450" ht="15.75" customHeight="1">
      <c r="A9450" s="2" t="s">
        <v>9450</v>
      </c>
      <c r="B9450" s="2" t="str">
        <f>IFERROR(__xludf.DUMMYFUNCTION("GOOGLETRANSLATE(A9450, ""en"", ""mt"")"),"Liema juru l-premjijiet tal-films ABC bħalissa għandhom id-drittijiet?")</f>
        <v>Liema juru l-premjijiet tal-films ABC bħalissa għandhom id-drittijiet?</v>
      </c>
    </row>
    <row r="9451" ht="15.75" customHeight="1">
      <c r="A9451" s="2" t="s">
        <v>9451</v>
      </c>
      <c r="B9451" s="2" t="str">
        <f>IFERROR(__xludf.DUMMYFUNCTION("GOOGLETRANSLATE(A9451, ""en"", ""mt"")"),"Meta l-kloroplasti jirranġaw f'kolonni vertikali jew iduru mal-ġenb?")</f>
        <v>Meta l-kloroplasti jirranġaw f'kolonni vertikali jew iduru mal-ġenb?</v>
      </c>
    </row>
    <row r="9452" ht="15.75" customHeight="1">
      <c r="A9452" s="2" t="s">
        <v>9452</v>
      </c>
      <c r="B9452" s="2" t="str">
        <f>IFERROR(__xludf.DUMMYFUNCTION("GOOGLETRANSLATE(A9452, ""en"", ""mt"")"),"F'liema sena nħolqot is-sistema ta 'awtostrada bejn l-istati?")</f>
        <v>F'liema sena nħolqot is-sistema ta 'awtostrada bejn l-istati?</v>
      </c>
    </row>
    <row r="9453" ht="15.75" customHeight="1">
      <c r="A9453" s="2" t="s">
        <v>9453</v>
      </c>
      <c r="B9453" s="2" t="str">
        <f>IFERROR(__xludf.DUMMYFUNCTION("GOOGLETRANSLATE(A9453, ""en"", ""mt"")"),"Is-sistema immuni adatta għandha tiddistingwi bejn liema tipi ta 'molekuli?")</f>
        <v>Is-sistema immuni adatta għandha tiddistingwi bejn liema tipi ta 'molekuli?</v>
      </c>
    </row>
    <row r="9454" ht="15.75" customHeight="1">
      <c r="A9454" s="2" t="s">
        <v>9454</v>
      </c>
      <c r="B9454" s="2" t="str">
        <f>IFERROR(__xludf.DUMMYFUNCTION("GOOGLETRANSLATE(A9454, ""en"", ""mt"")"),"Minbarra l-istudju tan-numri ewlenin, liema teorija ġenerali kienet ikkunsidrata bħala l-eżempju uffiċjali tal-matematika pura?")</f>
        <v>Minbarra l-istudju tan-numri ewlenin, liema teorija ġenerali kienet ikkunsidrata bħala l-eżempju uffiċjali tal-matematika pura?</v>
      </c>
    </row>
    <row r="9455" ht="15.75" customHeight="1">
      <c r="A9455" s="2" t="s">
        <v>9455</v>
      </c>
      <c r="B9455" s="2" t="str">
        <f>IFERROR(__xludf.DUMMYFUNCTION("GOOGLETRANSLATE(A9455, ""en"", ""mt"")"),"X'għamel att ta 'l-Att Irjali 1530?")</f>
        <v>X'għamel att ta 'l-Att Irjali 1530?</v>
      </c>
    </row>
    <row r="9456" ht="15.75" customHeight="1">
      <c r="A9456" s="2" t="s">
        <v>9456</v>
      </c>
      <c r="B9456" s="2" t="str">
        <f>IFERROR(__xludf.DUMMYFUNCTION("GOOGLETRANSLATE(A9456, ""en"", ""mt"")"),"X'inhi t-temperatura fl-ogħla porzjon tal-firxa tal-muntanji fix-xitwa?")</f>
        <v>X'inhi t-temperatura fl-ogħla porzjon tal-firxa tal-muntanji fix-xitwa?</v>
      </c>
    </row>
    <row r="9457" ht="15.75" customHeight="1">
      <c r="A9457" s="2" t="s">
        <v>9457</v>
      </c>
      <c r="B9457" s="2" t="str">
        <f>IFERROR(__xludf.DUMMYFUNCTION("GOOGLETRANSLATE(A9457, ""en"", ""mt"")"),"Differenzi Nazzjonalisti")</f>
        <v>Differenzi Nazzjonalisti</v>
      </c>
    </row>
    <row r="9458" ht="15.75" customHeight="1">
      <c r="A9458" s="2" t="s">
        <v>9458</v>
      </c>
      <c r="B9458" s="2" t="str">
        <f>IFERROR(__xludf.DUMMYFUNCTION("GOOGLETRANSLATE(A9458, ""en"", ""mt"")"),"Ħong Kong")</f>
        <v>Ħong Kong</v>
      </c>
    </row>
    <row r="9459" ht="15.75" customHeight="1">
      <c r="A9459" s="2" t="s">
        <v>9459</v>
      </c>
      <c r="B9459" s="2" t="str">
        <f>IFERROR(__xludf.DUMMYFUNCTION("GOOGLETRANSLATE(A9459, ""en"", ""mt"")"),"Saħħa fiżika fqira")</f>
        <v>Saħħa fiżika fqira</v>
      </c>
    </row>
    <row r="9460" ht="15.75" customHeight="1">
      <c r="A9460" s="2" t="s">
        <v>9460</v>
      </c>
      <c r="B9460" s="2" t="str">
        <f>IFERROR(__xludf.DUMMYFUNCTION("GOOGLETRANSLATE(A9460, ""en"", ""mt"")"),"X'inhi l-ewwel referenza magħrufa għall-immunità?")</f>
        <v>X'inhi l-ewwel referenza magħrufa għall-immunità?</v>
      </c>
    </row>
    <row r="9461" ht="15.75" customHeight="1">
      <c r="A9461" s="2" t="s">
        <v>9461</v>
      </c>
      <c r="B9461" s="2" t="str">
        <f>IFERROR(__xludf.DUMMYFUNCTION("GOOGLETRANSLATE(A9461, ""en"", ""mt"")"),"Evolvi malajr u tadatta")</f>
        <v>Evolvi malajr u tadatta</v>
      </c>
    </row>
    <row r="9462" ht="15.75" customHeight="1">
      <c r="A9462" s="2" t="s">
        <v>9462</v>
      </c>
      <c r="B9462" s="2" t="str">
        <f>IFERROR(__xludf.DUMMYFUNCTION("GOOGLETRANSLATE(A9462, ""en"", ""mt"")"),"Tesla spjega wkoll il-prinċipji tal-kamp manjetiku li jdur f'mutur ta 'induzzjoni billi wera kif tagħmel il-bajd tar-ram fit-tarf bl-użu ta' apparat li huwa mibni bħala l-bajda ta 'Columbus.")</f>
        <v>Tesla spjega wkoll il-prinċipji tal-kamp manjetiku li jdur f'mutur ta 'induzzjoni billi wera kif tagħmel il-bajd tar-ram fit-tarf bl-użu ta' apparat li huwa mibni bħala l-bajda ta 'Columbus.</v>
      </c>
    </row>
    <row r="9463" ht="15.75" customHeight="1">
      <c r="A9463" s="2" t="s">
        <v>9463</v>
      </c>
      <c r="B9463" s="2" t="str">
        <f>IFERROR(__xludf.DUMMYFUNCTION("GOOGLETRANSLATE(A9463, ""en"", ""mt"")"),"1489")</f>
        <v>1489</v>
      </c>
    </row>
    <row r="9464" ht="15.75" customHeight="1">
      <c r="A9464" s="2" t="s">
        <v>9464</v>
      </c>
      <c r="B9464" s="2" t="str">
        <f>IFERROR(__xludf.DUMMYFUNCTION("GOOGLETRANSLATE(A9464, ""en"", ""mt"")"),"doppju")</f>
        <v>doppju</v>
      </c>
    </row>
    <row r="9465" ht="15.75" customHeight="1">
      <c r="A9465" s="2" t="s">
        <v>9465</v>
      </c>
      <c r="B9465" s="2" t="str">
        <f>IFERROR(__xludf.DUMMYFUNCTION("GOOGLETRANSLATE(A9465, ""en"", ""mt"")"),"Il-moviment kliniku tal-ispiżerija inizjalment beda ġewwa sptarijiet u kliniċi")</f>
        <v>Il-moviment kliniku tal-ispiżerija inizjalment beda ġewwa sptarijiet u kliniċi</v>
      </c>
    </row>
    <row r="9466" ht="15.75" customHeight="1">
      <c r="A9466" s="2" t="s">
        <v>9466</v>
      </c>
      <c r="B9466" s="2" t="str">
        <f>IFERROR(__xludf.DUMMYFUNCTION("GOOGLETRANSLATE(A9466, ""en"", ""mt"")"),"Nestorianism u Kattoliċiżmu Ruman")</f>
        <v>Nestorianism u Kattoliċiżmu Ruman</v>
      </c>
    </row>
    <row r="9467" ht="15.75" customHeight="1">
      <c r="A9467" s="2" t="s">
        <v>9467</v>
      </c>
      <c r="B9467" s="2" t="str">
        <f>IFERROR(__xludf.DUMMYFUNCTION("GOOGLETRANSLATE(A9467, ""en"", ""mt"")"),"Problema oħra")</f>
        <v>Problema oħra</v>
      </c>
    </row>
    <row r="9468" ht="15.75" customHeight="1">
      <c r="A9468" s="2" t="s">
        <v>9468</v>
      </c>
      <c r="B9468" s="2" t="str">
        <f>IFERROR(__xludf.DUMMYFUNCTION("GOOGLETRANSLATE(A9468, ""en"", ""mt"")"),"X'kienet il-V &amp; A preżenti f'Lulju 1973 bħala parti mill-programm ta 'sensibilizzazzjoni taż-żgħażagħ tagħha?")</f>
        <v>X'kienet il-V &amp; A preżenti f'Lulju 1973 bħala parti mill-programm ta 'sensibilizzazzjoni taż-żgħażagħ tagħha?</v>
      </c>
    </row>
    <row r="9469" ht="15.75" customHeight="1">
      <c r="A9469" s="2" t="s">
        <v>9469</v>
      </c>
      <c r="B9469" s="2" t="str">
        <f>IFERROR(__xludf.DUMMYFUNCTION("GOOGLETRANSLATE(A9469, ""en"", ""mt"")"),"Tagħlim")</f>
        <v>Tagħlim</v>
      </c>
    </row>
    <row r="9470" ht="15.75" customHeight="1">
      <c r="A9470" s="2" t="s">
        <v>9470</v>
      </c>
      <c r="B9470" s="2" t="str">
        <f>IFERROR(__xludf.DUMMYFUNCTION("GOOGLETRANSLATE(A9470, ""en"", ""mt"")"),"Materia Medica")</f>
        <v>Materia Medica</v>
      </c>
    </row>
    <row r="9471" ht="15.75" customHeight="1">
      <c r="A9471" s="2" t="s">
        <v>9471</v>
      </c>
      <c r="B9471" s="2" t="str">
        <f>IFERROR(__xludf.DUMMYFUNCTION("GOOGLETRANSLATE(A9471, ""en"", ""mt"")"),"Il-liġi tan-nazzjonalizzazzjoni kienet mill-1962, u t-trattat kien fis-seħħ mill-1958")</f>
        <v>Il-liġi tan-nazzjonalizzazzjoni kienet mill-1962, u t-trattat kien fis-seħħ mill-1958</v>
      </c>
    </row>
    <row r="9472" ht="15.75" customHeight="1">
      <c r="A9472" s="2" t="s">
        <v>9472</v>
      </c>
      <c r="B9472" s="2" t="str">
        <f>IFERROR(__xludf.DUMMYFUNCTION("GOOGLETRANSLATE(A9472, ""en"", ""mt"")"),"Uighurs")</f>
        <v>Uighurs</v>
      </c>
    </row>
    <row r="9473" ht="15.75" customHeight="1">
      <c r="A9473" s="2" t="s">
        <v>9473</v>
      </c>
      <c r="B9473" s="2" t="str">
        <f>IFERROR(__xludf.DUMMYFUNCTION("GOOGLETRANSLATE(A9473, ""en"", ""mt"")"),"Iffinanzjat bis-sħiħ minn partijiet privati")</f>
        <v>Iffinanzjat bis-sħiħ minn partijiet privati</v>
      </c>
    </row>
    <row r="9474" ht="15.75" customHeight="1">
      <c r="A9474" s="2" t="s">
        <v>9474</v>
      </c>
      <c r="B9474" s="2" t="str">
        <f>IFERROR(__xludf.DUMMYFUNCTION("GOOGLETRANSLATE(A9474, ""en"", ""mt"")"),"neputi")</f>
        <v>neputi</v>
      </c>
    </row>
    <row r="9475" ht="15.75" customHeight="1">
      <c r="A9475" s="2" t="s">
        <v>9475</v>
      </c>
      <c r="B9475" s="2" t="str">
        <f>IFERROR(__xludf.DUMMYFUNCTION("GOOGLETRANSLATE(A9475, ""en"", ""mt"")"),"F'liema grupp ta 'komposti huwa l-ossiġnu parti meħtieġa?")</f>
        <v>F'liema grupp ta 'komposti huwa l-ossiġnu parti meħtieġa?</v>
      </c>
    </row>
    <row r="9476" ht="15.75" customHeight="1">
      <c r="A9476" s="2" t="s">
        <v>9476</v>
      </c>
      <c r="B9476" s="2" t="str">
        <f>IFERROR(__xludf.DUMMYFUNCTION("GOOGLETRANSLATE(A9476, ""en"", ""mt"")"),"Is-sid tipikament jagħti kuntratt lil min?")</f>
        <v>Is-sid tipikament jagħti kuntratt lil min?</v>
      </c>
    </row>
    <row r="9477" ht="15.75" customHeight="1">
      <c r="A9477" s="2" t="s">
        <v>9477</v>
      </c>
      <c r="B9477" s="2" t="str">
        <f>IFERROR(__xludf.DUMMYFUNCTION("GOOGLETRANSLATE(A9477, ""en"", ""mt"")"),"Orbiter ta 'għarfien")</f>
        <v>Orbiter ta 'għarfien</v>
      </c>
    </row>
    <row r="9478" ht="15.75" customHeight="1">
      <c r="A9478" s="2" t="s">
        <v>9478</v>
      </c>
      <c r="B9478" s="2" t="str">
        <f>IFERROR(__xludf.DUMMYFUNCTION("GOOGLETRANSLATE(A9478, ""en"", ""mt"")"),"L")</f>
        <v>L</v>
      </c>
    </row>
    <row r="9479" ht="15.75" customHeight="1">
      <c r="A9479" s="2" t="s">
        <v>9479</v>
      </c>
      <c r="B9479" s="2" t="str">
        <f>IFERROR(__xludf.DUMMYFUNCTION("GOOGLETRANSLATE(A9479, ""en"", ""mt"")"),"Luther simpatizza ma 'wħud mill-ilmenti tal-bdiewa, kif wera fit-tweġiba tiegħu għat-tnax-il artiklu f'Mejju 1525, iżda huwa fakkar lill-aggravat li jobdi l-awtoritajiet temporali. Waqt tour fit-Turingija, huwa sar għeruq fil-ħruq mifrux ta 'kunventi, mon"&amp;"asteri, palazzi tal-isqfijiet, u libreriji. Fil-konfront tal-hordes tal-bdiewa qattiela, li jitilqu, miktuba fuq ir-ritorn tiegħu lejn Wittenberg, huwa ta l-interpretazzjoni tiegħu tat-tagħlim tal-Evanġelju fuq il-ġid, ikkundanna l-vjolenza bħala x-xogħol"&amp;" tax-xitan, u talab lill-nobbli biex iwaqqfu r-ribelli bħal dogs tal-ġenn:")</f>
        <v>Luther simpatizza ma 'wħud mill-ilmenti tal-bdiewa, kif wera fit-tweġiba tiegħu għat-tnax-il artiklu f'Mejju 1525, iżda huwa fakkar lill-aggravat li jobdi l-awtoritajiet temporali. Waqt tour fit-Turingija, huwa sar għeruq fil-ħruq mifrux ta 'kunventi, monasteri, palazzi tal-isqfijiet, u libreriji. Fil-konfront tal-hordes tal-bdiewa qattiela, li jitilqu, miktuba fuq ir-ritorn tiegħu lejn Wittenberg, huwa ta l-interpretazzjoni tiegħu tat-tagħlim tal-Evanġelju fuq il-ġid, ikkundanna l-vjolenza bħala x-xogħol tax-xitan, u talab lill-nobbli biex iwaqqfu r-ribelli bħal dogs tal-ġenn:</v>
      </c>
    </row>
    <row r="9480" ht="15.75" customHeight="1">
      <c r="A9480" s="2" t="s">
        <v>9480</v>
      </c>
      <c r="B9480" s="2" t="str">
        <f>IFERROR(__xludf.DUMMYFUNCTION("GOOGLETRANSLATE(A9480, ""en"", ""mt"")"),"Min kien il-mexxej tal-Panthers għall-2015?")</f>
        <v>Min kien il-mexxej tal-Panthers għall-2015?</v>
      </c>
    </row>
    <row r="9481" ht="15.75" customHeight="1">
      <c r="A9481" s="2" t="s">
        <v>9481</v>
      </c>
      <c r="B9481" s="2" t="str">
        <f>IFERROR(__xludf.DUMMYFUNCTION("GOOGLETRANSLATE(A9481, ""en"", ""mt"")"),"kemm Ġermaniżi tat-Tramuntana kif ukoll tan-Nofsinhar")</f>
        <v>kemm Ġermaniżi tat-Tramuntana kif ukoll tan-Nofsinhar</v>
      </c>
    </row>
    <row r="9482" ht="15.75" customHeight="1">
      <c r="A9482" s="2" t="s">
        <v>9482</v>
      </c>
      <c r="B9482" s="2" t="str">
        <f>IFERROR(__xludf.DUMMYFUNCTION("GOOGLETRANSLATE(A9482, ""en"", ""mt"")"),"inkwiet soċjali u vjolenza")</f>
        <v>inkwiet soċjali u vjolenza</v>
      </c>
    </row>
    <row r="9483" ht="15.75" customHeight="1">
      <c r="A9483" s="2" t="s">
        <v>9483</v>
      </c>
      <c r="B9483" s="2" t="str">
        <f>IFERROR(__xludf.DUMMYFUNCTION("GOOGLETRANSLATE(A9483, ""en"", ""mt"")"),"Flimkien ma 'ġeotermali u nukleari, x'inhu sors ta' sħana notevoli mhux kombustjoni?")</f>
        <v>Flimkien ma 'ġeotermali u nukleari, x'inhu sors ta' sħana notevoli mhux kombustjoni?</v>
      </c>
    </row>
    <row r="9484" ht="15.75" customHeight="1">
      <c r="A9484" s="2" t="s">
        <v>9484</v>
      </c>
      <c r="B9484" s="2" t="str">
        <f>IFERROR(__xludf.DUMMYFUNCTION("GOOGLETRANSLATE(A9484, ""en"", ""mt"")"),"L-azzjonijiet kollha mill-istituzzjonijiet tal-UE jistgħu jkunu soġġetti għal reviżjoni ġudizzjarja")</f>
        <v>L-azzjonijiet kollha mill-istituzzjonijiet tal-UE jistgħu jkunu soġġetti għal reviżjoni ġudizzjarja</v>
      </c>
    </row>
    <row r="9485" ht="15.75" customHeight="1">
      <c r="A9485" s="2" t="s">
        <v>9485</v>
      </c>
      <c r="B9485" s="2" t="str">
        <f>IFERROR(__xludf.DUMMYFUNCTION("GOOGLETRANSLATE(A9485, ""en"", ""mt"")"),"Il-Ġnien Sassonu")</f>
        <v>Il-Ġnien Sassonu</v>
      </c>
    </row>
    <row r="9486" ht="15.75" customHeight="1">
      <c r="A9486" s="2" t="s">
        <v>9486</v>
      </c>
      <c r="B9486" s="2" t="str">
        <f>IFERROR(__xludf.DUMMYFUNCTION("GOOGLETRANSLATE(A9486, ""en"", ""mt"")"),"X'inhu l-isem tal-ktieb miktub mill-arkeologu Betty Meggers?")</f>
        <v>X'inhu l-isem tal-ktieb miktub mill-arkeologu Betty Meggers?</v>
      </c>
    </row>
    <row r="9487" ht="15.75" customHeight="1">
      <c r="A9487" s="2" t="s">
        <v>9487</v>
      </c>
      <c r="B9487" s="2" t="str">
        <f>IFERROR(__xludf.DUMMYFUNCTION("GOOGLETRANSLATE(A9487, ""en"", ""mt"")"),"Flimkien ma 'magni tad-diżil, liema magni qabżu magni tal-fwar għall-propulsjoni tal-baħar?")</f>
        <v>Flimkien ma 'magni tad-diżil, liema magni qabżu magni tal-fwar għall-propulsjoni tal-baħar?</v>
      </c>
    </row>
    <row r="9488" ht="15.75" customHeight="1">
      <c r="A9488" s="2" t="s">
        <v>9488</v>
      </c>
      <c r="B9488" s="2" t="str">
        <f>IFERROR(__xludf.DUMMYFUNCTION("GOOGLETRANSLATE(A9488, ""en"", ""mt"")"),"Carolina sofra daqqa ta ’ħarta kbira meta Thomas Davis, veteran ta ’11 -il sena li kien diġà għeleb tliet dmugħ ACL fil-karriera tiegħu, niżel b’dirma miksura fil-logħba tal-Kampjonat NFC. Minkejja dan, huwa insista li kien għadu jsib mod kif jilgħab fis-"&amp;"Super Bowl. It-tbassir tiegħu rriżulta li kien preċiż.")</f>
        <v>Carolina sofra daqqa ta ’ħarta kbira meta Thomas Davis, veteran ta ’11 -il sena li kien diġà għeleb tliet dmugħ ACL fil-karriera tiegħu, niżel b’dirma miksura fil-logħba tal-Kampjonat NFC. Minkejja dan, huwa insista li kien għadu jsib mod kif jilgħab fis-Super Bowl. It-tbassir tiegħu rriżulta li kien preċiż.</v>
      </c>
    </row>
    <row r="9489" ht="15.75" customHeight="1">
      <c r="A9489" s="2" t="s">
        <v>9489</v>
      </c>
      <c r="B9489" s="2" t="str">
        <f>IFERROR(__xludf.DUMMYFUNCTION("GOOGLETRANSLATE(A9489, ""en"", ""mt"")"),"Nintendo")</f>
        <v>Nintendo</v>
      </c>
    </row>
    <row r="9490" ht="15.75" customHeight="1">
      <c r="A9490" s="2" t="s">
        <v>9490</v>
      </c>
      <c r="B9490" s="2" t="str">
        <f>IFERROR(__xludf.DUMMYFUNCTION("GOOGLETRANSLATE(A9490, ""en"", ""mt"")"),"Meta ġie ppubblikat l-artiklu?")</f>
        <v>Meta ġie ppubblikat l-artiklu?</v>
      </c>
    </row>
    <row r="9491" ht="15.75" customHeight="1">
      <c r="A9491" s="2" t="s">
        <v>9491</v>
      </c>
      <c r="B9491" s="2" t="str">
        <f>IFERROR(__xludf.DUMMYFUNCTION("GOOGLETRANSLATE(A9491, ""en"", ""mt"")"),"reazzjoni eżotermika")</f>
        <v>reazzjoni eżotermika</v>
      </c>
    </row>
    <row r="9492" ht="15.75" customHeight="1">
      <c r="A9492" s="2" t="s">
        <v>9492</v>
      </c>
      <c r="B9492" s="2" t="str">
        <f>IFERROR(__xludf.DUMMYFUNCTION("GOOGLETRANSLATE(A9492, ""en"", ""mt"")"),"Xi spejjeż żejda jinġabru")</f>
        <v>Xi spejjeż żejda jinġabru</v>
      </c>
    </row>
    <row r="9493" ht="15.75" customHeight="1">
      <c r="A9493" s="2" t="s">
        <v>9493</v>
      </c>
      <c r="B9493" s="2" t="str">
        <f>IFERROR(__xludf.DUMMYFUNCTION("GOOGLETRANSLATE(A9493, ""en"", ""mt"")"),"Kemm-il darba jinżamm il-festival tal-AV?")</f>
        <v>Kemm-il darba jinżamm il-festival tal-AV?</v>
      </c>
    </row>
    <row r="9494" ht="15.75" customHeight="1">
      <c r="A9494" s="2" t="s">
        <v>9494</v>
      </c>
      <c r="B9494" s="2" t="str">
        <f>IFERROR(__xludf.DUMMYFUNCTION("GOOGLETRANSLATE(A9494, ""en"", ""mt"")"),"Bejn il-Franċiżi u l-Ingliżi, żoni kbar kienu ddominati minn tribujiet indiġeni. Fit-tramuntana, il-Mi'kmaq u l-Abenaki kienu involuti fil-gwerra ta 'Patri Le Loutre u għadhom żammew f'partijiet ta' Nova Scotia, Acadia, u l-porzjonijiet tal-Lvant tal-Prov"&amp;"inċja tal-Kanada, kif ukoll ħafna mill-Maine preżenti. Il-Konfederazzjoni Iroquois iddominat ħafna mill-Upstate ta 'New York preżenti u l-pajjiż ta' Ohio, għalkemm dan tal-aħħar kien jinkludi wkoll popolazzjonijiet li jitkellmu Algonquian ta 'Delaware u S"&amp;"hawnee, kif ukoll il-Mingo li jitkellem Iroquoian. Dawn it-tribujiet kienu formalment taħt ir-regola Iroquois, u kienu limitati minnhom fl-awtorità li jagħmlu ftehim.")</f>
        <v>Bejn il-Franċiżi u l-Ingliżi, żoni kbar kienu ddominati minn tribujiet indiġeni. Fit-tramuntana, il-Mi'kmaq u l-Abenaki kienu involuti fil-gwerra ta 'Patri Le Loutre u għadhom żammew f'partijiet ta' Nova Scotia, Acadia, u l-porzjonijiet tal-Lvant tal-Provinċja tal-Kanada, kif ukoll ħafna mill-Maine preżenti. Il-Konfederazzjoni Iroquois iddominat ħafna mill-Upstate ta 'New York preżenti u l-pajjiż ta' Ohio, għalkemm dan tal-aħħar kien jinkludi wkoll popolazzjonijiet li jitkellmu Algonquian ta 'Delaware u Shawnee, kif ukoll il-Mingo li jitkellem Iroquoian. Dawn it-tribujiet kienu formalment taħt ir-regola Iroquois, u kienu limitati minnhom fl-awtorità li jagħmlu ftehim.</v>
      </c>
    </row>
    <row r="9495" ht="15.75" customHeight="1">
      <c r="A9495" s="2" t="s">
        <v>9495</v>
      </c>
      <c r="B9495" s="2" t="str">
        <f>IFERROR(__xludf.DUMMYFUNCTION("GOOGLETRANSLATE(A9495, ""en"", ""mt"")"),"Liema astronawt tan-NASA huwa wkoll membru tal-alumni tal-università?")</f>
        <v>Liema astronawt tan-NASA huwa wkoll membru tal-alumni tal-università?</v>
      </c>
    </row>
    <row r="9496" ht="15.75" customHeight="1">
      <c r="A9496" s="2" t="s">
        <v>9496</v>
      </c>
      <c r="B9496" s="2" t="str">
        <f>IFERROR(__xludf.DUMMYFUNCTION("GOOGLETRANSLATE(A9496, ""en"", ""mt"")"),"X'inhu meħtieġ biex iseħħ il-kombustjoni?")</f>
        <v>X'inhu meħtieġ biex iseħħ il-kombustjoni?</v>
      </c>
    </row>
    <row r="9497" ht="15.75" customHeight="1">
      <c r="A9497" s="2" t="s">
        <v>9497</v>
      </c>
      <c r="B9497" s="2" t="str">
        <f>IFERROR(__xludf.DUMMYFUNCTION("GOOGLETRANSLATE(A9497, ""en"", ""mt"")"),"X'ġara lid-Dynamos fil-Power Station?")</f>
        <v>X'ġara lid-Dynamos fil-Power Station?</v>
      </c>
    </row>
    <row r="9498" ht="15.75" customHeight="1">
      <c r="A9498" s="2" t="s">
        <v>9498</v>
      </c>
      <c r="B9498" s="2" t="str">
        <f>IFERROR(__xludf.DUMMYFUNCTION("GOOGLETRANSLATE(A9498, ""en"", ""mt"")"),"Luther għallem li s-salvazzjoni u sussegwentement il-ħajja ta ’dejjem ma tinqala’ mill-għemejjel tajbin imma hija riċevuta biss bħala rigal ħieles tal-grazzja ta ’Alla permezz tal-fidi f’Ġesù Kristu bħala li jifred mid-dnub. It-teoloġija tiegħu kkontestat"&amp;" l-awtorità u l-kariga tal-Papa billi tgħallem li l-Bibbja hija l-uniku sors ta ’għarfien divinament żvelat minn Alla u oppona s-sakerdotaliżmu billi kkunsidrat lill-insara mgħammdin kollha bħala saċerdozju qaddis. Dawk li jidentifikaw ma 'dawn, u t-tagħl"&amp;"im usa' ta 'Luther, huma msejħa Luterani minkejja li Luther insista fuq Kristjan jew Evanġeliku bħala l-uniċi ismijiet aċċettabbli għal individwi li jistqarru lil Kristu.")</f>
        <v>Luther għallem li s-salvazzjoni u sussegwentement il-ħajja ta ’dejjem ma tinqala’ mill-għemejjel tajbin imma hija riċevuta biss bħala rigal ħieles tal-grazzja ta ’Alla permezz tal-fidi f’Ġesù Kristu bħala li jifred mid-dnub. It-teoloġija tiegħu kkontestat l-awtorità u l-kariga tal-Papa billi tgħallem li l-Bibbja hija l-uniku sors ta ’għarfien divinament żvelat minn Alla u oppona s-sakerdotaliżmu billi kkunsidrat lill-insara mgħammdin kollha bħala saċerdozju qaddis. Dawk li jidentifikaw ma 'dawn, u t-tagħlim usa' ta 'Luther, huma msejħa Luterani minkejja li Luther insista fuq Kristjan jew Evanġeliku bħala l-uniċi ismijiet aċċettabbli għal individwi li jistqarru lil Kristu.</v>
      </c>
    </row>
    <row r="9499" ht="15.75" customHeight="1">
      <c r="A9499" s="2" t="s">
        <v>9499</v>
      </c>
      <c r="B9499" s="2" t="str">
        <f>IFERROR(__xludf.DUMMYFUNCTION("GOOGLETRANSLATE(A9499, ""en"", ""mt"")"),"ossiġnu u idroġenu")</f>
        <v>ossiġnu u idroġenu</v>
      </c>
    </row>
    <row r="9500" ht="15.75" customHeight="1">
      <c r="A9500" s="2" t="s">
        <v>9500</v>
      </c>
      <c r="B9500" s="2" t="str">
        <f>IFERROR(__xludf.DUMMYFUNCTION("GOOGLETRANSLATE(A9500, ""en"", ""mt"")"),"Rays X.")</f>
        <v>Rays X.</v>
      </c>
    </row>
    <row r="9501" ht="15.75" customHeight="1">
      <c r="A9501" s="2" t="s">
        <v>9501</v>
      </c>
      <c r="B9501" s="2" t="str">
        <f>IFERROR(__xludf.DUMMYFUNCTION("GOOGLETRANSLATE(A9501, ""en"", ""mt"")"),"Il-pesta rritornat ripetutament fl-Ewropa tal-Haunt u l-Mediterran matul is-sekli 14 sa 17. Skond Biraben, il-pesta kienet preżenti x'imkien fl-Ewropa kull sena bejn l-1346 u l-1671. It-tieni pandemija kienet partikolarment mifruxa fis-snin ta 'wara: 1360"&amp;"-63; 1374; 1400; 1438–39; 1456–57; 1464–66; 1481–85; 1500–03; 1518–31; 1544–48; 1563–66; 1573–88; 1596–99; 1602–11; 1623–40; 1644–54; u 1664–67. Tfaqqigħ sussegwenti, għalkemm sever, immarka l-irtir mill-biċċa l-kbira tal-Ewropa (seklu 18) u l-Afrika ta ’"&amp;"Fuq (seklu 19). Skond Geoffrey Parker, ""Franza waħedha tilfet kważi miljun persuna fil-pesta fl-epidemija tal-1628-31.""")</f>
        <v>Il-pesta rritornat ripetutament fl-Ewropa tal-Haunt u l-Mediterran matul is-sekli 14 sa 17. Skond Biraben, il-pesta kienet preżenti x'imkien fl-Ewropa kull sena bejn l-1346 u l-1671. It-tieni pandemija kienet partikolarment mifruxa fis-snin ta 'wara: 1360-63; 1374; 1400; 1438–39; 1456–57; 1464–66; 1481–85; 1500–03; 1518–31; 1544–48; 1563–66; 1573–88; 1596–99; 1602–11; 1623–40; 1644–54; u 1664–67. Tfaqqigħ sussegwenti, għalkemm sever, immarka l-irtir mill-biċċa l-kbira tal-Ewropa (seklu 18) u l-Afrika ta ’Fuq (seklu 19). Skond Geoffrey Parker, "Franza waħedha tilfet kważi miljun persuna fil-pesta fl-epidemija tal-1628-31."</v>
      </c>
    </row>
    <row r="9502" ht="15.75" customHeight="1">
      <c r="A9502" s="2" t="s">
        <v>9502</v>
      </c>
      <c r="B9502" s="2" t="str">
        <f>IFERROR(__xludf.DUMMYFUNCTION("GOOGLETRANSLATE(A9502, ""en"", ""mt"")"),"Hockey stick graff")</f>
        <v>Hockey stick graff</v>
      </c>
    </row>
    <row r="9503" ht="15.75" customHeight="1">
      <c r="A9503" s="2" t="s">
        <v>9503</v>
      </c>
      <c r="B9503" s="2" t="str">
        <f>IFERROR(__xludf.DUMMYFUNCTION("GOOGLETRANSLATE(A9503, ""en"", ""mt"")"),"Kif huwa determinat id-dħul f'suq ma 'ħaddiema b'ħiliet varji?")</f>
        <v>Kif huwa determinat id-dħul f'suq ma 'ħaddiema b'ħiliet varji?</v>
      </c>
    </row>
    <row r="9504" ht="15.75" customHeight="1">
      <c r="A9504" s="2" t="s">
        <v>9504</v>
      </c>
      <c r="B9504" s="2" t="str">
        <f>IFERROR(__xludf.DUMMYFUNCTION("GOOGLETRANSLATE(A9504, ""en"", ""mt"")"),"Ċentru ta 'Riċerka ta' Langley")</f>
        <v>Ċentru ta 'Riċerka ta' Langley</v>
      </c>
    </row>
    <row r="9505" ht="15.75" customHeight="1">
      <c r="A9505" s="2" t="s">
        <v>9505</v>
      </c>
      <c r="B9505" s="2" t="str">
        <f>IFERROR(__xludf.DUMMYFUNCTION("GOOGLETRANSLATE(A9505, ""en"", ""mt"")"),"Kif irrisponda r-Re Louis XV għall-pjanijiet Ingliżi?")</f>
        <v>Kif irrisponda r-Re Louis XV għall-pjanijiet Ingliżi?</v>
      </c>
    </row>
    <row r="9506" ht="15.75" customHeight="1">
      <c r="A9506" s="2" t="s">
        <v>9506</v>
      </c>
      <c r="B9506" s="2" t="str">
        <f>IFERROR(__xludf.DUMMYFUNCTION("GOOGLETRANSLATE(A9506, ""en"", ""mt"")"),"teħtieġ l-arrest tiegħu")</f>
        <v>teħtieġ l-arrest tiegħu</v>
      </c>
    </row>
    <row r="9507" ht="15.75" customHeight="1">
      <c r="A9507" s="2" t="s">
        <v>9507</v>
      </c>
      <c r="B9507" s="2" t="str">
        <f>IFERROR(__xludf.DUMMYFUNCTION("GOOGLETRANSLATE(A9507, ""en"", ""mt"")"),"William Rainey Harper")</f>
        <v>William Rainey Harper</v>
      </c>
    </row>
    <row r="9508" ht="15.75" customHeight="1">
      <c r="A9508" s="2" t="s">
        <v>9508</v>
      </c>
      <c r="B9508" s="2" t="str">
        <f>IFERROR(__xludf.DUMMYFUNCTION("GOOGLETRANSLATE(A9508, ""en"", ""mt"")"),"Liema missjoni Apollo kienet is-sitt inżul tal-qamar?")</f>
        <v>Liema missjoni Apollo kienet is-sitt inżul tal-qamar?</v>
      </c>
    </row>
    <row r="9509" ht="15.75" customHeight="1">
      <c r="A9509" s="2" t="s">
        <v>9509</v>
      </c>
      <c r="B9509" s="2" t="str">
        <f>IFERROR(__xludf.DUMMYFUNCTION("GOOGLETRANSLATE(A9509, ""en"", ""mt"")"),"trammijiet")</f>
        <v>trammijiet</v>
      </c>
    </row>
    <row r="9510" ht="15.75" customHeight="1">
      <c r="A9510" s="2" t="s">
        <v>9510</v>
      </c>
      <c r="B9510" s="2" t="str">
        <f>IFERROR(__xludf.DUMMYFUNCTION("GOOGLETRANSLATE(A9510, ""en"", ""mt"")"),"Liema spettaklu huwa meqjus bħala l-aqwa drama li l-BBC qatt ipproduċa?")</f>
        <v>Liema spettaklu huwa meqjus bħala l-aqwa drama li l-BBC qatt ipproduċa?</v>
      </c>
    </row>
    <row r="9511" ht="15.75" customHeight="1">
      <c r="A9511" s="2" t="s">
        <v>9511</v>
      </c>
      <c r="B9511" s="2" t="str">
        <f>IFERROR(__xludf.DUMMYFUNCTION("GOOGLETRANSLATE(A9511, ""en"", ""mt"")"),"X’jiddejjaq il-Knisja ta ’Sant’Andrija?")</f>
        <v>X’jiddejjaq il-Knisja ta ’Sant’Andrija?</v>
      </c>
    </row>
    <row r="9512" ht="15.75" customHeight="1">
      <c r="A9512" s="2" t="s">
        <v>9512</v>
      </c>
      <c r="B9512" s="2" t="str">
        <f>IFERROR(__xludf.DUMMYFUNCTION("GOOGLETRANSLATE(A9512, ""en"", ""mt"")"),"Komunikazzjonijiet tal-Bliet Kapitali")</f>
        <v>Komunikazzjonijiet tal-Bliet Kapitali</v>
      </c>
    </row>
    <row r="9513" ht="15.75" customHeight="1">
      <c r="A9513" s="2" t="s">
        <v>9513</v>
      </c>
      <c r="B9513" s="2" t="str">
        <f>IFERROR(__xludf.DUMMYFUNCTION("GOOGLETRANSLATE(A9513, ""en"", ""mt"")"),"każijiet")</f>
        <v>każijiet</v>
      </c>
    </row>
    <row r="9514" ht="15.75" customHeight="1">
      <c r="A9514" s="2" t="s">
        <v>9514</v>
      </c>
      <c r="B9514" s="2" t="str">
        <f>IFERROR(__xludf.DUMMYFUNCTION("GOOGLETRANSLATE(A9514, ""en"", ""mt"")"),"Imla l-moduli biex taqla 'status ta' għalliem mikri")</f>
        <v>Imla l-moduli biex taqla 'status ta' għalliem mikri</v>
      </c>
    </row>
    <row r="9515" ht="15.75" customHeight="1">
      <c r="A9515" s="2" t="s">
        <v>9515</v>
      </c>
      <c r="B9515" s="2" t="str">
        <f>IFERROR(__xludf.DUMMYFUNCTION("GOOGLETRANSLATE(A9515, ""en"", ""mt"")"),"* Rīnaz")</f>
        <v>* Rīnaz</v>
      </c>
    </row>
    <row r="9516" ht="15.75" customHeight="1">
      <c r="A9516" s="2" t="s">
        <v>9516</v>
      </c>
      <c r="B9516" s="2" t="str">
        <f>IFERROR(__xludf.DUMMYFUNCTION("GOOGLETRANSLATE(A9516, ""en"", ""mt"")"),"X'kienet il-protesta f'Antigone?")</f>
        <v>X'kienet il-protesta f'Antigone?</v>
      </c>
    </row>
    <row r="9517" ht="15.75" customHeight="1">
      <c r="A9517" s="2" t="s">
        <v>9517</v>
      </c>
      <c r="B9517" s="2" t="str">
        <f>IFERROR(__xludf.DUMMYFUNCTION("GOOGLETRANSLATE(A9517, ""en"", ""mt"")"),"Minn madwar is-sena 2000, numru dejjem jikber ta 'spiżeriji tal-internet ġew stabbiliti mad-dinja kollha. Ħafna minn dawn l-ispiżeriji huma simili għall-ispiżeriji tal-komunità, u fil-fatt, ħafna minnhom huma attwalment imħaddma minn spiżeriji tal-komunit"&amp;"à tal-briks u l-ġir li jservu lill-konsumaturi online u dawk li jimxu fil-bieb tagħhom. Id-differenza primarja hija l-metodu li bih il-mediċini huma mitluba u riċevuti. Xi klijenti jqisu li dan huwa metodu aktar konvenjenti u privat aktar milli jivvjaġġaw"&amp;" lejn mediċina tal-komunità fejn klijent ieħor jista 'jisma' dwar il-mediċini li jieħdu. L-ispiżeriji tal-Internet (magħrufa wkoll bħala spiżeriji onlajn) huma rrakkomandati wkoll lil xi pazjenti mit-tobba tagħhom jekk huma homebound.")</f>
        <v>Minn madwar is-sena 2000, numru dejjem jikber ta 'spiżeriji tal-internet ġew stabbiliti mad-dinja kollha. Ħafna minn dawn l-ispiżeriji huma simili għall-ispiżeriji tal-komunità, u fil-fatt, ħafna minnhom huma attwalment imħaddma minn spiżeriji tal-komunità tal-briks u l-ġir li jservu lill-konsumaturi online u dawk li jimxu fil-bieb tagħhom. Id-differenza primarja hija l-metodu li bih il-mediċini huma mitluba u riċevuti. Xi klijenti jqisu li dan huwa metodu aktar konvenjenti u privat aktar milli jivvjaġġaw lejn mediċina tal-komunità fejn klijent ieħor jista 'jisma' dwar il-mediċini li jieħdu. L-ispiżeriji tal-Internet (magħrufa wkoll bħala spiżeriji onlajn) huma rrakkomandati wkoll lil xi pazjenti mit-tobba tagħhom jekk huma homebound.</v>
      </c>
    </row>
    <row r="9518" ht="15.75" customHeight="1">
      <c r="A9518" s="2" t="s">
        <v>9518</v>
      </c>
      <c r="B9518" s="2" t="str">
        <f>IFERROR(__xludf.DUMMYFUNCTION("GOOGLETRANSLATE(A9518, ""en"", ""mt"")"),"Liema reġistrazzjoni awdjo speċjali ġiet rilaxxata għall-40 anniversarju?")</f>
        <v>Liema reġistrazzjoni awdjo speċjali ġiet rilaxxata għall-40 anniversarju?</v>
      </c>
    </row>
    <row r="9519" ht="15.75" customHeight="1">
      <c r="A9519" s="2" t="s">
        <v>9519</v>
      </c>
      <c r="B9519" s="2" t="str">
        <f>IFERROR(__xludf.DUMMYFUNCTION("GOOGLETRANSLATE(A9519, ""en"", ""mt"")"),"pistun")</f>
        <v>pistun</v>
      </c>
    </row>
    <row r="9520" ht="15.75" customHeight="1">
      <c r="A9520" s="2" t="s">
        <v>9520</v>
      </c>
      <c r="B9520" s="2" t="str">
        <f>IFERROR(__xludf.DUMMYFUNCTION("GOOGLETRANSLATE(A9520, ""en"", ""mt"")"),"il-piż tal-oġġett")</f>
        <v>il-piż tal-oġġett</v>
      </c>
    </row>
    <row r="9521" ht="15.75" customHeight="1">
      <c r="A9521" s="2" t="s">
        <v>9521</v>
      </c>
      <c r="B9521" s="2" t="str">
        <f>IFERROR(__xludf.DUMMYFUNCTION("GOOGLETRANSLATE(A9521, ""en"", ""mt"")"),"X'inhi l-frekwenza tal-istazzjon tar-radju WBT f'North Carolina?")</f>
        <v>X'inhi l-frekwenza tal-istazzjon tar-radju WBT f'North Carolina?</v>
      </c>
    </row>
    <row r="9522" ht="15.75" customHeight="1">
      <c r="A9522" s="2" t="s">
        <v>9522</v>
      </c>
      <c r="B9522" s="2" t="str">
        <f>IFERROR(__xludf.DUMMYFUNCTION("GOOGLETRANSLATE(A9522, ""en"", ""mt"")"),"Twaqqif ta 'relazzjonijiet ma' parteċipanti oħra meħtieġa")</f>
        <v>Twaqqif ta 'relazzjonijiet ma' parteċipanti oħra meħtieġa</v>
      </c>
    </row>
    <row r="9523" ht="15.75" customHeight="1">
      <c r="A9523" s="2" t="s">
        <v>9523</v>
      </c>
      <c r="B9523" s="2" t="str">
        <f>IFERROR(__xludf.DUMMYFUNCTION("GOOGLETRANSLATE(A9523, ""en"", ""mt"")"),"L-istudenti x'aktarx jibnu relazzjonijiet aktar b'saħħithom ma 'għalliema li huma ħbiberija u ta' appoġġ u juru aktar interess fil-korsijiet mgħallma minn dawn l-għalliema. L-għalliema li jqattgħu aktar ħin jinteraġixxu u jaħdmu direttament mal-istudenti "&amp;"huma meqjusa bħala għalliema ta 'appoġġ u effettivi. L-għalliema effettivi ntwerew li jistiednu l-parteċipazzjoni tal-istudenti u t-teħid tad-deċiżjonijiet, jippermettu l-umoriżmu fil-klassi tagħhom, u juru r-rieda li jilagħbu.")</f>
        <v>L-istudenti x'aktarx jibnu relazzjonijiet aktar b'saħħithom ma 'għalliema li huma ħbiberija u ta' appoġġ u juru aktar interess fil-korsijiet mgħallma minn dawn l-għalliema. L-għalliema li jqattgħu aktar ħin jinteraġixxu u jaħdmu direttament mal-istudenti huma meqjusa bħala għalliema ta 'appoġġ u effettivi. L-għalliema effettivi ntwerew li jistiednu l-parteċipazzjoni tal-istudenti u t-teħid tad-deċiżjonijiet, jippermettu l-umoriżmu fil-klassi tagħhom, u juru r-rieda li jilagħbu.</v>
      </c>
    </row>
    <row r="9524" ht="15.75" customHeight="1">
      <c r="A9524" s="2" t="s">
        <v>9524</v>
      </c>
      <c r="B9524" s="2" t="str">
        <f>IFERROR(__xludf.DUMMYFUNCTION("GOOGLETRANSLATE(A9524, ""en"", ""mt"")"),"Kissinger")</f>
        <v>Kissinger</v>
      </c>
    </row>
    <row r="9525" ht="15.75" customHeight="1">
      <c r="A9525" s="2" t="s">
        <v>9525</v>
      </c>
      <c r="B9525" s="2" t="str">
        <f>IFERROR(__xludf.DUMMYFUNCTION("GOOGLETRANSLATE(A9525, ""en"", ""mt"")"),"Artikolu 102")</f>
        <v>Artikolu 102</v>
      </c>
    </row>
    <row r="9526" ht="15.75" customHeight="1">
      <c r="A9526" s="2" t="s">
        <v>9526</v>
      </c>
      <c r="B9526" s="2" t="str">
        <f>IFERROR(__xludf.DUMMYFUNCTION("GOOGLETRANSLATE(A9526, ""en"", ""mt"")"),"Meta saru l-ewwel elezzjonijiet diretti?")</f>
        <v>Meta saru l-ewwel elezzjonijiet diretti?</v>
      </c>
    </row>
    <row r="9527" ht="15.75" customHeight="1">
      <c r="A9527" s="2" t="s">
        <v>9527</v>
      </c>
      <c r="B9527" s="2" t="str">
        <f>IFERROR(__xludf.DUMMYFUNCTION("GOOGLETRANSLATE(A9527, ""en"", ""mt"")"),"Liema festival kulturali huwa l-festival tas-SAMA?")</f>
        <v>Liema festival kulturali huwa l-festival tas-SAMA?</v>
      </c>
    </row>
    <row r="9528" ht="15.75" customHeight="1">
      <c r="A9528" s="2" t="s">
        <v>9528</v>
      </c>
      <c r="B9528" s="2" t="str">
        <f>IFERROR(__xludf.DUMMYFUNCTION("GOOGLETRANSLATE(A9528, ""en"", ""mt"")"),"Robert Kintner")</f>
        <v>Robert Kintner</v>
      </c>
    </row>
    <row r="9529" ht="15.75" customHeight="1">
      <c r="A9529" s="2" t="s">
        <v>9529</v>
      </c>
      <c r="B9529" s="2" t="str">
        <f>IFERROR(__xludf.DUMMYFUNCTION("GOOGLETRANSLATE(A9529, ""en"", ""mt"")"),"42")</f>
        <v>42</v>
      </c>
    </row>
    <row r="9530" ht="15.75" customHeight="1">
      <c r="A9530" s="2" t="s">
        <v>9530</v>
      </c>
      <c r="B9530" s="2" t="str">
        <f>IFERROR(__xludf.DUMMYFUNCTION("GOOGLETRANSLATE(A9530, ""en"", ""mt"")"),"Riċettur taċ-ċelloli T (TCR)")</f>
        <v>Riċettur taċ-ċelloli T (TCR)</v>
      </c>
    </row>
    <row r="9531" ht="15.75" customHeight="1">
      <c r="A9531" s="2" t="s">
        <v>9531</v>
      </c>
      <c r="B9531" s="2" t="str">
        <f>IFERROR(__xludf.DUMMYFUNCTION("GOOGLETRANSLATE(A9531, ""en"", ""mt"")"),"Kemm fatturi ta 'saħħa u problemi soċjali identifikaw Wilkinson u Pickett?")</f>
        <v>Kemm fatturi ta 'saħħa u problemi soċjali identifikaw Wilkinson u Pickett?</v>
      </c>
    </row>
    <row r="9532" ht="15.75" customHeight="1">
      <c r="A9532" s="2" t="s">
        <v>9532</v>
      </c>
      <c r="B9532" s="2" t="str">
        <f>IFERROR(__xludf.DUMMYFUNCTION("GOOGLETRANSLATE(A9532, ""en"", ""mt"")"),"Min kien l-ewwel persuna fl-ispazju?")</f>
        <v>Min kien l-ewwel persuna fl-ispazju?</v>
      </c>
    </row>
    <row r="9533" ht="15.75" customHeight="1">
      <c r="A9533" s="2" t="s">
        <v>9533</v>
      </c>
      <c r="B9533" s="2" t="str">
        <f>IFERROR(__xludf.DUMMYFUNCTION("GOOGLETRANSLATE(A9533, ""en"", ""mt"")"),"Fondi Oireachtas")</f>
        <v>Fondi Oireachtas</v>
      </c>
    </row>
    <row r="9534" ht="15.75" customHeight="1">
      <c r="A9534" s="2" t="s">
        <v>9534</v>
      </c>
      <c r="B9534" s="2" t="str">
        <f>IFERROR(__xludf.DUMMYFUNCTION("GOOGLETRANSLATE(A9534, ""en"", ""mt"")"),"-40%")</f>
        <v>-40%</v>
      </c>
    </row>
    <row r="9535" ht="15.75" customHeight="1">
      <c r="A9535" s="2" t="s">
        <v>9535</v>
      </c>
      <c r="B9535" s="2" t="str">
        <f>IFERROR(__xludf.DUMMYFUNCTION("GOOGLETRANSLATE(A9535, ""en"", ""mt"")"),"Aqbadni Min Jista '")</f>
        <v>Aqbadni Min Jista '</v>
      </c>
    </row>
    <row r="9536" ht="15.75" customHeight="1">
      <c r="A9536" s="2" t="s">
        <v>9536</v>
      </c>
      <c r="B9536" s="2" t="str">
        <f>IFERROR(__xludf.DUMMYFUNCTION("GOOGLETRANSLATE(A9536, ""en"", ""mt"")"),"Film tal-gangster,")</f>
        <v>Film tal-gangster,</v>
      </c>
    </row>
    <row r="9537" ht="15.75" customHeight="1">
      <c r="A9537" s="2" t="s">
        <v>9537</v>
      </c>
      <c r="B9537" s="2" t="str">
        <f>IFERROR(__xludf.DUMMYFUNCTION("GOOGLETRANSLATE(A9537, ""en"", ""mt"")"),"Min ħabbar il-logħba play-by-play għal Super Bowl 50?")</f>
        <v>Min ħabbar il-logħba play-by-play għal Super Bowl 50?</v>
      </c>
    </row>
    <row r="9538" ht="15.75" customHeight="1">
      <c r="A9538" s="2" t="s">
        <v>9538</v>
      </c>
      <c r="B9538" s="2" t="str">
        <f>IFERROR(__xludf.DUMMYFUNCTION("GOOGLETRANSLATE(A9538, ""en"", ""mt"")"),"il-park")</f>
        <v>il-park</v>
      </c>
    </row>
    <row r="9539" ht="15.75" customHeight="1">
      <c r="A9539" s="2" t="s">
        <v>9539</v>
      </c>
      <c r="B9539" s="2" t="str">
        <f>IFERROR(__xludf.DUMMYFUNCTION("GOOGLETRANSLATE(A9539, ""en"", ""mt"")"),"Metodu aktar konvenjenti u privat")</f>
        <v>Metodu aktar konvenjenti u privat</v>
      </c>
    </row>
    <row r="9540" ht="15.75" customHeight="1">
      <c r="A9540" s="2" t="s">
        <v>9540</v>
      </c>
      <c r="B9540" s="2" t="str">
        <f>IFERROR(__xludf.DUMMYFUNCTION("GOOGLETRANSLATE(A9540, ""en"", ""mt"")"),"X'għandhom l-etioplasti minflok il-klorofilla?")</f>
        <v>X'għandhom l-etioplasti minflok il-klorofilla?</v>
      </c>
    </row>
    <row r="9541" ht="15.75" customHeight="1">
      <c r="A9541" s="2" t="s">
        <v>9541</v>
      </c>
      <c r="B9541" s="2" t="str">
        <f>IFERROR(__xludf.DUMMYFUNCTION("GOOGLETRANSLATE(A9541, ""en"", ""mt"")"),"F'liema sena l-modulu Lunar (LM) waqa 'għax ma kienx meqjus bħala utli?")</f>
        <v>F'liema sena l-modulu Lunar (LM) waqa 'għax ma kienx meqjus bħala utli?</v>
      </c>
    </row>
    <row r="9542" ht="15.75" customHeight="1">
      <c r="A9542" s="2" t="s">
        <v>9542</v>
      </c>
      <c r="B9542" s="2" t="str">
        <f>IFERROR(__xludf.DUMMYFUNCTION("GOOGLETRANSLATE(A9542, ""en"", ""mt"")"),"Gene CYP27B1")</f>
        <v>Gene CYP27B1</v>
      </c>
    </row>
    <row r="9543" ht="15.75" customHeight="1">
      <c r="A9543" s="2" t="s">
        <v>9543</v>
      </c>
      <c r="B9543" s="2" t="str">
        <f>IFERROR(__xludf.DUMMYFUNCTION("GOOGLETRANSLATE(A9543, ""en"", ""mt"")"),"X’taħseb John Dalton li l-elementi kollha kienu preżenti fil-komposti?")</f>
        <v>X’taħseb John Dalton li l-elementi kollha kienu preżenti fil-komposti?</v>
      </c>
    </row>
    <row r="9544" ht="15.75" customHeight="1">
      <c r="A9544" s="2" t="s">
        <v>9544</v>
      </c>
      <c r="B9544" s="2" t="str">
        <f>IFERROR(__xludf.DUMMYFUNCTION("GOOGLETRANSLATE(A9544, ""en"", ""mt"")"),"Liema alumni kien ukoll il-konsulent tal-kampanja ta 'Obama?")</f>
        <v>Liema alumni kien ukoll il-konsulent tal-kampanja ta 'Obama?</v>
      </c>
    </row>
    <row r="9545" ht="15.75" customHeight="1">
      <c r="A9545" s="2" t="s">
        <v>9545</v>
      </c>
      <c r="B9545" s="2" t="str">
        <f>IFERROR(__xludf.DUMMYFUNCTION("GOOGLETRANSLATE(A9545, ""en"", ""mt"")"),"Liema status kiseb il-fratellanza fid-dinja Iżlamika?")</f>
        <v>Liema status kiseb il-fratellanza fid-dinja Iżlamika?</v>
      </c>
    </row>
    <row r="9546" ht="15.75" customHeight="1">
      <c r="A9546" s="2" t="s">
        <v>9546</v>
      </c>
      <c r="B9546" s="2" t="str">
        <f>IFERROR(__xludf.DUMMYFUNCTION("GOOGLETRANSLATE(A9546, ""en"", ""mt"")"),"Għal ħafna snin, kif ġiet deskritta l-fratellanza?")</f>
        <v>Għal ħafna snin, kif ġiet deskritta l-fratellanza?</v>
      </c>
    </row>
    <row r="9547" ht="15.75" customHeight="1">
      <c r="A9547" s="2" t="s">
        <v>9547</v>
      </c>
      <c r="B9547" s="2" t="str">
        <f>IFERROR(__xludf.DUMMYFUNCTION("GOOGLETRANSLATE(A9547, ""en"", ""mt"")"),"Fl-2013, il-Peabody Awards onoraw lil Doctor Who ma 'Peabody istituzzjonali ""talli qed jevolvi bit-teknoloġija u t-Times bħal xejn ieħor fl-univers tat-televiżjoni magħruf."" Il-programm huwa elenkat fir-Rekords Dinjija ta 'Guinness bħala l-itwal program"&amp;"m televiżiv tax-xjenza fittizja fid-dinja, is-serje ""l-iktar ta' suċċess"" ta 'fantaxjenza ta' kull żmien - ibbażata fuq il-klassifikazzjonijiet tax-xandir kollha tagħha, DVD u bejgħ ta 'kotba, u traffiku iTunes - u għall-ikbar simulcast ta 'drama tat-TV"&amp;" bil-50 anniversarju speċjali tiegħu. Matul il-ġirja oriġinali tagħha, ġie rikonoxxut għall-istejjer immaġinattivi tiegħu, effetti speċjali ta 'baġit baxx kreattiv, u l-użu pijunier ta' mużika elettronika (oriġinarjament prodott mill-Workshop Radjofoniku "&amp;"tal-BBC).")</f>
        <v>Fl-2013, il-Peabody Awards onoraw lil Doctor Who ma 'Peabody istituzzjonali "talli qed jevolvi bit-teknoloġija u t-Times bħal xejn ieħor fl-univers tat-televiżjoni magħruf." Il-programm huwa elenkat fir-Rekords Dinjija ta 'Guinness bħala l-itwal programm televiżiv tax-xjenza fittizja fid-dinja, is-serje "l-iktar ta' suċċess" ta 'fantaxjenza ta' kull żmien - ibbażata fuq il-klassifikazzjonijiet tax-xandir kollha tagħha, DVD u bejgħ ta 'kotba, u traffiku iTunes - u għall-ikbar simulcast ta 'drama tat-TV bil-50 anniversarju speċjali tiegħu. Matul il-ġirja oriġinali tagħha, ġie rikonoxxut għall-istejjer immaġinattivi tiegħu, effetti speċjali ta 'baġit baxx kreattiv, u l-użu pijunier ta' mużika elettronika (oriġinarjament prodott mill-Workshop Radjofoniku tal-BBC).</v>
      </c>
    </row>
    <row r="9548" ht="15.75" customHeight="1">
      <c r="A9548" s="2" t="s">
        <v>9548</v>
      </c>
      <c r="B9548" s="2" t="str">
        <f>IFERROR(__xludf.DUMMYFUNCTION("GOOGLETRANSLATE(A9548, ""en"", ""mt"")"),"Meta jistgħu l-ħbub tal-lamtu jsiru kbar żżejjed?")</f>
        <v>Meta jistgħu l-ħbub tal-lamtu jsiru kbar żżejjed?</v>
      </c>
    </row>
    <row r="9549" ht="15.75" customHeight="1">
      <c r="A9549" s="2" t="s">
        <v>9549</v>
      </c>
      <c r="B9549" s="2" t="str">
        <f>IFERROR(__xludf.DUMMYFUNCTION("GOOGLETRANSLATE(A9549, ""en"", ""mt"")"),"Meta Philip I jilħqu assemblea biex jistabbilixxu duttrina fl-istati Protestanti?")</f>
        <v>Meta Philip I jilħqu assemblea biex jistabbilixxu duttrina fl-istati Protestanti?</v>
      </c>
    </row>
    <row r="9550" ht="15.75" customHeight="1">
      <c r="A9550" s="2" t="s">
        <v>9550</v>
      </c>
      <c r="B9550" s="2" t="str">
        <f>IFERROR(__xludf.DUMMYFUNCTION("GOOGLETRANSLATE(A9550, ""en"", ""mt"")"),"Kif tinnegozja l-amministrazzjoni Nixon mal-pajjiżi mhux koperattivi?")</f>
        <v>Kif tinnegozja l-amministrazzjoni Nixon mal-pajjiżi mhux koperattivi?</v>
      </c>
    </row>
    <row r="9551" ht="15.75" customHeight="1">
      <c r="A9551" s="2" t="s">
        <v>9551</v>
      </c>
      <c r="B9551" s="2" t="str">
        <f>IFERROR(__xludf.DUMMYFUNCTION("GOOGLETRANSLATE(A9551, ""en"", ""mt"")"),"Tip I.")</f>
        <v>Tip I.</v>
      </c>
    </row>
    <row r="9552" ht="15.75" customHeight="1">
      <c r="A9552" s="2" t="s">
        <v>9552</v>
      </c>
      <c r="B9552" s="2" t="str">
        <f>IFERROR(__xludf.DUMMYFUNCTION("GOOGLETRANSLATE(A9552, ""en"", ""mt"")"),"fruntiera")</f>
        <v>fruntiera</v>
      </c>
    </row>
    <row r="9553" ht="15.75" customHeight="1">
      <c r="A9553" s="2" t="s">
        <v>9553</v>
      </c>
      <c r="B9553" s="2" t="str">
        <f>IFERROR(__xludf.DUMMYFUNCTION("GOOGLETRANSLATE(A9553, ""en"", ""mt"")"),"plastid li nieqes mill-klorofilla")</f>
        <v>plastid li nieqes mill-klorofilla</v>
      </c>
    </row>
    <row r="9554" ht="15.75" customHeight="1">
      <c r="A9554" s="2" t="s">
        <v>9554</v>
      </c>
      <c r="B9554" s="2" t="str">
        <f>IFERROR(__xludf.DUMMYFUNCTION("GOOGLETRANSLATE(A9554, ""en"", ""mt"")"),"qerq")</f>
        <v>qerq</v>
      </c>
    </row>
    <row r="9555" ht="15.75" customHeight="1">
      <c r="A9555" s="2" t="s">
        <v>9555</v>
      </c>
      <c r="B9555" s="2" t="str">
        <f>IFERROR(__xludf.DUMMYFUNCTION("GOOGLETRANSLATE(A9555, ""en"", ""mt"")"),"Għal liema spettaklu Billie Piper tejp introduzzjoni?")</f>
        <v>Għal liema spettaklu Billie Piper tejp introduzzjoni?</v>
      </c>
    </row>
    <row r="9556" ht="15.75" customHeight="1">
      <c r="A9556" s="2" t="s">
        <v>9556</v>
      </c>
      <c r="B9556" s="2" t="str">
        <f>IFERROR(__xludf.DUMMYFUNCTION("GOOGLETRANSLATE(A9556, ""en"", ""mt"")"),"Il-mewt l-Iswed kienet ferm aktar mgħaġġla minn dik tal-pesta bubonika moderna")</f>
        <v>Il-mewt l-Iswed kienet ferm aktar mgħaġġla minn dik tal-pesta bubonika moderna</v>
      </c>
    </row>
    <row r="9557" ht="15.75" customHeight="1">
      <c r="A9557" s="2" t="s">
        <v>9557</v>
      </c>
      <c r="B9557" s="2" t="str">
        <f>IFERROR(__xludf.DUMMYFUNCTION("GOOGLETRANSLATE(A9557, ""en"", ""mt"")"),"32 ° C (90 ° F)")</f>
        <v>32 ° C (90 ° F)</v>
      </c>
    </row>
    <row r="9558" ht="15.75" customHeight="1">
      <c r="A9558" s="2" t="s">
        <v>9558</v>
      </c>
      <c r="B9558" s="2" t="str">
        <f>IFERROR(__xludf.DUMMYFUNCTION("GOOGLETRANSLATE(A9558, ""en"", ""mt"")"),"Chagatai u Jochi")</f>
        <v>Chagatai u Jochi</v>
      </c>
    </row>
    <row r="9559" ht="15.75" customHeight="1">
      <c r="A9559" s="2" t="s">
        <v>9559</v>
      </c>
      <c r="B9559" s="2" t="str">
        <f>IFERROR(__xludf.DUMMYFUNCTION("GOOGLETRANSLATE(A9559, ""en"", ""mt"")"),"L-Università ta 'Chicago kienet is-sit ta' xi esperimenti u movimenti akkademiċi importanti. Fl-ekonomija, l-università kellha rwol importanti fit-tfassil ta 'ideat dwar is-suq ħieles u hija l-isem ta' l-Iskola ta 'l-Ekonomija ta' Chicago, l-Iskola ta 'Ħs"&amp;"ieb Ekonomiku appoġġat minn Milton Friedman u ekonomisti oħra. Id-dipartiment tas-soċjoloġija tal-università kien l-ewwel dipartiment tas-soċjoloġija indipendenti fl-Istati Uniti u welldet l-Iskola tas-Soċjoloġija ta 'Chicago. Fil-fiżika, l-università kie"&amp;"net is-sit taċ-Chicago Pile-1 (l-ewwel reazzjoni nukleari magħmula mill-bniedem awto-sostnuta, parti mill-proġett Manhattan), tal-esperiment tal-qatra taż-żejt ta 'Robert Millikan li kkalkula l-ħlas tal-elettroni, u ta' L-iżvilupp tad-dating tar-radjokarb"&amp;"onju minn Willard F. Libby fl-1947. L-esperiment kimiku li ttestja kif oriġina l-ħajja fuq l-art bikrija, l-esperiment Miller-Urey, sar fl-università. L-irqad REM ġie skopert fl-università fl-1953 minn Nathaniel Kleitman u Eugene Aserinsky.")</f>
        <v>L-Università ta 'Chicago kienet is-sit ta' xi esperimenti u movimenti akkademiċi importanti. Fl-ekonomija, l-università kellha rwol importanti fit-tfassil ta 'ideat dwar is-suq ħieles u hija l-isem ta' l-Iskola ta 'l-Ekonomija ta' Chicago, l-Iskola ta 'Ħsieb Ekonomiku appoġġat minn Milton Friedman u ekonomisti oħra. Id-dipartiment tas-soċjoloġija tal-università kien l-ewwel dipartiment tas-soċjoloġija indipendenti fl-Istati Uniti u welldet l-Iskola tas-Soċjoloġija ta 'Chicago. Fil-fiżika, l-università kienet is-sit taċ-Chicago Pile-1 (l-ewwel reazzjoni nukleari magħmula mill-bniedem awto-sostnuta, parti mill-proġett Manhattan), tal-esperiment tal-qatra taż-żejt ta 'Robert Millikan li kkalkula l-ħlas tal-elettroni, u ta' L-iżvilupp tad-dating tar-radjokarbonju minn Willard F. Libby fl-1947. L-esperiment kimiku li ttestja kif oriġina l-ħajja fuq l-art bikrija, l-esperiment Miller-Urey, sar fl-università. L-irqad REM ġie skopert fl-università fl-1953 minn Nathaniel Kleitman u Eugene Aserinsky.</v>
      </c>
    </row>
    <row r="9560" ht="15.75" customHeight="1">
      <c r="A9560" s="2" t="s">
        <v>9560</v>
      </c>
      <c r="B9560" s="2" t="str">
        <f>IFERROR(__xludf.DUMMYFUNCTION("GOOGLETRANSLATE(A9560, ""en"", ""mt"")"),"akkomodazzjoni bi prezz raġonevoli")</f>
        <v>akkomodazzjoni bi prezz raġonevoli</v>
      </c>
    </row>
    <row r="9561" ht="15.75" customHeight="1">
      <c r="A9561" s="2" t="s">
        <v>9561</v>
      </c>
      <c r="B9561" s="2" t="str">
        <f>IFERROR(__xludf.DUMMYFUNCTION("GOOGLETRANSLATE(A9561, ""en"", ""mt"")"),"determinat b'mod uniku")</f>
        <v>determinat b'mod uniku</v>
      </c>
    </row>
    <row r="9562" ht="15.75" customHeight="1">
      <c r="A9562" s="2" t="s">
        <v>9562</v>
      </c>
      <c r="B9562" s="2" t="str">
        <f>IFERROR(__xludf.DUMMYFUNCTION("GOOGLETRANSLATE(A9562, ""en"", ""mt"")"),"Kemm irġiel se jieħdu l-LM fuq il-wiċċ Lunar u jirritornaw lejn is-CSM?")</f>
        <v>Kemm irġiel se jieħdu l-LM fuq il-wiċċ Lunar u jirritornaw lejn is-CSM?</v>
      </c>
    </row>
    <row r="9563" ht="15.75" customHeight="1">
      <c r="A9563" s="2" t="s">
        <v>9563</v>
      </c>
      <c r="B9563" s="2" t="str">
        <f>IFERROR(__xludf.DUMMYFUNCTION("GOOGLETRANSLATE(A9563, ""en"", ""mt"")"),"Stockton u Darlington")</f>
        <v>Stockton u Darlington</v>
      </c>
    </row>
    <row r="9564" ht="15.75" customHeight="1">
      <c r="A9564" s="2" t="s">
        <v>9564</v>
      </c>
      <c r="B9564" s="2" t="str">
        <f>IFERROR(__xludf.DUMMYFUNCTION("GOOGLETRANSLATE(A9564, ""en"", ""mt"")"),"182 miljun tunnellata")</f>
        <v>182 miljun tunnellata</v>
      </c>
    </row>
    <row r="9565" ht="15.75" customHeight="1">
      <c r="A9565" s="2" t="s">
        <v>9565</v>
      </c>
      <c r="B9565" s="2" t="str">
        <f>IFERROR(__xludf.DUMMYFUNCTION("GOOGLETRANSLATE(A9565, ""en"", ""mt"")"),"Kemm timijiet lagħbu fis-Super Bowl tmien darbiet?")</f>
        <v>Kemm timijiet lagħbu fis-Super Bowl tmien darbiet?</v>
      </c>
    </row>
    <row r="9566" ht="15.75" customHeight="1">
      <c r="A9566" s="2" t="s">
        <v>9566</v>
      </c>
      <c r="B9566" s="2" t="str">
        <f>IFERROR(__xludf.DUMMYFUNCTION("GOOGLETRANSLATE(A9566, ""en"", ""mt"")"),"Liema kelma waħda uża l-Kummissarju tal-NFL biex jiddeskrivi dak li kien maħsub li jkun Super Bowl 50?")</f>
        <v>Liema kelma waħda uża l-Kummissarju tal-NFL biex jiddeskrivi dak li kien maħsub li jkun Super Bowl 50?</v>
      </c>
    </row>
    <row r="9567" ht="15.75" customHeight="1">
      <c r="A9567" s="2" t="s">
        <v>9567</v>
      </c>
      <c r="B9567" s="2" t="str">
        <f>IFERROR(__xludf.DUMMYFUNCTION("GOOGLETRANSLATE(A9567, ""en"", ""mt"")"),"parteċipanti ġodda")</f>
        <v>parteċipanti ġodda</v>
      </c>
    </row>
    <row r="9568" ht="15.75" customHeight="1">
      <c r="A9568" s="2" t="s">
        <v>9568</v>
      </c>
      <c r="B9568" s="2" t="str">
        <f>IFERROR(__xludf.DUMMYFUNCTION("GOOGLETRANSLATE(A9568, ""en"", ""mt"")"),"Meta nqatel Zia-ul-Haq?")</f>
        <v>Meta nqatel Zia-ul-Haq?</v>
      </c>
    </row>
    <row r="9569" ht="15.75" customHeight="1">
      <c r="A9569" s="2" t="s">
        <v>9569</v>
      </c>
      <c r="B9569" s="2" t="str">
        <f>IFERROR(__xludf.DUMMYFUNCTION("GOOGLETRANSLATE(A9569, ""en"", ""mt"")"),"Chris Keates, is-Segretarju Ġenerali tal-Assoċjazzjoni Nazzjonali tal-Unjoni tal-Iskejjel tal-Għalliema tan-Nisa, qal li l-għalliema li jagħmlu sess ma 'studenti' il-liġi li aħna mħassba dwarha. "" Dan wassal għal għajb mill-protezzjoni tat-tfal u gruppi "&amp;"tad-drittijiet tal-ġenituri. Il-biżgħat li jiġu ttikkettjati pedofili jew Hebephile wasslu għal diversi rġiel li jgawdu jgħallmu jevitaw il-professjoni. F’xi ġurisdizzjonijiet kien allegatament wassal għal nuqqas ta ’għalliema rġiel.")</f>
        <v>Chris Keates, is-Segretarju Ġenerali tal-Assoċjazzjoni Nazzjonali tal-Unjoni tal-Iskejjel tal-Għalliema tan-Nisa, qal li l-għalliema li jagħmlu sess ma 'studenti' il-liġi li aħna mħassba dwarha. " Dan wassal għal għajb mill-protezzjoni tat-tfal u gruppi tad-drittijiet tal-ġenituri. Il-biżgħat li jiġu ttikkettjati pedofili jew Hebephile wasslu għal diversi rġiel li jgawdu jgħallmu jevitaw il-professjoni. F’xi ġurisdizzjonijiet kien allegatament wassal għal nuqqas ta ’għalliema rġiel.</v>
      </c>
    </row>
    <row r="9570" ht="15.75" customHeight="1">
      <c r="A9570" s="2" t="s">
        <v>9570</v>
      </c>
      <c r="B9570" s="2" t="str">
        <f>IFERROR(__xludf.DUMMYFUNCTION("GOOGLETRANSLATE(A9570, ""en"", ""mt"")"),"kull stat")</f>
        <v>kull stat</v>
      </c>
    </row>
    <row r="9571" ht="15.75" customHeight="1">
      <c r="A9571" s="2" t="s">
        <v>9571</v>
      </c>
      <c r="B9571" s="2" t="str">
        <f>IFERROR(__xludf.DUMMYFUNCTION("GOOGLETRANSLATE(A9571, ""en"", ""mt"")"),"Mill-inqas 55 fil-mija tal-membri tal-kunsill (mhux voti) li jirrappreżentaw 65 fil-mija tal-popolazzjoni tal-UE")</f>
        <v>Mill-inqas 55 fil-mija tal-membri tal-kunsill (mhux voti) li jirrappreżentaw 65 fil-mija tal-popolazzjoni tal-UE</v>
      </c>
    </row>
    <row r="9572" ht="15.75" customHeight="1">
      <c r="A9572" s="2" t="s">
        <v>9572</v>
      </c>
      <c r="B9572" s="2" t="str">
        <f>IFERROR(__xludf.DUMMYFUNCTION("GOOGLETRANSLATE(A9572, ""en"", ""mt"")"),"Għaliex iseħħ livell aktar baxx ta 'tkabbir ekonomiku minħabba konsum high-end?")</f>
        <v>Għaliex iseħħ livell aktar baxx ta 'tkabbir ekonomiku minħabba konsum high-end?</v>
      </c>
    </row>
    <row r="9573" ht="15.75" customHeight="1">
      <c r="A9573" s="2" t="s">
        <v>9573</v>
      </c>
      <c r="B9573" s="2" t="str">
        <f>IFERROR(__xludf.DUMMYFUNCTION("GOOGLETRANSLATE(A9573, ""en"", ""mt"")"),"""Ħabi wara (jew 'tara minn wara') is-sufan""")</f>
        <v>"Ħabi wara (jew 'tara minn wara') is-sufan"</v>
      </c>
    </row>
    <row r="9574" ht="15.75" customHeight="1">
      <c r="A9574" s="2" t="s">
        <v>9574</v>
      </c>
      <c r="B9574" s="2" t="str">
        <f>IFERROR(__xludf.DUMMYFUNCTION("GOOGLETRANSLATE(A9574, ""en"", ""mt"")"),"Tnax-il djar residenzjali")</f>
        <v>Tnax-il djar residenzjali</v>
      </c>
    </row>
    <row r="9575" ht="15.75" customHeight="1">
      <c r="A9575" s="2" t="s">
        <v>9575</v>
      </c>
      <c r="B9575" s="2" t="str">
        <f>IFERROR(__xludf.DUMMYFUNCTION("GOOGLETRANSLATE(A9575, ""en"", ""mt"")"),"Il-bużba tal-metrika")</f>
        <v>Il-bużba tal-metrika</v>
      </c>
    </row>
    <row r="9576" ht="15.75" customHeight="1">
      <c r="A9576" s="2" t="s">
        <v>9576</v>
      </c>
      <c r="B9576" s="2" t="str">
        <f>IFERROR(__xludf.DUMMYFUNCTION("GOOGLETRANSLATE(A9576, ""en"", ""mt"")"),"Fejn kien Montcalm li jiffoka d-difiża għal Franza l-ġdida?")</f>
        <v>Fejn kien Montcalm li jiffoka d-difiża għal Franza l-ġdida?</v>
      </c>
    </row>
    <row r="9577" ht="15.75" customHeight="1">
      <c r="A9577" s="2" t="s">
        <v>9577</v>
      </c>
      <c r="B9577" s="2" t="str">
        <f>IFERROR(__xludf.DUMMYFUNCTION("GOOGLETRANSLATE(A9577, ""en"", ""mt"")"),"$ 38,000")</f>
        <v>$ 38,000</v>
      </c>
    </row>
    <row r="9578" ht="15.75" customHeight="1">
      <c r="A9578" s="2" t="s">
        <v>9578</v>
      </c>
      <c r="B9578" s="2" t="str">
        <f>IFERROR(__xludf.DUMMYFUNCTION("GOOGLETRANSLATE(A9578, ""en"", ""mt"")"),"Il-poeżija tiegħu hija meqjusa bħala l-ewwel tip ta ’x’tip ta’ protesta?")</f>
        <v>Il-poeżija tiegħu hija meqjusa bħala l-ewwel tip ta ’x’tip ta’ protesta?</v>
      </c>
    </row>
    <row r="9579" ht="15.75" customHeight="1">
      <c r="A9579" s="2" t="s">
        <v>9579</v>
      </c>
      <c r="B9579" s="2" t="str">
        <f>IFERROR(__xludf.DUMMYFUNCTION("GOOGLETRANSLATE(A9579, ""en"", ""mt"")"),"Deċiżjoni")</f>
        <v>Deċiżjoni</v>
      </c>
    </row>
    <row r="9580" ht="15.75" customHeight="1">
      <c r="A9580" s="2" t="s">
        <v>9580</v>
      </c>
      <c r="B9580" s="2" t="str">
        <f>IFERROR(__xludf.DUMMYFUNCTION("GOOGLETRANSLATE(A9580, ""en"", ""mt"")"),"interface standardizzata")</f>
        <v>interface standardizzata</v>
      </c>
    </row>
    <row r="9581" ht="15.75" customHeight="1">
      <c r="A9581" s="2" t="s">
        <v>9581</v>
      </c>
      <c r="B9581" s="2" t="str">
        <f>IFERROR(__xludf.DUMMYFUNCTION("GOOGLETRANSLATE(A9581, ""en"", ""mt"")"),"Norwood")</f>
        <v>Norwood</v>
      </c>
    </row>
    <row r="9582" ht="15.75" customHeight="1">
      <c r="A9582" s="2" t="s">
        <v>9582</v>
      </c>
      <c r="B9582" s="2" t="str">
        <f>IFERROR(__xludf.DUMMYFUNCTION("GOOGLETRANSLATE(A9582, ""en"", ""mt"")"),"Liema ferita tilfu l-Panthers ta 'Carolina Kelvin Benjamin matul il-preseason tagħhom?")</f>
        <v>Liema ferita tilfu l-Panthers ta 'Carolina Kelvin Benjamin matul il-preseason tagħhom?</v>
      </c>
    </row>
    <row r="9583" ht="15.75" customHeight="1">
      <c r="A9583" s="2" t="s">
        <v>9583</v>
      </c>
      <c r="B9583" s="2" t="str">
        <f>IFERROR(__xludf.DUMMYFUNCTION("GOOGLETRANSLATE(A9583, ""en"", ""mt"")"),"Liema park huwa d-dar għall-Mansion Kearney?")</f>
        <v>Liema park huwa d-dar għall-Mansion Kearney?</v>
      </c>
    </row>
    <row r="9584" ht="15.75" customHeight="1">
      <c r="A9584" s="2" t="s">
        <v>9584</v>
      </c>
      <c r="B9584" s="2" t="str">
        <f>IFERROR(__xludf.DUMMYFUNCTION("GOOGLETRANSLATE(A9584, ""en"", ""mt"")"),"Liema entità ġiet organizzata mill-ġdid it-televiżjoni mill-ġdid fl-2007?")</f>
        <v>Liema entità ġiet organizzata mill-ġdid it-televiżjoni mill-ġdid fl-2007?</v>
      </c>
    </row>
    <row r="9585" ht="15.75" customHeight="1">
      <c r="A9585" s="2" t="s">
        <v>9585</v>
      </c>
      <c r="B9585" s="2" t="str">
        <f>IFERROR(__xludf.DUMMYFUNCTION("GOOGLETRANSLATE(A9585, ""en"", ""mt"")"),"Bilanċ tal-partijiet")</f>
        <v>Bilanċ tal-partijiet</v>
      </c>
    </row>
    <row r="9586" ht="15.75" customHeight="1">
      <c r="A9586" s="2" t="s">
        <v>9586</v>
      </c>
      <c r="B9586" s="2" t="str">
        <f>IFERROR(__xludf.DUMMYFUNCTION("GOOGLETRANSLATE(A9586, ""en"", ""mt"")"),"Glaucofite")</f>
        <v>Glaucofite</v>
      </c>
    </row>
    <row r="9587" ht="15.75" customHeight="1">
      <c r="A9587" s="2" t="s">
        <v>9587</v>
      </c>
      <c r="B9587" s="2" t="str">
        <f>IFERROR(__xludf.DUMMYFUNCTION("GOOGLETRANSLATE(A9587, ""en"", ""mt"")"),"Min ħasbu l-bdiewa li Luther se jappoġġja attakk fuqu?")</f>
        <v>Min ħasbu l-bdiewa li Luther se jappoġġja attakk fuqu?</v>
      </c>
    </row>
    <row r="9588" ht="15.75" customHeight="1">
      <c r="A9588" s="2" t="s">
        <v>9588</v>
      </c>
      <c r="B9588" s="2" t="str">
        <f>IFERROR(__xludf.DUMMYFUNCTION("GOOGLETRANSLATE(A9588, ""en"", ""mt"")"),"Liema komunalità jagħmlu mudelli ta 'magni alternattivi, bħal magni ta' aċċess bl-addoċċ, jaqsmu ma 'magni tat-Turing?")</f>
        <v>Liema komunalità jagħmlu mudelli ta 'magni alternattivi, bħal magni ta' aċċess bl-addoċċ, jaqsmu ma 'magni tat-Turing?</v>
      </c>
    </row>
    <row r="9589" ht="15.75" customHeight="1">
      <c r="A9589" s="2" t="s">
        <v>9589</v>
      </c>
      <c r="B9589" s="2" t="str">
        <f>IFERROR(__xludf.DUMMYFUNCTION("GOOGLETRANSLATE(A9589, ""en"", ""mt"")"),"Nettunu u Triton")</f>
        <v>Nettunu u Triton</v>
      </c>
    </row>
    <row r="9590" ht="15.75" customHeight="1">
      <c r="A9590" s="2" t="s">
        <v>9590</v>
      </c>
      <c r="B9590" s="2" t="str">
        <f>IFERROR(__xludf.DUMMYFUNCTION("GOOGLETRANSLATE(A9590, ""en"", ""mt"")"),"Liema oġġetti fl-organiżmi jassorbu l-ossiġnu singlet biex jipprevjenu l-ħsara?")</f>
        <v>Liema oġġetti fl-organiżmi jassorbu l-ossiġnu singlet biex jipprevjenu l-ħsara?</v>
      </c>
    </row>
    <row r="9591" ht="15.75" customHeight="1">
      <c r="A9591" s="2" t="s">
        <v>9591</v>
      </c>
      <c r="B9591" s="2" t="str">
        <f>IFERROR(__xludf.DUMMYFUNCTION("GOOGLETRANSLATE(A9591, ""en"", ""mt"")"),"Kemm mir-residenti tal-belt ta 'Jacksonville huma iżgħar minn 18?")</f>
        <v>Kemm mir-residenti tal-belt ta 'Jacksonville huma iżgħar minn 18?</v>
      </c>
    </row>
    <row r="9592" ht="15.75" customHeight="1">
      <c r="A9592" s="2" t="s">
        <v>9592</v>
      </c>
      <c r="B9592" s="2" t="str">
        <f>IFERROR(__xludf.DUMMYFUNCTION("GOOGLETRANSLATE(A9592, ""en"", ""mt"")"),"X’kanta Lady Gaga?")</f>
        <v>X’kanta Lady Gaga?</v>
      </c>
    </row>
    <row r="9593" ht="15.75" customHeight="1">
      <c r="A9593" s="2" t="s">
        <v>9593</v>
      </c>
      <c r="B9593" s="2" t="str">
        <f>IFERROR(__xludf.DUMMYFUNCTION("GOOGLETRANSLATE(A9593, ""en"", ""mt"")"),"$ 414 miljun")</f>
        <v>$ 414 miljun</v>
      </c>
    </row>
    <row r="9594" ht="15.75" customHeight="1">
      <c r="A9594" s="2" t="s">
        <v>9594</v>
      </c>
      <c r="B9594" s="2" t="str">
        <f>IFERROR(__xludf.DUMMYFUNCTION("GOOGLETRANSLATE(A9594, ""en"", ""mt"")"),"Ċrieki li jaqsmu l-plastidi")</f>
        <v>Ċrieki li jaqsmu l-plastidi</v>
      </c>
    </row>
    <row r="9595" ht="15.75" customHeight="1">
      <c r="A9595" s="2" t="s">
        <v>9595</v>
      </c>
      <c r="B9595" s="2" t="str">
        <f>IFERROR(__xludf.DUMMYFUNCTION("GOOGLETRANSLATE(A9595, ""en"", ""mt"")"),"tliet ikliet kuljum")</f>
        <v>tliet ikliet kuljum</v>
      </c>
    </row>
    <row r="9596" ht="15.75" customHeight="1">
      <c r="A9596" s="2" t="s">
        <v>9596</v>
      </c>
      <c r="B9596" s="2" t="str">
        <f>IFERROR(__xludf.DUMMYFUNCTION("GOOGLETRANSLATE(A9596, ""en"", ""mt"")"),"Minħabba t-twemmin tagħhom fil-validità tal-kuntratt soċjali")</f>
        <v>Minħabba t-twemmin tagħhom fil-validità tal-kuntratt soċjali</v>
      </c>
    </row>
    <row r="9597" ht="15.75" customHeight="1">
      <c r="A9597" s="2" t="s">
        <v>9597</v>
      </c>
      <c r="B9597" s="2" t="str">
        <f>IFERROR(__xludf.DUMMYFUNCTION("GOOGLETRANSLATE(A9597, ""en"", ""mt"")"),"L-ebda soluzzjoni magħrufa fil-ħin polinomjali")</f>
        <v>L-ebda soluzzjoni magħrufa fil-ħin polinomjali</v>
      </c>
    </row>
    <row r="9598" ht="15.75" customHeight="1">
      <c r="A9598" s="2" t="s">
        <v>9598</v>
      </c>
      <c r="B9598" s="2" t="str">
        <f>IFERROR(__xludf.DUMMYFUNCTION("GOOGLETRANSLATE(A9598, ""en"", ""mt"")"),"Evils bħala ġenoċidju, soppressjoni brutali tad-drittijiet tal-bniedem, u aggressjoni internazzjonali mhux provokata")</f>
        <v>Evils bħala ġenoċidju, soppressjoni brutali tad-drittijiet tal-bniedem, u aggressjoni internazzjonali mhux provokata</v>
      </c>
    </row>
    <row r="9599" ht="15.75" customHeight="1">
      <c r="A9599" s="2" t="s">
        <v>9599</v>
      </c>
      <c r="B9599" s="2" t="str">
        <f>IFERROR(__xludf.DUMMYFUNCTION("GOOGLETRANSLATE(A9599, ""en"", ""mt"")"),"iddeterjorat")</f>
        <v>iddeterjorat</v>
      </c>
    </row>
    <row r="9600" ht="15.75" customHeight="1">
      <c r="A9600" s="2" t="s">
        <v>9600</v>
      </c>
      <c r="B9600" s="2" t="str">
        <f>IFERROR(__xludf.DUMMYFUNCTION("GOOGLETRANSLATE(A9600, ""en"", ""mt"")"),"Afrikani-Amerikani")</f>
        <v>Afrikani-Amerikani</v>
      </c>
    </row>
    <row r="9601" ht="15.75" customHeight="1">
      <c r="A9601" s="2" t="s">
        <v>9601</v>
      </c>
      <c r="B9601" s="2" t="str">
        <f>IFERROR(__xludf.DUMMYFUNCTION("GOOGLETRANSLATE(A9601, ""en"", ""mt"")"),"Biex tikkalkula l-aċċellerazzjoni angolari immedjata ta 'korp riġidu x'għandek tuża?")</f>
        <v>Biex tikkalkula l-aċċellerazzjoni angolari immedjata ta 'korp riġidu x'għandek tuża?</v>
      </c>
    </row>
    <row r="9602" ht="15.75" customHeight="1">
      <c r="A9602" s="2" t="s">
        <v>9602</v>
      </c>
      <c r="B9602" s="2" t="str">
        <f>IFERROR(__xludf.DUMMYFUNCTION("GOOGLETRANSLATE(A9602, ""en"", ""mt"")"),"DeMarcus Ware")</f>
        <v>DeMarcus Ware</v>
      </c>
    </row>
    <row r="9603" ht="15.75" customHeight="1">
      <c r="A9603" s="2" t="s">
        <v>9603</v>
      </c>
      <c r="B9603" s="2" t="str">
        <f>IFERROR(__xludf.DUMMYFUNCTION("GOOGLETRANSLATE(A9603, ""en"", ""mt"")"),"Kungress ta 'Albany")</f>
        <v>Kungress ta 'Albany</v>
      </c>
    </row>
    <row r="9604" ht="15.75" customHeight="1">
      <c r="A9604" s="2" t="s">
        <v>9604</v>
      </c>
      <c r="B9604" s="2" t="str">
        <f>IFERROR(__xludf.DUMMYFUNCTION("GOOGLETRANSLATE(A9604, ""en"", ""mt"")"),"il-bajda ta 'Columbus")</f>
        <v>il-bajda ta 'Columbus</v>
      </c>
    </row>
    <row r="9605" ht="15.75" customHeight="1">
      <c r="A9605" s="2" t="s">
        <v>9605</v>
      </c>
      <c r="B9605" s="2" t="str">
        <f>IFERROR(__xludf.DUMMYFUNCTION("GOOGLETRANSLATE(A9605, ""en"", ""mt"")"),"22 ta ’Ġunju 1857")</f>
        <v>22 ta ’Ġunju 1857</v>
      </c>
    </row>
    <row r="9606" ht="15.75" customHeight="1">
      <c r="A9606" s="2" t="s">
        <v>9606</v>
      </c>
      <c r="B9606" s="2" t="str">
        <f>IFERROR(__xludf.DUMMYFUNCTION("GOOGLETRANSLATE(A9606, ""en"", ""mt"")"),"Liema storiċi tad-dinastiji ġew dokumentati uffiċjalment matul ir-renju ta 'Toghun?")</f>
        <v>Liema storiċi tad-dinastiji ġew dokumentati uffiċjalment matul ir-renju ta 'Toghun?</v>
      </c>
    </row>
    <row r="9607" ht="15.75" customHeight="1">
      <c r="A9607" s="2" t="s">
        <v>9607</v>
      </c>
      <c r="B9607" s="2" t="str">
        <f>IFERROR(__xludf.DUMMYFUNCTION("GOOGLETRANSLATE(A9607, ""en"", ""mt"")"),"X'inhu t-tip tat-temp ta 'Mallee u Upper Wimmera?")</f>
        <v>X'inhu t-tip tat-temp ta 'Mallee u Upper Wimmera?</v>
      </c>
    </row>
    <row r="9608" ht="15.75" customHeight="1">
      <c r="A9608" s="2" t="s">
        <v>9608</v>
      </c>
      <c r="B9608" s="2" t="str">
        <f>IFERROR(__xludf.DUMMYFUNCTION("GOOGLETRANSLATE(A9608, ""en"", ""mt"")"),"Aktar mill-logħba bi 23 sena, ir-Regatta Harvard-Yale kienet is-sors oriġinali tar-rivalità atletika bejn iż-żewġ skejjel. Dan isir kull sena f'Ġunju fuq ix-Xmara Thames fil-Lvant tal-Connecticut. L-ekwipaġġ ta 'Harvard huwa tipikament meqjus bħala wieħed"&amp;" mill-aqwa timijiet fil-pajjiż fil-qdif. Illum, Harvard Fields l-aqwa timijiet f’diversi sports oħra, bħat-tim tal-hockey tas-silġ tal-irġiel ta ’Harvard Crimson (b’rivalità qawwija kontra Cornell), Squash, u anke riċentement rebħu titli tal-NCAA fil-fjur"&amp;"etti tal-irġiel u tan-nisa. Harvard rebaħ ukoll il-Kampjonati Nazzjonali tal-Assoċjazzjoni Intercollegiate Association fl-2003.")</f>
        <v>Aktar mill-logħba bi 23 sena, ir-Regatta Harvard-Yale kienet is-sors oriġinali tar-rivalità atletika bejn iż-żewġ skejjel. Dan isir kull sena f'Ġunju fuq ix-Xmara Thames fil-Lvant tal-Connecticut. L-ekwipaġġ ta 'Harvard huwa tipikament meqjus bħala wieħed mill-aqwa timijiet fil-pajjiż fil-qdif. Illum, Harvard Fields l-aqwa timijiet f’diversi sports oħra, bħat-tim tal-hockey tas-silġ tal-irġiel ta ’Harvard Crimson (b’rivalità qawwija kontra Cornell), Squash, u anke riċentement rebħu titli tal-NCAA fil-fjuretti tal-irġiel u tan-nisa. Harvard rebaħ ukoll il-Kampjonati Nazzjonali tal-Assoċjazzjoni Intercollegiate Association fl-2003.</v>
      </c>
    </row>
    <row r="9609" ht="15.75" customHeight="1">
      <c r="A9609" s="2" t="s">
        <v>9609</v>
      </c>
      <c r="B9609" s="2" t="str">
        <f>IFERROR(__xludf.DUMMYFUNCTION("GOOGLETRANSLATE(A9609, ""en"", ""mt"")"),"""Belt Ġdida Bold tan-Nofsinhar""")</f>
        <v>"Belt Ġdida Bold tan-Nofsinhar"</v>
      </c>
    </row>
    <row r="9610" ht="15.75" customHeight="1">
      <c r="A9610" s="2" t="s">
        <v>9610</v>
      </c>
      <c r="B9610" s="2" t="str">
        <f>IFERROR(__xludf.DUMMYFUNCTION("GOOGLETRANSLATE(A9610, ""en"", ""mt"")"),"Syrenka")</f>
        <v>Syrenka</v>
      </c>
    </row>
    <row r="9611" ht="15.75" customHeight="1">
      <c r="A9611" s="2" t="s">
        <v>9611</v>
      </c>
      <c r="B9611" s="2" t="str">
        <f>IFERROR(__xludf.DUMMYFUNCTION("GOOGLETRANSLATE(A9611, ""en"", ""mt"")"),"nofs is-seklu 20")</f>
        <v>nofs is-seklu 20</v>
      </c>
    </row>
    <row r="9612" ht="15.75" customHeight="1">
      <c r="A9612" s="2" t="s">
        <v>9612</v>
      </c>
      <c r="B9612" s="2" t="str">
        <f>IFERROR(__xludf.DUMMYFUNCTION("GOOGLETRANSLATE(A9612, ""en"", ""mt"")"),"konsum tal-fjuwil, produzzjoni industrijali u l-bqija")</f>
        <v>konsum tal-fjuwil, produzzjoni industrijali u l-bqija</v>
      </c>
    </row>
    <row r="9613" ht="15.75" customHeight="1">
      <c r="A9613" s="2" t="s">
        <v>9613</v>
      </c>
      <c r="B9613" s="2" t="str">
        <f>IFERROR(__xludf.DUMMYFUNCTION("GOOGLETRANSLATE(A9613, ""en"", ""mt"")"),"Ma 'liema projettili oħra qabbel Tesla l-partiċelli elettriċi?")</f>
        <v>Ma 'liema projettili oħra qabbel Tesla l-partiċelli elettriċi?</v>
      </c>
    </row>
    <row r="9614" ht="15.75" customHeight="1">
      <c r="A9614" s="2" t="s">
        <v>9614</v>
      </c>
      <c r="B9614" s="2" t="str">
        <f>IFERROR(__xludf.DUMMYFUNCTION("GOOGLETRANSLATE(A9614, ""en"", ""mt"")"),"Disney - ABC Televiżjoni Domestika")</f>
        <v>Disney - ABC Televiżjoni Domestika</v>
      </c>
    </row>
    <row r="9615" ht="15.75" customHeight="1">
      <c r="A9615" s="2" t="s">
        <v>9615</v>
      </c>
      <c r="B9615" s="2" t="str">
        <f>IFERROR(__xludf.DUMMYFUNCTION("GOOGLETRANSLATE(A9615, ""en"", ""mt"")"),"Ir-Renju Unit u Franza kellhom interruzzjonijiet mhux fil-provvista taż-żejt tagħhom peress li ma ħallewx liema pajjiż jużaw il-mitjar tagħhom?")</f>
        <v>Ir-Renju Unit u Franza kellhom interruzzjonijiet mhux fil-provvista taż-żejt tagħhom peress li ma ħallewx liema pajjiż jużaw il-mitjar tagħhom?</v>
      </c>
    </row>
    <row r="9616" ht="15.75" customHeight="1">
      <c r="A9616" s="2" t="s">
        <v>9616</v>
      </c>
      <c r="B9616" s="2" t="str">
        <f>IFERROR(__xludf.DUMMYFUNCTION("GOOGLETRANSLATE(A9616, ""en"", ""mt"")"),"Fondazzjoni elettronika tal-fruntiera")</f>
        <v>Fondazzjoni elettronika tal-fruntiera</v>
      </c>
    </row>
    <row r="9617" ht="15.75" customHeight="1">
      <c r="A9617" s="2" t="s">
        <v>9617</v>
      </c>
      <c r="B9617" s="2" t="str">
        <f>IFERROR(__xludf.DUMMYFUNCTION("GOOGLETRANSLATE(A9617, ""en"", ""mt"")"),"X'kienu ż-żewġ forom ta 'determiniżmu ambjentali?")</f>
        <v>X'kienu ż-żewġ forom ta 'determiniżmu ambjentali?</v>
      </c>
    </row>
    <row r="9618" ht="15.75" customHeight="1">
      <c r="A9618" s="2" t="s">
        <v>9618</v>
      </c>
      <c r="B9618" s="2" t="str">
        <f>IFERROR(__xludf.DUMMYFUNCTION("GOOGLETRANSLATE(A9618, ""en"", ""mt"")"),"Dipartiment tal-Istat")</f>
        <v>Dipartiment tal-Istat</v>
      </c>
    </row>
    <row r="9619" ht="15.75" customHeight="1">
      <c r="A9619" s="2" t="s">
        <v>9619</v>
      </c>
      <c r="B9619" s="2" t="str">
        <f>IFERROR(__xludf.DUMMYFUNCTION("GOOGLETRANSLATE(A9619, ""en"", ""mt"")"),"is-seba '")</f>
        <v>is-seba '</v>
      </c>
    </row>
    <row r="9620" ht="15.75" customHeight="1">
      <c r="A9620" s="2" t="s">
        <v>9620</v>
      </c>
      <c r="B9620" s="2" t="str">
        <f>IFERROR(__xludf.DUMMYFUNCTION("GOOGLETRANSLATE(A9620, ""en"", ""mt"")"),"Għalliema reliġjużi u spiritwali")</f>
        <v>Għalliema reliġjużi u spiritwali</v>
      </c>
    </row>
    <row r="9621" ht="15.75" customHeight="1">
      <c r="A9621" s="2" t="s">
        <v>9621</v>
      </c>
      <c r="B9621" s="2" t="str">
        <f>IFERROR(__xludf.DUMMYFUNCTION("GOOGLETRANSLATE(A9621, ""en"", ""mt"")"),"Matul is-sekli 14 sa 17")</f>
        <v>Matul is-sekli 14 sa 17</v>
      </c>
    </row>
    <row r="9622" ht="15.75" customHeight="1">
      <c r="A9622" s="2" t="s">
        <v>9622</v>
      </c>
      <c r="B9622" s="2" t="str">
        <f>IFERROR(__xludf.DUMMYFUNCTION("GOOGLETRANSLATE(A9622, ""en"", ""mt"")"),"30 ta 'Ġunju, 1951")</f>
        <v>30 ta 'Ġunju, 1951</v>
      </c>
    </row>
    <row r="9623" ht="15.75" customHeight="1">
      <c r="A9623" s="2" t="s">
        <v>9623</v>
      </c>
      <c r="B9623" s="2" t="str">
        <f>IFERROR(__xludf.DUMMYFUNCTION("GOOGLETRANSLATE(A9623, ""en"", ""mt"")"),"Min imexxi l-Università ta 'Chicago?")</f>
        <v>Min imexxi l-Università ta 'Chicago?</v>
      </c>
    </row>
    <row r="9624" ht="15.75" customHeight="1">
      <c r="A9624" s="2" t="s">
        <v>9624</v>
      </c>
      <c r="B9624" s="2" t="str">
        <f>IFERROR(__xludf.DUMMYFUNCTION("GOOGLETRANSLATE(A9624, ""en"", ""mt"")"),"X'inhuma t-tliet subsetturi tal-kostruzzjoni?")</f>
        <v>X'inhuma t-tliet subsetturi tal-kostruzzjoni?</v>
      </c>
    </row>
    <row r="9625" ht="15.75" customHeight="1">
      <c r="A9625" s="2" t="s">
        <v>9625</v>
      </c>
      <c r="B9625" s="2" t="str">
        <f>IFERROR(__xludf.DUMMYFUNCTION("GOOGLETRANSLATE(A9625, ""en"", ""mt"")"),"Imla l-ispazji vojta fuq mapep kontemporanji")</f>
        <v>Imla l-ispazji vojta fuq mapep kontemporanji</v>
      </c>
    </row>
    <row r="9626" ht="15.75" customHeight="1">
      <c r="A9626" s="2" t="s">
        <v>9626</v>
      </c>
      <c r="B9626" s="2" t="str">
        <f>IFERROR(__xludf.DUMMYFUNCTION("GOOGLETRANSLATE(A9626, ""en"", ""mt"")"),"fehim aħjar tal-istruttura tal-kmand mau mau")</f>
        <v>fehim aħjar tal-istruttura tal-kmand mau mau</v>
      </c>
    </row>
    <row r="9627" ht="15.75" customHeight="1">
      <c r="A9627" s="2" t="s">
        <v>9627</v>
      </c>
      <c r="B9627" s="2" t="str">
        <f>IFERROR(__xludf.DUMMYFUNCTION("GOOGLETRANSLATE(A9627, ""en"", ""mt"")"),"Għibien ta 'alleat qawwi u kontrapiż għall-espansjoni Ingliża, li twassal għad-disponiment aħħari tagħhom")</f>
        <v>Għibien ta 'alleat qawwi u kontrapiż għall-espansjoni Ingliża, li twassal għad-disponiment aħħari tagħhom</v>
      </c>
    </row>
    <row r="9628" ht="15.75" customHeight="1">
      <c r="A9628" s="2" t="s">
        <v>9628</v>
      </c>
      <c r="B9628" s="2" t="str">
        <f>IFERROR(__xludf.DUMMYFUNCTION("GOOGLETRANSLATE(A9628, ""en"", ""mt"")"),"il-kloroplast tagħha")</f>
        <v>il-kloroplast tagħha</v>
      </c>
    </row>
    <row r="9629" ht="15.75" customHeight="1">
      <c r="A9629" s="2" t="s">
        <v>9629</v>
      </c>
      <c r="B9629" s="2" t="str">
        <f>IFERROR(__xludf.DUMMYFUNCTION("GOOGLETRANSLATE(A9629, ""en"", ""mt"")"),"Id-dar tal-familja merkantili ta 'Baryczko hija eżempju notevoli ta' liema tip ta 'arkitettura?")</f>
        <v>Id-dar tal-familja merkantili ta 'Baryczko hija eżempju notevoli ta' liema tip ta 'arkitettura?</v>
      </c>
    </row>
    <row r="9630" ht="15.75" customHeight="1">
      <c r="A9630" s="2" t="s">
        <v>9630</v>
      </c>
      <c r="B9630" s="2" t="str">
        <f>IFERROR(__xludf.DUMMYFUNCTION("GOOGLETRANSLATE(A9630, ""en"", ""mt"")"),"Liema programmi jixxandru minn The Times Square Studios għal ABC?")</f>
        <v>Liema programmi jixxandru minn The Times Square Studios għal ABC?</v>
      </c>
    </row>
    <row r="9631" ht="15.75" customHeight="1">
      <c r="A9631" s="2" t="s">
        <v>9631</v>
      </c>
      <c r="B9631" s="2" t="str">
        <f>IFERROR(__xludf.DUMMYFUNCTION("GOOGLETRANSLATE(A9631, ""en"", ""mt"")"),"Seklu 11")</f>
        <v>Seklu 11</v>
      </c>
    </row>
    <row r="9632" ht="15.75" customHeight="1">
      <c r="A9632" s="2" t="s">
        <v>9632</v>
      </c>
      <c r="B9632" s="2" t="str">
        <f>IFERROR(__xludf.DUMMYFUNCTION("GOOGLETRANSLATE(A9632, ""en"", ""mt"")"),"Għarab")</f>
        <v>Għarab</v>
      </c>
    </row>
    <row r="9633" ht="15.75" customHeight="1">
      <c r="A9633" s="2" t="s">
        <v>9633</v>
      </c>
      <c r="B9633" s="2" t="str">
        <f>IFERROR(__xludf.DUMMYFUNCTION("GOOGLETRANSLATE(A9633, ""en"", ""mt"")"),"Fejn jinstab l-ossiġnu ħieles?")</f>
        <v>Fejn jinstab l-ossiġnu ħieles?</v>
      </c>
    </row>
    <row r="9634" ht="15.75" customHeight="1">
      <c r="A9634" s="2" t="s">
        <v>9634</v>
      </c>
      <c r="B9634" s="2" t="str">
        <f>IFERROR(__xludf.DUMMYFUNCTION("GOOGLETRANSLATE(A9634, ""en"", ""mt"")"),"Savanna semi-arida fit-Tramuntana u l-Lvant")</f>
        <v>Savanna semi-arida fit-Tramuntana u l-Lvant</v>
      </c>
    </row>
    <row r="9635" ht="15.75" customHeight="1">
      <c r="A9635" s="2" t="s">
        <v>9635</v>
      </c>
      <c r="B9635" s="2" t="str">
        <f>IFERROR(__xludf.DUMMYFUNCTION("GOOGLETRANSLATE(A9635, ""en"", ""mt"")"),"Han Ċiniż")</f>
        <v>Han Ċiniż</v>
      </c>
    </row>
    <row r="9636" ht="15.75" customHeight="1">
      <c r="A9636" s="2" t="s">
        <v>9636</v>
      </c>
      <c r="B9636" s="2" t="str">
        <f>IFERROR(__xludf.DUMMYFUNCTION("GOOGLETRANSLATE(A9636, ""en"", ""mt"")"),"Luther x’sejjaħ lill-bdiewa li jduru?")</f>
        <v>Luther x’sejjaħ lill-bdiewa li jduru?</v>
      </c>
    </row>
    <row r="9637" ht="15.75" customHeight="1">
      <c r="A9637" s="2" t="s">
        <v>9637</v>
      </c>
      <c r="B9637" s="2" t="str">
        <f>IFERROR(__xludf.DUMMYFUNCTION("GOOGLETRANSLATE(A9637, ""en"", ""mt"")"),"Gandhi")</f>
        <v>Gandhi</v>
      </c>
    </row>
    <row r="9638" ht="15.75" customHeight="1">
      <c r="A9638" s="2" t="s">
        <v>9638</v>
      </c>
      <c r="B9638" s="2" t="str">
        <f>IFERROR(__xludf.DUMMYFUNCTION("GOOGLETRANSLATE(A9638, ""en"", ""mt"")"),"L-Għaxar Kmandamenti, u l-bidu tal-ħajja mġedda ta 'Kristjani mogħtija lilhom mis-Sagrament tal-Magħmudija, huma previżjoni preżenti tal-ħajja futura ta' l-anġlu li jemmnu fil-Ġenna fil-qalba ta 'din il-ħajja. It-tagħlim ta 'Luther ta' l-Għaxar Kmandament"&amp;"i, għalhekk, għandu żvantaġġi eskatoloġiċi ċari, li, b'mod karatteristiku għal Luther, ma jħeġġux it-titjira dinjija iżda jidderieġi lill-Kristjan lejn is-servizz lill-proxxmu fil-vokazzjonijiet komuni u ta 'kuljum ta' din id-dinja li qed jitħassru.")</f>
        <v>L-Għaxar Kmandamenti, u l-bidu tal-ħajja mġedda ta 'Kristjani mogħtija lilhom mis-Sagrament tal-Magħmudija, huma previżjoni preżenti tal-ħajja futura ta' l-anġlu li jemmnu fil-Ġenna fil-qalba ta 'din il-ħajja. It-tagħlim ta 'Luther ta' l-Għaxar Kmandamenti, għalhekk, għandu żvantaġġi eskatoloġiċi ċari, li, b'mod karatteristiku għal Luther, ma jħeġġux it-titjira dinjija iżda jidderieġi lill-Kristjan lejn is-servizz lill-proxxmu fil-vokazzjonijiet komuni u ta 'kuljum ta' din id-dinja li qed jitħassru.</v>
      </c>
    </row>
    <row r="9639" ht="15.75" customHeight="1">
      <c r="A9639" s="2" t="s">
        <v>9639</v>
      </c>
      <c r="B9639" s="2" t="str">
        <f>IFERROR(__xludf.DUMMYFUNCTION("GOOGLETRANSLATE(A9639, ""en"", ""mt"")"),"Belt Ġdida Bold tan-Nofsinhar")</f>
        <v>Belt Ġdida Bold tan-Nofsinhar</v>
      </c>
    </row>
    <row r="9640" ht="15.75" customHeight="1">
      <c r="A9640" s="2" t="s">
        <v>9640</v>
      </c>
      <c r="B9640" s="2" t="str">
        <f>IFERROR(__xludf.DUMMYFUNCTION("GOOGLETRANSLATE(A9640, ""en"", ""mt"")"),"Qawmien mill-ġdid")</f>
        <v>Qawmien mill-ġdid</v>
      </c>
    </row>
    <row r="9641" ht="15.75" customHeight="1">
      <c r="A9641" s="2" t="s">
        <v>9641</v>
      </c>
      <c r="B9641" s="2" t="str">
        <f>IFERROR(__xludf.DUMMYFUNCTION("GOOGLETRANSLATE(A9641, ""en"", ""mt"")"),"Jaqbad tliet negozjanti u joqtol 14-il persuna tan-nazzjon ta 'Miami, inkluż il-Brittaniku l-Qadim")</f>
        <v>Jaqbad tliet negozjanti u joqtol 14-il persuna tan-nazzjon ta 'Miami, inkluż il-Brittaniku l-Qadim</v>
      </c>
    </row>
    <row r="9642" ht="15.75" customHeight="1">
      <c r="A9642" s="2" t="s">
        <v>9642</v>
      </c>
      <c r="B9642" s="2" t="str">
        <f>IFERROR(__xludf.DUMMYFUNCTION("GOOGLETRANSLATE(A9642, ""en"", ""mt"")"),"Netwerk Blu NBC")</f>
        <v>Netwerk Blu NBC</v>
      </c>
    </row>
    <row r="9643" ht="15.75" customHeight="1">
      <c r="A9643" s="2" t="s">
        <v>9643</v>
      </c>
      <c r="B9643" s="2" t="str">
        <f>IFERROR(__xludf.DUMMYFUNCTION("GOOGLETRANSLATE(A9643, ""en"", ""mt"")"),"X'inhu l-laqam għal-logo ta 'ABC mill-kampanja 2000?")</f>
        <v>X'inhu l-laqam għal-logo ta 'ABC mill-kampanja 2000?</v>
      </c>
    </row>
    <row r="9644" ht="15.75" customHeight="1">
      <c r="A9644" s="2" t="s">
        <v>9644</v>
      </c>
      <c r="B9644" s="2" t="str">
        <f>IFERROR(__xludf.DUMMYFUNCTION("GOOGLETRANSLATE(A9644, ""en"", ""mt"")"),"L-Interpretazzjoni tal-Għarabja")</f>
        <v>L-Interpretazzjoni tal-Għarabja</v>
      </c>
    </row>
    <row r="9645" ht="15.75" customHeight="1">
      <c r="A9645" s="2" t="s">
        <v>9645</v>
      </c>
      <c r="B9645" s="2" t="str">
        <f>IFERROR(__xludf.DUMMYFUNCTION("GOOGLETRANSLATE(A9645, ""en"", ""mt"")"),"analogu u numeriku")</f>
        <v>analogu u numeriku</v>
      </c>
    </row>
    <row r="9646" ht="15.75" customHeight="1">
      <c r="A9646" s="2" t="s">
        <v>9646</v>
      </c>
      <c r="B9646" s="2" t="str">
        <f>IFERROR(__xludf.DUMMYFUNCTION("GOOGLETRANSLATE(A9646, ""en"", ""mt"")"),"Il-kavità interna tifforma: ħalq li normalment jista 'jingħalaq mill-muskoli; farinġi (""gerżuma""); żona usa 'fiċ-ċentru li taġixxi bħala stonku; u sistema ta 'kanali interni. Dawn il-fergħa permezz tal-mesoglea għall-iktar partijiet attivi tal-annimal: "&amp;"il-ħalq u l-farinġi; l-għeruq tat-tentakli, jekk preżenti; tul in-naħa ta ’taħt kollha ta’ kull ringiela tal-moxt; u erba 'fergħat madwar il-kumpless sensorju fit-tarf' il bogħod mill-ħalq - tnejn minn dawn l-erba 'fergħat jintemmu fil-pori anali. Il-wiċċ"&amp;" ta 'ġewwa tal-kavità huwa miksi b'epitelju, il-gastrodermis. Il-ħalq u l-farinġi għandhom kemm ċili kif ukoll muskoli żviluppati sew. F'partijiet oħra tas-sistema tal-kanal, il-gastrodermis hija differenti fuq il-ġnub l-iktar viċin u l-iktar 'il bogħod m"&amp;"ill-organu li tipprovdi. In-naħa l-aktar viċin hija magħmula minn ċelloli nutrittivi għoljin li jaħżnu nutrijenti fil-vakuoles (kompartimenti interni), ċelloli ġerminali li jipproduċu bajd jew sperma, u fotokiti li jipproduċu bioluminesċenza. Il-ġenb l-ik"&amp;"tar 'il bogħod mill-organu huwa mgħotti b'ċelloli ċiljati li jiċċirkolaw l-ilma minn ġol-kanali, imqabbda minn rosettes ciliary, pori li huma mdawra minn whorls doppji ta' cilia u jgħaqqdu mal-mesoglea.")</f>
        <v>Il-kavità interna tifforma: ħalq li normalment jista 'jingħalaq mill-muskoli; farinġi ("gerżuma"); żona usa 'fiċ-ċentru li taġixxi bħala stonku; u sistema ta 'kanali interni. Dawn il-fergħa permezz tal-mesoglea għall-iktar partijiet attivi tal-annimal: il-ħalq u l-farinġi; l-għeruq tat-tentakli, jekk preżenti; tul in-naħa ta ’taħt kollha ta’ kull ringiela tal-moxt; u erba 'fergħat madwar il-kumpless sensorju fit-tarf' il bogħod mill-ħalq - tnejn minn dawn l-erba 'fergħat jintemmu fil-pori anali. Il-wiċċ ta 'ġewwa tal-kavità huwa miksi b'epitelju, il-gastrodermis. Il-ħalq u l-farinġi għandhom kemm ċili kif ukoll muskoli żviluppati sew. F'partijiet oħra tas-sistema tal-kanal, il-gastrodermis hija differenti fuq il-ġnub l-iktar viċin u l-iktar 'il bogħod mill-organu li tipprovdi. In-naħa l-aktar viċin hija magħmula minn ċelloli nutrittivi għoljin li jaħżnu nutrijenti fil-vakuoles (kompartimenti interni), ċelloli ġerminali li jipproduċu bajd jew sperma, u fotokiti li jipproduċu bioluminesċenza. Il-ġenb l-iktar 'il bogħod mill-organu huwa mgħotti b'ċelloli ċiljati li jiċċirkolaw l-ilma minn ġol-kanali, imqabbda minn rosettes ciliary, pori li huma mdawra minn whorls doppji ta' cilia u jgħaqqdu mal-mesoglea.</v>
      </c>
    </row>
    <row r="9647" ht="15.75" customHeight="1">
      <c r="A9647" s="2" t="s">
        <v>9647</v>
      </c>
      <c r="B9647" s="2" t="str">
        <f>IFERROR(__xludf.DUMMYFUNCTION("GOOGLETRANSLATE(A9647, ""en"", ""mt"")"),"Raoul Pierre Pictet")</f>
        <v>Raoul Pierre Pictet</v>
      </c>
    </row>
    <row r="9648" ht="15.75" customHeight="1">
      <c r="A9648" s="2" t="s">
        <v>9648</v>
      </c>
      <c r="B9648" s="2" t="str">
        <f>IFERROR(__xludf.DUMMYFUNCTION("GOOGLETRANSLATE(A9648, ""en"", ""mt"")"),"Reyners vs il-Belġju")</f>
        <v>Reyners vs il-Belġju</v>
      </c>
    </row>
    <row r="9649" ht="15.75" customHeight="1">
      <c r="A9649" s="2" t="s">
        <v>9649</v>
      </c>
      <c r="B9649" s="2" t="str">
        <f>IFERROR(__xludf.DUMMYFUNCTION("GOOGLETRANSLATE(A9649, ""en"", ""mt"")"),"Le Grand jiddikjara li l-istudenti li jistudjaw id-diżubbidjenza ċivili ħafna drabi jidħlu f'niċetti grammatikali u liema problema oħra?")</f>
        <v>Le Grand jiddikjara li l-istudenti li jistudjaw id-diżubbidjenza ċivili ħafna drabi jidħlu f'niċetti grammatikali u liema problema oħra?</v>
      </c>
    </row>
    <row r="9650" ht="15.75" customHeight="1">
      <c r="A9650" s="2" t="s">
        <v>9650</v>
      </c>
      <c r="B9650" s="2" t="str">
        <f>IFERROR(__xludf.DUMMYFUNCTION("GOOGLETRANSLATE(A9650, ""en"", ""mt"")"),"Charles Porter")</f>
        <v>Charles Porter</v>
      </c>
    </row>
    <row r="9651" ht="15.75" customHeight="1">
      <c r="A9651" s="2" t="s">
        <v>9651</v>
      </c>
      <c r="B9651" s="2" t="str">
        <f>IFERROR(__xludf.DUMMYFUNCTION("GOOGLETRANSLATE(A9651, ""en"", ""mt"")"),"Kemm mill-lag li jgħaqqad mar-Rhine tista 'tara mill-gżejjer Ġermaniżi?")</f>
        <v>Kemm mill-lag li jgħaqqad mar-Rhine tista 'tara mill-gżejjer Ġermaniżi?</v>
      </c>
    </row>
    <row r="9652" ht="15.75" customHeight="1">
      <c r="A9652" s="2" t="s">
        <v>9652</v>
      </c>
      <c r="B9652" s="2" t="str">
        <f>IFERROR(__xludf.DUMMYFUNCTION("GOOGLETRANSLATE(A9652, ""en"", ""mt"")"),"Einstein's")</f>
        <v>Einstein's</v>
      </c>
    </row>
    <row r="9653" ht="15.75" customHeight="1">
      <c r="A9653" s="2" t="s">
        <v>9653</v>
      </c>
      <c r="B9653" s="2" t="str">
        <f>IFERROR(__xludf.DUMMYFUNCTION("GOOGLETRANSLATE(A9653, ""en"", ""mt"")"),"Phil Simms")</f>
        <v>Phil Simms</v>
      </c>
    </row>
    <row r="9654" ht="15.75" customHeight="1">
      <c r="A9654" s="2" t="s">
        <v>9654</v>
      </c>
      <c r="B9654" s="2" t="str">
        <f>IFERROR(__xludf.DUMMYFUNCTION("GOOGLETRANSLATE(A9654, ""en"", ""mt"")"),"Liema netwerk Ġappuniż ABC xtara sehem fl-1951?")</f>
        <v>Liema netwerk Ġappuniż ABC xtara sehem fl-1951?</v>
      </c>
    </row>
    <row r="9655" ht="15.75" customHeight="1">
      <c r="A9655" s="2" t="s">
        <v>9655</v>
      </c>
      <c r="B9655" s="2" t="str">
        <f>IFERROR(__xludf.DUMMYFUNCTION("GOOGLETRANSLATE(A9655, ""en"", ""mt"")"),"Verżjoni riveduta tal-logo ABC ġiet introdotta għall-promozzjonijiet għall-istaġun 2013–14 matul il-preżentazzjoni bil-quddiem tan-netwerk fl-14 ta 'Mejju, 2013, u introdotta uffiċjalment fuq l-ajru fis-17 ta' Ġunju (għalkemm xi affiljati implimentaw id-d"&amp;"isinn il-ġdid qabel dakinhar), Bħala parti minn reviżjoni tal-identità ta 'ABC mill-aġenzija tad-disinn Loyalkapar. Il-logo aġġornat iġorr disinn ta 'tleqqija aktar sempliċi mill-verżjoni preċedenti, u fih ittri li jixbħu aktar mill-qrib il-verżjoni oriġi"&amp;"nali ta' Paul Rand tal-logo taċ-ċirku. Il-logo huwa muri fuq l-ajru, onlajn u f'reklamar stampat f'erba 'varjanti li jbaxxu l-kulur rispettiv użat mal-kulur iswed indiġenu tad-disinn taċ-ċirku: verżjoni tad-deheb tintuża primarjament fuq ħwienet orjentati"&amp;" lejn id-divertiment (bħal ABC.com, Watch ABC, u minn ABC Studios) u l-bug fuq l-iskrin; Verżjonijiet tal-azzar blu u griż skur jintużaw primarjament minn ABC News; Verżjoni ħamra tintuża għal ESPN fuq ABC, filwaqt li l-erba 'varjanti kollha jintużaw b'mo"&amp;"d selettiv fir-reklamar u mill-affiljati. Typeface tad-dwana ġdid, ""ABC Modern"" (li kien ispirat mill-logotip), inħoloq ukoll għall-użu fir-reklamar u materjali promozzjonali oħra.")</f>
        <v>Verżjoni riveduta tal-logo ABC ġiet introdotta għall-promozzjonijiet għall-istaġun 2013–14 matul il-preżentazzjoni bil-quddiem tan-netwerk fl-14 ta 'Mejju, 2013, u introdotta uffiċjalment fuq l-ajru fis-17 ta' Ġunju (għalkemm xi affiljati implimentaw id-disinn il-ġdid qabel dakinhar), Bħala parti minn reviżjoni tal-identità ta 'ABC mill-aġenzija tad-disinn Loyalkapar. Il-logo aġġornat iġorr disinn ta 'tleqqija aktar sempliċi mill-verżjoni preċedenti, u fih ittri li jixbħu aktar mill-qrib il-verżjoni oriġinali ta' Paul Rand tal-logo taċ-ċirku. Il-logo huwa muri fuq l-ajru, onlajn u f'reklamar stampat f'erba 'varjanti li jbaxxu l-kulur rispettiv użat mal-kulur iswed indiġenu tad-disinn taċ-ċirku: verżjoni tad-deheb tintuża primarjament fuq ħwienet orjentati lejn id-divertiment (bħal ABC.com, Watch ABC, u minn ABC Studios) u l-bug fuq l-iskrin; Verżjonijiet tal-azzar blu u griż skur jintużaw primarjament minn ABC News; Verżjoni ħamra tintuża għal ESPN fuq ABC, filwaqt li l-erba 'varjanti kollha jintużaw b'mod selettiv fir-reklamar u mill-affiljati. Typeface tad-dwana ġdid, "ABC Modern" (li kien ispirat mill-logotip), inħoloq ukoll għall-użu fir-reklamar u materjali promozzjonali oħra.</v>
      </c>
    </row>
    <row r="9656" ht="15.75" customHeight="1">
      <c r="A9656" s="2" t="s">
        <v>9656</v>
      </c>
      <c r="B9656" s="2" t="str">
        <f>IFERROR(__xludf.DUMMYFUNCTION("GOOGLETRANSLATE(A9656, ""en"", ""mt"")"),"Kummissjoni v Italja")</f>
        <v>Kummissjoni v Italja</v>
      </c>
    </row>
    <row r="9657" ht="15.75" customHeight="1">
      <c r="A9657" s="2" t="s">
        <v>9657</v>
      </c>
      <c r="B9657" s="2" t="str">
        <f>IFERROR(__xludf.DUMMYFUNCTION("GOOGLETRANSLATE(A9657, ""en"", ""mt"")"),"Kummerċ, skola u gvern.")</f>
        <v>Kummerċ, skola u gvern.</v>
      </c>
    </row>
    <row r="9658" ht="15.75" customHeight="1">
      <c r="A9658" s="2" t="s">
        <v>9658</v>
      </c>
      <c r="B9658" s="2" t="str">
        <f>IFERROR(__xludf.DUMMYFUNCTION("GOOGLETRANSLATE(A9658, ""en"", ""mt"")"),"nar elettriku")</f>
        <v>nar elettriku</v>
      </c>
    </row>
    <row r="9659" ht="15.75" customHeight="1">
      <c r="A9659" s="2" t="s">
        <v>9659</v>
      </c>
      <c r="B9659" s="2" t="str">
        <f>IFERROR(__xludf.DUMMYFUNCTION("GOOGLETRANSLATE(A9659, ""en"", ""mt"")"),"Min taw lil Ethelred out?")</f>
        <v>Min taw lil Ethelred out?</v>
      </c>
    </row>
    <row r="9660" ht="15.75" customHeight="1">
      <c r="A9660" s="2" t="s">
        <v>9660</v>
      </c>
      <c r="B9660" s="2" t="str">
        <f>IFERROR(__xludf.DUMMYFUNCTION("GOOGLETRANSLATE(A9660, ""en"", ""mt"")"),"Pistun reċiproku")</f>
        <v>Pistun reċiproku</v>
      </c>
    </row>
    <row r="9661" ht="15.75" customHeight="1">
      <c r="A9661" s="2" t="s">
        <v>9661</v>
      </c>
      <c r="B9661" s="2" t="str">
        <f>IFERROR(__xludf.DUMMYFUNCTION("GOOGLETRANSLATE(A9661, ""en"", ""mt"")"),"1763-1775")</f>
        <v>1763-1775</v>
      </c>
    </row>
    <row r="9662" ht="15.75" customHeight="1">
      <c r="A9662" s="2" t="s">
        <v>9662</v>
      </c>
      <c r="B9662" s="2" t="str">
        <f>IFERROR(__xludf.DUMMYFUNCTION("GOOGLETRANSLATE(A9662, ""en"", ""mt"")"),"X'kien it-Timothy Dexter Amerikan li huwa meqjus b'mod wiesa '?")</f>
        <v>X'kien it-Timothy Dexter Amerikan li huwa meqjus b'mod wiesa '?</v>
      </c>
    </row>
    <row r="9663" ht="15.75" customHeight="1">
      <c r="A9663" s="2" t="s">
        <v>9663</v>
      </c>
      <c r="B9663" s="2" t="str">
        <f>IFERROR(__xludf.DUMMYFUNCTION("GOOGLETRANSLATE(A9663, ""en"", ""mt"")"),"45 miljun persuna")</f>
        <v>45 miljun persuna</v>
      </c>
    </row>
    <row r="9664" ht="15.75" customHeight="1">
      <c r="A9664" s="2" t="s">
        <v>9664</v>
      </c>
      <c r="B9664" s="2" t="str">
        <f>IFERROR(__xludf.DUMMYFUNCTION("GOOGLETRANSLATE(A9664, ""en"", ""mt"")"),"Koordinazzjoni ta 'awturi ewlenin")</f>
        <v>Koordinazzjoni ta 'awturi ewlenin</v>
      </c>
    </row>
    <row r="9665" ht="15.75" customHeight="1">
      <c r="A9665" s="2" t="s">
        <v>9665</v>
      </c>
      <c r="B9665" s="2" t="str">
        <f>IFERROR(__xludf.DUMMYFUNCTION("GOOGLETRANSLATE(A9665, ""en"", ""mt"")"),"Liema pajjiż huwa l-iktar pajjiż żviluppat b'mod industrijali fir-reġjun tal-Lagi l-Kbar Afrikani?")</f>
        <v>Liema pajjiż huwa l-iktar pajjiż żviluppat b'mod industrijali fir-reġjun tal-Lagi l-Kbar Afrikani?</v>
      </c>
    </row>
    <row r="9666" ht="15.75" customHeight="1">
      <c r="A9666" s="2" t="s">
        <v>9666</v>
      </c>
      <c r="B9666" s="2" t="str">
        <f>IFERROR(__xludf.DUMMYFUNCTION("GOOGLETRANSLATE(A9666, ""en"", ""mt"")"),"Ġunju 1979")</f>
        <v>Ġunju 1979</v>
      </c>
    </row>
    <row r="9667" ht="15.75" customHeight="1">
      <c r="A9667" s="2" t="s">
        <v>9667</v>
      </c>
      <c r="B9667" s="2" t="str">
        <f>IFERROR(__xludf.DUMMYFUNCTION("GOOGLETRANSLATE(A9667, ""en"", ""mt"")"),"Ħsarat Ingliżi fl-Amerika ta ’Fuq, flimkien ma’ fallimenti oħra fl-Ewropa")</f>
        <v>Ħsarat Ingliżi fl-Amerika ta ’Fuq, flimkien ma’ fallimenti oħra fl-Ewropa</v>
      </c>
    </row>
    <row r="9668" ht="15.75" customHeight="1">
      <c r="A9668" s="2" t="s">
        <v>9668</v>
      </c>
      <c r="B9668" s="2" t="str">
        <f>IFERROR(__xludf.DUMMYFUNCTION("GOOGLETRANSLATE(A9668, ""en"", ""mt"")"),"Liema università taw l-art għaċ-ċentru tal-vettura spazjali bl-ekwipaġġ?")</f>
        <v>Liema università taw l-art għaċ-ċentru tal-vettura spazjali bl-ekwipaġġ?</v>
      </c>
    </row>
    <row r="9669" ht="15.75" customHeight="1">
      <c r="A9669" s="2" t="s">
        <v>9669</v>
      </c>
      <c r="B9669" s="2" t="str">
        <f>IFERROR(__xludf.DUMMYFUNCTION("GOOGLETRANSLATE(A9669, ""en"", ""mt"")"),"Min ospita l-ispettaklu Bandstand iddebutta fuq ABC fl-1957?")</f>
        <v>Min ospita l-ispettaklu Bandstand iddebutta fuq ABC fl-1957?</v>
      </c>
    </row>
    <row r="9670" ht="15.75" customHeight="1">
      <c r="A9670" s="2" t="s">
        <v>9670</v>
      </c>
      <c r="B9670" s="2" t="str">
        <f>IFERROR(__xludf.DUMMYFUNCTION("GOOGLETRANSLATE(A9670, ""en"", ""mt"")"),"It-Tehachapis")</f>
        <v>It-Tehachapis</v>
      </c>
    </row>
    <row r="9671" ht="15.75" customHeight="1">
      <c r="A9671" s="2" t="s">
        <v>9671</v>
      </c>
      <c r="B9671" s="2" t="str">
        <f>IFERROR(__xludf.DUMMYFUNCTION("GOOGLETRANSLATE(A9671, ""en"", ""mt"")"),"X'jista 'jkun meħtieġ ukoll li jgħaddi għalliem, minbarra ċ-ċertifikazzjoni?")</f>
        <v>X'jista 'jkun meħtieġ ukoll li jgħaddi għalliem, minbarra ċ-ċertifikazzjoni?</v>
      </c>
    </row>
    <row r="9672" ht="15.75" customHeight="1">
      <c r="A9672" s="2" t="s">
        <v>9672</v>
      </c>
      <c r="B9672" s="2" t="str">
        <f>IFERROR(__xludf.DUMMYFUNCTION("GOOGLETRANSLATE(A9672, ""en"", ""mt"")"),"katalogu kollox")</f>
        <v>katalogu kollox</v>
      </c>
    </row>
    <row r="9673" ht="15.75" customHeight="1">
      <c r="A9673" s="2" t="s">
        <v>9673</v>
      </c>
      <c r="B9673" s="2" t="str">
        <f>IFERROR(__xludf.DUMMYFUNCTION("GOOGLETRANSLATE(A9673, ""en"", ""mt"")"),"Gvern Vittorjan")</f>
        <v>Gvern Vittorjan</v>
      </c>
    </row>
    <row r="9674" ht="15.75" customHeight="1">
      <c r="A9674" s="2" t="s">
        <v>9674</v>
      </c>
      <c r="B9674" s="2" t="str">
        <f>IFERROR(__xludf.DUMMYFUNCTION("GOOGLETRANSLATE(A9674, ""en"", ""mt"")"),"Min kiteb Luther dwar, imma rarament iltaqa '?")</f>
        <v>Min kiteb Luther dwar, imma rarament iltaqa '?</v>
      </c>
    </row>
    <row r="9675" ht="15.75" customHeight="1">
      <c r="A9675" s="2" t="s">
        <v>9675</v>
      </c>
      <c r="B9675" s="2" t="str">
        <f>IFERROR(__xludf.DUMMYFUNCTION("GOOGLETRANSLATE(A9675, ""en"", ""mt"")"),"Fl-2012 l-Unità tal-Intelliġenza Ekonomista kklassifikat lil Varsavja bħala t-32 belt l-iktar li tista 'tgħix fid-dinja. Kien ikklassifikat ukoll bħala waħda mill-iktar bliet ħajjin fl-Ewropa Ċentrali. Illum Varsavja hija meqjusa bħala belt globali ""alfa"&amp;" -"", destinazzjoni turistika internazzjonali ewlenija u hub kulturali, politiku u ekonomiku sinifikanti. L-ekonomija ta 'Varsavja, minn varjetà wiesgħa ta' industriji, hija kkaratterizzata minn manifattura FMCG, proċessar tal-metall, azzar u manifattura "&amp;"elettronika u proċessar tal-ikel. Il-belt hija ċentru sinifikanti ta 'riċerka u żvilupp, BPO, ITO, kif ukoll ta' l-industrija tal-midja Pollakka. Il-Borża ta 'Varsavja hija waħda mill-ikbar u l-iktar importanti fl-Ewropa Ċentrali u tal-Lvant. Frontex, l-A"&amp;"ġenzija tal-Unjoni Ewropea għas-Sigurtà Esterna tal-Fruntiera, għandha l-kwartieri ġenerali tagħha f'Varsavja. Intqal li Varsavja, flimkien ma 'Frankfurt, Londra, Pariġi u Barċellona hija waħda mill-ibliet bl-ogħla numru ta' bini għoli fl-Unjoni Ewropea. "&amp;"Varsavja ġiet imsejħa wkoll ""il-kapitali kulturali chic tal-Ewropa tal-Lvant b'xeni tal-arti u klabbs b'saħħithom u ristoranti serji"".")</f>
        <v>Fl-2012 l-Unità tal-Intelliġenza Ekonomista kklassifikat lil Varsavja bħala t-32 belt l-iktar li tista 'tgħix fid-dinja. Kien ikklassifikat ukoll bħala waħda mill-iktar bliet ħajjin fl-Ewropa Ċentrali. Illum Varsavja hija meqjusa bħala belt globali "alfa -", destinazzjoni turistika internazzjonali ewlenija u hub kulturali, politiku u ekonomiku sinifikanti. L-ekonomija ta 'Varsavja, minn varjetà wiesgħa ta' industriji, hija kkaratterizzata minn manifattura FMCG, proċessar tal-metall, azzar u manifattura elettronika u proċessar tal-ikel. Il-belt hija ċentru sinifikanti ta 'riċerka u żvilupp, BPO, ITO, kif ukoll ta' l-industrija tal-midja Pollakka. Il-Borża ta 'Varsavja hija waħda mill-ikbar u l-iktar importanti fl-Ewropa Ċentrali u tal-Lvant. Frontex, l-Aġenzija tal-Unjoni Ewropea għas-Sigurtà Esterna tal-Fruntiera, għandha l-kwartieri ġenerali tagħha f'Varsavja. Intqal li Varsavja, flimkien ma 'Frankfurt, Londra, Pariġi u Barċellona hija waħda mill-ibliet bl-ogħla numru ta' bini għoli fl-Unjoni Ewropea. Varsavja ġiet imsejħa wkoll "il-kapitali kulturali chic tal-Ewropa tal-Lvant b'xeni tal-arti u klabbs b'saħħithom u ristoranti serji".</v>
      </c>
    </row>
    <row r="9676" ht="15.75" customHeight="1">
      <c r="A9676" s="2" t="s">
        <v>9676</v>
      </c>
      <c r="B9676" s="2" t="str">
        <f>IFERROR(__xludf.DUMMYFUNCTION("GOOGLETRANSLATE(A9676, ""en"", ""mt"")"),"39-tarzna")</f>
        <v>39-tarzna</v>
      </c>
    </row>
    <row r="9677" ht="15.75" customHeight="1">
      <c r="A9677" s="2" t="s">
        <v>9677</v>
      </c>
      <c r="B9677" s="2" t="str">
        <f>IFERROR(__xludf.DUMMYFUNCTION("GOOGLETRANSLATE(A9677, ""en"", ""mt"")"),"Liema sena kienet Super Bowl 50?")</f>
        <v>Liema sena kienet Super Bowl 50?</v>
      </c>
    </row>
    <row r="9678" ht="15.75" customHeight="1">
      <c r="A9678" s="2" t="s">
        <v>9678</v>
      </c>
      <c r="B9678" s="2" t="str">
        <f>IFERROR(__xludf.DUMMYFUNCTION("GOOGLETRANSLATE(A9678, ""en"", ""mt"")"),"Papillomavirus uman")</f>
        <v>Papillomavirus uman</v>
      </c>
    </row>
    <row r="9679" ht="15.75" customHeight="1">
      <c r="A9679" s="2" t="s">
        <v>9679</v>
      </c>
      <c r="B9679" s="2" t="str">
        <f>IFERROR(__xludf.DUMMYFUNCTION("GOOGLETRANSLATE(A9679, ""en"", ""mt"")"),"mases")</f>
        <v>mases</v>
      </c>
    </row>
    <row r="9680" ht="15.75" customHeight="1">
      <c r="A9680" s="2" t="s">
        <v>9680</v>
      </c>
      <c r="B9680" s="2" t="str">
        <f>IFERROR(__xludf.DUMMYFUNCTION("GOOGLETRANSLATE(A9680, ""en"", ""mt"")"),"Nobbli")</f>
        <v>Nobbli</v>
      </c>
    </row>
    <row r="9681" ht="15.75" customHeight="1">
      <c r="A9681" s="2" t="s">
        <v>9681</v>
      </c>
      <c r="B9681" s="2" t="str">
        <f>IFERROR(__xludf.DUMMYFUNCTION("GOOGLETRANSLATE(A9681, ""en"", ""mt"")"),"Kultant il-membrana taċ-ċellula tal-alka li tittiekel")</f>
        <v>Kultant il-membrana taċ-ċellula tal-alka li tittiekel</v>
      </c>
    </row>
    <row r="9682" ht="15.75" customHeight="1">
      <c r="A9682" s="2" t="s">
        <v>9682</v>
      </c>
      <c r="B9682" s="2" t="str">
        <f>IFERROR(__xludf.DUMMYFUNCTION("GOOGLETRANSLATE(A9682, ""en"", ""mt"")"),"Għal liema servizz bskyb chare miżati ta 'abbonament addizzjonali?")</f>
        <v>Għal liema servizz bskyb chare miżati ta 'abbonament addizzjonali?</v>
      </c>
    </row>
    <row r="9683" ht="15.75" customHeight="1">
      <c r="A9683" s="2" t="s">
        <v>9683</v>
      </c>
      <c r="B9683" s="2" t="str">
        <f>IFERROR(__xludf.DUMMYFUNCTION("GOOGLETRANSLATE(A9683, ""en"", ""mt"")"),"Fejn ġie osservat l-ewwel gvernatur ċentrifugali minn Boulton?")</f>
        <v>Fejn ġie osservat l-ewwel gvernatur ċentrifugali minn Boulton?</v>
      </c>
    </row>
    <row r="9684" ht="15.75" customHeight="1">
      <c r="A9684" s="2" t="s">
        <v>9684</v>
      </c>
      <c r="B9684" s="2" t="str">
        <f>IFERROR(__xludf.DUMMYFUNCTION("GOOGLETRANSLATE(A9684, ""en"", ""mt"")"),"Vendobionta għex matul liema perjodu?")</f>
        <v>Vendobionta għex matul liema perjodu?</v>
      </c>
    </row>
    <row r="9685" ht="15.75" customHeight="1">
      <c r="A9685" s="2" t="s">
        <v>9685</v>
      </c>
      <c r="B9685" s="2" t="str">
        <f>IFERROR(__xludf.DUMMYFUNCTION("GOOGLETRANSLATE(A9685, ""en"", ""mt"")"),"Kif iqabblu d-drittijiet fl-iskejjel tal-Mudell Ċ ta 'qabel ma' dawk fi skejjel oħra?")</f>
        <v>Kif iqabblu d-drittijiet fl-iskejjel tal-Mudell Ċ ta 'qabel ma' dawk fi skejjel oħra?</v>
      </c>
    </row>
    <row r="9686" ht="15.75" customHeight="1">
      <c r="A9686" s="2" t="s">
        <v>9686</v>
      </c>
      <c r="B9686" s="2" t="str">
        <f>IFERROR(__xludf.DUMMYFUNCTION("GOOGLETRANSLATE(A9686, ""en"", ""mt"")"),"Titjiriet bla ekwipaġġ ta 'Saturn V")</f>
        <v>Titjiriet bla ekwipaġġ ta 'Saturn V</v>
      </c>
    </row>
    <row r="9687" ht="15.75" customHeight="1">
      <c r="A9687" s="2" t="s">
        <v>9687</v>
      </c>
      <c r="B9687" s="2" t="str">
        <f>IFERROR(__xludf.DUMMYFUNCTION("GOOGLETRANSLATE(A9687, ""en"", ""mt"")"),"Lulju 1888")</f>
        <v>Lulju 1888</v>
      </c>
    </row>
    <row r="9688" ht="15.75" customHeight="1">
      <c r="A9688" s="2" t="s">
        <v>9688</v>
      </c>
      <c r="B9688" s="2" t="str">
        <f>IFERROR(__xludf.DUMMYFUNCTION("GOOGLETRANSLATE(A9688, ""en"", ""mt"")"),"Min ikun il-kulleġġ tal-għalliem jipproteġi?")</f>
        <v>Min ikun il-kulleġġ tal-għalliem jipproteġi?</v>
      </c>
    </row>
    <row r="9689" ht="15.75" customHeight="1">
      <c r="A9689" s="2" t="s">
        <v>9689</v>
      </c>
      <c r="B9689" s="2" t="str">
        <f>IFERROR(__xludf.DUMMYFUNCTION("GOOGLETRANSLATE(A9689, ""en"", ""mt"")"),"Liema parti mill-kloroplasti mhix simili għal mitokondrija?")</f>
        <v>Liema parti mill-kloroplasti mhix simili għal mitokondrija?</v>
      </c>
    </row>
    <row r="9690" ht="15.75" customHeight="1">
      <c r="A9690" s="2" t="s">
        <v>9690</v>
      </c>
      <c r="B9690" s="2" t="str">
        <f>IFERROR(__xludf.DUMMYFUNCTION("GOOGLETRANSLATE(A9690, ""en"", ""mt"")"),"Hemm diversi modi kif itaffu l-perikli fuq ix-xogħol tat-tagħlim. Interventi organizzattivi, bħall-iskedi tal-għalliema li jinbidlu, jipprovdu netwerks ta 'appoġġ u mentoring, jibdlu l-ambjent tax-xogħol, u joffru promozzjonijiet u bonusijiet, jistgħu jku"&amp;"nu effettivi biex jgħinu biex jitnaqqsu l-istress fuq ix-xogħol fost l-għalliema. Interventi fuq livell individwali, inkluż taħriġ u pariri dwar il-ġestjoni tal-istress, jintużaw ukoll biex itaffu l-istress fuq ix-xogħol fost l-għalliema.")</f>
        <v>Hemm diversi modi kif itaffu l-perikli fuq ix-xogħol tat-tagħlim. Interventi organizzattivi, bħall-iskedi tal-għalliema li jinbidlu, jipprovdu netwerks ta 'appoġġ u mentoring, jibdlu l-ambjent tax-xogħol, u joffru promozzjonijiet u bonusijiet, jistgħu jkunu effettivi biex jgħinu biex jitnaqqsu l-istress fuq ix-xogħol fost l-għalliema. Interventi fuq livell individwali, inkluż taħriġ u pariri dwar il-ġestjoni tal-istress, jintużaw ukoll biex itaffu l-istress fuq ix-xogħol fost l-għalliema.</v>
      </c>
    </row>
    <row r="9691" ht="15.75" customHeight="1">
      <c r="A9691" s="2" t="s">
        <v>9691</v>
      </c>
      <c r="B9691" s="2" t="str">
        <f>IFERROR(__xludf.DUMMYFUNCTION("GOOGLETRANSLATE(A9691, ""en"", ""mt"")"),"L-użu ta 'ilma jagħli biex jipproduċi moviment mekkaniku jmur lura aktar minn 2000 sena, iżda l-apparati bikrija ma kinux prattiċi. L-inventur Spanjol Jerónimo de Ayanz y Beaumont kiseb l-ewwel brevett għal magna tal-fwar fl-1606. Fl-1698 Thomas Savery br"&amp;"evettat pompa tal-fwar li użat il-fwar f'kuntatt dirett ma 'l-ilma li qed jiġi ppumpjat. Il-pompa tal-fwar ta 'Savery użat il-fwar tal-kondensazzjoni biex toħloq vakwu u tiġbed l-ilma f'kamra, u mbagħad applikat bil-fwar taħt pressjoni biex tkompli tippom"&amp;"pja l-ilma. Il-magna atmosferika ta 'Thomas Newcomen kienet l-ewwel magna kummerċjali vera tal-fwar bl-użu ta' pistun, u ntużat fl-1712 għall-ippumpjar f'minjiera.")</f>
        <v>L-użu ta 'ilma jagħli biex jipproduċi moviment mekkaniku jmur lura aktar minn 2000 sena, iżda l-apparati bikrija ma kinux prattiċi. L-inventur Spanjol Jerónimo de Ayanz y Beaumont kiseb l-ewwel brevett għal magna tal-fwar fl-1606. Fl-1698 Thomas Savery brevettat pompa tal-fwar li użat il-fwar f'kuntatt dirett ma 'l-ilma li qed jiġi ppumpjat. Il-pompa tal-fwar ta 'Savery użat il-fwar tal-kondensazzjoni biex toħloq vakwu u tiġbed l-ilma f'kamra, u mbagħad applikat bil-fwar taħt pressjoni biex tkompli tippompja l-ilma. Il-magna atmosferika ta 'Thomas Newcomen kienet l-ewwel magna kummerċjali vera tal-fwar bl-użu ta' pistun, u ntużat fl-1712 għall-ippumpjar f'minjiera.</v>
      </c>
    </row>
    <row r="9692" ht="15.75" customHeight="1">
      <c r="A9692" s="2" t="s">
        <v>9692</v>
      </c>
      <c r="B9692" s="2" t="str">
        <f>IFERROR(__xludf.DUMMYFUNCTION("GOOGLETRANSLATE(A9692, ""en"", ""mt"")"),"Howard Zinn jikteb, ""Jista 'jkun hemm ħafna drabi meta d-dimostranti jagħżlu li jmorru l-ħabs, bħala mod kif ikomplu l-protesta tagħhom, bħala mod kif ifakkru lil pajjiżhom ta' inġustizzja. Iżda dan huwa differenti mill-kunċett li jridu jmorru l-ħabs bħa"&amp;"la Parti minn regola marbuta mad-diżubbidjenza ċivili. Il-punt ewlieni huwa li l-ispirtu ta 'protesta għandu jinżamm it-triq kollha, kemm jekk isir billi jibqa' l-ħabs, jew billi jevadiha. Li taċċetta l-ħabs b'mod penitenti bħala adeżjoni għal 'ir-regoli "&amp;"""Huwa li jaqleb f'daqqa għal spirtu ta 'sussistenza, biex iwaqqa' s-serjetà tal-protesta ... b'mod partikolari, l-insistenza neo-konservattiva fuq motiv ħati għandha tiġi eliminata.""")</f>
        <v>Howard Zinn jikteb, "Jista 'jkun hemm ħafna drabi meta d-dimostranti jagħżlu li jmorru l-ħabs, bħala mod kif ikomplu l-protesta tagħhom, bħala mod kif ifakkru lil pajjiżhom ta' inġustizzja. Iżda dan huwa differenti mill-kunċett li jridu jmorru l-ħabs bħala Parti minn regola marbuta mad-diżubbidjenza ċivili. Il-punt ewlieni huwa li l-ispirtu ta 'protesta għandu jinżamm it-triq kollha, kemm jekk isir billi jibqa' l-ħabs, jew billi jevadiha. Li taċċetta l-ħabs b'mod penitenti bħala adeżjoni għal 'ir-regoli "Huwa li jaqleb f'daqqa għal spirtu ta 'sussistenza, biex iwaqqa' s-serjetà tal-protesta ... b'mod partikolari, l-insistenza neo-konservattiva fuq motiv ħati għandha tiġi eliminata."</v>
      </c>
    </row>
    <row r="9693" ht="15.75" customHeight="1">
      <c r="A9693" s="2" t="s">
        <v>9693</v>
      </c>
      <c r="B9693" s="2" t="str">
        <f>IFERROR(__xludf.DUMMYFUNCTION("GOOGLETRANSLATE(A9693, ""en"", ""mt"")"),"Liema ġnien kien formalment biss għar-royalties?")</f>
        <v>Liema ġnien kien formalment biss għar-royalties?</v>
      </c>
    </row>
    <row r="9694" ht="15.75" customHeight="1">
      <c r="A9694" s="2" t="s">
        <v>9694</v>
      </c>
      <c r="B9694" s="2" t="str">
        <f>IFERROR(__xludf.DUMMYFUNCTION("GOOGLETRANSLATE(A9694, ""en"", ""mt"")"),"Kawża oħra hija r-rata li biha d-dħul jiġi ntaxxat flimkien mal-progressività tas-sistema tat-taxxa. Taxxa progressiva hija taxxa li biha r-rata tat-taxxa tiżdied hekk kif l-ammont ta 'bażi ​​taxxabbli jiżdied. F'sistema ta 'taxxa progressiva, il-livell t"&amp;"ar-rata ta' taxxa l-aqwa spiss ikollu impatt dirett fuq il-livell ta 'inugwaljanza fi ħdan soċjetà, jew iżidha jew jonqosha, sakemm id-dħul ma jinbidilx bħala riżultat tal-bidla fir-reġim tat-taxxa - Barra minn hekk, progressività tat-taxxa aktar wieqfa a"&amp;"pplikata għall-infiq soċjali tista 'tirriżulta f'distribuzzjoni aktar ugwali tad-dħul madwar il-bord. Id-differenza bejn l-indiċi Gini għal distribuzzjoni tad-dħul qabel it-tassazzjoni u l-indiċi Gini wara t-tassazzjoni hija indikatur għall-effetti ta 'ta"&amp;"li tassazzjoni.")</f>
        <v>Kawża oħra hija r-rata li biha d-dħul jiġi ntaxxat flimkien mal-progressività tas-sistema tat-taxxa. Taxxa progressiva hija taxxa li biha r-rata tat-taxxa tiżdied hekk kif l-ammont ta 'bażi ​​taxxabbli jiżdied. F'sistema ta 'taxxa progressiva, il-livell tar-rata ta' taxxa l-aqwa spiss ikollu impatt dirett fuq il-livell ta 'inugwaljanza fi ħdan soċjetà, jew iżidha jew jonqosha, sakemm id-dħul ma jinbidilx bħala riżultat tal-bidla fir-reġim tat-taxxa - Barra minn hekk, progressività tat-taxxa aktar wieqfa applikata għall-infiq soċjali tista 'tirriżulta f'distribuzzjoni aktar ugwali tad-dħul madwar il-bord. Id-differenza bejn l-indiċi Gini għal distribuzzjoni tad-dħul qabel it-tassazzjoni u l-indiċi Gini wara t-tassazzjoni hija indikatur għall-effetti ta 'tali tassazzjoni.</v>
      </c>
    </row>
    <row r="9695" ht="15.75" customHeight="1">
      <c r="A9695" s="2" t="s">
        <v>9695</v>
      </c>
      <c r="B9695" s="2" t="str">
        <f>IFERROR(__xludf.DUMMYFUNCTION("GOOGLETRANSLATE(A9695, ""en"", ""mt"")"),"Għal veduti Luterani")</f>
        <v>Għal veduti Luterani</v>
      </c>
    </row>
    <row r="9696" ht="15.75" customHeight="1">
      <c r="A9696" s="2" t="s">
        <v>9696</v>
      </c>
      <c r="B9696" s="2" t="str">
        <f>IFERROR(__xludf.DUMMYFUNCTION("GOOGLETRANSLATE(A9696, ""en"", ""mt"")"),"Fl-Istati Uniti, x'inhi l-veloċità tas-soltu tat-turbina b'60 hertz ta 'poter?")</f>
        <v>Fl-Istati Uniti, x'inhi l-veloċità tas-soltu tat-turbina b'60 hertz ta 'poter?</v>
      </c>
    </row>
    <row r="9697" ht="15.75" customHeight="1">
      <c r="A9697" s="2" t="s">
        <v>9697</v>
      </c>
      <c r="B9697" s="2" t="str">
        <f>IFERROR(__xludf.DUMMYFUNCTION("GOOGLETRANSLATE(A9697, ""en"", ""mt"")"),"$ 5,000,000,")</f>
        <v>$ 5,000,000,</v>
      </c>
    </row>
    <row r="9698" ht="15.75" customHeight="1">
      <c r="A9698" s="2" t="s">
        <v>9698</v>
      </c>
      <c r="B9698" s="2" t="str">
        <f>IFERROR(__xludf.DUMMYFUNCTION("GOOGLETRANSLATE(A9698, ""en"", ""mt"")"),"Richard Leakey")</f>
        <v>Richard Leakey</v>
      </c>
    </row>
    <row r="9699" ht="15.75" customHeight="1">
      <c r="A9699" s="2" t="s">
        <v>9699</v>
      </c>
      <c r="B9699" s="2" t="str">
        <f>IFERROR(__xludf.DUMMYFUNCTION("GOOGLETRANSLATE(A9699, ""en"", ""mt"")"),"X'kien ir-rwol ta 'Houghton?")</f>
        <v>X'kien ir-rwol ta 'Houghton?</v>
      </c>
    </row>
    <row r="9700" ht="15.75" customHeight="1">
      <c r="A9700" s="2" t="s">
        <v>9700</v>
      </c>
      <c r="B9700" s="2" t="str">
        <f>IFERROR(__xludf.DUMMYFUNCTION("GOOGLETRANSLATE(A9700, ""en"", ""mt"")"),"patoġeni, minn viruses għal dud parassitiku")</f>
        <v>patoġeni, minn viruses għal dud parassitiku</v>
      </c>
    </row>
    <row r="9701" ht="15.75" customHeight="1">
      <c r="A9701" s="2" t="s">
        <v>9701</v>
      </c>
      <c r="B9701" s="2" t="str">
        <f>IFERROR(__xludf.DUMMYFUNCTION("GOOGLETRANSLATE(A9701, ""en"", ""mt"")"),"Liema sena ttieħdet id-deċiżjoni biex tikkanċella l-Missjonijiet Apollo 18 u 19?")</f>
        <v>Liema sena ttieħdet id-deċiżjoni biex tikkanċella l-Missjonijiet Apollo 18 u 19?</v>
      </c>
    </row>
    <row r="9702" ht="15.75" customHeight="1">
      <c r="A9702" s="2" t="s">
        <v>9702</v>
      </c>
      <c r="B9702" s="2" t="str">
        <f>IFERROR(__xludf.DUMMYFUNCTION("GOOGLETRANSLATE(A9702, ""en"", ""mt"")"),"Gaeliku")</f>
        <v>Gaeliku</v>
      </c>
    </row>
    <row r="9703" ht="15.75" customHeight="1">
      <c r="A9703" s="2" t="s">
        <v>9703</v>
      </c>
      <c r="B9703" s="2" t="str">
        <f>IFERROR(__xludf.DUMMYFUNCTION("GOOGLETRANSLATE(A9703, ""en"", ""mt"")"),"Il-funzjonijiet tal-kulleġġi tal-għalliem jistgħu jinkludu l-istabbiliment ta 'standards ċari ta' prattika, li jipprovdu għall-edukazzjoni kontinwa tal-għalliema, jinvestigaw ilmenti li jinvolvu membri, isiru seduti f'allegazzjonijiet ta 'kondotta ħażina "&amp;"professjonali u jieħdu azzjoni dixxiplinarja xierqa u jakkreditaw programmi ta' edukazzjoni tal-għalliema. F’ħafna sitwazzjonijiet l-għalliema fi skejjel iffinanzjati pubblikament għandhom ikunu membri f’qagħda tajba mal-kulleġġ, u l-iskejjel privati ​​ji"&amp;"stgħu jeħtieġu wkoll li l-għalliema tagħhom ikunu popli tal-kulleġġ. F'oqsma oħra dawn l-irwoli jistgħu jagħmlu parti mill-Bord tal-Edukazzjoni tal-Istat, is-Supretendent tal-Istruzzjoni Pubblika, l-Aġenzija tal-Edukazzjoni tal-Istat jew korpi governattiv"&amp;"i oħra. F’oqsma oħra li għadhom it-tagħlim tal-għaqdiet jistgħu jkunu responsabbli għal uħud jew għal dawn id-dmirijiet kollha.")</f>
        <v>Il-funzjonijiet tal-kulleġġi tal-għalliem jistgħu jinkludu l-istabbiliment ta 'standards ċari ta' prattika, li jipprovdu għall-edukazzjoni kontinwa tal-għalliema, jinvestigaw ilmenti li jinvolvu membri, isiru seduti f'allegazzjonijiet ta 'kondotta ħażina professjonali u jieħdu azzjoni dixxiplinarja xierqa u jakkreditaw programmi ta' edukazzjoni tal-għalliema. F’ħafna sitwazzjonijiet l-għalliema fi skejjel iffinanzjati pubblikament għandhom ikunu membri f’qagħda tajba mal-kulleġġ, u l-iskejjel privati ​​jistgħu jeħtieġu wkoll li l-għalliema tagħhom ikunu popli tal-kulleġġ. F'oqsma oħra dawn l-irwoli jistgħu jagħmlu parti mill-Bord tal-Edukazzjoni tal-Istat, is-Supretendent tal-Istruzzjoni Pubblika, l-Aġenzija tal-Edukazzjoni tal-Istat jew korpi governattivi oħra. F’oqsma oħra li għadhom it-tagħlim tal-għaqdiet jistgħu jkunu responsabbli għal uħud jew għal dawn id-dmirijiet kollha.</v>
      </c>
    </row>
    <row r="9704" ht="15.75" customHeight="1">
      <c r="A9704" s="2" t="s">
        <v>9704</v>
      </c>
      <c r="B9704" s="2" t="str">
        <f>IFERROR(__xludf.DUMMYFUNCTION("GOOGLETRANSLATE(A9704, ""en"", ""mt"")"),"Liema movimenti segwew direzzjoni aktar radikali?")</f>
        <v>Liema movimenti segwew direzzjoni aktar radikali?</v>
      </c>
    </row>
    <row r="9705" ht="15.75" customHeight="1">
      <c r="A9705" s="2" t="s">
        <v>9705</v>
      </c>
      <c r="B9705" s="2" t="str">
        <f>IFERROR(__xludf.DUMMYFUNCTION("GOOGLETRANSLATE(A9705, ""en"", ""mt"")"),"Meta beda l-ABC l-ewwel?")</f>
        <v>Meta beda l-ABC l-ewwel?</v>
      </c>
    </row>
    <row r="9706" ht="15.75" customHeight="1">
      <c r="A9706" s="2" t="s">
        <v>9706</v>
      </c>
      <c r="B9706" s="2" t="str">
        <f>IFERROR(__xludf.DUMMYFUNCTION("GOOGLETRANSLATE(A9706, ""en"", ""mt"")"),"1720")</f>
        <v>1720</v>
      </c>
    </row>
    <row r="9707" ht="15.75" customHeight="1">
      <c r="A9707" s="2" t="s">
        <v>9707</v>
      </c>
      <c r="B9707" s="2" t="str">
        <f>IFERROR(__xludf.DUMMYFUNCTION("GOOGLETRANSLATE(A9707, ""en"", ""mt"")"),"il-kolja Tesla")</f>
        <v>il-kolja Tesla</v>
      </c>
    </row>
    <row r="9708" ht="15.75" customHeight="1">
      <c r="A9708" s="2" t="s">
        <v>9708</v>
      </c>
      <c r="B9708" s="2" t="str">
        <f>IFERROR(__xludf.DUMMYFUNCTION("GOOGLETRANSLATE(A9708, ""en"", ""mt"")"),"Fejn l-ispiżjara jakkwistaw aktar preparazzjoni wara skola tal-ispiżerija?")</f>
        <v>Fejn l-ispiżjara jakkwistaw aktar preparazzjoni wara skola tal-ispiżerija?</v>
      </c>
    </row>
    <row r="9709" ht="15.75" customHeight="1">
      <c r="A9709" s="2" t="s">
        <v>9709</v>
      </c>
      <c r="B9709" s="2" t="str">
        <f>IFERROR(__xludf.DUMMYFUNCTION("GOOGLETRANSLATE(A9709, ""en"", ""mt"")"),"X'jispiraw is-sidien ta 'aktar kapital?")</f>
        <v>X'jispiraw is-sidien ta 'aktar kapital?</v>
      </c>
    </row>
    <row r="9710" ht="15.75" customHeight="1">
      <c r="A9710" s="2" t="s">
        <v>9710</v>
      </c>
      <c r="B9710" s="2" t="str">
        <f>IFERROR(__xludf.DUMMYFUNCTION("GOOGLETRANSLATE(A9710, ""en"", ""mt"")"),"Meta kienet l-inugwaljanza fil-konsum inqas milli kienet fl-1986?")</f>
        <v>Meta kienet l-inugwaljanza fil-konsum inqas milli kienet fl-1986?</v>
      </c>
    </row>
    <row r="9711" ht="15.75" customHeight="1">
      <c r="A9711" s="2" t="s">
        <v>9711</v>
      </c>
      <c r="B9711" s="2" t="str">
        <f>IFERROR(__xludf.DUMMYFUNCTION("GOOGLETRANSLATE(A9711, ""en"", ""mt"")"),"Is-suddiviżjoni iżolata")</f>
        <v>Is-suddiviżjoni iżolata</v>
      </c>
    </row>
    <row r="9712" ht="15.75" customHeight="1">
      <c r="A9712" s="2" t="s">
        <v>9712</v>
      </c>
      <c r="B9712" s="2" t="str">
        <f>IFERROR(__xludf.DUMMYFUNCTION("GOOGLETRANSLATE(A9712, ""en"", ""mt"")"),"Presburger")</f>
        <v>Presburger</v>
      </c>
    </row>
    <row r="9713" ht="15.75" customHeight="1">
      <c r="A9713" s="2" t="s">
        <v>9713</v>
      </c>
      <c r="B9713" s="2" t="str">
        <f>IFERROR(__xludf.DUMMYFUNCTION("GOOGLETRANSLATE(A9713, ""en"", ""mt"")"),"X'effett kellha l-pesta fuq il-Lvant Nofsani?")</f>
        <v>X'effett kellha l-pesta fuq il-Lvant Nofsani?</v>
      </c>
    </row>
    <row r="9714" ht="15.75" customHeight="1">
      <c r="A9714" s="2" t="s">
        <v>9714</v>
      </c>
      <c r="B9714" s="2" t="str">
        <f>IFERROR(__xludf.DUMMYFUNCTION("GOOGLETRANSLATE(A9714, ""en"", ""mt"")"),"Min imexxi l-Istat Iżlamiku?")</f>
        <v>Min imexxi l-Istat Iżlamiku?</v>
      </c>
    </row>
    <row r="9715" ht="15.75" customHeight="1">
      <c r="A9715" s="2" t="s">
        <v>9715</v>
      </c>
      <c r="B9715" s="2" t="str">
        <f>IFERROR(__xludf.DUMMYFUNCTION("GOOGLETRANSLATE(A9715, ""en"", ""mt"")"),"8-15")</f>
        <v>8-15</v>
      </c>
    </row>
    <row r="9716" ht="15.75" customHeight="1">
      <c r="A9716" s="2" t="s">
        <v>9716</v>
      </c>
      <c r="B9716" s="2" t="str">
        <f>IFERROR(__xludf.DUMMYFUNCTION("GOOGLETRANSLATE(A9716, ""en"", ""mt"")"),"Meta ġiet skoperta l-plastoma?")</f>
        <v>Meta ġiet skoperta l-plastoma?</v>
      </c>
    </row>
    <row r="9717" ht="15.75" customHeight="1">
      <c r="A9717" s="2" t="s">
        <v>9717</v>
      </c>
      <c r="B9717" s="2" t="str">
        <f>IFERROR(__xludf.DUMMYFUNCTION("GOOGLETRANSLATE(A9717, ""en"", ""mt"")"),"Tliet epiċentri")</f>
        <v>Tliet epiċentri</v>
      </c>
    </row>
    <row r="9718" ht="15.75" customHeight="1">
      <c r="A9718" s="2" t="s">
        <v>9718</v>
      </c>
      <c r="B9718" s="2" t="str">
        <f>IFERROR(__xludf.DUMMYFUNCTION("GOOGLETRANSLATE(A9718, ""en"", ""mt"")"),"il-kostruzzjoni ta 'toroq militari")</f>
        <v>il-kostruzzjoni ta 'toroq militari</v>
      </c>
    </row>
    <row r="9719" ht="15.75" customHeight="1">
      <c r="A9719" s="2" t="s">
        <v>9719</v>
      </c>
      <c r="B9719" s="2" t="str">
        <f>IFERROR(__xludf.DUMMYFUNCTION("GOOGLETRANSLATE(A9719, ""en"", ""mt"")"),"tfixkel il-membrana tal-plażma tagħhom.")</f>
        <v>tfixkel il-membrana tal-plażma tagħhom.</v>
      </c>
    </row>
    <row r="9720" ht="15.75" customHeight="1">
      <c r="A9720" s="2" t="s">
        <v>9720</v>
      </c>
      <c r="B9720" s="2" t="str">
        <f>IFERROR(__xludf.DUMMYFUNCTION("GOOGLETRANSLATE(A9720, ""en"", ""mt"")"),"Rep. Joe Barton")</f>
        <v>Rep. Joe Barton</v>
      </c>
    </row>
    <row r="9721" ht="15.75" customHeight="1">
      <c r="A9721" s="2" t="s">
        <v>9721</v>
      </c>
      <c r="B9721" s="2" t="str">
        <f>IFERROR(__xludf.DUMMYFUNCTION("GOOGLETRANSLATE(A9721, ""en"", ""mt"")"),"Stil Art Deco fil-pittura u l-arti")</f>
        <v>Stil Art Deco fil-pittura u l-arti</v>
      </c>
    </row>
    <row r="9722" ht="15.75" customHeight="1">
      <c r="A9722" s="2" t="s">
        <v>9722</v>
      </c>
      <c r="B9722" s="2" t="str">
        <f>IFERROR(__xludf.DUMMYFUNCTION("GOOGLETRANSLATE(A9722, ""en"", ""mt"")"),"Imbotta")</f>
        <v>Imbotta</v>
      </c>
    </row>
    <row r="9723" ht="15.75" customHeight="1">
      <c r="A9723" s="2" t="s">
        <v>9723</v>
      </c>
      <c r="B9723" s="2" t="str">
        <f>IFERROR(__xludf.DUMMYFUNCTION("GOOGLETRANSLATE(A9723, ""en"", ""mt"")"),"X'inhu l-isem tal-propjetà fejn sar l-avveniment tal-midja għal Super Bowl 50?")</f>
        <v>X'inhu l-isem tal-propjetà fejn sar l-avveniment tal-midja għal Super Bowl 50?</v>
      </c>
    </row>
    <row r="9724" ht="15.75" customHeight="1">
      <c r="A9724" s="2" t="s">
        <v>9724</v>
      </c>
      <c r="B9724" s="2" t="str">
        <f>IFERROR(__xludf.DUMMYFUNCTION("GOOGLETRANSLATE(A9724, ""en"", ""mt"")"),"Ħin Parlamentari")</f>
        <v>Ħin Parlamentari</v>
      </c>
    </row>
    <row r="9725" ht="15.75" customHeight="1">
      <c r="A9725" s="2" t="s">
        <v>9725</v>
      </c>
      <c r="B9725" s="2" t="str">
        <f>IFERROR(__xludf.DUMMYFUNCTION("GOOGLETRANSLATE(A9725, ""en"", ""mt"")"),"Il-kitbiet u l-kummenti tiegħu")</f>
        <v>Il-kitbiet u l-kummenti tiegħu</v>
      </c>
    </row>
    <row r="9726" ht="15.75" customHeight="1">
      <c r="A9726" s="2" t="s">
        <v>9726</v>
      </c>
      <c r="B9726" s="2" t="str">
        <f>IFERROR(__xludf.DUMMYFUNCTION("GOOGLETRANSLATE(A9726, ""en"", ""mt"")"),"X’għamel l-impjegat meta ma kienx jogħġobha l-ilbies tagħha?")</f>
        <v>X’għamel l-impjegat meta ma kienx jogħġobha l-ilbies tagħha?</v>
      </c>
    </row>
    <row r="9727" ht="15.75" customHeight="1">
      <c r="A9727" s="2" t="s">
        <v>9727</v>
      </c>
      <c r="B9727" s="2" t="str">
        <f>IFERROR(__xludf.DUMMYFUNCTION("GOOGLETRANSLATE(A9727, ""en"", ""mt"")"),"1 ta 'Ġunju, 1953")</f>
        <v>1 ta 'Ġunju, 1953</v>
      </c>
    </row>
    <row r="9728" ht="15.75" customHeight="1">
      <c r="A9728" s="2" t="s">
        <v>9728</v>
      </c>
      <c r="B9728" s="2" t="str">
        <f>IFERROR(__xludf.DUMMYFUNCTION("GOOGLETRANSLATE(A9728, ""en"", ""mt"")"),"300 m3 / s (11,000 cu ft / s)")</f>
        <v>300 m3 / s (11,000 cu ft / s)</v>
      </c>
    </row>
    <row r="9729" ht="15.75" customHeight="1">
      <c r="A9729" s="2" t="s">
        <v>9729</v>
      </c>
      <c r="B9729" s="2" t="str">
        <f>IFERROR(__xludf.DUMMYFUNCTION("GOOGLETRANSLATE(A9729, ""en"", ""mt"")"),"Gini")</f>
        <v>Gini</v>
      </c>
    </row>
    <row r="9730" ht="15.75" customHeight="1">
      <c r="A9730" s="2" t="s">
        <v>9730</v>
      </c>
      <c r="B9730" s="2" t="str">
        <f>IFERROR(__xludf.DUMMYFUNCTION("GOOGLETRANSLATE(A9730, ""en"", ""mt"")"),"F’liema ktieb iddeskriviet Betty Meggers li l-idea tal-Amażonja kienet popolata ftit?")</f>
        <v>F’liema ktieb iddeskriviet Betty Meggers li l-idea tal-Amażonja kienet popolata ftit?</v>
      </c>
    </row>
    <row r="9731" ht="15.75" customHeight="1">
      <c r="A9731" s="2" t="s">
        <v>9731</v>
      </c>
      <c r="B9731" s="2" t="str">
        <f>IFERROR(__xludf.DUMMYFUNCTION("GOOGLETRANSLATE(A9731, ""en"", ""mt"")"),"Il-Midalja Edison.")</f>
        <v>Il-Midalja Edison.</v>
      </c>
    </row>
    <row r="9732" ht="15.75" customHeight="1">
      <c r="A9732" s="2" t="s">
        <v>9732</v>
      </c>
      <c r="B9732" s="2" t="str">
        <f>IFERROR(__xludf.DUMMYFUNCTION("GOOGLETRANSLATE(A9732, ""en"", ""mt"")"),"disponibbli liberament fuq il-web")</f>
        <v>disponibbli liberament fuq il-web</v>
      </c>
    </row>
    <row r="9733" ht="15.75" customHeight="1">
      <c r="A9733" s="2" t="s">
        <v>9733</v>
      </c>
      <c r="B9733" s="2" t="str">
        <f>IFERROR(__xludf.DUMMYFUNCTION("GOOGLETRANSLATE(A9733, ""en"", ""mt"")"),"George Wallis")</f>
        <v>George Wallis</v>
      </c>
    </row>
    <row r="9734" ht="15.75" customHeight="1">
      <c r="A9734" s="2" t="s">
        <v>9734</v>
      </c>
      <c r="B9734" s="2" t="str">
        <f>IFERROR(__xludf.DUMMYFUNCTION("GOOGLETRANSLATE(A9734, ""en"", ""mt"")"),"simmetrika")</f>
        <v>simmetrika</v>
      </c>
    </row>
    <row r="9735" ht="15.75" customHeight="1">
      <c r="A9735" s="2" t="s">
        <v>9735</v>
      </c>
      <c r="B9735" s="2" t="str">
        <f>IFERROR(__xludf.DUMMYFUNCTION("GOOGLETRANSLATE(A9735, ""en"", ""mt"")"),"biex titlaq ir-riġenerazzjoni tal-Grigal")</f>
        <v>biex titlaq ir-riġenerazzjoni tal-Grigal</v>
      </c>
    </row>
    <row r="9736" ht="15.75" customHeight="1">
      <c r="A9736" s="2" t="s">
        <v>9736</v>
      </c>
      <c r="B9736" s="2" t="str">
        <f>IFERROR(__xludf.DUMMYFUNCTION("GOOGLETRANSLATE(A9736, ""en"", ""mt"")"),"aktar minn 50 ittra")</f>
        <v>aktar minn 50 ittra</v>
      </c>
    </row>
    <row r="9737" ht="15.75" customHeight="1">
      <c r="A9737" s="2" t="s">
        <v>9737</v>
      </c>
      <c r="B9737" s="2" t="str">
        <f>IFERROR(__xludf.DUMMYFUNCTION("GOOGLETRANSLATE(A9737, ""en"", ""mt"")"),"Meta seħħ dan l-attentat?")</f>
        <v>Meta seħħ dan l-attentat?</v>
      </c>
    </row>
    <row r="9738" ht="15.75" customHeight="1">
      <c r="A9738" s="2" t="s">
        <v>9738</v>
      </c>
      <c r="B9738" s="2" t="str">
        <f>IFERROR(__xludf.DUMMYFUNCTION("GOOGLETRANSLATE(A9738, ""en"", ""mt"")"),"Fejn twieled Friedrich Ratzel?")</f>
        <v>Fejn twieled Friedrich Ratzel?</v>
      </c>
    </row>
    <row r="9739" ht="15.75" customHeight="1">
      <c r="A9739" s="2" t="s">
        <v>9739</v>
      </c>
      <c r="B9739" s="2" t="str">
        <f>IFERROR(__xludf.DUMMYFUNCTION("GOOGLETRANSLATE(A9739, ""en"", ""mt"")"),"Meta fetaħ l-istadium ta 'Lev?")</f>
        <v>Meta fetaħ l-istadium ta 'Lev?</v>
      </c>
    </row>
    <row r="9740" ht="15.75" customHeight="1">
      <c r="A9740" s="2" t="s">
        <v>9740</v>
      </c>
      <c r="B9740" s="2" t="str">
        <f>IFERROR(__xludf.DUMMYFUNCTION("GOOGLETRANSLATE(A9740, ""en"", ""mt"")"),"34 miljun sena")</f>
        <v>34 miljun sena</v>
      </c>
    </row>
    <row r="9741" ht="15.75" customHeight="1">
      <c r="A9741" s="2" t="s">
        <v>9741</v>
      </c>
      <c r="B9741" s="2" t="str">
        <f>IFERROR(__xludf.DUMMYFUNCTION("GOOGLETRANSLATE(A9741, ""en"", ""mt"")"),"120 m")</f>
        <v>120 m</v>
      </c>
    </row>
    <row r="9742" ht="15.75" customHeight="1">
      <c r="A9742" s="2" t="s">
        <v>9742</v>
      </c>
      <c r="B9742" s="2" t="str">
        <f>IFERROR(__xludf.DUMMYFUNCTION("GOOGLETRANSLATE(A9742, ""en"", ""mt"")"),"X'kienet il-magna tal-fwar komponent importanti?")</f>
        <v>X'kienet il-magna tal-fwar komponent importanti?</v>
      </c>
    </row>
    <row r="9743" ht="15.75" customHeight="1">
      <c r="A9743" s="2" t="s">
        <v>9743</v>
      </c>
      <c r="B9743" s="2" t="str">
        <f>IFERROR(__xludf.DUMMYFUNCTION("GOOGLETRANSLATE(A9743, ""en"", ""mt"")"),"Il-Katekiżmu")</f>
        <v>Il-Katekiżmu</v>
      </c>
    </row>
    <row r="9744" ht="15.75" customHeight="1">
      <c r="A9744" s="2" t="s">
        <v>9744</v>
      </c>
      <c r="B9744" s="2" t="str">
        <f>IFERROR(__xludf.DUMMYFUNCTION("GOOGLETRANSLATE(A9744, ""en"", ""mt"")"),"X'importat l-offerta annwali tagħhom għall-kontroll tad-drittijiet biex ixandar il-Lega Primer?")</f>
        <v>X'importat l-offerta annwali tagħhom għall-kontroll tad-drittijiet biex ixandar il-Lega Primer?</v>
      </c>
    </row>
    <row r="9745" ht="15.75" customHeight="1">
      <c r="A9745" s="2" t="s">
        <v>9745</v>
      </c>
      <c r="B9745" s="2" t="str">
        <f>IFERROR(__xludf.DUMMYFUNCTION("GOOGLETRANSLATE(A9745, ""en"", ""mt"")"),"""Unità""")</f>
        <v>"Unità"</v>
      </c>
    </row>
    <row r="9746" ht="15.75" customHeight="1">
      <c r="A9746" s="2" t="s">
        <v>9746</v>
      </c>
      <c r="B9746" s="2" t="str">
        <f>IFERROR(__xludf.DUMMYFUNCTION("GOOGLETRANSLATE(A9746, ""en"", ""mt"")"),"Il-preżenza jew in-nuqqas ta 'dak li jista' jintuża biex tiddetermina l-età relattiva tal-formazzjonijiet li fihom jinstabu?")</f>
        <v>Il-preżenza jew in-nuqqas ta 'dak li jista' jintuża biex tiddetermina l-età relattiva tal-formazzjonijiet li fihom jinstabu?</v>
      </c>
    </row>
    <row r="9747" ht="15.75" customHeight="1">
      <c r="A9747" s="2" t="s">
        <v>9747</v>
      </c>
      <c r="B9747" s="2" t="str">
        <f>IFERROR(__xludf.DUMMYFUNCTION("GOOGLETRANSLATE(A9747, ""en"", ""mt"")"),"Il-Programm tal-Ambjent tan-Nazzjonijiet Uniti (UNEP) u l-Organizzazzjoni Meteoroloġika Dinjija (WMO)")</f>
        <v>Il-Programm tal-Ambjent tan-Nazzjonijiet Uniti (UNEP) u l-Organizzazzjoni Meteoroloġika Dinjija (WMO)</v>
      </c>
    </row>
    <row r="9748" ht="15.75" customHeight="1">
      <c r="A9748" s="2" t="s">
        <v>9748</v>
      </c>
      <c r="B9748" s="2" t="str">
        <f>IFERROR(__xludf.DUMMYFUNCTION("GOOGLETRANSLATE(A9748, ""en"", ""mt"")"),"Meta menich serva bħala president?")</f>
        <v>Meta menich serva bħala president?</v>
      </c>
    </row>
    <row r="9749" ht="15.75" customHeight="1">
      <c r="A9749" s="2" t="s">
        <v>9749</v>
      </c>
      <c r="B9749" s="2" t="str">
        <f>IFERROR(__xludf.DUMMYFUNCTION("GOOGLETRANSLATE(A9749, ""en"", ""mt"")"),"Fil-lejl tan-nar")</f>
        <v>Fil-lejl tan-nar</v>
      </c>
    </row>
    <row r="9750" ht="15.75" customHeight="1">
      <c r="A9750" s="2" t="s">
        <v>9750</v>
      </c>
      <c r="B9750" s="2" t="str">
        <f>IFERROR(__xludf.DUMMYFUNCTION("GOOGLETRANSLATE(A9750, ""en"", ""mt"")"),"Ħafna mill-Kanadiżi, inkluż l-uffiċjal kmandant tagħhom, Joseph Coulon de Jumonville")</f>
        <v>Ħafna mill-Kanadiżi, inkluż l-uffiċjal kmandant tagħhom, Joseph Coulon de Jumonville</v>
      </c>
    </row>
    <row r="9751" ht="15.75" customHeight="1">
      <c r="A9751" s="2" t="s">
        <v>9751</v>
      </c>
      <c r="B9751" s="2" t="str">
        <f>IFERROR(__xludf.DUMMYFUNCTION("GOOGLETRANSLATE(A9751, ""en"", ""mt"")"),"Ma 'dak li jikkuntrasta l-bdil tal-pakketti")</f>
        <v>Ma 'dak li jikkuntrasta l-bdil tal-pakketti</v>
      </c>
    </row>
    <row r="9752" ht="15.75" customHeight="1">
      <c r="A9752" s="2" t="s">
        <v>9752</v>
      </c>
      <c r="B9752" s="2" t="str">
        <f>IFERROR(__xludf.DUMMYFUNCTION("GOOGLETRANSLATE(A9752, ""en"", ""mt"")"),"X'kien l-ewwel Super Bowl li uża l-mudell tal-logo standardizzat?")</f>
        <v>X'kien l-ewwel Super Bowl li uża l-mudell tal-logo standardizzat?</v>
      </c>
    </row>
    <row r="9753" ht="15.75" customHeight="1">
      <c r="A9753" s="2" t="s">
        <v>9753</v>
      </c>
      <c r="B9753" s="2" t="str">
        <f>IFERROR(__xludf.DUMMYFUNCTION("GOOGLETRANSLATE(A9753, ""en"", ""mt"")"),"netwerk nazzjonali")</f>
        <v>netwerk nazzjonali</v>
      </c>
    </row>
    <row r="9754" ht="15.75" customHeight="1">
      <c r="A9754" s="2" t="s">
        <v>9754</v>
      </c>
      <c r="B9754" s="2" t="str">
        <f>IFERROR(__xludf.DUMMYFUNCTION("GOOGLETRANSLATE(A9754, ""en"", ""mt"")"),"Kinescope")</f>
        <v>Kinescope</v>
      </c>
    </row>
    <row r="9755" ht="15.75" customHeight="1">
      <c r="A9755" s="2" t="s">
        <v>9755</v>
      </c>
      <c r="B9755" s="2" t="str">
        <f>IFERROR(__xludf.DUMMYFUNCTION("GOOGLETRANSLATE(A9755, ""en"", ""mt"")"),"Imla l-informazzjoni dwar l-indirizzar")</f>
        <v>Imla l-informazzjoni dwar l-indirizzar</v>
      </c>
    </row>
    <row r="9756" ht="15.75" customHeight="1">
      <c r="A9756" s="2" t="s">
        <v>9756</v>
      </c>
      <c r="B9756" s="2" t="str">
        <f>IFERROR(__xludf.DUMMYFUNCTION("GOOGLETRANSLATE(A9756, ""en"", ""mt"")"),"X’għamlet l-industrija għar-Renu sas-snin 1980?")</f>
        <v>X’għamlet l-industrija għar-Renu sas-snin 1980?</v>
      </c>
    </row>
    <row r="9757" ht="15.75" customHeight="1">
      <c r="A9757" s="2" t="s">
        <v>9757</v>
      </c>
      <c r="B9757" s="2" t="str">
        <f>IFERROR(__xludf.DUMMYFUNCTION("GOOGLETRANSLATE(A9757, ""en"", ""mt"")"),"Duc d’Alençon")</f>
        <v>Duc d’Alençon</v>
      </c>
    </row>
    <row r="9758" ht="15.75" customHeight="1">
      <c r="A9758" s="2" t="s">
        <v>9758</v>
      </c>
      <c r="B9758" s="2" t="str">
        <f>IFERROR(__xludf.DUMMYFUNCTION("GOOGLETRANSLATE(A9758, ""en"", ""mt"")"),"Fruntiera Ġermaniża-Żvizzera")</f>
        <v>Fruntiera Ġermaniża-Żvizzera</v>
      </c>
    </row>
    <row r="9759" ht="15.75" customHeight="1">
      <c r="A9759" s="2" t="s">
        <v>9759</v>
      </c>
      <c r="B9759" s="2" t="str">
        <f>IFERROR(__xludf.DUMMYFUNCTION("GOOGLETRANSLATE(A9759, ""en"", ""mt"")"),"F'liema proċess hemm bżonn l-assorbiment mill-ossiġnu?")</f>
        <v>F'liema proċess hemm bżonn l-assorbiment mill-ossiġnu?</v>
      </c>
    </row>
    <row r="9760" ht="15.75" customHeight="1">
      <c r="A9760" s="2" t="s">
        <v>9760</v>
      </c>
      <c r="B9760" s="2" t="str">
        <f>IFERROR(__xludf.DUMMYFUNCTION("GOOGLETRANSLATE(A9760, ""en"", ""mt"")"),"Min hu avukat prominenti ta 'din it-teorija?")</f>
        <v>Min hu avukat prominenti ta 'din it-teorija?</v>
      </c>
    </row>
    <row r="9761" ht="15.75" customHeight="1">
      <c r="A9761" s="2" t="s">
        <v>9761</v>
      </c>
      <c r="B9761" s="2" t="str">
        <f>IFERROR(__xludf.DUMMYFUNCTION("GOOGLETRANSLATE(A9761, ""en"", ""mt"")"),"Ta 'liema forma huwa l-ammont infinit ta' primes li jinkludu l-każijiet speċjali ta 'l-ipoteżi ta' Schinzel?")</f>
        <v>Ta 'liema forma huwa l-ammont infinit ta' primes li jinkludu l-każijiet speċjali ta 'l-ipoteżi ta' Schinzel?</v>
      </c>
    </row>
    <row r="9762" ht="15.75" customHeight="1">
      <c r="A9762" s="2" t="s">
        <v>9762</v>
      </c>
      <c r="B9762" s="2" t="str">
        <f>IFERROR(__xludf.DUMMYFUNCTION("GOOGLETRANSLATE(A9762, ""en"", ""mt"")"),"Liema mexxejja attakkaw l-estremisti Iżlamiċi?")</f>
        <v>Liema mexxejja attakkaw l-estremisti Iżlamiċi?</v>
      </c>
    </row>
    <row r="9763" ht="15.75" customHeight="1">
      <c r="A9763" s="2" t="s">
        <v>9763</v>
      </c>
      <c r="B9763" s="2" t="str">
        <f>IFERROR(__xludf.DUMMYFUNCTION("GOOGLETRANSLATE(A9763, ""en"", ""mt"")"),"X'inhu l-innu magħruf bħala bl-Ingliż?")</f>
        <v>X'inhu l-innu magħruf bħala bl-Ingliż?</v>
      </c>
    </row>
    <row r="9764" ht="15.75" customHeight="1">
      <c r="A9764" s="2" t="s">
        <v>9764</v>
      </c>
      <c r="B9764" s="2" t="str">
        <f>IFERROR(__xludf.DUMMYFUNCTION("GOOGLETRANSLATE(A9764, ""en"", ""mt"")"),"Snin qabel mewtu, Genghis Khan talab biex jiġi midfun mingħajr marki, skond id-drawwiet tat-tribù tiegħu. Wara li miet, ġismu ġie rritornat lejn il-Mongolja u preżumibbilment lejn il-post fejn twieled fil-khentii amag, fejn ħafna jassumu li jinsab x'imkie"&amp;"n viċin ix-xmara onon u l-muntanja Burkhan Khaldun (parti mill-firxa tal-muntanji Kentii). Skond il-leġġenda, l-iskorta tal-funeral qatlet lil xi ħadd u kull ħaġa fit-triq tagħhom biex taħbi fejn finalment kien midfun. Il-mausoleum ta 'Genghis Khan, mibni"&amp;" ħafna snin wara mewtu, huwa t-tifkira tiegħu, iżda mhux is-sit tad-dfin tiegħu.")</f>
        <v>Snin qabel mewtu, Genghis Khan talab biex jiġi midfun mingħajr marki, skond id-drawwiet tat-tribù tiegħu. Wara li miet, ġismu ġie rritornat lejn il-Mongolja u preżumibbilment lejn il-post fejn twieled fil-khentii amag, fejn ħafna jassumu li jinsab x'imkien viċin ix-xmara onon u l-muntanja Burkhan Khaldun (parti mill-firxa tal-muntanji Kentii). Skond il-leġġenda, l-iskorta tal-funeral qatlet lil xi ħadd u kull ħaġa fit-triq tagħhom biex taħbi fejn finalment kien midfun. Il-mausoleum ta 'Genghis Khan, mibni ħafna snin wara mewtu, huwa t-tifkira tiegħu, iżda mhux is-sit tad-dfin tiegħu.</v>
      </c>
    </row>
    <row r="9765" ht="15.75" customHeight="1">
      <c r="A9765" s="2" t="s">
        <v>9765</v>
      </c>
      <c r="B9765" s="2" t="str">
        <f>IFERROR(__xludf.DUMMYFUNCTION("GOOGLETRANSLATE(A9765, ""en"", ""mt"")"),"Seklu 12")</f>
        <v>Seklu 12</v>
      </c>
    </row>
    <row r="9766" ht="15.75" customHeight="1">
      <c r="A9766" s="2" t="s">
        <v>9766</v>
      </c>
      <c r="B9766" s="2" t="str">
        <f>IFERROR(__xludf.DUMMYFUNCTION("GOOGLETRANSLATE(A9766, ""en"", ""mt"")"),"Is-sid")</f>
        <v>Is-sid</v>
      </c>
    </row>
    <row r="9767" ht="15.75" customHeight="1">
      <c r="A9767" s="2" t="s">
        <v>9767</v>
      </c>
      <c r="B9767" s="2" t="str">
        <f>IFERROR(__xludf.DUMMYFUNCTION("GOOGLETRANSLATE(A9767, ""en"", ""mt"")"),"Linja 41-tarzna.")</f>
        <v>Linja 41-tarzna.</v>
      </c>
    </row>
    <row r="9768" ht="15.75" customHeight="1">
      <c r="A9768" s="2" t="s">
        <v>9768</v>
      </c>
      <c r="B9768" s="2" t="str">
        <f>IFERROR(__xludf.DUMMYFUNCTION("GOOGLETRANSLATE(A9768, ""en"", ""mt"")"),"Għal liema premju ġiet innominata Michelle Gomez?")</f>
        <v>Għal liema premju ġiet innominata Michelle Gomez?</v>
      </c>
    </row>
    <row r="9769" ht="15.75" customHeight="1">
      <c r="A9769" s="2" t="s">
        <v>9769</v>
      </c>
      <c r="B9769" s="2" t="str">
        <f>IFERROR(__xludf.DUMMYFUNCTION("GOOGLETRANSLATE(A9769, ""en"", ""mt"")"),"Liema mard ħafna xjenzati jemmnu li kkontribwew għall-pandemija tal-pesta?")</f>
        <v>Liema mard ħafna xjenzati jemmnu li kkontribwew għall-pandemija tal-pesta?</v>
      </c>
    </row>
    <row r="9770" ht="15.75" customHeight="1">
      <c r="A9770" s="2" t="s">
        <v>9770</v>
      </c>
      <c r="B9770" s="2" t="str">
        <f>IFERROR(__xludf.DUMMYFUNCTION("GOOGLETRANSLATE(A9770, ""en"", ""mt"")"),"esperjenza")</f>
        <v>esperjenza</v>
      </c>
    </row>
    <row r="9771" ht="15.75" customHeight="1">
      <c r="A9771" s="2" t="s">
        <v>9771</v>
      </c>
      <c r="B9771" s="2" t="str">
        <f>IFERROR(__xludf.DUMMYFUNCTION("GOOGLETRANSLATE(A9771, ""en"", ""mt"")"),"Redwood City, California")</f>
        <v>Redwood City, California</v>
      </c>
    </row>
    <row r="9772" ht="15.75" customHeight="1">
      <c r="A9772" s="2" t="s">
        <v>9772</v>
      </c>
      <c r="B9772" s="2" t="str">
        <f>IFERROR(__xludf.DUMMYFUNCTION("GOOGLETRANSLATE(A9772, ""en"", ""mt"")"),"Xi tieħu pajjiż b'inugwaljanza għolja itwal biex tinkiseb?")</f>
        <v>Xi tieħu pajjiż b'inugwaljanza għolja itwal biex tinkiseb?</v>
      </c>
    </row>
    <row r="9773" ht="15.75" customHeight="1">
      <c r="A9773" s="2" t="s">
        <v>9773</v>
      </c>
      <c r="B9773" s="2" t="str">
        <f>IFERROR(__xludf.DUMMYFUNCTION("GOOGLETRANSLATE(A9773, ""en"", ""mt"")"),"Vjaġġ bir-ritorn mis-siti kollha f'Milan li t-tul totali tiegħu huwa l-aktar 10 km")</f>
        <v>Vjaġġ bir-ritorn mis-siti kollha f'Milan li t-tul totali tiegħu huwa l-aktar 10 km</v>
      </c>
    </row>
    <row r="9774" ht="15.75" customHeight="1">
      <c r="A9774" s="2" t="s">
        <v>9774</v>
      </c>
      <c r="B9774" s="2" t="str">
        <f>IFERROR(__xludf.DUMMYFUNCTION("GOOGLETRANSLATE(A9774, ""en"", ""mt"")"),"Kemm jista 'jkollu inkarnazzjonijiet?")</f>
        <v>Kemm jista 'jkollu inkarnazzjonijiet?</v>
      </c>
    </row>
    <row r="9775" ht="15.75" customHeight="1">
      <c r="A9775" s="2" t="s">
        <v>9775</v>
      </c>
      <c r="B9775" s="2" t="str">
        <f>IFERROR(__xludf.DUMMYFUNCTION("GOOGLETRANSLATE(A9775, ""en"", ""mt"")"),"X'inhu l-freeman ta 'Newcastle jagħmlu bil-baqar tagħhom fuq il-belt Moor?")</f>
        <v>X'inhu l-freeman ta 'Newcastle jagħmlu bil-baqar tagħhom fuq il-belt Moor?</v>
      </c>
    </row>
    <row r="9776" ht="15.75" customHeight="1">
      <c r="A9776" s="2" t="s">
        <v>9776</v>
      </c>
      <c r="B9776" s="2" t="str">
        <f>IFERROR(__xludf.DUMMYFUNCTION("GOOGLETRANSLATE(A9776, ""en"", ""mt"")"),"F’liema sena kienet il-kollezzjoni ta ’ħaġar prezzjuż ta’ Reverend Chauncy Hare Townshend inħelset fil-mużew?")</f>
        <v>F’liema sena kienet il-kollezzjoni ta ’ħaġar prezzjuż ta’ Reverend Chauncy Hare Townshend inħelset fil-mużew?</v>
      </c>
    </row>
    <row r="9777" ht="15.75" customHeight="1">
      <c r="A9777" s="2" t="s">
        <v>9777</v>
      </c>
      <c r="B9777" s="2" t="str">
        <f>IFERROR(__xludf.DUMMYFUNCTION("GOOGLETRANSLATE(A9777, ""en"", ""mt"")"),"Min kien il-konsulent tax-xjenza ta 'Kennedy li oppona titjiriet tal-vettura spazjali bl-ekwipaġġ?")</f>
        <v>Min kien il-konsulent tax-xjenza ta 'Kennedy li oppona titjiriet tal-vettura spazjali bl-ekwipaġġ?</v>
      </c>
    </row>
    <row r="9778" ht="15.75" customHeight="1">
      <c r="A9778" s="2" t="s">
        <v>9778</v>
      </c>
      <c r="B9778" s="2" t="str">
        <f>IFERROR(__xludf.DUMMYFUNCTION("GOOGLETRANSLATE(A9778, ""en"", ""mt"")"),"Il-klassifikazzjoni industrijali standard u s-sistema l-aktar ġdida ta 'klassifikazzjoni tal-industrija tal-Amerika ta' Fuq għandhom sistema ta 'klassifikazzjoni għal kumpaniji li jwettqu jew inkella jidħlu fil-kostruzzjoni. Biex tirrikonoxxi d-differenzi"&amp;" tal-kumpaniji f'dan is-settur, hija maqsuma fi tliet subsetturi: kostruzzjoni tal-bini, kostruzzjoni ta 'inġinerija tqila u ċivili, u kuntratturi tal-kummerċ ta' speċjalità. Hemm ukoll kategoriji għal ditti ta 'servizzi ta' kostruzzjoni (per eżempju, inġ"&amp;"inerija, arkitettura) u maniġers ta 'kostruzzjoni (ditti involuti fil-ġestjoni ta' proġetti ta 'kostruzzjoni mingħajr ma jassumu r-responsabbiltà finanzjarja diretta għat-tlestija tal-proġett ta' kostruzzjoni).")</f>
        <v>Il-klassifikazzjoni industrijali standard u s-sistema l-aktar ġdida ta 'klassifikazzjoni tal-industrija tal-Amerika ta' Fuq għandhom sistema ta 'klassifikazzjoni għal kumpaniji li jwettqu jew inkella jidħlu fil-kostruzzjoni. Biex tirrikonoxxi d-differenzi tal-kumpaniji f'dan is-settur, hija maqsuma fi tliet subsetturi: kostruzzjoni tal-bini, kostruzzjoni ta 'inġinerija tqila u ċivili, u kuntratturi tal-kummerċ ta' speċjalità. Hemm ukoll kategoriji għal ditti ta 'servizzi ta' kostruzzjoni (per eżempju, inġinerija, arkitettura) u maniġers ta 'kostruzzjoni (ditti involuti fil-ġestjoni ta' proġetti ta 'kostruzzjoni mingħajr ma jassumu r-responsabbiltà finanzjarja diretta għat-tlestija tal-proġett ta' kostruzzjoni).</v>
      </c>
    </row>
    <row r="9779" ht="15.75" customHeight="1">
      <c r="A9779" s="2" t="s">
        <v>9779</v>
      </c>
      <c r="B9779" s="2" t="str">
        <f>IFERROR(__xludf.DUMMYFUNCTION("GOOGLETRANSLATE(A9779, ""en"", ""mt"")"),"il-kodiċi Yassa")</f>
        <v>il-kodiċi Yassa</v>
      </c>
    </row>
    <row r="9780" ht="15.75" customHeight="1">
      <c r="A9780" s="2" t="s">
        <v>9780</v>
      </c>
      <c r="B9780" s="2" t="str">
        <f>IFERROR(__xludf.DUMMYFUNCTION("GOOGLETRANSLATE(A9780, ""en"", ""mt"")"),"Liema sena l-università għamlitha mal-Kulleġġ Shimer?")</f>
        <v>Liema sena l-università għamlitha mal-Kulleġġ Shimer?</v>
      </c>
    </row>
    <row r="9781" ht="15.75" customHeight="1">
      <c r="A9781" s="2" t="s">
        <v>9781</v>
      </c>
      <c r="B9781" s="2" t="str">
        <f>IFERROR(__xludf.DUMMYFUNCTION("GOOGLETRANSLATE(A9781, ""en"", ""mt"")"),"X'kienet ikkunsidrata bħala responsabbli għall-mewt sewda kif ukoll għall-epidemija fin-Nofsinhar taċ-Ċina?")</f>
        <v>X'kienet ikkunsidrata bħala responsabbli għall-mewt sewda kif ukoll għall-epidemija fin-Nofsinhar taċ-Ċina?</v>
      </c>
    </row>
    <row r="9782" ht="15.75" customHeight="1">
      <c r="A9782" s="2" t="s">
        <v>9782</v>
      </c>
      <c r="B9782" s="2" t="str">
        <f>IFERROR(__xludf.DUMMYFUNCTION("GOOGLETRANSLATE(A9782, ""en"", ""mt"")"),"Negozji ż-żgħar logħba kbira")</f>
        <v>Negozji ż-żgħar logħba kbira</v>
      </c>
    </row>
    <row r="9783" ht="15.75" customHeight="1">
      <c r="A9783" s="2" t="s">
        <v>9783</v>
      </c>
      <c r="B9783" s="2" t="str">
        <f>IFERROR(__xludf.DUMMYFUNCTION("GOOGLETRANSLATE(A9783, ""en"", ""mt"")"),"Proporzjon baxx ta 'materja organika għal melħ u ilma")</f>
        <v>Proporzjon baxx ta 'materja organika għal melħ u ilma</v>
      </c>
    </row>
    <row r="9784" ht="15.75" customHeight="1">
      <c r="A9784" s="2" t="s">
        <v>9784</v>
      </c>
      <c r="B9784" s="2" t="str">
        <f>IFERROR(__xludf.DUMMYFUNCTION("GOOGLETRANSLATE(A9784, ""en"", ""mt"")"),"Liema professjoni għandu Simon Kuznets?")</f>
        <v>Liema professjoni għandu Simon Kuznets?</v>
      </c>
    </row>
    <row r="9785" ht="15.75" customHeight="1">
      <c r="A9785" s="2" t="s">
        <v>9785</v>
      </c>
      <c r="B9785" s="2" t="str">
        <f>IFERROR(__xludf.DUMMYFUNCTION("GOOGLETRANSLATE(A9785, ""en"", ""mt"")"),"X'għandu jkopri l-qasam il-ġdid fil-Levi's Stadium?")</f>
        <v>X'għandu jkopri l-qasam il-ġdid fil-Levi's Stadium?</v>
      </c>
    </row>
    <row r="9786" ht="15.75" customHeight="1">
      <c r="A9786" s="2" t="s">
        <v>9786</v>
      </c>
      <c r="B9786" s="2" t="str">
        <f>IFERROR(__xludf.DUMMYFUNCTION("GOOGLETRANSLATE(A9786, ""en"", ""mt"")"),"Ħarifa 1347")</f>
        <v>Ħarifa 1347</v>
      </c>
    </row>
    <row r="9787" ht="15.75" customHeight="1">
      <c r="A9787" s="2" t="s">
        <v>9787</v>
      </c>
      <c r="B9787" s="2" t="str">
        <f>IFERROR(__xludf.DUMMYFUNCTION("GOOGLETRANSLATE(A9787, ""en"", ""mt"")"),"Liema attakki proposti ppjanaw Shirley?")</f>
        <v>Liema attakki proposti ppjanaw Shirley?</v>
      </c>
    </row>
    <row r="9788" ht="15.75" customHeight="1">
      <c r="A9788" s="2" t="s">
        <v>9788</v>
      </c>
      <c r="B9788" s="2" t="str">
        <f>IFERROR(__xludf.DUMMYFUNCTION("GOOGLETRANSLATE(A9788, ""en"", ""mt"")"),"X'qal l-IPCC li kien żbaljat?")</f>
        <v>X'qal l-IPCC li kien żbaljat?</v>
      </c>
    </row>
    <row r="9789" ht="15.75" customHeight="1">
      <c r="A9789" s="2" t="s">
        <v>9789</v>
      </c>
      <c r="B9789" s="2" t="str">
        <f>IFERROR(__xludf.DUMMYFUNCTION("GOOGLETRANSLATE(A9789, ""en"", ""mt"")"),"fl-Afrika")</f>
        <v>fl-Afrika</v>
      </c>
    </row>
    <row r="9790" ht="15.75" customHeight="1">
      <c r="A9790" s="2" t="s">
        <v>9790</v>
      </c>
      <c r="B9790" s="2" t="str">
        <f>IFERROR(__xludf.DUMMYFUNCTION("GOOGLETRANSLATE(A9790, ""en"", ""mt"")"),"Għaliex Tesla bdiet tinvestiga enerġija inviżibbli?")</f>
        <v>Għaliex Tesla bdiet tinvestiga enerġija inviżibbli?</v>
      </c>
    </row>
    <row r="9791" ht="15.75" customHeight="1">
      <c r="A9791" s="2" t="s">
        <v>9791</v>
      </c>
      <c r="B9791" s="2" t="str">
        <f>IFERROR(__xludf.DUMMYFUNCTION("GOOGLETRANSLATE(A9791, ""en"", ""mt"")"),"Statwa tal-Eroj")</f>
        <v>Statwa tal-Eroj</v>
      </c>
    </row>
    <row r="9792" ht="15.75" customHeight="1">
      <c r="A9792" s="2" t="s">
        <v>9792</v>
      </c>
      <c r="B9792" s="2" t="str">
        <f>IFERROR(__xludf.DUMMYFUNCTION("GOOGLETRANSLATE(A9792, ""en"", ""mt"")"),"b'aktar minn 100%")</f>
        <v>b'aktar minn 100%</v>
      </c>
    </row>
    <row r="9793" ht="15.75" customHeight="1">
      <c r="A9793" s="2" t="s">
        <v>9793</v>
      </c>
      <c r="B9793" s="2" t="str">
        <f>IFERROR(__xludf.DUMMYFUNCTION("GOOGLETRANSLATE(A9793, ""en"", ""mt"")"),"Żwiġijiet tal-istess sess b'riżoluzzjonijiet")</f>
        <v>Żwiġijiet tal-istess sess b'riżoluzzjonijiet</v>
      </c>
    </row>
    <row r="9794" ht="15.75" customHeight="1">
      <c r="A9794" s="2" t="s">
        <v>9794</v>
      </c>
      <c r="B9794" s="2" t="str">
        <f>IFERROR(__xludf.DUMMYFUNCTION("GOOGLETRANSLATE(A9794, ""en"", ""mt"")"),"Camisards")</f>
        <v>Camisards</v>
      </c>
    </row>
    <row r="9795" ht="15.75" customHeight="1">
      <c r="A9795" s="2" t="s">
        <v>9795</v>
      </c>
      <c r="B9795" s="2" t="str">
        <f>IFERROR(__xludf.DUMMYFUNCTION("GOOGLETRANSLATE(A9795, ""en"", ""mt"")"),"Min Luther fakkar lill-bdiewa biex jobdu?")</f>
        <v>Min Luther fakkar lill-bdiewa biex jobdu?</v>
      </c>
    </row>
    <row r="9796" ht="15.75" customHeight="1">
      <c r="A9796" s="2" t="s">
        <v>9796</v>
      </c>
      <c r="B9796" s="2" t="str">
        <f>IFERROR(__xludf.DUMMYFUNCTION("GOOGLETRANSLATE(A9796, ""en"", ""mt"")"),"Kif il-Mongoljani xi darba jiddeskrivu r-relazzjoni tagħhom ma 'Genghis Khan?")</f>
        <v>Kif il-Mongoljani xi darba jiddeskrivu r-relazzjoni tagħhom ma 'Genghis Khan?</v>
      </c>
    </row>
    <row r="9797" ht="15.75" customHeight="1">
      <c r="A9797" s="2" t="s">
        <v>9797</v>
      </c>
      <c r="B9797" s="2" t="str">
        <f>IFERROR(__xludf.DUMMYFUNCTION("GOOGLETRANSLATE(A9797, ""en"", ""mt"")"),"Kemm għandha kampus l-Università ta 'l-Istat ta' Kalifornja?")</f>
        <v>Kemm għandha kampus l-Università ta 'l-Istat ta' Kalifornja?</v>
      </c>
    </row>
    <row r="9798" ht="15.75" customHeight="1">
      <c r="A9798" s="2" t="s">
        <v>9798</v>
      </c>
      <c r="B9798" s="2" t="str">
        <f>IFERROR(__xludf.DUMMYFUNCTION("GOOGLETRANSLATE(A9798, ""en"", ""mt"")"),"1996")</f>
        <v>1996</v>
      </c>
    </row>
    <row r="9799" ht="15.75" customHeight="1">
      <c r="A9799" s="2" t="s">
        <v>9799</v>
      </c>
      <c r="B9799" s="2" t="str">
        <f>IFERROR(__xludf.DUMMYFUNCTION("GOOGLETRANSLATE(A9799, ""en"", ""mt"")"),"Pannerdens Kanaal")</f>
        <v>Pannerdens Kanaal</v>
      </c>
    </row>
    <row r="9800" ht="15.75" customHeight="1">
      <c r="A9800" s="2" t="s">
        <v>9800</v>
      </c>
      <c r="B9800" s="2" t="str">
        <f>IFERROR(__xludf.DUMMYFUNCTION("GOOGLETRANSLATE(A9800, ""en"", ""mt"")"),"Huwa miftuħ għall-età kollha irrispettivament mill-età, il-livell tal-litteriżmu u għandu materjali rilevanti għal nies ta 'kull qasam tal-ħajja")</f>
        <v>Huwa miftuħ għall-età kollha irrispettivament mill-età, il-livell tal-litteriżmu u għandu materjali rilevanti għal nies ta 'kull qasam tal-ħajja</v>
      </c>
    </row>
    <row r="9801" ht="15.75" customHeight="1">
      <c r="A9801" s="2" t="s">
        <v>9801</v>
      </c>
      <c r="B9801" s="2" t="str">
        <f>IFERROR(__xludf.DUMMYFUNCTION("GOOGLETRANSLATE(A9801, ""en"", ""mt"")"),"Elimina l-liġi ta 'akkuża")</f>
        <v>Elimina l-liġi ta 'akkuża</v>
      </c>
    </row>
    <row r="9802" ht="15.75" customHeight="1">
      <c r="A9802" s="2" t="s">
        <v>9802</v>
      </c>
      <c r="B9802" s="2" t="str">
        <f>IFERROR(__xludf.DUMMYFUNCTION("GOOGLETRANSLATE(A9802, ""en"", ""mt"")"),"ambjent")</f>
        <v>ambjent</v>
      </c>
    </row>
    <row r="9803" ht="15.75" customHeight="1">
      <c r="A9803" s="2" t="s">
        <v>9803</v>
      </c>
      <c r="B9803" s="2" t="str">
        <f>IFERROR(__xludf.DUMMYFUNCTION("GOOGLETRANSLATE(A9803, ""en"", ""mt"")"),"Min spiċċa jissostitwixxi lil Joseph Francis Shea bħala l-maniġer tal-ASPO?")</f>
        <v>Min spiċċa jissostitwixxi lil Joseph Francis Shea bħala l-maniġer tal-ASPO?</v>
      </c>
    </row>
    <row r="9804" ht="15.75" customHeight="1">
      <c r="A9804" s="2" t="s">
        <v>9804</v>
      </c>
      <c r="B9804" s="2" t="str">
        <f>IFERROR(__xludf.DUMMYFUNCTION("GOOGLETRANSLATE(A9804, ""en"", ""mt"")"),"imkeċċi")</f>
        <v>imkeċċi</v>
      </c>
    </row>
    <row r="9805" ht="15.75" customHeight="1">
      <c r="A9805" s="2" t="s">
        <v>9805</v>
      </c>
      <c r="B9805" s="2" t="str">
        <f>IFERROR(__xludf.DUMMYFUNCTION("GOOGLETRANSLATE(A9805, ""en"", ""mt"")"),"Farmaċija")</f>
        <v>Farmaċija</v>
      </c>
    </row>
    <row r="9806" ht="15.75" customHeight="1">
      <c r="A9806" s="2" t="s">
        <v>9806</v>
      </c>
      <c r="B9806" s="2" t="str">
        <f>IFERROR(__xludf.DUMMYFUNCTION("GOOGLETRANSLATE(A9806, ""en"", ""mt"")"),"fungi")</f>
        <v>fungi</v>
      </c>
    </row>
    <row r="9807" ht="15.75" customHeight="1">
      <c r="A9807" s="2" t="s">
        <v>9807</v>
      </c>
      <c r="B9807" s="2" t="str">
        <f>IFERROR(__xludf.DUMMYFUNCTION("GOOGLETRANSLATE(A9807, ""en"", ""mt"")"),"Min kien il-kap tad-dar li Temüjin ingħaqad meta kellu disa 'snin?")</f>
        <v>Min kien il-kap tad-dar li Temüjin ingħaqad meta kellu disa 'snin?</v>
      </c>
    </row>
    <row r="9808" ht="15.75" customHeight="1">
      <c r="A9808" s="2" t="s">
        <v>9808</v>
      </c>
      <c r="B9808" s="2" t="str">
        <f>IFERROR(__xludf.DUMMYFUNCTION("GOOGLETRANSLATE(A9808, ""en"", ""mt"")"),"biex ma tagħtix tfittxija ta 'kunsens")</f>
        <v>biex ma tagħtix tfittxija ta 'kunsens</v>
      </c>
    </row>
    <row r="9809" ht="15.75" customHeight="1">
      <c r="A9809" s="2" t="s">
        <v>9809</v>
      </c>
      <c r="B9809" s="2" t="str">
        <f>IFERROR(__xludf.DUMMYFUNCTION("GOOGLETRANSLATE(A9809, ""en"", ""mt"")"),"Meta kienet l-ewwel plastome sekwenzjat?")</f>
        <v>Meta kienet l-ewwel plastome sekwenzjat?</v>
      </c>
    </row>
    <row r="9810" ht="15.75" customHeight="1">
      <c r="A9810" s="2" t="s">
        <v>9810</v>
      </c>
      <c r="B9810" s="2" t="str">
        <f>IFERROR(__xludf.DUMMYFUNCTION("GOOGLETRANSLATE(A9810, ""en"", ""mt"")"),"Liema ġlied ieħor kien involut fit-teħid ta 'Louisbourg?")</f>
        <v>Liema ġlied ieħor kien involut fit-teħid ta 'Louisbourg?</v>
      </c>
    </row>
    <row r="9811" ht="15.75" customHeight="1">
      <c r="A9811" s="2" t="s">
        <v>9811</v>
      </c>
      <c r="B9811" s="2" t="str">
        <f>IFERROR(__xludf.DUMMYFUNCTION("GOOGLETRANSLATE(A9811, ""en"", ""mt"")"),"""Bairn"" u ""Hyem"" għandhom oriġini minn liema kultura?")</f>
        <v>"Bairn" u "Hyem" għandhom oriġini minn liema kultura?</v>
      </c>
    </row>
    <row r="9812" ht="15.75" customHeight="1">
      <c r="A9812" s="2" t="s">
        <v>9812</v>
      </c>
      <c r="B9812" s="2" t="str">
        <f>IFERROR(__xludf.DUMMYFUNCTION("GOOGLETRANSLATE(A9812, ""en"", ""mt"")"),"sponoż")</f>
        <v>sponoż</v>
      </c>
    </row>
    <row r="9813" ht="15.75" customHeight="1">
      <c r="A9813" s="2" t="s">
        <v>9813</v>
      </c>
      <c r="B9813" s="2" t="str">
        <f>IFERROR(__xludf.DUMMYFUNCTION("GOOGLETRANSLATE(A9813, ""en"", ""mt"")"),"Produttività mnaqqsa")</f>
        <v>Produttività mnaqqsa</v>
      </c>
    </row>
    <row r="9814" ht="15.75" customHeight="1">
      <c r="A9814" s="2" t="s">
        <v>9814</v>
      </c>
      <c r="B9814" s="2" t="str">
        <f>IFERROR(__xludf.DUMMYFUNCTION("GOOGLETRANSLATE(A9814, ""en"", ""mt"")"),"Kemm 'il bogħod mit-tarzna tinsab il-quad?")</f>
        <v>Kemm 'il bogħod mit-tarzna tinsab il-quad?</v>
      </c>
    </row>
    <row r="9815" ht="15.75" customHeight="1">
      <c r="A9815" s="2" t="s">
        <v>9815</v>
      </c>
      <c r="B9815" s="2" t="str">
        <f>IFERROR(__xludf.DUMMYFUNCTION("GOOGLETRANSLATE(A9815, ""en"", ""mt"")"),"X'tip ta 'ferrovija jirrikjedu wħud mir-rotot ġodda proposti?")</f>
        <v>X'tip ta 'ferrovija jirrikjedu wħud mir-rotot ġodda proposti?</v>
      </c>
    </row>
    <row r="9816" ht="15.75" customHeight="1">
      <c r="A9816" s="2" t="s">
        <v>9816</v>
      </c>
      <c r="B9816" s="2" t="str">
        <f>IFERROR(__xludf.DUMMYFUNCTION("GOOGLETRANSLATE(A9816, ""en"", ""mt"")"),"George Stephenson,")</f>
        <v>George Stephenson,</v>
      </c>
    </row>
    <row r="9817" ht="15.75" customHeight="1">
      <c r="A9817" s="2" t="s">
        <v>9817</v>
      </c>
      <c r="B9817" s="2" t="str">
        <f>IFERROR(__xludf.DUMMYFUNCTION("GOOGLETRANSLATE(A9817, ""en"", ""mt"")"),"Le")</f>
        <v>Le</v>
      </c>
    </row>
    <row r="9818" ht="15.75" customHeight="1">
      <c r="A9818" s="2" t="s">
        <v>9818</v>
      </c>
      <c r="B9818" s="2" t="str">
        <f>IFERROR(__xludf.DUMMYFUNCTION("GOOGLETRANSLATE(A9818, ""en"", ""mt"")"),"Suite ta 'protokolli tan-netwerk maħluqa minn Digital Equipment Corporation")</f>
        <v>Suite ta 'protokolli tan-netwerk maħluqa minn Digital Equipment Corporation</v>
      </c>
    </row>
    <row r="9819" ht="15.75" customHeight="1">
      <c r="A9819" s="2" t="s">
        <v>9819</v>
      </c>
      <c r="B9819" s="2" t="str">
        <f>IFERROR(__xludf.DUMMYFUNCTION("GOOGLETRANSLATE(A9819, ""en"", ""mt"")"),"Bidu kemm snin ilu l-Amazon Rainforest estendiet 45 grad fin-nofsinhar?")</f>
        <v>Bidu kemm snin ilu l-Amazon Rainforest estendiet 45 grad fin-nofsinhar?</v>
      </c>
    </row>
    <row r="9820" ht="15.75" customHeight="1">
      <c r="A9820" s="2" t="s">
        <v>9820</v>
      </c>
      <c r="B9820" s="2" t="str">
        <f>IFERROR(__xludf.DUMMYFUNCTION("GOOGLETRANSLATE(A9820, ""en"", ""mt"")"),"Fejn kienet disponibbli l-verżjoni Spanjola ESPN Deportes ta 'Super Bowl 50?")</f>
        <v>Fejn kienet disponibbli l-verżjoni Spanjola ESPN Deportes ta 'Super Bowl 50?</v>
      </c>
    </row>
    <row r="9821" ht="15.75" customHeight="1">
      <c r="A9821" s="2" t="s">
        <v>9821</v>
      </c>
      <c r="B9821" s="2" t="str">
        <f>IFERROR(__xludf.DUMMYFUNCTION("GOOGLETRANSLATE(A9821, ""en"", ""mt"")"),"Definizzjonijiet operattivi preċiżi")</f>
        <v>Definizzjonijiet operattivi preċiżi</v>
      </c>
    </row>
    <row r="9822" ht="15.75" customHeight="1">
      <c r="A9822" s="2" t="s">
        <v>9822</v>
      </c>
      <c r="B9822" s="2" t="str">
        <f>IFERROR(__xludf.DUMMYFUNCTION("GOOGLETRANSLATE(A9822, ""en"", ""mt"")"),"Tpinġi r-relazzjoni bejn il-livell ta 'dħul u l-inugwaljanza, il-Kuznets raw l-ekonomiji ta' dħul medju li qed jiżviluppaw il-livell ta 'inugwaljanza li joħroġ biex jifforma dak li issa huwa magħruf bħala l-kurva tal-Kuznets. Kuznets urew din ir-relazzjon"&amp;"i bl-użu ta 'dejta trasversali. Madankollu, ittestjar aktar reċenti ta 'din it-teorija b'data ta' pannell superjuri wera li huwa dgħajjef ħafna. Il-kurva ta 'Kuznets tbassar li l-inugwaljanza fid-dħul eventwalment tonqos il-ħin. Bħala eżempju, l-inugwalja"&amp;"nza fid-dħul waqgħet fl-Istati Uniti matul il-moviment tal-iskola għolja tagħha mill-1910 sal-1940 u wara. [Ċitazzjoni meħtieġa] Madankollu, dejta riċenti turi li l-livell ta 'inugwaljanza fid-dħul beda jiżdied wara s-snin sebgħin. Dan mhux neċessarjament"&amp;" jikkontesta t-teorija tal-Kuznets. [Ċitazzjoni meħtieġa] Jista 'jkun possibbli li ċiklu ta' Kuznets ieħor iseħħ, speċifikament il-moviment mis-settur tal-manifattura għas-settur tas-servizz. [Ċitazzjoni meħtieġa] Dan jimplika li jista 'jkun possibbli għa"&amp;"l multiplu Iċ-ċikli tal-Kuznets għandhom ikunu fis-seħħ fi kwalunkwe ħin.")</f>
        <v>Tpinġi r-relazzjoni bejn il-livell ta 'dħul u l-inugwaljanza, il-Kuznets raw l-ekonomiji ta' dħul medju li qed jiżviluppaw il-livell ta 'inugwaljanza li joħroġ biex jifforma dak li issa huwa magħruf bħala l-kurva tal-Kuznets. Kuznets urew din ir-relazzjoni bl-użu ta 'dejta trasversali. Madankollu, ittestjar aktar reċenti ta 'din it-teorija b'data ta' pannell superjuri wera li huwa dgħajjef ħafna. Il-kurva ta 'Kuznets tbassar li l-inugwaljanza fid-dħul eventwalment tonqos il-ħin. Bħala eżempju, l-inugwaljanza fid-dħul waqgħet fl-Istati Uniti matul il-moviment tal-iskola għolja tagħha mill-1910 sal-1940 u wara. [Ċitazzjoni meħtieġa] Madankollu, dejta riċenti turi li l-livell ta 'inugwaljanza fid-dħul beda jiżdied wara s-snin sebgħin. Dan mhux neċessarjament jikkontesta t-teorija tal-Kuznets. [Ċitazzjoni meħtieġa] Jista 'jkun possibbli li ċiklu ta' Kuznets ieħor iseħħ, speċifikament il-moviment mis-settur tal-manifattura għas-settur tas-servizz. [Ċitazzjoni meħtieġa] Dan jimplika li jista 'jkun possibbli għal multiplu Iċ-ċikli tal-Kuznets għandhom ikunu fis-seħħ fi kwalunkwe ħin.</v>
      </c>
    </row>
    <row r="9823" ht="15.75" customHeight="1">
      <c r="A9823" s="2" t="s">
        <v>9823</v>
      </c>
      <c r="B9823" s="2" t="str">
        <f>IFERROR(__xludf.DUMMYFUNCTION("GOOGLETRANSLATE(A9823, ""en"", ""mt"")"),"L-armata Mongoljana taħt Genghis Khan, il-Ġenerali u wliedu qasmu l-Muntanji Tien Shan billi daħlu fiż-żona kkontrollata mill-Imperu Khwarezmian. Wara li ġab l-intelliġenza minn bosta sorsi Genghis Khan ħejja bir-reqqa l-armata tiegħu, li kienet maqsuma f"&amp;"i tliet gruppi. Ibnu Jochi mexxa l-ewwel diviżjoni fil-grigal ta 'Khwarezmia. It-tieni diviżjoni taħt Jebe marret b’mod sigriet lejn il-parti tax-Xlokk ta ’Khwarzemia biex tifforma, bl-ewwel diviżjoni, attakk ta’ Pincer fuq Samarkand. It-tielet diviżjoni "&amp;"taħt Genghis Khan u Tolui marru lejn il-majjistral u attakkaw lil Khwarzemia minn dik id-direzzjoni.")</f>
        <v>L-armata Mongoljana taħt Genghis Khan, il-Ġenerali u wliedu qasmu l-Muntanji Tien Shan billi daħlu fiż-żona kkontrollata mill-Imperu Khwarezmian. Wara li ġab l-intelliġenza minn bosta sorsi Genghis Khan ħejja bir-reqqa l-armata tiegħu, li kienet maqsuma fi tliet gruppi. Ibnu Jochi mexxa l-ewwel diviżjoni fil-grigal ta 'Khwarezmia. It-tieni diviżjoni taħt Jebe marret b’mod sigriet lejn il-parti tax-Xlokk ta ’Khwarzemia biex tifforma, bl-ewwel diviżjoni, attakk ta’ Pincer fuq Samarkand. It-tielet diviżjoni taħt Genghis Khan u Tolui marru lejn il-majjistral u attakkaw lil Khwarzemia minn dik id-direzzjoni.</v>
      </c>
    </row>
    <row r="9824" ht="15.75" customHeight="1">
      <c r="A9824" s="2" t="s">
        <v>9824</v>
      </c>
      <c r="B9824" s="2" t="str">
        <f>IFERROR(__xludf.DUMMYFUNCTION("GOOGLETRANSLATE(A9824, ""en"", ""mt"")"),"Varsavja tinsab fuq żewġ formazzjonijiet ġeomorfoloġiċi ewlenin: il-plateau tal-moraine sempliċi u l-wied Vistula bil-mudell asimmetriku tagħha ta 'terrazzi differenti. Ix-Xmara Vistula hija l-assi speċifiku ta 'Varsavja, li taqsam il-belt f'żewġ partijie"&amp;"t, xellug u lemin. Ix-xellug jinsab kemm fuq il-plateau Moraine (10 sa 25 m (32.8 sa 82.0 ft) 'il fuq mil-livell ta' vistula) kif ukoll fuq it-terrazzi tal-vistula (max. 6.5 m (21.3 ft) 'il fuq mil-livell ta' Vistula). L-element sinifikanti tas-serħan, f'"&amp;"din il-parti ta 'Varsavja, huwa t-tarf tal-Plateau Moraine imsejjaħ Escarpment ta' Varsavja. Huwa għoli 20 sa 25 m (65.6 sa 82.0 ft) fil-belt il-qadima u d-distrett ċentrali u madwar 10 m (32.8 ft) fit-tramuntana u fin-nofsinhar ta 'Varsavja. Hija tgħaddi"&amp;" mill-belt u għandha rwol importanti bħala monument.")</f>
        <v>Varsavja tinsab fuq żewġ formazzjonijiet ġeomorfoloġiċi ewlenin: il-plateau tal-moraine sempliċi u l-wied Vistula bil-mudell asimmetriku tagħha ta 'terrazzi differenti. Ix-Xmara Vistula hija l-assi speċifiku ta 'Varsavja, li taqsam il-belt f'żewġ partijiet, xellug u lemin. Ix-xellug jinsab kemm fuq il-plateau Moraine (10 sa 25 m (32.8 sa 82.0 ft) 'il fuq mil-livell ta' vistula) kif ukoll fuq it-terrazzi tal-vistula (max. 6.5 m (21.3 ft) 'il fuq mil-livell ta' Vistula). L-element sinifikanti tas-serħan, f'din il-parti ta 'Varsavja, huwa t-tarf tal-Plateau Moraine imsejjaħ Escarpment ta' Varsavja. Huwa għoli 20 sa 25 m (65.6 sa 82.0 ft) fil-belt il-qadima u d-distrett ċentrali u madwar 10 m (32.8 ft) fit-tramuntana u fin-nofsinhar ta 'Varsavja. Hija tgħaddi mill-belt u għandha rwol importanti bħala monument.</v>
      </c>
    </row>
    <row r="9825" ht="15.75" customHeight="1">
      <c r="A9825" s="2" t="s">
        <v>9825</v>
      </c>
      <c r="B9825" s="2" t="str">
        <f>IFERROR(__xludf.DUMMYFUNCTION("GOOGLETRANSLATE(A9825, ""en"", ""mt"")"),"Numru ta 'riċerkaturi (David Rodda, Jacob Vigdor, u Janna Matlack), jargumentaw li nuqqas ta' akkomodazzjoni bi prezz raġonevoli - għall-inqas fl-Istati Uniti - huwa kkawżat parzjalment mill-inugwaljanza tad-dħul. David Rodda nnota li mill-1984 u l-1991, "&amp;"in-numru ta 'unitajiet ta' kiri ta 'kwalità naqas hekk kif id-domanda għal akkomodazzjoni ta' kwalità ogħla żdiedet (Rhoda 1994: 148). Permezz ta 'gentrifikazzjoni ta' kwartieri anzjani, pereżempju, fil-Lvant ta 'New York, il-prezzijiet tal-kiri żdiedu ma"&amp;"lajr hekk kif sidien sabu residenti ġodda lesti li jħallsu rata ogħla tas-suq għall-akkomodazzjoni u ħallew familji bi dħul aktar baxx mingħajr unitajiet ta' kiri. Il-politika tat-taxxa fuq il-proprjetà ad valorem flimkien ma 'prezzijiet dejjem jiżdiedu g"&amp;"ħamlitha diffiċli jew impossibbli għal residenti bi dħul baxx biex iżommu l-pass.")</f>
        <v>Numru ta 'riċerkaturi (David Rodda, Jacob Vigdor, u Janna Matlack), jargumentaw li nuqqas ta' akkomodazzjoni bi prezz raġonevoli - għall-inqas fl-Istati Uniti - huwa kkawżat parzjalment mill-inugwaljanza tad-dħul. David Rodda nnota li mill-1984 u l-1991, in-numru ta 'unitajiet ta' kiri ta 'kwalità naqas hekk kif id-domanda għal akkomodazzjoni ta' kwalità ogħla żdiedet (Rhoda 1994: 148). Permezz ta 'gentrifikazzjoni ta' kwartieri anzjani, pereżempju, fil-Lvant ta 'New York, il-prezzijiet tal-kiri żdiedu malajr hekk kif sidien sabu residenti ġodda lesti li jħallsu rata ogħla tas-suq għall-akkomodazzjoni u ħallew familji bi dħul aktar baxx mingħajr unitajiet ta' kiri. Il-politika tat-taxxa fuq il-proprjetà ad valorem flimkien ma 'prezzijiet dejjem jiżdiedu għamlitha diffiċli jew impossibbli għal residenti bi dħul baxx biex iżommu l-pass.</v>
      </c>
    </row>
    <row r="9826" ht="15.75" customHeight="1">
      <c r="A9826" s="2" t="s">
        <v>9826</v>
      </c>
      <c r="B9826" s="2" t="str">
        <f>IFERROR(__xludf.DUMMYFUNCTION("GOOGLETRANSLATE(A9826, ""en"", ""mt"")"),"Min kien l-għadu ewlieni tan-Normanni fl-Italja, l-Imperu Biżantin u l-Armenja?")</f>
        <v>Min kien l-għadu ewlieni tan-Normanni fl-Italja, l-Imperu Biżantin u l-Armenja?</v>
      </c>
    </row>
    <row r="9827" ht="15.75" customHeight="1">
      <c r="A9827" s="2" t="s">
        <v>9827</v>
      </c>
      <c r="B9827" s="2" t="str">
        <f>IFERROR(__xludf.DUMMYFUNCTION("GOOGLETRANSLATE(A9827, ""en"", ""mt"")"),"X'inhu l-proċess li bih il-kumpless tal-antiġen / antikorpi huwa pproċessat fil-peptidi?")</f>
        <v>X'inhu l-proċess li bih il-kumpless tal-antiġen / antikorpi huwa pproċessat fil-peptidi?</v>
      </c>
    </row>
    <row r="9828" ht="15.75" customHeight="1">
      <c r="A9828" s="2" t="s">
        <v>9828</v>
      </c>
      <c r="B9828" s="2" t="str">
        <f>IFERROR(__xludf.DUMMYFUNCTION("GOOGLETRANSLATE(A9828, ""en"", ""mt"")"),"Freemen onorarji")</f>
        <v>Freemen onorarji</v>
      </c>
    </row>
    <row r="9829" ht="15.75" customHeight="1">
      <c r="A9829" s="2" t="s">
        <v>9829</v>
      </c>
      <c r="B9829" s="2" t="str">
        <f>IFERROR(__xludf.DUMMYFUNCTION("GOOGLETRANSLATE(A9829, ""en"", ""mt"")"),"Ix-xogħol ġie ppubblikat l-ewwel")</f>
        <v>Ix-xogħol ġie ppubblikat l-ewwel</v>
      </c>
    </row>
    <row r="9830" ht="15.75" customHeight="1">
      <c r="A9830" s="2" t="s">
        <v>9830</v>
      </c>
      <c r="B9830" s="2" t="str">
        <f>IFERROR(__xludf.DUMMYFUNCTION("GOOGLETRANSLATE(A9830, ""en"", ""mt"")"),"Tpoġġihom fuq il-fidi profetika")</f>
        <v>Tpoġġihom fuq il-fidi profetika</v>
      </c>
    </row>
    <row r="9831" ht="15.75" customHeight="1">
      <c r="A9831" s="2" t="s">
        <v>9831</v>
      </c>
      <c r="B9831" s="2" t="str">
        <f>IFERROR(__xludf.DUMMYFUNCTION("GOOGLETRANSLATE(A9831, ""en"", ""mt"")"),"prefabbrikat")</f>
        <v>prefabbrikat</v>
      </c>
    </row>
    <row r="9832" ht="15.75" customHeight="1">
      <c r="A9832" s="2" t="s">
        <v>9832</v>
      </c>
      <c r="B9832" s="2" t="str">
        <f>IFERROR(__xludf.DUMMYFUNCTION("GOOGLETRANSLATE(A9832, ""en"", ""mt"")"),"Dak li jiżdied maż-żieda fl-inugwaljanza tad-dħul?")</f>
        <v>Dak li jiżdied maż-żieda fl-inugwaljanza tad-dħul?</v>
      </c>
    </row>
    <row r="9833" ht="15.75" customHeight="1">
      <c r="A9833" s="2" t="s">
        <v>9833</v>
      </c>
      <c r="B9833" s="2" t="str">
        <f>IFERROR(__xludf.DUMMYFUNCTION("GOOGLETRANSLATE(A9833, ""en"", ""mt"")"),"ROTIFERS U MOLLUSC U LARVA CRUSTACEAN")</f>
        <v>ROTIFERS U MOLLUSC U LARVA CRUSTACEAN</v>
      </c>
    </row>
    <row r="9834" ht="15.75" customHeight="1">
      <c r="A9834" s="2" t="s">
        <v>9834</v>
      </c>
      <c r="B9834" s="2" t="str">
        <f>IFERROR(__xludf.DUMMYFUNCTION("GOOGLETRANSLATE(A9834, ""en"", ""mt"")"),"Min iddeskriva turbina tal-fwar fl-1629?")</f>
        <v>Min iddeskriva turbina tal-fwar fl-1629?</v>
      </c>
    </row>
    <row r="9835" ht="15.75" customHeight="1">
      <c r="A9835" s="2" t="s">
        <v>9835</v>
      </c>
      <c r="B9835" s="2" t="str">
        <f>IFERROR(__xludf.DUMMYFUNCTION("GOOGLETRANSLATE(A9835, ""en"", ""mt"")"),"4 kilometri")</f>
        <v>4 kilometri</v>
      </c>
    </row>
    <row r="9836" ht="15.75" customHeight="1">
      <c r="A9836" s="2" t="s">
        <v>9836</v>
      </c>
      <c r="B9836" s="2" t="str">
        <f>IFERROR(__xludf.DUMMYFUNCTION("GOOGLETRANSLATE(A9836, ""en"", ""mt"")"),"X'inhuma Apicomplexans tip ta '?")</f>
        <v>X'inhuma Apicomplexans tip ta '?</v>
      </c>
    </row>
    <row r="9837" ht="15.75" customHeight="1">
      <c r="A9837" s="2" t="s">
        <v>9837</v>
      </c>
      <c r="B9837" s="2" t="str">
        <f>IFERROR(__xludf.DUMMYFUNCTION("GOOGLETRANSLATE(A9837, ""en"", ""mt"")"),"madwar tlieta")</f>
        <v>madwar tlieta</v>
      </c>
    </row>
    <row r="9838" ht="15.75" customHeight="1">
      <c r="A9838" s="2" t="s">
        <v>9838</v>
      </c>
      <c r="B9838" s="2" t="str">
        <f>IFERROR(__xludf.DUMMYFUNCTION("GOOGLETRANSLATE(A9838, ""en"", ""mt"")"),"O2")</f>
        <v>O2</v>
      </c>
    </row>
    <row r="9839" ht="15.75" customHeight="1">
      <c r="A9839" s="2" t="s">
        <v>9839</v>
      </c>
      <c r="B9839" s="2" t="str">
        <f>IFERROR(__xludf.DUMMYFUNCTION("GOOGLETRANSLATE(A9839, ""en"", ""mt"")"),"Liema sena Roger de Tosny naqas milli jwettaq dak li hu stabbilixxa li jagħmel?")</f>
        <v>Liema sena Roger de Tosny naqas milli jwettaq dak li hu stabbilixxa li jagħmel?</v>
      </c>
    </row>
    <row r="9840" ht="15.75" customHeight="1">
      <c r="A9840" s="2" t="s">
        <v>9840</v>
      </c>
      <c r="B9840" s="2" t="str">
        <f>IFERROR(__xludf.DUMMYFUNCTION("GOOGLETRANSLATE(A9840, ""en"", ""mt"")"),"klijent magħruf")</f>
        <v>klijent magħruf</v>
      </c>
    </row>
    <row r="9841" ht="15.75" customHeight="1">
      <c r="A9841" s="2" t="s">
        <v>9841</v>
      </c>
      <c r="B9841" s="2" t="str">
        <f>IFERROR(__xludf.DUMMYFUNCTION("GOOGLETRANSLATE(A9841, ""en"", ""mt"")"),"il-metodoloġija użata")</f>
        <v>il-metodoloġija użata</v>
      </c>
    </row>
    <row r="9842" ht="15.75" customHeight="1">
      <c r="A9842" s="2" t="s">
        <v>9842</v>
      </c>
      <c r="B9842" s="2" t="str">
        <f>IFERROR(__xludf.DUMMYFUNCTION("GOOGLETRANSLATE(A9842, ""en"", ""mt"")"),"Meta l-minorenni jiżviluppaw f'adulti?")</f>
        <v>Meta l-minorenni jiżviluppaw f'adulti?</v>
      </c>
    </row>
    <row r="9843" ht="15.75" customHeight="1">
      <c r="A9843" s="2" t="s">
        <v>9843</v>
      </c>
      <c r="B9843" s="2" t="str">
        <f>IFERROR(__xludf.DUMMYFUNCTION("GOOGLETRANSLATE(A9843, ""en"", ""mt"")"),"antikorpi")</f>
        <v>antikorpi</v>
      </c>
    </row>
    <row r="9844" ht="15.75" customHeight="1">
      <c r="A9844" s="2" t="s">
        <v>9844</v>
      </c>
      <c r="B9844" s="2" t="str">
        <f>IFERROR(__xludf.DUMMYFUNCTION("GOOGLETRANSLATE(A9844, ""en"", ""mt"")"),"ewkarjotiku")</f>
        <v>ewkarjotiku</v>
      </c>
    </row>
    <row r="9845" ht="15.75" customHeight="1">
      <c r="A9845" s="2" t="s">
        <v>9845</v>
      </c>
      <c r="B9845" s="2" t="str">
        <f>IFERROR(__xludf.DUMMYFUNCTION("GOOGLETRANSLATE(A9845, ""en"", ""mt"")"),"Kif jissejħu l-akbar annimali tal-kaċċa tal-Kenja?")</f>
        <v>Kif jissejħu l-akbar annimali tal-kaċċa tal-Kenja?</v>
      </c>
    </row>
    <row r="9846" ht="15.75" customHeight="1">
      <c r="A9846" s="2" t="s">
        <v>9846</v>
      </c>
      <c r="B9846" s="2" t="str">
        <f>IFERROR(__xludf.DUMMYFUNCTION("GOOGLETRANSLATE(A9846, ""en"", ""mt"")"),"Kriptografija taċ-ċavetta pubblika")</f>
        <v>Kriptografija taċ-ċavetta pubblika</v>
      </c>
    </row>
    <row r="9847" ht="15.75" customHeight="1">
      <c r="A9847" s="2" t="s">
        <v>9847</v>
      </c>
      <c r="B9847" s="2" t="str">
        <f>IFERROR(__xludf.DUMMYFUNCTION("GOOGLETRANSLATE(A9847, ""en"", ""mt"")"),"Newton's")</f>
        <v>Newton's</v>
      </c>
    </row>
    <row r="9848" ht="15.75" customHeight="1">
      <c r="A9848" s="2" t="s">
        <v>9848</v>
      </c>
      <c r="B9848" s="2" t="str">
        <f>IFERROR(__xludf.DUMMYFUNCTION("GOOGLETRANSLATE(A9848, ""en"", ""mt"")"),"Kif kien imsejjaħ il-perjodu li kien 505 miljun sena ilu?")</f>
        <v>Kif kien imsejjaħ il-perjodu li kien 505 miljun sena ilu?</v>
      </c>
    </row>
    <row r="9849" ht="15.75" customHeight="1">
      <c r="A9849" s="2" t="s">
        <v>9849</v>
      </c>
      <c r="B9849" s="2" t="str">
        <f>IFERROR(__xludf.DUMMYFUNCTION("GOOGLETRANSLATE(A9849, ""en"", ""mt"")"),"Metamorfiku")</f>
        <v>Metamorfiku</v>
      </c>
    </row>
    <row r="9850" ht="15.75" customHeight="1">
      <c r="A9850" s="2" t="s">
        <v>9850</v>
      </c>
      <c r="B9850" s="2" t="str">
        <f>IFERROR(__xludf.DUMMYFUNCTION("GOOGLETRANSLATE(A9850, ""en"", ""mt"")"),"Fejn inbena t-tieni fort ta 'Marin?")</f>
        <v>Fejn inbena t-tieni fort ta 'Marin?</v>
      </c>
    </row>
    <row r="9851" ht="15.75" customHeight="1">
      <c r="A9851" s="2" t="s">
        <v>9851</v>
      </c>
      <c r="B9851" s="2" t="str">
        <f>IFERROR(__xludf.DUMMYFUNCTION("GOOGLETRANSLATE(A9851, ""en"", ""mt"")"),"Reġjun Ċentrali")</f>
        <v>Reġjun Ċentrali</v>
      </c>
    </row>
    <row r="9852" ht="15.75" customHeight="1">
      <c r="A9852" s="2" t="s">
        <v>9852</v>
      </c>
      <c r="B9852" s="2" t="str">
        <f>IFERROR(__xludf.DUMMYFUNCTION("GOOGLETRANSLATE(A9852, ""en"", ""mt"")"),"X'jista 'jimblokka leġislazzjoni?")</f>
        <v>X'jista 'jimblokka leġislazzjoni?</v>
      </c>
    </row>
    <row r="9853" ht="15.75" customHeight="1">
      <c r="A9853" s="2" t="s">
        <v>9853</v>
      </c>
      <c r="B9853" s="2" t="str">
        <f>IFERROR(__xludf.DUMMYFUNCTION("GOOGLETRANSLATE(A9853, ""en"", ""mt"")"),"Liema rivali tal-Mongoli huwa suspettat li jivvinta l-istorja li Genghis Khan ġie maqtul minn prinċipessa maqbuda?")</f>
        <v>Liema rivali tal-Mongoli huwa suspettat li jivvinta l-istorja li Genghis Khan ġie maqtul minn prinċipessa maqbuda?</v>
      </c>
    </row>
    <row r="9854" ht="15.75" customHeight="1">
      <c r="A9854" s="2" t="s">
        <v>9854</v>
      </c>
      <c r="B9854" s="2" t="str">
        <f>IFERROR(__xludf.DUMMYFUNCTION("GOOGLETRANSLATE(A9854, ""en"", ""mt"")"),"Ma 'xiex jagħmlu l-kontenut tal-plastoglobuli?")</f>
        <v>Ma 'xiex jagħmlu l-kontenut tal-plastoglobuli?</v>
      </c>
    </row>
    <row r="9855" ht="15.75" customHeight="1">
      <c r="A9855" s="2" t="s">
        <v>9855</v>
      </c>
      <c r="B9855" s="2" t="str">
        <f>IFERROR(__xludf.DUMMYFUNCTION("GOOGLETRANSLATE(A9855, ""en"", ""mt"")"),"X'inhuma l-liġijiet tal-fiżika ta 'Galileo, b'referenza għall-objest fil-moviment u l-mistrieħ?")</f>
        <v>X'inhuma l-liġijiet tal-fiżika ta 'Galileo, b'referenza għall-objest fil-moviment u l-mistrieħ?</v>
      </c>
    </row>
    <row r="9856" ht="15.75" customHeight="1">
      <c r="A9856" s="2" t="s">
        <v>9856</v>
      </c>
      <c r="B9856" s="2" t="str">
        <f>IFERROR(__xludf.DUMMYFUNCTION("GOOGLETRANSLATE(A9856, ""en"", ""mt"")"),"Is-saħħa ħażina ta 'William Hartnell")</f>
        <v>Is-saħħa ħażina ta 'William Hartnell</v>
      </c>
    </row>
    <row r="9857" ht="15.75" customHeight="1">
      <c r="A9857" s="2" t="s">
        <v>9857</v>
      </c>
      <c r="B9857" s="2" t="str">
        <f>IFERROR(__xludf.DUMMYFUNCTION("GOOGLETRANSLATE(A9857, ""en"", ""mt"")"),"Fil-ħarifa tal-1937")</f>
        <v>Fil-ħarifa tal-1937</v>
      </c>
    </row>
    <row r="9858" ht="15.75" customHeight="1">
      <c r="A9858" s="2" t="s">
        <v>9858</v>
      </c>
      <c r="B9858" s="2" t="str">
        <f>IFERROR(__xludf.DUMMYFUNCTION("GOOGLETRANSLATE(A9858, ""en"", ""mt"")"),"L-Iskandinavja u l-Ewropa tat-Tramuntana")</f>
        <v>L-Iskandinavja u l-Ewropa tat-Tramuntana</v>
      </c>
    </row>
    <row r="9859" ht="15.75" customHeight="1">
      <c r="A9859" s="2" t="s">
        <v>9859</v>
      </c>
      <c r="B9859" s="2" t="str">
        <f>IFERROR(__xludf.DUMMYFUNCTION("GOOGLETRANSLATE(A9859, ""en"", ""mt"")"),"Forzi mhux konservattivi")</f>
        <v>Forzi mhux konservattivi</v>
      </c>
    </row>
    <row r="9860" ht="15.75" customHeight="1">
      <c r="A9860" s="2" t="s">
        <v>9860</v>
      </c>
      <c r="B9860" s="2" t="str">
        <f>IFERROR(__xludf.DUMMYFUNCTION("GOOGLETRANSLATE(A9860, ""en"", ""mt"")"),"Meta ġiet introdotta l-iskala biex titkejjel ir-Rhine?")</f>
        <v>Meta ġiet introdotta l-iskala biex titkejjel ir-Rhine?</v>
      </c>
    </row>
    <row r="9861" ht="15.75" customHeight="1">
      <c r="A9861" s="2" t="s">
        <v>9861</v>
      </c>
      <c r="B9861" s="2" t="str">
        <f>IFERROR(__xludf.DUMMYFUNCTION("GOOGLETRANSLATE(A9861, ""en"", ""mt"")"),"Minn dawn il-bażijiet, in-Normanni eventwalment qabdu lil Sqallija u Malta mis-Saraċens, taħt it-tmexxija tal-famuż Robert Guiscard, Hauteville, u ħuh iżgħar Roger The Great Count. It-tifel ta 'Roger, Roger II ta' Sqallija, ġie inkurunat Re fl-1130 (eżatt"&amp;"ament seklu wara li Rainulf kien ""inkurunat"" għadd) minn Antipope Anacletus II. Ir-renju ta ’Sqallija dam sal-1194, meta ġie trasferit fid-dar ta’ Hohenstaufen permezz taż-żwieġ. In-Normanni ħallew il-wirt tagħhom f'ħafna kastelli, bħalma huma ċ-Ċittade"&amp;"lla ta 'William Iron Arm fi Squillace, u l-katidrali, bħall-kappella Cappella Palatina ta' Roger II f'Palermo, li dot il-pajsaġġ u tagħti togħma arkitettonika kompletament distinta biex takkumpanja l-istorja unika tagħha.")</f>
        <v>Minn dawn il-bażijiet, in-Normanni eventwalment qabdu lil Sqallija u Malta mis-Saraċens, taħt it-tmexxija tal-famuż Robert Guiscard, Hauteville, u ħuh iżgħar Roger The Great Count. It-tifel ta 'Roger, Roger II ta' Sqallija, ġie inkurunat Re fl-1130 (eżattament seklu wara li Rainulf kien "inkurunat" għadd) minn Antipope Anacletus II. Ir-renju ta ’Sqallija dam sal-1194, meta ġie trasferit fid-dar ta’ Hohenstaufen permezz taż-żwieġ. In-Normanni ħallew il-wirt tagħhom f'ħafna kastelli, bħalma huma ċ-Ċittadella ta 'William Iron Arm fi Squillace, u l-katidrali, bħall-kappella Cappella Palatina ta' Roger II f'Palermo, li dot il-pajsaġġ u tagħti togħma arkitettonika kompletament distinta biex takkumpanja l-istorja unika tagħha.</v>
      </c>
    </row>
    <row r="9862" ht="15.75" customHeight="1">
      <c r="A9862" s="2" t="s">
        <v>9862</v>
      </c>
      <c r="B9862" s="2" t="str">
        <f>IFERROR(__xludf.DUMMYFUNCTION("GOOGLETRANSLATE(A9862, ""en"", ""mt"")"),"Ir-Repubblika tal-Poplu taċ-Ċina")</f>
        <v>Ir-Repubblika tal-Poplu taċ-Ċina</v>
      </c>
    </row>
    <row r="9863" ht="15.75" customHeight="1">
      <c r="A9863" s="2" t="s">
        <v>9863</v>
      </c>
      <c r="B9863" s="2" t="str">
        <f>IFERROR(__xludf.DUMMYFUNCTION("GOOGLETRANSLATE(A9863, ""en"", ""mt"")"),"ossiġnu gassuż")</f>
        <v>ossiġnu gassuż</v>
      </c>
    </row>
    <row r="9864" ht="15.75" customHeight="1">
      <c r="A9864" s="2" t="s">
        <v>9864</v>
      </c>
      <c r="B9864" s="2" t="str">
        <f>IFERROR(__xludf.DUMMYFUNCTION("GOOGLETRANSLATE(A9864, ""en"", ""mt"")"),"Fis-6 ta 'Ottubru, 1973, is-Sirja u l-Eġittu, b'appoġġ minn nazzjonijiet Għarab oħra, nedew attakk ta' sorpriża fuq l-Iżrael, fuq Yom Kippur. Dan it-tiġdid ta 'ostilitajiet fil-kunflitt Għarbi-Iżraeljan ħareġ il-pressjoni ekonomika sottostanti fuq il-prez"&amp;"zijiet taż-żejt. Dak iż-żmien, l-Iran kien it-tieni l-akbar esportatur taż-żejt fid-dinja u alleat mill-qrib tal-Istati Uniti. Ġimgħat wara, ix-Shah tal-Iran qal f'intervista: ""Dażgur [il-prezz taż-żejt] se jogħla ... ċertament! U kif! ... int [in-nazzjo"&amp;"nijiet tal-Punent] żiedu l-prezz tal-qamħ Biegħna bi 300 fil-mija, u l-istess għaż-zokkor u s-siment ... tixtri ż-żejt mhux raffinat tagħna u tbigħha lura lilna, raffinata bħala petrokimiċi, bil-mitt darba l-prezz li ħallasna ... huwa ġust biss li , minn "&amp;"issa 'l quddiem, għandek tħallas aktar għaż-żejt. Ejja ngħidu għaxar darbiet aktar. """)</f>
        <v>Fis-6 ta 'Ottubru, 1973, is-Sirja u l-Eġittu, b'appoġġ minn nazzjonijiet Għarab oħra, nedew attakk ta' sorpriża fuq l-Iżrael, fuq Yom Kippur. Dan it-tiġdid ta 'ostilitajiet fil-kunflitt Għarbi-Iżraeljan ħareġ il-pressjoni ekonomika sottostanti fuq il-prezzijiet taż-żejt. Dak iż-żmien, l-Iran kien it-tieni l-akbar esportatur taż-żejt fid-dinja u alleat mill-qrib tal-Istati Uniti. Ġimgħat wara, ix-Shah tal-Iran qal f'intervista: "Dażgur [il-prezz taż-żejt] se jogħla ... ċertament! U kif! ... int [in-nazzjonijiet tal-Punent] żiedu l-prezz tal-qamħ Biegħna bi 300 fil-mija, u l-istess għaż-zokkor u s-siment ... tixtri ż-żejt mhux raffinat tagħna u tbigħha lura lilna, raffinata bħala petrokimiċi, bil-mitt darba l-prezz li ħallasna ... huwa ġust biss li , minn issa 'l quddiem, għandek tħallas aktar għaż-żejt. Ejja ngħidu għaxar darbiet aktar. "</v>
      </c>
    </row>
    <row r="9865" ht="15.75" customHeight="1">
      <c r="A9865" s="2" t="s">
        <v>9865</v>
      </c>
      <c r="B9865" s="2" t="str">
        <f>IFERROR(__xludf.DUMMYFUNCTION("GOOGLETRANSLATE(A9865, ""en"", ""mt"")"),"X'tip ta 'programmi ttestja l-NBC Red?")</f>
        <v>X'tip ta 'programmi ttestja l-NBC Red?</v>
      </c>
    </row>
    <row r="9866" ht="15.75" customHeight="1">
      <c r="A9866" s="2" t="s">
        <v>9866</v>
      </c>
      <c r="B9866" s="2" t="str">
        <f>IFERROR(__xludf.DUMMYFUNCTION("GOOGLETRANSLATE(A9866, ""en"", ""mt"")"),"bħala problemi ta 'deċiżjoni")</f>
        <v>bħala problemi ta 'deċiżjoni</v>
      </c>
    </row>
    <row r="9867" ht="15.75" customHeight="1">
      <c r="A9867" s="2" t="s">
        <v>9867</v>
      </c>
      <c r="B9867" s="2" t="str">
        <f>IFERROR(__xludf.DUMMYFUNCTION("GOOGLETRANSLATE(A9867, ""en"", ""mt"")"),"Studjużi ġeografiċi")</f>
        <v>Studjużi ġeografiċi</v>
      </c>
    </row>
    <row r="9868" ht="15.75" customHeight="1">
      <c r="A9868" s="2" t="s">
        <v>9868</v>
      </c>
      <c r="B9868" s="2" t="str">
        <f>IFERROR(__xludf.DUMMYFUNCTION("GOOGLETRANSLATE(A9868, ""en"", ""mt"")"),"ħamsa jew aktar")</f>
        <v>ħamsa jew aktar</v>
      </c>
    </row>
    <row r="9869" ht="15.75" customHeight="1">
      <c r="A9869" s="2" t="s">
        <v>9869</v>
      </c>
      <c r="B9869" s="2" t="str">
        <f>IFERROR(__xludf.DUMMYFUNCTION("GOOGLETRANSLATE(A9869, ""en"", ""mt"")"),"Dipartimenti tat-Teknoloġija tal-Informazzjoni jew għal kumpaniji tal-bejjiegħ tat-teknoloġija tal-informazzjoni dwar il-kura tas-saħħa")</f>
        <v>Dipartimenti tat-Teknoloġija tal-Informazzjoni jew għal kumpaniji tal-bejjiegħ tat-teknoloġija tal-informazzjoni dwar il-kura tas-saħħa</v>
      </c>
    </row>
    <row r="9870" ht="15.75" customHeight="1">
      <c r="A9870" s="2" t="s">
        <v>9870</v>
      </c>
      <c r="B9870" s="2" t="str">
        <f>IFERROR(__xludf.DUMMYFUNCTION("GOOGLETRANSLATE(A9870, ""en"", ""mt"")"),"It-Torri Magdalen ta 'Oxford")</f>
        <v>It-Torri Magdalen ta 'Oxford</v>
      </c>
    </row>
    <row r="9871" ht="15.75" customHeight="1">
      <c r="A9871" s="2" t="s">
        <v>9871</v>
      </c>
      <c r="B9871" s="2" t="str">
        <f>IFERROR(__xludf.DUMMYFUNCTION("GOOGLETRANSLATE(A9871, ""en"", ""mt"")"),"art")</f>
        <v>art</v>
      </c>
    </row>
    <row r="9872" ht="15.75" customHeight="1">
      <c r="A9872" s="2" t="s">
        <v>9872</v>
      </c>
      <c r="B9872" s="2" t="str">
        <f>IFERROR(__xludf.DUMMYFUNCTION("GOOGLETRANSLATE(A9872, ""en"", ""mt"")"),"F'liema sena ġie vvintat l-ewwel apparat kummerċjali li jaħdem bil-fwar?")</f>
        <v>F'liema sena ġie vvintat l-ewwel apparat kummerċjali li jaħdem bil-fwar?</v>
      </c>
    </row>
    <row r="9873" ht="15.75" customHeight="1">
      <c r="A9873" s="2" t="s">
        <v>9873</v>
      </c>
      <c r="B9873" s="2" t="str">
        <f>IFERROR(__xludf.DUMMYFUNCTION("GOOGLETRANSLATE(A9873, ""en"", ""mt"")"),"Ijsselmeer")</f>
        <v>Ijsselmeer</v>
      </c>
    </row>
    <row r="9874" ht="15.75" customHeight="1">
      <c r="A9874" s="2" t="s">
        <v>9874</v>
      </c>
      <c r="B9874" s="2" t="str">
        <f>IFERROR(__xludf.DUMMYFUNCTION("GOOGLETRANSLATE(A9874, ""en"", ""mt"")"),"Thylakoids tat-tip ta 'kloroplasti tat-tip peridinin kif huma rranġati?")</f>
        <v>Thylakoids tat-tip ta 'kloroplasti tat-tip peridinin kif huma rranġati?</v>
      </c>
    </row>
    <row r="9875" ht="15.75" customHeight="1">
      <c r="A9875" s="2" t="s">
        <v>9875</v>
      </c>
      <c r="B9875" s="2" t="str">
        <f>IFERROR(__xludf.DUMMYFUNCTION("GOOGLETRANSLATE(A9875, ""en"", ""mt"")"),"Fejn twieled Luther?")</f>
        <v>Fejn twieled Luther?</v>
      </c>
    </row>
    <row r="9876" ht="15.75" customHeight="1">
      <c r="A9876" s="2" t="s">
        <v>9876</v>
      </c>
      <c r="B9876" s="2" t="str">
        <f>IFERROR(__xludf.DUMMYFUNCTION("GOOGLETRANSLATE(A9876, ""en"", ""mt"")"),"L-ispiżjara biss jistgħu jfornu farmaċewtiċi skedati lill-pubbliku")</f>
        <v>L-ispiżjara biss jistgħu jfornu farmaċewtiċi skedati lill-pubbliku</v>
      </c>
    </row>
    <row r="9877" ht="15.75" customHeight="1">
      <c r="A9877" s="2" t="s">
        <v>9877</v>
      </c>
      <c r="B9877" s="2" t="str">
        <f>IFERROR(__xludf.DUMMYFUNCTION("GOOGLETRANSLATE(A9877, ""en"", ""mt"")"),"X'inhu l-isem ta 'magna uniflow li tieħu fwar f'żoni sħan u teżawrixxiha fil-kesħa?")</f>
        <v>X'inhu l-isem ta 'magna uniflow li tieħu fwar f'żoni sħan u teżawrixxiha fil-kesħa?</v>
      </c>
    </row>
    <row r="9878" ht="15.75" customHeight="1">
      <c r="A9878" s="2" t="s">
        <v>9878</v>
      </c>
      <c r="B9878" s="2" t="str">
        <f>IFERROR(__xludf.DUMMYFUNCTION("GOOGLETRANSLATE(A9878, ""en"", ""mt"")"),"Il-Ktieb tal-Eżodu")</f>
        <v>Il-Ktieb tal-Eżodu</v>
      </c>
    </row>
    <row r="9879" ht="15.75" customHeight="1">
      <c r="A9879" s="2" t="s">
        <v>9879</v>
      </c>
      <c r="B9879" s="2" t="str">
        <f>IFERROR(__xludf.DUMMYFUNCTION("GOOGLETRANSLATE(A9879, ""en"", ""mt"")"),"Il-livelli ta 'ossiġnu atmosferiku qed jitilgħu,' l isfel, jew joqogħdu l-istess?")</f>
        <v>Il-livelli ta 'ossiġnu atmosferiku qed jitilgħu,' l isfel, jew joqogħdu l-istess?</v>
      </c>
    </row>
    <row r="9880" ht="15.75" customHeight="1">
      <c r="A9880" s="2" t="s">
        <v>9880</v>
      </c>
      <c r="B9880" s="2" t="str">
        <f>IFERROR(__xludf.DUMMYFUNCTION("GOOGLETRANSLATE(A9880, ""en"", ""mt"")"),"10 ta ’Lulju 1856")</f>
        <v>10 ta ’Lulju 1856</v>
      </c>
    </row>
    <row r="9881" ht="15.75" customHeight="1">
      <c r="A9881" s="2" t="s">
        <v>9881</v>
      </c>
      <c r="B9881" s="2" t="str">
        <f>IFERROR(__xludf.DUMMYFUNCTION("GOOGLETRANSLATE(A9881, ""en"", ""mt"")"),"F'liema pajjiż jista 'jinstab ħafna mill-foresta tropikali tal-Amażonja?")</f>
        <v>F'liema pajjiż jista 'jinstab ħafna mill-foresta tropikali tal-Amażonja?</v>
      </c>
    </row>
    <row r="9882" ht="15.75" customHeight="1">
      <c r="A9882" s="2" t="s">
        <v>9882</v>
      </c>
      <c r="B9882" s="2" t="str">
        <f>IFERROR(__xludf.DUMMYFUNCTION("GOOGLETRANSLATE(A9882, ""en"", ""mt"")"),"X'tip ta 'sehem tal-udjenza MNF ippermetta lil ABC biex jilħaq skond Goldenson?")</f>
        <v>X'tip ta 'sehem tal-udjenza MNF ippermetta lil ABC biex jilħaq skond Goldenson?</v>
      </c>
    </row>
    <row r="9883" ht="15.75" customHeight="1">
      <c r="A9883" s="2" t="s">
        <v>9883</v>
      </c>
      <c r="B9883" s="2" t="str">
        <f>IFERROR(__xludf.DUMMYFUNCTION("GOOGLETRANSLATE(A9883, ""en"", ""mt"")"),"ċirku kommutattiv")</f>
        <v>ċirku kommutattiv</v>
      </c>
    </row>
    <row r="9884" ht="15.75" customHeight="1">
      <c r="A9884" s="2" t="s">
        <v>9884</v>
      </c>
      <c r="B9884" s="2" t="str">
        <f>IFERROR(__xludf.DUMMYFUNCTION("GOOGLETRANSLATE(A9884, ""en"", ""mt"")"),"~ 3000 yr bp")</f>
        <v>~ 3000 yr bp</v>
      </c>
    </row>
    <row r="9885" ht="15.75" customHeight="1">
      <c r="A9885" s="2" t="s">
        <v>9885</v>
      </c>
      <c r="B9885" s="2" t="str">
        <f>IFERROR(__xludf.DUMMYFUNCTION("GOOGLETRANSLATE(A9885, ""en"", ""mt"")"),"Għaliex in-nies li jqassmu l-fuljetti fil-qorti ma ġewx arrestati?")</f>
        <v>Għaliex in-nies li jqassmu l-fuljetti fil-qorti ma ġewx arrestati?</v>
      </c>
    </row>
    <row r="9886" ht="15.75" customHeight="1">
      <c r="A9886" s="2" t="s">
        <v>9886</v>
      </c>
      <c r="B9886" s="2" t="str">
        <f>IFERROR(__xludf.DUMMYFUNCTION("GOOGLETRANSLATE(A9886, ""en"", ""mt"")"),"Meta l-Mongoli poġġew l-Uighurs tar-Renju ta 'Qocho fuq il-Koreani fil-Qorti, ir-re Korean oġġezzjona, allura l-Imperatur Mongoljan Kublai Khan ċaħa , li min-naħa tiegħu kien ikklassifikat ogħla mir-re Korean, li kien ikklassifikat l-aħħar, minħabba li l-"&amp;"Uighurs ċedew lill-Mongoli l-ewwel, il-Karluks ċedew wara l-Uighurs, u l-Koreani ċedew l-aħħar, u li l-Uighurs ċedew b'mod paċifiku mingħajr ma jirreżistu b'mod vjolenti.")</f>
        <v>Meta l-Mongoli poġġew l-Uighurs tar-Renju ta 'Qocho fuq il-Koreani fil-Qorti, ir-re Korean oġġezzjona, allura l-Imperatur Mongoljan Kublai Khan ċaħa , li min-naħa tiegħu kien ikklassifikat ogħla mir-re Korean, li kien ikklassifikat l-aħħar, minħabba li l-Uighurs ċedew lill-Mongoli l-ewwel, il-Karluks ċedew wara l-Uighurs, u l-Koreani ċedew l-aħħar, u li l-Uighurs ċedew b'mod paċifiku mingħajr ma jirreżistu b'mod vjolenti.</v>
      </c>
    </row>
    <row r="9887" ht="15.75" customHeight="1">
      <c r="A9887" s="2" t="s">
        <v>9887</v>
      </c>
      <c r="B9887" s="2" t="str">
        <f>IFERROR(__xludf.DUMMYFUNCTION("GOOGLETRANSLATE(A9887, ""en"", ""mt"")"),"Fl-1998, in-netwerk beda juża identità grafika minimalista, iddisinjata minn Pittard Sullivan, li tinkludi logo żgħir iswed u abjad ""ABC Circle"" fuq sfond isfar (promozzjonijiet matul dan iż-żmien ukoll dehru sekwenza ta 'ritratti fissi tal-istilel ta' "&amp;"Il-programmi tagħha matul il-karta tat-timelot kif ukoll is-sekwenza tal-iskeda li bdiet il-formazzjoni tal-ħin ewlieni tal-lejl). Introdott tema ġdida b'erba 'noti flimkien mal-pakkett, ibbażat madwar il-kampanja ta' immaġni ""We Love TV"" li introduċiet"&amp;" dik is-sena, li toħloq firma awdjo bl-istess mod ma 'l-NBC Chimes, diversi soundmarks ta' tliet noti ta 'CBS (inkluż il-kurrent verżjoni użata mill-2000) u l-fanfare Fox. Il-firma b'erba 'noti ġiet aġġornata ma' kull staġun tat-televiżjoni wara dan (għal"&amp;"kemm varjanti ta 'dan użat mill-istaġun 1998–99 jibqgħu jintużaw waqt il-kumpanija tal-produzzjoni Vanity Cards murija wara l-krediti tal-għeluq tal-biċċa l-kbira tal-programmi). Fil-ħarifa tal-2015, ABC hija mwaqqfa bl-1998-2002 tagħha b'erba 'noti għall"&amp;"-promozzjonijiet u l-kumpanija tal-produzzjoni Vanity Cards wara l-krediti tal-għeluq tal-biċċa l-kbira tal-programmi tagħha' l fuq minn sbatax-il sena, issa għandha mużika differenti u tat-tip avventura (ma ' id-drums tal-firma ta 'erba' noti tan-netwerk"&amp;" fit-tmiem). L-intonazzjoni antika b'erba 'noti għadha tintuża minn ABC on Demand sal-bidu tal-ABC Show.")</f>
        <v>Fl-1998, in-netwerk beda juża identità grafika minimalista, iddisinjata minn Pittard Sullivan, li tinkludi logo żgħir iswed u abjad "ABC Circle" fuq sfond isfar (promozzjonijiet matul dan iż-żmien ukoll dehru sekwenza ta 'ritratti fissi tal-istilel ta' Il-programmi tagħha matul il-karta tat-timelot kif ukoll is-sekwenza tal-iskeda li bdiet il-formazzjoni tal-ħin ewlieni tal-lejl). Introdott tema ġdida b'erba 'noti flimkien mal-pakkett, ibbażat madwar il-kampanja ta' immaġni "We Love TV" li introduċiet dik is-sena, li toħloq firma awdjo bl-istess mod ma 'l-NBC Chimes, diversi soundmarks ta' tliet noti ta 'CBS (inkluż il-kurrent verżjoni użata mill-2000) u l-fanfare Fox. Il-firma b'erba 'noti ġiet aġġornata ma' kull staġun tat-televiżjoni wara dan (għalkemm varjanti ta 'dan użat mill-istaġun 1998–99 jibqgħu jintużaw waqt il-kumpanija tal-produzzjoni Vanity Cards murija wara l-krediti tal-għeluq tal-biċċa l-kbira tal-programmi). Fil-ħarifa tal-2015, ABC hija mwaqqfa bl-1998-2002 tagħha b'erba 'noti għall-promozzjonijiet u l-kumpanija tal-produzzjoni Vanity Cards wara l-krediti tal-għeluq tal-biċċa l-kbira tal-programmi tagħha' l fuq minn sbatax-il sena, issa għandha mużika differenti u tat-tip avventura (ma ' id-drums tal-firma ta 'erba' noti tan-netwerk fit-tmiem). L-intonazzjoni antika b'erba 'noti għadha tintuża minn ABC on Demand sal-bidu tal-ABC Show.</v>
      </c>
    </row>
    <row r="9888" ht="15.75" customHeight="1">
      <c r="A9888" s="2" t="s">
        <v>9888</v>
      </c>
      <c r="B9888" s="2" t="str">
        <f>IFERROR(__xludf.DUMMYFUNCTION("GOOGLETRANSLATE(A9888, ""en"", ""mt"")"),"Iċ-Ċina tan-Nofsinhar issostni u ġġieldet għall-aħħar")</f>
        <v>Iċ-Ċina tan-Nofsinhar issostni u ġġieldet għall-aħħar</v>
      </c>
    </row>
    <row r="9889" ht="15.75" customHeight="1">
      <c r="A9889" s="2" t="s">
        <v>9889</v>
      </c>
      <c r="B9889" s="2" t="str">
        <f>IFERROR(__xludf.DUMMYFUNCTION("GOOGLETRANSLATE(A9889, ""en"", ""mt"")"),"kondensazzjoni tal-ġid")</f>
        <v>kondensazzjoni tal-ġid</v>
      </c>
    </row>
    <row r="9890" ht="15.75" customHeight="1">
      <c r="A9890" s="2" t="s">
        <v>9890</v>
      </c>
      <c r="B9890" s="2" t="str">
        <f>IFERROR(__xludf.DUMMYFUNCTION("GOOGLETRANSLATE(A9890, ""en"", ""mt"")"),"żieda fir-riżultati tas-saħħa tal-pazjent u l-ispejjeż mnaqqsa")</f>
        <v>żieda fir-riżultati tas-saħħa tal-pazjent u l-ispejjeż mnaqqsa</v>
      </c>
    </row>
    <row r="9891" ht="15.75" customHeight="1">
      <c r="A9891" s="2" t="s">
        <v>9891</v>
      </c>
      <c r="B9891" s="2" t="str">
        <f>IFERROR(__xludf.DUMMYFUNCTION("GOOGLETRANSLATE(A9891, ""en"", ""mt"")"),"Il-Bruins jappartjenu għal liema kulleġġ?")</f>
        <v>Il-Bruins jappartjenu għal liema kulleġġ?</v>
      </c>
    </row>
    <row r="9892" ht="15.75" customHeight="1">
      <c r="A9892" s="2" t="s">
        <v>9892</v>
      </c>
      <c r="B9892" s="2" t="str">
        <f>IFERROR(__xludf.DUMMYFUNCTION("GOOGLETRANSLATE(A9892, ""en"", ""mt"")"),"Port ta 'Los Angeles")</f>
        <v>Port ta 'Los Angeles</v>
      </c>
    </row>
    <row r="9893" ht="15.75" customHeight="1">
      <c r="A9893" s="2" t="s">
        <v>9893</v>
      </c>
      <c r="B9893" s="2" t="str">
        <f>IFERROR(__xludf.DUMMYFUNCTION("GOOGLETRANSLATE(A9893, ""en"", ""mt"")"),"Minħabba l-korpi artab u ġelatinużi tagħhom")</f>
        <v>Minħabba l-korpi artab u ġelatinużi tagħhom</v>
      </c>
    </row>
    <row r="9894" ht="15.75" customHeight="1">
      <c r="A9894" s="2" t="s">
        <v>9894</v>
      </c>
      <c r="B9894" s="2" t="str">
        <f>IFERROR(__xludf.DUMMYFUNCTION("GOOGLETRANSLATE(A9894, ""en"", ""mt"")"),"X'qed jiġi rranġat mill-ġdid bħala parti mix-xogħlijiet ta 'titjib?")</f>
        <v>X'qed jiġi rranġat mill-ġdid bħala parti mix-xogħlijiet ta 'titjib?</v>
      </c>
    </row>
    <row r="9895" ht="15.75" customHeight="1">
      <c r="A9895" s="2" t="s">
        <v>9895</v>
      </c>
      <c r="B9895" s="2" t="str">
        <f>IFERROR(__xludf.DUMMYFUNCTION("GOOGLETRANSLATE(A9895, ""en"", ""mt"")"),"X'inhu metodu wieħed biex jinkiseb konsum ta 'aspirazzjoni?")</f>
        <v>X'inhu metodu wieħed biex jinkiseb konsum ta 'aspirazzjoni?</v>
      </c>
    </row>
    <row r="9896" ht="15.75" customHeight="1">
      <c r="A9896" s="2" t="s">
        <v>9896</v>
      </c>
      <c r="B9896" s="2" t="str">
        <f>IFERROR(__xludf.DUMMYFUNCTION("GOOGLETRANSLATE(A9896, ""en"", ""mt"")"),"Meta nbena ċ-Ċentru tal-Atletika Gerald Ratner?")</f>
        <v>Meta nbena ċ-Ċentru tal-Atletika Gerald Ratner?</v>
      </c>
    </row>
    <row r="9897" ht="15.75" customHeight="1">
      <c r="A9897" s="2" t="s">
        <v>9897</v>
      </c>
      <c r="B9897" s="2" t="str">
        <f>IFERROR(__xludf.DUMMYFUNCTION("GOOGLETRANSLATE(A9897, ""en"", ""mt"")"),"postijiet fejn l-ilma jiswa ħafna")</f>
        <v>postijiet fejn l-ilma jiswa ħafna</v>
      </c>
    </row>
    <row r="9898" ht="15.75" customHeight="1">
      <c r="A9898" s="2" t="s">
        <v>9898</v>
      </c>
      <c r="B9898" s="2" t="str">
        <f>IFERROR(__xludf.DUMMYFUNCTION("GOOGLETRANSLATE(A9898, ""en"", ""mt"")"),"Il-Knisja Episkopali Metodista ma twaqqfitx sal-1784.")</f>
        <v>Il-Knisja Episkopali Metodista ma twaqqfitx sal-1784.</v>
      </c>
    </row>
    <row r="9899" ht="15.75" customHeight="1">
      <c r="A9899" s="2" t="s">
        <v>9899</v>
      </c>
      <c r="B9899" s="2" t="str">
        <f>IFERROR(__xludf.DUMMYFUNCTION("GOOGLETRANSLATE(A9899, ""en"", ""mt"")"),"Sa liema sena l-MPG tal-Karozzi Amerikani bdew itejbu?")</f>
        <v>Sa liema sena l-MPG tal-Karozzi Amerikani bdew itejbu?</v>
      </c>
    </row>
    <row r="9900" ht="15.75" customHeight="1">
      <c r="A9900" s="2" t="s">
        <v>9900</v>
      </c>
      <c r="B9900" s="2" t="str">
        <f>IFERROR(__xludf.DUMMYFUNCTION("GOOGLETRANSLATE(A9900, ""en"", ""mt"")"),"Philo")</f>
        <v>Philo</v>
      </c>
    </row>
    <row r="9901" ht="15.75" customHeight="1">
      <c r="A9901" s="2" t="s">
        <v>9901</v>
      </c>
      <c r="B9901" s="2" t="str">
        <f>IFERROR(__xludf.DUMMYFUNCTION("GOOGLETRANSLATE(A9901, ""en"", ""mt"")"),"20 ta ’Diċembru 1914")</f>
        <v>20 ta ’Diċembru 1914</v>
      </c>
    </row>
    <row r="9902" ht="15.75" customHeight="1">
      <c r="A9902" s="2" t="s">
        <v>9902</v>
      </c>
      <c r="B9902" s="2" t="str">
        <f>IFERROR(__xludf.DUMMYFUNCTION("GOOGLETRANSLATE(A9902, ""en"", ""mt"")"),"Edukazzjoni meħtieġa tat-tfal bħala Kattoliċi")</f>
        <v>Edukazzjoni meħtieġa tat-tfal bħala Kattoliċi</v>
      </c>
    </row>
    <row r="9903" ht="15.75" customHeight="1">
      <c r="A9903" s="2" t="s">
        <v>9903</v>
      </c>
      <c r="B9903" s="2" t="str">
        <f>IFERROR(__xludf.DUMMYFUNCTION("GOOGLETRANSLATE(A9903, ""en"", ""mt"")"),"Meta ġew tradotti l-95 teżi ta 'Luther fil-Ġermaniż?")</f>
        <v>Meta ġew tradotti l-95 teżi ta 'Luther fil-Ġermaniż?</v>
      </c>
    </row>
    <row r="9904" ht="15.75" customHeight="1">
      <c r="A9904" s="2" t="s">
        <v>9904</v>
      </c>
      <c r="B9904" s="2" t="str">
        <f>IFERROR(__xludf.DUMMYFUNCTION("GOOGLETRANSLATE(A9904, ""en"", ""mt"")"),"Aktar minn 37 miljun passiġġier")</f>
        <v>Aktar minn 37 miljun passiġġier</v>
      </c>
    </row>
    <row r="9905" ht="15.75" customHeight="1">
      <c r="A9905" s="2" t="s">
        <v>9905</v>
      </c>
      <c r="B9905" s="2" t="str">
        <f>IFERROR(__xludf.DUMMYFUNCTION("GOOGLETRANSLATE(A9905, ""en"", ""mt"")"),"X’kienu jagħmlu d-dimostranti mal-avukat ta ’Kristu?")</f>
        <v>X’kienu jagħmlu d-dimostranti mal-avukat ta ’Kristu?</v>
      </c>
    </row>
    <row r="9906" ht="15.75" customHeight="1">
      <c r="A9906" s="2" t="s">
        <v>9906</v>
      </c>
      <c r="B9906" s="2" t="str">
        <f>IFERROR(__xludf.DUMMYFUNCTION("GOOGLETRANSLATE(A9906, ""en"", ""mt"")"),"Netwerk Fox")</f>
        <v>Netwerk Fox</v>
      </c>
    </row>
    <row r="9907" ht="15.75" customHeight="1">
      <c r="A9907" s="2" t="s">
        <v>9907</v>
      </c>
      <c r="B9907" s="2" t="str">
        <f>IFERROR(__xludf.DUMMYFUNCTION("GOOGLETRANSLATE(A9907, ""en"", ""mt"")"),"X'kienet l-aħħar Super Bowl li seħħ fil-Sun Life Stadium f'Miami?")</f>
        <v>X'kienet l-aħħar Super Bowl li seħħ fil-Sun Life Stadium f'Miami?</v>
      </c>
    </row>
    <row r="9908" ht="15.75" customHeight="1">
      <c r="A9908" s="2" t="s">
        <v>9908</v>
      </c>
      <c r="B9908" s="2" t="str">
        <f>IFERROR(__xludf.DUMMYFUNCTION("GOOGLETRANSLATE(A9908, ""en"", ""mt"")"),"Għaliex it-Tabib Min hu Tardis dejjem jidher l-istess?")</f>
        <v>Għaliex it-Tabib Min hu Tardis dejjem jidher l-istess?</v>
      </c>
    </row>
    <row r="9909" ht="15.75" customHeight="1">
      <c r="A9909" s="2" t="s">
        <v>9909</v>
      </c>
      <c r="B9909" s="2" t="str">
        <f>IFERROR(__xludf.DUMMYFUNCTION("GOOGLETRANSLATE(A9909, ""en"", ""mt"")"),"depożiti minerali")</f>
        <v>depożiti minerali</v>
      </c>
    </row>
    <row r="9910" ht="15.75" customHeight="1">
      <c r="A9910" s="2" t="s">
        <v>9910</v>
      </c>
      <c r="B9910" s="2" t="str">
        <f>IFERROR(__xludf.DUMMYFUNCTION("GOOGLETRANSLATE(A9910, ""en"", ""mt"")"),"Għalkemm il-Kenja hija l-ikbar ekonomija u l-iktar avvanzata fil-Lvant u l-Afrika Ċentrali, u għandha minoranza urbana sinjura, għandha indiċi ta 'żvilupp uman (HDI) ta' 0.519, ikklassifikat 145 minn 186 fid-dinja. Mill-2005, 17.7% tal-Kenjani għexu fuq i"&amp;"nqas minn $ 1.25 kuljum. Is-settur agrikolu importanti huwa wieħed mill-inqas żviluppati u fil-biċċa l-kbira ineffiċjenti, li juża 75% tal-forza tax-xogħol meta mqabbel ma 'inqas minn 3% fil-pajjiżi żviluppati siguri tal-ikel. Il-Kenja ġeneralment tkun ik"&amp;"klassifikata bħala suq tal-fruntiera jew kultant suq emerġenti, iżda mhuwiex wieħed mill-inqas pajjiżi żviluppati.")</f>
        <v>Għalkemm il-Kenja hija l-ikbar ekonomija u l-iktar avvanzata fil-Lvant u l-Afrika Ċentrali, u għandha minoranza urbana sinjura, għandha indiċi ta 'żvilupp uman (HDI) ta' 0.519, ikklassifikat 145 minn 186 fid-dinja. Mill-2005, 17.7% tal-Kenjani għexu fuq inqas minn $ 1.25 kuljum. Is-settur agrikolu importanti huwa wieħed mill-inqas żviluppati u fil-biċċa l-kbira ineffiċjenti, li juża 75% tal-forza tax-xogħol meta mqabbel ma 'inqas minn 3% fil-pajjiżi żviluppati siguri tal-ikel. Il-Kenja ġeneralment tkun ikklassifikata bħala suq tal-fruntiera jew kultant suq emerġenti, iżda mhuwiex wieħed mill-inqas pajjiżi żviluppati.</v>
      </c>
    </row>
    <row r="9911" ht="15.75" customHeight="1">
      <c r="A9911" s="2" t="s">
        <v>9911</v>
      </c>
      <c r="B9911" s="2" t="str">
        <f>IFERROR(__xludf.DUMMYFUNCTION("GOOGLETRANSLATE(A9911, ""en"", ""mt"")"),"Aktar ġid u dħul")</f>
        <v>Aktar ġid u dħul</v>
      </c>
    </row>
    <row r="9912" ht="15.75" customHeight="1">
      <c r="A9912" s="2" t="s">
        <v>9912</v>
      </c>
      <c r="B9912" s="2" t="str">
        <f>IFERROR(__xludf.DUMMYFUNCTION("GOOGLETRANSLATE(A9912, ""en"", ""mt"")"),"Min irċieva l-pass li kien iddeċieda mhux komplut u kkonfermat wara sfida?")</f>
        <v>Min irċieva l-pass li kien iddeċieda mhux komplut u kkonfermat wara sfida?</v>
      </c>
    </row>
    <row r="9913" ht="15.75" customHeight="1">
      <c r="A9913" s="2" t="s">
        <v>9913</v>
      </c>
      <c r="B9913" s="2" t="str">
        <f>IFERROR(__xludf.DUMMYFUNCTION("GOOGLETRANSLATE(A9913, ""en"", ""mt"")"),"ingħata l-ugwaljanza tal-Protestanti")</f>
        <v>ingħata l-ugwaljanza tal-Protestanti</v>
      </c>
    </row>
    <row r="9914" ht="15.75" customHeight="1">
      <c r="A9914" s="2" t="s">
        <v>9914</v>
      </c>
      <c r="B9914" s="2" t="str">
        <f>IFERROR(__xludf.DUMMYFUNCTION("GOOGLETRANSLATE(A9914, ""en"", ""mt"")"),"Meta ġiet stabbilita kumpanija li tiġġenera l-elettriku tal-Kenja?")</f>
        <v>Meta ġiet stabbilita kumpanija li tiġġenera l-elettriku tal-Kenja?</v>
      </c>
    </row>
    <row r="9915" ht="15.75" customHeight="1">
      <c r="A9915" s="2" t="s">
        <v>9915</v>
      </c>
      <c r="B9915" s="2" t="str">
        <f>IFERROR(__xludf.DUMMYFUNCTION("GOOGLETRANSLATE(A9915, ""en"", ""mt"")"),"Liema karatteristika dovuta l-biċċa l-kbira tal-oġġetti juru wara l-ħruq?")</f>
        <v>Liema karatteristika dovuta l-biċċa l-kbira tal-oġġetti juru wara l-ħruq?</v>
      </c>
    </row>
    <row r="9916" ht="15.75" customHeight="1">
      <c r="A9916" s="2" t="s">
        <v>9916</v>
      </c>
      <c r="B9916" s="2" t="str">
        <f>IFERROR(__xludf.DUMMYFUNCTION("GOOGLETRANSLATE(A9916, ""en"", ""mt"")"),"Liema sena kienet il-Case Commission v Italja li ttrattat il-prodotti tal-kawkaw?")</f>
        <v>Liema sena kienet il-Case Commission v Italja li ttrattat il-prodotti tal-kawkaw?</v>
      </c>
    </row>
    <row r="9917" ht="15.75" customHeight="1">
      <c r="A9917" s="2" t="s">
        <v>9917</v>
      </c>
      <c r="B9917" s="2" t="str">
        <f>IFERROR(__xludf.DUMMYFUNCTION("GOOGLETRANSLATE(A9917, ""en"", ""mt"")"),"350")</f>
        <v>350</v>
      </c>
    </row>
    <row r="9918" ht="15.75" customHeight="1">
      <c r="A9918" s="2" t="s">
        <v>9918</v>
      </c>
      <c r="B9918" s="2" t="str">
        <f>IFERROR(__xludf.DUMMYFUNCTION("GOOGLETRANSLATE(A9918, ""en"", ""mt"")"),"Mill-1985")</f>
        <v>Mill-1985</v>
      </c>
    </row>
    <row r="9919" ht="15.75" customHeight="1">
      <c r="A9919" s="2" t="s">
        <v>9919</v>
      </c>
      <c r="B9919" s="2" t="str">
        <f>IFERROR(__xludf.DUMMYFUNCTION("GOOGLETRANSLATE(A9919, ""en"", ""mt"")"),"Lejl tal-ftuħ tas-Super Bowl")</f>
        <v>Lejl tal-ftuħ tas-Super Bowl</v>
      </c>
    </row>
    <row r="9920" ht="15.75" customHeight="1">
      <c r="A9920" s="2" t="s">
        <v>9920</v>
      </c>
      <c r="B9920" s="2" t="str">
        <f>IFERROR(__xludf.DUMMYFUNCTION("GOOGLETRANSLATE(A9920, ""en"", ""mt"")"),"Nuqqas ta 'għalliema rġiel")</f>
        <v>Nuqqas ta 'għalliema rġiel</v>
      </c>
    </row>
    <row r="9921" ht="15.75" customHeight="1">
      <c r="A9921" s="2" t="s">
        <v>9921</v>
      </c>
      <c r="B9921" s="2" t="str">
        <f>IFERROR(__xludf.DUMMYFUNCTION("GOOGLETRANSLATE(A9921, ""en"", ""mt"")"),"l-iktar li tagħti Super Bowl li qatt kien hemm")</f>
        <v>l-iktar li tagħti Super Bowl li qatt kien hemm</v>
      </c>
    </row>
    <row r="9922" ht="15.75" customHeight="1">
      <c r="A9922" s="2" t="s">
        <v>9922</v>
      </c>
      <c r="B9922" s="2" t="str">
        <f>IFERROR(__xludf.DUMMYFUNCTION("GOOGLETRANSLATE(A9922, ""en"", ""mt"")"),"Meta nħolqot l-ewwel darba l-aħbarijiet 20/20?")</f>
        <v>Meta nħolqot l-ewwel darba l-aħbarijiet 20/20?</v>
      </c>
    </row>
    <row r="9923" ht="15.75" customHeight="1">
      <c r="A9923" s="2" t="s">
        <v>9923</v>
      </c>
      <c r="B9923" s="2" t="str">
        <f>IFERROR(__xludf.DUMMYFUNCTION("GOOGLETRANSLATE(A9923, ""en"", ""mt"")"),"Liema pajjiżi huma rappreżentati fil-kollezzjonijiet tal-Lvant Imbiegħed?")</f>
        <v>Liema pajjiżi huma rappreżentati fil-kollezzjonijiet tal-Lvant Imbiegħed?</v>
      </c>
    </row>
    <row r="9924" ht="15.75" customHeight="1">
      <c r="A9924" s="2" t="s">
        <v>9924</v>
      </c>
      <c r="B9924" s="2" t="str">
        <f>IFERROR(__xludf.DUMMYFUNCTION("GOOGLETRANSLATE(A9924, ""en"", ""mt"")"),"Kosmoloġija")</f>
        <v>Kosmoloġija</v>
      </c>
    </row>
    <row r="9925" ht="15.75" customHeight="1">
      <c r="A9925" s="2" t="s">
        <v>9925</v>
      </c>
      <c r="B9925" s="2" t="str">
        <f>IFERROR(__xludf.DUMMYFUNCTION("GOOGLETRANSLATE(A9925, ""en"", ""mt"")"),"Sting")</f>
        <v>Sting</v>
      </c>
    </row>
    <row r="9926" ht="15.75" customHeight="1">
      <c r="A9926" s="2" t="s">
        <v>9926</v>
      </c>
      <c r="B9926" s="2" t="str">
        <f>IFERROR(__xludf.DUMMYFUNCTION("GOOGLETRANSLATE(A9926, ""en"", ""mt"")"),"stmat $ 200,000")</f>
        <v>stmat $ 200,000</v>
      </c>
    </row>
    <row r="9927" ht="15.75" customHeight="1">
      <c r="A9927" s="2" t="s">
        <v>9927</v>
      </c>
      <c r="B9927" s="2" t="str">
        <f>IFERROR(__xludf.DUMMYFUNCTION("GOOGLETRANSLATE(A9927, ""en"", ""mt"")"),"Semmi pajjiż wieħed li pprojbixxa t-tbaħħir, is-sewqan u ttajjar il-Ħdud.")</f>
        <v>Semmi pajjiż wieħed li pprojbixxa t-tbaħħir, is-sewqan u ttajjar il-Ħdud.</v>
      </c>
    </row>
    <row r="9928" ht="15.75" customHeight="1">
      <c r="A9928" s="2" t="s">
        <v>9928</v>
      </c>
      <c r="B9928" s="2" t="str">
        <f>IFERROR(__xludf.DUMMYFUNCTION("GOOGLETRANSLATE(A9928, ""en"", ""mt"")"),"Il-proporzjonalità hija rikonoxxuta waħda mill-prinċipji ġenerali tal-liġi tal-Unjoni Ewropea mill-Qorti Ewropea tal-Ġustizzja mill-ħamsinijiet. Skond il-prinċipju ġenerali ta 'proporzjonalità, il-legalità ta' azzjoni tiddependi fuq jekk kienx xieraq u ne"&amp;"ċessarju li jinkisbu l-għanijiet leġittimament segwiti. Meta jkun hemm għażla bejn diversi miżuri xierqa, l-inqas onerużi għandhom jiġu adottati, u kwalunkwe żvantaġġ ikkawżat m'għandux ikun sproporzjonat għall-għanijiet segwiti. Il-prinċipju tal-proporzj"&amp;"onalità huwa rikonoxxut ukoll fl-Artikolu 5 tat-Trattat tal-KE, li jiddikjara li ""kwalunkwe azzjoni mill-komunità m'għandhiex tmur lil hinn minn dak li hu meħtieġ biex jinkisbu l-għanijiet ta 'dan it-trattat"".")</f>
        <v>Il-proporzjonalità hija rikonoxxuta waħda mill-prinċipji ġenerali tal-liġi tal-Unjoni Ewropea mill-Qorti Ewropea tal-Ġustizzja mill-ħamsinijiet. Skond il-prinċipju ġenerali ta 'proporzjonalità, il-legalità ta' azzjoni tiddependi fuq jekk kienx xieraq u neċessarju li jinkisbu l-għanijiet leġittimament segwiti. Meta jkun hemm għażla bejn diversi miżuri xierqa, l-inqas onerużi għandhom jiġu adottati, u kwalunkwe żvantaġġ ikkawżat m'għandux ikun sproporzjonat għall-għanijiet segwiti. Il-prinċipju tal-proporzjonalità huwa rikonoxxut ukoll fl-Artikolu 5 tat-Trattat tal-KE, li jiddikjara li "kwalunkwe azzjoni mill-komunità m'għandhiex tmur lil hinn minn dak li hu meħtieġ biex jinkisbu l-għanijiet ta 'dan it-trattat".</v>
      </c>
    </row>
    <row r="9929" ht="15.75" customHeight="1">
      <c r="A9929" s="2" t="s">
        <v>9929</v>
      </c>
      <c r="B9929" s="2" t="str">
        <f>IFERROR(__xludf.DUMMYFUNCTION("GOOGLETRANSLATE(A9929, ""en"", ""mt"")"),"Meta ġew injorati l-kitbiet ta 'Luther dwar il-Lhud, skond Johannes Wallmann?")</f>
        <v>Meta ġew injorati l-kitbiet ta 'Luther dwar il-Lhud, skond Johannes Wallmann?</v>
      </c>
    </row>
    <row r="9930" ht="15.75" customHeight="1">
      <c r="A9930" s="2" t="s">
        <v>9930</v>
      </c>
      <c r="B9930" s="2" t="str">
        <f>IFERROR(__xludf.DUMMYFUNCTION("GOOGLETRANSLATE(A9930, ""en"", ""mt"")"),"Liema kanal Awstraljan juri l-ewwel episodji tat-Tabib Who?")</f>
        <v>Liema kanal Awstraljan juri l-ewwel episodji tat-Tabib Who?</v>
      </c>
    </row>
    <row r="9931" ht="15.75" customHeight="1">
      <c r="A9931" s="2" t="s">
        <v>9931</v>
      </c>
      <c r="B9931" s="2" t="str">
        <f>IFERROR(__xludf.DUMMYFUNCTION("GOOGLETRANSLATE(A9931, ""en"", ""mt"")"),"X'inhu terminu ieħor għar-rotors?")</f>
        <v>X'inhu terminu ieħor għar-rotors?</v>
      </c>
    </row>
    <row r="9932" ht="15.75" customHeight="1">
      <c r="A9932" s="2" t="s">
        <v>9932</v>
      </c>
      <c r="B9932" s="2" t="str">
        <f>IFERROR(__xludf.DUMMYFUNCTION("GOOGLETRANSLATE(A9932, ""en"", ""mt"")"),"Bureau tal-Affarijiet Buddisti u Tibetani")</f>
        <v>Bureau tal-Affarijiet Buddisti u Tibetani</v>
      </c>
    </row>
    <row r="9933" ht="15.75" customHeight="1">
      <c r="A9933" s="2" t="s">
        <v>9933</v>
      </c>
      <c r="B9933" s="2" t="str">
        <f>IFERROR(__xludf.DUMMYFUNCTION("GOOGLETRANSLATE(A9933, ""en"", ""mt"")"),"Il- ""Kunsill Ewropew""")</f>
        <v>Il- "Kunsill Ewropew"</v>
      </c>
    </row>
    <row r="9934" ht="15.75" customHeight="1">
      <c r="A9934" s="2" t="s">
        <v>9934</v>
      </c>
      <c r="B9934" s="2" t="str">
        <f>IFERROR(__xludf.DUMMYFUNCTION("GOOGLETRANSLATE(A9934, ""en"", ""mt"")"),"It-toroq tal-belt")</f>
        <v>It-toroq tal-belt</v>
      </c>
    </row>
    <row r="9935" ht="15.75" customHeight="1">
      <c r="A9935" s="2" t="s">
        <v>9935</v>
      </c>
      <c r="B9935" s="2" t="str">
        <f>IFERROR(__xludf.DUMMYFUNCTION("GOOGLETRANSLATE(A9935, ""en"", ""mt"")"),"ARPA IPTO Direttur Larry Roberts")</f>
        <v>ARPA IPTO Direttur Larry Roberts</v>
      </c>
    </row>
    <row r="9936" ht="15.75" customHeight="1">
      <c r="A9936" s="2" t="s">
        <v>9936</v>
      </c>
      <c r="B9936" s="2" t="str">
        <f>IFERROR(__xludf.DUMMYFUNCTION("GOOGLETRANSLATE(A9936, ""en"", ""mt"")"),"Kemm hemm volumi li jinsabu fil-librerija?")</f>
        <v>Kemm hemm volumi li jinsabu fil-librerija?</v>
      </c>
    </row>
    <row r="9937" ht="15.75" customHeight="1">
      <c r="A9937" s="2" t="s">
        <v>9937</v>
      </c>
      <c r="B9937" s="2" t="str">
        <f>IFERROR(__xludf.DUMMYFUNCTION("GOOGLETRANSLATE(A9937, ""en"", ""mt"")"),"Ġie muri minn Ladner li jekk P ≠ NP allura jeżistu problemi f'NP li la huma f'P u lanqas f'NP-komplut. Problemi bħal dawn jissejħu problemi intermedjati NP. Il-problema tal-isomorfiżmu tal-graff, il-problema diskreta tal-logaritmu u l-problema ta 'fatturi"&amp;"zzazzjoni integri huma eżempji ta' problemi maħsuba li huma intermedji NP. Huma wħud mill-ftit problemi tal-NP mhux magħrufa li huma f'P jew li huma NP-kompluta.")</f>
        <v>Ġie muri minn Ladner li jekk P ≠ NP allura jeżistu problemi f'NP li la huma f'P u lanqas f'NP-komplut. Problemi bħal dawn jissejħu problemi intermedjati NP. Il-problema tal-isomorfiżmu tal-graff, il-problema diskreta tal-logaritmu u l-problema ta 'fatturizzazzjoni integri huma eżempji ta' problemi maħsuba li huma intermedji NP. Huma wħud mill-ftit problemi tal-NP mhux magħrufa li huma f'P jew li huma NP-kompluta.</v>
      </c>
    </row>
    <row r="9938" ht="15.75" customHeight="1">
      <c r="A9938" s="2" t="s">
        <v>9938</v>
      </c>
      <c r="B9938" s="2" t="str">
        <f>IFERROR(__xludf.DUMMYFUNCTION("GOOGLETRANSLATE(A9938, ""en"", ""mt"")"),"Ta 'liema forma huma primes razzjonali?")</f>
        <v>Ta 'liema forma huma primes razzjonali?</v>
      </c>
    </row>
    <row r="9939" ht="15.75" customHeight="1">
      <c r="A9939" s="2" t="s">
        <v>9939</v>
      </c>
      <c r="B9939" s="2" t="str">
        <f>IFERROR(__xludf.DUMMYFUNCTION("GOOGLETRANSLATE(A9939, ""en"", ""mt"")"),"X'kien qed jikkawża Franza l-ġdida li jkollha problemi bil-provvista mill-ġdid?")</f>
        <v>X'kien qed jikkawża Franza l-ġdida li jkollha problemi bil-provvista mill-ġdid?</v>
      </c>
    </row>
    <row r="9940" ht="15.75" customHeight="1">
      <c r="A9940" s="2" t="s">
        <v>9940</v>
      </c>
      <c r="B9940" s="2" t="str">
        <f>IFERROR(__xludf.DUMMYFUNCTION("GOOGLETRANSLATE(A9940, ""en"", ""mt"")"),"ossidi u oxoacids")</f>
        <v>ossidi u oxoacids</v>
      </c>
    </row>
    <row r="9941" ht="15.75" customHeight="1">
      <c r="A9941" s="2" t="s">
        <v>9941</v>
      </c>
      <c r="B9941" s="2" t="str">
        <f>IFERROR(__xludf.DUMMYFUNCTION("GOOGLETRANSLATE(A9941, ""en"", ""mt"")"),"Liema flussi bejn Bingen u Bonn?")</f>
        <v>Liema flussi bejn Bingen u Bonn?</v>
      </c>
    </row>
    <row r="9942" ht="15.75" customHeight="1">
      <c r="A9942" s="2" t="s">
        <v>9942</v>
      </c>
      <c r="B9942" s="2" t="str">
        <f>IFERROR(__xludf.DUMMYFUNCTION("GOOGLETRANSLATE(A9942, ""en"", ""mt"")"),"Harvard kien ikklassifikat ħafna minn bosta klassifiki universitarji. B'mod partikolari, hija kkonkludiet b'mod konsistenti l-klassifika akkademika ta 'universitajiet dinjija (ARWU) mill-2003, u l-klassifiki ta' reputazzjoni dinjija mill-2011, meta ġew ip"&amp;"pubblikati l-ewwel darba tali tabelli tal-kampjonat. Meta l-QS and Times ġew ippubblikati fi sħubija bħala l-klassifika tal-Università Dinjija tal-QS matul l-2004-2009, Harvard kien ukoll meqjus l-ewwel wieħed kull sena. Il-programm undergraduate tal-univ"&amp;"ersità kien kontinwament fost l-aqwa tnejn fir-Rapport tal-Aħbarijiet u Dinjija tal-Istati Uniti. Fl-2014, Harvard qabeż il-klassifika tal-università permezz ta ’prestazzjoni akkademika (URAP). Ġie kklassifikat it-8 fir-Rapport tas-Salarju tal-Kulleġġ Pay"&amp;"scale 2013-2014 u l-14-il sena fuq il-klassifikazzjonijiet tal-valur tal-Edukazzjoni tal-Kulleġġ Payscale 2013. Minn stħarriġ magħmul mir-Reviżjoni ta 'Princeton, Harvard huwa t-tieni l-iktar komunement imsejjaħ ""Dream College"", kemm għall-istudenti kif"&amp;" ukoll għall-ġenituri fl-2013, u kien l-ewwel nominat mill-ġenituri fl-2009. Fl-2011. Fl-2011, il-Minjieri Paristich: Universitajiet tad-Dinja tal-Klassifikazzjoni Professjonali Ikklassifikat l-1 Università ta 'Harvard fid-Dinja f'termini ta' numru ta 'po"&amp;"żizzjoni ta' CEO ta 'Alumni f'Fortune Global 500 Company.")</f>
        <v>Harvard kien ikklassifikat ħafna minn bosta klassifiki universitarji. B'mod partikolari, hija kkonkludiet b'mod konsistenti l-klassifika akkademika ta 'universitajiet dinjija (ARWU) mill-2003, u l-klassifiki ta' reputazzjoni dinjija mill-2011, meta ġew ippubblikati l-ewwel darba tali tabelli tal-kampjonat. Meta l-QS and Times ġew ippubblikati fi sħubija bħala l-klassifika tal-Università Dinjija tal-QS matul l-2004-2009, Harvard kien ukoll meqjus l-ewwel wieħed kull sena. Il-programm undergraduate tal-università kien kontinwament fost l-aqwa tnejn fir-Rapport tal-Aħbarijiet u Dinjija tal-Istati Uniti. Fl-2014, Harvard qabeż il-klassifika tal-università permezz ta ’prestazzjoni akkademika (URAP). Ġie kklassifikat it-8 fir-Rapport tas-Salarju tal-Kulleġġ Payscale 2013-2014 u l-14-il sena fuq il-klassifikazzjonijiet tal-valur tal-Edukazzjoni tal-Kulleġġ Payscale 2013. Minn stħarriġ magħmul mir-Reviżjoni ta 'Princeton, Harvard huwa t-tieni l-iktar komunement imsejjaħ "Dream College", kemm għall-istudenti kif ukoll għall-ġenituri fl-2013, u kien l-ewwel nominat mill-ġenituri fl-2009. Fl-2011. Fl-2011, il-Minjieri Paristich: Universitajiet tad-Dinja tal-Klassifikazzjoni Professjonali Ikklassifikat l-1 Università ta 'Harvard fid-Dinja f'termini ta' numru ta 'pożizzjoni ta' CEO ta 'Alumni f'Fortune Global 500 Company.</v>
      </c>
    </row>
    <row r="9943" ht="15.75" customHeight="1">
      <c r="A9943" s="2" t="s">
        <v>9943</v>
      </c>
      <c r="B9943" s="2" t="str">
        <f>IFERROR(__xludf.DUMMYFUNCTION("GOOGLETRANSLATE(A9943, ""en"", ""mt"")"),"Uża l-enerġija potenzjali maħżuna f'H +")</f>
        <v>Uża l-enerġija potenzjali maħżuna f'H +</v>
      </c>
    </row>
    <row r="9944" ht="15.75" customHeight="1">
      <c r="A9944" s="2" t="s">
        <v>9944</v>
      </c>
      <c r="B9944" s="2" t="str">
        <f>IFERROR(__xludf.DUMMYFUNCTION("GOOGLETRANSLATE(A9944, ""en"", ""mt"")"),"X'inhi l-problema ma 'Cysteine?")</f>
        <v>X'inhi l-problema ma 'Cysteine?</v>
      </c>
    </row>
    <row r="9945" ht="15.75" customHeight="1">
      <c r="A9945" s="2" t="s">
        <v>9945</v>
      </c>
      <c r="B9945" s="2" t="str">
        <f>IFERROR(__xludf.DUMMYFUNCTION("GOOGLETRANSLATE(A9945, ""en"", ""mt"")"),"Servizz tal-Ħadd tal-Metodisti fl-Amerika ta ’Fuq")</f>
        <v>Servizz tal-Ħadd tal-Metodisti fl-Amerika ta ’Fuq</v>
      </c>
    </row>
    <row r="9946" ht="15.75" customHeight="1">
      <c r="A9946" s="2" t="s">
        <v>9946</v>
      </c>
      <c r="B9946" s="2" t="str">
        <f>IFERROR(__xludf.DUMMYFUNCTION("GOOGLETRANSLATE(A9946, ""en"", ""mt"")"),"Kemm jeżistu numri ewlenin?")</f>
        <v>Kemm jeżistu numri ewlenin?</v>
      </c>
    </row>
    <row r="9947" ht="15.75" customHeight="1">
      <c r="A9947" s="2" t="s">
        <v>9947</v>
      </c>
      <c r="B9947" s="2" t="str">
        <f>IFERROR(__xludf.DUMMYFUNCTION("GOOGLETRANSLATE(A9947, ""en"", ""mt"")"),"X'inhi l-perċezzjoni ġenerali tal-istoriji mhux Mongoljani ta 'Genghis Khan mill-Mongoljani nfushom?")</f>
        <v>X'inhi l-perċezzjoni ġenerali tal-istoriji mhux Mongoljani ta 'Genghis Khan mill-Mongoljani nfushom?</v>
      </c>
    </row>
    <row r="9948" ht="15.75" customHeight="1">
      <c r="A9948" s="2" t="s">
        <v>9948</v>
      </c>
      <c r="B9948" s="2" t="str">
        <f>IFERROR(__xludf.DUMMYFUNCTION("GOOGLETRANSLATE(A9948, ""en"", ""mt"")"),"Fl-2002, il-mużew akkwista l-kollezzjoni tal-kostruf ta '178 kostumi ta' Vivienne Westwood. Disinjaturi famużi oħra b'xogħol fil-kollezzjoni jinkludu Coco Chanel, Hubert de Givenchy, Christian Dior, Cristóbal Balenciaga, Yves Saint Laurent, Guy Laroche, I"&amp;"rene Galitzine, Mila Schön, Valentino Garavani, Norman Norell, Norman Hartnell, Zandra Rhodes, Hardy Amies, Mary Quant, Christian Lacroix, Jean Muir u Pierre Cardin. Il-mużew ikompli jakkwista eżempji ta 'moda moderna biex iżid mal-kollezzjoni.")</f>
        <v>Fl-2002, il-mużew akkwista l-kollezzjoni tal-kostruf ta '178 kostumi ta' Vivienne Westwood. Disinjaturi famużi oħra b'xogħol fil-kollezzjoni jinkludu Coco Chanel, Hubert de Givenchy, Christian Dior, Cristóbal Balenciaga, Yves Saint Laurent, Guy Laroche, Irene Galitzine, Mila Schön, Valentino Garavani, Norman Norell, Norman Hartnell, Zandra Rhodes, Hardy Amies, Mary Quant, Christian Lacroix, Jean Muir u Pierre Cardin. Il-mużew ikompli jakkwista eżempji ta 'moda moderna biex iżid mal-kollezzjoni.</v>
      </c>
    </row>
    <row r="9949" ht="15.75" customHeight="1">
      <c r="A9949" s="2" t="s">
        <v>9949</v>
      </c>
      <c r="B9949" s="2" t="str">
        <f>IFERROR(__xludf.DUMMYFUNCTION("GOOGLETRANSLATE(A9949, ""en"", ""mt"")"),"Fl-1890, ma 'min iddeċieda li l-università tingħaqad?")</f>
        <v>Fl-1890, ma 'min iddeċieda li l-università tingħaqad?</v>
      </c>
    </row>
    <row r="9950" ht="15.75" customHeight="1">
      <c r="A9950" s="2" t="s">
        <v>9950</v>
      </c>
      <c r="B9950" s="2" t="str">
        <f>IFERROR(__xludf.DUMMYFUNCTION("GOOGLETRANSLATE(A9950, ""en"", ""mt"")"),"Grundschule")</f>
        <v>Grundschule</v>
      </c>
    </row>
    <row r="9951" ht="15.75" customHeight="1">
      <c r="A9951" s="2" t="s">
        <v>9951</v>
      </c>
      <c r="B9951" s="2" t="str">
        <f>IFERROR(__xludf.DUMMYFUNCTION("GOOGLETRANSLATE(A9951, ""en"", ""mt"")"),"Liema sitcom ipproduċa spinoff għal ABC wara li temm il-ġirja tiegħu fl-1984?")</f>
        <v>Liema sitcom ipproduċa spinoff għal ABC wara li temm il-ġirja tiegħu fl-1984?</v>
      </c>
    </row>
    <row r="9952" ht="15.75" customHeight="1">
      <c r="A9952" s="2" t="s">
        <v>9952</v>
      </c>
      <c r="B9952" s="2" t="str">
        <f>IFERROR(__xludf.DUMMYFUNCTION("GOOGLETRANSLATE(A9952, ""en"", ""mt"")"),"Minbarra d-dotazzjonijiet u t-tagħlim, kif l-iskejjel tal-imbark ikopru l-ispejjeż operattivi tagħhom?")</f>
        <v>Minbarra d-dotazzjonijiet u t-tagħlim, kif l-iskejjel tal-imbark ikopru l-ispejjeż operattivi tagħhom?</v>
      </c>
    </row>
    <row r="9953" ht="15.75" customHeight="1">
      <c r="A9953" s="2" t="s">
        <v>9953</v>
      </c>
      <c r="B9953" s="2" t="str">
        <f>IFERROR(__xludf.DUMMYFUNCTION("GOOGLETRANSLATE(A9953, ""en"", ""mt"")"),"A Christmas Carol")</f>
        <v>A Christmas Carol</v>
      </c>
    </row>
    <row r="9954" ht="15.75" customHeight="1">
      <c r="A9954" s="2" t="s">
        <v>9954</v>
      </c>
      <c r="B9954" s="2" t="str">
        <f>IFERROR(__xludf.DUMMYFUNCTION("GOOGLETRANSLATE(A9954, ""en"", ""mt"")"),"Urarina")</f>
        <v>Urarina</v>
      </c>
    </row>
    <row r="9955" ht="15.75" customHeight="1">
      <c r="A9955" s="2" t="s">
        <v>9955</v>
      </c>
      <c r="B9955" s="2" t="str">
        <f>IFERROR(__xludf.DUMMYFUNCTION("GOOGLETRANSLATE(A9955, ""en"", ""mt"")"),"Battalja ta 'Jumonville Glen")</f>
        <v>Battalja ta 'Jumonville Glen</v>
      </c>
    </row>
    <row r="9956" ht="15.75" customHeight="1">
      <c r="A9956" s="2" t="s">
        <v>9956</v>
      </c>
      <c r="B9956" s="2" t="str">
        <f>IFERROR(__xludf.DUMMYFUNCTION("GOOGLETRANSLATE(A9956, ""en"", ""mt"")"),"Xi jipproponi Graham Twigg dwar it-tixrid tal-mard?")</f>
        <v>Xi jipproponi Graham Twigg dwar it-tixrid tal-mard?</v>
      </c>
    </row>
    <row r="9957" ht="15.75" customHeight="1">
      <c r="A9957" s="2" t="s">
        <v>9957</v>
      </c>
      <c r="B9957" s="2" t="str">
        <f>IFERROR(__xludf.DUMMYFUNCTION("GOOGLETRANSLATE(A9957, ""en"", ""mt"")"),"Liema dokument ifforma l-Parlament tar-Rabat?")</f>
        <v>Liema dokument ifforma l-Parlament tar-Rabat?</v>
      </c>
    </row>
    <row r="9958" ht="15.75" customHeight="1">
      <c r="A9958" s="2" t="s">
        <v>9958</v>
      </c>
      <c r="B9958" s="2" t="str">
        <f>IFERROR(__xludf.DUMMYFUNCTION("GOOGLETRANSLATE(A9958, ""en"", ""mt"")"),"Albert Einstein")</f>
        <v>Albert Einstein</v>
      </c>
    </row>
    <row r="9959" ht="15.75" customHeight="1">
      <c r="A9959" s="2" t="s">
        <v>9959</v>
      </c>
      <c r="B9959" s="2" t="str">
        <f>IFERROR(__xludf.DUMMYFUNCTION("GOOGLETRANSLATE(A9959, ""en"", ""mt"")"),"Ma 'liema kultura ngħaqqdet in-Normans fl-Irlanda?")</f>
        <v>Ma 'liema kultura ngħaqqdet in-Normans fl-Irlanda?</v>
      </c>
    </row>
    <row r="9960" ht="15.75" customHeight="1">
      <c r="A9960" s="2" t="s">
        <v>9960</v>
      </c>
      <c r="B9960" s="2" t="str">
        <f>IFERROR(__xludf.DUMMYFUNCTION("GOOGLETRANSLATE(A9960, ""en"", ""mt"")"),"Liema kanal ħa post l-ivvjaġġar tas-sema?")</f>
        <v>Liema kanal ħa post l-ivvjaġġar tas-sema?</v>
      </c>
    </row>
    <row r="9961" ht="15.75" customHeight="1">
      <c r="A9961" s="2" t="s">
        <v>9961</v>
      </c>
      <c r="B9961" s="2" t="str">
        <f>IFERROR(__xludf.DUMMYFUNCTION("GOOGLETRANSLATE(A9961, ""en"", ""mt"")"),"Mill-1550 sal-1900")</f>
        <v>Mill-1550 sal-1900</v>
      </c>
    </row>
    <row r="9962" ht="15.75" customHeight="1">
      <c r="A9962" s="2" t="s">
        <v>9962</v>
      </c>
      <c r="B9962" s="2" t="str">
        <f>IFERROR(__xludf.DUMMYFUNCTION("GOOGLETRANSLATE(A9962, ""en"", ""mt"")"),"X'kien it-terminu użat li Kennedy biex juri li l-Amerika kienet taqa 'wara l-Unjoni Sovjetika minħabba inattività fi programmi spazjali?")</f>
        <v>X'kien it-terminu użat li Kennedy biex juri li l-Amerika kienet taqa 'wara l-Unjoni Sovjetika minħabba inattività fi programmi spazjali?</v>
      </c>
    </row>
    <row r="9963" ht="15.75" customHeight="1">
      <c r="A9963" s="2" t="s">
        <v>9963</v>
      </c>
      <c r="B9963" s="2" t="str">
        <f>IFERROR(__xludf.DUMMYFUNCTION("GOOGLETRANSLATE(A9963, ""en"", ""mt"")"),"kburi bih")</f>
        <v>kburi bih</v>
      </c>
    </row>
    <row r="9964" ht="15.75" customHeight="1">
      <c r="A9964" s="2" t="s">
        <v>9964</v>
      </c>
      <c r="B9964" s="2" t="str">
        <f>IFERROR(__xludf.DUMMYFUNCTION("GOOGLETRANSLATE(A9964, ""en"", ""mt"")"),"silikati")</f>
        <v>silikati</v>
      </c>
    </row>
    <row r="9965" ht="15.75" customHeight="1">
      <c r="A9965" s="2" t="s">
        <v>9965</v>
      </c>
      <c r="B9965" s="2" t="str">
        <f>IFERROR(__xludf.DUMMYFUNCTION("GOOGLETRANSLATE(A9965, ""en"", ""mt"")"),"Xi żmien matul il-karriera edukattiva tagħhom.")</f>
        <v>Xi żmien matul il-karriera edukattiva tagħhom.</v>
      </c>
    </row>
    <row r="9966" ht="15.75" customHeight="1">
      <c r="A9966" s="2" t="s">
        <v>9966</v>
      </c>
      <c r="B9966" s="2" t="str">
        <f>IFERROR(__xludf.DUMMYFUNCTION("GOOGLETRANSLATE(A9966, ""en"", ""mt"")"),"Minn liema monument fi ħdan Fresno It-Teatru tat-Torri jikseb isimha?")</f>
        <v>Minn liema monument fi ħdan Fresno It-Teatru tat-Torri jikseb isimha?</v>
      </c>
    </row>
    <row r="9967" ht="15.75" customHeight="1">
      <c r="A9967" s="2" t="s">
        <v>9967</v>
      </c>
      <c r="B9967" s="2" t="str">
        <f>IFERROR(__xludf.DUMMYFUNCTION("GOOGLETRANSLATE(A9967, ""en"", ""mt"")"),"Warraghgey")</f>
        <v>Warraghgey</v>
      </c>
    </row>
    <row r="9968" ht="15.75" customHeight="1">
      <c r="A9968" s="2" t="s">
        <v>9968</v>
      </c>
      <c r="B9968" s="2" t="str">
        <f>IFERROR(__xludf.DUMMYFUNCTION("GOOGLETRANSLATE(A9968, ""en"", ""mt"")"),"estern")</f>
        <v>estern</v>
      </c>
    </row>
    <row r="9969" ht="15.75" customHeight="1">
      <c r="A9969" s="2" t="s">
        <v>9969</v>
      </c>
      <c r="B9969" s="2" t="str">
        <f>IFERROR(__xludf.DUMMYFUNCTION("GOOGLETRANSLATE(A9969, ""en"", ""mt"")"),"Żjara tal-Elettorat tas-Sassonja,")</f>
        <v>Żjara tal-Elettorat tas-Sassonja,</v>
      </c>
    </row>
    <row r="9970" ht="15.75" customHeight="1">
      <c r="A9970" s="2" t="s">
        <v>9970</v>
      </c>
      <c r="B9970" s="2" t="str">
        <f>IFERROR(__xludf.DUMMYFUNCTION("GOOGLETRANSLATE(A9970, ""en"", ""mt"")"),"168,637")</f>
        <v>168,637</v>
      </c>
    </row>
    <row r="9971" ht="15.75" customHeight="1">
      <c r="A9971" s="2" t="s">
        <v>9971</v>
      </c>
      <c r="B9971" s="2" t="str">
        <f>IFERROR(__xludf.DUMMYFUNCTION("GOOGLETRANSLATE(A9971, ""en"", ""mt"")"),"Liema kundanna motivat lil Eliot biex jersaq lejn sekularizzazzjoni?")</f>
        <v>Liema kundanna motivat lil Eliot biex jersaq lejn sekularizzazzjoni?</v>
      </c>
    </row>
    <row r="9972" ht="15.75" customHeight="1">
      <c r="A9972" s="2" t="s">
        <v>9972</v>
      </c>
      <c r="B9972" s="2" t="str">
        <f>IFERROR(__xludf.DUMMYFUNCTION("GOOGLETRANSLATE(A9972, ""en"", ""mt"")"),"Netwerk fuq livell nazzjonali")</f>
        <v>Netwerk fuq livell nazzjonali</v>
      </c>
    </row>
    <row r="9973" ht="15.75" customHeight="1">
      <c r="A9973" s="2" t="s">
        <v>9973</v>
      </c>
      <c r="B9973" s="2" t="str">
        <f>IFERROR(__xludf.DUMMYFUNCTION("GOOGLETRANSLATE(A9973, ""en"", ""mt"")"),"tirbaħ l-artijiet tal-istat l-oħra u għalhekk iżżid id-dominanza tiegħu stess")</f>
        <v>tirbaħ l-artijiet tal-istat l-oħra u għalhekk iżżid id-dominanza tiegħu stess</v>
      </c>
    </row>
    <row r="9974" ht="15.75" customHeight="1">
      <c r="A9974" s="2" t="s">
        <v>9974</v>
      </c>
      <c r="B9974" s="2" t="str">
        <f>IFERROR(__xludf.DUMMYFUNCTION("GOOGLETRANSLATE(A9974, ""en"", ""mt"")"),"Bejn l-1945 u l-1970")</f>
        <v>Bejn l-1945 u l-1970</v>
      </c>
    </row>
    <row r="9975" ht="15.75" customHeight="1">
      <c r="A9975" s="2" t="s">
        <v>9975</v>
      </c>
      <c r="B9975" s="2" t="str">
        <f>IFERROR(__xludf.DUMMYFUNCTION("GOOGLETRANSLATE(A9975, ""en"", ""mt"")"),"F'liema sena kienet it-tlugħ dirett il-fokus tal-missjoni primarja fin-NASA?")</f>
        <v>F'liema sena kienet it-tlugħ dirett il-fokus tal-missjoni primarja fin-NASA?</v>
      </c>
    </row>
    <row r="9976" ht="15.75" customHeight="1">
      <c r="A9976" s="2" t="s">
        <v>9976</v>
      </c>
      <c r="B9976" s="2" t="str">
        <f>IFERROR(__xludf.DUMMYFUNCTION("GOOGLETRANSLATE(A9976, ""en"", ""mt"")"),"Krfx")</f>
        <v>Krfx</v>
      </c>
    </row>
    <row r="9977" ht="15.75" customHeight="1">
      <c r="A9977" s="2" t="s">
        <v>9977</v>
      </c>
      <c r="B9977" s="2" t="str">
        <f>IFERROR(__xludf.DUMMYFUNCTION("GOOGLETRANSLATE(A9977, ""en"", ""mt"")"),"Programmazzjoni lokali tard")</f>
        <v>Programmazzjoni lokali tard</v>
      </c>
    </row>
    <row r="9978" ht="15.75" customHeight="1">
      <c r="A9978" s="2" t="s">
        <v>9978</v>
      </c>
      <c r="B9978" s="2" t="str">
        <f>IFERROR(__xludf.DUMMYFUNCTION("GOOGLETRANSLATE(A9978, ""en"", ""mt"")"),"poeżija politika")</f>
        <v>poeżija politika</v>
      </c>
    </row>
    <row r="9979" ht="15.75" customHeight="1">
      <c r="A9979" s="2" t="s">
        <v>9979</v>
      </c>
      <c r="B9979" s="2" t="str">
        <f>IFERROR(__xludf.DUMMYFUNCTION("GOOGLETRANSLATE(A9979, ""en"", ""mt"")"),"Ittrasferixxi u tinħela l-enerġija żejda")</f>
        <v>Ittrasferixxi u tinħela l-enerġija żejda</v>
      </c>
    </row>
    <row r="9980" ht="15.75" customHeight="1">
      <c r="A9980" s="2" t="s">
        <v>9980</v>
      </c>
      <c r="B9980" s="2" t="str">
        <f>IFERROR(__xludf.DUMMYFUNCTION("GOOGLETRANSLATE(A9980, ""en"", ""mt"")"),"X'jista 'jkun għalliem entużjastiku għal student żagħżugħ?")</f>
        <v>X'jista 'jkun għalliem entużjastiku għal student żagħżugħ?</v>
      </c>
    </row>
    <row r="9981" ht="15.75" customHeight="1">
      <c r="A9981" s="2" t="s">
        <v>9981</v>
      </c>
      <c r="B9981" s="2" t="str">
        <f>IFERROR(__xludf.DUMMYFUNCTION("GOOGLETRANSLATE(A9981, ""en"", ""mt"")"),"Ein neues gideb waj heben an")</f>
        <v>Ein neues gideb waj heben an</v>
      </c>
    </row>
    <row r="9982" ht="15.75" customHeight="1">
      <c r="A9982" s="2" t="s">
        <v>9982</v>
      </c>
      <c r="B9982" s="2" t="str">
        <f>IFERROR(__xludf.DUMMYFUNCTION("GOOGLETRANSLATE(A9982, ""en"", ""mt"")"),"Il-programm ta 'sensibilizzazzjoni taż-żgħażagħ tal-V &amp; A kien il-qofol ta' direttorat tiegħu?")</f>
        <v>Il-programm ta 'sensibilizzazzjoni taż-żgħażagħ tal-V &amp; A kien il-qofol ta' direttorat tiegħu?</v>
      </c>
    </row>
    <row r="9983" ht="15.75" customHeight="1">
      <c r="A9983" s="2" t="s">
        <v>9983</v>
      </c>
      <c r="B9983" s="2" t="str">
        <f>IFERROR(__xludf.DUMMYFUNCTION("GOOGLETRANSLATE(A9983, ""en"", ""mt"")"),"ix-xemx")</f>
        <v>ix-xemx</v>
      </c>
    </row>
    <row r="9984" ht="15.75" customHeight="1">
      <c r="A9984" s="2" t="s">
        <v>9984</v>
      </c>
      <c r="B9984" s="2" t="str">
        <f>IFERROR(__xludf.DUMMYFUNCTION("GOOGLETRANSLATE(A9984, ""en"", ""mt"")"),"X’gruppat Paul Baran")</f>
        <v>X’gruppat Paul Baran</v>
      </c>
    </row>
    <row r="9985" ht="15.75" customHeight="1">
      <c r="A9985" s="2" t="s">
        <v>9985</v>
      </c>
      <c r="B9985" s="2" t="str">
        <f>IFERROR(__xludf.DUMMYFUNCTION("GOOGLETRANSLATE(A9985, ""en"", ""mt"")"),"Mill-2001")</f>
        <v>Mill-2001</v>
      </c>
    </row>
    <row r="9986" ht="15.75" customHeight="1">
      <c r="A9986" s="2" t="s">
        <v>9986</v>
      </c>
      <c r="B9986" s="2" t="str">
        <f>IFERROR(__xludf.DUMMYFUNCTION("GOOGLETRANSLATE(A9986, ""en"", ""mt"")"),"Charlotte Muzar")</f>
        <v>Charlotte Muzar</v>
      </c>
    </row>
    <row r="9987" ht="15.75" customHeight="1">
      <c r="A9987" s="2" t="s">
        <v>9987</v>
      </c>
      <c r="B9987" s="2" t="str">
        <f>IFERROR(__xludf.DUMMYFUNCTION("GOOGLETRANSLATE(A9987, ""en"", ""mt"")"),"80.4 decibels")</f>
        <v>80.4 decibels</v>
      </c>
    </row>
    <row r="9988" ht="15.75" customHeight="1">
      <c r="A9988" s="2" t="s">
        <v>9988</v>
      </c>
      <c r="B9988" s="2" t="str">
        <f>IFERROR(__xludf.DUMMYFUNCTION("GOOGLETRANSLATE(A9988, ""en"", ""mt"")"),"Sqallija u n-Nofsinhar tal-Ewropa")</f>
        <v>Sqallija u n-Nofsinhar tal-Ewropa</v>
      </c>
    </row>
    <row r="9989" ht="15.75" customHeight="1">
      <c r="A9989" s="2" t="s">
        <v>9989</v>
      </c>
      <c r="B9989" s="2" t="str">
        <f>IFERROR(__xludf.DUMMYFUNCTION("GOOGLETRANSLATE(A9989, ""en"", ""mt"")"),"Liema partit bħalissa huwa l-akbar fost il-linji tal-partit politiku?")</f>
        <v>Liema partit bħalissa huwa l-akbar fost il-linji tal-partit politiku?</v>
      </c>
    </row>
    <row r="9990" ht="15.75" customHeight="1">
      <c r="A9990" s="2" t="s">
        <v>9990</v>
      </c>
      <c r="B9990" s="2" t="str">
        <f>IFERROR(__xludf.DUMMYFUNCTION("GOOGLETRANSLATE(A9990, ""en"", ""mt"")"),"Min ipproduċa l-kummiedja-drama The Love Boat?")</f>
        <v>Min ipproduċa l-kummiedja-drama The Love Boat?</v>
      </c>
    </row>
    <row r="9991" ht="15.75" customHeight="1">
      <c r="A9991" s="2" t="s">
        <v>9991</v>
      </c>
      <c r="B9991" s="2" t="str">
        <f>IFERROR(__xludf.DUMMYFUNCTION("GOOGLETRANSLATE(A9991, ""en"", ""mt"")"),"Louisiana fil-punent tax-xmara Mississippi")</f>
        <v>Louisiana fil-punent tax-xmara Mississippi</v>
      </c>
    </row>
    <row r="9992" ht="15.75" customHeight="1">
      <c r="A9992" s="2" t="s">
        <v>9992</v>
      </c>
      <c r="B9992" s="2" t="str">
        <f>IFERROR(__xludf.DUMMYFUNCTION("GOOGLETRANSLATE(A9992, ""en"", ""mt"")"),"operaturi")</f>
        <v>operaturi</v>
      </c>
    </row>
    <row r="9993" ht="15.75" customHeight="1">
      <c r="A9993" s="2" t="s">
        <v>9993</v>
      </c>
      <c r="B9993" s="2" t="str">
        <f>IFERROR(__xludf.DUMMYFUNCTION("GOOGLETRANSLATE(A9993, ""en"", ""mt"")"),"Il-kwistjonijiet kollha li mhumiex riservati speċifikament huma awtomatikament devoluti għall-Parlament Skoċċiż")</f>
        <v>Il-kwistjonijiet kollha li mhumiex riservati speċifikament huma awtomatikament devoluti għall-Parlament Skoċċiż</v>
      </c>
    </row>
    <row r="9994" ht="15.75" customHeight="1">
      <c r="A9994" s="2" t="s">
        <v>9994</v>
      </c>
      <c r="B9994" s="2" t="str">
        <f>IFERROR(__xludf.DUMMYFUNCTION("GOOGLETRANSLATE(A9994, ""en"", ""mt"")"),"X'inhuma t-trattati ewlenin li tikkonsisti l-liġi primarja tal-UE?")</f>
        <v>X'inhuma t-trattati ewlenin li tikkonsisti l-liġi primarja tal-UE?</v>
      </c>
    </row>
    <row r="9995" ht="15.75" customHeight="1">
      <c r="A9995" s="2" t="s">
        <v>9995</v>
      </c>
      <c r="B9995" s="2" t="str">
        <f>IFERROR(__xludf.DUMMYFUNCTION("GOOGLETRANSLATE(A9995, ""en"", ""mt"")"),"Wara referendum fl-1997, li fih l-elettorat Skoċċiż ivvota għad-devoluzzjoni, il-Parlament attwali ġie mlaqqa 'bl-Att tal-1998 tal-Iskozja, li jistabbilixxi s-setgħat tiegħu bħala leġiżlatura devolta. L-Att jiddelinja l-kompetenza leġiżlattiva tal-Parlame"&amp;"nt - l-oqsma li fihom jista 'jagħmel liġijiet - billi jispeċifika b'mod espliċitu setgħat li huma ""riservati"" lill-Parlament tar-Renju Unit. Il-Parlament Skoċċiż għandu s-setgħa li jilleġiżla fl-oqsma kollha li mhumiex espliċitament riservati għal Westm"&amp;"inster. Il-Parlament Brittaniku jżomm il-kapaċità li jemenda t-Termini ta 'Referenza tal-Parlament Skoċċiż, u jista' jestendi jew inaqqas l-oqsma li fihom jista 'jagħmel liġijiet. L-ewwel laqgħa tal-Parlament il-ġdid saret fit-12 ta 'Mejju 1999.")</f>
        <v>Wara referendum fl-1997, li fih l-elettorat Skoċċiż ivvota għad-devoluzzjoni, il-Parlament attwali ġie mlaqqa 'bl-Att tal-1998 tal-Iskozja, li jistabbilixxi s-setgħat tiegħu bħala leġiżlatura devolta. L-Att jiddelinja l-kompetenza leġiżlattiva tal-Parlament - l-oqsma li fihom jista 'jagħmel liġijiet - billi jispeċifika b'mod espliċitu setgħat li huma "riservati" lill-Parlament tar-Renju Unit. Il-Parlament Skoċċiż għandu s-setgħa li jilleġiżla fl-oqsma kollha li mhumiex espliċitament riservati għal Westminster. Il-Parlament Brittaniku jżomm il-kapaċità li jemenda t-Termini ta 'Referenza tal-Parlament Skoċċiż, u jista' jestendi jew inaqqas l-oqsma li fihom jista 'jagħmel liġijiet. L-ewwel laqgħa tal-Parlament il-ġdid saret fit-12 ta 'Mejju 1999.</v>
      </c>
    </row>
    <row r="9996" ht="15.75" customHeight="1">
      <c r="A9996" s="2" t="s">
        <v>9996</v>
      </c>
      <c r="B9996" s="2" t="str">
        <f>IFERROR(__xludf.DUMMYFUNCTION("GOOGLETRANSLATE(A9996, ""en"", ""mt"")"),"Aspetti Alġebriċi")</f>
        <v>Aspetti Alġebriċi</v>
      </c>
    </row>
    <row r="9997" ht="15.75" customHeight="1">
      <c r="A9997" s="2" t="s">
        <v>9997</v>
      </c>
      <c r="B9997" s="2" t="str">
        <f>IFERROR(__xludf.DUMMYFUNCTION("GOOGLETRANSLATE(A9997, ""en"", ""mt"")"),"Minn Nova Scotia u Newfoundland fit-Tramuntana, sa Georgia fin-Nofsinhar")</f>
        <v>Minn Nova Scotia u Newfoundland fit-Tramuntana, sa Georgia fin-Nofsinhar</v>
      </c>
    </row>
    <row r="9998" ht="15.75" customHeight="1">
      <c r="A9998" s="2" t="s">
        <v>9998</v>
      </c>
      <c r="B9998" s="2" t="str">
        <f>IFERROR(__xludf.DUMMYFUNCTION("GOOGLETRANSLATE(A9998, ""en"", ""mt"")"),"Meta l-Gran Brittanja tikkolonizza l-Awstralja?")</f>
        <v>Meta l-Gran Brittanja tikkolonizza l-Awstralja?</v>
      </c>
    </row>
    <row r="9999" ht="15.75" customHeight="1">
      <c r="A9999" s="2" t="s">
        <v>9999</v>
      </c>
      <c r="B9999" s="2" t="str">
        <f>IFERROR(__xludf.DUMMYFUNCTION("GOOGLETRANSLATE(A9999, ""en"", ""mt"")"),"Minbarra ABC News, liema diviżjoni oħra kienet president ta 'Roone Arledge?")</f>
        <v>Minbarra ABC News, liema diviżjoni oħra kienet president ta 'Roone Arledge?</v>
      </c>
    </row>
    <row r="10000" ht="15.75" customHeight="1">
      <c r="A10000" s="2" t="s">
        <v>10000</v>
      </c>
      <c r="B10000" s="2" t="str">
        <f>IFERROR(__xludf.DUMMYFUNCTION("GOOGLETRANSLATE(A10000, ""en"", ""mt"")"),"X'kienet l-ewwel Super Bowl li fiha lagħbu l-Panthers Carolina?")</f>
        <v>X'kienet l-ewwel Super Bowl li fiha lagħbu l-Panthers Carolina?</v>
      </c>
    </row>
    <row r="10001" ht="15.75" customHeight="1">
      <c r="A10001" s="2" t="s">
        <v>10001</v>
      </c>
      <c r="B10001" s="2" t="str">
        <f>IFERROR(__xludf.DUMMYFUNCTION("GOOGLETRANSLATE(A10001, ""en"", ""mt"")"),"Little Hugos, jew dawk li jridu lil Hugo")</f>
        <v>Little Hugos, jew dawk li jridu lil Hugo</v>
      </c>
    </row>
    <row r="10002" ht="15.75" customHeight="1">
      <c r="A10002" s="2" t="s">
        <v>10002</v>
      </c>
      <c r="B10002" s="2" t="str">
        <f>IFERROR(__xludf.DUMMYFUNCTION("GOOGLETRANSLATE(A10002, ""en"", ""mt"")"),"Wara t-Trattat ta 'Lisbona, il-Karta u l-Konvenzjoni issa jeżistu taħt xiex?")</f>
        <v>Wara t-Trattat ta 'Lisbona, il-Karta u l-Konvenzjoni issa jeżistu taħt xiex?</v>
      </c>
    </row>
    <row r="10003" ht="15.75" customHeight="1">
      <c r="A10003" s="2" t="s">
        <v>10003</v>
      </c>
      <c r="B10003" s="2" t="str">
        <f>IFERROR(__xludf.DUMMYFUNCTION("GOOGLETRANSLATE(A10003, ""en"", ""mt"")"),"L-Istat Membru ma jistax jinforza liġijiet konfliġġenti, u ċittadin jista 'jiddependi fuq id-direttiva f'tali azzjoni")</f>
        <v>L-Istat Membru ma jistax jinforza liġijiet konfliġġenti, u ċittadin jista 'jiddependi fuq id-direttiva f'tali azzjoni</v>
      </c>
    </row>
    <row r="10004" ht="15.75" customHeight="1">
      <c r="A10004" s="2" t="s">
        <v>10004</v>
      </c>
      <c r="B10004" s="2" t="str">
        <f>IFERROR(__xludf.DUMMYFUNCTION("GOOGLETRANSLATE(A10004, ""en"", ""mt"")"),"Il-forzi tal-Punent meta invadew l-Iraq?")</f>
        <v>Il-forzi tal-Punent meta invadew l-Iraq?</v>
      </c>
    </row>
    <row r="10005" ht="15.75" customHeight="1">
      <c r="A10005" s="2" t="s">
        <v>10005</v>
      </c>
      <c r="B10005" s="2" t="str">
        <f>IFERROR(__xludf.DUMMYFUNCTION("GOOGLETRANSLATE(A10005, ""en"", ""mt"")"),"Falcons")</f>
        <v>Falcons</v>
      </c>
    </row>
    <row r="10006" ht="15.75" customHeight="1">
      <c r="A10006" s="2" t="s">
        <v>10006</v>
      </c>
      <c r="B10006" s="2" t="str">
        <f>IFERROR(__xludf.DUMMYFUNCTION("GOOGLETRANSLATE(A10006, ""en"", ""mt"")"),"F'liema każ kien ċittadin Olandiż mhux intitolat li jkompli jirċievi benefiċċji meta mar il-Belġju?")</f>
        <v>F'liema każ kien ċittadin Olandiż mhux intitolat li jkompli jirċievi benefiċċji meta mar il-Belġju?</v>
      </c>
    </row>
    <row r="10007" ht="15.75" customHeight="1">
      <c r="A10007" s="2" t="s">
        <v>10007</v>
      </c>
      <c r="B10007" s="2" t="str">
        <f>IFERROR(__xludf.DUMMYFUNCTION("GOOGLETRANSLATE(A10007, ""en"", ""mt"")"),"Meta ġie vvintat it-tip mobbli tal-fuħħar?")</f>
        <v>Meta ġie vvintat it-tip mobbli tal-fuħħar?</v>
      </c>
    </row>
    <row r="10008" ht="15.75" customHeight="1">
      <c r="A10008" s="2" t="s">
        <v>10008</v>
      </c>
      <c r="B10008" s="2" t="str">
        <f>IFERROR(__xludf.DUMMYFUNCTION("GOOGLETRANSLATE(A10008, ""en"", ""mt"")"),"Tentakli li jġorru t-Tentilla")</f>
        <v>Tentakli li jġorru t-Tentilla</v>
      </c>
    </row>
    <row r="10009" ht="15.75" customHeight="1">
      <c r="A10009" s="2" t="s">
        <v>10009</v>
      </c>
      <c r="B10009" s="2" t="str">
        <f>IFERROR(__xludf.DUMMYFUNCTION("GOOGLETRANSLATE(A10009, ""en"", ""mt"")"),"X'kienet il-missjoni doppja AS-258 taħlita?")</f>
        <v>X'kienet il-missjoni doppja AS-258 taħlita?</v>
      </c>
    </row>
    <row r="10010" ht="15.75" customHeight="1">
      <c r="A10010" s="2" t="s">
        <v>10010</v>
      </c>
      <c r="B10010" s="2" t="str">
        <f>IFERROR(__xludf.DUMMYFUNCTION("GOOGLETRANSLATE(A10010, ""en"", ""mt"")"),"X'inhu l-istadju għall-mertu rwol f'NSFNET")</f>
        <v>X'inhu l-istadju għall-mertu rwol f'NSFNET</v>
      </c>
    </row>
    <row r="10011" ht="15.75" customHeight="1">
      <c r="A10011" s="2" t="s">
        <v>10011</v>
      </c>
      <c r="B10011" s="2" t="str">
        <f>IFERROR(__xludf.DUMMYFUNCTION("GOOGLETRANSLATE(A10011, ""en"", ""mt"")"),"Liema kuluri kien il-logo ABC tal-2001?")</f>
        <v>Liema kuluri kien il-logo ABC tal-2001?</v>
      </c>
    </row>
    <row r="10012" ht="15.75" customHeight="1">
      <c r="A10012" s="2" t="s">
        <v>10012</v>
      </c>
      <c r="B10012" s="2" t="str">
        <f>IFERROR(__xludf.DUMMYFUNCTION("GOOGLETRANSLATE(A10012, ""en"", ""mt"")"),"Liema terminu kien użat għat-tieni riġenerazzjoni?")</f>
        <v>Liema terminu kien użat għat-tieni riġenerazzjoni?</v>
      </c>
    </row>
    <row r="10013" ht="15.75" customHeight="1">
      <c r="A10013" s="2" t="s">
        <v>10013</v>
      </c>
      <c r="B10013" s="2" t="str">
        <f>IFERROR(__xludf.DUMMYFUNCTION("GOOGLETRANSLATE(A10013, ""en"", ""mt"")"),"Thomas Edison")</f>
        <v>Thomas Edison</v>
      </c>
    </row>
    <row r="10014" ht="15.75" customHeight="1">
      <c r="A10014" s="2" t="s">
        <v>10014</v>
      </c>
      <c r="B10014" s="2" t="str">
        <f>IFERROR(__xludf.DUMMYFUNCTION("GOOGLETRANSLATE(A10014, ""en"", ""mt"")"),"1971")</f>
        <v>1971</v>
      </c>
    </row>
    <row r="10015" ht="15.75" customHeight="1">
      <c r="A10015" s="2" t="s">
        <v>10015</v>
      </c>
      <c r="B10015" s="2" t="str">
        <f>IFERROR(__xludf.DUMMYFUNCTION("GOOGLETRANSLATE(A10015, ""en"", ""mt"")"),"Il-logo użat għat-tielet u t-tmien tobba")</f>
        <v>Il-logo użat għat-tielet u t-tmien tobba</v>
      </c>
    </row>
    <row r="10016" ht="15.75" customHeight="1">
      <c r="A10016" s="2" t="s">
        <v>10016</v>
      </c>
      <c r="B10016" s="2" t="str">
        <f>IFERROR(__xludf.DUMMYFUNCTION("GOOGLETRANSLATE(A10016, ""en"", ""mt"")"),"Il-magni tal-fwar tat-tip tal-pistuni reċiprokanti baqgħu s-sors dominanti ta 'enerġija sal-bidu tas-seklu 20, meta l-avvanzi fid-disinn ta' muturi elettriċi u magni ta 'kombustjoni interna rriżultaw gradwalment fis-sostituzzjoni ta' magni tal-fwar reċipr"&amp;"okanti (pistuni) f'użu kummerċjali, u l-axxendenza tal-fwar Turbini fil-ġenerazzjoni tal-enerġija. Meta wieħed iqis li l-maġġoranza kbira tal-ġenerazzjoni elettrika dinjija hija prodotta minn magni tal-fwar tat-tip turbina, l- ""età tal-fwar"" qed tkompli"&amp;" b'livelli ta 'enerġija lil hinn minn dawk tad-dawra tas-seklu 19.")</f>
        <v>Il-magni tal-fwar tat-tip tal-pistuni reċiprokanti baqgħu s-sors dominanti ta 'enerġija sal-bidu tas-seklu 20, meta l-avvanzi fid-disinn ta' muturi elettriċi u magni ta 'kombustjoni interna rriżultaw gradwalment fis-sostituzzjoni ta' magni tal-fwar reċiprokanti (pistuni) f'użu kummerċjali, u l-axxendenza tal-fwar Turbini fil-ġenerazzjoni tal-enerġija. Meta wieħed iqis li l-maġġoranza kbira tal-ġenerazzjoni elettrika dinjija hija prodotta minn magni tal-fwar tat-tip turbina, l- "età tal-fwar" qed tkompli b'livelli ta 'enerġija lil hinn minn dawk tad-dawra tas-seklu 19.</v>
      </c>
    </row>
    <row r="10017" ht="15.75" customHeight="1">
      <c r="A10017" s="2" t="s">
        <v>10017</v>
      </c>
      <c r="B10017" s="2" t="str">
        <f>IFERROR(__xludf.DUMMYFUNCTION("GOOGLETRANSLATE(A10017, ""en"", ""mt"")"),"fwar")</f>
        <v>fwar</v>
      </c>
    </row>
    <row r="10018" ht="15.75" customHeight="1">
      <c r="A10018" s="2" t="s">
        <v>10018</v>
      </c>
      <c r="B10018" s="2" t="str">
        <f>IFERROR(__xludf.DUMMYFUNCTION("GOOGLETRANSLATE(A10018, ""en"", ""mt"")"),"biex tattendi l-iskola")</f>
        <v>biex tattendi l-iskola</v>
      </c>
    </row>
    <row r="10019" ht="15.75" customHeight="1">
      <c r="A10019" s="2" t="s">
        <v>10019</v>
      </c>
      <c r="B10019" s="2" t="str">
        <f>IFERROR(__xludf.DUMMYFUNCTION("GOOGLETRANSLATE(A10019, ""en"", ""mt"")"),"Liema moviment tad-drittijiet ċivili fl-Istati Uniti kien magħruf għad-diżubbidjenza tiegħu?")</f>
        <v>Liema moviment tad-drittijiet ċivili fl-Istati Uniti kien magħruf għad-diżubbidjenza tiegħu?</v>
      </c>
    </row>
    <row r="10020" ht="15.75" customHeight="1">
      <c r="A10020" s="2" t="s">
        <v>10020</v>
      </c>
      <c r="B10020" s="2" t="str">
        <f>IFERROR(__xludf.DUMMYFUNCTION("GOOGLETRANSLATE(A10020, ""en"", ""mt"")"),"Robert Nozick")</f>
        <v>Robert Nozick</v>
      </c>
    </row>
    <row r="10021" ht="15.75" customHeight="1">
      <c r="A10021" s="2" t="s">
        <v>10021</v>
      </c>
      <c r="B10021" s="2" t="str">
        <f>IFERROR(__xludf.DUMMYFUNCTION("GOOGLETRANSLATE(A10021, ""en"", ""mt"")"),"Kemm Afrikani nġiebu fl-Istati Uniti waqt il-kummerċ tal-iskjavi?")</f>
        <v>Kemm Afrikani nġiebu fl-Istati Uniti waqt il-kummerċ tal-iskjavi?</v>
      </c>
    </row>
    <row r="10022" ht="15.75" customHeight="1">
      <c r="A10022" s="2" t="s">
        <v>10022</v>
      </c>
      <c r="B10022" s="2" t="str">
        <f>IFERROR(__xludf.DUMMYFUNCTION("GOOGLETRANSLATE(A10022, ""en"", ""mt"")"),"Kemm jaqgħu l-oġġetti veloċi fid-dinja?")</f>
        <v>Kemm jaqgħu l-oġġetti veloċi fid-dinja?</v>
      </c>
    </row>
    <row r="10023" ht="15.75" customHeight="1">
      <c r="A10023" s="2" t="s">
        <v>10023</v>
      </c>
      <c r="B10023" s="2" t="str">
        <f>IFERROR(__xludf.DUMMYFUNCTION("GOOGLETRANSLATE(A10023, ""en"", ""mt"")"),"X'inhi l-gżira barra mix-xatt Ġermaniż tar-Renu li jiltaqa 'ma' dan l-ilma sħun u kiesaħ?")</f>
        <v>X'inhi l-gżira barra mix-xatt Ġermaniż tar-Renu li jiltaqa 'ma' dan l-ilma sħun u kiesaħ?</v>
      </c>
    </row>
    <row r="10024" ht="15.75" customHeight="1">
      <c r="A10024" s="2" t="s">
        <v>10024</v>
      </c>
      <c r="B10024" s="2" t="str">
        <f>IFERROR(__xludf.DUMMYFUNCTION("GOOGLETRANSLATE(A10024, ""en"", ""mt"")"),"Delinkwenti sesswali")</f>
        <v>Delinkwenti sesswali</v>
      </c>
    </row>
    <row r="10025" ht="15.75" customHeight="1">
      <c r="A10025" s="2" t="s">
        <v>10025</v>
      </c>
      <c r="B10025" s="2" t="str">
        <f>IFERROR(__xludf.DUMMYFUNCTION("GOOGLETRANSLATE(A10025, ""en"", ""mt"")"),"Ikkonvertihom għall-Kristjaneżmu.")</f>
        <v>Ikkonvertihom għall-Kristjaneżmu.</v>
      </c>
    </row>
    <row r="10026" ht="15.75" customHeight="1">
      <c r="A10026" s="2" t="s">
        <v>10026</v>
      </c>
      <c r="B10026" s="2" t="str">
        <f>IFERROR(__xludf.DUMMYFUNCTION("GOOGLETRANSLATE(A10026, ""en"", ""mt"")"),"Chemotaxis")</f>
        <v>Chemotaxis</v>
      </c>
    </row>
    <row r="10027" ht="15.75" customHeight="1">
      <c r="A10027" s="2" t="s">
        <v>10027</v>
      </c>
      <c r="B10027" s="2" t="str">
        <f>IFERROR(__xludf.DUMMYFUNCTION("GOOGLETRANSLATE(A10027, ""en"", ""mt"")"),"Kemm bini kien imqaxxar min-nar ta 'Jacksonville?")</f>
        <v>Kemm bini kien imqaxxar min-nar ta 'Jacksonville?</v>
      </c>
    </row>
    <row r="10028" ht="15.75" customHeight="1">
      <c r="A10028" s="2" t="s">
        <v>10028</v>
      </c>
      <c r="B10028" s="2" t="str">
        <f>IFERROR(__xludf.DUMMYFUNCTION("GOOGLETRANSLATE(A10028, ""en"", ""mt"")"),"Li tkun taf id-direzzjoni tal-forzi")</f>
        <v>Li tkun taf id-direzzjoni tal-forzi</v>
      </c>
    </row>
    <row r="10029" ht="15.75" customHeight="1">
      <c r="A10029" s="2" t="s">
        <v>10029</v>
      </c>
      <c r="B10029" s="2" t="str">
        <f>IFERROR(__xludf.DUMMYFUNCTION("GOOGLETRANSLATE(A10029, ""en"", ""mt"")"),"kważi 10,000")</f>
        <v>kważi 10,000</v>
      </c>
    </row>
    <row r="10030" ht="15.75" customHeight="1">
      <c r="A10030" s="2" t="s">
        <v>10030</v>
      </c>
      <c r="B10030" s="2" t="str">
        <f>IFERROR(__xludf.DUMMYFUNCTION("GOOGLETRANSLATE(A10030, ""en"", ""mt"")"),"Inġiniera tal-ispejjeż u estimaturi")</f>
        <v>Inġiniera tal-ispejjeż u estimaturi</v>
      </c>
    </row>
    <row r="10031" ht="15.75" customHeight="1">
      <c r="A10031" s="2" t="s">
        <v>10031</v>
      </c>
      <c r="B10031" s="2" t="str">
        <f>IFERROR(__xludf.DUMMYFUNCTION("GOOGLETRANSLATE(A10031, ""en"", ""mt"")"),"jista 'jkun b'saħħtu imma mhux neċessarjament it-tajjeb")</f>
        <v>jista 'jkun b'saħħtu imma mhux neċessarjament it-tajjeb</v>
      </c>
    </row>
    <row r="10032" ht="15.75" customHeight="1">
      <c r="A10032" s="2" t="s">
        <v>10032</v>
      </c>
      <c r="B10032" s="2" t="str">
        <f>IFERROR(__xludf.DUMMYFUNCTION("GOOGLETRANSLATE(A10032, ""en"", ""mt"")"),"X'inhi l-unika organizzazzjoni li tista 'titkellem uffiċjalment għall-knisja?")</f>
        <v>X'inhi l-unika organizzazzjoni li tista 'titkellem uffiċjalment għall-knisja?</v>
      </c>
    </row>
    <row r="10033" ht="15.75" customHeight="1">
      <c r="A10033" s="2" t="s">
        <v>10033</v>
      </c>
      <c r="B10033" s="2" t="str">
        <f>IFERROR(__xludf.DUMMYFUNCTION("GOOGLETRANSLATE(A10033, ""en"", ""mt"")"),"Liema riċerkatur uża l-ewwel kelma ossiġnu?")</f>
        <v>Liema riċerkatur uża l-ewwel kelma ossiġnu?</v>
      </c>
    </row>
    <row r="10034" ht="15.75" customHeight="1">
      <c r="A10034" s="2" t="s">
        <v>10034</v>
      </c>
      <c r="B10034" s="2" t="str">
        <f>IFERROR(__xludf.DUMMYFUNCTION("GOOGLETRANSLATE(A10034, ""en"", ""mt"")"),"X’tradotta Marlee Matlin?")</f>
        <v>X’tradotta Marlee Matlin?</v>
      </c>
    </row>
    <row r="10035" ht="15.75" customHeight="1">
      <c r="A10035" s="2" t="s">
        <v>10035</v>
      </c>
      <c r="B10035" s="2" t="str">
        <f>IFERROR(__xludf.DUMMYFUNCTION("GOOGLETRANSLATE(A10035, ""en"", ""mt"")"),"X'kien l-isem tal-lokomottiva li ddebutta fl-1808?")</f>
        <v>X'kien l-isem tal-lokomottiva li ddebutta fl-1808?</v>
      </c>
    </row>
    <row r="10036" ht="15.75" customHeight="1">
      <c r="A10036" s="2" t="s">
        <v>10036</v>
      </c>
      <c r="B10036" s="2" t="str">
        <f>IFERROR(__xludf.DUMMYFUNCTION("GOOGLETRANSLATE(A10036, ""en"", ""mt"")"),"applikat")</f>
        <v>applikat</v>
      </c>
    </row>
    <row r="10037" ht="15.75" customHeight="1">
      <c r="A10037" s="2" t="s">
        <v>10037</v>
      </c>
      <c r="B10037" s="2" t="str">
        <f>IFERROR(__xludf.DUMMYFUNCTION("GOOGLETRANSLATE(A10037, ""en"", ""mt"")"),"X'inhu l-proċess li jinbidel is-CO2 f'molekuli organiċi msejħa?")</f>
        <v>X'inhu l-proċess li jinbidel is-CO2 f'molekuli organiċi msejħa?</v>
      </c>
    </row>
    <row r="10038" ht="15.75" customHeight="1">
      <c r="A10038" s="2" t="s">
        <v>10038</v>
      </c>
      <c r="B10038" s="2" t="str">
        <f>IFERROR(__xludf.DUMMYFUNCTION("GOOGLETRANSLATE(A10038, ""en"", ""mt"")"),"Faċilità ta 'Prattika ta' l-Istat ta 'San Jose u qagħdet f'San Jose Marriott.")</f>
        <v>Faċilità ta 'Prattika ta' l-Istat ta 'San Jose u qagħdet f'San Jose Marriott.</v>
      </c>
    </row>
    <row r="10039" ht="15.75" customHeight="1">
      <c r="A10039" s="2" t="s">
        <v>10039</v>
      </c>
      <c r="B10039" s="2" t="str">
        <f>IFERROR(__xludf.DUMMYFUNCTION("GOOGLETRANSLATE(A10039, ""en"", ""mt"")"),"Modulu tal-Kmand / Servizz")</f>
        <v>Modulu tal-Kmand / Servizz</v>
      </c>
    </row>
    <row r="10040" ht="15.75" customHeight="1">
      <c r="A10040" s="2" t="s">
        <v>10040</v>
      </c>
      <c r="B10040" s="2" t="str">
        <f>IFERROR(__xludf.DUMMYFUNCTION("GOOGLETRANSLATE(A10040, ""en"", ""mt"")"),"Ir-Rivoluzzjoni Industrijali")</f>
        <v>Ir-Rivoluzzjoni Industrijali</v>
      </c>
    </row>
    <row r="10041" ht="15.75" customHeight="1">
      <c r="A10041" s="2" t="s">
        <v>10041</v>
      </c>
      <c r="B10041" s="2" t="str">
        <f>IFERROR(__xludf.DUMMYFUNCTION("GOOGLETRANSLATE(A10041, ""en"", ""mt"")"),"Mitsubishi mill-ġdid mill-ġdid il-forte tiegħu?")</f>
        <v>Mitsubishi mill-ġdid mill-ġdid il-forte tiegħu?</v>
      </c>
    </row>
    <row r="10042" ht="15.75" customHeight="1">
      <c r="A10042" s="2" t="s">
        <v>10042</v>
      </c>
      <c r="B10042" s="2" t="str">
        <f>IFERROR(__xludf.DUMMYFUNCTION("GOOGLETRANSLATE(A10042, ""en"", ""mt"")"),"Is-Sitt Nazzjonijiet ta ’Iroquois")</f>
        <v>Is-Sitt Nazzjonijiet ta ’Iroquois</v>
      </c>
    </row>
    <row r="10043" ht="15.75" customHeight="1">
      <c r="A10043" s="2" t="s">
        <v>10043</v>
      </c>
      <c r="B10043" s="2" t="str">
        <f>IFERROR(__xludf.DUMMYFUNCTION("GOOGLETRANSLATE(A10043, ""en"", ""mt"")"),"Kurt H. Debus")</f>
        <v>Kurt H. Debus</v>
      </c>
    </row>
    <row r="10044" ht="15.75" customHeight="1">
      <c r="A10044" s="2" t="s">
        <v>10044</v>
      </c>
      <c r="B10044" s="2" t="str">
        <f>IFERROR(__xludf.DUMMYFUNCTION("GOOGLETRANSLATE(A10044,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10045" ht="15.75" customHeight="1">
      <c r="A10045" s="2" t="s">
        <v>10045</v>
      </c>
      <c r="B10045" s="2" t="str">
        <f>IFERROR(__xludf.DUMMYFUNCTION("GOOGLETRANSLATE(A10045, ""en"", ""mt"")"),"Kemm hemm siġġijiet fil-kamra tad-dibattitu?")</f>
        <v>Kemm hemm siġġijiet fil-kamra tad-dibattitu?</v>
      </c>
    </row>
    <row r="10046" ht="15.75" customHeight="1">
      <c r="A10046" s="2" t="s">
        <v>10046</v>
      </c>
      <c r="B10046" s="2" t="str">
        <f>IFERROR(__xludf.DUMMYFUNCTION("GOOGLETRANSLATE(A10046, ""en"", ""mt"")"),"(1110 am)")</f>
        <v>(1110 am)</v>
      </c>
    </row>
    <row r="10047" ht="15.75" customHeight="1">
      <c r="A10047" s="2" t="s">
        <v>10047</v>
      </c>
      <c r="B10047" s="2" t="str">
        <f>IFERROR(__xludf.DUMMYFUNCTION("GOOGLETRANSLATE(A10047, ""en"", ""mt"")"),"X’għamel is-Shah meta ffaċċjat bit-telfa mill-forzi ta ’Genghis Khan?")</f>
        <v>X’għamel is-Shah meta ffaċċjat bit-telfa mill-forzi ta ’Genghis Khan?</v>
      </c>
    </row>
    <row r="10048" ht="15.75" customHeight="1">
      <c r="A10048" s="2" t="s">
        <v>10048</v>
      </c>
      <c r="B10048" s="2" t="str">
        <f>IFERROR(__xludf.DUMMYFUNCTION("GOOGLETRANSLATE(A10048, ""en"", ""mt"")"),"Il-kloroplasti tal-kriptofiti kif jirranġaw il-pirenojdi u t-thylakoids tagħhom?")</f>
        <v>Il-kloroplasti tal-kriptofiti kif jirranġaw il-pirenojdi u t-thylakoids tagħhom?</v>
      </c>
    </row>
    <row r="10049" ht="15.75" customHeight="1">
      <c r="A10049" s="2" t="s">
        <v>10049</v>
      </c>
      <c r="B10049" s="2" t="str">
        <f>IFERROR(__xludf.DUMMYFUNCTION("GOOGLETRANSLATE(A10049, ""en"", ""mt"")"),"Rekwiżiti taż-Żonjar u tal-Kodiċi tal-Bini")</f>
        <v>Rekwiżiti taż-Żonjar u tal-Kodiċi tal-Bini</v>
      </c>
    </row>
    <row r="10050" ht="15.75" customHeight="1">
      <c r="A10050" s="2" t="s">
        <v>10050</v>
      </c>
      <c r="B10050" s="2" t="str">
        <f>IFERROR(__xludf.DUMMYFUNCTION("GOOGLETRANSLATE(A10050, ""en"", ""mt"")"),"April 1943")</f>
        <v>April 1943</v>
      </c>
    </row>
    <row r="10051" ht="15.75" customHeight="1">
      <c r="A10051" s="2" t="s">
        <v>10051</v>
      </c>
      <c r="B10051" s="2" t="str">
        <f>IFERROR(__xludf.DUMMYFUNCTION("GOOGLETRANSLATE(A10051, ""en"", ""mt"")"),"ittri")</f>
        <v>ittri</v>
      </c>
    </row>
    <row r="10052" ht="15.75" customHeight="1">
      <c r="A10052" s="2" t="s">
        <v>10052</v>
      </c>
      <c r="B10052" s="2" t="str">
        <f>IFERROR(__xludf.DUMMYFUNCTION("GOOGLETRANSLATE(A10052, ""en"", ""mt"")"),"il-koordinatur tal-proġett")</f>
        <v>il-koordinatur tal-proġett</v>
      </c>
    </row>
    <row r="10053" ht="15.75" customHeight="1">
      <c r="A10053" s="2" t="s">
        <v>10053</v>
      </c>
      <c r="B10053" s="2" t="str">
        <f>IFERROR(__xludf.DUMMYFUNCTION("GOOGLETRANSLATE(A10053, ""en"", ""mt"")"),"1882")</f>
        <v>1882</v>
      </c>
    </row>
    <row r="10054" ht="15.75" customHeight="1">
      <c r="A10054" s="2" t="s">
        <v>10054</v>
      </c>
      <c r="B10054" s="2" t="str">
        <f>IFERROR(__xludf.DUMMYFUNCTION("GOOGLETRANSLATE(A10054, ""en"", ""mt"")"),"Genesis Rock")</f>
        <v>Genesis Rock</v>
      </c>
    </row>
    <row r="10055" ht="15.75" customHeight="1">
      <c r="A10055" s="2" t="s">
        <v>10055</v>
      </c>
      <c r="B10055" s="2" t="str">
        <f>IFERROR(__xludf.DUMMYFUNCTION("GOOGLETRANSLATE(A10055, ""en"", ""mt"")"),"X'inhu mod alternattiv biex tagħmel il-lamtu?")</f>
        <v>X'inhu mod alternattiv biex tagħmel il-lamtu?</v>
      </c>
    </row>
    <row r="10056" ht="15.75" customHeight="1">
      <c r="A10056" s="2" t="s">
        <v>10056</v>
      </c>
      <c r="B10056" s="2" t="str">
        <f>IFERROR(__xludf.DUMMYFUNCTION("GOOGLETRANSLATE(A10056, ""en"", ""mt"")"),"Skandinavja")</f>
        <v>Skandinavja</v>
      </c>
    </row>
    <row r="10057" ht="15.75" customHeight="1">
      <c r="A10057" s="2" t="s">
        <v>10057</v>
      </c>
      <c r="B10057" s="2" t="str">
        <f>IFERROR(__xludf.DUMMYFUNCTION("GOOGLETRANSLATE(A10057, ""en"", ""mt"")"),"L-għarfien mediku kien staġna matul il-Medju Evu. L-iktar kont awtorevoli dak iż-żmien ġie mill-fakultà medika f'Pariġi f'rapport lir-Re ta 'Franza li waħħal is-smewwiet, fil-forma ta' konġunzjoni ta 'tliet pjaneti fl-1345 li kkawża ""pestilenza kbira fl-"&amp;"arja"". Dan ir-rapport sar l-ewwel u l-iktar li ċċirkola b'mod wiesa 'serje ta' passaġġi tal-pesta li fittxew li jagħtu pariri lil dawk li jbatu. Li l-pesta kienet ikkawżata mill-arja ħażina saret it-teorija l-iktar aċċettata. Illum, din hija magħrufa bħa"&amp;"la t-teorija tal-Miasma. Il-kelma ""pesta"" ma kellha l-ebda sinifikat speċjali f'dan il-ħin, u r-rikorrenza ta 'tifqigħat biss matul il-Medju Evu tatha l-isem li sar it-terminu mediku.")</f>
        <v>L-għarfien mediku kien staġna matul il-Medju Evu. L-iktar kont awtorevoli dak iż-żmien ġie mill-fakultà medika f'Pariġi f'rapport lir-Re ta 'Franza li waħħal is-smewwiet, fil-forma ta' konġunzjoni ta 'tliet pjaneti fl-1345 li kkawża "pestilenza kbira fl-arja". Dan ir-rapport sar l-ewwel u l-iktar li ċċirkola b'mod wiesa 'serje ta' passaġġi tal-pesta li fittxew li jagħtu pariri lil dawk li jbatu. Li l-pesta kienet ikkawżata mill-arja ħażina saret it-teorija l-iktar aċċettata. Illum, din hija magħrufa bħala t-teorija tal-Miasma. Il-kelma "pesta" ma kellha l-ebda sinifikat speċjali f'dan il-ħin, u r-rikorrenza ta 'tifqigħat biss matul il-Medju Evu tatha l-isem li sar it-terminu mediku.</v>
      </c>
    </row>
    <row r="10058" ht="15.75" customHeight="1">
      <c r="A10058" s="2" t="s">
        <v>10058</v>
      </c>
      <c r="B10058" s="2" t="str">
        <f>IFERROR(__xludf.DUMMYFUNCTION("GOOGLETRANSLATE(A10058, ""en"", ""mt"")"),"Min wettaq dan l-istħarriġ?")</f>
        <v>Min wettaq dan l-istħarriġ?</v>
      </c>
    </row>
    <row r="10059" ht="15.75" customHeight="1">
      <c r="A10059" s="2" t="s">
        <v>10059</v>
      </c>
      <c r="B10059" s="2" t="str">
        <f>IFERROR(__xludf.DUMMYFUNCTION("GOOGLETRANSLATE(A10059, ""en"", ""mt"")"),"Proġett tal-fabbrika")</f>
        <v>Proġett tal-fabbrika</v>
      </c>
    </row>
    <row r="10060" ht="15.75" customHeight="1">
      <c r="A10060" s="2" t="s">
        <v>10060</v>
      </c>
      <c r="B10060" s="2" t="str">
        <f>IFERROR(__xludf.DUMMYFUNCTION("GOOGLETRANSLATE(A10060, ""en"", ""mt"")"),"Domanda bijokimika ta 'ossiġnu")</f>
        <v>Domanda bijokimika ta 'ossiġnu</v>
      </c>
    </row>
    <row r="10061" ht="15.75" customHeight="1">
      <c r="A10061" s="2" t="s">
        <v>10061</v>
      </c>
      <c r="B10061" s="2" t="str">
        <f>IFERROR(__xludf.DUMMYFUNCTION("GOOGLETRANSLATE(A10061, ""en"", ""mt"")"),"Liema avveniment ta 'estinzjoni jista' jkun ħoloq xi kundizzjonijiet li jippermettu l-espansjoni tal-Amazon Rainforest?")</f>
        <v>Liema avveniment ta 'estinzjoni jista' jkun ħoloq xi kundizzjonijiet li jippermettu l-espansjoni tal-Amazon Rainforest?</v>
      </c>
    </row>
    <row r="10062" ht="15.75" customHeight="1">
      <c r="A10062" s="2" t="s">
        <v>10062</v>
      </c>
      <c r="B10062" s="2" t="str">
        <f>IFERROR(__xludf.DUMMYFUNCTION("GOOGLETRANSLATE(A10062, ""en"", ""mt"")"),"Segretarju tad-Difiża ta 'l-Istati Uniti")</f>
        <v>Segretarju tad-Difiża ta 'l-Istati Uniti</v>
      </c>
    </row>
    <row r="10063" ht="15.75" customHeight="1">
      <c r="A10063" s="2" t="s">
        <v>10063</v>
      </c>
      <c r="B10063" s="2" t="str">
        <f>IFERROR(__xludf.DUMMYFUNCTION("GOOGLETRANSLATE(A10063, ""en"", ""mt"")"),"Liema proċess jaħdmu Iżlamisti moderati u riformisti fil-konfini ta '?")</f>
        <v>Liema proċess jaħdmu Iżlamisti moderati u riformisti fil-konfini ta '?</v>
      </c>
    </row>
    <row r="10064" ht="15.75" customHeight="1">
      <c r="A10064" s="2" t="s">
        <v>10064</v>
      </c>
      <c r="B10064" s="2" t="str">
        <f>IFERROR(__xludf.DUMMYFUNCTION("GOOGLETRANSLATE(A10064, ""en"", ""mt"")"),"jissimplifika l-faċċata tal-annimal")</f>
        <v>jissimplifika l-faċċata tal-annimal</v>
      </c>
    </row>
    <row r="10065" ht="15.75" customHeight="1">
      <c r="A10065" s="2" t="s">
        <v>10065</v>
      </c>
      <c r="B10065" s="2" t="str">
        <f>IFERROR(__xludf.DUMMYFUNCTION("GOOGLETRANSLATE(A10065, ""en"", ""mt"")"),"Liema tribujiet kienu fil-gwerra ta 'Patri Le Loutre?")</f>
        <v>Liema tribujiet kienu fil-gwerra ta 'Patri Le Loutre?</v>
      </c>
    </row>
    <row r="10066" ht="15.75" customHeight="1">
      <c r="A10066" s="2" t="s">
        <v>10066</v>
      </c>
      <c r="B10066" s="2" t="str">
        <f>IFERROR(__xludf.DUMMYFUNCTION("GOOGLETRANSLATE(A10066, ""en"", ""mt"")"),"diversifikat")</f>
        <v>diversifikat</v>
      </c>
    </row>
    <row r="10067" ht="15.75" customHeight="1">
      <c r="A10067" s="2" t="s">
        <v>10067</v>
      </c>
      <c r="B10067" s="2" t="str">
        <f>IFERROR(__xludf.DUMMYFUNCTION("GOOGLETRANSLATE(A10067, ""en"", ""mt"")"),"1201")</f>
        <v>1201</v>
      </c>
    </row>
    <row r="10068" ht="15.75" customHeight="1">
      <c r="A10068" s="2" t="s">
        <v>10068</v>
      </c>
      <c r="B10068" s="2" t="str">
        <f>IFERROR(__xludf.DUMMYFUNCTION("GOOGLETRANSLATE(A10068, ""en"", ""mt"")"),"L-Atlantiku tal-Punent Ctenophore Mnemiopsis Leidyi ġie introdott aċċidentalment")</f>
        <v>L-Atlantiku tal-Punent Ctenophore Mnemiopsis Leidyi ġie introdott aċċidentalment</v>
      </c>
    </row>
    <row r="10069" ht="15.75" customHeight="1">
      <c r="A10069" s="2" t="s">
        <v>10069</v>
      </c>
      <c r="B10069" s="2" t="str">
        <f>IFERROR(__xludf.DUMMYFUNCTION("GOOGLETRANSLATE(A10069, ""en"", ""mt"")"),"X'kienet it-teorija tal-ħbieb ta 'Tesla dwar x'sar minnu?")</f>
        <v>X'kienet it-teorija tal-ħbieb ta 'Tesla dwar x'sar minnu?</v>
      </c>
    </row>
    <row r="10070" ht="15.75" customHeight="1">
      <c r="A10070" s="2" t="s">
        <v>10070</v>
      </c>
      <c r="B10070" s="2" t="str">
        <f>IFERROR(__xludf.DUMMYFUNCTION("GOOGLETRANSLATE(A10070, ""en"", ""mt"")"),"Biex turi aħjar din l-idea, Bassett jiffoka l-analiżi tiegħu tar-rwol tal-mapep tas-seklu dsatax matul il- ""ġirja għall-Afrika"". Huwa jiddikjara li l-mapep ""ikkontribwew għall-Imperu billi jippromwovu, jassistu u jilleġittimizzaw l-estensjoni tal-poter"&amp;" Franċiż u Ingliż fl-Afrika tal-Punent"". Matul l-analiżi tiegħu ta 'tekniki kartografiċi tas-seklu dsatax, huwa jenfasizza l-użu ta' spazju vojt biex jindika territorju mhux magħruf jew mhux esplorat. Dan ipprovda inċentivi għall-poteri imperjali u kolon"&amp;"jali biex jiksbu ""informazzjoni biex timla spazji vojta fuq mapep kontemporanji"".")</f>
        <v>Biex turi aħjar din l-idea, Bassett jiffoka l-analiżi tiegħu tar-rwol tal-mapep tas-seklu dsatax matul il- "ġirja għall-Afrika". Huwa jiddikjara li l-mapep "ikkontribwew għall-Imperu billi jippromwovu, jassistu u jilleġittimizzaw l-estensjoni tal-poter Franċiż u Ingliż fl-Afrika tal-Punent". Matul l-analiżi tiegħu ta 'tekniki kartografiċi tas-seklu dsatax, huwa jenfasizza l-użu ta' spazju vojt biex jindika territorju mhux magħruf jew mhux esplorat. Dan ipprovda inċentivi għall-poteri imperjali u kolonjali biex jiksbu "informazzjoni biex timla spazji vojta fuq mapep kontemporanji".</v>
      </c>
    </row>
    <row r="10071" ht="15.75" customHeight="1">
      <c r="A10071" s="2" t="s">
        <v>10071</v>
      </c>
      <c r="B10071" s="2" t="str">
        <f>IFERROR(__xludf.DUMMYFUNCTION("GOOGLETRANSLATE(A10071, ""en"", ""mt"")"),"Il-Mainframe CDC fil-Michigan State University fil-East Lansing")</f>
        <v>Il-Mainframe CDC fil-Michigan State University fil-East Lansing</v>
      </c>
    </row>
    <row r="10072" ht="15.75" customHeight="1">
      <c r="A10072" s="2" t="s">
        <v>10072</v>
      </c>
      <c r="B10072" s="2" t="str">
        <f>IFERROR(__xludf.DUMMYFUNCTION("GOOGLETRANSLATE(A10072, ""en"", ""mt"")"),"il-ħila li ssegwi għanijiet stmati")</f>
        <v>il-ħila li ssegwi għanijiet stmati</v>
      </c>
    </row>
    <row r="10073" ht="15.75" customHeight="1">
      <c r="A10073" s="2" t="s">
        <v>10073</v>
      </c>
      <c r="B10073" s="2" t="str">
        <f>IFERROR(__xludf.DUMMYFUNCTION("GOOGLETRANSLATE(A10073, ""en"", ""mt"")"),"linja dritta")</f>
        <v>linja dritta</v>
      </c>
    </row>
    <row r="10074" ht="15.75" customHeight="1">
      <c r="A10074" s="2" t="s">
        <v>10074</v>
      </c>
      <c r="B10074" s="2" t="str">
        <f>IFERROR(__xludf.DUMMYFUNCTION("GOOGLETRANSLATE(A10074, ""en"", ""mt"")"),"Fis-7 ta 'Diċembru, 1965, Goldenson ħabbar proposta ta' fużjoni ma 'ITT għall-ABC Management; Iż-żewġ kumpaniji qablu mal-ftehim fis-27 ta 'April, 1966. L-FCC approva l-għaqda fil-21 ta' Diċembru, 1966; Madankollu, il-jum ta 'qabel (20 ta' Diċembru), Dona"&amp;"ld F. Turner, regolatur tal-antitrust ewlieni għad-Dipartiment tal-Ġustizzja tal-Istati Uniti, esprima dubji relatati ma 'kwistjonijiet bħas-suq tat-televiżjoni tal-kejbil emerġenti, u tħassib dwar l-integrità ġurnalistika ta' ABC u kif Jista 'jkun influw"&amp;"enzat mill-pussess barrani ta' ITT. ITT Management wiegħed li l-kumpanija tippermetti lil ABC iżżomm l-awtonomija fin-negozju tal-pubblikazzjoni. L-għaqda ġiet sospiża, u lment ġie ppreżentat mid-Dipartiment tal-Ġustizzja f'Lulju 1967, b'ITT sejjer għall-"&amp;"proċess f'Ottubru 1967; L-għaqda ġiet ikkanċellata uffiċjalment wara l-konklużjoni tal-prova fl-1 ta 'Jannar, 1968.")</f>
        <v>Fis-7 ta 'Diċembru, 1965, Goldenson ħabbar proposta ta' fużjoni ma 'ITT għall-ABC Management; Iż-żewġ kumpaniji qablu mal-ftehim fis-27 ta 'April, 1966. L-FCC approva l-għaqda fil-21 ta' Diċembru, 1966; Madankollu, il-jum ta 'qabel (20 ta' Diċembru), Donald F. Turner, regolatur tal-antitrust ewlieni għad-Dipartiment tal-Ġustizzja tal-Istati Uniti, esprima dubji relatati ma 'kwistjonijiet bħas-suq tat-televiżjoni tal-kejbil emerġenti, u tħassib dwar l-integrità ġurnalistika ta' ABC u kif Jista 'jkun influwenzat mill-pussess barrani ta' ITT. ITT Management wiegħed li l-kumpanija tippermetti lil ABC iżżomm l-awtonomija fin-negozju tal-pubblikazzjoni. L-għaqda ġiet sospiża, u lment ġie ppreżentat mid-Dipartiment tal-Ġustizzja f'Lulju 1967, b'ITT sejjer għall-proċess f'Ottubru 1967; L-għaqda ġiet ikkanċellata uffiċjalment wara l-konklużjoni tal-prova fl-1 ta 'Jannar, 1968.</v>
      </c>
    </row>
    <row r="10075" ht="15.75" customHeight="1">
      <c r="A10075" s="2" t="s">
        <v>10075</v>
      </c>
      <c r="B10075" s="2" t="str">
        <f>IFERROR(__xludf.DUMMYFUNCTION("GOOGLETRANSLATE(A10075, ""en"", ""mt"")"),"Xi studjużi affermaw li Luther għallem li l-fidi u r-raġuni kienu antitetiċi fis-sens li l-mistoqsijiet tal-fidi ma setgħux jiġu mdawlin bir-raġuni. Huwa kiteb, ""L-artikli kollha tal-fidi Nisranija tagħna, li Alla żvela lilna fil-Kelma tiegħu, huma fil-p"&amp;"reżenza tar-raġuni impossibbli, assurda u falza."" u ""[dik ir-raġuni] bl-ebda mod ma tikkontribwixxi għall-fidi. [...] għax ir-raġuni hija l-akbar ghadu li l-fidi għandha; qatt ma tasal għall-għajnuna ta 'affarijiet spiritwali."" Madankollu, għalkemm app"&amp;"arentement kontradittorjament, huwa kiteb ukoll fix-xogħol tal-aħħar li r-raġuni umana ""tħabrek mhux kontra l-fidi, meta ddawwal, iżda pjuttost tbiegħed u tavvanzaha"", billi ġab il-pretensjonijiet li kien fideist fit-tilwima. Boroż ta 'studju kontempora"&amp;"nja Luterana, madankollu, sabet realtà differenti f'Luther. Luther minflok tfittex li tissepara l-fidi u r-raġuni sabiex tonora l-isferi separati ta 'għarfien li kull wieħed japplika għalih. Bernhard Lohse, pereżempju, wera fix-xogħol klassiku tiegħu ""pr"&amp;"oporzjon fides und"" li Luther fl-aħħar fittex li jpoġġi t-tnejn flimkien. Aktar reċentement, Hans-Peter Grosshans wera li x-xogħol ta 'Luther fuq kritika bibliċi jisħaq fuq il-ħtieġa għal koerenza esterna fil-metodu eżegetiku t-tajjeb. Dan ifisser li għa"&amp;"l Luther huwa iktar importanti li l-Bibbja tkun raġonevoli skont ir-realtà barra mill-Iskrittura milli dik il-Bibbja tagħmel sens għaliha nfisha, li għandha koerenza interna. L-għodda t-tajba biex tifhem id-dinja barra mill-Bibbja għal Luther mhix ħlief r"&amp;"aġuni, li għalih huwa l-qasam tax-xjenza, il-filosofija, l-istorja u l-osservazzjoni empirika. Hawnhekk hija ppreżentata stampa differenti ta 'Luther li vvaluta profondament kemm il-fidi kif ukoll ir-raġuni, u żammhom fi sħubija djalettika. It-tħassib ta "&amp;"'Luther għalhekk fis-separazzjoni tagħhom qed jonora l-isferi epistemoloġiċi differenti tagħhom.")</f>
        <v>Xi studjużi affermaw li Luther għallem li l-fidi u r-raġuni kienu antitetiċi fis-sens li l-mistoqsijiet tal-fidi ma setgħux jiġu mdawlin bir-raġuni. Huwa kiteb, "L-artikli kollha tal-fidi Nisranija tagħna, li Alla żvela lilna fil-Kelma tiegħu, huma fil-preżenza tar-raġuni impossibbli, assurda u falza." u "[dik ir-raġuni] bl-ebda mod ma tikkontribwixxi għall-fidi. [...] għax ir-raġuni hija l-akbar ghadu li l-fidi għandha; qatt ma tasal għall-għajnuna ta 'affarijiet spiritwali." Madankollu, għalkemm apparentement kontradittorjament, huwa kiteb ukoll fix-xogħol tal-aħħar li r-raġuni umana "tħabrek mhux kontra l-fidi, meta ddawwal, iżda pjuttost tbiegħed u tavvanzaha", billi ġab il-pretensjonijiet li kien fideist fit-tilwima. Boroż ta 'studju kontemporanja Luterana, madankollu, sabet realtà differenti f'Luther. Luther minflok tfittex li tissepara l-fidi u r-raġuni sabiex tonora l-isferi separati ta 'għarfien li kull wieħed japplika għalih. Bernhard Lohse, pereżempju, wera fix-xogħol klassiku tiegħu "proporzjon fides und" li Luther fl-aħħar fittex li jpoġġi t-tnejn flimkien. Aktar reċentement, Hans-Peter Grosshans wera li x-xogħol ta 'Luther fuq kritika bibliċi jisħaq fuq il-ħtieġa għal koerenza esterna fil-metodu eżegetiku t-tajjeb. Dan ifisser li għal Luther huwa iktar importanti li l-Bibbja tkun raġonevoli skont ir-realtà barra mill-Iskrittura milli dik il-Bibbja tagħmel sens għaliha nfisha, li għandha koerenza interna. L-għodda t-tajba biex tifhem id-dinja barra mill-Bibbja għal Luther mhix ħlief raġuni, li għalih huwa l-qasam tax-xjenza, il-filosofija, l-istorja u l-osservazzjoni empirika. Hawnhekk hija ppreżentata stampa differenti ta 'Luther li vvaluta profondament kemm il-fidi kif ukoll ir-raġuni, u żammhom fi sħubija djalettika. It-tħassib ta 'Luther għalhekk fis-separazzjoni tagħhom qed jonora l-isferi epistemoloġiċi differenti tagħhom.</v>
      </c>
    </row>
    <row r="10076" ht="15.75" customHeight="1">
      <c r="A10076" s="2" t="s">
        <v>10076</v>
      </c>
      <c r="B10076" s="2" t="str">
        <f>IFERROR(__xludf.DUMMYFUNCTION("GOOGLETRANSLATE(A10076, ""en"", ""mt"")"),"£ 34m")</f>
        <v>£ 34m</v>
      </c>
    </row>
    <row r="10077" ht="15.75" customHeight="1">
      <c r="A10077" s="2" t="s">
        <v>10077</v>
      </c>
      <c r="B10077" s="2" t="str">
        <f>IFERROR(__xludf.DUMMYFUNCTION("GOOGLETRANSLATE(A10077, ""en"", ""mt"")"),"2p - 1, fejn p huwa prim arbitrarju")</f>
        <v>2p - 1, fejn p huwa prim arbitrarju</v>
      </c>
    </row>
    <row r="10078" ht="15.75" customHeight="1">
      <c r="A10078" s="2" t="s">
        <v>10078</v>
      </c>
      <c r="B10078" s="2" t="str">
        <f>IFERROR(__xludf.DUMMYFUNCTION("GOOGLETRANSLATE(A10078, ""en"", ""mt"")"),"Karotenojdi")</f>
        <v>Karotenojdi</v>
      </c>
    </row>
    <row r="10079" ht="15.75" customHeight="1">
      <c r="A10079" s="2" t="s">
        <v>10079</v>
      </c>
      <c r="B10079" s="2" t="str">
        <f>IFERROR(__xludf.DUMMYFUNCTION("GOOGLETRANSLATE(A10079, ""en"", ""mt"")"),"Kemm hemm mużewijiet f'Varsavja?")</f>
        <v>Kemm hemm mużewijiet f'Varsavja?</v>
      </c>
    </row>
    <row r="10080" ht="15.75" customHeight="1">
      <c r="A10080" s="2" t="s">
        <v>10080</v>
      </c>
      <c r="B10080" s="2" t="str">
        <f>IFERROR(__xludf.DUMMYFUNCTION("GOOGLETRANSLATE(A10080, ""en"", ""mt"")"),"1898")</f>
        <v>1898</v>
      </c>
    </row>
    <row r="10081" ht="15.75" customHeight="1">
      <c r="A10081" s="2" t="s">
        <v>10081</v>
      </c>
      <c r="B10081" s="2" t="str">
        <f>IFERROR(__xludf.DUMMYFUNCTION("GOOGLETRANSLATE(A10081, ""en"", ""mt"")"),"inugwaljanza akbar u instabilità ekonomika potenzjali")</f>
        <v>inugwaljanza akbar u instabilità ekonomika potenzjali</v>
      </c>
    </row>
    <row r="10082" ht="15.75" customHeight="1">
      <c r="A10082" s="2" t="s">
        <v>10082</v>
      </c>
      <c r="B10082" s="2" t="str">
        <f>IFERROR(__xludf.DUMMYFUNCTION("GOOGLETRANSLATE(A10082, ""en"", ""mt"")"),"Bacteriophage T4.")</f>
        <v>Bacteriophage T4.</v>
      </c>
    </row>
    <row r="10083" ht="15.75" customHeight="1">
      <c r="A10083" s="2" t="s">
        <v>10083</v>
      </c>
      <c r="B10083" s="2" t="str">
        <f>IFERROR(__xludf.DUMMYFUNCTION("GOOGLETRANSLATE(A10083, ""en"", ""mt"")"),"Minn fejn kien Ralph Earl?")</f>
        <v>Minn fejn kien Ralph Earl?</v>
      </c>
    </row>
    <row r="10084" ht="15.75" customHeight="1">
      <c r="A10084" s="2" t="s">
        <v>10084</v>
      </c>
      <c r="B10084" s="2" t="str">
        <f>IFERROR(__xludf.DUMMYFUNCTION("GOOGLETRANSLATE(A10084, ""en"", ""mt"")"),"wieħed jista 'jinkludi b'mod arbitrarju ħafna każijiet ta' 1 fi kwalunkwe fatturizzazzjoni")</f>
        <v>wieħed jista 'jinkludi b'mod arbitrarju ħafna każijiet ta' 1 fi kwalunkwe fatturizzazzjoni</v>
      </c>
    </row>
    <row r="10085" ht="15.75" customHeight="1">
      <c r="A10085" s="2" t="s">
        <v>10085</v>
      </c>
      <c r="B10085" s="2" t="str">
        <f>IFERROR(__xludf.DUMMYFUNCTION("GOOGLETRANSLATE(A10085, ""en"", ""mt"")"),"Aqbeż mill-koljaturi u teqred l-insulazzjoni")</f>
        <v>Aqbeż mill-koljaturi u teqred l-insulazzjoni</v>
      </c>
    </row>
    <row r="10086" ht="15.75" customHeight="1">
      <c r="A10086" s="2" t="s">
        <v>10086</v>
      </c>
      <c r="B10086" s="2" t="str">
        <f>IFERROR(__xludf.DUMMYFUNCTION("GOOGLETRANSLATE(A10086, ""en"", ""mt"")"),"X'inhu t-terminu għall-għeluq tax-xmajjar li m'għadhomx konnessi?")</f>
        <v>X'inhu t-terminu għall-għeluq tax-xmajjar li m'għadhomx konnessi?</v>
      </c>
    </row>
    <row r="10087" ht="15.75" customHeight="1">
      <c r="A10087" s="2" t="s">
        <v>10087</v>
      </c>
      <c r="B10087" s="2" t="str">
        <f>IFERROR(__xludf.DUMMYFUNCTION("GOOGLETRANSLATE(A10087, ""en"", ""mt"")"),"Huma tilfu l-flus mill-bidu, u Sinback, maniġer tal-kummerċ ta 'livell għoli, ingħata x-xogħol li jdawwar in-negozju")</f>
        <v>Huma tilfu l-flus mill-bidu, u Sinback, maniġer tal-kummerċ ta 'livell għoli, ingħata x-xogħol li jdawwar in-negozju</v>
      </c>
    </row>
    <row r="10088" ht="15.75" customHeight="1">
      <c r="A10088" s="2" t="s">
        <v>10088</v>
      </c>
      <c r="B10088" s="2" t="str">
        <f>IFERROR(__xludf.DUMMYFUNCTION("GOOGLETRANSLATE(A10088, ""en"", ""mt"")"),"Fuq liema kopertura tar-rivista dehret Tesla fl-1931")</f>
        <v>Fuq liema kopertura tar-rivista dehret Tesla fl-1931</v>
      </c>
    </row>
    <row r="10089" ht="15.75" customHeight="1">
      <c r="A10089" s="2" t="s">
        <v>10089</v>
      </c>
      <c r="B10089" s="2" t="str">
        <f>IFERROR(__xludf.DUMMYFUNCTION("GOOGLETRANSLATE(A10089, ""en"", ""mt"")"),"8 ta ’Ottubru 1963")</f>
        <v>8 ta ’Ottubru 1963</v>
      </c>
    </row>
    <row r="10090" ht="15.75" customHeight="1">
      <c r="A10090" s="2" t="s">
        <v>10090</v>
      </c>
      <c r="B10090" s="2" t="str">
        <f>IFERROR(__xludf.DUMMYFUNCTION("GOOGLETRANSLATE(A10090, ""en"", ""mt"")"),"X'kienet il-preżenza militari ta 'Frensh fil-bidu tal-gwerra?")</f>
        <v>X'kienet il-preżenza militari ta 'Frensh fil-bidu tal-gwerra?</v>
      </c>
    </row>
    <row r="10091" ht="15.75" customHeight="1">
      <c r="A10091" s="2" t="s">
        <v>10091</v>
      </c>
      <c r="B10091" s="2" t="str">
        <f>IFERROR(__xludf.DUMMYFUNCTION("GOOGLETRANSLATE(A10091, ""en"", ""mt"")"),"1,435 mm (4 ft 8 1⁄2 in) Gauge standard")</f>
        <v>1,435 mm (4 ft 8 1⁄2 in) Gauge standard</v>
      </c>
    </row>
    <row r="10092" ht="15.75" customHeight="1">
      <c r="A10092" s="2" t="s">
        <v>10092</v>
      </c>
      <c r="B10092" s="2" t="str">
        <f>IFERROR(__xludf.DUMMYFUNCTION("GOOGLETRANSLATE(A10092, ""en"", ""mt"")"),"l-ewwel netwerk li jagħmel lill-ospiti responsabbli għal konsenja affidabbli ta 'dejta")</f>
        <v>l-ewwel netwerk li jagħmel lill-ospiti responsabbli għal konsenja affidabbli ta 'dejta</v>
      </c>
    </row>
    <row r="10093" ht="15.75" customHeight="1">
      <c r="A10093" s="2" t="s">
        <v>10093</v>
      </c>
      <c r="B10093" s="2" t="str">
        <f>IFERROR(__xludf.DUMMYFUNCTION("GOOGLETRANSLATE(A10093, ""en"", ""mt"")"),"X'inhuma ż-żewġ gruppi ewlenin tal-Ażja-Amerikani li jgħixu fil-viċinat tal-West Side ta 'Fresno?")</f>
        <v>X'inhuma ż-żewġ gruppi ewlenin tal-Ażja-Amerikani li jgħixu fil-viċinat tal-West Side ta 'Fresno?</v>
      </c>
    </row>
    <row r="10094" ht="15.75" customHeight="1">
      <c r="A10094" s="2" t="s">
        <v>10094</v>
      </c>
      <c r="B10094" s="2" t="str">
        <f>IFERROR(__xludf.DUMMYFUNCTION("GOOGLETRANSLATE(A10094, ""en"", ""mt"")"),"kloroplast li fih il-phycobilin")</f>
        <v>kloroplast li fih il-phycobilin</v>
      </c>
    </row>
    <row r="10095" ht="15.75" customHeight="1">
      <c r="A10095" s="2" t="s">
        <v>10095</v>
      </c>
      <c r="B10095" s="2" t="str">
        <f>IFERROR(__xludf.DUMMYFUNCTION("GOOGLETRANSLATE(A10095, ""en"", ""mt"")"),"Il-ħatriet kollha tal-kleru a")</f>
        <v>Il-ħatriet kollha tal-kleru a</v>
      </c>
    </row>
    <row r="10096" ht="15.75" customHeight="1">
      <c r="A10096" s="2" t="s">
        <v>10096</v>
      </c>
      <c r="B10096" s="2" t="str">
        <f>IFERROR(__xludf.DUMMYFUNCTION("GOOGLETRANSLATE(A10096, ""en"", ""mt"")"),"il-qrati tal-istati membri u l-Qorti tal-Ġustizzja tal-Unjoni Ewropea")</f>
        <v>il-qrati tal-istati membri u l-Qorti tal-Ġustizzja tal-Unjoni Ewropea</v>
      </c>
    </row>
    <row r="10097" ht="15.75" customHeight="1">
      <c r="A10097" s="2" t="s">
        <v>10097</v>
      </c>
      <c r="B10097" s="2" t="str">
        <f>IFERROR(__xludf.DUMMYFUNCTION("GOOGLETRANSLATE(A10097, ""en"", ""mt"")"),"Liema prinċipju għandu x'jaqsam mal-formazzjoni tal-ħsarat u l-età tas-sekwenzi li permezz tagħhom huma jaqtgħu?")</f>
        <v>Liema prinċipju għandu x'jaqsam mal-formazzjoni tal-ħsarat u l-età tas-sekwenzi li permezz tagħhom huma jaqtgħu?</v>
      </c>
    </row>
    <row r="10098" ht="15.75" customHeight="1">
      <c r="A10098" s="2" t="s">
        <v>10098</v>
      </c>
      <c r="B10098" s="2" t="str">
        <f>IFERROR(__xludf.DUMMYFUNCTION("GOOGLETRANSLATE(A10098, ""en"", ""mt"")"),"Min lagħab il-ħbieb jismu Donna Noble?")</f>
        <v>Min lagħab il-ħbieb jismu Donna Noble?</v>
      </c>
    </row>
    <row r="10099" ht="15.75" customHeight="1">
      <c r="A10099" s="2" t="s">
        <v>10099</v>
      </c>
      <c r="B10099" s="2" t="str">
        <f>IFERROR(__xludf.DUMMYFUNCTION("GOOGLETRANSLATE(A10099, ""en"", ""mt"")"),"Rotta tal-Istat 99")</f>
        <v>Rotta tal-Istat 99</v>
      </c>
    </row>
    <row r="10100" ht="15.75" customHeight="1">
      <c r="A10100" s="2" t="s">
        <v>10100</v>
      </c>
      <c r="B10100" s="2" t="str">
        <f>IFERROR(__xludf.DUMMYFUNCTION("GOOGLETRANSLATE(A10100, ""en"", ""mt"")"),"L-applikazzjoni ħażina ta 'proċeduri IPCC stabbiliti sew")</f>
        <v>L-applikazzjoni ħażina ta 'proċeduri IPCC stabbiliti sew</v>
      </c>
    </row>
    <row r="10101" ht="15.75" customHeight="1">
      <c r="A10101" s="2" t="s">
        <v>10101</v>
      </c>
      <c r="B10101" s="2" t="str">
        <f>IFERROR(__xludf.DUMMYFUNCTION("GOOGLETRANSLATE(A10101, ""en"", ""mt"")"),"Tesla Electric Light &amp; Manifattura")</f>
        <v>Tesla Electric Light &amp; Manifattura</v>
      </c>
    </row>
    <row r="10102" ht="15.75" customHeight="1">
      <c r="A10102" s="2" t="s">
        <v>10102</v>
      </c>
      <c r="B10102" s="2" t="str">
        <f>IFERROR(__xludf.DUMMYFUNCTION("GOOGLETRANSLATE(A10102, ""en"", ""mt"")"),"X'kien is-suġġett tal-iżball?")</f>
        <v>X'kien is-suġġett tal-iżball?</v>
      </c>
    </row>
    <row r="10103" ht="15.75" customHeight="1">
      <c r="A10103" s="2" t="s">
        <v>10103</v>
      </c>
      <c r="B10103" s="2" t="str">
        <f>IFERROR(__xludf.DUMMYFUNCTION("GOOGLETRANSLATE(A10103, ""en"", ""mt"")"),"Berengaria")</f>
        <v>Berengaria</v>
      </c>
    </row>
    <row r="10104" ht="15.75" customHeight="1">
      <c r="A10104" s="2" t="s">
        <v>10104</v>
      </c>
      <c r="B10104" s="2" t="str">
        <f>IFERROR(__xludf.DUMMYFUNCTION("GOOGLETRANSLATE(A10104, ""en"", ""mt"")"),"Elettrokuzzjoni, Inċidenti tat-Trasport, u Trench Cave-Ins")</f>
        <v>Elettrokuzzjoni, Inċidenti tat-Trasport, u Trench Cave-Ins</v>
      </c>
    </row>
    <row r="10105" ht="15.75" customHeight="1">
      <c r="A10105" s="2" t="s">
        <v>10105</v>
      </c>
      <c r="B10105" s="2" t="str">
        <f>IFERROR(__xludf.DUMMYFUNCTION("GOOGLETRANSLATE(A10105, ""en"", ""mt"")"),"ċaħdiet li jħallsu t-taxxi")</f>
        <v>ċaħdiet li jħallsu t-taxxi</v>
      </c>
    </row>
    <row r="10106" ht="15.75" customHeight="1">
      <c r="A10106" s="2" t="s">
        <v>10106</v>
      </c>
      <c r="B10106" s="2" t="str">
        <f>IFERROR(__xludf.DUMMYFUNCTION("GOOGLETRANSLATE(A10106, ""en"", ""mt"")"),"Kemm kienet l-għajnuna ta 'emerġenza lil Iżrael?")</f>
        <v>Kemm kienet l-għajnuna ta 'emerġenza lil Iżrael?</v>
      </c>
    </row>
    <row r="10107" ht="15.75" customHeight="1">
      <c r="A10107" s="2" t="s">
        <v>10107</v>
      </c>
      <c r="B10107" s="2" t="str">
        <f>IFERROR(__xludf.DUMMYFUNCTION("GOOGLETRANSLATE(A10107, ""en"", ""mt"")"),"Flimkien ma 'solari, faħam u nukleari, x'tip ta' pjanti notevoli jużaw il-proċess ta 'Rankine?")</f>
        <v>Flimkien ma 'solari, faħam u nukleari, x'tip ta' pjanti notevoli jużaw il-proċess ta 'Rankine?</v>
      </c>
    </row>
    <row r="10108" ht="15.75" customHeight="1">
      <c r="A10108" s="2" t="s">
        <v>10108</v>
      </c>
      <c r="B10108" s="2" t="str">
        <f>IFERROR(__xludf.DUMMYFUNCTION("GOOGLETRANSLATE(A10108, ""en"", ""mt"")"),"is-seklu 20")</f>
        <v>is-seklu 20</v>
      </c>
    </row>
    <row r="10109" ht="15.75" customHeight="1">
      <c r="A10109" s="2" t="s">
        <v>10109</v>
      </c>
      <c r="B10109" s="2" t="str">
        <f>IFERROR(__xludf.DUMMYFUNCTION("GOOGLETRANSLATE(A10109, ""en"", ""mt"")"),"Kemm kellu Newton matul Super Bowl 50?")</f>
        <v>Kemm kellu Newton matul Super Bowl 50?</v>
      </c>
    </row>
    <row r="10110" ht="15.75" customHeight="1">
      <c r="A10110" s="2" t="s">
        <v>10110</v>
      </c>
      <c r="B10110" s="2" t="str">
        <f>IFERROR(__xludf.DUMMYFUNCTION("GOOGLETRANSLATE(A10110, ""en"", ""mt"")"),"ġwienaħ tal-poteri sekulari")</f>
        <v>ġwienaħ tal-poteri sekulari</v>
      </c>
    </row>
    <row r="10111" ht="15.75" customHeight="1">
      <c r="A10111" s="2" t="s">
        <v>10111</v>
      </c>
      <c r="B10111" s="2" t="str">
        <f>IFERROR(__xludf.DUMMYFUNCTION("GOOGLETRANSLATE(A10111, ""en"", ""mt"")"),"F'liema stil kienu ddisinjati blokki residenzjali tal-massa mibnija?")</f>
        <v>F'liema stil kienu ddisinjati blokki residenzjali tal-massa mibnija?</v>
      </c>
    </row>
    <row r="10112" ht="15.75" customHeight="1">
      <c r="A10112" s="2" t="s">
        <v>10112</v>
      </c>
      <c r="B10112" s="2" t="str">
        <f>IFERROR(__xludf.DUMMYFUNCTION("GOOGLETRANSLATE(A10112, ""en"", ""mt"")"),"X'inhi din l-enerġija radjanti inviżibbli issa magħrufa bħala?")</f>
        <v>X'inhi din l-enerġija radjanti inviżibbli issa magħrufa bħala?</v>
      </c>
    </row>
    <row r="10113" ht="15.75" customHeight="1">
      <c r="A10113" s="2" t="s">
        <v>10113</v>
      </c>
      <c r="B10113" s="2" t="str">
        <f>IFERROR(__xludf.DUMMYFUNCTION("GOOGLETRANSLATE(A10113, ""en"", ""mt"")"),"X'tip ta 'bnedmin jagħmel it-tabib li normalment jieħu miegħu fil-vjaġġi tiegħu?")</f>
        <v>X'tip ta 'bnedmin jagħmel it-tabib li normalment jieħu miegħu fil-vjaġġi tiegħu?</v>
      </c>
    </row>
    <row r="10114" ht="15.75" customHeight="1">
      <c r="A10114" s="2" t="s">
        <v>10114</v>
      </c>
      <c r="B10114" s="2" t="str">
        <f>IFERROR(__xludf.DUMMYFUNCTION("GOOGLETRANSLATE(A10114, ""en"", ""mt"")"),"L-ossiġenu jippreżenta żewġ faxex ta 'assorbiment spettrofotometriċi li jilħqu l-quċċata fit-tul ta' mewġ 687 u 760 nm. Xi xjenzati ta 'telerilevament ipproponew li jużaw il-kejl tar-radjazzjoni li ġejja mill-kanupew tal-veġetazzjoni f'dawk il-faxex biex "&amp;"jikkaratterizzaw l-istat tas-saħħa tal-pjanti minn pjattaforma bis-satellita. Dan l-approċċ jisfrutta l-fatt li f'dawk il-faxex huwa possibbli li tiddiskrimina r-riflessjoni tal-veġetazzjoni mill-fluworexxenza tagħha, li hija ħafna iktar dgħajfa. Il-kejl "&amp;"huwa teknikament diffiċli minħabba l-proporzjon baxx sinjal-ħoss u l-istruttura fiżika tal-veġetazzjoni; Iżda ġie propost bħala metodu possibbli ta 'monitoraġġ taċ-ċiklu tal-karbonju minn satelliti fuq skala globali.")</f>
        <v>L-ossiġenu jippreżenta żewġ faxex ta 'assorbiment spettrofotometriċi li jilħqu l-quċċata fit-tul ta' mewġ 687 u 760 nm. Xi xjenzati ta 'telerilevament ipproponew li jużaw il-kejl tar-radjazzjoni li ġejja mill-kanupew tal-veġetazzjoni f'dawk il-faxex biex jikkaratterizzaw l-istat tas-saħħa tal-pjanti minn pjattaforma bis-satellita. Dan l-approċċ jisfrutta l-fatt li f'dawk il-faxex huwa possibbli li tiddiskrimina r-riflessjoni tal-veġetazzjoni mill-fluworexxenza tagħha, li hija ħafna iktar dgħajfa. Il-kejl huwa teknikament diffiċli minħabba l-proporzjon baxx sinjal-ħoss u l-istruttura fiżika tal-veġetazzjoni; Iżda ġie propost bħala metodu possibbli ta 'monitoraġġ taċ-ċiklu tal-karbonju minn satelliti fuq skala globali.</v>
      </c>
    </row>
    <row r="10115" ht="15.75" customHeight="1">
      <c r="A10115" s="2" t="s">
        <v>10115</v>
      </c>
      <c r="B10115" s="2" t="str">
        <f>IFERROR(__xludf.DUMMYFUNCTION("GOOGLETRANSLATE(A10115, ""en"", ""mt"")"),"Ir-Rhine Gorge huwa bejn Koblenz u liema belt oħra?")</f>
        <v>Ir-Rhine Gorge huwa bejn Koblenz u liema belt oħra?</v>
      </c>
    </row>
    <row r="10116" ht="15.75" customHeight="1">
      <c r="A10116" s="2" t="s">
        <v>10116</v>
      </c>
      <c r="B10116" s="2" t="str">
        <f>IFERROR(__xludf.DUMMYFUNCTION("GOOGLETRANSLATE(A10116, ""en"", ""mt"")"),"Londra")</f>
        <v>Londra</v>
      </c>
    </row>
    <row r="10117" ht="15.75" customHeight="1">
      <c r="A10117" s="2" t="s">
        <v>10117</v>
      </c>
      <c r="B10117" s="2" t="str">
        <f>IFERROR(__xludf.DUMMYFUNCTION("GOOGLETRANSLATE(A10117, ""en"", ""mt"")"),"żero")</f>
        <v>żero</v>
      </c>
    </row>
    <row r="10118" ht="15.75" customHeight="1">
      <c r="A10118" s="2" t="s">
        <v>10118</v>
      </c>
      <c r="B10118" s="2" t="str">
        <f>IFERROR(__xludf.DUMMYFUNCTION("GOOGLETRANSLATE(A10118, ""en"", ""mt"")"),"Southeastern U.S.")</f>
        <v>Southeastern U.S.</v>
      </c>
    </row>
    <row r="10119" ht="15.75" customHeight="1">
      <c r="A10119" s="2" t="s">
        <v>10119</v>
      </c>
      <c r="B10119" s="2" t="str">
        <f>IFERROR(__xludf.DUMMYFUNCTION("GOOGLETRANSLATE(A10119, ""en"", ""mt"")"),"Politiki li jnaqqsu l-effetti assoċjati tal-inugwaljanza tal-qgħad jappoġġjaw liema tip ta 'tkabbir?")</f>
        <v>Politiki li jnaqqsu l-effetti assoċjati tal-inugwaljanza tal-qgħad jappoġġjaw liema tip ta 'tkabbir?</v>
      </c>
    </row>
    <row r="10120" ht="15.75" customHeight="1">
      <c r="A10120" s="2" t="s">
        <v>10120</v>
      </c>
      <c r="B10120" s="2" t="str">
        <f>IFERROR(__xludf.DUMMYFUNCTION("GOOGLETRANSLATE(A10120, ""en"", ""mt"")"),"Ming")</f>
        <v>Ming</v>
      </c>
    </row>
    <row r="10121" ht="15.75" customHeight="1">
      <c r="A10121" s="2" t="s">
        <v>10121</v>
      </c>
      <c r="B10121" s="2" t="str">
        <f>IFERROR(__xludf.DUMMYFUNCTION("GOOGLETRANSLATE(A10121, ""en"", ""mt"")"),"Kemm interċezzjonijiet tefgħu Cam Newton?")</f>
        <v>Kemm interċezzjonijiet tefgħu Cam Newton?</v>
      </c>
    </row>
    <row r="10122" ht="15.75" customHeight="1">
      <c r="A10122" s="2" t="s">
        <v>10122</v>
      </c>
      <c r="B10122" s="2" t="str">
        <f>IFERROR(__xludf.DUMMYFUNCTION("GOOGLETRANSLATE(A10122, ""en"", ""mt"")"),"Liema sorsi oħra ta 'potenzjal ossidattiv għoli jistgħu jżidu ma' nar?")</f>
        <v>Liema sorsi oħra ta 'potenzjal ossidattiv għoli jistgħu jżidu ma' nar?</v>
      </c>
    </row>
    <row r="10123" ht="15.75" customHeight="1">
      <c r="A10123" s="2" t="s">
        <v>10123</v>
      </c>
      <c r="B10123" s="2" t="str">
        <f>IFERROR(__xludf.DUMMYFUNCTION("GOOGLETRANSLATE(A10123, ""en"", ""mt"")"),"Gary Kubiak")</f>
        <v>Gary Kubiak</v>
      </c>
    </row>
    <row r="10124" ht="15.75" customHeight="1">
      <c r="A10124" s="2" t="s">
        <v>10124</v>
      </c>
      <c r="B10124" s="2" t="str">
        <f>IFERROR(__xludf.DUMMYFUNCTION("GOOGLETRANSLATE(A10124, ""en"", ""mt"")"),"Fejn kienu magħżula Schirra, Eisele u Cunningham wara li ġew magħżula astronawti differenti għall-missjoni AS-258?")</f>
        <v>Fejn kienu magħżula Schirra, Eisele u Cunningham wara li ġew magħżula astronawti differenti għall-missjoni AS-258?</v>
      </c>
    </row>
    <row r="10125" ht="15.75" customHeight="1">
      <c r="A10125" s="2" t="s">
        <v>10125</v>
      </c>
      <c r="B10125" s="2" t="str">
        <f>IFERROR(__xludf.DUMMYFUNCTION("GOOGLETRANSLATE(A10125, ""en"", ""mt"")"),"Madwar kemm xogħlijiet ta 'masters qodma huma inklużi fil-kollezzjoni V &amp; A?")</f>
        <v>Madwar kemm xogħlijiet ta 'masters qodma huma inklużi fil-kollezzjoni V &amp; A?</v>
      </c>
    </row>
    <row r="10126" ht="15.75" customHeight="1">
      <c r="A10126" s="2" t="s">
        <v>10126</v>
      </c>
      <c r="B10126" s="2" t="str">
        <f>IFERROR(__xludf.DUMMYFUNCTION("GOOGLETRANSLATE(A10126, ""en"", ""mt"")"),"7 Triq il-Punent 66th")</f>
        <v>7 Triq il-Punent 66th</v>
      </c>
    </row>
    <row r="10127" ht="15.75" customHeight="1">
      <c r="A10127" s="2" t="s">
        <v>10127</v>
      </c>
      <c r="B10127" s="2" t="str">
        <f>IFERROR(__xludf.DUMMYFUNCTION("GOOGLETRANSLATE(A10127, ""en"", ""mt"")"),"Il-magni tal-fwar ibbażati fuq l-art jistgħu jeżawrixxu ħafna mill-fwar tagħhom, peress li l-ilma tal-għalf ġeneralment kien disponibbli faċilment. Qabel u matul l-Ewwel Gwerra Dinjija, il-magna ta 'espansjoni ddominat applikazzjonijiet tal-baħar fejn il-"&amp;"veloċità għolja tal-bastiment ma kinitx essenzjali. Madankollu ġie sostitwit mit-turbina tal-fwar tal-invenzjoni Ingliża fejn kienet meħtieġa l-veloċità, pereżempju f'bastimenti tal-gwerra, bħalma huma l-vapuri tal-vapuri Dreadnought, u l-inforor tal-oċea"&amp;"ni. HMS Dreadnought tal-1905 kien l-ewwel bastiment tal-gwerra maġġuri li ħa post it-teknoloġija ppruvata tal-magna reċiprokanti bit-turbina tal-fwar ta 'dak iż-żmien. [Ċitazzjoni meħtieġa]")</f>
        <v>Il-magni tal-fwar ibbażati fuq l-art jistgħu jeżawrixxu ħafna mill-fwar tagħhom, peress li l-ilma tal-għalf ġeneralment kien disponibbli faċilment. Qabel u matul l-Ewwel Gwerra Dinjija, il-magna ta 'espansjoni ddominat applikazzjonijiet tal-baħar fejn il-veloċità għolja tal-bastiment ma kinitx essenzjali. Madankollu ġie sostitwit mit-turbina tal-fwar tal-invenzjoni Ingliża fejn kienet meħtieġa l-veloċità, pereżempju f'bastimenti tal-gwerra, bħalma huma l-vapuri tal-vapuri Dreadnought, u l-inforor tal-oċeani. HMS Dreadnought tal-1905 kien l-ewwel bastiment tal-gwerra maġġuri li ħa post it-teknoloġija ppruvata tal-magna reċiprokanti bit-turbina tal-fwar ta 'dak iż-żmien. [Ċitazzjoni meħtieġa]</v>
      </c>
    </row>
    <row r="10128" ht="15.75" customHeight="1">
      <c r="A10128" s="2" t="s">
        <v>10128</v>
      </c>
      <c r="B10128" s="2" t="str">
        <f>IFERROR(__xludf.DUMMYFUNCTION("GOOGLETRANSLATE(A10128, ""en"", ""mt"")"),"Magni tax-xogħol ta 'daqs sħiħ fuq liema vetturi kultant jużaw magni tal-fwar taċ-ċilindru li joxxillaw?")</f>
        <v>Magni tax-xogħol ta 'daqs sħiħ fuq liema vetturi kultant jużaw magni tal-fwar taċ-ċilindru li joxxillaw?</v>
      </c>
    </row>
    <row r="10129" ht="15.75" customHeight="1">
      <c r="A10129" s="2" t="s">
        <v>10129</v>
      </c>
      <c r="B10129" s="2" t="str">
        <f>IFERROR(__xludf.DUMMYFUNCTION("GOOGLETRANSLATE(A10129, ""en"", ""mt"")"),"Kollha")</f>
        <v>Kollha</v>
      </c>
    </row>
    <row r="10130" ht="15.75" customHeight="1">
      <c r="A10130" s="2" t="s">
        <v>10130</v>
      </c>
      <c r="B10130" s="2" t="str">
        <f>IFERROR(__xludf.DUMMYFUNCTION("GOOGLETRANSLATE(A10130, ""en"", ""mt"")"),"Liema netwerk assuma d-drittijiet għall-Pageant Miss America fl-2006?")</f>
        <v>Liema netwerk assuma d-drittijiet għall-Pageant Miss America fl-2006?</v>
      </c>
    </row>
    <row r="10131" ht="15.75" customHeight="1">
      <c r="A10131" s="2" t="s">
        <v>10131</v>
      </c>
      <c r="B10131" s="2" t="str">
        <f>IFERROR(__xludf.DUMMYFUNCTION("GOOGLETRANSLATE(A10131, ""en"", ""mt"")"),"Saffi orizzontali ta 'dak li jinġibed tul wiċċ ġo waqfa ta' wara f'verżjonijiet analoġiċi ta 'esperimenti ta' feles orogeniċi?")</f>
        <v>Saffi orizzontali ta 'dak li jinġibed tul wiċċ ġo waqfa ta' wara f'verżjonijiet analoġiċi ta 'esperimenti ta' feles orogeniċi?</v>
      </c>
    </row>
    <row r="10132" ht="15.75" customHeight="1">
      <c r="A10132" s="2" t="s">
        <v>10132</v>
      </c>
      <c r="B10132" s="2" t="str">
        <f>IFERROR(__xludf.DUMMYFUNCTION("GOOGLETRANSLATE(A10132, ""en"", ""mt"")"),"kull patoġen speċifiku")</f>
        <v>kull patoġen speċifiku</v>
      </c>
    </row>
    <row r="10133" ht="15.75" customHeight="1">
      <c r="A10133" s="2" t="s">
        <v>10133</v>
      </c>
      <c r="B10133" s="2" t="str">
        <f>IFERROR(__xludf.DUMMYFUNCTION("GOOGLETRANSLATE(A10133, ""en"", ""mt"")"),"X’naqsmu fl-għadd bejn l-1984 u l-1991?")</f>
        <v>X’naqsmu fl-għadd bejn l-1984 u l-1991?</v>
      </c>
    </row>
    <row r="10134" ht="15.75" customHeight="1">
      <c r="A10134" s="2" t="s">
        <v>10134</v>
      </c>
      <c r="B10134" s="2" t="str">
        <f>IFERROR(__xludf.DUMMYFUNCTION("GOOGLETRANSLATE(A10134, ""en"", ""mt"")"),"Edgar Atheling")</f>
        <v>Edgar Atheling</v>
      </c>
    </row>
    <row r="10135" ht="15.75" customHeight="1">
      <c r="A10135" s="2" t="s">
        <v>10135</v>
      </c>
      <c r="B10135" s="2" t="str">
        <f>IFERROR(__xludf.DUMMYFUNCTION("GOOGLETRANSLATE(A10135, ""en"", ""mt"")"),"meqjusa bħala li ma tkunx diżubbidjenti ċivili")</f>
        <v>meqjusa bħala li ma tkunx diżubbidjenti ċivili</v>
      </c>
    </row>
    <row r="10136" ht="15.75" customHeight="1">
      <c r="A10136" s="2" t="s">
        <v>10136</v>
      </c>
      <c r="B10136" s="2" t="str">
        <f>IFERROR(__xludf.DUMMYFUNCTION("GOOGLETRANSLATE(A10136, ""en"", ""mt"")"),"ESPN fuq ABC")</f>
        <v>ESPN fuq ABC</v>
      </c>
    </row>
    <row r="10137" ht="15.75" customHeight="1">
      <c r="A10137" s="2" t="s">
        <v>10137</v>
      </c>
      <c r="B10137" s="2" t="str">
        <f>IFERROR(__xludf.DUMMYFUNCTION("GOOGLETRANSLATE(A10137, ""en"", ""mt"")"),"X'inhu l-isem ta 'Doctor Who Granddaughter?")</f>
        <v>X'inhu l-isem ta 'Doctor Who Granddaughter?</v>
      </c>
    </row>
    <row r="10138" ht="15.75" customHeight="1">
      <c r="A10138" s="2" t="s">
        <v>10138</v>
      </c>
      <c r="B10138" s="2" t="str">
        <f>IFERROR(__xludf.DUMMYFUNCTION("GOOGLETRANSLATE(A10138, ""en"", ""mt"")"),"Beta tħassir (ta 'newtroni fin-nuklei atomiċi)")</f>
        <v>Beta tħassir (ta 'newtroni fin-nuklei atomiċi)</v>
      </c>
    </row>
    <row r="10139" ht="15.75" customHeight="1">
      <c r="A10139" s="2" t="s">
        <v>10139</v>
      </c>
      <c r="B10139" s="2" t="str">
        <f>IFERROR(__xludf.DUMMYFUNCTION("GOOGLETRANSLATE(A10139, ""en"", ""mt"")"),"Liema stazzjon tar-radju jmexxu l-istudenti taż-żewġ universitajiet ta 'Newcastle?")</f>
        <v>Liema stazzjon tar-radju jmexxu l-istudenti taż-żewġ universitajiet ta 'Newcastle?</v>
      </c>
    </row>
    <row r="10140" ht="15.75" customHeight="1">
      <c r="A10140" s="2" t="s">
        <v>10140</v>
      </c>
      <c r="B10140" s="2" t="str">
        <f>IFERROR(__xludf.DUMMYFUNCTION("GOOGLETRANSLATE(A10140, ""en"", ""mt"")"),"Netwerking Soċjali")</f>
        <v>Netwerking Soċjali</v>
      </c>
    </row>
    <row r="10141" ht="15.75" customHeight="1">
      <c r="A10141" s="2" t="s">
        <v>10141</v>
      </c>
      <c r="B10141" s="2" t="str">
        <f>IFERROR(__xludf.DUMMYFUNCTION("GOOGLETRANSLATE(A10141, ""en"", ""mt"")"),"Schmalkaldic League")</f>
        <v>Schmalkaldic League</v>
      </c>
    </row>
    <row r="10142" ht="15.75" customHeight="1">
      <c r="A10142" s="2" t="s">
        <v>10142</v>
      </c>
      <c r="B10142" s="2" t="str">
        <f>IFERROR(__xludf.DUMMYFUNCTION("GOOGLETRANSLATE(A10142, ""en"", ""mt"")"),"Liema teorija tal-qasam xjentifiku rċeviet kontribuzzjonijiet mill-magna tal-fwar?")</f>
        <v>Liema teorija tal-qasam xjentifiku rċeviet kontribuzzjonijiet mill-magna tal-fwar?</v>
      </c>
    </row>
    <row r="10143" ht="15.75" customHeight="1">
      <c r="A10143" s="2" t="s">
        <v>10143</v>
      </c>
      <c r="B10143" s="2" t="str">
        <f>IFERROR(__xludf.DUMMYFUNCTION("GOOGLETRANSLATE(A10143, ""en"", ""mt"")"),"Tal-Ingilterra")</f>
        <v>Tal-Ingilterra</v>
      </c>
    </row>
    <row r="10144" ht="15.75" customHeight="1">
      <c r="A10144" s="2" t="s">
        <v>10144</v>
      </c>
      <c r="B10144" s="2" t="str">
        <f>IFERROR(__xludf.DUMMYFUNCTION("GOOGLETRANSLATE(A10144, ""en"", ""mt"")"),"unità")</f>
        <v>unità</v>
      </c>
    </row>
    <row r="10145" ht="15.75" customHeight="1">
      <c r="A10145" s="2" t="s">
        <v>10145</v>
      </c>
      <c r="B10145" s="2" t="str">
        <f>IFERROR(__xludf.DUMMYFUNCTION("GOOGLETRANSLATE(A10145, ""en"", ""mt"")"),"Wieħed mis-siti, Merceds-Benz Superdome, jinsab fejn?")</f>
        <v>Wieħed mis-siti, Merceds-Benz Superdome, jinsab fejn?</v>
      </c>
    </row>
    <row r="10146" ht="15.75" customHeight="1">
      <c r="A10146" s="2" t="s">
        <v>10146</v>
      </c>
      <c r="B10146" s="2" t="str">
        <f>IFERROR(__xludf.DUMMYFUNCTION("GOOGLETRANSLATE(A10146, ""en"", ""mt"")"),"Min ġabar id-dejta oriġinali tal-inżul ta 'Apollo 11 li għadu ħaj?")</f>
        <v>Min ġabar id-dejta oriġinali tal-inżul ta 'Apollo 11 li għadu ħaj?</v>
      </c>
    </row>
    <row r="10147" ht="15.75" customHeight="1">
      <c r="A10147" s="2" t="s">
        <v>10147</v>
      </c>
      <c r="B10147" s="2" t="str">
        <f>IFERROR(__xludf.DUMMYFUNCTION("GOOGLETRANSLATE(A10147, ""en"", ""mt"")"),"Fl-1846, il-lezzjonijiet tal-istorja naturali ta 'Louis Agassiz ġew milqugħin kemm fi New York kif ukoll fil-kampus fil-Kulleġġ ta' Harvard. L-approċċ ta 'Agassiz kien idealist b'mod distint u poġġa lill-Amerikani ""il-parteċipazzjoni fin-natura divina"" "&amp;"u l-possibbiltà li jifhmu ""eżistenzi intellettwali"". Il-perspettiva ta 'Agassiz dwar ix-xjenza kkombinat l-osservazzjoni mal-intwizzjoni u s-suppożizzjoni li persuna tista' tifhem il- ""pjan divin"" fil-fenomeni kollha. Meta ġie biex jispjega l-forom ta"&amp;"l-ħajja, Agassiz irrikorrew għal kwistjonijiet ta 'forma bbażati fuq arketip preżunt għall-evidenza tiegħu. Din il-fehma doppja tal-għarfien kienet f'kunċert mat-tagħlim tas-sens komun Il-popolarità ta 'l-isforzi ta' Agassiz biex ""jogħlew ma 'Plato"" x'a"&amp;"ktarx ukoll derivati ​​minn kitbiet oħra li l-istudenti ta' Harvard kienu esposti, inklużi trattati platoniċi minn Ralph Cudworth, John Norrisand, f'vina romantika, Samuel Coleridge. Ir-rekords tal-librerija f'Harvard jiżvelaw li l-kitbiet ta 'Platun u s-"&amp;"segwaċi moderni u romantiċi tiegħu kienu qraw regolarment matul is-seklu 19 bħal dawk tal- ""filosofija uffiċjali"" ta' l-iskola Skoċċiża aktar empirika u aktar deistika.")</f>
        <v>Fl-1846, il-lezzjonijiet tal-istorja naturali ta 'Louis Agassiz ġew milqugħin kemm fi New York kif ukoll fil-kampus fil-Kulleġġ ta' Harvard. L-approċċ ta 'Agassiz kien idealist b'mod distint u poġġa lill-Amerikani "il-parteċipazzjoni fin-natura divina" u l-possibbiltà li jifhmu "eżistenzi intellettwali". Il-perspettiva ta 'Agassiz dwar ix-xjenza kkombinat l-osservazzjoni mal-intwizzjoni u s-suppożizzjoni li persuna tista' tifhem il- "pjan divin" fil-fenomeni kollha. Meta ġie biex jispjega l-forom tal-ħajja, Agassiz irrikorrew għal kwistjonijiet ta 'forma bbażati fuq arketip preżunt għall-evidenza tiegħu. Din il-fehma doppja tal-għarfien kienet f'kunċert mat-tagħlim tas-sens komun Il-popolarità ta 'l-isforzi ta' Agassiz biex "jogħlew ma 'Plato" x'aktarx ukoll derivati ​​minn kitbiet oħra li l-istudenti ta' Harvard kienu esposti, inklużi trattati platoniċi minn Ralph Cudworth, John Norrisand, f'vina romantika, Samuel Coleridge. Ir-rekords tal-librerija f'Harvard jiżvelaw li l-kitbiet ta 'Platun u s-segwaċi moderni u romantiċi tiegħu kienu qraw regolarment matul is-seklu 19 bħal dawk tal- "filosofija uffiċjali" ta' l-iskola Skoċċiża aktar empirika u aktar deistika.</v>
      </c>
    </row>
    <row r="10148" ht="15.75" customHeight="1">
      <c r="A10148" s="2" t="s">
        <v>10148</v>
      </c>
      <c r="B10148" s="2" t="str">
        <f>IFERROR(__xludf.DUMMYFUNCTION("GOOGLETRANSLATE(A10148, ""en"", ""mt"")"),"X'inhu l-isem tal-fraternità tas-servizz tal-komunità ko-ed?")</f>
        <v>X'inhu l-isem tal-fraternità tas-servizz tal-komunità ko-ed?</v>
      </c>
    </row>
    <row r="10149" ht="15.75" customHeight="1">
      <c r="A10149" s="2" t="s">
        <v>10149</v>
      </c>
      <c r="B10149" s="2" t="str">
        <f>IFERROR(__xludf.DUMMYFUNCTION("GOOGLETRANSLATE(A10149, ""en"", ""mt"")"),"stat ħieles")</f>
        <v>stat ħieles</v>
      </c>
    </row>
    <row r="10150" ht="15.75" customHeight="1">
      <c r="A10150" s="2" t="s">
        <v>10150</v>
      </c>
      <c r="B10150" s="2" t="str">
        <f>IFERROR(__xludf.DUMMYFUNCTION("GOOGLETRANSLATE(A10150, ""en"", ""mt"")"),"X'kienet imsejħa d-disputazzjoni ta 'Luther ta' Martin Luther dwar il-poter u l-effikaċja ta 'indulġenzi aktar tard?")</f>
        <v>X'kienet imsejħa d-disputazzjoni ta 'Luther ta' Martin Luther dwar il-poter u l-effikaċja ta 'indulġenzi aktar tard?</v>
      </c>
    </row>
    <row r="10151" ht="15.75" customHeight="1">
      <c r="A10151" s="2" t="s">
        <v>10151</v>
      </c>
      <c r="B10151" s="2" t="str">
        <f>IFERROR(__xludf.DUMMYFUNCTION("GOOGLETRANSLATE(A10151, ""en"", ""mt"")"),"Fit-tifqigħa tal-Ewwel Gwerra Dinjija f'Awwissu tal-1914, il-gvernaturi tal-Afrika tal-Lvant Brittanika (kif kien ġeneralment magħruf il-protettorat) u l-Afrika tal-Lvant Ġermaniża qablu waqfien f'attentat biex iżommu l-kolonji żgħażagħ barra mill-ostilit"&amp;"ajiet diretti. Lt Col Paul von Lettow-Vorbeck ħa l-kmand tal-forzi militari Ġermaniżi, determinat li jorbot kemm jista 'jkun riżorsi Ingliżi. Maqtugħ kompletament mill-Ġermanja, Von Lettow mexxa kampanja effettiva ta 'gwerra tal-gwerillieri, jgħix barra m"&amp;"ill-art, jaqbad provvisti Ingliżi u baqa' mingħajr telf. Huwa eventwalment ċeda fit-Tramuntana tar-Rhodesia (illum iż-Żambja) erbatax-il jum wara li l-armistizju ġie ffirmat fl-1918.")</f>
        <v>Fit-tifqigħa tal-Ewwel Gwerra Dinjija f'Awwissu tal-1914, il-gvernaturi tal-Afrika tal-Lvant Brittanika (kif kien ġeneralment magħruf il-protettorat) u l-Afrika tal-Lvant Ġermaniża qablu waqfien f'attentat biex iżommu l-kolonji żgħażagħ barra mill-ostilitajiet diretti. Lt Col Paul von Lettow-Vorbeck ħa l-kmand tal-forzi militari Ġermaniżi, determinat li jorbot kemm jista 'jkun riżorsi Ingliżi. Maqtugħ kompletament mill-Ġermanja, Von Lettow mexxa kampanja effettiva ta 'gwerra tal-gwerillieri, jgħix barra mill-art, jaqbad provvisti Ingliżi u baqa' mingħajr telf. Huwa eventwalment ċeda fit-Tramuntana tar-Rhodesia (illum iż-Żambja) erbatax-il jum wara li l-armistizju ġie ffirmat fl-1918.</v>
      </c>
    </row>
    <row r="10152" ht="15.75" customHeight="1">
      <c r="A10152" s="2" t="s">
        <v>10152</v>
      </c>
      <c r="B10152" s="2" t="str">
        <f>IFERROR(__xludf.DUMMYFUNCTION("GOOGLETRANSLATE(A10152, ""en"", ""mt"")"),"Żoni rurali fir-Renju Unit")</f>
        <v>Żoni rurali fir-Renju Unit</v>
      </c>
    </row>
    <row r="10153" ht="15.75" customHeight="1">
      <c r="A10153" s="2" t="s">
        <v>10153</v>
      </c>
      <c r="B10153" s="2" t="str">
        <f>IFERROR(__xludf.DUMMYFUNCTION("GOOGLETRANSLATE(A10153, ""en"", ""mt"")"),"Ewropa Ċentrali u tal-Punent")</f>
        <v>Ewropa Ċentrali u tal-Punent</v>
      </c>
    </row>
    <row r="10154" ht="15.75" customHeight="1">
      <c r="A10154" s="2" t="s">
        <v>10154</v>
      </c>
      <c r="B10154" s="2" t="str">
        <f>IFERROR(__xludf.DUMMYFUNCTION("GOOGLETRANSLATE(A10154, ""en"", ""mt"")"),"sħana moħbija")</f>
        <v>sħana moħbija</v>
      </c>
    </row>
    <row r="10155" ht="15.75" customHeight="1">
      <c r="A10155" s="2" t="s">
        <v>10155</v>
      </c>
      <c r="B10155" s="2" t="str">
        <f>IFERROR(__xludf.DUMMYFUNCTION("GOOGLETRANSLATE(A10155, ""en"", ""mt"")"),"Dak li jingħad li huwa l-akbar funfair li jivvjaġġa fl-Ewropa?")</f>
        <v>Dak li jingħad li huwa l-akbar funfair li jivvjaġġa fl-Ewropa?</v>
      </c>
    </row>
    <row r="10156" ht="15.75" customHeight="1">
      <c r="A10156" s="2" t="s">
        <v>10156</v>
      </c>
      <c r="B10156" s="2" t="str">
        <f>IFERROR(__xludf.DUMMYFUNCTION("GOOGLETRANSLATE(A10156, ""en"", ""mt"")"),"Min ikkritika l-ordni minn spiżeriji onlajn li ma jeħtiġux preskrizzjonijiet?")</f>
        <v>Min ikkritika l-ordni minn spiżeriji onlajn li ma jeħtiġux preskrizzjonijiet?</v>
      </c>
    </row>
    <row r="10157" ht="15.75" customHeight="1">
      <c r="A10157" s="2" t="s">
        <v>10157</v>
      </c>
      <c r="B10157" s="2" t="str">
        <f>IFERROR(__xludf.DUMMYFUNCTION("GOOGLETRANSLATE(A10157, ""en"", ""mt"")"),"Wara l-1945, dak li kkontesta l-Imperu Franċiż?")</f>
        <v>Wara l-1945, dak li kkontesta l-Imperu Franċiż?</v>
      </c>
    </row>
    <row r="10158" ht="15.75" customHeight="1">
      <c r="A10158" s="2" t="s">
        <v>10158</v>
      </c>
      <c r="B10158" s="2" t="str">
        <f>IFERROR(__xludf.DUMMYFUNCTION("GOOGLETRANSLATE(A10158, ""en"", ""mt"")"),"It-tilqim jisfrutta liema karatteristika tas-sistema immunitarja tal-bniedem sabiex tkun suċċess?")</f>
        <v>It-tilqim jisfrutta liema karatteristika tas-sistema immunitarja tal-bniedem sabiex tkun suċċess?</v>
      </c>
    </row>
    <row r="10159" ht="15.75" customHeight="1">
      <c r="A10159" s="2" t="s">
        <v>10159</v>
      </c>
      <c r="B10159" s="2" t="str">
        <f>IFERROR(__xludf.DUMMYFUNCTION("GOOGLETRANSLATE(A10159, ""en"", ""mt"")"),"Projezzjonijiet ġelatinużi mmarkati biċ-ċili li jipproduċu kurrenti tal-ilma")</f>
        <v>Projezzjonijiet ġelatinużi mmarkati biċ-ċili li jipproduċu kurrenti tal-ilma</v>
      </c>
    </row>
    <row r="10160" ht="15.75" customHeight="1">
      <c r="A10160" s="2" t="s">
        <v>10160</v>
      </c>
      <c r="B10160" s="2" t="str">
        <f>IFERROR(__xludf.DUMMYFUNCTION("GOOGLETRANSLATE(A10160, ""en"", ""mt"")"),"Awtoimmunità")</f>
        <v>Awtoimmunità</v>
      </c>
    </row>
    <row r="10161" ht="15.75" customHeight="1">
      <c r="A10161" s="2" t="s">
        <v>10161</v>
      </c>
      <c r="B10161" s="2" t="str">
        <f>IFERROR(__xludf.DUMMYFUNCTION("GOOGLETRANSLATE(A10161, ""en"", ""mt"")"),"Meta ġiet approvata l-Karta tal-Belt ta 'Jacksonville?")</f>
        <v>Meta ġiet approvata l-Karta tal-Belt ta 'Jacksonville?</v>
      </c>
    </row>
    <row r="10162" ht="15.75" customHeight="1">
      <c r="A10162" s="2" t="s">
        <v>10162</v>
      </c>
      <c r="B10162" s="2" t="str">
        <f>IFERROR(__xludf.DUMMYFUNCTION("GOOGLETRANSLATE(A10162, ""en"", ""mt"")"),"X'tip ta 'sforz ta' konservazzjoni qed tiġbed l-attenzjoni fl-Amażonja?")</f>
        <v>X'tip ta 'sforz ta' konservazzjoni qed tiġbed l-attenzjoni fl-Amażonja?</v>
      </c>
    </row>
    <row r="10163" ht="15.75" customHeight="1">
      <c r="A10163" s="2" t="s">
        <v>10163</v>
      </c>
      <c r="B10163" s="2" t="str">
        <f>IFERROR(__xludf.DUMMYFUNCTION("GOOGLETRANSLATE(A10163, ""en"", ""mt"")"),"Il-popolazzjoni tal-far ma kinitx biżżejjed")</f>
        <v>Il-popolazzjoni tal-far ma kinitx biżżejjed</v>
      </c>
    </row>
    <row r="10164" ht="15.75" customHeight="1">
      <c r="A10164" s="2" t="s">
        <v>10164</v>
      </c>
      <c r="B10164" s="2" t="str">
        <f>IFERROR(__xludf.DUMMYFUNCTION("GOOGLETRANSLATE(A10164, ""en"", ""mt"")"),"Fejn se ssir il-Fiera Internazzjonali tal-Arti tal-2009?")</f>
        <v>Fejn se ssir il-Fiera Internazzjonali tal-Arti tal-2009?</v>
      </c>
    </row>
    <row r="10165" ht="15.75" customHeight="1">
      <c r="A10165" s="2" t="s">
        <v>10165</v>
      </c>
      <c r="B10165" s="2" t="str">
        <f>IFERROR(__xludf.DUMMYFUNCTION("GOOGLETRANSLATE(A10165, ""en"", ""mt"")"),"Il-ħalq tar-Renu fil-Lag Constance jifforma delta interna. Id-delta hija delimitata fil-Punent mill-Alter Rhein (""Old Rhine"") u fil-Lvant minn sezzjoni moderna kanalizzata. Il-biċċa l-kbira tad-delta hija santwarju tar-riserva naturali u tal-għasafar. D"&amp;"an jinkludi l-bliet Awstrijaċi ta 'Gaißau, Höchst u Fußach. Ir-Rhine Naturali oriġinarjament ramifikat f'mill-inqas żewġ dirgħajn u ffurma gżejjer żgħar billi jippreċipitaw is-sedimenti. Fid-djalett Alemannic lokali, is-singular huwa ppronunzjat ""Isel"" "&amp;"u din hija wkoll il-pronunzja lokali ta 'Esel (""Donkey""). Ħafna oqsma lokali għandhom isem uffiċjali li fih dan l-element.")</f>
        <v>Il-ħalq tar-Renu fil-Lag Constance jifforma delta interna. Id-delta hija delimitata fil-Punent mill-Alter Rhein ("Old Rhine") u fil-Lvant minn sezzjoni moderna kanalizzata. Il-biċċa l-kbira tad-delta hija santwarju tar-riserva naturali u tal-għasafar. Dan jinkludi l-bliet Awstrijaċi ta 'Gaißau, Höchst u Fußach. Ir-Rhine Naturali oriġinarjament ramifikat f'mill-inqas żewġ dirgħajn u ffurma gżejjer żgħar billi jippreċipitaw is-sedimenti. Fid-djalett Alemannic lokali, is-singular huwa ppronunzjat "Isel" u din hija wkoll il-pronunzja lokali ta 'Esel ("Donkey"). Ħafna oqsma lokali għandhom isem uffiċjali li fih dan l-element.</v>
      </c>
    </row>
    <row r="10166" ht="15.75" customHeight="1">
      <c r="A10166" s="2" t="s">
        <v>10166</v>
      </c>
      <c r="B10166" s="2" t="str">
        <f>IFERROR(__xludf.DUMMYFUNCTION("GOOGLETRANSLATE(A10166, ""en"", ""mt"")"),"Il-ġbir tal-kostruf kien jinkludi kostumi ddisinjati minn liema ikona tal-moda Ingliża?")</f>
        <v>Il-ġbir tal-kostruf kien jinkludi kostumi ddisinjati minn liema ikona tal-moda Ingliża?</v>
      </c>
    </row>
    <row r="10167" ht="15.75" customHeight="1">
      <c r="A10167" s="2" t="s">
        <v>10167</v>
      </c>
      <c r="B10167" s="2" t="str">
        <f>IFERROR(__xludf.DUMMYFUNCTION("GOOGLETRANSLATE(A10167, ""en"", ""mt"")"),"Kull erba 'snin")</f>
        <v>Kull erba 'snin</v>
      </c>
    </row>
    <row r="10168" ht="15.75" customHeight="1">
      <c r="A10168" s="2" t="s">
        <v>10168</v>
      </c>
      <c r="B10168" s="2" t="str">
        <f>IFERROR(__xludf.DUMMYFUNCTION("GOOGLETRANSLATE(A10168, ""en"", ""mt"")"),"MSP jista 'jintroduċi kont bħal dak?")</f>
        <v>MSP jista 'jintroduċi kont bħal dak?</v>
      </c>
    </row>
    <row r="10169" ht="15.75" customHeight="1">
      <c r="A10169" s="2" t="s">
        <v>10169</v>
      </c>
      <c r="B10169" s="2" t="str">
        <f>IFERROR(__xludf.DUMMYFUNCTION("GOOGLETRANSLATE(A10169, ""en"", ""mt"")"),"Turbina tal-fwar tikkonsisti minn rotor wieħed jew aktar (diski li jduru) immuntati fuq xaft tas-sewqan, li jalternaw ma 'serje ta' stators (diski statiċi) imwaħħlin mal-kisi tat-turbina. Ir-rotors għandhom arranġament ta 'xfafar simili għall-iskrun fit-t"&amp;"arf ta' barra. Steam jaġixxi fuq dawn ix-xfafar, u jipproduċi moviment li jdur. L-istator jikkonsisti f'serje simili, imma fissa, ta 'xfafar li jservu biex jidderieġu l-fluss tal-fwar fuq l-istadju tar-rotor li jmiss. Turbina tal-fwar ħafna drabi teżawrix"&amp;"xi ġo kondensatur tal-wiċċ li jipprovdi vakwu. L-istadji ta 'turbina tal-fwar huma tipikament irranġati biex jiġu estratti l-ħidma potenzjali massima minn veloċità speċifika u pressjoni tal-fwar, li tagħti lok għal serje ta' stadji ta 'pressjoni għolja u "&amp;"baxxa ta' daqs varjabbli. It-turbini huma effiċjenti biss jekk iduru b'veloċità relattivament għolja, għalhekk huma ġeneralment konnessi ma 'l-irkaptu ta' tnaqqis biex isuqu applikazzjonijiet ta 'veloċità baxxa, bħal skrun tal-vapur. Fil-maġġoranza l-kbir"&amp;"a ta 'stazzjonijiet kbar ta' ġenerazzjoni elettrika, it-turbini huma konnessi direttament ma 'ġeneraturi mingħajr l-irkaptu ta' tnaqqis. Veloċitajiet tipiċi huma 3600 rivoluzzjonijiet kull minuta (RPM) fl-Istati Uniti b'60 Hertz Power, 3000 rpm fl-Ewropa "&amp;"u pajjiżi oħra b'50 sistemi ta 'enerġija elettrika Hertz. F'applikazzjonijiet ta 'enerġija nukleari, it-turbini tipikament jimxu b'nofs dawn il-veloċitajiet, 1800 rpm u 1500 rpm. Rotor tat-turbina huwa biss kapaċi jipprovdi l-enerġija meta jdur f'direzzjo"&amp;"ni waħda. Għalhekk, stadju jew gearbox tar-rivers huwa ġeneralment meħtieġ meta l-qawwa tkun meħtieġa fid-direzzjoni opposta. [Ċitazzjoni meħtieġa]")</f>
        <v>Turbina tal-fwar tikkonsisti minn rotor wieħed jew aktar (diski li jduru) immuntati fuq xaft tas-sewqan, li jalternaw ma 'serje ta' stators (diski statiċi) imwaħħlin mal-kisi tat-turbina. Ir-rotors għandhom arranġament ta 'xfafar simili għall-iskrun fit-tarf ta' barra. Steam jaġixxi fuq dawn ix-xfafar, u jipproduċi moviment li jdur. L-istator jikkonsisti f'serje simili, imma fissa, ta 'xfafar li jservu biex jidderieġu l-fluss tal-fwar fuq l-istadju tar-rotor li jmiss. Turbina tal-fwar ħafna drabi teżawrixxi ġo kondensatur tal-wiċċ li jipprovdi vakwu. L-istadji ta 'turbina tal-fwar huma tipikament irranġati biex jiġu estratti l-ħidma potenzjali massima minn veloċità speċifika u pressjoni tal-fwar, li tagħti lok għal serje ta' stadji ta 'pressjoni għolja u baxxa ta' daqs varjabbli. It-turbini huma effiċjenti biss jekk iduru b'veloċità relattivament għolja, għalhekk huma ġeneralment konnessi ma 'l-irkaptu ta' tnaqqis biex isuqu applikazzjonijiet ta 'veloċità baxxa, bħal skrun tal-vapur. Fil-maġġoranza l-kbira ta 'stazzjonijiet kbar ta' ġenerazzjoni elettrika, it-turbini huma konnessi direttament ma 'ġeneraturi mingħajr l-irkaptu ta' tnaqqis. Veloċitajiet tipiċi huma 3600 rivoluzzjonijiet kull minuta (RPM) fl-Istati Uniti b'60 Hertz Power, 3000 rpm fl-Ewropa u pajjiżi oħra b'50 sistemi ta 'enerġija elettrika Hertz. F'applikazzjonijiet ta 'enerġija nukleari, it-turbini tipikament jimxu b'nofs dawn il-veloċitajiet, 1800 rpm u 1500 rpm. Rotor tat-turbina huwa biss kapaċi jipprovdi l-enerġija meta jdur f'direzzjoni waħda. Għalhekk, stadju jew gearbox tar-rivers huwa ġeneralment meħtieġ meta l-qawwa tkun meħtieġa fid-direzzjoni opposta. [Ċitazzjoni meħtieġa]</v>
      </c>
    </row>
    <row r="10170" ht="15.75" customHeight="1">
      <c r="A10170" s="2" t="s">
        <v>10170</v>
      </c>
      <c r="B10170" s="2" t="str">
        <f>IFERROR(__xludf.DUMMYFUNCTION("GOOGLETRANSLATE(A10170, ""en"", ""mt"")"),"Lit u Phil Poni")</f>
        <v>Lit u Phil Poni</v>
      </c>
    </row>
    <row r="10171" ht="15.75" customHeight="1">
      <c r="A10171" s="2" t="s">
        <v>10171</v>
      </c>
      <c r="B10171" s="2" t="str">
        <f>IFERROR(__xludf.DUMMYFUNCTION("GOOGLETRANSLATE(A10171, ""en"", ""mt"")"),"baqar")</f>
        <v>baqar</v>
      </c>
    </row>
    <row r="10172" ht="15.75" customHeight="1">
      <c r="A10172" s="2" t="s">
        <v>10172</v>
      </c>
      <c r="B10172" s="2" t="str">
        <f>IFERROR(__xludf.DUMMYFUNCTION("GOOGLETRANSLATE(A10172, ""en"", ""mt"")"),"Kważi 500%")</f>
        <v>Kważi 500%</v>
      </c>
    </row>
    <row r="10173" ht="15.75" customHeight="1">
      <c r="A10173" s="2" t="s">
        <v>10173</v>
      </c>
      <c r="B10173" s="2" t="str">
        <f>IFERROR(__xludf.DUMMYFUNCTION("GOOGLETRANSLATE(A10173, ""en"", ""mt"")"),"Livell tal-ilma")</f>
        <v>Livell tal-ilma</v>
      </c>
    </row>
    <row r="10174" ht="15.75" customHeight="1">
      <c r="A10174" s="2" t="s">
        <v>10174</v>
      </c>
      <c r="B10174" s="2" t="str">
        <f>IFERROR(__xludf.DUMMYFUNCTION("GOOGLETRANSLATE(A10174, ""en"", ""mt"")"),"Triq Fulton fid-downtown Fresno kienet id-distrett finanzjarju u kummerċjali ewlieni ta 'Fresno qabel ma ġiet konvertita f'wieħed mill-ewwel malls pedonali tan-nazzjon fl-1964. Semmiet mill-ġdid il-Mall Fulton, iż-żona fiha l-aktar ġabra densa ta' bini st"&amp;"oriku fi Fresno. Filwaqt li l-kuritur tal-Mall Fulton sofra tnaqqis qawwi mill-għoli tiegħu, il-Mall jinkludi wħud mill-ifjen biċċiet tal-arti pubblika fil-pajjiż, inkluża l-unika biċċa Pierre-Auguste Renoir fid-dinja li wieħed jista 'jimxi sa u jmissu. I"&amp;"l-pjanijiet attwali jitolbu l-ftuħ mill-ġdid tal-Mall Fulton għat-traffiku tal-karozzi. Il-biċċiet tal-arti pubblika se jiġu rrestawrati u mqiegħda ħdejn il-lokalitajiet attwali tagħhom u se jkollhom bankini wiesgħa (sa 28 'fuq in-naħa tal-lvant tat-triq)"&amp;" biex ikomplu bl-ambjent ta' ħbiberija pedonali tad-distrett.")</f>
        <v>Triq Fulton fid-downtown Fresno kienet id-distrett finanzjarju u kummerċjali ewlieni ta 'Fresno qabel ma ġiet konvertita f'wieħed mill-ewwel malls pedonali tan-nazzjon fl-1964. Semmiet mill-ġdid il-Mall Fulton, iż-żona fiha l-aktar ġabra densa ta' bini storiku fi Fresno. Filwaqt li l-kuritur tal-Mall Fulton sofra tnaqqis qawwi mill-għoli tiegħu, il-Mall jinkludi wħud mill-ifjen biċċiet tal-arti pubblika fil-pajjiż, inkluża l-unika biċċa Pierre-Auguste Renoir fid-dinja li wieħed jista 'jimxi sa u jmissu. Il-pjanijiet attwali jitolbu l-ftuħ mill-ġdid tal-Mall Fulton għat-traffiku tal-karozzi. Il-biċċiet tal-arti pubblika se jiġu rrestawrati u mqiegħda ħdejn il-lokalitajiet attwali tagħhom u se jkollhom bankini wiesgħa (sa 28 'fuq in-naħa tal-lvant tat-triq) biex ikomplu bl-ambjent ta' ħbiberija pedonali tad-distrett.</v>
      </c>
    </row>
    <row r="10175" ht="15.75" customHeight="1">
      <c r="A10175" s="2" t="s">
        <v>10175</v>
      </c>
      <c r="B10175" s="2" t="str">
        <f>IFERROR(__xludf.DUMMYFUNCTION("GOOGLETRANSLATE(A10175, ""en"", ""mt"")"),"Qatt ma kien affiljat ma 'xi denominazzjoni partikolari")</f>
        <v>Qatt ma kien affiljat ma 'xi denominazzjoni partikolari</v>
      </c>
    </row>
    <row r="10176" ht="15.75" customHeight="1">
      <c r="A10176" s="2" t="s">
        <v>10176</v>
      </c>
      <c r="B10176" s="2" t="str">
        <f>IFERROR(__xludf.DUMMYFUNCTION("GOOGLETRANSLATE(A10176, ""en"", ""mt"")"),"Meta ġiet stabbilita l-ewwel darba Victoria?")</f>
        <v>Meta ġiet stabbilita l-ewwel darba Victoria?</v>
      </c>
    </row>
    <row r="10177" ht="15.75" customHeight="1">
      <c r="A10177" s="2" t="s">
        <v>10177</v>
      </c>
      <c r="B10177" s="2" t="str">
        <f>IFERROR(__xludf.DUMMYFUNCTION("GOOGLETRANSLATE(A10177, ""en"", ""mt"")"),"Kif ġiet immaniġġjata r-reliġjon fl-imperu Mongoljan?")</f>
        <v>Kif ġiet immaniġġjata r-reliġjon fl-imperu Mongoljan?</v>
      </c>
    </row>
    <row r="10178" ht="15.75" customHeight="1">
      <c r="A10178" s="2" t="s">
        <v>10178</v>
      </c>
      <c r="B10178" s="2" t="str">
        <f>IFERROR(__xludf.DUMMYFUNCTION("GOOGLETRANSLATE(A10178, ""en"", ""mt"")"),"protesta")</f>
        <v>protesta</v>
      </c>
    </row>
    <row r="10179" ht="15.75" customHeight="1">
      <c r="A10179" s="2" t="s">
        <v>10179</v>
      </c>
      <c r="B10179" s="2" t="str">
        <f>IFERROR(__xludf.DUMMYFUNCTION("GOOGLETRANSLATE(A10179, ""en"", ""mt"")"),"In-Netwerk Fox")</f>
        <v>In-Netwerk Fox</v>
      </c>
    </row>
    <row r="10180" ht="15.75" customHeight="1">
      <c r="A10180" s="2" t="s">
        <v>10180</v>
      </c>
      <c r="B10180" s="2" t="str">
        <f>IFERROR(__xludf.DUMMYFUNCTION("GOOGLETRANSLATE(A10180, ""en"", ""mt"")"),"is-suq")</f>
        <v>is-suq</v>
      </c>
    </row>
    <row r="10181" ht="15.75" customHeight="1">
      <c r="A10181" s="2" t="s">
        <v>10181</v>
      </c>
      <c r="B10181" s="2" t="str">
        <f>IFERROR(__xludf.DUMMYFUNCTION("GOOGLETRANSLATE(A10181, ""en"", ""mt"")"),"Terminal dial-up ma 'kuxxinett, jew, billi jgħaqqad nodu permanenti X.25")</f>
        <v>Terminal dial-up ma 'kuxxinett, jew, billi jgħaqqad nodu permanenti X.25</v>
      </c>
    </row>
    <row r="10182" ht="15.75" customHeight="1">
      <c r="A10182" s="2" t="s">
        <v>10182</v>
      </c>
      <c r="B10182" s="2" t="str">
        <f>IFERROR(__xludf.DUMMYFUNCTION("GOOGLETRANSLATE(A10182, ""en"", ""mt"")"),"L-ewwel tentattivi biex jiġu internazzjonalizzati n-netwerk tat-televiżjoni ABC imorru lura għall-ħamsinijiet, wara li Leonard Goldenson, wara l-mudell tat-Teatri tal-Paramount United, ipprova juża fuq ABC l-istess strateġiji li kien għamel fl-espansjoni "&amp;"tal-operazzjoni teatrali tal-UPT għas-suq internazzjonali. Leonard Goldenson qal li l-ewwel attività internazzjonali ta 'ABC kienet qed ixandar l-inkurunazzjoni tar-Reġina Eliżabetta II f'Ġunju tal-1953; CBS u NBC ma setgħux ikopru l-inkurunazzjoni live m"&amp;"inħabba kwistjonijiet rispettivi bi problemi tekniċi u dewmien fit-titjira. L-ajruplan tal-NBC żbarka fl-Amerika Latina [fejn?], Li jwassal lil ABC biex jitgħallem dwar sussidjarji f'dak ir-reġjun. Goldenson ipprova jinvesti internazzjonali, wara li ABC j"&amp;"investi fis-suq tal-Amerika Latina, akkwista interess ta '51% f'netwerk li jkopri l-Amerika Ċentrali. Goldenson ikkwota wkoll l-interess fil-Ġappun fil-bidu tas-snin 1950, akkwista sehem ta '5% f'żewġ netwerks domestiċi ġodda, is-sistema tax-xandir Mainic"&amp;"hi fl-1951 u t-televiżjoni edukattiva ta' Nihon fl-1957. Goldenson investa wkoll fix-xandir ta 'proprjetajiet f'Beirut f'nofs is-snin 1960.")</f>
        <v>L-ewwel tentattivi biex jiġu internazzjonalizzati n-netwerk tat-televiżjoni ABC imorru lura għall-ħamsinijiet, wara li Leonard Goldenson, wara l-mudell tat-Teatri tal-Paramount United, ipprova juża fuq ABC l-istess strateġiji li kien għamel fl-espansjoni tal-operazzjoni teatrali tal-UPT għas-suq internazzjonali. Leonard Goldenson qal li l-ewwel attività internazzjonali ta 'ABC kienet qed ixandar l-inkurunazzjoni tar-Reġina Eliżabetta II f'Ġunju tal-1953; CBS u NBC ma setgħux ikopru l-inkurunazzjoni live minħabba kwistjonijiet rispettivi bi problemi tekniċi u dewmien fit-titjira. L-ajruplan tal-NBC żbarka fl-Amerika Latina [fejn?], Li jwassal lil ABC biex jitgħallem dwar sussidjarji f'dak ir-reġjun. Goldenson ipprova jinvesti internazzjonali, wara li ABC jinvesti fis-suq tal-Amerika Latina, akkwista interess ta '51% f'netwerk li jkopri l-Amerika Ċentrali. Goldenson ikkwota wkoll l-interess fil-Ġappun fil-bidu tas-snin 1950, akkwista sehem ta '5% f'żewġ netwerks domestiċi ġodda, is-sistema tax-xandir Mainichi fl-1951 u t-televiżjoni edukattiva ta' Nihon fl-1957. Goldenson investa wkoll fix-xandir ta 'proprjetajiet f'Beirut f'nofs is-snin 1960.</v>
      </c>
    </row>
    <row r="10183" ht="15.75" customHeight="1">
      <c r="A10183" s="2" t="s">
        <v>10183</v>
      </c>
      <c r="B10183" s="2" t="str">
        <f>IFERROR(__xludf.DUMMYFUNCTION("GOOGLETRANSLATE(A10183, ""en"", ""mt"")"),"X'tip ta 'membrana għandhom il-kloroplasti primarji?")</f>
        <v>X'tip ta 'membrana għandhom il-kloroplasti primarji?</v>
      </c>
    </row>
    <row r="10184" ht="15.75" customHeight="1">
      <c r="A10184" s="2" t="s">
        <v>10184</v>
      </c>
      <c r="B10184" s="2" t="str">
        <f>IFERROR(__xludf.DUMMYFUNCTION("GOOGLETRANSLATE(A10184, ""en"", ""mt"")"),"Kemm-il darba inqas hija l-parti ta 'l-għelieqi dgħajfa meta mqabbla ma' dak qawwi?")</f>
        <v>Kemm-il darba inqas hija l-parti ta 'l-għelieqi dgħajfa meta mqabbla ma' dak qawwi?</v>
      </c>
    </row>
    <row r="10185" ht="15.75" customHeight="1">
      <c r="A10185" s="2" t="s">
        <v>10185</v>
      </c>
      <c r="B10185" s="2" t="str">
        <f>IFERROR(__xludf.DUMMYFUNCTION("GOOGLETRANSLATE(A10185, ""en"", ""mt"")"),"Blazer")</f>
        <v>Blazer</v>
      </c>
    </row>
    <row r="10186" ht="15.75" customHeight="1">
      <c r="A10186" s="2" t="s">
        <v>10186</v>
      </c>
      <c r="B10186" s="2" t="str">
        <f>IFERROR(__xludf.DUMMYFUNCTION("GOOGLETRANSLATE(A10186, ""en"", ""mt"")"),"Fejn intbagħtu l-irmied?")</f>
        <v>Fejn intbagħtu l-irmied?</v>
      </c>
    </row>
    <row r="10187" ht="15.75" customHeight="1">
      <c r="A10187" s="2" t="s">
        <v>10187</v>
      </c>
      <c r="B10187" s="2" t="str">
        <f>IFERROR(__xludf.DUMMYFUNCTION("GOOGLETRANSLATE(A10187, ""en"", ""mt"")"),"Kalonzo Musyoka")</f>
        <v>Kalonzo Musyoka</v>
      </c>
    </row>
    <row r="10188" ht="15.75" customHeight="1">
      <c r="A10188" s="2" t="s">
        <v>10188</v>
      </c>
      <c r="B10188" s="2" t="str">
        <f>IFERROR(__xludf.DUMMYFUNCTION("GOOGLETRANSLATE(A10188, ""en"", ""mt"")"),"Għal ħafna mill-istorja tal-bniedem livelli ta 'ħajja ogħla - stonku sħiħ, aċċess għal ilma nadif u sħana mill-fjuwil - wassal għal saħħa aħjar u ħajja itwal. Dan ix-xejra ta 'ħajja ogħla ta' dħul li għadha kemm hi żżomm fost pajjiżi l-aktar fqar, fejn l-"&amp;"istennija tal-ħajja tiżdied malajr hekk kif id-dħul per capita jiżdied, iżda f'dawn l-aħħar għexieren ta 'snin naqas fost il-pajjiżi tad-dħul medju u plateaued fost l-aktar sinjuri tletin pajjiż jew aktar fid-dinja. L-Amerikani jgħixu bħala medja (madwar "&amp;"77 sena fl-2004) minn Griegi (78 sena) jew New Zealanders (78), għalkemm l-Istati Uniti għandhom PGD ogħla per capita. L-istennija tal-ħajja fl-Iżvezja (80 sena) u l-Ġappun (82) - fejn id-dħul kien imqassam aktar bl-istess mod - kien itwal.")</f>
        <v>Għal ħafna mill-istorja tal-bniedem livelli ta 'ħajja ogħla - stonku sħiħ, aċċess għal ilma nadif u sħana mill-fjuwil - wassal għal saħħa aħjar u ħajja itwal. Dan ix-xejra ta 'ħajja ogħla ta' dħul li għadha kemm hi żżomm fost pajjiżi l-aktar fqar, fejn l-istennija tal-ħajja tiżdied malajr hekk kif id-dħul per capita jiżdied, iżda f'dawn l-aħħar għexieren ta 'snin naqas fost il-pajjiżi tad-dħul medju u plateaued fost l-aktar sinjuri tletin pajjiż jew aktar fid-dinja. L-Amerikani jgħixu bħala medja (madwar 77 sena fl-2004) minn Griegi (78 sena) jew New Zealanders (78), għalkemm l-Istati Uniti għandhom PGD ogħla per capita. L-istennija tal-ħajja fl-Iżvezja (80 sena) u l-Ġappun (82) - fejn id-dħul kien imqassam aktar bl-istess mod - kien itwal.</v>
      </c>
    </row>
    <row r="10189" ht="15.75" customHeight="1">
      <c r="A10189" s="2" t="s">
        <v>10189</v>
      </c>
      <c r="B10189" s="2" t="str">
        <f>IFERROR(__xludf.DUMMYFUNCTION("GOOGLETRANSLATE(A10189, ""en"", ""mt"")"),"Fil-bidu tas-seklu 20")</f>
        <v>Fil-bidu tas-seklu 20</v>
      </c>
    </row>
    <row r="10190" ht="15.75" customHeight="1">
      <c r="A10190" s="2" t="s">
        <v>10190</v>
      </c>
      <c r="B10190" s="2" t="str">
        <f>IFERROR(__xludf.DUMMYFUNCTION("GOOGLETRANSLATE(A10190, ""en"", ""mt"")"),"zkuk")</f>
        <v>zkuk</v>
      </c>
    </row>
    <row r="10191" ht="15.75" customHeight="1">
      <c r="A10191" s="2" t="s">
        <v>10191</v>
      </c>
      <c r="B10191" s="2" t="str">
        <f>IFERROR(__xludf.DUMMYFUNCTION("GOOGLETRANSLATE(A10191, ""en"", ""mt"")"),"Genghis Khan, it-titlu huwa spjegat f'varjetà ta 'modi f'lingwi differenti bħal Chinggis Khaan Mongoljan, Chinghiz Ingliż, Chinghis, u Chingiz, Ċiniż: 成吉思汗; Pinyin: Chéngjísī Hán, Turkic: Cengiz Han, Çingiz Xan, Çingiz Han, Chingizxon, Çıñğız Xan, Chengez"&amp;" Khan, Chinggis Khan, Chinggis Xaan, Chingis Khan, Jenghis Khan, Chinggis Qan, Dningis Kahn, Ruman Čingiskhan) jew чингиз -хан (čingiz-khan), eċċ Temüjin huwa miktub biċ-Ċiniż bħala Ċiniż simplifikat: 铁木 真; Ċiniż tradizzjonali: 鐵 木 眞; Pinyin: tiěmùzhēn.")</f>
        <v>Genghis Khan, it-titlu huwa spjegat f'varjetà ta 'modi f'lingwi differenti bħal Chinggis Khaan Mongoljan, Chinghiz Ingliż, Chinghis, u Chingiz, Ċiniż: 成吉思汗; Pinyin: Chéngjísī Hán, Turkic: Cengiz Han, Çingiz Xan, Çingiz Han, Chingizxon, Çıñğız Xan, Chengez Khan, Chinggis Khan, Chinggis Xaan, Chingis Khan, Jenghis Khan, Chinggis Qan, Dningis Kahn, Ruman Čingiskhan) jew чингиз -хан (čingiz-khan), eċċ Temüjin huwa miktub biċ-Ċiniż bħala Ċiniż simplifikat: 铁木 真; Ċiniż tradizzjonali: 鐵 木 眞; Pinyin: tiěmùzhēn.</v>
      </c>
    </row>
    <row r="10192" ht="15.75" customHeight="1">
      <c r="A10192" s="2" t="s">
        <v>10192</v>
      </c>
      <c r="B10192" s="2" t="str">
        <f>IFERROR(__xludf.DUMMYFUNCTION("GOOGLETRANSLATE(A10192, ""en"", ""mt"")"),"ħames miljun")</f>
        <v>ħames miljun</v>
      </c>
    </row>
    <row r="10193" ht="15.75" customHeight="1">
      <c r="A10193" s="2" t="s">
        <v>10193</v>
      </c>
      <c r="B10193" s="2" t="str">
        <f>IFERROR(__xludf.DUMMYFUNCTION("GOOGLETRANSLATE(A10193, ""en"", ""mt"")"),"""Imperjalizmu formali")</f>
        <v>"Imperjalizmu formali</v>
      </c>
    </row>
    <row r="10194" ht="15.75" customHeight="1">
      <c r="A10194" s="2" t="s">
        <v>10194</v>
      </c>
      <c r="B10194" s="2" t="str">
        <f>IFERROR(__xludf.DUMMYFUNCTION("GOOGLETRANSLATE(A10194, ""en"", ""mt"")"),"X'sar DECNET Fażi 2")</f>
        <v>X'sar DECNET Fażi 2</v>
      </c>
    </row>
    <row r="10195" ht="15.75" customHeight="1">
      <c r="A10195" s="2" t="s">
        <v>10195</v>
      </c>
      <c r="B10195" s="2" t="str">
        <f>IFERROR(__xludf.DUMMYFUNCTION("GOOGLETRANSLATE(A10195, ""en"", ""mt"")"),"tagħlim")</f>
        <v>tagħlim</v>
      </c>
    </row>
    <row r="10196" ht="15.75" customHeight="1">
      <c r="A10196" s="2" t="s">
        <v>10196</v>
      </c>
      <c r="B10196" s="2" t="str">
        <f>IFERROR(__xludf.DUMMYFUNCTION("GOOGLETRANSLATE(A10196, ""en"", ""mt"")"),"Ma 'x'tip ta' siġar huwa miksi bil-Kearney Boulevard?")</f>
        <v>Ma 'x'tip ta' siġar huwa miksi bil-Kearney Boulevard?</v>
      </c>
    </row>
    <row r="10197" ht="15.75" customHeight="1">
      <c r="A10197" s="2" t="s">
        <v>10197</v>
      </c>
      <c r="B10197" s="2" t="str">
        <f>IFERROR(__xludf.DUMMYFUNCTION("GOOGLETRANSLATE(A10197, ""en"", ""mt"")"),"Richard Allen")</f>
        <v>Richard Allen</v>
      </c>
    </row>
    <row r="10198" ht="15.75" customHeight="1">
      <c r="A10198" s="2" t="s">
        <v>10198</v>
      </c>
      <c r="B10198" s="2" t="str">
        <f>IFERROR(__xludf.DUMMYFUNCTION("GOOGLETRANSLATE(A10198, ""en"", ""mt"")"),"Xi jfisser marea għolja qrib artijiet?")</f>
        <v>Xi jfisser marea għolja qrib artijiet?</v>
      </c>
    </row>
    <row r="10199" ht="15.75" customHeight="1">
      <c r="A10199" s="2" t="s">
        <v>10199</v>
      </c>
      <c r="B10199" s="2" t="str">
        <f>IFERROR(__xludf.DUMMYFUNCTION("GOOGLETRANSLATE(A10199, ""en"", ""mt"")"),"Jekk l-abbozz jinsab fil-kompetenza leġiżlattiva tal-Parlament")</f>
        <v>Jekk l-abbozz jinsab fil-kompetenza leġiżlattiva tal-Parlament</v>
      </c>
    </row>
    <row r="10200" ht="15.75" customHeight="1">
      <c r="A10200" s="2" t="s">
        <v>10200</v>
      </c>
      <c r="B10200" s="2" t="str">
        <f>IFERROR(__xludf.DUMMYFUNCTION("GOOGLETRANSLATE(A10200, ""en"", ""mt"")"),"Problema ta 'ħabta np-kompluta")</f>
        <v>Problema ta 'ħabta np-kompluta</v>
      </c>
    </row>
    <row r="10201" ht="15.75" customHeight="1">
      <c r="A10201" s="2" t="s">
        <v>10201</v>
      </c>
      <c r="B10201" s="2" t="str">
        <f>IFERROR(__xludf.DUMMYFUNCTION("GOOGLETRANSLATE(A10201, ""en"", ""mt"")"),"Liema paleontologi bħalissa jinsabu fil-fakultà tal-università?")</f>
        <v>Liema paleontologi bħalissa jinsabu fil-fakultà tal-università?</v>
      </c>
    </row>
    <row r="10202" ht="15.75" customHeight="1">
      <c r="A10202" s="2" t="s">
        <v>10202</v>
      </c>
      <c r="B10202" s="2" t="str">
        <f>IFERROR(__xludf.DUMMYFUNCTION("GOOGLETRANSLATE(A10202, ""en"", ""mt"")"),"L-issettjar tal-limiti tal-veloċità kien wieħed mid-devoluzzjonijiet ulterjuri li ngħataw minn liema att?")</f>
        <v>L-issettjar tal-limiti tal-veloċità kien wieħed mid-devoluzzjonijiet ulterjuri li ngħataw minn liema att?</v>
      </c>
    </row>
    <row r="10203" ht="15.75" customHeight="1">
      <c r="A10203" s="2" t="s">
        <v>10203</v>
      </c>
      <c r="B10203" s="2" t="str">
        <f>IFERROR(__xludf.DUMMYFUNCTION("GOOGLETRANSLATE(A10203, ""en"", ""mt"")"),"Minbarra li jiżdiedu, il-forzi jistgħu wkoll jiġu solvuti f'komponenti indipendenti f'angoli retti ma 'xulxin. Forza orizzontali li tipponta lejn il-grigal tista 'għalhekk tinqasam f'żewġ forzi, waħda li tipponta lejn it-tramuntana, u waħda li tipponta le"&amp;"jn il-lvant. Jingħaddu dawn il-forzi tal-komponenti bl-użu ta 'żieda fil-vettur jagħti l-forza oriġinali. Ir-riżoluzzjoni ta 'vettori tal-forza f'komponenti ta' sett ta 'vettori bażi ħafna drabi hija mod aktar nadif matematikament biex tiddeskrivi l-forzi"&amp;" milli tuża kobor u direzzjonijiet. Dan għaliex, għal komponenti ortogonali, il-komponenti tas-somma tal-vettur huma determinati b'mod uniku miż-żieda skalari tal-komponenti tal-vettori individwali. Komponenti ortogonali huma indipendenti minn xulxin minħ"&amp;"abba li l-forzi li jaġixxu f'disgħin grad ma 'xulxin m'għandhom l-ebda effett fuq il-kobor jew id-direzzjoni ta' l-oħra. L-għażla ta 'sett ta' vettori ta 'bażi ​​ortogonali ħafna drabi ssir billi jitqies liema sett ta' vettori bażi jagħmlu l-matematika l-"&amp;"iktar konvenjenti. L-għażla ta 'vettur bażi li hija fl-istess direzzjoni bħal waħda mill-forzi hija mixtieqa, peress li dik il-forza mbagħad ikollha komponent wieħed mhux żero. Vetturi tal-forza ortogonali jistgħu jkunu tridimensjonali bit-tielet komponen"&amp;"t li jkun fuq il-lemin tat-tnejn l-oħra.")</f>
        <v>Minbarra li jiżdiedu, il-forzi jistgħu wkoll jiġu solvuti f'komponenti indipendenti f'angoli retti ma 'xulxin. Forza orizzontali li tipponta lejn il-grigal tista 'għalhekk tinqasam f'żewġ forzi, waħda li tipponta lejn it-tramuntana, u waħda li tipponta lejn il-lvant. Jingħaddu dawn il-forzi tal-komponenti bl-użu ta 'żieda fil-vettur jagħti l-forza oriġinali. Ir-riżoluzzjoni ta 'vettori tal-forza f'komponenti ta' sett ta 'vettori bażi ħafna drabi hija mod aktar nadif matematikament biex tiddeskrivi l-forzi milli tuża kobor u direzzjonijiet. Dan għaliex, għal komponenti ortogonali, il-komponenti tas-somma tal-vettur huma determinati b'mod uniku miż-żieda skalari tal-komponenti tal-vettori individwali. Komponenti ortogonali huma indipendenti minn xulxin minħabba li l-forzi li jaġixxu f'disgħin grad ma 'xulxin m'għandhom l-ebda effett fuq il-kobor jew id-direzzjoni ta' l-oħra. L-għażla ta 'sett ta' vettori ta 'bażi ​​ortogonali ħafna drabi ssir billi jitqies liema sett ta' vettori bażi jagħmlu l-matematika l-iktar konvenjenti. L-għażla ta 'vettur bażi li hija fl-istess direzzjoni bħal waħda mill-forzi hija mixtieqa, peress li dik il-forza mbagħad ikollha komponent wieħed mhux żero. Vetturi tal-forza ortogonali jistgħu jkunu tridimensjonali bit-tielet komponent li jkun fuq il-lemin tat-tnejn l-oħra.</v>
      </c>
    </row>
    <row r="10204" ht="15.75" customHeight="1">
      <c r="A10204" s="2" t="s">
        <v>10204</v>
      </c>
      <c r="B10204" s="2" t="str">
        <f>IFERROR(__xludf.DUMMYFUNCTION("GOOGLETRANSLATE(A10204, ""en"", ""mt"")"),"1060s")</f>
        <v>1060s</v>
      </c>
    </row>
    <row r="10205" ht="15.75" customHeight="1">
      <c r="A10205" s="2" t="s">
        <v>10205</v>
      </c>
      <c r="B10205" s="2" t="str">
        <f>IFERROR(__xludf.DUMMYFUNCTION("GOOGLETRANSLATE(A10205, ""en"", ""mt"")"),"Iddetermina l-limiti prattiċi fuq dak li l-kompjuters jistgħu u ma jistgħux jagħmlu")</f>
        <v>Iddetermina l-limiti prattiċi fuq dak li l-kompjuters jistgħu u ma jistgħux jagħmlu</v>
      </c>
    </row>
    <row r="10206" ht="15.75" customHeight="1">
      <c r="A10206" s="2" t="s">
        <v>10206</v>
      </c>
      <c r="B10206" s="2" t="str">
        <f>IFERROR(__xludf.DUMMYFUNCTION("GOOGLETRANSLATE(A10206, ""en"", ""mt"")"),"−11.7 ° C.")</f>
        <v>−11.7 ° C.</v>
      </c>
    </row>
    <row r="10207" ht="15.75" customHeight="1">
      <c r="A10207" s="2" t="s">
        <v>10207</v>
      </c>
      <c r="B10207" s="2" t="str">
        <f>IFERROR(__xludf.DUMMYFUNCTION("GOOGLETRANSLATE(A10207, ""en"", ""mt"")"),"Paul Marin de la Malgue")</f>
        <v>Paul Marin de la Malgue</v>
      </c>
    </row>
    <row r="10208" ht="15.75" customHeight="1">
      <c r="A10208" s="2" t="s">
        <v>10208</v>
      </c>
      <c r="B10208" s="2" t="str">
        <f>IFERROR(__xludf.DUMMYFUNCTION("GOOGLETRANSLATE(A10208, ""en"", ""mt"")"),"L-analiżi bir-reqqa tal-medikazzjoni kollha (preskrizzjoni, nuqqas ta 'preskrizzjoni, u herbals) bħalissa qed tittieħed minn individwu")</f>
        <v>L-analiżi bir-reqqa tal-medikazzjoni kollha (preskrizzjoni, nuqqas ta 'preskrizzjoni, u herbals) bħalissa qed tittieħed minn individwu</v>
      </c>
    </row>
    <row r="10209" ht="15.75" customHeight="1">
      <c r="A10209" s="2" t="s">
        <v>10209</v>
      </c>
      <c r="B10209" s="2" t="str">
        <f>IFERROR(__xludf.DUMMYFUNCTION("GOOGLETRANSLATE(A10209, ""en"", ""mt"")"),"Kif jissejħu l-abitanti indiġeni tal-Awstralja?")</f>
        <v>Kif jissejħu l-abitanti indiġeni tal-Awstralja?</v>
      </c>
    </row>
    <row r="10210" ht="15.75" customHeight="1">
      <c r="A10210" s="2" t="s">
        <v>10210</v>
      </c>
      <c r="B10210" s="2" t="str">
        <f>IFERROR(__xludf.DUMMYFUNCTION("GOOGLETRANSLATE(A10210, ""en"", ""mt"")"),"manjetiku")</f>
        <v>manjetiku</v>
      </c>
    </row>
    <row r="10211" ht="15.75" customHeight="1">
      <c r="A10211" s="2" t="s">
        <v>10211</v>
      </c>
      <c r="B10211" s="2" t="str">
        <f>IFERROR(__xludf.DUMMYFUNCTION("GOOGLETRANSLATE(A10211, ""en"", ""mt"")"),"""L-użu tal-flus,""")</f>
        <v>"L-użu tal-flus,"</v>
      </c>
    </row>
    <row r="10212" ht="15.75" customHeight="1">
      <c r="A10212" s="2" t="s">
        <v>10212</v>
      </c>
      <c r="B10212" s="2" t="str">
        <f>IFERROR(__xludf.DUMMYFUNCTION("GOOGLETRANSLATE(A10212, ""en"", ""mt"")"),"ekonomiku")</f>
        <v>ekonomiku</v>
      </c>
    </row>
    <row r="10213" ht="15.75" customHeight="1">
      <c r="A10213" s="2" t="s">
        <v>10213</v>
      </c>
      <c r="B10213" s="2" t="str">
        <f>IFERROR(__xludf.DUMMYFUNCTION("GOOGLETRANSLATE(A10213, ""en"", ""mt"")"),"1932")</f>
        <v>1932</v>
      </c>
    </row>
    <row r="10214" ht="15.75" customHeight="1">
      <c r="A10214" s="2" t="s">
        <v>10214</v>
      </c>
      <c r="B10214" s="2" t="str">
        <f>IFERROR(__xludf.DUMMYFUNCTION("GOOGLETRANSLATE(A10214, ""en"", ""mt"")"),"X'inhu t-tagħlim għall-2012 - 13-il sena f'Harvard?")</f>
        <v>X'inhu t-tagħlim għall-2012 - 13-il sena f'Harvard?</v>
      </c>
    </row>
    <row r="10215" ht="15.75" customHeight="1">
      <c r="A10215" s="2" t="s">
        <v>10215</v>
      </c>
      <c r="B10215" s="2" t="str">
        <f>IFERROR(__xludf.DUMMYFUNCTION("GOOGLETRANSLATE(A10215, ""en"", ""mt"")"),"OLOCENE")</f>
        <v>OLOCENE</v>
      </c>
    </row>
    <row r="10216" ht="15.75" customHeight="1">
      <c r="A10216" s="2" t="s">
        <v>10216</v>
      </c>
      <c r="B10216" s="2" t="str">
        <f>IFERROR(__xludf.DUMMYFUNCTION("GOOGLETRANSLATE(A10216, ""en"", ""mt"")"),"Kanċellerija tas-Sassonu")</f>
        <v>Kanċellerija tas-Sassonu</v>
      </c>
    </row>
    <row r="10217" ht="15.75" customHeight="1">
      <c r="A10217" s="2" t="s">
        <v>10217</v>
      </c>
      <c r="B10217" s="2" t="str">
        <f>IFERROR(__xludf.DUMMYFUNCTION("GOOGLETRANSLATE(A10217, ""en"", ""mt"")"),"3.07")</f>
        <v>3.07</v>
      </c>
    </row>
    <row r="10218" ht="15.75" customHeight="1">
      <c r="A10218" s="2" t="s">
        <v>10218</v>
      </c>
      <c r="B10218" s="2" t="str">
        <f>IFERROR(__xludf.DUMMYFUNCTION("GOOGLETRANSLATE(A10218, ""en"", ""mt"")"),"Isel")</f>
        <v>Isel</v>
      </c>
    </row>
    <row r="10219" ht="15.75" customHeight="1">
      <c r="A10219" s="2" t="s">
        <v>10219</v>
      </c>
      <c r="B10219" s="2" t="str">
        <f>IFERROR(__xludf.DUMMYFUNCTION("GOOGLETRANSLATE(A10219, ""en"", ""mt"")"),"Huwa bagħat missjunarji, appoġġjati minn fond biex jippremjaw finanzjarjament konvertiti")</f>
        <v>Huwa bagħat missjunarji, appoġġjati minn fond biex jippremjaw finanzjarjament konvertiti</v>
      </c>
    </row>
    <row r="10220" ht="15.75" customHeight="1">
      <c r="A10220" s="2" t="s">
        <v>10220</v>
      </c>
      <c r="B10220" s="2" t="str">
        <f>IFERROR(__xludf.DUMMYFUNCTION("GOOGLETRANSLATE(A10220, ""en"", ""mt"")"),"X'inhu każ wieħed sempliċi ta 'test probabilistiku?")</f>
        <v>X'inhu każ wieħed sempliċi ta 'test probabilistiku?</v>
      </c>
    </row>
    <row r="10221" ht="15.75" customHeight="1">
      <c r="A10221" s="2" t="s">
        <v>10221</v>
      </c>
      <c r="B10221" s="2" t="str">
        <f>IFERROR(__xludf.DUMMYFUNCTION("GOOGLETRANSLATE(A10221, ""en"", ""mt"")"),"il-massa tal-korp li jattira")</f>
        <v>il-massa tal-korp li jattira</v>
      </c>
    </row>
    <row r="10222" ht="15.75" customHeight="1">
      <c r="A10222" s="2" t="s">
        <v>10222</v>
      </c>
      <c r="B10222" s="2" t="str">
        <f>IFERROR(__xludf.DUMMYFUNCTION("GOOGLETRANSLATE(A10222, ""en"", ""mt"")"),"l-Ingliżi")</f>
        <v>l-Ingliżi</v>
      </c>
    </row>
    <row r="10223" ht="15.75" customHeight="1">
      <c r="A10223" s="2" t="s">
        <v>10223</v>
      </c>
      <c r="B10223" s="2" t="str">
        <f>IFERROR(__xludf.DUMMYFUNCTION("GOOGLETRANSLATE(A10223, ""en"", ""mt"")"),"Aktar Qawwa")</f>
        <v>Aktar Qawwa</v>
      </c>
    </row>
    <row r="10224" ht="15.75" customHeight="1">
      <c r="A10224" s="2" t="s">
        <v>10224</v>
      </c>
      <c r="B10224" s="2" t="str">
        <f>IFERROR(__xludf.DUMMYFUNCTION("GOOGLETRANSLATE(A10224, ""en"", ""mt"")"),"Bħala likwidu fit-tankers iżolati apposta")</f>
        <v>Bħala likwidu fit-tankers iżolati apposta</v>
      </c>
    </row>
    <row r="10225" ht="15.75" customHeight="1">
      <c r="A10225" s="2" t="s">
        <v>10225</v>
      </c>
      <c r="B10225" s="2" t="str">
        <f>IFERROR(__xludf.DUMMYFUNCTION("GOOGLETRANSLATE(A10225, ""en"", ""mt"")"),"Spanja ċediet lil Florida lill-Ingliżi fl-1763 wara l-Gwerra Franċiża u Indjana, u l-Ingliżi dalwaqt bnew it-Triq tar-Re li jgħaqqdu Santu Wistin mal-Ġeorġja. It-triq qasmet ix-Xmara San Ġwann f'punt dejjaq, li s-Seminole sejjaħ Wacca Pilatka u l-Ingliżi "&amp;"sejħu l-Cow Ford jew Cowford; Dawn l-ismijiet jirriflettu b'mod ostensibbli l-fatt li l-baqar ingħataw ix-xmara hemmhekk. Il-Brittaniċi introduċew il-kultivazzjoni tal-kannamieli, indigo u frott tal-kannamieli kif ukoll l-esportazzjoni tal-injam. Bħala ri"&amp;"żultat, iż-żona tal-Grigal ta 'Florida rnexxiet ekonomikament aktar milli kellha taħt l-Ispanjol. Il-Gran Brittanja ċediet il-kontroll tat-territorju lura lejn Spanja fl-1783, wara t-telfa tagħha fil-Gwerra Rivoluzzjonarja Amerikana, u l-ftehim fil-Cow Fo"&amp;"rd kompla jikber. Wara li Spanja ċediet it-territorju ta ’Florida lejn l-Istati Uniti fl-1821, kolonizzaturi Amerikani fuq in-naħa tat-tramuntana tal-baqra Ford iddeċidew li jippjanaw belt, li jpoġġu t-toroq u l-plats. Huma malajr semmew il-belt Jacksonvi"&amp;"lle, wara Andrew Jackson. Immexxi minn Isaija D. Hart, ir-residenti kitbu charter għal gvern tal-belt, li ġie approvat mill-Kunsill Leġiżlattiv ta 'Florida fid-9 ta' Frar, 1832.")</f>
        <v>Spanja ċediet lil Florida lill-Ingliżi fl-1763 wara l-Gwerra Franċiża u Indjana, u l-Ingliżi dalwaqt bnew it-Triq tar-Re li jgħaqqdu Santu Wistin mal-Ġeorġja. It-triq qasmet ix-Xmara San Ġwann f'punt dejjaq, li s-Seminole sejjaħ Wacca Pilatka u l-Ingliżi sejħu l-Cow Ford jew Cowford; Dawn l-ismijiet jirriflettu b'mod ostensibbli l-fatt li l-baqar ingħataw ix-xmara hemmhekk. Il-Brittaniċi introduċew il-kultivazzjoni tal-kannamieli, indigo u frott tal-kannamieli kif ukoll l-esportazzjoni tal-injam. Bħala riżultat, iż-żona tal-Grigal ta 'Florida rnexxiet ekonomikament aktar milli kellha taħt l-Ispanjol. Il-Gran Brittanja ċediet il-kontroll tat-territorju lura lejn Spanja fl-1783, wara t-telfa tagħha fil-Gwerra Rivoluzzjonarja Amerikana, u l-ftehim fil-Cow Ford kompla jikber. Wara li Spanja ċediet it-territorju ta ’Florida lejn l-Istati Uniti fl-1821, kolonizzaturi Amerikani fuq in-naħa tat-tramuntana tal-baqra Ford iddeċidew li jippjanaw belt, li jpoġġu t-toroq u l-plats. Huma malajr semmew il-belt Jacksonville, wara Andrew Jackson. Immexxi minn Isaija D. Hart, ir-residenti kitbu charter għal gvern tal-belt, li ġie approvat mill-Kunsill Leġiżlattiv ta 'Florida fid-9 ta' Frar, 1832.</v>
      </c>
    </row>
    <row r="10226" ht="15.75" customHeight="1">
      <c r="A10226" s="2" t="s">
        <v>10226</v>
      </c>
      <c r="B10226" s="2" t="str">
        <f>IFERROR(__xludf.DUMMYFUNCTION("GOOGLETRANSLATE(A10226, ""en"", ""mt"")"),"kostruzzjoni ta 'awtostradi")</f>
        <v>kostruzzjoni ta 'awtostradi</v>
      </c>
    </row>
    <row r="10227" ht="15.75" customHeight="1">
      <c r="A10227" s="2" t="s">
        <v>10227</v>
      </c>
      <c r="B10227" s="2" t="str">
        <f>IFERROR(__xludf.DUMMYFUNCTION("GOOGLETRANSLATE(A10227, ""en"", ""mt"")"),"Fil-Lejl tan-Nar (1939),")</f>
        <v>Fil-Lejl tan-Nar (1939),</v>
      </c>
    </row>
    <row r="10228" ht="15.75" customHeight="1">
      <c r="A10228" s="2" t="s">
        <v>10228</v>
      </c>
      <c r="B10228" s="2" t="str">
        <f>IFERROR(__xludf.DUMMYFUNCTION("GOOGLETRANSLATE(A10228, ""en"", ""mt"")"),"Meta twaqqfet il-Fratellanza Musulmana?")</f>
        <v>Meta twaqqfet il-Fratellanza Musulmana?</v>
      </c>
    </row>
    <row r="10229" ht="15.75" customHeight="1">
      <c r="A10229" s="2" t="s">
        <v>10229</v>
      </c>
      <c r="B10229" s="2" t="str">
        <f>IFERROR(__xludf.DUMMYFUNCTION("GOOGLETRANSLATE(A10229, ""en"", ""mt"")"),"Taħt liema qrati hija applikata l-iktar liġi tal-UE?")</f>
        <v>Taħt liema qrati hija applikata l-iktar liġi tal-UE?</v>
      </c>
    </row>
    <row r="10230" ht="15.75" customHeight="1">
      <c r="A10230" s="2" t="s">
        <v>10230</v>
      </c>
      <c r="B10230" s="2" t="str">
        <f>IFERROR(__xludf.DUMMYFUNCTION("GOOGLETRANSLATE(A10230, ""en"", ""mt"")"),"Mill-Eocene 'l hawn, l-orogenija Alpina li għaddejja kkawżat sistema ta' Rift N-S biex tiżviluppa f'din iż-żona. L-elementi ewlenin ta 'din il-qasma huma l-Upper Rhine Graben, fil-Lbiċ tal-Ġermanja u l-Lvant ta' Franza u l-imbarazz ta 'Lower Rhine, fil-ma"&amp;"jjistral tal-Ġermanja u l-Olanda tax-Xlokk. Saż-żmien tal-Miocene, sistema ta 'xmajjar kienet żviluppat fil-parti ta' fuq tar-Renu, li kompliet lejn it-tramuntana u hija meqjusa bħala l-ewwel xmara Rhine. Dak iż-żmien, huwa għadu ma wettaqx kwittanza mill"&amp;"-Alpi; Minflok, il-friskaturi tal-ilma tar-Rhone u d-Danubju ixxotta l-ġnub tat-tramuntana tal-Alpi.")</f>
        <v>Mill-Eocene 'l hawn, l-orogenija Alpina li għaddejja kkawżat sistema ta' Rift N-S biex tiżviluppa f'din iż-żona. L-elementi ewlenin ta 'din il-qasma huma l-Upper Rhine Graben, fil-Lbiċ tal-Ġermanja u l-Lvant ta' Franza u l-imbarazz ta 'Lower Rhine, fil-majjistral tal-Ġermanja u l-Olanda tax-Xlokk. Saż-żmien tal-Miocene, sistema ta 'xmajjar kienet żviluppat fil-parti ta' fuq tar-Renu, li kompliet lejn it-tramuntana u hija meqjusa bħala l-ewwel xmara Rhine. Dak iż-żmien, huwa għadu ma wettaqx kwittanza mill-Alpi; Minflok, il-friskaturi tal-ilma tar-Rhone u d-Danubju ixxotta l-ġnub tat-tramuntana tal-Alpi.</v>
      </c>
    </row>
    <row r="10231" ht="15.75" customHeight="1">
      <c r="A10231" s="2" t="s">
        <v>10231</v>
      </c>
      <c r="B10231" s="2" t="str">
        <f>IFERROR(__xludf.DUMMYFUNCTION("GOOGLETRANSLATE(A10231, ""en"", ""mt"")"),"Kif qal Luther li r-raġuni tikkontribwixxi għall-fidi?")</f>
        <v>Kif qal Luther li r-raġuni tikkontribwixxi għall-fidi?</v>
      </c>
    </row>
    <row r="10232" ht="15.75" customHeight="1">
      <c r="A10232" s="2" t="s">
        <v>10232</v>
      </c>
      <c r="B10232" s="2" t="str">
        <f>IFERROR(__xludf.DUMMYFUNCTION("GOOGLETRANSLATE(A10232, ""en"", ""mt"")"),"F’liema sena l-5 President tal-università ngħata l-pożizzjoni tiegħu?")</f>
        <v>F’liema sena l-5 President tal-università ngħata l-pożizzjoni tiegħu?</v>
      </c>
    </row>
    <row r="10233" ht="15.75" customHeight="1">
      <c r="A10233" s="2" t="s">
        <v>10233</v>
      </c>
      <c r="B10233" s="2" t="str">
        <f>IFERROR(__xludf.DUMMYFUNCTION("GOOGLETRANSLATE(A10233, ""en"", ""mt"")"),"Liema kulur ingħataw il-futbol lil varjetà ta 'skejjel għolja, li wasslu sa Super Bowl 50?")</f>
        <v>Liema kulur ingħataw il-futbol lil varjetà ta 'skejjel għolja, li wasslu sa Super Bowl 50?</v>
      </c>
    </row>
    <row r="10234" ht="15.75" customHeight="1">
      <c r="A10234" s="2" t="s">
        <v>10234</v>
      </c>
      <c r="B10234" s="2" t="str">
        <f>IFERROR(__xludf.DUMMYFUNCTION("GOOGLETRANSLATE(A10234, ""en"", ""mt"")"),"Importaturi paralleli")</f>
        <v>Importaturi paralleli</v>
      </c>
    </row>
    <row r="10235" ht="15.75" customHeight="1">
      <c r="A10235" s="2" t="s">
        <v>10235</v>
      </c>
      <c r="B10235" s="2" t="str">
        <f>IFERROR(__xludf.DUMMYFUNCTION("GOOGLETRANSLATE(A10235, ""en"", ""mt"")"),"Liema konkwirent tal-Mongolja kien l-iktar iċċelebrat mill-imperaturi Mughal?")</f>
        <v>Liema konkwirent tal-Mongolja kien l-iktar iċċelebrat mill-imperaturi Mughal?</v>
      </c>
    </row>
    <row r="10236" ht="15.75" customHeight="1">
      <c r="A10236" s="2" t="s">
        <v>10236</v>
      </c>
      <c r="B10236" s="2" t="str">
        <f>IFERROR(__xludf.DUMMYFUNCTION("GOOGLETRANSLATE(A10236, ""en"", ""mt"")"),"fumble")</f>
        <v>fumble</v>
      </c>
    </row>
    <row r="10237" ht="15.75" customHeight="1">
      <c r="A10237" s="2" t="s">
        <v>10237</v>
      </c>
      <c r="B10237" s="2" t="str">
        <f>IFERROR(__xludf.DUMMYFUNCTION("GOOGLETRANSLATE(A10237, ""en"", ""mt"")"),"Ix-xejra moderna fid-disinn hija lejn l-integrazzjoni ta 'speċjalitajiet separati qabel, speċjalment fost ditti kbar. Fil-passat, periti, disinjaturi interni, inġiniera, żviluppaturi, maniġers tal-kostruzzjoni, u kuntratturi ġenerali kienu aktar probabbli"&amp;" li jkunu kumpaniji kompletament separati, anke fid-ditti akbar. Bħalissa, ditta li hija ""arkitettura"" jew ditta ta '""ġestjoni tal-kostruzzjoni"" jista' jkollha esperti mill-oqsma relatati kollha bħala impjegati, jew li jkollha kumpanija assoċjata li t"&amp;"ipprovdi kull ħila meħtieġa. Għalhekk, kull ditta bħal din tista 'toffri lilha nnifisha bħala ""shopping one-stop"" għal proġett ta' kostruzzjoni, mill-bidu sal-aħħar. Dan huwa nominat bħala kuntratt ta '""bini tad-disinn"" fejn il-kuntrattur jingħata spe"&amp;"ċifikazzjoni ta' prestazzjoni u għandu jwettaq il-proġett mid-disinn għall-kostruzzjoni, filwaqt li jeħel mal-ispeċifikazzjonijiet tal-prestazzjoni.")</f>
        <v>Ix-xejra moderna fid-disinn hija lejn l-integrazzjoni ta 'speċjalitajiet separati qabel, speċjalment fost ditti kbar. Fil-passat, periti, disinjaturi interni, inġiniera, żviluppaturi, maniġers tal-kostruzzjoni, u kuntratturi ġenerali kienu aktar probabbli li jkunu kumpaniji kompletament separati, anke fid-ditti akbar. Bħalissa, ditta li hija "arkitettura" jew ditta ta '"ġestjoni tal-kostruzzjoni" jista' jkollha esperti mill-oqsma relatati kollha bħala impjegati, jew li jkollha kumpanija assoċjata li tipprovdi kull ħila meħtieġa. Għalhekk, kull ditta bħal din tista 'toffri lilha nnifisha bħala "shopping one-stop" għal proġett ta' kostruzzjoni, mill-bidu sal-aħħar. Dan huwa nominat bħala kuntratt ta '"bini tad-disinn" fejn il-kuntrattur jingħata speċifikazzjoni ta' prestazzjoni u għandu jwettaq il-proġett mid-disinn għall-kostruzzjoni, filwaqt li jeħel mal-ispeċifikazzjonijiet tal-prestazzjoni.</v>
      </c>
    </row>
    <row r="10238" ht="15.75" customHeight="1">
      <c r="A10238" s="2" t="s">
        <v>10238</v>
      </c>
      <c r="B10238" s="2" t="str">
        <f>IFERROR(__xludf.DUMMYFUNCTION("GOOGLETRANSLATE(A10238, ""en"", ""mt"")"),"gowl fil-qasam")</f>
        <v>gowl fil-qasam</v>
      </c>
    </row>
    <row r="10239" ht="15.75" customHeight="1">
      <c r="A10239" s="2" t="s">
        <v>10239</v>
      </c>
      <c r="B10239" s="2" t="str">
        <f>IFERROR(__xludf.DUMMYFUNCTION("GOOGLETRANSLATE(A10239, ""en"", ""mt"")"),"Fejn jgħixu Platycenida?")</f>
        <v>Fejn jgħixu Platycenida?</v>
      </c>
    </row>
    <row r="10240" ht="15.75" customHeight="1">
      <c r="A10240" s="2" t="s">
        <v>10240</v>
      </c>
      <c r="B10240" s="2" t="str">
        <f>IFERROR(__xludf.DUMMYFUNCTION("GOOGLETRANSLATE(A10240, ""en"", ""mt"")"),"Min iddisinja d-disinn grafiku ġdid tal-ABC tal-1998?")</f>
        <v>Min iddisinja d-disinn grafiku ġdid tal-ABC tal-1998?</v>
      </c>
    </row>
    <row r="10241" ht="15.75" customHeight="1">
      <c r="A10241" s="2" t="s">
        <v>10241</v>
      </c>
      <c r="B10241" s="2" t="str">
        <f>IFERROR(__xludf.DUMMYFUNCTION("GOOGLETRANSLATE(A10241, ""en"", ""mt"")"),"Kull sentejn meta t-timijiet ta 'Harvard u Yale Track and Field jingħaqdu biex jikkompetu kontra Tim tal-Università ta' Oxford u Cambridge magħquda")</f>
        <v>Kull sentejn meta t-timijiet ta 'Harvard u Yale Track and Field jingħaqdu biex jikkompetu kontra Tim tal-Università ta' Oxford u Cambridge magħquda</v>
      </c>
    </row>
    <row r="10242" ht="15.75" customHeight="1">
      <c r="A10242" s="2" t="s">
        <v>10242</v>
      </c>
      <c r="B10242" s="2" t="str">
        <f>IFERROR(__xludf.DUMMYFUNCTION("GOOGLETRANSLATE(A10242, ""en"", ""mt"")"),"Brandon McManus")</f>
        <v>Brandon McManus</v>
      </c>
    </row>
    <row r="10243" ht="15.75" customHeight="1">
      <c r="A10243" s="2" t="s">
        <v>10243</v>
      </c>
      <c r="B10243" s="2" t="str">
        <f>IFERROR(__xludf.DUMMYFUNCTION("GOOGLETRANSLATE(A10243, ""en"", ""mt"")"),"Stadtholder William III ta ’Orange, li aktar tard sar Re tal-Ingilterra, ħareġ bħala l-aktar avversarju b’saħħtu tar-Re Louis XIV wara li l-Franċiżi attakkaw ir-Repubblika Olandiża fl-1672. William ifforma l-Lega ta’ Augsburg bħala koalizzjoni biex toppon"&amp;"i lil Louis u l-istat Franċiż. Konsegwentement, ħafna Huguenots ikkunsidraw ir-Repubblika Olandiża sinjura u kalvinista, li wasslet lill-oppożizzjoni għal Louis XIV, bħala l-iktar pajjiż attraenti għall-eżilju wara r-revoka tal-editt ta 'Nantes. Huma sabu"&amp;" wkoll ħafna knejjes kalvinisti li jitkellmu bil-Franċiż hemmhekk.")</f>
        <v>Stadtholder William III ta ’Orange, li aktar tard sar Re tal-Ingilterra, ħareġ bħala l-aktar avversarju b’saħħtu tar-Re Louis XIV wara li l-Franċiżi attakkaw ir-Repubblika Olandiża fl-1672. William ifforma l-Lega ta’ Augsburg bħala koalizzjoni biex topponi lil Louis u l-istat Franċiż. Konsegwentement, ħafna Huguenots ikkunsidraw ir-Repubblika Olandiża sinjura u kalvinista, li wasslet lill-oppożizzjoni għal Louis XIV, bħala l-iktar pajjiż attraenti għall-eżilju wara r-revoka tal-editt ta 'Nantes. Huma sabu wkoll ħafna knejjes kalvinisti li jitkellmu bil-Franċiż hemmhekk.</v>
      </c>
    </row>
    <row r="10244" ht="15.75" customHeight="1">
      <c r="A10244" s="2" t="s">
        <v>10244</v>
      </c>
      <c r="B10244" s="2" t="str">
        <f>IFERROR(__xludf.DUMMYFUNCTION("GOOGLETRANSLATE(A10244, ""en"", ""mt"")"),"Cornell")</f>
        <v>Cornell</v>
      </c>
    </row>
    <row r="10245" ht="15.75" customHeight="1">
      <c r="A10245" s="2" t="s">
        <v>10245</v>
      </c>
      <c r="B10245" s="2" t="str">
        <f>IFERROR(__xludf.DUMMYFUNCTION("GOOGLETRANSLATE(A10245, ""en"", ""mt"")"),"Wieħed mill-fdalijiet ta 'wara bejn Toghrul u Temüjin kien ir-rifjut ta' Toghrul li jagħti lil bintu fiż-żwieġ ma 'Jochi, l-iben il-kbir ta' Temüjin, sinjal ta 'diżrispett fil-kultura Mongoljana. Dan l-att wassal għall-qasma bejn iż-żewġ fazzjonijiet u ki"&amp;"en preludju għall-gwerra. Toghrul alleat lilu nnifsu ma 'Jamukha, li diġà oppona l-forzi ta' Temüjin; Madankollu, it-tilwima interna bejn Toghrul u Jamukha, flimkien mad-deżertjoni ta 'numru ta' alleati tagħhom lil Temüjin, wasslet għat-telfa ta 'Toghrul."&amp;" Jamukha ħarab matul il-kunflitt. Din it-telfa kienet katalist għall-ħarifa u x-xoljiment eventwali tat-tribù Keraite.")</f>
        <v>Wieħed mill-fdalijiet ta 'wara bejn Toghrul u Temüjin kien ir-rifjut ta' Toghrul li jagħti lil bintu fiż-żwieġ ma 'Jochi, l-iben il-kbir ta' Temüjin, sinjal ta 'diżrispett fil-kultura Mongoljana. Dan l-att wassal għall-qasma bejn iż-żewġ fazzjonijiet u kien preludju għall-gwerra. Toghrul alleat lilu nnifsu ma 'Jamukha, li diġà oppona l-forzi ta' Temüjin; Madankollu, it-tilwima interna bejn Toghrul u Jamukha, flimkien mad-deżertjoni ta 'numru ta' alleati tagħhom lil Temüjin, wasslet għat-telfa ta 'Toghrul. Jamukha ħarab matul il-kunflitt. Din it-telfa kienet katalist għall-ħarifa u x-xoljiment eventwali tat-tribù Keraite.</v>
      </c>
    </row>
    <row r="10246" ht="15.75" customHeight="1">
      <c r="A10246" s="2" t="s">
        <v>10246</v>
      </c>
      <c r="B10246" s="2" t="str">
        <f>IFERROR(__xludf.DUMMYFUNCTION("GOOGLETRANSLATE(A10246, ""en"", ""mt"")"),"Linebacker Brandon Marshall")</f>
        <v>Linebacker Brandon Marshall</v>
      </c>
    </row>
    <row r="10247" ht="15.75" customHeight="1">
      <c r="A10247" s="2" t="s">
        <v>10247</v>
      </c>
      <c r="B10247" s="2" t="str">
        <f>IFERROR(__xludf.DUMMYFUNCTION("GOOGLETRANSLATE(A10247, ""en"", ""mt"")"),"Jekk elezzjoni straordinarja tinżamm fi żmien inqas minn sitt xhur qabel id-data ta 'elezzjoni ordinarja, x'tagħmel għall-elezzjoni ordinarja?")</f>
        <v>Jekk elezzjoni straordinarja tinżamm fi żmien inqas minn sitt xhur qabel id-data ta 'elezzjoni ordinarja, x'tagħmel għall-elezzjoni ordinarja?</v>
      </c>
    </row>
    <row r="10248" ht="15.75" customHeight="1">
      <c r="A10248" s="2" t="s">
        <v>10248</v>
      </c>
      <c r="B10248" s="2" t="str">
        <f>IFERROR(__xludf.DUMMYFUNCTION("GOOGLETRANSLATE(A10248, ""en"", ""mt"")"),"1870 sa 1939")</f>
        <v>1870 sa 1939</v>
      </c>
    </row>
    <row r="10249" ht="15.75" customHeight="1">
      <c r="A10249" s="2" t="s">
        <v>10249</v>
      </c>
      <c r="B10249" s="2" t="str">
        <f>IFERROR(__xludf.DUMMYFUNCTION("GOOGLETRANSLATE(A10249, ""en"", ""mt"")"),"Fejn jaħdmu l-ispiżjara kliniċi mal-pazjenti?")</f>
        <v>Fejn jaħdmu l-ispiżjara kliniċi mal-pazjenti?</v>
      </c>
    </row>
    <row r="10250" ht="15.75" customHeight="1">
      <c r="A10250" s="2" t="s">
        <v>10250</v>
      </c>
      <c r="B10250" s="2" t="str">
        <f>IFERROR(__xludf.DUMMYFUNCTION("GOOGLETRANSLATE(A10250, ""en"", ""mt"")"),"Baħar tat-Tramuntana")</f>
        <v>Baħar tat-Tramuntana</v>
      </c>
    </row>
    <row r="10251" ht="15.75" customHeight="1">
      <c r="A10251" s="2" t="s">
        <v>10251</v>
      </c>
      <c r="B10251" s="2" t="str">
        <f>IFERROR(__xludf.DUMMYFUNCTION("GOOGLETRANSLATE(A10251, ""en"", ""mt"")"),"X'għandu juri għalliem lejn il-materjali tal-kors biex iżid it-tagħlim?")</f>
        <v>X'għandu juri għalliem lejn il-materjali tal-kors biex iżid it-tagħlim?</v>
      </c>
    </row>
    <row r="10252" ht="15.75" customHeight="1">
      <c r="A10252" s="2" t="s">
        <v>10252</v>
      </c>
      <c r="B10252" s="2" t="str">
        <f>IFERROR(__xludf.DUMMYFUNCTION("GOOGLETRANSLATE(A10252, ""en"", ""mt"")"),"iddgħajjef il-liġi billi tħeġġeġ diżubbidjenza ġenerali li la hija kuxjenzjuża u lanqas ta 'benefiċċju soċjali")</f>
        <v>iddgħajjef il-liġi billi tħeġġeġ diżubbidjenza ġenerali li la hija kuxjenzjuża u lanqas ta 'benefiċċju soċjali</v>
      </c>
    </row>
    <row r="10253" ht="15.75" customHeight="1">
      <c r="A10253" s="2" t="s">
        <v>10253</v>
      </c>
      <c r="B10253" s="2" t="str">
        <f>IFERROR(__xludf.DUMMYFUNCTION("GOOGLETRANSLATE(A10253, ""en"", ""mt"")"),"F'liema ""gwerra"" kienet involuta Tesla?")</f>
        <v>F'liema "gwerra" kienet involuta Tesla?</v>
      </c>
    </row>
    <row r="10254" ht="15.75" customHeight="1">
      <c r="A10254" s="2" t="s">
        <v>10254</v>
      </c>
      <c r="B10254" s="2" t="str">
        <f>IFERROR(__xludf.DUMMYFUNCTION("GOOGLETRANSLATE(A10254, ""en"", ""mt"")"),"BBC One")</f>
        <v>BBC One</v>
      </c>
    </row>
    <row r="10255" ht="15.75" customHeight="1">
      <c r="A10255" s="2" t="s">
        <v>10255</v>
      </c>
      <c r="B10255" s="2" t="str">
        <f>IFERROR(__xludf.DUMMYFUNCTION("GOOGLETRANSLATE(A10255, ""en"", ""mt"")"),"Drittijiet Fundamentali (ara d-drittijiet tal-bniedem), proporzjonalità, ċertezza legali, ugwaljanza quddiem il-liġi u s-sussidjarjetà")</f>
        <v>Drittijiet Fundamentali (ara d-drittijiet tal-bniedem), proporzjonalità, ċertezza legali, ugwaljanza quddiem il-liġi u s-sussidjarjetà</v>
      </c>
    </row>
    <row r="10256" ht="15.75" customHeight="1">
      <c r="A10256" s="2" t="s">
        <v>10256</v>
      </c>
      <c r="B10256" s="2" t="str">
        <f>IFERROR(__xludf.DUMMYFUNCTION("GOOGLETRANSLATE(A10256, ""en"", ""mt"")"),"Kemm Screens għandu l-Imperu Muliplex Cinema?")</f>
        <v>Kemm Screens għandu l-Imperu Muliplex Cinema?</v>
      </c>
    </row>
    <row r="10257" ht="15.75" customHeight="1">
      <c r="A10257" s="2" t="s">
        <v>10257</v>
      </c>
      <c r="B10257" s="2" t="str">
        <f>IFERROR(__xludf.DUMMYFUNCTION("GOOGLETRANSLATE(A10257, ""en"", ""mt"")"),"Liema kummiedja ABC kellha r-rekord għall-itwal kummiedja li kienet għaddejja sakemm għaddiet minn The Simpsons fl-2002?")</f>
        <v>Liema kummiedja ABC kellha r-rekord għall-itwal kummiedja li kienet għaddejja sakemm għaddiet minn The Simpsons fl-2002?</v>
      </c>
    </row>
    <row r="10258" ht="15.75" customHeight="1">
      <c r="A10258" s="2" t="s">
        <v>10258</v>
      </c>
      <c r="B10258" s="2" t="str">
        <f>IFERROR(__xludf.DUMMYFUNCTION("GOOGLETRANSLATE(A10258, ""en"", ""mt"")"),"Li żviluppa l-istess teknoloġija bħal baran")</f>
        <v>Li żviluppa l-istess teknoloġija bħal baran</v>
      </c>
    </row>
    <row r="10259" ht="15.75" customHeight="1">
      <c r="A10259" s="2" t="s">
        <v>10259</v>
      </c>
      <c r="B10259" s="2" t="str">
        <f>IFERROR(__xludf.DUMMYFUNCTION("GOOGLETRANSLATE(A10259, ""en"", ""mt"")"),"Aqta 'l-fortizzi tal-fruntiera Franċiża")</f>
        <v>Aqta 'l-fortizzi tal-fruntiera Franċiża</v>
      </c>
    </row>
    <row r="10260" ht="15.75" customHeight="1">
      <c r="A10260" s="2" t="s">
        <v>10260</v>
      </c>
      <c r="B10260" s="2" t="str">
        <f>IFERROR(__xludf.DUMMYFUNCTION("GOOGLETRANSLATE(A10260, ""en"", ""mt"")"),"Meta ġie rritorna l-mausoleum fl-għeluq tal-Mulej fil-Mongolja?")</f>
        <v>Meta ġie rritorna l-mausoleum fl-għeluq tal-Mulej fil-Mongolja?</v>
      </c>
    </row>
    <row r="10261" ht="15.75" customHeight="1">
      <c r="A10261" s="2" t="s">
        <v>10261</v>
      </c>
      <c r="B10261" s="2" t="str">
        <f>IFERROR(__xludf.DUMMYFUNCTION("GOOGLETRANSLATE(A10261, ""en"", ""mt"")"),"X'ġara fil-bini fuq George IV Bridge meta sar il-Parlament miegħu?")</f>
        <v>X'ġara fil-bini fuq George IV Bridge meta sar il-Parlament miegħu?</v>
      </c>
    </row>
    <row r="10262" ht="15.75" customHeight="1">
      <c r="A10262" s="2" t="s">
        <v>10262</v>
      </c>
      <c r="B10262" s="2" t="str">
        <f>IFERROR(__xludf.DUMMYFUNCTION("GOOGLETRANSLATE(A10262, ""en"", ""mt"")"),"Orange County")</f>
        <v>Orange County</v>
      </c>
    </row>
    <row r="10263" ht="15.75" customHeight="1">
      <c r="A10263" s="2" t="s">
        <v>10263</v>
      </c>
      <c r="B10263" s="2" t="str">
        <f>IFERROR(__xludf.DUMMYFUNCTION("GOOGLETRANSLATE(A10263, ""en"", ""mt"")"),"Id-diviżjoni tal-funzjonijiet u l-kompiti bejn l-ospiti fit-tarf tan-netwerk u l-qalba tan-netwerk.")</f>
        <v>Id-diviżjoni tal-funzjonijiet u l-kompiti bejn l-ospiti fit-tarf tan-netwerk u l-qalba tan-netwerk.</v>
      </c>
    </row>
    <row r="10264" ht="15.75" customHeight="1">
      <c r="A10264" s="2" t="s">
        <v>10264</v>
      </c>
      <c r="B10264" s="2" t="str">
        <f>IFERROR(__xludf.DUMMYFUNCTION("GOOGLETRANSLATE(A10264, ""en"", ""mt"")"),"Fejn fl-Asja Ċentrali mxiet iċ-Ċiniżi Han?")</f>
        <v>Fejn fl-Asja Ċentrali mxiet iċ-Ċiniżi Han?</v>
      </c>
    </row>
    <row r="10265" ht="15.75" customHeight="1">
      <c r="A10265" s="2" t="s">
        <v>10265</v>
      </c>
      <c r="B10265" s="2" t="str">
        <f>IFERROR(__xludf.DUMMYFUNCTION("GOOGLETRANSLATE(A10265, ""en"", ""mt"")"),"X'inhi d-dgħjufija ewlenija ta 'Daleks?")</f>
        <v>X'inhi d-dgħjufija ewlenija ta 'Daleks?</v>
      </c>
    </row>
    <row r="10266" ht="15.75" customHeight="1">
      <c r="A10266" s="2" t="s">
        <v>10266</v>
      </c>
      <c r="B10266" s="2" t="str">
        <f>IFERROR(__xludf.DUMMYFUNCTION("GOOGLETRANSLATE(A10266, ""en"", ""mt"")"),"131")</f>
        <v>131</v>
      </c>
    </row>
    <row r="10267" ht="15.75" customHeight="1">
      <c r="A10267" s="2" t="s">
        <v>10267</v>
      </c>
      <c r="B10267" s="2" t="str">
        <f>IFERROR(__xludf.DUMMYFUNCTION("GOOGLETRANSLATE(A10267, ""en"", ""mt"")"),"Movimenti ta 'reżistenza mhux vjolenti")</f>
        <v>Movimenti ta 'reżistenza mhux vjolenti</v>
      </c>
    </row>
    <row r="10268" ht="15.75" customHeight="1">
      <c r="A10268" s="2" t="s">
        <v>10268</v>
      </c>
      <c r="B10268" s="2" t="str">
        <f>IFERROR(__xludf.DUMMYFUNCTION("GOOGLETRANSLATE(A10268, ""en"", ""mt"")"),"Meta Franza u l-Olandiżi ġlieda fis-seklu 17?")</f>
        <v>Meta Franza u l-Olandiżi ġlieda fis-seklu 17?</v>
      </c>
    </row>
    <row r="10269" ht="15.75" customHeight="1">
      <c r="A10269" s="2" t="s">
        <v>10269</v>
      </c>
      <c r="B10269" s="2" t="str">
        <f>IFERROR(__xludf.DUMMYFUNCTION("GOOGLETRANSLATE(A10269, ""en"", ""mt"")"),"Liema teorema tkun invalida jekk in-numru 1 kien ikkunsidrat bħala ewlieni?")</f>
        <v>Liema teorema tkun invalida jekk in-numru 1 kien ikkunsidrat bħala ewlieni?</v>
      </c>
    </row>
    <row r="10270" ht="15.75" customHeight="1">
      <c r="A10270" s="2" t="s">
        <v>10270</v>
      </c>
      <c r="B10270" s="2" t="str">
        <f>IFERROR(__xludf.DUMMYFUNCTION("GOOGLETRANSLATE(A10270, ""en"", ""mt"")"),"Is-Soċjetà ta ’Ġesù")</f>
        <v>Is-Soċjetà ta ’Ġesù</v>
      </c>
    </row>
    <row r="10271" ht="15.75" customHeight="1">
      <c r="A10271" s="2" t="s">
        <v>10271</v>
      </c>
      <c r="B10271" s="2" t="str">
        <f>IFERROR(__xludf.DUMMYFUNCTION("GOOGLETRANSLATE(A10271, ""en"", ""mt"")"),"X'inhuma r-riżervi totali ta 'għajnuna finanzjarja ta' Harvard?")</f>
        <v>X'inhuma r-riżervi totali ta 'għajnuna finanzjarja ta' Harvard?</v>
      </c>
    </row>
    <row r="10272" ht="15.75" customHeight="1">
      <c r="A10272" s="2" t="s">
        <v>10272</v>
      </c>
      <c r="B10272" s="2" t="str">
        <f>IFERROR(__xludf.DUMMYFUNCTION("GOOGLETRANSLATE(A10272, ""en"", ""mt"")"),"ospiti responsabbli għal twassil affidabbli ta 'dejta")</f>
        <v>ospiti responsabbli għal twassil affidabbli ta 'dejta</v>
      </c>
    </row>
    <row r="10273" ht="15.75" customHeight="1">
      <c r="A10273" s="2" t="s">
        <v>10273</v>
      </c>
      <c r="B10273" s="2" t="str">
        <f>IFERROR(__xludf.DUMMYFUNCTION("GOOGLETRANSLATE(A10273, ""en"", ""mt"")"),"ħames pulzieri")</f>
        <v>ħames pulzieri</v>
      </c>
    </row>
    <row r="10274" ht="15.75" customHeight="1">
      <c r="A10274" s="2" t="s">
        <v>10274</v>
      </c>
      <c r="B10274" s="2" t="str">
        <f>IFERROR(__xludf.DUMMYFUNCTION("GOOGLETRANSLATE(A10274, ""en"", ""mt"")"),"Filwaqt li t-trattati u r-regolamenti se jkollhom effett dirett (jekk ċari, inkondizzjonati u immedjati), id-direttivi ġeneralment ma jagħtux liċ-ċittadini (għall-kuntrarju tal-istat membru) li jħarsu biex iħarrku ċittadini oħra. Fit-teorija, dan huwa min"&amp;"ħabba li l-Artikolu 288 tat-TFEU jgħid li d-direttivi huma indirizzati lill-istati membri u ġeneralment ""jitilqu lill-awtoritajiet nazzjonali l-għażla tal-forma u l-metodi"" biex jiġu implimentati. Parzjalment dan jirrifletti li d-direttivi spiss joħolqu"&amp;" standards minimi, u jħalli lill-istati membri japplikaw standards ogħla. Pereżempju, id-direttiva tal-ħin tax-xogħol teħtieġ li kull ħaddiem ikollu mill-inqas 4 ġimgħat imħallsa vaganzi kull sena, iżda ħafna mill-istati membri jeħtieġu aktar minn 28 jum "&amp;"fil-liġi nazzjonali. Madankollu, dwar il-pożizzjoni attwali adottata mill-Qorti tal-Ġustizzja, iċ-ċittadini għandhom il-wieqfa li jagħmlu talbiet ibbażati fuq liġijiet nazzjonali li jimplimentaw direttivi, iżda mhux mid-direttivi nfushom. Id-direttivi m'g"&amp;"ħandhomx hekk imsejħa effett dirett ""orizzontali"" (i.e. bejn partijiet mhux statali). Din il-fehma kienet istantanjament kontroversjali, u fil-bidu tad-disgħinijiet tliet avukati ġenerali argumentaw li d-direttivi għandhom joħolqu drittijiet u dmirijiet"&amp;" għaċ-ċittadini kollha. Il-Qorti tal-Ġustizzja rrifjutat, imma hemm ħames eċċezzjonijiet kbar.")</f>
        <v>Filwaqt li t-trattati u r-regolamenti se jkollhom effett dirett (jekk ċari, inkondizzjonati u immedjati), id-direttivi ġeneralment ma jagħtux liċ-ċittadini (għall-kuntrarju tal-istat membru) li jħarsu biex iħarrku ċittadini oħra. Fit-teorija, dan huwa minħabba li l-Artikolu 288 tat-TFEU jgħid li d-direttivi huma indirizzati lill-istati membri u ġeneralment "jitilqu lill-awtoritajiet nazzjonali l-għażla tal-forma u l-metodi" biex jiġu implimentati. Parzjalment dan jirrifletti li d-direttivi spiss joħolqu standards minimi, u jħalli lill-istati membri japplikaw standards ogħla. Pereżempju, id-direttiva tal-ħin tax-xogħol teħtieġ li kull ħaddiem ikollu mill-inqas 4 ġimgħat imħallsa vaganzi kull sena, iżda ħafna mill-istati membri jeħtieġu aktar minn 28 jum fil-liġi nazzjonali. Madankollu, dwar il-pożizzjoni attwali adottata mill-Qorti tal-Ġustizzja, iċ-ċittadini għandhom il-wieqfa li jagħmlu talbiet ibbażati fuq liġijiet nazzjonali li jimplimentaw direttivi, iżda mhux mid-direttivi nfushom. Id-direttivi m'għandhomx hekk imsejħa effett dirett "orizzontali" (i.e. bejn partijiet mhux statali). Din il-fehma kienet istantanjament kontroversjali, u fil-bidu tad-disgħinijiet tliet avukati ġenerali argumentaw li d-direttivi għandhom joħolqu drittijiet u dmirijiet għaċ-ċittadini kollha. Il-Qorti tal-Ġustizzja rrifjutat, imma hemm ħames eċċezzjonijiet kbar.</v>
      </c>
    </row>
    <row r="10275" ht="15.75" customHeight="1">
      <c r="A10275" s="2" t="s">
        <v>10275</v>
      </c>
      <c r="B10275" s="2" t="str">
        <f>IFERROR(__xludf.DUMMYFUNCTION("GOOGLETRANSLATE(A10275, ""en"", ""mt"")"),"pompa tal-fwar")</f>
        <v>pompa tal-fwar</v>
      </c>
    </row>
    <row r="10276" ht="15.75" customHeight="1">
      <c r="A10276" s="2" t="s">
        <v>10276</v>
      </c>
      <c r="B10276" s="2" t="str">
        <f>IFERROR(__xludf.DUMMYFUNCTION("GOOGLETRANSLATE(A10276, ""en"", ""mt"")"),"Kemm hemm riżervi naturali f'Varsavja?")</f>
        <v>Kemm hemm riżervi naturali f'Varsavja?</v>
      </c>
    </row>
    <row r="10277" ht="15.75" customHeight="1">
      <c r="A10277" s="2" t="s">
        <v>10277</v>
      </c>
      <c r="B10277" s="2" t="str">
        <f>IFERROR(__xludf.DUMMYFUNCTION("GOOGLETRANSLATE(A10277, ""en"", ""mt"")"),"reġjun metropolitana internazzjonali")</f>
        <v>reġjun metropolitana internazzjonali</v>
      </c>
    </row>
    <row r="10278" ht="15.75" customHeight="1">
      <c r="A10278" s="2" t="s">
        <v>10278</v>
      </c>
      <c r="B10278" s="2" t="str">
        <f>IFERROR(__xludf.DUMMYFUNCTION("GOOGLETRANSLATE(A10278, ""en"", ""mt"")"),"X'inhi l-forma tas-soltu tar-ridistribuzzjoni tal-ġid tal-gvern?")</f>
        <v>X'inhi l-forma tas-soltu tar-ridistribuzzjoni tal-ġid tal-gvern?</v>
      </c>
    </row>
    <row r="10279" ht="15.75" customHeight="1">
      <c r="A10279" s="2" t="s">
        <v>10279</v>
      </c>
      <c r="B10279" s="2" t="str">
        <f>IFERROR(__xludf.DUMMYFUNCTION("GOOGLETRANSLATE(A10279, ""en"", ""mt"")"),"James Henry Breasted")</f>
        <v>James Henry Breasted</v>
      </c>
    </row>
    <row r="10280" ht="15.75" customHeight="1">
      <c r="A10280" s="2" t="s">
        <v>10280</v>
      </c>
      <c r="B10280" s="2" t="str">
        <f>IFERROR(__xludf.DUMMYFUNCTION("GOOGLETRANSLATE(A10280, ""en"", ""mt"")"),"X'kienet il-karriera ta 'Konstantin Mereschkowski?")</f>
        <v>X'kienet il-karriera ta 'Konstantin Mereschkowski?</v>
      </c>
    </row>
    <row r="10281" ht="15.75" customHeight="1">
      <c r="A10281" s="2" t="s">
        <v>10281</v>
      </c>
      <c r="B10281" s="2" t="str">
        <f>IFERROR(__xludf.DUMMYFUNCTION("GOOGLETRANSLATE(A10281, ""en"", ""mt"")"),"Meta d-Danimarka ssieħbet fl-UE?")</f>
        <v>Meta d-Danimarka ssieħbet fl-UE?</v>
      </c>
    </row>
    <row r="10282" ht="15.75" customHeight="1">
      <c r="A10282" s="2" t="s">
        <v>10282</v>
      </c>
      <c r="B10282" s="2" t="str">
        <f>IFERROR(__xludf.DUMMYFUNCTION("GOOGLETRANSLATE(A10282, ""en"", ""mt"")"),"Fejn ħarbu r-residenti ta 'Antijokja?")</f>
        <v>Fejn ħarbu r-residenti ta 'Antijokja?</v>
      </c>
    </row>
    <row r="10283" ht="15.75" customHeight="1">
      <c r="A10283" s="2" t="s">
        <v>10283</v>
      </c>
      <c r="B10283" s="2" t="str">
        <f>IFERROR(__xludf.DUMMYFUNCTION("GOOGLETRANSLATE(A10283, ""en"", ""mt"")"),"1665")</f>
        <v>1665</v>
      </c>
    </row>
    <row r="10284" ht="15.75" customHeight="1">
      <c r="A10284" s="2" t="s">
        <v>10284</v>
      </c>
      <c r="B10284" s="2" t="str">
        <f>IFERROR(__xludf.DUMMYFUNCTION("GOOGLETRANSLATE(A10284, ""en"", ""mt"")"),"Fejn hi post ieħor ta 'ġewwa għal għalliem għajr skola?")</f>
        <v>Fejn hi post ieħor ta 'ġewwa għal għalliem għajr skola?</v>
      </c>
    </row>
    <row r="10285" ht="15.75" customHeight="1">
      <c r="A10285" s="2" t="s">
        <v>10285</v>
      </c>
      <c r="B10285" s="2" t="str">
        <f>IFERROR(__xludf.DUMMYFUNCTION("GOOGLETRANSLATE(A10285, ""en"", ""mt"")"),"In-naħa tax-Xlokk 'il bogħod")</f>
        <v>In-naħa tax-Xlokk 'il bogħod</v>
      </c>
    </row>
    <row r="10286" ht="15.75" customHeight="1">
      <c r="A10286" s="2" t="s">
        <v>10286</v>
      </c>
      <c r="B10286" s="2" t="str">
        <f>IFERROR(__xludf.DUMMYFUNCTION("GOOGLETRANSLATE(A10286, ""en"", ""mt"")"),"Min huma l-eqdem villains mis-serje Doctor Who?")</f>
        <v>Min huma l-eqdem villains mis-serje Doctor Who?</v>
      </c>
    </row>
    <row r="10287" ht="15.75" customHeight="1">
      <c r="A10287" s="2" t="s">
        <v>10287</v>
      </c>
      <c r="B10287" s="2" t="str">
        <f>IFERROR(__xludf.DUMMYFUNCTION("GOOGLETRANSLATE(A10287, ""en"", ""mt"")"),"Fl-1990, Thomas S. Murphy iddelega l-pożizzjoni tiegħu bħala president lil Daniel B. Burke waqt li baqa 'l-president u l-Kap Eżekuttiv ta' ABC. Capital Cities / ABC irrappurtaw dħul ta '$ 465 miljun. Issa fit-tieni post b'saħħtu, in-netwerk daħal fis-snin"&amp;" disgħin b'pits addizzjonali li jirrispettaw il-familja inklużi vidjows tad-dar l-aktar divertenti tal-Amerika (li komplew isiru l-itwal programm ta 'divertiment tal-ħin ewlieni fl-istorja tan-netwerk), pass pass, hangin' Mas-Sur Cooper, Boy Meets World u"&amp;" Perfect Strangers Spinoff Family Matters, kif ukoll serje bħal Doogie Howser, M.D., Life tkompli, il-kult favorit Twin Peaks u l-Commish. F’Settembru 1991, in-Netwerk Premiered Home Titjib, sitcom ikkaratterizzat minn stand-up comic Tim Allen li ċċentra "&amp;"fuq il-familja u l-ħajja tax-xogħol ta ’ospitanti suxxettibbli għal inċidenti ta’ spettaklu ta ’titjib fid-dar tal-aċċess għall-kejbil. Dawk disa 'staġuni, is-suċċess tagħha wassal lil ABC għal proġetti ta' sitcom addizzjonali ta 'Greenlight immexxija mil"&amp;"l-kummidjanti matul id-disgħinijiet inkluż The Drew Carey Show; Vettura Brett Butler Grace taħt in-nar; u Ellen, li sar notevoli għal episodju tal-1997 li serva bħala l-istilla tas-serje Ellen DeGeneres (kif ukoll il-karattru tagħha fis-serje) bħala lesbj"&amp;"ani.")</f>
        <v>Fl-1990, Thomas S. Murphy iddelega l-pożizzjoni tiegħu bħala president lil Daniel B. Burke waqt li baqa 'l-president u l-Kap Eżekuttiv ta' ABC. Capital Cities / ABC irrappurtaw dħul ta '$ 465 miljun. Issa fit-tieni post b'saħħtu, in-netwerk daħal fis-snin disgħin b'pits addizzjonali li jirrispettaw il-familja inklużi vidjows tad-dar l-aktar divertenti tal-Amerika (li komplew isiru l-itwal programm ta 'divertiment tal-ħin ewlieni fl-istorja tan-netwerk), pass pass, hangin' Mas-Sur Cooper, Boy Meets World u Perfect Strangers Spinoff Family Matters, kif ukoll serje bħal Doogie Howser, M.D., Life tkompli, il-kult favorit Twin Peaks u l-Commish. F’Settembru 1991, in-Netwerk Premiered Home Titjib, sitcom ikkaratterizzat minn stand-up comic Tim Allen li ċċentra fuq il-familja u l-ħajja tax-xogħol ta ’ospitanti suxxettibbli għal inċidenti ta’ spettaklu ta ’titjib fid-dar tal-aċċess għall-kejbil. Dawk disa 'staġuni, is-suċċess tagħha wassal lil ABC għal proġetti ta' sitcom addizzjonali ta 'Greenlight immexxija mill-kummidjanti matul id-disgħinijiet inkluż The Drew Carey Show; Vettura Brett Butler Grace taħt in-nar; u Ellen, li sar notevoli għal episodju tal-1997 li serva bħala l-istilla tas-serje Ellen DeGeneres (kif ukoll il-karattru tagħha fis-serje) bħala lesbjani.</v>
      </c>
    </row>
    <row r="10288" ht="15.75" customHeight="1">
      <c r="A10288" s="2" t="s">
        <v>10288</v>
      </c>
      <c r="B10288" s="2" t="str">
        <f>IFERROR(__xludf.DUMMYFUNCTION("GOOGLETRANSLATE(A10288, ""en"", ""mt"")"),"Min iddisinja mill-ġdid il-ġnien ċentrali?")</f>
        <v>Min iddisinja mill-ġdid il-ġnien ċentrali?</v>
      </c>
    </row>
    <row r="10289" ht="15.75" customHeight="1">
      <c r="A10289" s="2" t="s">
        <v>10289</v>
      </c>
      <c r="B10289" s="2" t="str">
        <f>IFERROR(__xludf.DUMMYFUNCTION("GOOGLETRANSLATE(A10289, ""en"", ""mt"")"),"depressurizzazzjoni")</f>
        <v>depressurizzazzjoni</v>
      </c>
    </row>
    <row r="10290" ht="15.75" customHeight="1">
      <c r="A10290" s="2" t="s">
        <v>10290</v>
      </c>
      <c r="B10290" s="2" t="str">
        <f>IFERROR(__xludf.DUMMYFUNCTION("GOOGLETRANSLATE(A10290, ""en"", ""mt"")"),"Kemm streetcars topera l-Fresno Traction Company fl-1931?")</f>
        <v>Kemm streetcars topera l-Fresno Traction Company fl-1931?</v>
      </c>
    </row>
    <row r="10291" ht="15.75" customHeight="1">
      <c r="A10291" s="2" t="s">
        <v>10291</v>
      </c>
      <c r="B10291" s="2" t="str">
        <f>IFERROR(__xludf.DUMMYFUNCTION("GOOGLETRANSLATE(A10291, ""en"", ""mt"")"),"X'tip ta 'valur ikollu l-funzjoni Zeta jekk ikun hemm primes finiti?")</f>
        <v>X'tip ta 'valur ikollu l-funzjoni Zeta jekk ikun hemm primes finiti?</v>
      </c>
    </row>
    <row r="10292" ht="15.75" customHeight="1">
      <c r="A10292" s="2" t="s">
        <v>10292</v>
      </c>
      <c r="B10292" s="2" t="str">
        <f>IFERROR(__xludf.DUMMYFUNCTION("GOOGLETRANSLATE(A10292, ""en"", ""mt"")"),"Il-Knisja Metodista Magħquda tgħallem li l-pornografija hija ""dwar il-vjolenza, id-degradazzjoni, l-isfruttament, u l-isforz"" u ""tiddeplora [i] kull forma ta 'kummerċjalizzazzjoni, abbuż, u sfruttament tas-sess."" It-Task Force tal-Etika Sesswali tal-K"&amp;"nisja Metodista Magħquda tiddikjara li ""r-riċerka turiha [il-pornografija] mhix"" attività innoċenti. "" Huwa ta 'ħsara u ġeneralment huwa vizzju. Persuni li huma dipendenti fuq il-pornografija huma mibdula fiżjoloġikament, kif inhi l-perspettiva tagħhom"&amp;", ir-relazzjonijiet mal-parruċċani u l-familja, u l-perċezzjonijiet tagħhom tal-bniet u n-nisa. """)</f>
        <v>Il-Knisja Metodista Magħquda tgħallem li l-pornografija hija "dwar il-vjolenza, id-degradazzjoni, l-isfruttament, u l-isforz" u "tiddeplora [i] kull forma ta 'kummerċjalizzazzjoni, abbuż, u sfruttament tas-sess." It-Task Force tal-Etika Sesswali tal-Knisja Metodista Magħquda tiddikjara li "r-riċerka turiha [il-pornografija] mhix" attività innoċenti. " Huwa ta 'ħsara u ġeneralment huwa vizzju. Persuni li huma dipendenti fuq il-pornografija huma mibdula fiżjoloġikament, kif inhi l-perspettiva tagħhom, ir-relazzjonijiet mal-parruċċani u l-familja, u l-perċezzjonijiet tagħhom tal-bniet u n-nisa. "</v>
      </c>
    </row>
    <row r="10293" ht="15.75" customHeight="1">
      <c r="A10293" s="2" t="s">
        <v>10293</v>
      </c>
      <c r="B10293" s="2" t="str">
        <f>IFERROR(__xludf.DUMMYFUNCTION("GOOGLETRANSLATE(A10293, ""en"", ""mt"")"),"Meta patoġen jittiekel minn fagoċita jinqabad f'liema vesicle?")</f>
        <v>Meta patoġen jittiekel minn fagoċita jinqabad f'liema vesicle?</v>
      </c>
    </row>
    <row r="10294" ht="15.75" customHeight="1">
      <c r="A10294" s="2" t="s">
        <v>10294</v>
      </c>
      <c r="B10294" s="2" t="str">
        <f>IFERROR(__xludf.DUMMYFUNCTION("GOOGLETRANSLATE(A10294, ""en"", ""mt"")"),"t fl-istudent")</f>
        <v>t fl-istudent</v>
      </c>
    </row>
    <row r="10295" ht="15.75" customHeight="1">
      <c r="A10295" s="2" t="s">
        <v>10295</v>
      </c>
      <c r="B10295" s="2" t="str">
        <f>IFERROR(__xludf.DUMMYFUNCTION("GOOGLETRANSLATE(A10295, ""en"", ""mt"")"),"il-popolazzjoni mxerrda tagħhom u d-distanza mill-Parlament Skoċċiż f'Edinburgu")</f>
        <v>il-popolazzjoni mxerrda tagħhom u d-distanza mill-Parlament Skoċċiż f'Edinburgu</v>
      </c>
    </row>
    <row r="10296" ht="15.75" customHeight="1">
      <c r="A10296" s="2" t="s">
        <v>10296</v>
      </c>
      <c r="B10296" s="2" t="str">
        <f>IFERROR(__xludf.DUMMYFUNCTION("GOOGLETRANSLATE(A10296, ""en"", ""mt"")"),"Valv tal-Privattivi")</f>
        <v>Valv tal-Privattivi</v>
      </c>
    </row>
    <row r="10297" ht="15.75" customHeight="1">
      <c r="A10297" s="2" t="s">
        <v>10297</v>
      </c>
      <c r="B10297" s="2" t="str">
        <f>IFERROR(__xludf.DUMMYFUNCTION("GOOGLETRANSLATE(A10297, ""en"", ""mt"")"),"Filantropija")</f>
        <v>Filantropija</v>
      </c>
    </row>
    <row r="10298" ht="15.75" customHeight="1">
      <c r="A10298" s="2" t="s">
        <v>10298</v>
      </c>
      <c r="B10298" s="2" t="str">
        <f>IFERROR(__xludf.DUMMYFUNCTION("GOOGLETRANSLATE(A10298, ""en"", ""mt"")"),"Kull sena")</f>
        <v>Kull sena</v>
      </c>
    </row>
    <row r="10299" ht="15.75" customHeight="1">
      <c r="A10299" s="2" t="s">
        <v>10299</v>
      </c>
      <c r="B10299" s="2" t="str">
        <f>IFERROR(__xludf.DUMMYFUNCTION("GOOGLETRANSLATE(A10299, ""en"", ""mt"")"),"Franċiż")</f>
        <v>Franċiż</v>
      </c>
    </row>
    <row r="10300" ht="15.75" customHeight="1">
      <c r="A10300" s="2" t="s">
        <v>10300</v>
      </c>
      <c r="B10300" s="2" t="str">
        <f>IFERROR(__xludf.DUMMYFUNCTION("GOOGLETRANSLATE(A10300, ""en"", ""mt"")"),"Arċisqof ta ’Westminster")</f>
        <v>Arċisqof ta ’Westminster</v>
      </c>
    </row>
    <row r="10301" ht="15.75" customHeight="1">
      <c r="A10301" s="2" t="s">
        <v>10301</v>
      </c>
      <c r="B10301" s="2" t="str">
        <f>IFERROR(__xludf.DUMMYFUNCTION("GOOGLETRANSLATE(A10301, ""en"", ""mt"")"),"Minbarra s-snin 1980, f'liema għaxar snin żviluppaw il-biċċa l-kbira tal-kontej ta 'San Bernardino u Riverside?")</f>
        <v>Minbarra s-snin 1980, f'liema għaxar snin żviluppaw il-biċċa l-kbira tal-kontej ta 'San Bernardino u Riverside?</v>
      </c>
    </row>
    <row r="10302" ht="15.75" customHeight="1">
      <c r="A10302" s="2" t="s">
        <v>10302</v>
      </c>
      <c r="B10302" s="2" t="str">
        <f>IFERROR(__xludf.DUMMYFUNCTION("GOOGLETRANSLATE(A10302, ""en"", ""mt"")"),"Kemm ex-onorati tal-MVP kienu preżenti għal ċerimonja ta 'pregame?")</f>
        <v>Kemm ex-onorati tal-MVP kienu preżenti għal ċerimonja ta 'pregame?</v>
      </c>
    </row>
    <row r="10303" ht="15.75" customHeight="1">
      <c r="A10303" s="2" t="s">
        <v>10303</v>
      </c>
      <c r="B10303" s="2" t="str">
        <f>IFERROR(__xludf.DUMMYFUNCTION("GOOGLETRANSLATE(A10303, ""en"", ""mt"")"),"ditektiv")</f>
        <v>ditektiv</v>
      </c>
    </row>
    <row r="10304" ht="15.75" customHeight="1">
      <c r="A10304" s="2" t="s">
        <v>10304</v>
      </c>
      <c r="B10304" s="2" t="str">
        <f>IFERROR(__xludf.DUMMYFUNCTION("GOOGLETRANSLATE(A10304, ""en"", ""mt"")"),"Xi tuża l-Knisja Metodista Magħquda fis-Sagrament tat-Tqarbin Imqaddes?")</f>
        <v>Xi tuża l-Knisja Metodista Magħquda fis-Sagrament tat-Tqarbin Imqaddes?</v>
      </c>
    </row>
    <row r="10305" ht="15.75" customHeight="1">
      <c r="A10305" s="2" t="s">
        <v>10305</v>
      </c>
      <c r="B10305" s="2" t="str">
        <f>IFERROR(__xludf.DUMMYFUNCTION("GOOGLETRANSLATE(A10305, ""en"", ""mt"")"),"Kunsill tal-Belt")</f>
        <v>Kunsill tal-Belt</v>
      </c>
    </row>
    <row r="10306" ht="15.75" customHeight="1">
      <c r="A10306" s="2" t="s">
        <v>10306</v>
      </c>
      <c r="B10306" s="2" t="str">
        <f>IFERROR(__xludf.DUMMYFUNCTION("GOOGLETRANSLATE(A10306, ""en"", ""mt"")"),"San Lawrence u Mississippi Watersheds, għamlu negozju ma 'tribujiet lokali, u ħafna drabi żżewġu nisa Indjani")</f>
        <v>San Lawrence u Mississippi Watersheds, għamlu negozju ma 'tribujiet lokali, u ħafna drabi żżewġu nisa Indjani</v>
      </c>
    </row>
    <row r="10307" ht="15.75" customHeight="1">
      <c r="A10307" s="2" t="s">
        <v>10307</v>
      </c>
      <c r="B10307" s="2" t="str">
        <f>IFERROR(__xludf.DUMMYFUNCTION("GOOGLETRANSLATE(A10307, ""en"", ""mt"")"),"3")</f>
        <v>3</v>
      </c>
    </row>
    <row r="10308" ht="15.75" customHeight="1">
      <c r="A10308" s="2" t="s">
        <v>10308</v>
      </c>
      <c r="B10308" s="2" t="str">
        <f>IFERROR(__xludf.DUMMYFUNCTION("GOOGLETRANSLATE(A10308, ""en"", ""mt"")"),"Kemm ħallas Westinghouse biex liċenzja d-disinji ta 'Tesla?")</f>
        <v>Kemm ħallas Westinghouse biex liċenzja d-disinji ta 'Tesla?</v>
      </c>
    </row>
    <row r="10309" ht="15.75" customHeight="1">
      <c r="A10309" s="2" t="s">
        <v>10309</v>
      </c>
      <c r="B10309" s="2" t="str">
        <f>IFERROR(__xludf.DUMMYFUNCTION("GOOGLETRANSLATE(A10309, ""en"", ""mt"")"),"Rodin huwa rrappreżentat minn aktar minn 20 xogħol fil-kollezzjoni tal-mużew, li jagħmilha waħda mill-ikbar kollezzjonijiet tax-xogħol tal-iskultur barra Franza; Dawn ingħataw lill-mużew mill-iskultur fl-1914, bħala rikonoxximent tal-appoġġ tal-Gran Britt"&amp;"anja ta ’Franza fl-Ewwel Gwerra Dinjija, għalkemm l-istatwa ta’ San Ġwann il-Battista kienet inxtrat fl-1902 permezz ta ’abbonament pubbliku. Skulturi Franċiżi oħra b’xogħol fil-kollezzjoni huma Hubert Le Sueur, François Girardon, Michel Clodion, Jean-Ant"&amp;"oine Houdon, Jean-Baptiste Carpeaux u Jules Dalou.")</f>
        <v>Rodin huwa rrappreżentat minn aktar minn 20 xogħol fil-kollezzjoni tal-mużew, li jagħmilha waħda mill-ikbar kollezzjonijiet tax-xogħol tal-iskultur barra Franza; Dawn ingħataw lill-mużew mill-iskultur fl-1914, bħala rikonoxximent tal-appoġġ tal-Gran Brittanja ta ’Franza fl-Ewwel Gwerra Dinjija, għalkemm l-istatwa ta’ San Ġwann il-Battista kienet inxtrat fl-1902 permezz ta ’abbonament pubbliku. Skulturi Franċiżi oħra b’xogħol fil-kollezzjoni huma Hubert Le Sueur, François Girardon, Michel Clodion, Jean-Antoine Houdon, Jean-Baptiste Carpeaux u Jules Dalou.</v>
      </c>
    </row>
    <row r="10310" ht="15.75" customHeight="1">
      <c r="A10310" s="2" t="s">
        <v>10310</v>
      </c>
      <c r="B10310" s="2" t="str">
        <f>IFERROR(__xludf.DUMMYFUNCTION("GOOGLETRANSLATE(A10310, ""en"", ""mt"")"),"Tliet ġibjuni ewlenin")</f>
        <v>Tliet ġibjuni ewlenin</v>
      </c>
    </row>
    <row r="10311" ht="15.75" customHeight="1">
      <c r="A10311" s="2" t="s">
        <v>10311</v>
      </c>
      <c r="B10311" s="2" t="str">
        <f>IFERROR(__xludf.DUMMYFUNCTION("GOOGLETRANSLATE(A10311, ""en"", ""mt"")"),"il-ġarr tal-kanali bażiċi rispettivi tagħhom")</f>
        <v>il-ġarr tal-kanali bażiċi rispettivi tagħhom</v>
      </c>
    </row>
    <row r="10312" ht="15.75" customHeight="1">
      <c r="A10312" s="2" t="s">
        <v>10312</v>
      </c>
      <c r="B10312" s="2" t="str">
        <f>IFERROR(__xludf.DUMMYFUNCTION("GOOGLETRANSLATE(A10312, ""en"", ""mt"")"),"mhedda ""Brittanika antika"" b'konsegwenzi severi")</f>
        <v>mhedda "Brittanika antika" b'konsegwenzi severi</v>
      </c>
    </row>
    <row r="10313" ht="15.75" customHeight="1">
      <c r="A10313" s="2" t="s">
        <v>10313</v>
      </c>
      <c r="B10313" s="2" t="str">
        <f>IFERROR(__xludf.DUMMYFUNCTION("GOOGLETRANSLATE(A10313, ""en"", ""mt"")"),"Talbiet territorjali konfliġġenti bejn l-Ingliżi u l-Franċiżi")</f>
        <v>Talbiet territorjali konfliġġenti bejn l-Ingliżi u l-Franċiżi</v>
      </c>
    </row>
    <row r="10314" ht="15.75" customHeight="1">
      <c r="A10314" s="2" t="s">
        <v>10314</v>
      </c>
      <c r="B10314" s="2" t="str">
        <f>IFERROR(__xludf.DUMMYFUNCTION("GOOGLETRANSLATE(A10314, ""en"", ""mt"")"),"Modulu ta 'eskursjoni lunari")</f>
        <v>Modulu ta 'eskursjoni lunari</v>
      </c>
    </row>
    <row r="10315" ht="15.75" customHeight="1">
      <c r="A10315" s="2" t="s">
        <v>10315</v>
      </c>
      <c r="B10315" s="2" t="str">
        <f>IFERROR(__xludf.DUMMYFUNCTION("GOOGLETRANSLATE(A10315, ""en"", ""mt"")"),"Liema qliezet tal-kulur ilbies il-Broncos fis-Super Bowl 50?")</f>
        <v>Liema qliezet tal-kulur ilbies il-Broncos fis-Super Bowl 50?</v>
      </c>
    </row>
    <row r="10316" ht="15.75" customHeight="1">
      <c r="A10316" s="2" t="s">
        <v>10316</v>
      </c>
      <c r="B10316" s="2" t="str">
        <f>IFERROR(__xludf.DUMMYFUNCTION("GOOGLETRANSLATE(A10316, ""en"", ""mt"")"),"Tnaqqis fost problemi kombinatorji")</f>
        <v>Tnaqqis fost problemi kombinatorji</v>
      </c>
    </row>
    <row r="10317" ht="15.75" customHeight="1">
      <c r="A10317" s="2" t="s">
        <v>10317</v>
      </c>
      <c r="B10317" s="2" t="str">
        <f>IFERROR(__xludf.DUMMYFUNCTION("GOOGLETRANSLATE(A10317, ""en"", ""mt"")"),"it-trattat dwar il-funzjonament tal-Unjoni Ewropea.")</f>
        <v>it-trattat dwar il-funzjonament tal-Unjoni Ewropea.</v>
      </c>
    </row>
    <row r="10318" ht="15.75" customHeight="1">
      <c r="A10318" s="2" t="s">
        <v>10318</v>
      </c>
      <c r="B10318" s="2" t="str">
        <f>IFERROR(__xludf.DUMMYFUNCTION("GOOGLETRANSLATE(A10318, ""en"", ""mt"")"),"consoles elettroniċi fuq l-iskrivaniji tagħhom")</f>
        <v>consoles elettroniċi fuq l-iskrivaniji tagħhom</v>
      </c>
    </row>
    <row r="10319" ht="15.75" customHeight="1">
      <c r="A10319" s="2" t="s">
        <v>10319</v>
      </c>
      <c r="B10319" s="2" t="str">
        <f>IFERROR(__xludf.DUMMYFUNCTION("GOOGLETRANSLATE(A10319, ""en"", ""mt"")"),"Teleskopju Solari")</f>
        <v>Teleskopju Solari</v>
      </c>
    </row>
    <row r="10320" ht="15.75" customHeight="1">
      <c r="A10320" s="2" t="s">
        <v>10320</v>
      </c>
      <c r="B10320" s="2" t="str">
        <f>IFERROR(__xludf.DUMMYFUNCTION("GOOGLETRANSLATE(A10320, ""en"", ""mt"")"),"Għal xiex inhu l-Istati Uniti f'riskju minħabba r-riċessjoni tal-2008?")</f>
        <v>Għal xiex inhu l-Istati Uniti f'riskju minħabba r-riċessjoni tal-2008?</v>
      </c>
    </row>
    <row r="10321" ht="15.75" customHeight="1">
      <c r="A10321" s="2" t="s">
        <v>10321</v>
      </c>
      <c r="B10321" s="2" t="str">
        <f>IFERROR(__xludf.DUMMYFUNCTION("GOOGLETRANSLATE(A10321, ""en"", ""mt"")"),"Kif jgħaddu l-pakketti")</f>
        <v>Kif jgħaddu l-pakketti</v>
      </c>
    </row>
    <row r="10322" ht="15.75" customHeight="1">
      <c r="A10322" s="2" t="s">
        <v>10322</v>
      </c>
      <c r="B10322" s="2" t="str">
        <f>IFERROR(__xludf.DUMMYFUNCTION("GOOGLETRANSLATE(A10322, ""en"", ""mt"")"),"disa 'nazzjonijiet")</f>
        <v>disa 'nazzjonijiet</v>
      </c>
    </row>
    <row r="10323" ht="15.75" customHeight="1">
      <c r="A10323" s="2" t="s">
        <v>10323</v>
      </c>
      <c r="B10323" s="2" t="str">
        <f>IFERROR(__xludf.DUMMYFUNCTION("GOOGLETRANSLATE(A10323, ""en"", ""mt"")"),"Zhèng")</f>
        <v>Zhèng</v>
      </c>
    </row>
    <row r="10324" ht="15.75" customHeight="1">
      <c r="A10324" s="2" t="s">
        <v>10324</v>
      </c>
      <c r="B10324" s="2" t="str">
        <f>IFERROR(__xludf.DUMMYFUNCTION("GOOGLETRANSLATE(A10324, ""en"", ""mt"")"),"Min ta daqqa ta ’mira fil-grawnd għal Denver?")</f>
        <v>Min ta daqqa ta ’mira fil-grawnd għal Denver?</v>
      </c>
    </row>
    <row r="10325" ht="15.75" customHeight="1">
      <c r="A10325" s="2" t="s">
        <v>10325</v>
      </c>
      <c r="B10325" s="2" t="str">
        <f>IFERROR(__xludf.DUMMYFUNCTION("GOOGLETRANSLATE(A10325, ""en"", ""mt"")"),"Liema teżi tispeċifika li relazzjoni polinomjali teżisti fil-kumplessitajiet tal-ħin f'mudell tal-komputazzjoni?")</f>
        <v>Liema teżi tispeċifika li relazzjoni polinomjali teżisti fil-kumplessitajiet tal-ħin f'mudell tal-komputazzjoni?</v>
      </c>
    </row>
    <row r="10326" ht="15.75" customHeight="1">
      <c r="A10326" s="2" t="s">
        <v>10326</v>
      </c>
      <c r="B10326" s="2" t="str">
        <f>IFERROR(__xludf.DUMMYFUNCTION("GOOGLETRANSLATE(A10326, ""en"", ""mt"")"),"Il-klassifikazzjoni tar-riżorsi tiddependi fuq id-determinazzjoni tal-limiti ta 'fuq u t'isfel tal-ħin minimu meħtieġ minn xiex?")</f>
        <v>Il-klassifikazzjoni tar-riżorsi tiddependi fuq id-determinazzjoni tal-limiti ta 'fuq u t'isfel tal-ħin minimu meħtieġ minn xiex?</v>
      </c>
    </row>
    <row r="10327" ht="15.75" customHeight="1">
      <c r="A10327" s="2" t="s">
        <v>10327</v>
      </c>
      <c r="B10327" s="2" t="str">
        <f>IFERROR(__xludf.DUMMYFUNCTION("GOOGLETRANSLATE(A10327, ""en"", ""mt"")"),"inversament")</f>
        <v>inversament</v>
      </c>
    </row>
    <row r="10328" ht="15.75" customHeight="1">
      <c r="A10328" s="2" t="s">
        <v>10328</v>
      </c>
      <c r="B10328" s="2" t="str">
        <f>IFERROR(__xludf.DUMMYFUNCTION("GOOGLETRANSLATE(A10328, ""en"", ""mt"")"),"Il-libertà li jkomplu jaduraw fit-tradizzjoni Kattolika Rumana tagħhom, komplew is-sjieda tal-propjetà tagħhom,")</f>
        <v>Il-libertà li jkomplu jaduraw fit-tradizzjoni Kattolika Rumana tagħhom, komplew is-sjieda tal-propjetà tagħhom,</v>
      </c>
    </row>
    <row r="10329" ht="15.75" customHeight="1">
      <c r="A10329" s="2" t="s">
        <v>10329</v>
      </c>
      <c r="B10329" s="2" t="str">
        <f>IFERROR(__xludf.DUMMYFUNCTION("GOOGLETRANSLATE(A10329, ""en"", ""mt"")"),"Katyń")</f>
        <v>Katyń</v>
      </c>
    </row>
    <row r="10330" ht="15.75" customHeight="1">
      <c r="A10330" s="2" t="s">
        <v>10330</v>
      </c>
      <c r="B10330" s="2" t="str">
        <f>IFERROR(__xludf.DUMMYFUNCTION("GOOGLETRANSLATE(A10330, ""en"", ""mt"")"),"Fejn ingħatat id-dimostrazzjoni tad-dgħajsa?")</f>
        <v>Fejn ingħatat id-dimostrazzjoni tad-dgħajsa?</v>
      </c>
    </row>
    <row r="10331" ht="15.75" customHeight="1">
      <c r="A10331" s="2" t="s">
        <v>10331</v>
      </c>
      <c r="B10331" s="2" t="str">
        <f>IFERROR(__xludf.DUMMYFUNCTION("GOOGLETRANSLATE(A10331, ""en"", ""mt"")"),"felċi")</f>
        <v>felċi</v>
      </c>
    </row>
    <row r="10332" ht="15.75" customHeight="1">
      <c r="A10332" s="2" t="s">
        <v>10332</v>
      </c>
      <c r="B10332" s="2" t="str">
        <f>IFERROR(__xludf.DUMMYFUNCTION("GOOGLETRANSLATE(A10332, ""en"", ""mt"")"),"Telekomunikazzjonijiet MCI")</f>
        <v>Telekomunikazzjonijiet MCI</v>
      </c>
    </row>
    <row r="10333" ht="15.75" customHeight="1">
      <c r="A10333" s="2" t="s">
        <v>10333</v>
      </c>
      <c r="B10333" s="2" t="str">
        <f>IFERROR(__xludf.DUMMYFUNCTION("GOOGLETRANSLATE(A10333, ""en"", ""mt"")"),"erożjoni")</f>
        <v>erożjoni</v>
      </c>
    </row>
    <row r="10334" ht="15.75" customHeight="1">
      <c r="A10334" s="2" t="s">
        <v>10334</v>
      </c>
      <c r="B10334" s="2" t="str">
        <f>IFERROR(__xludf.DUMMYFUNCTION("GOOGLETRANSLATE(A10334, ""en"", ""mt"")"),"Il-premier tar-Rabat huwa l-mexxej tal-partit politiku jew tal-koalizzjoni bl-iktar siġġijiet fl-Assemblea Leġiżlattiva. Il-premier huwa l-wiċċ pubbliku tal-gvern u, bil-kabinett, jistabbilixxi l-aġenda leġiżlattiva u politika. Il-Kabinett jikkonsisti min"&amp;"n rappreżentanti eletti għal kull Kamra tal-Parlament. Huwa responsabbli għall-immaniġġjar ta 'oqsma ta' gvern li mhumiex esklussivament il-Commonwealth, mill-Kostituzzjoni Awstraljana, bħall-edukazzjoni, is-saħħa u l-infurzar tal-liġi. Il-premier attwali"&amp;" tar-Rabat huwa Daniel Andrews.")</f>
        <v>Il-premier tar-Rabat huwa l-mexxej tal-partit politiku jew tal-koalizzjoni bl-iktar siġġijiet fl-Assemblea Leġiżlattiva. Il-premier huwa l-wiċċ pubbliku tal-gvern u, bil-kabinett, jistabbilixxi l-aġenda leġiżlattiva u politika. Il-Kabinett jikkonsisti minn rappreżentanti eletti għal kull Kamra tal-Parlament. Huwa responsabbli għall-immaniġġjar ta 'oqsma ta' gvern li mhumiex esklussivament il-Commonwealth, mill-Kostituzzjoni Awstraljana, bħall-edukazzjoni, is-saħħa u l-infurzar tal-liġi. Il-premier attwali tar-Rabat huwa Daniel Andrews.</v>
      </c>
    </row>
    <row r="10335" ht="15.75" customHeight="1">
      <c r="A10335" s="2" t="s">
        <v>10335</v>
      </c>
      <c r="B10335" s="2" t="str">
        <f>IFERROR(__xludf.DUMMYFUNCTION("GOOGLETRANSLATE(A10335, ""en"", ""mt"")"),"Stanford")</f>
        <v>Stanford</v>
      </c>
    </row>
    <row r="10336" ht="15.75" customHeight="1">
      <c r="A10336" s="2" t="s">
        <v>10336</v>
      </c>
      <c r="B10336" s="2" t="str">
        <f>IFERROR(__xludf.DUMMYFUNCTION("GOOGLETRANSLATE(A10336, ""en"", ""mt"")"),"is-sistema umoristika tagħha")</f>
        <v>is-sistema umoristika tagħha</v>
      </c>
    </row>
    <row r="10337" ht="15.75" customHeight="1">
      <c r="A10337" s="2" t="s">
        <v>10337</v>
      </c>
      <c r="B10337" s="2" t="str">
        <f>IFERROR(__xludf.DUMMYFUNCTION("GOOGLETRANSLATE(A10337, ""en"", ""mt"")"),"Alka ħamra")</f>
        <v>Alka ħamra</v>
      </c>
    </row>
    <row r="10338" ht="15.75" customHeight="1">
      <c r="A10338" s="2" t="s">
        <v>10338</v>
      </c>
      <c r="B10338" s="2" t="str">
        <f>IFERROR(__xludf.DUMMYFUNCTION("GOOGLETRANSLATE(A10338, ""en"", ""mt"")"),"Ġeografija immaġinattiva")</f>
        <v>Ġeografija immaġinattiva</v>
      </c>
    </row>
    <row r="10339" ht="15.75" customHeight="1">
      <c r="A10339" s="2" t="s">
        <v>10339</v>
      </c>
      <c r="B10339" s="2" t="str">
        <f>IFERROR(__xludf.DUMMYFUNCTION("GOOGLETRANSLATE(A10339, ""en"", ""mt"")"),"Madwar 1800 Richard Trevithick u, separatament, Oliver Evans fl-1801 introduċa magni bl-użu ta 'fwar bi pressjoni għolja; Trevithick kiseb il-privattiva tal-magna bi pressjoni għolja tiegħu fl-1802. Dawn kienu ferm aktar qawwija għal daqs ta 'ċilindru par"&amp;"tikolari minn magni preċedenti u jistgħu jsiru żgħar biżżejjed għall-applikazzjonijiet tat-trasport. Wara dan, żviluppi teknoloġiċi u titjib fit-tekniki tal-manifattura (parzjalment miġjuba mill-adozzjoni tal-magna tal-fwar bħala sors ta 'enerġija) irriżu"&amp;"ltaw fid-disinn ta' magni aktar effiċjenti li jistgħu jkunu iżgħar, aktar mgħaġġla, jew aktar qawwija, skont l-applikazzjoni maħsuba.")</f>
        <v>Madwar 1800 Richard Trevithick u, separatament, Oliver Evans fl-1801 introduċa magni bl-użu ta 'fwar bi pressjoni għolja; Trevithick kiseb il-privattiva tal-magna bi pressjoni għolja tiegħu fl-1802. Dawn kienu ferm aktar qawwija għal daqs ta 'ċilindru partikolari minn magni preċedenti u jistgħu jsiru żgħar biżżejjed għall-applikazzjonijiet tat-trasport. Wara dan, żviluppi teknoloġiċi u titjib fit-tekniki tal-manifattura (parzjalment miġjuba mill-adozzjoni tal-magna tal-fwar bħala sors ta 'enerġija) irriżultaw fid-disinn ta' magni aktar effiċjenti li jistgħu jkunu iżgħar, aktar mgħaġġla, jew aktar qawwija, skont l-applikazzjoni maħsuba.</v>
      </c>
    </row>
    <row r="10340" ht="15.75" customHeight="1">
      <c r="A10340" s="2" t="s">
        <v>10340</v>
      </c>
      <c r="B10340" s="2" t="str">
        <f>IFERROR(__xludf.DUMMYFUNCTION("GOOGLETRANSLATE(A10340, ""en"", ""mt"")"),"Apollo_program")</f>
        <v>Apollo_program</v>
      </c>
    </row>
    <row r="10341" ht="15.75" customHeight="1">
      <c r="A10341" s="2" t="s">
        <v>10341</v>
      </c>
      <c r="B10341" s="2" t="str">
        <f>IFERROR(__xludf.DUMMYFUNCTION("GOOGLETRANSLATE(A10341, ""en"", ""mt"")"),"Teorija elettromanjetika")</f>
        <v>Teorija elettromanjetika</v>
      </c>
    </row>
    <row r="10342" ht="15.75" customHeight="1">
      <c r="A10342" s="2" t="s">
        <v>10342</v>
      </c>
      <c r="B10342" s="2" t="str">
        <f>IFERROR(__xludf.DUMMYFUNCTION("GOOGLETRANSLATE(A10342, ""en"", ""mt"")"),"Għalkemm il-magna tal-fwar reċiprokanti m'għadhiex f'użu kummerċjali mifrux, diversi kumpaniji qed jesploraw jew jisfruttaw il-potenzjal tal-magna bħala alternattiva għal magni ta 'kombustjoni interna. Il-kumpanija EnerGiprojekt AB fl-Iżvezja għamlet prog"&amp;"ress fl-użu ta 'materjali moderni għall-użu tal-qawwa tal-fwar. L-effiċjenza tal-magna tal-fwar ta 'Energiprojekt tilħaq madwar 27-30% fuq magni bi pressjoni għolja. Hija magna ta '5-ċilindru ta' pass wieħed (mingħajr kompost) bi fwar imsaħħan u tikkonsma"&amp;" madwar. 4 kg (8.8 lb) ta 'fwar għal kull kWh [mhux fiċ-ċitazzjoni mogħtija]")</f>
        <v>Għalkemm il-magna tal-fwar reċiprokanti m'għadhiex f'użu kummerċjali mifrux, diversi kumpaniji qed jesploraw jew jisfruttaw il-potenzjal tal-magna bħala alternattiva għal magni ta 'kombustjoni interna. Il-kumpanija EnerGiprojekt AB fl-Iżvezja għamlet progress fl-użu ta 'materjali moderni għall-użu tal-qawwa tal-fwar. L-effiċjenza tal-magna tal-fwar ta 'Energiprojekt tilħaq madwar 27-30% fuq magni bi pressjoni għolja. Hija magna ta '5-ċilindru ta' pass wieħed (mingħajr kompost) bi fwar imsaħħan u tikkonsma madwar. 4 kg (8.8 lb) ta 'fwar għal kull kWh [mhux fiċ-ċitazzjoni mogħtija]</v>
      </c>
    </row>
    <row r="10343" ht="15.75" customHeight="1">
      <c r="A10343" s="2" t="s">
        <v>10343</v>
      </c>
      <c r="B10343" s="2" t="str">
        <f>IFERROR(__xludf.DUMMYFUNCTION("GOOGLETRANSLATE(A10343, ""en"", ""mt"")"),"Liema storja ta 'ftit verità hija pilastru tal-istorja?")</f>
        <v>Liema storja ta 'ftit verità hija pilastru tal-istorja?</v>
      </c>
    </row>
    <row r="10344" ht="15.75" customHeight="1">
      <c r="A10344" s="2" t="s">
        <v>10344</v>
      </c>
      <c r="B10344" s="2" t="str">
        <f>IFERROR(__xludf.DUMMYFUNCTION("GOOGLETRANSLATE(A10344, ""en"", ""mt"")"),"Torri ta 'tkessiħ evaporattiv huwa msejjaħ ukoll bħala x'tip ta' torri tat-tkessiħ?")</f>
        <v>Torri ta 'tkessiħ evaporattiv huwa msejjaħ ukoll bħala x'tip ta' torri tat-tkessiħ?</v>
      </c>
    </row>
    <row r="10345" ht="15.75" customHeight="1">
      <c r="A10345" s="2" t="s">
        <v>10345</v>
      </c>
      <c r="B10345" s="2" t="str">
        <f>IFERROR(__xludf.DUMMYFUNCTION("GOOGLETRANSLATE(A10345, ""en"", ""mt"")"),"Anne Sweeney")</f>
        <v>Anne Sweeney</v>
      </c>
    </row>
    <row r="10346" ht="15.75" customHeight="1">
      <c r="A10346" s="2" t="s">
        <v>10346</v>
      </c>
      <c r="B10346" s="2" t="str">
        <f>IFERROR(__xludf.DUMMYFUNCTION("GOOGLETRANSLATE(A10346, ""en"", ""mt"")"),"Fejn il-Franċiżi bagħtu numru kbir ta 'kolonizzaturi?")</f>
        <v>Fejn il-Franċiżi bagħtu numru kbir ta 'kolonizzaturi?</v>
      </c>
    </row>
    <row r="10347" ht="15.75" customHeight="1">
      <c r="A10347" s="2" t="s">
        <v>10347</v>
      </c>
      <c r="B10347" s="2" t="str">
        <f>IFERROR(__xludf.DUMMYFUNCTION("GOOGLETRANSLATE(A10347, ""en"", ""mt"")"),"Meta twaqqfet il-kolonja Franċiża fil-ġurnata moderna l-Brażil?")</f>
        <v>Meta twaqqfet il-kolonja Franċiża fil-ġurnata moderna l-Brażil?</v>
      </c>
    </row>
    <row r="10348" ht="15.75" customHeight="1">
      <c r="A10348" s="2" t="s">
        <v>10348</v>
      </c>
      <c r="B10348" s="2" t="str">
        <f>IFERROR(__xludf.DUMMYFUNCTION("GOOGLETRANSLATE(A10348, ""en"", ""mt"")"),"Afrika sub-Saħarjana")</f>
        <v>Afrika sub-Saħarjana</v>
      </c>
    </row>
    <row r="10349" ht="15.75" customHeight="1">
      <c r="A10349" s="2" t="s">
        <v>10349</v>
      </c>
      <c r="B10349" s="2" t="str">
        <f>IFERROR(__xludf.DUMMYFUNCTION("GOOGLETRANSLATE(A10349, ""en"", ""mt"")"),"Kumitati jinkludu numru żgħir ta 'MSPs, bis-sħubija tirrifletti l-bilanċ tal-partijiet madwar il-Parlament. Hemm kumitati differenti bil-funzjonijiet tagħhom stabbiliti b'modi differenti. Kumitati obbligatorji huma kumitati li huma stabbiliti taħt l-ordni"&amp;"jiet permanenti tal-Parlament Skoċċiż, li jirregolaw il-membri u l-proċeduri tagħhom. Il-kumitati obbligatorji attwali fir-raba 'sessjoni tal-Parlament Skoċċiż huma: verifika pubblika; Opportunitajiet ugwali; Relazzjonijiet Ewropej u esterni; Finanzi; Pet"&amp;"izzjonijiet pubbliċi; Standards, proċeduri u ħatriet pubbliċi; u setgħat delegati u riforma tal-liġi.")</f>
        <v>Kumitati jinkludu numru żgħir ta 'MSPs, bis-sħubija tirrifletti l-bilanċ tal-partijiet madwar il-Parlament. Hemm kumitati differenti bil-funzjonijiet tagħhom stabbiliti b'modi differenti. Kumitati obbligatorji huma kumitati li huma stabbiliti taħt l-ordnijiet permanenti tal-Parlament Skoċċiż, li jirregolaw il-membri u l-proċeduri tagħhom. Il-kumitati obbligatorji attwali fir-raba 'sessjoni tal-Parlament Skoċċiż huma: verifika pubblika; Opportunitajiet ugwali; Relazzjonijiet Ewropej u esterni; Finanzi; Petizzjonijiet pubbliċi; Standards, proċeduri u ħatriet pubbliċi; u setgħat delegati u riforma tal-liġi.</v>
      </c>
    </row>
    <row r="10350" ht="15.75" customHeight="1">
      <c r="A10350" s="2" t="s">
        <v>10350</v>
      </c>
      <c r="B10350" s="2" t="str">
        <f>IFERROR(__xludf.DUMMYFUNCTION("GOOGLETRANSLATE(A10350, ""en"", ""mt"")"),"L-ormoni tal-irqad ibiddlu l-bilanċ taċ-ċitokina għal liema ċitokina?")</f>
        <v>L-ormoni tal-irqad ibiddlu l-bilanċ taċ-ċitokina għal liema ċitokina?</v>
      </c>
    </row>
    <row r="10351" ht="15.75" customHeight="1">
      <c r="A10351" s="2" t="s">
        <v>10351</v>
      </c>
      <c r="B10351" s="2" t="str">
        <f>IFERROR(__xludf.DUMMYFUNCTION("GOOGLETRANSLATE(A10351, ""en"", ""mt"")"),"Kurjuż, madwar nofs il-prodotti tal-proteina tal-ġeni trasferiti lanqas biss huma mmirati lura lejn il-kloroplast. Ħafna saru exaptions, billi jieħdu funzjonijiet ġodda bħall-parteċipazzjoni fid-diviżjoni taċ-ċelluli, ir-rotta tal-proteini, u anke r-reżis"&amp;"tenza għall-mard. Ftit ġeni tal-kloroplast sabu djar ġodda fil-ġenoma mitokondrijali - il-biċċa l-kbira saru psewdoġeni mhux funzjonali, għalkemm ftit ġeni tRNA għadhom jaħdmu fil-mitokondrion. Xi prodotti tal-proteina tad-DNA tal-kloroplast trasferiti ji"&amp;"ġu diretti lejn il-passaġġ sekretarju (għalkemm għandu jkun innutat li ħafna plastidi sekondarji huma mdawra minn membrana l-iktar imbiegħda derivata mill-membrana taċ-ċellula ospitanti, u għalhekk topoloġikament barra miċ-ċellula, minħabba li tilħaq il-k"&amp;"loroplast mill- Cytosol, trid taqsam il-membrana taċ-ċellula, eżatt bħallikieku kont immexxi għall-ispazju extraċellulari. F'dawk il-każijiet, il-proteini mmirati għall-kloroplast jivvjaġġaw inizjalment tul il-passaġġ sekretarju).")</f>
        <v>Kurjuż, madwar nofs il-prodotti tal-proteina tal-ġeni trasferiti lanqas biss huma mmirati lura lejn il-kloroplast. Ħafna saru exaptions, billi jieħdu funzjonijiet ġodda bħall-parteċipazzjoni fid-diviżjoni taċ-ċelluli, ir-rotta tal-proteini, u anke r-reżistenza għall-mard. Ftit ġeni tal-kloroplast sabu djar ġodda fil-ġenoma mitokondrijali - il-biċċa l-kbira saru psewdoġeni mhux funzjonali, għalkemm ftit ġeni tRNA għadhom jaħdmu fil-mitokondrion. Xi prodotti tal-proteina tad-DNA tal-kloroplast trasferiti jiġu diretti lejn il-passaġġ sekretarju (għalkemm għandu jkun innutat li ħafna plastidi sekondarji huma mdawra minn membrana l-iktar imbiegħda derivata mill-membrana taċ-ċellula ospitanti, u għalhekk topoloġikament barra miċ-ċellula, minħabba li tilħaq il-kloroplast mill- Cytosol, trid taqsam il-membrana taċ-ċellula, eżatt bħallikieku kont immexxi għall-ispazju extraċellulari. F'dawk il-każijiet, il-proteini mmirati għall-kloroplast jivvjaġġaw inizjalment tul il-passaġġ sekretarju).</v>
      </c>
    </row>
    <row r="10352" ht="15.75" customHeight="1">
      <c r="A10352" s="2" t="s">
        <v>10352</v>
      </c>
      <c r="B10352" s="2" t="str">
        <f>IFERROR(__xludf.DUMMYFUNCTION("GOOGLETRANSLATE(A10352, ""en"", ""mt"")"),"kwistjonijiet li jistgħu jkunu ta 'interess għal qasam partikolari bħal kostitwenza ta' membru stess")</f>
        <v>kwistjonijiet li jistgħu jkunu ta 'interess għal qasam partikolari bħal kostitwenza ta' membru stess</v>
      </c>
    </row>
    <row r="10353" ht="15.75" customHeight="1">
      <c r="A10353" s="2" t="s">
        <v>10353</v>
      </c>
      <c r="B10353" s="2" t="str">
        <f>IFERROR(__xludf.DUMMYFUNCTION("GOOGLETRANSLATE(A10353, ""en"", ""mt"")"),"Xxviii")</f>
        <v>Xxviii</v>
      </c>
    </row>
    <row r="10354" ht="15.75" customHeight="1">
      <c r="A10354" s="2" t="s">
        <v>10354</v>
      </c>
      <c r="B10354" s="2" t="str">
        <f>IFERROR(__xludf.DUMMYFUNCTION("GOOGLETRANSLATE(A10354, ""en"", ""mt"")"),"Punent")</f>
        <v>Punent</v>
      </c>
    </row>
    <row r="10355" ht="15.75" customHeight="1">
      <c r="A10355" s="2" t="s">
        <v>10355</v>
      </c>
      <c r="B10355" s="2" t="str">
        <f>IFERROR(__xludf.DUMMYFUNCTION("GOOGLETRANSLATE(A10355, ""en"", ""mt"")"),"Jones et al. 1998, Pollack, Huang &amp; Shen 1998, Crowley &amp; Lowery 2000 u Briffa 2000")</f>
        <v>Jones et al. 1998, Pollack, Huang &amp; Shen 1998, Crowley &amp; Lowery 2000 u Briffa 2000</v>
      </c>
    </row>
    <row r="10356" ht="15.75" customHeight="1">
      <c r="A10356" s="2" t="s">
        <v>10356</v>
      </c>
      <c r="B10356" s="2" t="str">
        <f>IFERROR(__xludf.DUMMYFUNCTION("GOOGLETRANSLATE(A10356, ""en"", ""mt"")"),"X'kien l-isem tal-kumpanija n-negozjanti ffinanzjati?")</f>
        <v>X'kien l-isem tal-kumpanija n-negozjanti ffinanzjati?</v>
      </c>
    </row>
    <row r="10357" ht="15.75" customHeight="1">
      <c r="A10357" s="2" t="s">
        <v>10357</v>
      </c>
      <c r="B10357" s="2" t="str">
        <f>IFERROR(__xludf.DUMMYFUNCTION("GOOGLETRANSLATE(A10357, ""en"", ""mt"")"),"Tgħallem bir-Rote")</f>
        <v>Tgħallem bir-Rote</v>
      </c>
    </row>
    <row r="10358" ht="15.75" customHeight="1">
      <c r="A10358" s="2" t="s">
        <v>10358</v>
      </c>
      <c r="B10358" s="2" t="str">
        <f>IFERROR(__xludf.DUMMYFUNCTION("GOOGLETRANSLATE(A10358, ""en"", ""mt"")"),"Min beda xnigħat fl-2008 li ABC kien ibiegħ l-għaxar stazzjonijiet ta 'proprjetà u mħaddma?")</f>
        <v>Min beda xnigħat fl-2008 li ABC kien ibiegħ l-għaxar stazzjonijiet ta 'proprjetà u mħaddma?</v>
      </c>
    </row>
    <row r="10359" ht="15.75" customHeight="1">
      <c r="A10359" s="2" t="s">
        <v>10359</v>
      </c>
      <c r="B10359" s="2" t="str">
        <f>IFERROR(__xludf.DUMMYFUNCTION("GOOGLETRANSLATE(A10359, ""en"", ""mt"")"),"Warner Bros.")</f>
        <v>Warner Bros.</v>
      </c>
    </row>
    <row r="10360" ht="15.75" customHeight="1">
      <c r="A10360" s="2" t="s">
        <v>10360</v>
      </c>
      <c r="B10360" s="2" t="str">
        <f>IFERROR(__xludf.DUMMYFUNCTION("GOOGLETRANSLATE(A10360, ""en"", ""mt"")"),"kitbiet u kummenti.")</f>
        <v>kitbiet u kummenti.</v>
      </c>
    </row>
    <row r="10361" ht="15.75" customHeight="1">
      <c r="A10361" s="2" t="s">
        <v>10361</v>
      </c>
      <c r="B10361" s="2" t="str">
        <f>IFERROR(__xludf.DUMMYFUNCTION("GOOGLETRANSLATE(A10361, ""en"", ""mt"")"),"X'inhu l-qligħ potenzjali għal xogħol fejn hemm ftit ħaddiema tas-sengħa imma ħafna pożizzjonijiet disponibbli?")</f>
        <v>X'inhu l-qligħ potenzjali għal xogħol fejn hemm ftit ħaddiema tas-sengħa imma ħafna pożizzjonijiet disponibbli?</v>
      </c>
    </row>
    <row r="10362" ht="15.75" customHeight="1">
      <c r="A10362" s="2" t="s">
        <v>10362</v>
      </c>
      <c r="B10362" s="2" t="str">
        <f>IFERROR(__xludf.DUMMYFUNCTION("GOOGLETRANSLATE(A10362, ""en"", ""mt"")"),"Il-Knisja Metodista Magħquda hija l-akbar denominazzjoni fi ħdan il-moviment Metodist usa ', li għandu madwar 80 miljun osservant madwar id-dinja. Fl-Istati Uniti, l-UMC tinsab bħala l-ikbar denominazzjoni Protestanti ewlenija, l-akbar knisja Protestanta "&amp;"wara l-Konvenzjoni Battista tan-Nofsinhar, u t-tielet l-akbar denominazzjoni Nisranija. Mill-2014, is-sħubija mad-dinja kollha kienet madwar 12-il miljun: 7.2 miljun fl-Istati Uniti, u 4.4 miljun fl-Afrika, l-Asja u l-Ewropa. Huwa membru tal-Kunsill Dinji"&amp;" tal-Knejjes, tal-Kunsill Metodist Dinji, u assoċjazzjonijiet reliġjużi oħra. Fl-2015, Pew Research stmat li 3.6% tal-popolazzjoni ta 'l-Istati Uniti, jew 9 miljun aderenti għall-adulti, jidentifikaw lilhom infushom mal-Knisja Metodista Magħquda li żvelat"&amp;" numru ferm akbar ta' osservanti minn sħubija rreġistrata.")</f>
        <v>Il-Knisja Metodista Magħquda hija l-akbar denominazzjoni fi ħdan il-moviment Metodist usa ', li għandu madwar 80 miljun osservant madwar id-dinja. Fl-Istati Uniti, l-UMC tinsab bħala l-ikbar denominazzjoni Protestanti ewlenija, l-akbar knisja Protestanta wara l-Konvenzjoni Battista tan-Nofsinhar, u t-tielet l-akbar denominazzjoni Nisranija. Mill-2014, is-sħubija mad-dinja kollha kienet madwar 12-il miljun: 7.2 miljun fl-Istati Uniti, u 4.4 miljun fl-Afrika, l-Asja u l-Ewropa. Huwa membru tal-Kunsill Dinji tal-Knejjes, tal-Kunsill Metodist Dinji, u assoċjazzjonijiet reliġjużi oħra. Fl-2015, Pew Research stmat li 3.6% tal-popolazzjoni ta 'l-Istati Uniti, jew 9 miljun aderenti għall-adulti, jidentifikaw lilhom infushom mal-Knisja Metodista Magħquda li żvelat numru ferm akbar ta' osservanti minn sħubija rreġistrata.</v>
      </c>
    </row>
    <row r="10363" ht="15.75" customHeight="1">
      <c r="A10363" s="2" t="s">
        <v>10363</v>
      </c>
      <c r="B10363" s="2" t="str">
        <f>IFERROR(__xludf.DUMMYFUNCTION("GOOGLETRANSLATE(A10363, ""en"", ""mt"")"),"Kif ingħataw il-bliet lill-Huguenots fl-1598 imsejħa kollettivament?")</f>
        <v>Kif ingħataw il-bliet lill-Huguenots fl-1598 imsejħa kollettivament?</v>
      </c>
    </row>
    <row r="10364" ht="15.75" customHeight="1">
      <c r="A10364" s="2" t="s">
        <v>10364</v>
      </c>
      <c r="B10364" s="2" t="str">
        <f>IFERROR(__xludf.DUMMYFUNCTION("GOOGLETRANSLATE(A10364, ""en"", ""mt"")"),"20 siegħa")</f>
        <v>20 siegħa</v>
      </c>
    </row>
    <row r="10365" ht="15.75" customHeight="1">
      <c r="A10365" s="2" t="s">
        <v>10365</v>
      </c>
      <c r="B10365" s="2" t="str">
        <f>IFERROR(__xludf.DUMMYFUNCTION("GOOGLETRANSLATE(A10365, ""en"", ""mt"")"),"Disney-ABC Television Group hija sussidjarja ta 'liema diviżjoni tal-Walt Disney Company?")</f>
        <v>Disney-ABC Television Group hija sussidjarja ta 'liema diviżjoni tal-Walt Disney Company?</v>
      </c>
    </row>
    <row r="10366" ht="15.75" customHeight="1">
      <c r="A10366" s="2" t="s">
        <v>10366</v>
      </c>
      <c r="B10366" s="2" t="str">
        <f>IFERROR(__xludf.DUMMYFUNCTION("GOOGLETRANSLATE(A10366, ""en"", ""mt"")"),"1973_oil_crisis")</f>
        <v>1973_oil_crisis</v>
      </c>
    </row>
    <row r="10367" ht="15.75" customHeight="1">
      <c r="A10367" s="2" t="s">
        <v>10367</v>
      </c>
      <c r="B10367" s="2" t="str">
        <f>IFERROR(__xludf.DUMMYFUNCTION("GOOGLETRANSLATE(A10367, ""en"", ""mt"")"),"Għal liema gauge inbidlu xi linji fil-punent ta 'Victoria?")</f>
        <v>Għal liema gauge inbidlu xi linji fil-punent ta 'Victoria?</v>
      </c>
    </row>
    <row r="10368" ht="15.75" customHeight="1">
      <c r="A10368" s="2" t="s">
        <v>10368</v>
      </c>
      <c r="B10368" s="2" t="str">
        <f>IFERROR(__xludf.DUMMYFUNCTION("GOOGLETRANSLATE(A10368, ""en"", ""mt"")"),"X'kien l-ewwel għal dan in-netwerk")</f>
        <v>X'kien l-ewwel għal dan in-netwerk</v>
      </c>
    </row>
    <row r="10369" ht="15.75" customHeight="1">
      <c r="A10369" s="2" t="s">
        <v>10369</v>
      </c>
      <c r="B10369" s="2" t="str">
        <f>IFERROR(__xludf.DUMMYFUNCTION("GOOGLETRANSLATE(A10369, ""en"", ""mt"")"),"X'jistgħu jassorbu l-karotenojdi?")</f>
        <v>X'jistgħu jassorbu l-karotenojdi?</v>
      </c>
    </row>
    <row r="10370" ht="15.75" customHeight="1">
      <c r="A10370" s="2" t="s">
        <v>10370</v>
      </c>
      <c r="B10370" s="2" t="str">
        <f>IFERROR(__xludf.DUMMYFUNCTION("GOOGLETRANSLATE(A10370, ""en"", ""mt"")"),"Liema dar kienet is-sit ta 'skola tal-insiġ f'Canterbury?")</f>
        <v>Liema dar kienet is-sit ta 'skola tal-insiġ f'Canterbury?</v>
      </c>
    </row>
    <row r="10371" ht="15.75" customHeight="1">
      <c r="A10371" s="2" t="s">
        <v>10371</v>
      </c>
      <c r="B10371" s="2" t="str">
        <f>IFERROR(__xludf.DUMMYFUNCTION("GOOGLETRANSLATE(A10371, ""en"", ""mt"")"),"Blaine")</f>
        <v>Blaine</v>
      </c>
    </row>
    <row r="10372" ht="15.75" customHeight="1">
      <c r="A10372" s="2" t="s">
        <v>10372</v>
      </c>
      <c r="B10372" s="2" t="str">
        <f>IFERROR(__xludf.DUMMYFUNCTION("GOOGLETRANSLATE(A10372, ""en"", ""mt"")"),"Prodott sekondarju matematiku tal-iskambju tal-momentum")</f>
        <v>Prodott sekondarju matematiku tal-iskambju tal-momentum</v>
      </c>
    </row>
    <row r="10373" ht="15.75" customHeight="1">
      <c r="A10373" s="2" t="s">
        <v>10373</v>
      </c>
      <c r="B10373" s="2" t="str">
        <f>IFERROR(__xludf.DUMMYFUNCTION("GOOGLETRANSLATE(A10373, ""en"", ""mt"")"),"Wara l-mewt ta 'Braddock, William Shirley assuma l-kmand tal-forzi Ingliżi fl-Amerika ta' Fuq. Waqt laqgħa f'Albany f'Diċembru 1755, huwa stabbilixxa l-pjanijiet tiegħu għall-1756. Minbarra li jġedded l-isforzi biex jaqbad Niagara, Crown Point u Duquesne,"&amp;" huwa ppropona attakki fuq Fort Frontenac fuq ix-Xatt tat-Tramuntana tal-Lag tal-Lag tal-Lag Ontario u expedition permezz tal - Wilderness tad-distrett ta 'Maine u' l isfel fix-xmara Chaudière biex tattakka l-belt ta 'Quebec. Imwaqqa 'minn nuqqas ta' qbil"&amp;" u tilwim ma 'oħrajn, inklużi William Johnson u l-gvernatur ta' New York Sir Charles Hardy, il-pjan ta 'Shirley ma tantx kellu appoġġ.")</f>
        <v>Wara l-mewt ta 'Braddock, William Shirley assuma l-kmand tal-forzi Ingliżi fl-Amerika ta' Fuq. Waqt laqgħa f'Albany f'Diċembru 1755, huwa stabbilixxa l-pjanijiet tiegħu għall-1756. Minbarra li jġedded l-isforzi biex jaqbad Niagara, Crown Point u Duquesne, huwa ppropona attakki fuq Fort Frontenac fuq ix-Xatt tat-Tramuntana tal-Lag tal-Lag tal-Lag Ontario u expedition permezz tal - Wilderness tad-distrett ta 'Maine u' l isfel fix-xmara Chaudière biex tattakka l-belt ta 'Quebec. Imwaqqa 'minn nuqqas ta' qbil u tilwim ma 'oħrajn, inklużi William Johnson u l-gvernatur ta' New York Sir Charles Hardy, il-pjan ta 'Shirley ma tantx kellu appoġġ.</v>
      </c>
    </row>
    <row r="10374" ht="15.75" customHeight="1">
      <c r="A10374" s="2" t="s">
        <v>10374</v>
      </c>
      <c r="B10374" s="2" t="str">
        <f>IFERROR(__xludf.DUMMYFUNCTION("GOOGLETRANSLATE(A10374, ""en"", ""mt"")"),"Waħda mill-aktar partijiet drammatiċi tal-mużew hija l-qrati mitfugħa fil-ġwienaħ tal-iskultura, li jinkludu żewġ kmamar kbar u tamboljati żewġ sulari li joqogħdu għoljin mijiet ta ’kasti ta’ ġibs ta ’skulturi, friezes u oqbra. Waħda minn dawn hija ddomin"&amp;"ata minn replika fuq skala sħiħa tal-kolonna ta 'Trajan, maqtugħa bin-nofs sabiex toqgħod taħt il-limitu. L-ieħor jinkludi riproduzzjonijiet ta 'diversi xogħlijiet ta' skultura u arkitettura ta 'Rinaxximent Taljan, inkluża replika ta' daqs sħiħ ta 'David "&amp;"ta' Michelangelo. Replikazzjonijiet ta 'żewġ Davids preċedenti minn David ta' Donatello u David ta 'Verrocchio, huma wkoll inklużi, għalkemm għal raġunijiet ta' konservazzjoni r-replika ta 'Verrocchio hija murija f'każ tal-ħġieġ.")</f>
        <v>Waħda mill-aktar partijiet drammatiċi tal-mużew hija l-qrati mitfugħa fil-ġwienaħ tal-iskultura, li jinkludu żewġ kmamar kbar u tamboljati żewġ sulari li joqogħdu għoljin mijiet ta ’kasti ta’ ġibs ta ’skulturi, friezes u oqbra. Waħda minn dawn hija ddominata minn replika fuq skala sħiħa tal-kolonna ta 'Trajan, maqtugħa bin-nofs sabiex toqgħod taħt il-limitu. L-ieħor jinkludi riproduzzjonijiet ta 'diversi xogħlijiet ta' skultura u arkitettura ta 'Rinaxximent Taljan, inkluża replika ta' daqs sħiħ ta 'David ta' Michelangelo. Replikazzjonijiet ta 'żewġ Davids preċedenti minn David ta' Donatello u David ta 'Verrocchio, huma wkoll inklużi, għalkemm għal raġunijiet ta' konservazzjoni r-replika ta 'Verrocchio hija murija f'każ tal-ħġieġ.</v>
      </c>
    </row>
    <row r="10375" ht="15.75" customHeight="1">
      <c r="A10375" s="2" t="s">
        <v>10375</v>
      </c>
      <c r="B10375" s="2" t="str">
        <f>IFERROR(__xludf.DUMMYFUNCTION("GOOGLETRANSLATE(A10375, ""en"", ""mt"")"),"Genghis Khan induna li kellu bżonn nies li jistgħu jirregolaw l-ibliet u l-istati maħkuma minnu. Huwa nduna wkoll li dawn l-amministraturi ma setgħux jinstabu fost in-nies Mongoljani tiegħu minħabba li kienu nomadi u b'hekk ma kellhom l-ebda esperjenza li"&amp;" tirregola l-ibliet. Għal dan il-għan Genghis Khan stieden lil Prince Khitan, Chu'tsai, li ħadem għall-Jin u kien inqabad mill-armata Mongoljana wara li d-dinastija Jin ġiet megħluba. Jin kien qabad il-poter billi spostaw lil Khitan. Genghis qal lil Chu't"&amp;"sai, li kien dixxendent lineari tal-ħakkiema Khitan, li kien vendetta li missirijiethom ta 'Chu'tsai. Chu'tsai wieġeb li missieru serva onestament id-dinastija Jin u hekk għamel; Huwa wkoll ma kkunsidrax lil missieru stess, u għalhekk il-kwistjoni ta 'ven"&amp;"detta ma kinitx tapplika. Din it-tweġiba impressjonat lil Genghis Khan. Chu'tsai amministra partijiet tal-imperu Mongoljan u sar kunfident tal-Mongol Khans suċċessivi.")</f>
        <v>Genghis Khan induna li kellu bżonn nies li jistgħu jirregolaw l-ibliet u l-istati maħkuma minnu. Huwa nduna wkoll li dawn l-amministraturi ma setgħux jinstabu fost in-nies Mongoljani tiegħu minħabba li kienu nomadi u b'hekk ma kellhom l-ebda esperjenza li tirregola l-ibliet. Għal dan il-għan Genghis Khan stieden lil Prince Khitan, Chu'tsai, li ħadem għall-Jin u kien inqabad mill-armata Mongoljana wara li d-dinastija Jin ġiet megħluba. Jin kien qabad il-poter billi spostaw lil Khitan. Genghis qal lil Chu'tsai, li kien dixxendent lineari tal-ħakkiema Khitan, li kien vendetta li missirijiethom ta 'Chu'tsai. Chu'tsai wieġeb li missieru serva onestament id-dinastija Jin u hekk għamel; Huwa wkoll ma kkunsidrax lil missieru stess, u għalhekk il-kwistjoni ta 'vendetta ma kinitx tapplika. Din it-tweġiba impressjonat lil Genghis Khan. Chu'tsai amministra partijiet tal-imperu Mongoljan u sar kunfident tal-Mongol Khans suċċessivi.</v>
      </c>
    </row>
    <row r="10376" ht="15.75" customHeight="1">
      <c r="A10376" s="2" t="s">
        <v>10376</v>
      </c>
      <c r="B10376" s="2" t="str">
        <f>IFERROR(__xludf.DUMMYFUNCTION("GOOGLETRANSLATE(A10376, ""en"", ""mt"")"),"Żoni kkontrollati mir-Russja fl-1914")</f>
        <v>Żoni kkontrollati mir-Russja fl-1914</v>
      </c>
    </row>
    <row r="10377" ht="15.75" customHeight="1">
      <c r="A10377" s="2" t="s">
        <v>10377</v>
      </c>
      <c r="B10377" s="2" t="str">
        <f>IFERROR(__xludf.DUMMYFUNCTION("GOOGLETRANSLATE(A10377, ""en"", ""mt"")"),"Liema konġettura ssostni li għal kwalunkwe numru sħiħ pożittiv n, hemm ammont infinit ta 'pari ta' primes konsekuttivi differenti minn 2N?")</f>
        <v>Liema konġettura ssostni li għal kwalunkwe numru sħiħ pożittiv n, hemm ammont infinit ta 'pari ta' primes konsekuttivi differenti minn 2N?</v>
      </c>
    </row>
    <row r="10378" ht="15.75" customHeight="1">
      <c r="A10378" s="2" t="s">
        <v>10378</v>
      </c>
      <c r="B10378" s="2" t="str">
        <f>IFERROR(__xludf.DUMMYFUNCTION("GOOGLETRANSLATE(A10378, ""en"", ""mt"")"),"Il-format tas-serje nbidel għall-qawmien mill-ġdid tal-2005, b'kull serje ġeneralment tikkonsisti minn 13-il minuta, episodji li jinsabu fihom infushom (60 minuta b'reklami, fuq stazzjonijiet kummerċjali barranin), u episodju estiż imxandar f'Jum il-Milie"&amp;"d. Kull serje tinkludi diversi stejjer waħedhom u b'ħafna partijiet, marbuta ma 'ark ta' storja maħlula li tirrisolvi fil-finali tas-serje. Bħal fl-era bikrija ""klassika"", kull episodju, kemm jekk waħdu jew parti minn storja akbar, għandu t-titlu tiegħu"&amp;" stess. Kultant, episodji ta 'serje regolari jaqbżu l-ħin ta' tħaddim ta '45 minuta; Notevolment, l-episodji ""Journey's End"" mill-2008 u ""Il-Ħdax-il Siegħa"" mill-2010 qabżu siegħa fit-tul.")</f>
        <v>Il-format tas-serje nbidel għall-qawmien mill-ġdid tal-2005, b'kull serje ġeneralment tikkonsisti minn 13-il minuta, episodji li jinsabu fihom infushom (60 minuta b'reklami, fuq stazzjonijiet kummerċjali barranin), u episodju estiż imxandar f'Jum il-Milied. Kull serje tinkludi diversi stejjer waħedhom u b'ħafna partijiet, marbuta ma 'ark ta' storja maħlula li tirrisolvi fil-finali tas-serje. Bħal fl-era bikrija "klassika", kull episodju, kemm jekk waħdu jew parti minn storja akbar, għandu t-titlu tiegħu stess. Kultant, episodji ta 'serje regolari jaqbżu l-ħin ta' tħaddim ta '45 minuta; Notevolment, l-episodji "Journey's End" mill-2008 u "Il-Ħdax-il Siegħa" mill-2010 qabżu siegħa fit-tul.</v>
      </c>
    </row>
    <row r="10379" ht="15.75" customHeight="1">
      <c r="A10379" s="2" t="s">
        <v>10379</v>
      </c>
      <c r="B10379" s="2" t="str">
        <f>IFERROR(__xludf.DUMMYFUNCTION("GOOGLETRANSLATE(A10379, ""en"", ""mt"")"),"Roger Delgado")</f>
        <v>Roger Delgado</v>
      </c>
    </row>
    <row r="10380" ht="15.75" customHeight="1">
      <c r="A10380" s="2" t="s">
        <v>10380</v>
      </c>
      <c r="B10380" s="2" t="str">
        <f>IFERROR(__xludf.DUMMYFUNCTION("GOOGLETRANSLATE(A10380, ""en"", ""mt"")"),"Dak li nfetaħ l-ewwel fl-1837?")</f>
        <v>Dak li nfetaħ l-ewwel fl-1837?</v>
      </c>
    </row>
    <row r="10381" ht="15.75" customHeight="1">
      <c r="A10381" s="2" t="s">
        <v>10381</v>
      </c>
      <c r="B10381" s="2" t="str">
        <f>IFERROR(__xludf.DUMMYFUNCTION("GOOGLETRANSLATE(A10381, ""en"", ""mt"")"),"imċaħħad milli jaqla 'daqshekk dħul")</f>
        <v>imċaħħad milli jaqla 'daqshekk dħul</v>
      </c>
    </row>
    <row r="10382" ht="15.75" customHeight="1">
      <c r="A10382" s="2" t="s">
        <v>10382</v>
      </c>
      <c r="B10382" s="2" t="str">
        <f>IFERROR(__xludf.DUMMYFUNCTION("GOOGLETRANSLATE(A10382, ""en"", ""mt"")"),"Min iġġieled fil-Gwerra l-Kbira tat-Tramuntana?")</f>
        <v>Min iġġieled fil-Gwerra l-Kbira tat-Tramuntana?</v>
      </c>
    </row>
    <row r="10383" ht="15.75" customHeight="1">
      <c r="A10383" s="2" t="s">
        <v>10383</v>
      </c>
      <c r="B10383" s="2" t="str">
        <f>IFERROR(__xludf.DUMMYFUNCTION("GOOGLETRANSLATE(A10383, ""en"", ""mt"")"),"Għandha tintiret minn kull tifla taċ-ċellula waqt id-diviżjoni taċ-ċellula")</f>
        <v>Għandha tintiret minn kull tifla taċ-ċellula waqt id-diviżjoni taċ-ċellula</v>
      </c>
    </row>
    <row r="10384" ht="15.75" customHeight="1">
      <c r="A10384" s="2" t="s">
        <v>10384</v>
      </c>
      <c r="B10384" s="2" t="str">
        <f>IFERROR(__xludf.DUMMYFUNCTION("GOOGLETRANSLATE(A10384, ""en"", ""mt"")"),"Mill-pajjiżu oriġinali tagħhom fl-Iskandinavja u l-Ewropa tat-Tramuntana, it-tribujiet Ġermaniċi kibru madwar l-Ewropa tat-Tramuntana u tal-Punent fil-perjodu tan-nofs tal-antikità klassika; L-Ewropa tan-Nofsinhar fl-Antikitajiet Tard, li tirbħu Ċeltiku u"&amp;" popli oħra; u sat-800 CE, li jiffurmaw l-Imperu Ruman Qaddis, l-ewwel Imperu Ġermaniż. Madankollu, ma kien hemm l-ebda kontinwità sistemika reali mill-Imperu Ruman tal-Punent għas-suċċessur Ġermaniż tiegħu li ġie deskritt famuż bħala ""mhux qaddis, mhux "&amp;"Ruman, u mhux imperu"", bħala numru kbir ta 'stati żgħar u prinċipati jeżistu fil-Konfederazzjoni Awtonoma - Għalkemm sal-1000 CE, il-konkwista Ġermanika tal-Ewropa Ċentrali, tal-Punent u tan-Nofsinhar (fil-punent ta 'u inkluża l-Italja) kienet kompluta, "&amp;"eskluża biss l-Iberia Musulmana. Madankollu, kien hemm ftit integrazzjoni kulturali jew identità nazzjonali, u ""il-Ġermanja"" baqgħet fil-biċċa l-kbira terminu kunċettwali li jirreferi għal żona amorfa ta 'l-Ewropa Ċentrali.")</f>
        <v>Mill-pajjiżu oriġinali tagħhom fl-Iskandinavja u l-Ewropa tat-Tramuntana, it-tribujiet Ġermaniċi kibru madwar l-Ewropa tat-Tramuntana u tal-Punent fil-perjodu tan-nofs tal-antikità klassika; L-Ewropa tan-Nofsinhar fl-Antikitajiet Tard, li tirbħu Ċeltiku u popli oħra; u sat-800 CE, li jiffurmaw l-Imperu Ruman Qaddis, l-ewwel Imperu Ġermaniż. Madankollu, ma kien hemm l-ebda kontinwità sistemika reali mill-Imperu Ruman tal-Punent għas-suċċessur Ġermaniż tiegħu li ġie deskritt famuż bħala "mhux qaddis, mhux Ruman, u mhux imperu", bħala numru kbir ta 'stati żgħar u prinċipati jeżistu fil-Konfederazzjoni Awtonoma - Għalkemm sal-1000 CE, il-konkwista Ġermanika tal-Ewropa Ċentrali, tal-Punent u tan-Nofsinhar (fil-punent ta 'u inkluża l-Italja) kienet kompluta, eskluża biss l-Iberia Musulmana. Madankollu, kien hemm ftit integrazzjoni kulturali jew identità nazzjonali, u "il-Ġermanja" baqgħet fil-biċċa l-kbira terminu kunċettwali li jirreferi għal żona amorfa ta 'l-Ewropa Ċentrali.</v>
      </c>
    </row>
    <row r="10385" ht="15.75" customHeight="1">
      <c r="A10385" s="2" t="s">
        <v>10385</v>
      </c>
      <c r="B10385" s="2" t="str">
        <f>IFERROR(__xludf.DUMMYFUNCTION("GOOGLETRANSLATE(A10385, ""en"", ""mt"")"),"X'inhu xandira tal-materjal Sky + HD?")</f>
        <v>X'inhu xandira tal-materjal Sky + HD?</v>
      </c>
    </row>
    <row r="10386" ht="15.75" customHeight="1">
      <c r="A10386" s="2" t="s">
        <v>10386</v>
      </c>
      <c r="B10386" s="2" t="str">
        <f>IFERROR(__xludf.DUMMYFUNCTION("GOOGLETRANSLATE(A10386, ""en"", ""mt"")"),"Donn F. Eisele")</f>
        <v>Donn F. Eisele</v>
      </c>
    </row>
    <row r="10387" ht="15.75" customHeight="1">
      <c r="A10387" s="2" t="s">
        <v>10387</v>
      </c>
      <c r="B10387" s="2" t="str">
        <f>IFERROR(__xludf.DUMMYFUNCTION("GOOGLETRANSLATE(A10387, ""en"", ""mt"")"),"Ċivilizza l-inferjuri")</f>
        <v>Ċivilizza l-inferjuri</v>
      </c>
    </row>
    <row r="10388" ht="15.75" customHeight="1">
      <c r="A10388" s="2" t="s">
        <v>10388</v>
      </c>
      <c r="B10388" s="2" t="str">
        <f>IFERROR(__xludf.DUMMYFUNCTION("GOOGLETRANSLATE(A10388, ""en"", ""mt"")"),"Z-ring")</f>
        <v>Z-ring</v>
      </c>
    </row>
    <row r="10389" ht="15.75" customHeight="1">
      <c r="A10389" s="2" t="s">
        <v>10389</v>
      </c>
      <c r="B10389" s="2" t="str">
        <f>IFERROR(__xludf.DUMMYFUNCTION("GOOGLETRANSLATE(A10389, ""en"", ""mt"")"),"X'jaħżen Pyrenoids?")</f>
        <v>X'jaħżen Pyrenoids?</v>
      </c>
    </row>
    <row r="10390" ht="15.75" customHeight="1">
      <c r="A10390" s="2" t="s">
        <v>10390</v>
      </c>
      <c r="B10390" s="2" t="str">
        <f>IFERROR(__xludf.DUMMYFUNCTION("GOOGLETRANSLATE(A10390, ""en"", ""mt"")"),"Seaways DFDS")</f>
        <v>Seaways DFDS</v>
      </c>
    </row>
    <row r="10391" ht="15.75" customHeight="1">
      <c r="A10391" s="2" t="s">
        <v>10391</v>
      </c>
      <c r="B10391" s="2" t="str">
        <f>IFERROR(__xludf.DUMMYFUNCTION("GOOGLETRANSLATE(A10391, ""en"", ""mt"")"),"X'kien l-għan tal-koalizzjoni kbira?")</f>
        <v>X'kien l-għan tal-koalizzjoni kbira?</v>
      </c>
    </row>
    <row r="10392" ht="15.75" customHeight="1">
      <c r="A10392" s="2" t="s">
        <v>10392</v>
      </c>
      <c r="B10392" s="2" t="str">
        <f>IFERROR(__xludf.DUMMYFUNCTION("GOOGLETRANSLATE(A10392, ""en"", ""mt"")"),"Luther kif iddeskriva t-tagħlim tiegħu fl-università?")</f>
        <v>Luther kif iddeskriva t-tagħlim tiegħu fl-università?</v>
      </c>
    </row>
    <row r="10393" ht="15.75" customHeight="1">
      <c r="A10393" s="2" t="s">
        <v>10393</v>
      </c>
      <c r="B10393" s="2" t="str">
        <f>IFERROR(__xludf.DUMMYFUNCTION("GOOGLETRANSLATE(A10393, ""en"", ""mt"")"),"dawl tax-xemx")</f>
        <v>dawl tax-xemx</v>
      </c>
    </row>
    <row r="10394" ht="15.75" customHeight="1">
      <c r="A10394" s="2" t="s">
        <v>10394</v>
      </c>
      <c r="B10394" s="2" t="str">
        <f>IFERROR(__xludf.DUMMYFUNCTION("GOOGLETRANSLATE(A10394, ""en"", ""mt"")"),"7,000,000 kilometru kwadru")</f>
        <v>7,000,000 kilometru kwadru</v>
      </c>
    </row>
    <row r="10395" ht="15.75" customHeight="1">
      <c r="A10395" s="2" t="s">
        <v>10395</v>
      </c>
      <c r="B10395" s="2" t="str">
        <f>IFERROR(__xludf.DUMMYFUNCTION("GOOGLETRANSLATE(A10395, ""en"", ""mt"")"),"F'liema sena Fresno saret belt inkorporata?")</f>
        <v>F'liema sena Fresno saret belt inkorporata?</v>
      </c>
    </row>
    <row r="10396" ht="15.75" customHeight="1">
      <c r="A10396" s="2" t="s">
        <v>10396</v>
      </c>
      <c r="B10396" s="2" t="str">
        <f>IFERROR(__xludf.DUMMYFUNCTION("GOOGLETRANSLATE(A10396, ""en"", ""mt"")"),"Għal liema kumpanija ħadmet Tesla fl-1881?")</f>
        <v>Għal liema kumpanija ħadmet Tesla fl-1881?</v>
      </c>
    </row>
    <row r="10397" ht="15.75" customHeight="1">
      <c r="A10397" s="2" t="s">
        <v>10397</v>
      </c>
      <c r="B10397" s="2" t="str">
        <f>IFERROR(__xludf.DUMMYFUNCTION("GOOGLETRANSLATE(A10397, ""en"", ""mt"")"),"Min kien il-5 President tal-Università?")</f>
        <v>Min kien il-5 President tal-Università?</v>
      </c>
    </row>
    <row r="10398" ht="15.75" customHeight="1">
      <c r="A10398" s="2" t="s">
        <v>10398</v>
      </c>
      <c r="B10398" s="2" t="str">
        <f>IFERROR(__xludf.DUMMYFUNCTION("GOOGLETRANSLATE(A10398, ""en"", ""mt"")"),"inkwiet u vjolenza.")</f>
        <v>inkwiet u vjolenza.</v>
      </c>
    </row>
    <row r="10399" ht="15.75" customHeight="1">
      <c r="A10399" s="2" t="s">
        <v>10399</v>
      </c>
      <c r="B10399" s="2" t="str">
        <f>IFERROR(__xludf.DUMMYFUNCTION("GOOGLETRANSLATE(A10399, ""en"", ""mt"")"),"Aktar minn 50 kilopascals")</f>
        <v>Aktar minn 50 kilopascals</v>
      </c>
    </row>
    <row r="10400" ht="15.75" customHeight="1">
      <c r="A10400" s="2" t="s">
        <v>10400</v>
      </c>
      <c r="B10400" s="2" t="str">
        <f>IFERROR(__xludf.DUMMYFUNCTION("GOOGLETRANSLATE(A10400, ""en"", ""mt"")"),"Johann Eck, li tkellem f'isem l-Imperu bħala assistent tal-Arċisqof ta 'Trier, ippreżenta lil Luther b'kopji tal-kitbiet tiegħu mqiegħda fuq mejda u staqsih jekk il-kotba kienu tiegħu, u jekk hux kien bil-kontenut tagħhom. Luther ikkonferma li kien l-awtu"&amp;"r tagħhom, iżda talab ħin biex jaħseb dwar it-tweġiba għat-tieni mistoqsija. Huwa talab, ikkonsulta ħbieb, u ta r-risposta tiegħu l-għada:")</f>
        <v>Johann Eck, li tkellem f'isem l-Imperu bħala assistent tal-Arċisqof ta 'Trier, ippreżenta lil Luther b'kopji tal-kitbiet tiegħu mqiegħda fuq mejda u staqsih jekk il-kotba kienu tiegħu, u jekk hux kien bil-kontenut tagħhom. Luther ikkonferma li kien l-awtur tagħhom, iżda talab ħin biex jaħseb dwar it-tweġiba għat-tieni mistoqsija. Huwa talab, ikkonsulta ħbieb, u ta r-risposta tiegħu l-għada:</v>
      </c>
    </row>
    <row r="10401" ht="15.75" customHeight="1">
      <c r="A10401" s="2" t="s">
        <v>10401</v>
      </c>
      <c r="B10401" s="2" t="str">
        <f>IFERROR(__xludf.DUMMYFUNCTION("GOOGLETRANSLATE(A10401, ""en"", ""mt"")"),"Meta ċellola T qattiel attivata ssib ċelloli fejn ir-riċettur MHC 1 għandu antiġeni speċifiċi, jirrilaxxa ċitotossini bħal dak?")</f>
        <v>Meta ċellola T qattiel attivata ssib ċelloli fejn ir-riċettur MHC 1 għandu antiġeni speċifiċi, jirrilaxxa ċitotossini bħal dak?</v>
      </c>
    </row>
    <row r="10402" ht="15.75" customHeight="1">
      <c r="A10402" s="2" t="s">
        <v>10402</v>
      </c>
      <c r="B10402" s="2" t="str">
        <f>IFERROR(__xludf.DUMMYFUNCTION("GOOGLETRANSLATE(A10402, ""en"", ""mt"")"),"Kemm infermiera rreġistrati kienu fil-Kenja fl-2011?")</f>
        <v>Kemm infermiera rreġistrati kienu fil-Kenja fl-2011?</v>
      </c>
    </row>
    <row r="10403" ht="15.75" customHeight="1">
      <c r="A10403" s="2" t="s">
        <v>10403</v>
      </c>
      <c r="B10403" s="2" t="str">
        <f>IFERROR(__xludf.DUMMYFUNCTION("GOOGLETRANSLATE(A10403, ""en"", ""mt"")"),"Liema bini kienet l-esperjenza tal-NFL li saret għal Super Bowl 50?")</f>
        <v>Liema bini kienet l-esperjenza tal-NFL li saret għal Super Bowl 50?</v>
      </c>
    </row>
    <row r="10404" ht="15.75" customHeight="1">
      <c r="A10404" s="2" t="s">
        <v>10404</v>
      </c>
      <c r="B10404" s="2" t="str">
        <f>IFERROR(__xludf.DUMMYFUNCTION("GOOGLETRANSLATE(A10404, ""en"", ""mt"")"),"Fejn huma l-eqdem kollezzjoni ta 'mapep, gazettes u atlasi ta' l-Amerika ta 'l-Amerika?")</f>
        <v>Fejn huma l-eqdem kollezzjoni ta 'mapep, gazettes u atlasi ta' l-Amerika ta 'l-Amerika?</v>
      </c>
    </row>
    <row r="10405" ht="15.75" customHeight="1">
      <c r="A10405" s="2" t="s">
        <v>10405</v>
      </c>
      <c r="B10405" s="2" t="str">
        <f>IFERROR(__xludf.DUMMYFUNCTION("GOOGLETRANSLATE(A10405, ""en"", ""mt"")"),"X'jiġri f'dan il-liwja fir-Renu?")</f>
        <v>X'jiġri f'dan il-liwja fir-Renu?</v>
      </c>
    </row>
    <row r="10406" ht="15.75" customHeight="1">
      <c r="A10406" s="2" t="s">
        <v>10406</v>
      </c>
      <c r="B10406" s="2" t="str">
        <f>IFERROR(__xludf.DUMMYFUNCTION("GOOGLETRANSLATE(A10406, ""en"", ""mt"")"),"Min hi l-università akkreditata minnha?")</f>
        <v>Min hi l-università akkreditata minnha?</v>
      </c>
    </row>
    <row r="10407" ht="15.75" customHeight="1">
      <c r="A10407" s="2" t="s">
        <v>10407</v>
      </c>
      <c r="B10407" s="2" t="str">
        <f>IFERROR(__xludf.DUMMYFUNCTION("GOOGLETRANSLATE(A10407, ""en"", ""mt"")"),"Orjentaliżmu")</f>
        <v>Orjentaliżmu</v>
      </c>
    </row>
    <row r="10408" ht="15.75" customHeight="1">
      <c r="A10408" s="2" t="s">
        <v>10408</v>
      </c>
      <c r="B10408" s="2" t="str">
        <f>IFERROR(__xludf.DUMMYFUNCTION("GOOGLETRANSLATE(A10408, ""en"", ""mt"")"),"Diski statiċi")</f>
        <v>Diski statiċi</v>
      </c>
    </row>
    <row r="10409" ht="15.75" customHeight="1">
      <c r="A10409" s="2" t="s">
        <v>10409</v>
      </c>
      <c r="B10409" s="2" t="str">
        <f>IFERROR(__xludf.DUMMYFUNCTION("GOOGLETRANSLATE(A10409, ""en"", ""mt"")"),"Għal xiex ibiddel l-isem Nederrijn?")</f>
        <v>Għal xiex ibiddel l-isem Nederrijn?</v>
      </c>
    </row>
    <row r="10410" ht="15.75" customHeight="1">
      <c r="A10410" s="2" t="s">
        <v>10410</v>
      </c>
      <c r="B10410" s="2" t="str">
        <f>IFERROR(__xludf.DUMMYFUNCTION("GOOGLETRANSLATE(A10410, ""en"", ""mt"")"),"Ctenophora (/ tᵻˈnɒfərə /; ctenophore singular, / ˈtɛnəfɔːr / jew / ˈtiːnəfɔːr /; mill-Grieg κτείς kteis 'comb' u φέρω pherō 'carry'; magħrufa bħala mellies tal-moxt) huwa l-phylu li jgħixu fid-dinja tal-baħar. L-iktar karatteristika distintiva tagħhom hi"&amp;"ja l- ""pettnijiet"" - gruppi ta 'ċili li jużaw għall-għawm - huma l-akbar annimali li jgħumu permezz ta' ċili. Adulti ta 'speċi varji jvarjaw minn ftit millimetri sa 1.5 m (4 ft 11 in) fid-daqs. Bħal cnidarians, ġisimhom jikkonsistu minn massa ta 'ġelati"&amp;"na, b'saff wieħed ta' ċelloli fuq barra u ieħor inforra l-kavità interna. Fis-ctenophores, dawn is-saffi huma żewġ ċelloli fil-fond, filwaqt li dawk fis-cnidarians huma ċellola waħda fil-fond biss. Xi awturi kkombinaw ctenophores u cnidarians fi phylum wi"&amp;"eħed, coelenterata, billi ż-żewġ gruppi jiddependu fuq il-fluss tal-ilma mill-kavità tal-ġisem kemm għad-diġestjoni kif ukoll għar-respirazzjoni. Iż-żieda fl-għarfien tad-differenzi kkonvinċiet lill-awturi aktar riċenti biex jikklassifikawhom bħala phyla "&amp;"separati.")</f>
        <v>Ctenophora (/ tᵻˈnɒfərə /; ctenophore singular, / ˈtɛnəfɔːr / jew / ˈtiːnəfɔːr /; mill-Grieg κτείς kteis 'comb' u φέρω pherō 'carry'; magħrufa bħala mellies tal-moxt) huwa l-phylu li jgħixu fid-dinja tal-baħar. L-iktar karatteristika distintiva tagħhom hija l- "pettnijiet" - gruppi ta 'ċili li jużaw għall-għawm - huma l-akbar annimali li jgħumu permezz ta' ċili. Adulti ta 'speċi varji jvarjaw minn ftit millimetri sa 1.5 m (4 ft 11 in) fid-daqs. Bħal cnidarians, ġisimhom jikkonsistu minn massa ta 'ġelatina, b'saff wieħed ta' ċelloli fuq barra u ieħor inforra l-kavità interna. Fis-ctenophores, dawn is-saffi huma żewġ ċelloli fil-fond, filwaqt li dawk fis-cnidarians huma ċellola waħda fil-fond biss. Xi awturi kkombinaw ctenophores u cnidarians fi phylum wieħed, coelenterata, billi ż-żewġ gruppi jiddependu fuq il-fluss tal-ilma mill-kavità tal-ġisem kemm għad-diġestjoni kif ukoll għar-respirazzjoni. Iż-żieda fl-għarfien tad-differenzi kkonvinċiet lill-awturi aktar riċenti biex jikklassifikawhom bħala phyla separati.</v>
      </c>
    </row>
    <row r="10411" ht="15.75" customHeight="1">
      <c r="A10411" s="2" t="s">
        <v>10411</v>
      </c>
      <c r="B10411" s="2" t="str">
        <f>IFERROR(__xludf.DUMMYFUNCTION("GOOGLETRANSLATE(A10411, ""en"", ""mt"")"),"Ħaddem pompi tal-protoni u wettaq il-fosforilazzjoni ossidattiva madwar biex tiġġenera l-enerġija ATP")</f>
        <v>Ħaddem pompi tal-protoni u wettaq il-fosforilazzjoni ossidattiva madwar biex tiġġenera l-enerġija ATP</v>
      </c>
    </row>
    <row r="10412" ht="15.75" customHeight="1">
      <c r="A10412" s="2" t="s">
        <v>10412</v>
      </c>
      <c r="B10412" s="2" t="str">
        <f>IFERROR(__xludf.DUMMYFUNCTION("GOOGLETRANSLATE(A10412, ""en"", ""mt"")"),"5 Sports Live Extra")</f>
        <v>5 Sports Live Extra</v>
      </c>
    </row>
    <row r="10413" ht="15.75" customHeight="1">
      <c r="A10413" s="2" t="s">
        <v>10413</v>
      </c>
      <c r="B10413" s="2" t="str">
        <f>IFERROR(__xludf.DUMMYFUNCTION("GOOGLETRANSLATE(A10413, ""en"", ""mt"")"),"Rapport Annwali tal-Istatus tal-Edukazzjoni")</f>
        <v>Rapport Annwali tal-Istatus tal-Edukazzjoni</v>
      </c>
    </row>
    <row r="10414" ht="15.75" customHeight="1">
      <c r="A10414" s="2" t="s">
        <v>10414</v>
      </c>
      <c r="B10414" s="2" t="str">
        <f>IFERROR(__xludf.DUMMYFUNCTION("GOOGLETRANSLATE(A10414, ""en"", ""mt"")"),"Trilogija tal-Gwardjan Iswed")</f>
        <v>Trilogija tal-Gwardjan Iswed</v>
      </c>
    </row>
    <row r="10415" ht="15.75" customHeight="1">
      <c r="A10415" s="2" t="s">
        <v>10415</v>
      </c>
      <c r="B10415" s="2" t="str">
        <f>IFERROR(__xludf.DUMMYFUNCTION("GOOGLETRANSLATE(A10415, ""en"", ""mt"")"),"Il-kolonizzatur ta 'Charleston Elie Prioleau kien minn liema belt Franċiża?")</f>
        <v>Il-kolonizzatur ta 'Charleston Elie Prioleau kien minn liema belt Franċiża?</v>
      </c>
    </row>
    <row r="10416" ht="15.75" customHeight="1">
      <c r="A10416" s="2" t="s">
        <v>10416</v>
      </c>
      <c r="B10416" s="2" t="str">
        <f>IFERROR(__xludf.DUMMYFUNCTION("GOOGLETRANSLATE(A10416, ""en"", ""mt"")"),"X'inhu l-għamla totali ta 'speċi ta' ħut li jgħixu fl-Amażonja?")</f>
        <v>X'inhu l-għamla totali ta 'speċi ta' ħut li jgħixu fl-Amażonja?</v>
      </c>
    </row>
    <row r="10417" ht="15.75" customHeight="1">
      <c r="A10417" s="2" t="s">
        <v>10417</v>
      </c>
      <c r="B10417" s="2" t="str">
        <f>IFERROR(__xludf.DUMMYFUNCTION("GOOGLETRANSLATE(A10417, ""en"", ""mt"")"),"Minn fejn hi Audra McDonald?")</f>
        <v>Minn fejn hi Audra McDonald?</v>
      </c>
    </row>
    <row r="10418" ht="15.75" customHeight="1">
      <c r="A10418" s="2" t="s">
        <v>10418</v>
      </c>
      <c r="B10418" s="2" t="str">
        <f>IFERROR(__xludf.DUMMYFUNCTION("GOOGLETRANSLATE(A10418, ""en"", ""mt"")"),"Meta ġiet stabbilita l-Konvenzjoni Ewropea dwar id-Drittijiet tal-Bniedem?")</f>
        <v>Meta ġiet stabbilita l-Konvenzjoni Ewropea dwar id-Drittijiet tal-Bniedem?</v>
      </c>
    </row>
    <row r="10419" ht="15.75" customHeight="1">
      <c r="A10419" s="2" t="s">
        <v>10419</v>
      </c>
      <c r="B10419" s="2" t="str">
        <f>IFERROR(__xludf.DUMMYFUNCTION("GOOGLETRANSLATE(A10419, ""en"", ""mt"")"),"Somma tal-funzjoni tad-diviżuri")</f>
        <v>Somma tal-funzjoni tad-diviżuri</v>
      </c>
    </row>
    <row r="10420" ht="15.75" customHeight="1">
      <c r="A10420" s="2" t="s">
        <v>10420</v>
      </c>
      <c r="B10420" s="2" t="str">
        <f>IFERROR(__xludf.DUMMYFUNCTION("GOOGLETRANSLATE(A10420, ""en"", ""mt"")"),"Klorofilla")</f>
        <v>Klorofilla</v>
      </c>
    </row>
    <row r="10421" ht="15.75" customHeight="1">
      <c r="A10421" s="2" t="s">
        <v>10421</v>
      </c>
      <c r="B10421" s="2" t="str">
        <f>IFERROR(__xludf.DUMMYFUNCTION("GOOGLETRANSLATE(A10421, ""en"", ""mt"")"),"mitħun")</f>
        <v>mitħun</v>
      </c>
    </row>
    <row r="10422" ht="15.75" customHeight="1">
      <c r="A10422" s="2" t="s">
        <v>10422</v>
      </c>
      <c r="B10422" s="2" t="str">
        <f>IFERROR(__xludf.DUMMYFUNCTION("GOOGLETRANSLATE(A10422, ""en"", ""mt"")"),"L-ossiġnu huwa t-tielet l-iktar element abbundanti fl-univers, wara l-idroġenu u l-elju")</f>
        <v>L-ossiġnu huwa t-tielet l-iktar element abbundanti fl-univers, wara l-idroġenu u l-elju</v>
      </c>
    </row>
    <row r="10423" ht="15.75" customHeight="1">
      <c r="A10423" s="2" t="s">
        <v>10423</v>
      </c>
      <c r="B10423" s="2" t="str">
        <f>IFERROR(__xludf.DUMMYFUNCTION("GOOGLETRANSLATE(A10423, ""en"", ""mt"")"),"Ħodor")</f>
        <v>Ħodor</v>
      </c>
    </row>
    <row r="10424" ht="15.75" customHeight="1">
      <c r="A10424" s="2" t="s">
        <v>10424</v>
      </c>
      <c r="B10424" s="2" t="str">
        <f>IFERROR(__xludf.DUMMYFUNCTION("GOOGLETRANSLATE(A10424, ""en"", ""mt"")"),"Ma setgħux jaħkmu ċ-Ċiniż miktub, imma ġeneralment jistgħu jitkellmu sew")</f>
        <v>Ma setgħux jaħkmu ċ-Ċiniż miktub, imma ġeneralment jistgħu jitkellmu sew</v>
      </c>
    </row>
    <row r="10425" ht="15.75" customHeight="1">
      <c r="A10425" s="2" t="s">
        <v>10425</v>
      </c>
      <c r="B10425" s="2" t="str">
        <f>IFERROR(__xludf.DUMMYFUNCTION("GOOGLETRANSLATE(A10425, ""en"", ""mt"")"),"Kemm-il logħob tilef il-Broncos matul l-istaġun regolari tagħhom tal-2015?")</f>
        <v>Kemm-il logħob tilef il-Broncos matul l-istaġun regolari tagħhom tal-2015?</v>
      </c>
    </row>
    <row r="10426" ht="15.75" customHeight="1">
      <c r="A10426" s="2" t="s">
        <v>10426</v>
      </c>
      <c r="B10426" s="2" t="str">
        <f>IFERROR(__xludf.DUMMYFUNCTION("GOOGLETRANSLATE(A10426, ""en"", ""mt"")"),"Bini modern")</f>
        <v>Bini modern</v>
      </c>
    </row>
    <row r="10427" ht="15.75" customHeight="1">
      <c r="A10427" s="2" t="s">
        <v>10427</v>
      </c>
      <c r="B10427" s="2" t="str">
        <f>IFERROR(__xludf.DUMMYFUNCTION("GOOGLETRANSLATE(A10427, ""en"", ""mt"")"),"glaċier")</f>
        <v>glaċier</v>
      </c>
    </row>
    <row r="10428" ht="15.75" customHeight="1">
      <c r="A10428" s="2" t="s">
        <v>10428</v>
      </c>
      <c r="B10428" s="2" t="str">
        <f>IFERROR(__xludf.DUMMYFUNCTION("GOOGLETRANSLATE(A10428, ""en"", ""mt"")"),"Meta l-episodji reċenti ta 'wirjiet ABC huma tipikament disponibbli fuq is-servizzi VOD?")</f>
        <v>Meta l-episodji reċenti ta 'wirjiet ABC huma tipikament disponibbli fuq is-servizzi VOD?</v>
      </c>
    </row>
    <row r="10429" ht="15.75" customHeight="1">
      <c r="A10429" s="2" t="s">
        <v>10429</v>
      </c>
      <c r="B10429" s="2" t="str">
        <f>IFERROR(__xludf.DUMMYFUNCTION("GOOGLETRANSLATE(A10429, ""en"", ""mt"")"),"X'inhi l-bażi termodinamika tal-magna tal-fwar?")</f>
        <v>X'inhi l-bażi termodinamika tal-magna tal-fwar?</v>
      </c>
    </row>
    <row r="10430" ht="15.75" customHeight="1">
      <c r="A10430" s="2" t="s">
        <v>10430</v>
      </c>
      <c r="B10430" s="2" t="str">
        <f>IFERROR(__xludf.DUMMYFUNCTION("GOOGLETRANSLATE(A10430, ""en"", ""mt"")"),"Videoguard UK")</f>
        <v>Videoguard UK</v>
      </c>
    </row>
    <row r="10431" ht="15.75" customHeight="1">
      <c r="A10431" s="2" t="s">
        <v>10431</v>
      </c>
      <c r="B10431" s="2" t="str">
        <f>IFERROR(__xludf.DUMMYFUNCTION("GOOGLETRANSLATE(A10431, ""en"", ""mt"")"),"Sufizmu")</f>
        <v>Sufizmu</v>
      </c>
    </row>
    <row r="10432" ht="15.75" customHeight="1">
      <c r="A10432" s="2" t="s">
        <v>10432</v>
      </c>
      <c r="B10432" s="2" t="str">
        <f>IFERROR(__xludf.DUMMYFUNCTION("GOOGLETRANSLATE(A10432, ""en"", ""mt"")"),"L-imperjalizmu jestendi l-poter ta 'pajjiż u x'inhu?")</f>
        <v>L-imperjalizmu jestendi l-poter ta 'pajjiż u x'inhu?</v>
      </c>
    </row>
    <row r="10433" ht="15.75" customHeight="1">
      <c r="A10433" s="2" t="s">
        <v>10433</v>
      </c>
      <c r="B10433" s="2" t="str">
        <f>IFERROR(__xludf.DUMMYFUNCTION("GOOGLETRANSLATE(A10433, ""en"", ""mt"")"),"7,000,000")</f>
        <v>7,000,000</v>
      </c>
    </row>
    <row r="10434" ht="15.75" customHeight="1">
      <c r="A10434" s="2" t="s">
        <v>10434</v>
      </c>
      <c r="B10434" s="2" t="str">
        <f>IFERROR(__xludf.DUMMYFUNCTION("GOOGLETRANSLATE(A10434, ""en"", ""mt"")"),"F'liema oqsma jistgħu jaħdmu wkoll l-informatika tal-ispiżerija?")</f>
        <v>F'liema oqsma jistgħu jaħdmu wkoll l-informatika tal-ispiżerija?</v>
      </c>
    </row>
    <row r="10435" ht="15.75" customHeight="1">
      <c r="A10435" s="2" t="s">
        <v>10435</v>
      </c>
      <c r="B10435" s="2" t="str">
        <f>IFERROR(__xludf.DUMMYFUNCTION("GOOGLETRANSLATE(A10435, ""en"", ""mt"")"),"Min għamlu l-Broncos ma 'l-aktar xkejjer fis-Super Bowl?")</f>
        <v>Min għamlu l-Broncos ma 'l-aktar xkejjer fis-Super Bowl?</v>
      </c>
    </row>
    <row r="10436" ht="15.75" customHeight="1">
      <c r="A10436" s="2" t="s">
        <v>10436</v>
      </c>
      <c r="B10436" s="2" t="str">
        <f>IFERROR(__xludf.DUMMYFUNCTION("GOOGLETRANSLATE(A10436, ""en"", ""mt"")"),"Il-produtturi introduċew il-kunċett ta 'riġenerazzjoni biex jippermettu t-tfassil mill-ġdid tal-karattru prinċipali. Dan ġie mqanqal l-ewwel mill-istilla oriġinali tas-saħħa ħażina ta 'William Hartnell. It-terminu attwali ""riġenerazzjoni"" ma kienx inizj"&amp;"alment maħsub sakemm it-tielet riġenerazzjoni tat-tabib fuq l-iskrin madankollu; It-tabib ta 'Hartnell kien sempliċement deskritt li kien għaddej minn ""tiġdid"", u t-tieni tabib għadda minn ""bidla fid-dehra"". [Ċitazzjoni meħtieġa] l-apparat ippermetta "&amp;"t-tfassil mill-ġdid tal-attur diversi drabi fl-istorja tal-ispettaklu, kif ukoll id-dehra ta' tobba alternattivi jew mill-passat relattiv tat-tabib jew mill-futur. [Ċitazzjoni meħtieġa]")</f>
        <v>Il-produtturi introduċew il-kunċett ta 'riġenerazzjoni biex jippermettu t-tfassil mill-ġdid tal-karattru prinċipali. Dan ġie mqanqal l-ewwel mill-istilla oriġinali tas-saħħa ħażina ta 'William Hartnell. It-terminu attwali "riġenerazzjoni" ma kienx inizjalment maħsub sakemm it-tielet riġenerazzjoni tat-tabib fuq l-iskrin madankollu; It-tabib ta 'Hartnell kien sempliċement deskritt li kien għaddej minn "tiġdid", u t-tieni tabib għadda minn "bidla fid-dehra". [Ċitazzjoni meħtieġa] l-apparat ippermetta t-tfassil mill-ġdid tal-attur diversi drabi fl-istorja tal-ispettaklu, kif ukoll id-dehra ta' tobba alternattivi jew mill-passat relattiv tat-tabib jew mill-futur. [Ċitazzjoni meħtieġa]</v>
      </c>
    </row>
    <row r="10437" ht="15.75" customHeight="1">
      <c r="A10437" s="2" t="s">
        <v>10437</v>
      </c>
      <c r="B10437" s="2" t="str">
        <f>IFERROR(__xludf.DUMMYFUNCTION("GOOGLETRANSLATE(A10437, ""en"", ""mt"")"),"Meta nħareġ ir-rapport speċjali dwar is-sorsi ta 'enerġija rinnovabbli u l-mitigazzjoni tal-bidla fil-klima (SREN)?")</f>
        <v>Meta nħareġ ir-rapport speċjali dwar is-sorsi ta 'enerġija rinnovabbli u l-mitigazzjoni tal-bidla fil-klima (SREN)?</v>
      </c>
    </row>
    <row r="10438" ht="15.75" customHeight="1">
      <c r="A10438" s="2" t="s">
        <v>10438</v>
      </c>
      <c r="B10438" s="2" t="str">
        <f>IFERROR(__xludf.DUMMYFUNCTION("GOOGLETRANSLATE(A10438, ""en"", ""mt"")"),"Min appoġġa lil Andreas Karistadt fir-riforma f'Wittenberg?")</f>
        <v>Min appoġġa lil Andreas Karistadt fir-riforma f'Wittenberg?</v>
      </c>
    </row>
    <row r="10439" ht="15.75" customHeight="1">
      <c r="A10439" s="2" t="s">
        <v>10439</v>
      </c>
      <c r="B10439" s="2" t="str">
        <f>IFERROR(__xludf.DUMMYFUNCTION("GOOGLETRANSLATE(A10439, ""en"", ""mt"")"),"Qara Khitai.")</f>
        <v>Qara Khitai.</v>
      </c>
    </row>
    <row r="10440" ht="15.75" customHeight="1">
      <c r="A10440" s="2" t="s">
        <v>10440</v>
      </c>
      <c r="B10440" s="2" t="str">
        <f>IFERROR(__xludf.DUMMYFUNCTION("GOOGLETRANSLATE(A10440, ""en"", ""mt"")"),"ġurnalist")</f>
        <v>ġurnalist</v>
      </c>
    </row>
    <row r="10441" ht="15.75" customHeight="1">
      <c r="A10441" s="2" t="s">
        <v>10441</v>
      </c>
      <c r="B10441" s="2" t="str">
        <f>IFERROR(__xludf.DUMMYFUNCTION("GOOGLETRANSLATE(A10441, ""en"", ""mt"")"),"Eicosanoids u ċitokini")</f>
        <v>Eicosanoids u ċitokini</v>
      </c>
    </row>
    <row r="10442" ht="15.75" customHeight="1">
      <c r="A10442" s="2" t="s">
        <v>10442</v>
      </c>
      <c r="B10442" s="2" t="str">
        <f>IFERROR(__xludf.DUMMYFUNCTION("GOOGLETRANSLATE(A10442, ""en"", ""mt"")"),"Fuq xiex tonfoq Tesla l-flus ta 'Astor?")</f>
        <v>Fuq xiex tonfoq Tesla l-flus ta 'Astor?</v>
      </c>
    </row>
    <row r="10443" ht="15.75" customHeight="1">
      <c r="A10443" s="2" t="s">
        <v>10443</v>
      </c>
      <c r="B10443" s="2" t="str">
        <f>IFERROR(__xludf.DUMMYFUNCTION("GOOGLETRANSLATE(A10443, ""en"", ""mt"")"),"X'kienet l-akbar kumpanija tal-fuħħar fid-dinja fl-1817?")</f>
        <v>X'kienet l-akbar kumpanija tal-fuħħar fid-dinja fl-1817?</v>
      </c>
    </row>
    <row r="10444" ht="15.75" customHeight="1">
      <c r="A10444" s="2" t="s">
        <v>10444</v>
      </c>
      <c r="B10444" s="2" t="str">
        <f>IFERROR(__xludf.DUMMYFUNCTION("GOOGLETRANSLATE(A10444, ""en"", ""mt"")"),"Ħsarat fl-Amerika ta ’Fuq")</f>
        <v>Ħsarat fl-Amerika ta ’Fuq</v>
      </c>
    </row>
    <row r="10445" ht="15.75" customHeight="1">
      <c r="A10445" s="2" t="s">
        <v>10445</v>
      </c>
      <c r="B10445" s="2" t="str">
        <f>IFERROR(__xludf.DUMMYFUNCTION("GOOGLETRANSLATE(A10445, ""en"", ""mt"")"),"Is-sid jipproduċi lista ta 'rekwiżiti għal proġett, li jagħti veduta ġenerali tal-għanijiet tal-proġett. Bosta kuntratturi ta 'D&amp;B jippreżentaw ideat differenti dwar kif jistgħu jintlaħqu dawn l-għanijiet. Is-sid jagħżel l-ideat li jħobb l-aħjar u jikri l"&amp;"-kuntrattur xieraq. Ħafna drabi, mhuwiex biss kuntrattur wieħed, iżda konsorzju ta 'diversi kuntratturi li jaħdmu flimkien. Ladarba dawn ikunu ġew mikrija, jibdew jibnu l-ewwel fażi tal-proġett. Hekk kif jibnu l-fażi 1, huma jiddisinjaw il-fażi 2. Dan huw"&amp;"a f'kuntrast ma 'kuntratt ta' bini-bid, fejn il-proġett huwa ddisinjat kompletament mis-sid, u mbagħad jitlesta, imbagħad tlesta.")</f>
        <v>Is-sid jipproduċi lista ta 'rekwiżiti għal proġett, li jagħti veduta ġenerali tal-għanijiet tal-proġett. Bosta kuntratturi ta 'D&amp;B jippreżentaw ideat differenti dwar kif jistgħu jintlaħqu dawn l-għanijiet. Is-sid jagħżel l-ideat li jħobb l-aħjar u jikri l-kuntrattur xieraq. Ħafna drabi, mhuwiex biss kuntrattur wieħed, iżda konsorzju ta 'diversi kuntratturi li jaħdmu flimkien. Ladarba dawn ikunu ġew mikrija, jibdew jibnu l-ewwel fażi tal-proġett. Hekk kif jibnu l-fażi 1, huma jiddisinjaw il-fażi 2. Dan huwa f'kuntrast ma 'kuntratt ta' bini-bid, fejn il-proġett huwa ddisinjat kompletament mis-sid, u mbagħad jitlesta, imbagħad tlesta.</v>
      </c>
    </row>
    <row r="10446" ht="15.75" customHeight="1">
      <c r="A10446" s="2" t="s">
        <v>10446</v>
      </c>
      <c r="B10446" s="2" t="str">
        <f>IFERROR(__xludf.DUMMYFUNCTION("GOOGLETRANSLATE(A10446, ""en"", ""mt"")"),"X'qed jara lil missier Martin li daħal fil-kjostru bħala ħela ta '?")</f>
        <v>X'qed jara lil missier Martin li daħal fil-kjostru bħala ħela ta '?</v>
      </c>
    </row>
    <row r="10447" ht="15.75" customHeight="1">
      <c r="A10447" s="2" t="s">
        <v>10447</v>
      </c>
      <c r="B10447" s="2" t="str">
        <f>IFERROR(__xludf.DUMMYFUNCTION("GOOGLETRANSLATE(A10447, ""en"", ""mt"")"),"Ir-relay tal-qafas intuża biex jgħaqqad LANs madwar netwerks ta 'żona wiesgħa. Madankollu, x.25 u kif ukoll ir-relay tal-qafas ġew sostitwiti")</f>
        <v>Ir-relay tal-qafas intuża biex jgħaqqad LANs madwar netwerks ta 'żona wiesgħa. Madankollu, x.25 u kif ukoll ir-relay tal-qafas ġew sostitwiti</v>
      </c>
    </row>
    <row r="10448" ht="15.75" customHeight="1">
      <c r="A10448" s="2" t="s">
        <v>10448</v>
      </c>
      <c r="B10448" s="2" t="str">
        <f>IFERROR(__xludf.DUMMYFUNCTION("GOOGLETRANSLATE(A10448, ""en"", ""mt"")"),"Madwar 5 miljun")</f>
        <v>Madwar 5 miljun</v>
      </c>
    </row>
    <row r="10449" ht="15.75" customHeight="1">
      <c r="A10449" s="2" t="s">
        <v>10449</v>
      </c>
      <c r="B10449" s="2" t="str">
        <f>IFERROR(__xludf.DUMMYFUNCTION("GOOGLETRANSLATE(A10449, ""en"", ""mt"")"),"Plastome")</f>
        <v>Plastome</v>
      </c>
    </row>
    <row r="10450" ht="15.75" customHeight="1">
      <c r="A10450" s="2" t="s">
        <v>10450</v>
      </c>
      <c r="B10450" s="2" t="str">
        <f>IFERROR(__xludf.DUMMYFUNCTION("GOOGLETRANSLATE(A10450, ""en"", ""mt"")"),"mit-tradizzjonijiet kostituzzjonali komuni għall-istati membri")</f>
        <v>mit-tradizzjonijiet kostituzzjonali komuni għall-istati membri</v>
      </c>
    </row>
    <row r="10451" ht="15.75" customHeight="1">
      <c r="A10451" s="2" t="s">
        <v>10451</v>
      </c>
      <c r="B10451" s="2" t="str">
        <f>IFERROR(__xludf.DUMMYFUNCTION("GOOGLETRANSLATE(A10451, ""en"", ""mt"")"),"828,000 mara")</f>
        <v>828,000 mara</v>
      </c>
    </row>
    <row r="10452" ht="15.75" customHeight="1">
      <c r="A10452" s="2" t="s">
        <v>10452</v>
      </c>
      <c r="B10452" s="2" t="str">
        <f>IFERROR(__xludf.DUMMYFUNCTION("GOOGLETRANSLATE(A10452, ""en"", ""mt"")"),"Ukrajna")</f>
        <v>Ukrajna</v>
      </c>
    </row>
    <row r="10453" ht="15.75" customHeight="1">
      <c r="A10453" s="2" t="s">
        <v>10453</v>
      </c>
      <c r="B10453" s="2" t="str">
        <f>IFERROR(__xludf.DUMMYFUNCTION("GOOGLETRANSLATE(A10453, ""en"", ""mt"")"),"Liema stazzjon tat-TV wera x-xandiriet tas-serje Original Doctor WHO?")</f>
        <v>Liema stazzjon tat-TV wera x-xandiriet tas-serje Original Doctor WHO?</v>
      </c>
    </row>
    <row r="10454" ht="15.75" customHeight="1">
      <c r="A10454" s="2" t="s">
        <v>10454</v>
      </c>
      <c r="B10454" s="2" t="str">
        <f>IFERROR(__xludf.DUMMYFUNCTION("GOOGLETRANSLATE(A10454, ""en"", ""mt"")"),"il-kaċċa ta 'diversi annimali")</f>
        <v>il-kaċċa ta 'diversi annimali</v>
      </c>
    </row>
    <row r="10455" ht="15.75" customHeight="1">
      <c r="A10455" s="2" t="s">
        <v>10455</v>
      </c>
      <c r="B10455" s="2" t="str">
        <f>IFERROR(__xludf.DUMMYFUNCTION("GOOGLETRANSLATE(A10455, ""en"", ""mt"")"),"tespandi l-orizzonti")</f>
        <v>tespandi l-orizzonti</v>
      </c>
    </row>
    <row r="10456" ht="15.75" customHeight="1">
      <c r="A10456" s="2" t="s">
        <v>10456</v>
      </c>
      <c r="B10456" s="2" t="str">
        <f>IFERROR(__xludf.DUMMYFUNCTION("GOOGLETRANSLATE(A10456, ""en"", ""mt"")"),"Meta l-kumitat għal azzjoni mhux vjolenti sponsorja protesta f'Awwissu 1957, fis-sit tat-test nukleari tal-Merkurju tal-kamp qrib Las Vegas, Nevada, 13 mill-protestanti ppruvaw jidħlu fis-sit tat-test meta jafu li ffaċċjaw l-arrest. F'ħin imħabbra minn qa"&amp;"bel, wieħed kull darba li telgħu madwar il- ""linja"" u ġew arrestati immedjatament. Huma tpoġġew fuq xarabank u ttieħdu fis-sede tal-Kontea ta ’Nye ta’ Tonopah, Nevada, u ntejbu għall-proċess quddiem il-ġustizzja lokali tal-paċi, dak wara nofsinhar. Avuk"&amp;"at magħruf tad-drittijiet ċivili, Francis Heisler, kien volontarjat biex jiddefendi lill-persuni arrestati, u tahom pariri biex jinvokaw ""Nolo Contendere"", bħala alternattiva biex tinvoka ħati jew mhux ħatja. Il-persuni arrestati nstabu ""ħatja,"" madan"&amp;"kollu, u ngħataw sentenzi sospiżi, kondizzjonali fuq il-bażi tas-sit tat-test tagħhom. [Ċitazzjoni meħtieġa]")</f>
        <v>Meta l-kumitat għal azzjoni mhux vjolenti sponsorja protesta f'Awwissu 1957, fis-sit tat-test nukleari tal-Merkurju tal-kamp qrib Las Vegas, Nevada, 13 mill-protestanti ppruvaw jidħlu fis-sit tat-test meta jafu li ffaċċjaw l-arrest. F'ħin imħabbra minn qabel, wieħed kull darba li telgħu madwar il- "linja" u ġew arrestati immedjatament. Huma tpoġġew fuq xarabank u ttieħdu fis-sede tal-Kontea ta ’Nye ta’ Tonopah, Nevada, u ntejbu għall-proċess quddiem il-ġustizzja lokali tal-paċi, dak wara nofsinhar. Avukat magħruf tad-drittijiet ċivili, Francis Heisler, kien volontarjat biex jiddefendi lill-persuni arrestati, u tahom pariri biex jinvokaw "Nolo Contendere", bħala alternattiva biex tinvoka ħati jew mhux ħatja. Il-persuni arrestati nstabu "ħatja," madankollu, u ngħataw sentenzi sospiżi, kondizzjonali fuq il-bażi tas-sit tat-test tagħhom. [Ċitazzjoni meħtieġa]</v>
      </c>
    </row>
    <row r="10457" ht="15.75" customHeight="1">
      <c r="A10457" s="2" t="s">
        <v>10457</v>
      </c>
      <c r="B10457" s="2" t="str">
        <f>IFERROR(__xludf.DUMMYFUNCTION("GOOGLETRANSLATE(A10457, ""en"", ""mt"")"),"It-Tlieta wara nofsinhar qabel il-logħba")</f>
        <v>It-Tlieta wara nofsinhar qabel il-logħba</v>
      </c>
    </row>
    <row r="10458" ht="15.75" customHeight="1">
      <c r="A10458" s="2" t="s">
        <v>10458</v>
      </c>
      <c r="B10458" s="2" t="str">
        <f>IFERROR(__xludf.DUMMYFUNCTION("GOOGLETRANSLATE(A10458, ""en"", ""mt"")"),"jitħallew iqimu liberament")</f>
        <v>jitħallew iqimu liberament</v>
      </c>
    </row>
    <row r="10459" ht="15.75" customHeight="1">
      <c r="A10459" s="2" t="s">
        <v>10459</v>
      </c>
      <c r="B10459" s="2" t="str">
        <f>IFERROR(__xludf.DUMMYFUNCTION("GOOGLETRANSLATE(A10459, ""en"", ""mt"")"),"il-kulur tiegħu,")</f>
        <v>il-kulur tiegħu,</v>
      </c>
    </row>
    <row r="10460" ht="15.75" customHeight="1">
      <c r="A10460" s="2" t="s">
        <v>10460</v>
      </c>
      <c r="B10460" s="2" t="str">
        <f>IFERROR(__xludf.DUMMYFUNCTION("GOOGLETRANSLATE(A10460, ""en"", ""mt"")"),"ABC kellu status sekondarju fuq l-istazzjonijiet eżistenti f'liema belt ta 'Ohio?")</f>
        <v>ABC kellu status sekondarju fuq l-istazzjonijiet eżistenti f'liema belt ta 'Ohio?</v>
      </c>
    </row>
    <row r="10461" ht="15.75" customHeight="1">
      <c r="A10461" s="2" t="s">
        <v>10461</v>
      </c>
      <c r="B10461" s="2" t="str">
        <f>IFERROR(__xludf.DUMMYFUNCTION("GOOGLETRANSLATE(A10461, ""en"", ""mt"")"),"Ingħaqad ma 'Politeknika Vokazzjonali taż-Żgħażagħ / Village")</f>
        <v>Ingħaqad ma 'Politeknika Vokazzjonali taż-Żgħażagħ / Village</v>
      </c>
    </row>
    <row r="10462" ht="15.75" customHeight="1">
      <c r="A10462" s="2" t="s">
        <v>10462</v>
      </c>
      <c r="B10462" s="2" t="str">
        <f>IFERROR(__xludf.DUMMYFUNCTION("GOOGLETRANSLATE(A10462, ""en"", ""mt"")"),"Peabody Museum of Arkeology and Ethnology")</f>
        <v>Peabody Museum of Arkeology and Ethnology</v>
      </c>
    </row>
    <row r="10463" ht="15.75" customHeight="1">
      <c r="A10463" s="2" t="s">
        <v>10463</v>
      </c>
      <c r="B10463" s="2" t="str">
        <f>IFERROR(__xludf.DUMMYFUNCTION("GOOGLETRANSLATE(A10463, ""en"", ""mt"")"),"T. J. Ward.")</f>
        <v>T. J. Ward.</v>
      </c>
    </row>
    <row r="10464" ht="15.75" customHeight="1">
      <c r="A10464" s="2" t="s">
        <v>10464</v>
      </c>
      <c r="B10464" s="2" t="str">
        <f>IFERROR(__xludf.DUMMYFUNCTION("GOOGLETRANSLATE(A10464, ""en"", ""mt"")"),"Stati Uniti")</f>
        <v>Stati Uniti</v>
      </c>
    </row>
    <row r="10465" ht="15.75" customHeight="1">
      <c r="A10465" s="2" t="s">
        <v>10465</v>
      </c>
      <c r="B10465" s="2" t="str">
        <f>IFERROR(__xludf.DUMMYFUNCTION("GOOGLETRANSLATE(A10465, ""en"", ""mt"")"),"Saturathom inkonxjament bl-elettriku")</f>
        <v>Saturathom inkonxjament bl-elettriku</v>
      </c>
    </row>
    <row r="10466" ht="15.75" customHeight="1">
      <c r="A10466" s="2" t="s">
        <v>10466</v>
      </c>
      <c r="B10466" s="2" t="str">
        <f>IFERROR(__xludf.DUMMYFUNCTION("GOOGLETRANSLATE(A10466, ""en"", ""mt"")"),"Warner Center jinsab f'liema żona?")</f>
        <v>Warner Center jinsab f'liema żona?</v>
      </c>
    </row>
    <row r="10467" ht="15.75" customHeight="1">
      <c r="A10467" s="2" t="s">
        <v>10467</v>
      </c>
      <c r="B10467" s="2" t="str">
        <f>IFERROR(__xludf.DUMMYFUNCTION("GOOGLETRANSLATE(A10467, ""en"", ""mt"")"),"X'għamel Virgin Media BSKYB li rriżulta li Virgin ma ġġorrx il-kanali aktar?")</f>
        <v>X'għamel Virgin Media BSKYB li rriżulta li Virgin ma ġġorrx il-kanali aktar?</v>
      </c>
    </row>
    <row r="10468" ht="15.75" customHeight="1">
      <c r="A10468" s="2" t="s">
        <v>10468</v>
      </c>
      <c r="B10468" s="2" t="str">
        <f>IFERROR(__xludf.DUMMYFUNCTION("GOOGLETRANSLATE(A10468, ""en"", ""mt"")"),"F’liema sena l-film semma wkoll in-numru ta ’riġenerazzjonijiet?")</f>
        <v>F’liema sena l-film semma wkoll in-numru ta ’riġenerazzjonijiet?</v>
      </c>
    </row>
    <row r="10469" ht="15.75" customHeight="1">
      <c r="A10469" s="2" t="s">
        <v>10469</v>
      </c>
      <c r="B10469" s="2" t="str">
        <f>IFERROR(__xludf.DUMMYFUNCTION("GOOGLETRANSLATE(A10469, ""en"", ""mt"")"),"Meta Franza bdiet bla heda biex tibni mill-ġdid l-imperu globali tagħha?")</f>
        <v>Meta Franza bdiet bla heda biex tibni mill-ġdid l-imperu globali tagħha?</v>
      </c>
    </row>
    <row r="10470" ht="15.75" customHeight="1">
      <c r="A10470" s="2" t="s">
        <v>10470</v>
      </c>
      <c r="B10470" s="2" t="str">
        <f>IFERROR(__xludf.DUMMYFUNCTION("GOOGLETRANSLATE(A10470, ""en"", ""mt"")"),"Banquet")</f>
        <v>Banquet</v>
      </c>
    </row>
    <row r="10471" ht="15.75" customHeight="1">
      <c r="A10471" s="2" t="s">
        <v>10471</v>
      </c>
      <c r="B10471" s="2" t="str">
        <f>IFERROR(__xludf.DUMMYFUNCTION("GOOGLETRANSLATE(A10471, ""en"", ""mt"")"),"Liema studju edukattiv Luther beda jsegwi u jaqa 'immedjatament?")</f>
        <v>Liema studju edukattiv Luther beda jsegwi u jaqa 'immedjatament?</v>
      </c>
    </row>
    <row r="10472" ht="15.75" customHeight="1">
      <c r="A10472" s="2" t="s">
        <v>10472</v>
      </c>
      <c r="B10472" s="2" t="str">
        <f>IFERROR(__xludf.DUMMYFUNCTION("GOOGLETRANSLATE(A10472, ""en"", ""mt"")"),"Ir-rwol tal-ispiżjar kliniku jinvolvi l-ħolqien ta 'pjan komprensiv ta' terapija ta 'mediċina għal problemi speċifiċi għall-pazjent, l-identifikazzjoni ta' għanijiet ta 'terapija, u tirrevedi l-mediċini preskritti kollha qabel it-tqassim u l-għoti lill-pa"&amp;"zjent. Il-proċess ta 'reviżjoni ħafna drabi jinvolvi evalwazzjoni ta' l-adegwatezza tat-terapija tal-mediċina (per eżempju, l-għażla tal-mediċina, id-doża, ir-rotta, il-frekwenza, u t-tul tat-terapija) u l-effikaċja tagħha. L-ispiżjar għandu wkoll jimmoni"&amp;"torja għal interazzjonijiet potenzjali ta 'mediċini, reazzjonijiet avversi għall-mediċina, u jivvaluta l-allerġiji tal-mediċina tal-pazjent waqt li jiddisinja u jibda pjan ta' terapija ta 'mediċina.")</f>
        <v>Ir-rwol tal-ispiżjar kliniku jinvolvi l-ħolqien ta 'pjan komprensiv ta' terapija ta 'mediċina għal problemi speċifiċi għall-pazjent, l-identifikazzjoni ta' għanijiet ta 'terapija, u tirrevedi l-mediċini preskritti kollha qabel it-tqassim u l-għoti lill-pazjent. Il-proċess ta 'reviżjoni ħafna drabi jinvolvi evalwazzjoni ta' l-adegwatezza tat-terapija tal-mediċina (per eżempju, l-għażla tal-mediċina, id-doża, ir-rotta, il-frekwenza, u t-tul tat-terapija) u l-effikaċja tagħha. L-ispiżjar għandu wkoll jimmonitorja għal interazzjonijiet potenzjali ta 'mediċini, reazzjonijiet avversi għall-mediċina, u jivvaluta l-allerġiji tal-mediċina tal-pazjent waqt li jiddisinja u jibda pjan ta' terapija ta 'mediċina.</v>
      </c>
    </row>
    <row r="10473" ht="15.75" customHeight="1">
      <c r="A10473" s="2" t="s">
        <v>10473</v>
      </c>
      <c r="B10473" s="2" t="str">
        <f>IFERROR(__xludf.DUMMYFUNCTION("GOOGLETRANSLATE(A10473, ""en"", ""mt"")"),"Liema mill-ħbieb tat-tfulija ta 'Temüjin għamlu Toghrul li jissuġġerixxi wkoll?")</f>
        <v>Liema mill-ħbieb tat-tfulija ta 'Temüjin għamlu Toghrul li jissuġġerixxi wkoll?</v>
      </c>
    </row>
    <row r="10474" ht="15.75" customHeight="1">
      <c r="A10474" s="2" t="s">
        <v>10474</v>
      </c>
      <c r="B10474" s="2" t="str">
        <f>IFERROR(__xludf.DUMMYFUNCTION("GOOGLETRANSLATE(A10474, ""en"", ""mt"")"),"Tbassir tal-istruttura tal-proteini")</f>
        <v>Tbassir tal-istruttura tal-proteini</v>
      </c>
    </row>
    <row r="10475" ht="15.75" customHeight="1">
      <c r="A10475" s="2" t="s">
        <v>10475</v>
      </c>
      <c r="B10475" s="2" t="str">
        <f>IFERROR(__xludf.DUMMYFUNCTION("GOOGLETRANSLATE(A10475, ""en"", ""mt"")"),"X'tip ta 'skulturi kontinentali huma rappreżentati fil-galleriji Ingliżi tal-V &amp; A?")</f>
        <v>X'tip ta 'skulturi kontinentali huma rappreżentati fil-galleriji Ingliżi tal-V &amp; A?</v>
      </c>
    </row>
    <row r="10476" ht="15.75" customHeight="1">
      <c r="A10476" s="2" t="s">
        <v>10476</v>
      </c>
      <c r="B10476" s="2" t="str">
        <f>IFERROR(__xludf.DUMMYFUNCTION("GOOGLETRANSLATE(A10476, ""en"", ""mt"")"),"Gżejjer Channel")</f>
        <v>Gżejjer Channel</v>
      </c>
    </row>
    <row r="10477" ht="15.75" customHeight="1">
      <c r="A10477" s="2" t="s">
        <v>10477</v>
      </c>
      <c r="B10477" s="2" t="str">
        <f>IFERROR(__xludf.DUMMYFUNCTION("GOOGLETRANSLATE(A10477, ""en"", ""mt"")"),"It-theddida diretta li jmiss għal Temüjin kienet in-Naimans (Naiman Mongols), li magħhom Jamukha u s-segwaċi tiegħu kennu. In-Naimans ma ċedewx, għalkemm setturi biżżejjed mill-ġdid b’mod volontarju ma ’Temüjin. Fl-1201, Khuldai ġie elett lil Jamukha bħal"&amp;"a Gür Khan, ""Ruler Universali"", titlu użat mill-kbarat tal-Qara Khitai. L-assunzjoni ta 'Jamukha ta' dan it-titlu kienet l-aħħar ksur ma 'Temüjin, u Jamukha ffurma koalizzjoni ta' tribujiet biex jopponuh. Qabel il-kunflitt, madankollu, diversi ġenerali "&amp;"abbandunaw Jamukha, inkluż Subutai, ħuh iżgħar magħruf ta 'Jelme. Wara diversi battalji, Jamukha finalment ġie mdawwar għand Temüjin mill-irġiel tiegħu stess fl-1206.")</f>
        <v>It-theddida diretta li jmiss għal Temüjin kienet in-Naimans (Naiman Mongols), li magħhom Jamukha u s-segwaċi tiegħu kennu. In-Naimans ma ċedewx, għalkemm setturi biżżejjed mill-ġdid b’mod volontarju ma ’Temüjin. Fl-1201, Khuldai ġie elett lil Jamukha bħala Gür Khan, "Ruler Universali", titlu użat mill-kbarat tal-Qara Khitai. L-assunzjoni ta 'Jamukha ta' dan it-titlu kienet l-aħħar ksur ma 'Temüjin, u Jamukha ffurma koalizzjoni ta' tribujiet biex jopponuh. Qabel il-kunflitt, madankollu, diversi ġenerali abbandunaw Jamukha, inkluż Subutai, ħuh iżgħar magħruf ta 'Jelme. Wara diversi battalji, Jamukha finalment ġie mdawwar għand Temüjin mill-irġiel tiegħu stess fl-1206.</v>
      </c>
    </row>
    <row r="10478" ht="15.75" customHeight="1">
      <c r="A10478" s="2" t="s">
        <v>10478</v>
      </c>
      <c r="B10478" s="2" t="str">
        <f>IFERROR(__xludf.DUMMYFUNCTION("GOOGLETRANSLATE(A10478, ""en"", ""mt"")"),"In-Nofsinhar ta ’California hija l-iktar famuża għat-turiżmu u dak li notevolment id-Distrett?")</f>
        <v>In-Nofsinhar ta ’California hija l-iktar famuża għat-turiżmu u dak li notevolment id-Distrett?</v>
      </c>
    </row>
    <row r="10479" ht="15.75" customHeight="1">
      <c r="A10479" s="2" t="s">
        <v>10479</v>
      </c>
      <c r="B10479" s="2" t="str">
        <f>IFERROR(__xludf.DUMMYFUNCTION("GOOGLETRANSLATE(A10479, ""en"", ""mt"")"),"X'kienu l-kundizzjonijiet għall-minaturi fl-għelieqi tad-deheb fir-Rabat?")</f>
        <v>X'kienu l-kundizzjonijiet għall-minaturi fl-għelieqi tad-deheb fir-Rabat?</v>
      </c>
    </row>
    <row r="10480" ht="15.75" customHeight="1">
      <c r="A10480" s="2" t="s">
        <v>10480</v>
      </c>
      <c r="B10480" s="2" t="str">
        <f>IFERROR(__xludf.DUMMYFUNCTION("GOOGLETRANSLATE(A10480, ""en"", ""mt"")"),"Sistema immunitarja adattiva")</f>
        <v>Sistema immunitarja adattiva</v>
      </c>
    </row>
    <row r="10481" ht="15.75" customHeight="1">
      <c r="A10481" s="2" t="s">
        <v>10481</v>
      </c>
      <c r="B10481" s="2" t="str">
        <f>IFERROR(__xludf.DUMMYFUNCTION("GOOGLETRANSLATE(A10481, ""en"", ""mt"")"),"Meta l-Kenja laħqet is-semi-finali?")</f>
        <v>Meta l-Kenja laħqet is-semi-finali?</v>
      </c>
    </row>
    <row r="10482" ht="15.75" customHeight="1">
      <c r="A10482" s="2" t="s">
        <v>10482</v>
      </c>
      <c r="B10482" s="2" t="str">
        <f>IFERROR(__xludf.DUMMYFUNCTION("GOOGLETRANSLATE(A10482, ""en"", ""mt"")"),"Partiti Politiċi")</f>
        <v>Partiti Politiċi</v>
      </c>
    </row>
    <row r="10483" ht="15.75" customHeight="1">
      <c r="A10483" s="2" t="s">
        <v>10483</v>
      </c>
      <c r="B10483" s="2" t="str">
        <f>IFERROR(__xludf.DUMMYFUNCTION("GOOGLETRANSLATE(A10483, ""en"", ""mt"")"),"Jamukha,")</f>
        <v>Jamukha,</v>
      </c>
    </row>
    <row r="10484" ht="15.75" customHeight="1">
      <c r="A10484" s="2" t="s">
        <v>10484</v>
      </c>
      <c r="B10484" s="2" t="str">
        <f>IFERROR(__xludf.DUMMYFUNCTION("GOOGLETRANSLATE(A10484, ""en"", ""mt"")"),"Fejn twieldet l-artist famuż Tamara de Lempicka?")</f>
        <v>Fejn twieldet l-artist famuż Tamara de Lempicka?</v>
      </c>
    </row>
    <row r="10485" ht="15.75" customHeight="1">
      <c r="A10485" s="2" t="s">
        <v>10485</v>
      </c>
      <c r="B10485" s="2" t="str">
        <f>IFERROR(__xludf.DUMMYFUNCTION("GOOGLETRANSLATE(A10485, ""en"", ""mt"")"),"Liema president huwa kkreditat bil-kunċett oriġinali li jpoġġi lill-Amerikani fl-ispazju?")</f>
        <v>Liema president huwa kkreditat bil-kunċett oriġinali li jpoġġi lill-Amerikani fl-ispazju?</v>
      </c>
    </row>
    <row r="10486" ht="15.75" customHeight="1">
      <c r="A10486" s="2" t="s">
        <v>10486</v>
      </c>
      <c r="B10486" s="2" t="str">
        <f>IFERROR(__xludf.DUMMYFUNCTION("GOOGLETRANSLATE(A10486, ""en"", ""mt"")"),"libertà taċ-ċerimonja")</f>
        <v>libertà taċ-ċerimonja</v>
      </c>
    </row>
    <row r="10487" ht="15.75" customHeight="1">
      <c r="A10487" s="2" t="s">
        <v>10487</v>
      </c>
      <c r="B10487" s="2" t="str">
        <f>IFERROR(__xludf.DUMMYFUNCTION("GOOGLETRANSLATE(A10487, ""en"", ""mt"")"),"77 passes")</f>
        <v>77 passes</v>
      </c>
    </row>
    <row r="10488" ht="15.75" customHeight="1">
      <c r="A10488" s="2" t="s">
        <v>10488</v>
      </c>
      <c r="B10488" s="2" t="str">
        <f>IFERROR(__xludf.DUMMYFUNCTION("GOOGLETRANSLATE(A10488, ""en"", ""mt"")"),"X'inhu eżempju ta 'diżubbidjenza illegali?")</f>
        <v>X'inhu eżempju ta 'diżubbidjenza illegali?</v>
      </c>
    </row>
    <row r="10489" ht="15.75" customHeight="1">
      <c r="A10489" s="2" t="s">
        <v>10489</v>
      </c>
      <c r="B10489" s="2" t="str">
        <f>IFERROR(__xludf.DUMMYFUNCTION("GOOGLETRANSLATE(A10489, ""en"", ""mt"")"),"Meta l-Black Death kienet teknikament naqset?")</f>
        <v>Meta l-Black Death kienet teknikament naqset?</v>
      </c>
    </row>
    <row r="10490" ht="15.75" customHeight="1">
      <c r="A10490" s="2" t="s">
        <v>10490</v>
      </c>
      <c r="B10490" s="2" t="str">
        <f>IFERROR(__xludf.DUMMYFUNCTION("GOOGLETRANSLATE(A10490, ""en"", ""mt"")"),"Kif iddeskriva lil Genghis Khan lilu nnifsu lin-nies ta 'Bukhara?")</f>
        <v>Kif iddeskriva lil Genghis Khan lilu nnifsu lin-nies ta 'Bukhara?</v>
      </c>
    </row>
    <row r="10491" ht="15.75" customHeight="1">
      <c r="A10491" s="2" t="s">
        <v>10491</v>
      </c>
      <c r="B10491" s="2" t="str">
        <f>IFERROR(__xludf.DUMMYFUNCTION("GOOGLETRANSLATE(A10491, ""en"", ""mt"")"),"17,000")</f>
        <v>17,000</v>
      </c>
    </row>
    <row r="10492" ht="15.75" customHeight="1">
      <c r="A10492" s="2" t="s">
        <v>10492</v>
      </c>
      <c r="B10492" s="2" t="str">
        <f>IFERROR(__xludf.DUMMYFUNCTION("GOOGLETRANSLATE(A10492, ""en"", ""mt"")"),"Datapac ġie żviluppat minn Bell Northern Research")</f>
        <v>Datapac ġie żviluppat minn Bell Northern Research</v>
      </c>
    </row>
    <row r="10493" ht="15.75" customHeight="1">
      <c r="A10493" s="2" t="s">
        <v>10493</v>
      </c>
      <c r="B10493" s="2" t="str">
        <f>IFERROR(__xludf.DUMMYFUNCTION("GOOGLETRANSLATE(A10493, ""en"", ""mt"")"),"Il-Librerija Presidenzjali George W. Bush")</f>
        <v>Il-Librerija Presidenzjali George W. Bush</v>
      </c>
    </row>
    <row r="10494" ht="15.75" customHeight="1">
      <c r="A10494" s="2" t="s">
        <v>10494</v>
      </c>
      <c r="B10494" s="2" t="str">
        <f>IFERROR(__xludf.DUMMYFUNCTION("GOOGLETRANSLATE(A10494, ""en"", ""mt"")"),"L-Erbgħa wara nofsinhar")</f>
        <v>L-Erbgħa wara nofsinhar</v>
      </c>
    </row>
    <row r="10495" ht="15.75" customHeight="1">
      <c r="A10495" s="2" t="s">
        <v>10495</v>
      </c>
      <c r="B10495" s="2" t="str">
        <f>IFERROR(__xludf.DUMMYFUNCTION("GOOGLETRANSLATE(A10495, ""en"", ""mt"")"),"Fattur importanti fil-ħolqien ta 'inugwaljanza huwa l-varjazzjoni fl-aċċess ta' individwi għall-edukazzjoni. L-edukazzjoni, speċjalment f'qasam fejn hemm domanda għolja għall-ħaddiema, toħloq pagi għoljin għal dawk b'din l-edukazzjoni, madankollu, żidiet "&amp;"fl-edukazzjoni l-ewwel jiżdiedu u mbagħad inaqqsu t-tkabbir kif ukoll l-inugwaljanza tad-dħul. Bħala riżultat, dawk li ma jistgħux jaffordjaw edukazzjoni, jew jagħżlu li ma jsegwux edukazzjoni fakultattiva, ġeneralment jirċievu pagi ferm aktar baxxi. Il-ġ"&amp;"ustifikazzjoni għal dan hija li nuqqas ta 'edukazzjoni jwassal direttament għal dħul aktar baxx, u b'hekk aktar baxxi ffrankar u investiment aggregat. Bil-maqlub, l-edukazzjoni tqajjem id-dħul u tippromwovi t-tkabbir minħabba li tgħin biex tinħeles il-pot"&amp;"enzjal produttiv tal-foqra.")</f>
        <v>Fattur importanti fil-ħolqien ta 'inugwaljanza huwa l-varjazzjoni fl-aċċess ta' individwi għall-edukazzjoni. L-edukazzjoni, speċjalment f'qasam fejn hemm domanda għolja għall-ħaddiema, toħloq pagi għoljin għal dawk b'din l-edukazzjoni, madankollu, żidiet fl-edukazzjoni l-ewwel jiżdiedu u mbagħad inaqqsu t-tkabbir kif ukoll l-inugwaljanza tad-dħul. Bħala riżultat, dawk li ma jistgħux jaffordjaw edukazzjoni, jew jagħżlu li ma jsegwux edukazzjoni fakultattiva, ġeneralment jirċievu pagi ferm aktar baxxi. Il-ġustifikazzjoni għal dan hija li nuqqas ta 'edukazzjoni jwassal direttament għal dħul aktar baxx, u b'hekk aktar baxxi ffrankar u investiment aggregat. Bil-maqlub, l-edukazzjoni tqajjem id-dħul u tippromwovi t-tkabbir minħabba li tgħin biex tinħeles il-potenzjal produttiv tal-foqra.</v>
      </c>
    </row>
    <row r="10496" ht="15.75" customHeight="1">
      <c r="A10496" s="2" t="s">
        <v>10496</v>
      </c>
      <c r="B10496" s="2" t="str">
        <f>IFERROR(__xludf.DUMMYFUNCTION("GOOGLETRANSLATE(A10496, ""en"", ""mt"")"),"L-unità bażika tad-diviżjoni territorjali fil-Polonja hija komun (GMINA). Belt hija wkoll komun - iżda bil-charter tal-belt. Kemm il-bliet kif ukoll il-komuni huma rregolati minn sindku - iżda fil-komuni s-sindku huwa Vogt (wójt fil-Pollakk), madankollu f"&amp;"il-bliet - Burmistrz. Xi bliet ikbar jiksbu d-drittijiet, i.e. kompiti u privileġġi, li huma fil-pussess mill-unitajiet tat-tieni livell tad-diviżjoni territorjali - kontej jew powiats. Eżempju ta 'tali intitolament huwa reġistrazzjoni tal-karozzi: GMINA "&amp;"ma tistax tirreġistra karozzi, dan huwa kompitu ta' POWIAT (i.e. numru ta 'reġistrazzjoni jiddependi fuq dak li kien ġie rreġistrat karozza POWIAT, mhux GMINA). F'dan il-każ ngħidu dwar City County jew Powiat Grodzki. Bliet bħal dawn huma pereżempju Lubli"&amp;"n, Kraków, Gdańsk, Poznań. F'Varsavja, id-distretti tagħha wkoll għandhom xi wħud mid-drittijiet ta 'Powiat - bħalma diġà semmew ir-reġistrazzjoni tal-karozzi. Pereżempju, id-Distrett Wola għandu l-evidenza tiegħu stess u d-distrett ta 'Ursynów - tiegħu s"&amp;"tess (u l-karozzi minn Wola għandhom tip ieħor ta' numru ta 'reġistrazzjoni minn dawn minn Ursynów). Iżda pereżempju d-distretti fi Kraków m'għandhomx drittijiet ta 'POWIAT, u għalhekk in-numri ta' reġistrazzjoni fi Kraków huma tal-istess tip għad-distret"&amp;"ti kollha.")</f>
        <v>L-unità bażika tad-diviżjoni territorjali fil-Polonja hija komun (GMINA). Belt hija wkoll komun - iżda bil-charter tal-belt. Kemm il-bliet kif ukoll il-komuni huma rregolati minn sindku - iżda fil-komuni s-sindku huwa Vogt (wójt fil-Pollakk), madankollu fil-bliet - Burmistrz. Xi bliet ikbar jiksbu d-drittijiet, i.e. kompiti u privileġġi, li huma fil-pussess mill-unitajiet tat-tieni livell tad-diviżjoni territorjali - kontej jew powiats. Eżempju ta 'tali intitolament huwa reġistrazzjoni tal-karozzi: GMINA ma tistax tirreġistra karozzi, dan huwa kompitu ta' POWIAT (i.e. numru ta 'reġistrazzjoni jiddependi fuq dak li kien ġie rreġistrat karozza POWIAT, mhux GMINA). F'dan il-każ ngħidu dwar City County jew Powiat Grodzki. Bliet bħal dawn huma pereżempju Lublin, Kraków, Gdańsk, Poznań. F'Varsavja, id-distretti tagħha wkoll għandhom xi wħud mid-drittijiet ta 'Powiat - bħalma diġà semmew ir-reġistrazzjoni tal-karozzi. Pereżempju, id-Distrett Wola għandu l-evidenza tiegħu stess u d-distrett ta 'Ursynów - tiegħu stess (u l-karozzi minn Wola għandhom tip ieħor ta' numru ta 'reġistrazzjoni minn dawn minn Ursynów). Iżda pereżempju d-distretti fi Kraków m'għandhomx drittijiet ta 'POWIAT, u għalhekk in-numri ta' reġistrazzjoni fi Kraków huma tal-istess tip għad-distretti kollha.</v>
      </c>
    </row>
    <row r="10497" ht="15.75" customHeight="1">
      <c r="A10497" s="2" t="s">
        <v>10497</v>
      </c>
      <c r="B10497" s="2" t="str">
        <f>IFERROR(__xludf.DUMMYFUNCTION("GOOGLETRANSLATE(A10497, ""en"", ""mt"")"),"Liema mid-dixxendenti ta 'Genghis Khan ġiegħlu lill-Mamluks' il barra mill-Palestina?")</f>
        <v>Liema mid-dixxendenti ta 'Genghis Khan ġiegħlu lill-Mamluks' il barra mill-Palestina?</v>
      </c>
    </row>
    <row r="10498" ht="15.75" customHeight="1">
      <c r="A10498" s="2" t="s">
        <v>10498</v>
      </c>
      <c r="B10498" s="2" t="str">
        <f>IFERROR(__xludf.DUMMYFUNCTION("GOOGLETRANSLATE(A10498, ""en"", ""mt"")"),"X'kienet ir-raġuni rumored li Edison u Tesla ma ngħatawx il-premju?")</f>
        <v>X'kienet ir-raġuni rumored li Edison u Tesla ma ngħatawx il-premju?</v>
      </c>
    </row>
    <row r="10499" ht="15.75" customHeight="1">
      <c r="A10499" s="2" t="s">
        <v>10499</v>
      </c>
      <c r="B10499" s="2" t="str">
        <f>IFERROR(__xludf.DUMMYFUNCTION("GOOGLETRANSLATE(A10499, ""en"", ""mt"")"),"18,000")</f>
        <v>18,000</v>
      </c>
    </row>
    <row r="10500" ht="15.75" customHeight="1">
      <c r="A10500" s="2" t="s">
        <v>10500</v>
      </c>
      <c r="B10500" s="2" t="str">
        <f>IFERROR(__xludf.DUMMYFUNCTION("GOOGLETRANSLATE(A10500, ""en"", ""mt"")"),"Il-messaġġ / dejta oriġinali hija mmuntata mill-ġdid fl-ordni t-tajba, ibbażata fuq in-numru tas-sekwenza tal-pakketti")</f>
        <v>Il-messaġġ / dejta oriġinali hija mmuntata mill-ġdid fl-ordni t-tajba, ibbażata fuq in-numru tas-sekwenza tal-pakketti</v>
      </c>
    </row>
    <row r="10501" ht="15.75" customHeight="1">
      <c r="A10501" s="2" t="s">
        <v>10501</v>
      </c>
      <c r="B10501" s="2" t="str">
        <f>IFERROR(__xludf.DUMMYFUNCTION("GOOGLETRANSLATE(A10501, ""en"", ""mt"")"),"Min niżel fuq it-turf tal-istadium tal-Levi fil-ġimgħa 6 tal-istaġun NFL 2015?")</f>
        <v>Min niżel fuq it-turf tal-istadium tal-Levi fil-ġimgħa 6 tal-istaġun NFL 2015?</v>
      </c>
    </row>
    <row r="10502" ht="15.75" customHeight="1">
      <c r="A10502" s="2" t="s">
        <v>10502</v>
      </c>
      <c r="B10502" s="2" t="str">
        <f>IFERROR(__xludf.DUMMYFUNCTION("GOOGLETRANSLATE(A10502, ""en"", ""mt"")"),"X'inhi l-klima fi Newcastle?")</f>
        <v>X'inhi l-klima fi Newcastle?</v>
      </c>
    </row>
    <row r="10503" ht="15.75" customHeight="1">
      <c r="A10503" s="2" t="s">
        <v>10503</v>
      </c>
      <c r="B10503" s="2" t="str">
        <f>IFERROR(__xludf.DUMMYFUNCTION("GOOGLETRANSLATE(A10503, ""en"", ""mt"")"),"Liema Panther qatta 'l-ACL tiegħu fil-preseason?")</f>
        <v>Liema Panther qatta 'l-ACL tiegħu fil-preseason?</v>
      </c>
    </row>
    <row r="10504" ht="15.75" customHeight="1">
      <c r="A10504" s="2" t="s">
        <v>10504</v>
      </c>
      <c r="B10504" s="2" t="str">
        <f>IFERROR(__xludf.DUMMYFUNCTION("GOOGLETRANSLATE(A10504, ""en"", ""mt"")"),"valv tal-plagg")</f>
        <v>valv tal-plagg</v>
      </c>
    </row>
    <row r="10505" ht="15.75" customHeight="1">
      <c r="A10505" s="2" t="s">
        <v>10505</v>
      </c>
      <c r="B10505" s="2" t="str">
        <f>IFERROR(__xludf.DUMMYFUNCTION("GOOGLETRANSLATE(A10505, ""en"", ""mt"")"),"disinji fir-realtà")</f>
        <v>disinji fir-realtà</v>
      </c>
    </row>
    <row r="10506" ht="15.75" customHeight="1">
      <c r="A10506" s="2" t="s">
        <v>10506</v>
      </c>
      <c r="B10506" s="2" t="str">
        <f>IFERROR(__xludf.DUMMYFUNCTION("GOOGLETRANSLATE(A10506, ""en"", ""mt"")"),"Il-Kunsill tal-Belt")</f>
        <v>Il-Kunsill tal-Belt</v>
      </c>
    </row>
    <row r="10507" ht="15.75" customHeight="1">
      <c r="A10507" s="2" t="s">
        <v>10507</v>
      </c>
      <c r="B10507" s="2" t="str">
        <f>IFERROR(__xludf.DUMMYFUNCTION("GOOGLETRANSLATE(A10507, ""en"", ""mt"")"),"Urbanizzazzjoni")</f>
        <v>Urbanizzazzjoni</v>
      </c>
    </row>
    <row r="10508" ht="15.75" customHeight="1">
      <c r="A10508" s="2" t="s">
        <v>10508</v>
      </c>
      <c r="B10508" s="2" t="str">
        <f>IFERROR(__xludf.DUMMYFUNCTION("GOOGLETRANSLATE(A10508, ""en"", ""mt"")"),"Liema bliet ewlenin fl-Ewropa tal-Lvant ma nqerdux mill-invażjoni tal-Mongolja?")</f>
        <v>Liema bliet ewlenin fl-Ewropa tal-Lvant ma nqerdux mill-invażjoni tal-Mongolja?</v>
      </c>
    </row>
    <row r="10509" ht="15.75" customHeight="1">
      <c r="A10509" s="2" t="s">
        <v>10509</v>
      </c>
      <c r="B10509" s="2" t="str">
        <f>IFERROR(__xludf.DUMMYFUNCTION("GOOGLETRANSLATE(A10509, ""en"", ""mt"")"),"globali")</f>
        <v>globali</v>
      </c>
    </row>
    <row r="10510" ht="15.75" customHeight="1">
      <c r="A10510" s="2" t="s">
        <v>10510</v>
      </c>
      <c r="B10510" s="2" t="str">
        <f>IFERROR(__xludf.DUMMYFUNCTION("GOOGLETRANSLATE(A10510, ""en"", ""mt"")"),"Kull erba 'snin (quadrennium).")</f>
        <v>Kull erba 'snin (quadrennium).</v>
      </c>
    </row>
    <row r="10511" ht="15.75" customHeight="1">
      <c r="A10511" s="2" t="s">
        <v>10511</v>
      </c>
      <c r="B10511" s="2" t="str">
        <f>IFERROR(__xludf.DUMMYFUNCTION("GOOGLETRANSLATE(A10511, ""en"", ""mt"")"),"Fuq liema skala x-xjenzati juru kejl tal-veġetazzjoni?")</f>
        <v>Fuq liema skala x-xjenzati juru kejl tal-veġetazzjoni?</v>
      </c>
    </row>
    <row r="10512" ht="15.75" customHeight="1">
      <c r="A10512" s="2" t="s">
        <v>10512</v>
      </c>
      <c r="B10512" s="2" t="str">
        <f>IFERROR(__xludf.DUMMYFUNCTION("GOOGLETRANSLATE(A10512, ""en"", ""mt"")"),"Kemm CDS għandha l-librerija ta 'Newcastle?")</f>
        <v>Kemm CDS għandha l-librerija ta 'Newcastle?</v>
      </c>
    </row>
    <row r="10513" ht="15.75" customHeight="1">
      <c r="A10513" s="2" t="s">
        <v>10513</v>
      </c>
      <c r="B10513" s="2" t="str">
        <f>IFERROR(__xludf.DUMMYFUNCTION("GOOGLETRANSLATE(A10513, ""en"", ""mt"")"),"Liema dixxendent ta 'Genghis Khan keċċa lil Bagdad?")</f>
        <v>Liema dixxendent ta 'Genghis Khan keċċa lil Bagdad?</v>
      </c>
    </row>
    <row r="10514" ht="15.75" customHeight="1">
      <c r="A10514" s="2" t="s">
        <v>10514</v>
      </c>
      <c r="B10514" s="2" t="str">
        <f>IFERROR(__xludf.DUMMYFUNCTION("GOOGLETRANSLATE(A10514, ""en"", ""mt"")"),"Biex testendi l-benefiċċji tan-netwerking, għal dipartimenti tax-xjenza tal-kompjuter f'istituzzjonijiet akkademiċi u ta 'riċerka li ma jistgħux ikunu konnessi direttament ma' arpanet")</f>
        <v>Biex testendi l-benefiċċji tan-netwerking, għal dipartimenti tax-xjenza tal-kompjuter f'istituzzjonijiet akkademiċi u ta 'riċerka li ma jistgħux ikunu konnessi direttament ma' arpanet</v>
      </c>
    </row>
    <row r="10515" ht="15.75" customHeight="1">
      <c r="A10515" s="2" t="s">
        <v>10515</v>
      </c>
      <c r="B10515" s="2" t="str">
        <f>IFERROR(__xludf.DUMMYFUNCTION("GOOGLETRANSLATE(A10515, ""en"", ""mt"")"),"Min kiteb il-karta li l-graff ""Millennial Northern Emisfera Reconstruction"" kien ibbażat?")</f>
        <v>Min kiteb il-karta li l-graff "Millennial Northern Emisfera Reconstruction" kien ibbażat?</v>
      </c>
    </row>
    <row r="10516" ht="15.75" customHeight="1">
      <c r="A10516" s="2" t="s">
        <v>10516</v>
      </c>
      <c r="B10516" s="2" t="str">
        <f>IFERROR(__xludf.DUMMYFUNCTION("GOOGLETRANSLATE(A10516, ""en"", ""mt"")"),"il-bqija tal-ħajja ta ’Tesla.")</f>
        <v>il-bqija tal-ħajja ta ’Tesla.</v>
      </c>
    </row>
    <row r="10517" ht="15.75" customHeight="1">
      <c r="A10517" s="2" t="s">
        <v>10517</v>
      </c>
      <c r="B10517" s="2" t="str">
        <f>IFERROR(__xludf.DUMMYFUNCTION("GOOGLETRANSLATE(A10517, ""en"", ""mt"")"),"Konferenza Annwali")</f>
        <v>Konferenza Annwali</v>
      </c>
    </row>
    <row r="10518" ht="15.75" customHeight="1">
      <c r="A10518" s="2" t="s">
        <v>10518</v>
      </c>
      <c r="B10518" s="2" t="str">
        <f>IFERROR(__xludf.DUMMYFUNCTION("GOOGLETRANSLATE(A10518, ""en"", ""mt"")"),"Fil-bidu tal-2012, Goodell qal li s-Super Bowl 50 se jkun xiex?")</f>
        <v>Fil-bidu tal-2012, Goodell qal li s-Super Bowl 50 se jkun xiex?</v>
      </c>
    </row>
    <row r="10519" ht="15.75" customHeight="1">
      <c r="A10519" s="2" t="s">
        <v>10519</v>
      </c>
      <c r="B10519" s="2" t="str">
        <f>IFERROR(__xludf.DUMMYFUNCTION("GOOGLETRANSLATE(A10519, ""en"", ""mt"")"),"In-numri ta 'Huguenot laħqu l-quċċata ta' stima ta 'żewġ miljun sal-1562, ikkonċentrati prinċipalment fil-partijiet tan-Nofsinhar u Ċentrali ta' Franza, madwar tmienja n-numru ta 'Kattoliċi Franċiżi. Hekk kif Huguenots kisbu influwenza u wrew b'mod aktar "&amp;"miftuħ il-fidi tagħhom, l-ostilità Kattolika kibret, minkejja konċessjonijiet politiċi dejjem aktar liberali u edetti ta 'tolleranza mill-kuruna Franċiża. Segwiet serje ta 'kunflitti reliġjużi, magħrufa bħala l-Gwerer tar-Reliġjon, ġġieldu b'mod intermitt"&amp;"enti mill-1562 sal-1598. Il-gwerer fl-aħħar intemmu bl-għoti tal-editt ta' Nantes, li taw lill-Huguenots sostanzjali reliġjużi, politiċi u militari.")</f>
        <v>In-numri ta 'Huguenot laħqu l-quċċata ta' stima ta 'żewġ miljun sal-1562, ikkonċentrati prinċipalment fil-partijiet tan-Nofsinhar u Ċentrali ta' Franza, madwar tmienja n-numru ta 'Kattoliċi Franċiżi. Hekk kif Huguenots kisbu influwenza u wrew b'mod aktar miftuħ il-fidi tagħhom, l-ostilità Kattolika kibret, minkejja konċessjonijiet politiċi dejjem aktar liberali u edetti ta 'tolleranza mill-kuruna Franċiża. Segwiet serje ta 'kunflitti reliġjużi, magħrufa bħala l-Gwerer tar-Reliġjon, ġġieldu b'mod intermittenti mill-1562 sal-1598. Il-gwerer fl-aħħar intemmu bl-għoti tal-editt ta' Nantes, li taw lill-Huguenots sostanzjali reliġjużi, politiċi u militari.</v>
      </c>
    </row>
    <row r="10520" ht="15.75" customHeight="1">
      <c r="A10520" s="2" t="s">
        <v>10520</v>
      </c>
      <c r="B10520" s="2" t="str">
        <f>IFERROR(__xludf.DUMMYFUNCTION("GOOGLETRANSLATE(A10520, ""en"", ""mt"")"),"qatel ħafna mill-Kanadiżi")</f>
        <v>qatel ħafna mill-Kanadiżi</v>
      </c>
    </row>
    <row r="10521" ht="15.75" customHeight="1">
      <c r="A10521" s="2" t="s">
        <v>10521</v>
      </c>
      <c r="B10521" s="2" t="str">
        <f>IFERROR(__xludf.DUMMYFUNCTION("GOOGLETRANSLATE(A10521, ""en"", ""mt"")"),"Bħalissa d-detenzjoni hija waħda mill-aktar pieni komuni fl-iskejjel fl-Istati Uniti, ir-Renju Unit, l-Irlanda, Singapor u pajjiżi oħra. Jeħtieġ li l-istudent jibqa 'l-iskola f'ħin partikolari fil-ġurnata tal-iskola (bħal ikla ta' nofsinhar, daħla jew war"&amp;"a l-iskola); jew anke biex tattendi l-iskola f'jum mhux skolastiku, p.e. ""Detenzjoni tas-Sibt"" li saret f'xi skejjel. Waqt id-detenzjoni, l-istudenti normalment ikollhom joqogħdu fil-klassi u jagħmlu xogħol, jiktbu linji jew esej tal-kastig, jew joqogħd"&amp;"u bil-kwiet.")</f>
        <v>Bħalissa d-detenzjoni hija waħda mill-aktar pieni komuni fl-iskejjel fl-Istati Uniti, ir-Renju Unit, l-Irlanda, Singapor u pajjiżi oħra. Jeħtieġ li l-istudent jibqa 'l-iskola f'ħin partikolari fil-ġurnata tal-iskola (bħal ikla ta' nofsinhar, daħla jew wara l-iskola); jew anke biex tattendi l-iskola f'jum mhux skolastiku, p.e. "Detenzjoni tas-Sibt" li saret f'xi skejjel. Waqt id-detenzjoni, l-istudenti normalment ikollhom joqogħdu fil-klassi u jagħmlu xogħol, jiktbu linji jew esej tal-kastig, jew joqogħdu bil-kwiet.</v>
      </c>
    </row>
    <row r="10522" ht="15.75" customHeight="1">
      <c r="A10522" s="2" t="s">
        <v>10522</v>
      </c>
      <c r="B10522" s="2" t="str">
        <f>IFERROR(__xludf.DUMMYFUNCTION("GOOGLETRANSLATE(A10522, ""en"", ""mt"")"),"Feynman")</f>
        <v>Feynman</v>
      </c>
    </row>
    <row r="10523" ht="15.75" customHeight="1">
      <c r="A10523" s="2" t="s">
        <v>10523</v>
      </c>
      <c r="B10523" s="2" t="str">
        <f>IFERROR(__xludf.DUMMYFUNCTION("GOOGLETRANSLATE(A10523, ""en"", ""mt"")"),"mediċini")</f>
        <v>mediċini</v>
      </c>
    </row>
    <row r="10524" ht="15.75" customHeight="1">
      <c r="A10524" s="2" t="s">
        <v>10524</v>
      </c>
      <c r="B10524" s="2" t="str">
        <f>IFERROR(__xludf.DUMMYFUNCTION("GOOGLETRANSLATE(A10524, ""en"", ""mt"")"),"Meta Sema nediet kampanja ta 'reklamar tat-TV lejn il-mira lejn in-nisa?")</f>
        <v>Meta Sema nediet kampanja ta 'reklamar tat-TV lejn il-mira lejn in-nisa?</v>
      </c>
    </row>
    <row r="10525" ht="15.75" customHeight="1">
      <c r="A10525" s="2" t="s">
        <v>10525</v>
      </c>
      <c r="B10525" s="2" t="str">
        <f>IFERROR(__xludf.DUMMYFUNCTION("GOOGLETRANSLATE(A10525, ""en"", ""mt"")"),"Passaġġ tal-awtostrada")</f>
        <v>Passaġġ tal-awtostrada</v>
      </c>
    </row>
    <row r="10526" ht="15.75" customHeight="1">
      <c r="A10526" s="2" t="s">
        <v>10526</v>
      </c>
      <c r="B10526" s="2" t="str">
        <f>IFERROR(__xludf.DUMMYFUNCTION("GOOGLETRANSLATE(A10526, ""en"", ""mt"")"),"ġurnata waħda")</f>
        <v>ġurnata waħda</v>
      </c>
    </row>
    <row r="10527" ht="15.75" customHeight="1">
      <c r="A10527" s="2" t="s">
        <v>10527</v>
      </c>
      <c r="B10527" s="2" t="str">
        <f>IFERROR(__xludf.DUMMYFUNCTION("GOOGLETRANSLATE(A10527, ""en"", ""mt"")"),"1972")</f>
        <v>1972</v>
      </c>
    </row>
    <row r="10528" ht="15.75" customHeight="1">
      <c r="A10528" s="2" t="s">
        <v>10528</v>
      </c>
      <c r="B10528" s="2" t="str">
        <f>IFERROR(__xludf.DUMMYFUNCTION("GOOGLETRANSLATE(A10528, ""en"", ""mt"")"),"1989")</f>
        <v>1989</v>
      </c>
    </row>
    <row r="10529" ht="15.75" customHeight="1">
      <c r="A10529" s="2" t="s">
        <v>10529</v>
      </c>
      <c r="B10529" s="2" t="str">
        <f>IFERROR(__xludf.DUMMYFUNCTION("GOOGLETRANSLATE(A10529, ""en"", ""mt"")"),"Robert Stephenson.")</f>
        <v>Robert Stephenson.</v>
      </c>
    </row>
    <row r="10530" ht="15.75" customHeight="1">
      <c r="A10530" s="2" t="s">
        <v>10530</v>
      </c>
      <c r="B10530" s="2" t="str">
        <f>IFERROR(__xludf.DUMMYFUNCTION("GOOGLETRANSLATE(A10530, ""en"", ""mt"")"),"10 sa 15-il miljun")</f>
        <v>10 sa 15-il miljun</v>
      </c>
    </row>
    <row r="10531" ht="15.75" customHeight="1">
      <c r="A10531" s="2" t="s">
        <v>10531</v>
      </c>
      <c r="B10531" s="2" t="str">
        <f>IFERROR(__xludf.DUMMYFUNCTION("GOOGLETRANSLATE(A10531, ""en"", ""mt"")"),"imkeċċi")</f>
        <v>imkeċċi</v>
      </c>
    </row>
    <row r="10532" ht="15.75" customHeight="1">
      <c r="A10532" s="2" t="s">
        <v>10532</v>
      </c>
      <c r="B10532" s="2" t="str">
        <f>IFERROR(__xludf.DUMMYFUNCTION("GOOGLETRANSLATE(A10532, ""en"", ""mt"")"),"Il-kontroll tal-gvern tar-Renju Unit għen ix-xewqa għal Parlament Skoċċiż?")</f>
        <v>Il-kontroll tal-gvern tar-Renju Unit għen ix-xewqa għal Parlament Skoċċiż?</v>
      </c>
    </row>
    <row r="10533" ht="15.75" customHeight="1">
      <c r="A10533" s="2" t="s">
        <v>10533</v>
      </c>
      <c r="B10533" s="2" t="str">
        <f>IFERROR(__xludf.DUMMYFUNCTION("GOOGLETRANSLATE(A10533, ""en"", ""mt"")"),"9 seklu")</f>
        <v>9 seklu</v>
      </c>
    </row>
    <row r="10534" ht="15.75" customHeight="1">
      <c r="A10534" s="2" t="s">
        <v>10534</v>
      </c>
      <c r="B10534" s="2" t="str">
        <f>IFERROR(__xludf.DUMMYFUNCTION("GOOGLETRANSLATE(A10534, ""en"", ""mt"")"),"speċifiku")</f>
        <v>speċifiku</v>
      </c>
    </row>
    <row r="10535" ht="15.75" customHeight="1">
      <c r="A10535" s="2" t="s">
        <v>10535</v>
      </c>
      <c r="B10535" s="2" t="str">
        <f>IFERROR(__xludf.DUMMYFUNCTION("GOOGLETRANSLATE(A10535, ""en"", ""mt"")"),"Distribuzzjoni bla sintomi")</f>
        <v>Distribuzzjoni bla sintomi</v>
      </c>
    </row>
    <row r="10536" ht="15.75" customHeight="1">
      <c r="A10536" s="2" t="s">
        <v>10536</v>
      </c>
      <c r="B10536" s="2" t="str">
        <f>IFERROR(__xludf.DUMMYFUNCTION("GOOGLETRANSLATE(A10536, ""en"", ""mt"")"),"Kemm hemm kmamar tal-piż fiċ-Ċentru Atletiku tal-Malkin")</f>
        <v>Kemm hemm kmamar tal-piż fiċ-Ċentru Atletiku tal-Malkin</v>
      </c>
    </row>
    <row r="10537" ht="15.75" customHeight="1">
      <c r="A10537" s="2" t="s">
        <v>10537</v>
      </c>
      <c r="B10537" s="2" t="str">
        <f>IFERROR(__xludf.DUMMYFUNCTION("GOOGLETRANSLATE(A10537, ""en"", ""mt"")"),"Liema tribù wassal Toghrul?")</f>
        <v>Liema tribù wassal Toghrul?</v>
      </c>
    </row>
    <row r="10538" ht="15.75" customHeight="1">
      <c r="A10538" s="2" t="s">
        <v>10538</v>
      </c>
      <c r="B10538" s="2" t="str">
        <f>IFERROR(__xludf.DUMMYFUNCTION("GOOGLETRANSLATE(A10538, ""en"", ""mt"")"),"Fresno, _California")</f>
        <v>Fresno, _California</v>
      </c>
    </row>
    <row r="10539" ht="15.75" customHeight="1">
      <c r="A10539" s="2" t="s">
        <v>10539</v>
      </c>
      <c r="B10539" s="2" t="str">
        <f>IFERROR(__xludf.DUMMYFUNCTION("GOOGLETRANSLATE(A10539, ""en"", ""mt"")"),"Min għen lil Temüjin isalva lil martu mill-Merkits?")</f>
        <v>Min għen lil Temüjin isalva lil martu mill-Merkits?</v>
      </c>
    </row>
    <row r="10540" ht="15.75" customHeight="1">
      <c r="A10540" s="2" t="s">
        <v>10540</v>
      </c>
      <c r="B10540" s="2" t="str">
        <f>IFERROR(__xludf.DUMMYFUNCTION("GOOGLETRANSLATE(A10540, ""en"", ""mt"")"),"Fejn miet Yesun Temur?")</f>
        <v>Fejn miet Yesun Temur?</v>
      </c>
    </row>
    <row r="10541" ht="15.75" customHeight="1">
      <c r="A10541" s="2" t="s">
        <v>10541</v>
      </c>
      <c r="B10541" s="2" t="str">
        <f>IFERROR(__xludf.DUMMYFUNCTION("GOOGLETRANSLATE(A10541, ""en"", ""mt"")"),"Vultaġġ għoli")</f>
        <v>Vultaġġ għoli</v>
      </c>
    </row>
    <row r="10542" ht="15.75" customHeight="1">
      <c r="A10542" s="2" t="s">
        <v>10542</v>
      </c>
      <c r="B10542" s="2" t="str">
        <f>IFERROR(__xludf.DUMMYFUNCTION("GOOGLETRANSLATE(A10542, ""en"", ""mt"")"),"Konsorzju tan-Netwerking tal-Kompjuter tal-Istati Uniti mhux għall-profitt")</f>
        <v>Konsorzju tan-Netwerking tal-Kompjuter tal-Istati Uniti mhux għall-profitt</v>
      </c>
    </row>
    <row r="10543" ht="15.75" customHeight="1">
      <c r="A10543" s="2" t="s">
        <v>10543</v>
      </c>
      <c r="B10543" s="2" t="str">
        <f>IFERROR(__xludf.DUMMYFUNCTION("GOOGLETRANSLATE(A10543, ""en"", ""mt"")"),"il-parlament kollu")</f>
        <v>il-parlament kollu</v>
      </c>
    </row>
    <row r="10544" ht="15.75" customHeight="1">
      <c r="A10544" s="2" t="s">
        <v>10544</v>
      </c>
      <c r="B10544" s="2" t="str">
        <f>IFERROR(__xludf.DUMMYFUNCTION("GOOGLETRANSLATE(A10544, ""en"", ""mt"")"),"f'inqas minn żmien kwadratiku")</f>
        <v>f'inqas minn żmien kwadratiku</v>
      </c>
    </row>
    <row r="10545" ht="15.75" customHeight="1">
      <c r="A10545" s="2" t="s">
        <v>10545</v>
      </c>
      <c r="B10545" s="2" t="str">
        <f>IFERROR(__xludf.DUMMYFUNCTION("GOOGLETRANSLATE(A10545, ""en"", ""mt"")"),"It-trijanglu roża")</f>
        <v>It-trijanglu roża</v>
      </c>
    </row>
    <row r="10546" ht="15.75" customHeight="1">
      <c r="A10546" s="2" t="s">
        <v>10546</v>
      </c>
      <c r="B10546" s="2" t="str">
        <f>IFERROR(__xludf.DUMMYFUNCTION("GOOGLETRANSLATE(A10546, ""en"", ""mt"")"),"Liema stazzjon ewlieni huwa fil-lvant taċ-ċentru tal-belt?")</f>
        <v>Liema stazzjon ewlieni huwa fil-lvant taċ-ċentru tal-belt?</v>
      </c>
    </row>
    <row r="10547" ht="15.75" customHeight="1">
      <c r="A10547" s="2" t="s">
        <v>10547</v>
      </c>
      <c r="B10547" s="2" t="str">
        <f>IFERROR(__xludf.DUMMYFUNCTION("GOOGLETRANSLATE(A10547, ""en"", ""mt"")"),"Uża l-arrest bħala opportunità")</f>
        <v>Uża l-arrest bħala opportunità</v>
      </c>
    </row>
    <row r="10548" ht="15.75" customHeight="1">
      <c r="A10548" s="2" t="s">
        <v>10548</v>
      </c>
      <c r="B10548" s="2" t="str">
        <f>IFERROR(__xludf.DUMMYFUNCTION("GOOGLETRANSLATE(A10548, ""en"", ""mt"")"),"Għal liema lejl ABC imexxi lil Betty ikrah f'tentattiv biex tingħata spinta lill-klassifikazzjonijiet tas-serje?")</f>
        <v>Għal liema lejl ABC imexxi lil Betty ikrah f'tentattiv biex tingħata spinta lill-klassifikazzjonijiet tas-serje?</v>
      </c>
    </row>
    <row r="10549" ht="15.75" customHeight="1">
      <c r="A10549" s="2" t="s">
        <v>10549</v>
      </c>
      <c r="B10549" s="2" t="str">
        <f>IFERROR(__xludf.DUMMYFUNCTION("GOOGLETRANSLATE(A10549, ""en"", ""mt"")"),"Riservat")</f>
        <v>Riservat</v>
      </c>
    </row>
    <row r="10550" ht="15.75" customHeight="1">
      <c r="A10550" s="2" t="s">
        <v>10550</v>
      </c>
      <c r="B10550" s="2" t="str">
        <f>IFERROR(__xludf.DUMMYFUNCTION("GOOGLETRANSLATE(A10550, ""en"", ""mt"")"),"X'se jiżgura u joħloq il-qafas għall-pjan ta 'azzjoni biex jaħdem?")</f>
        <v>X'se jiżgura u joħloq il-qafas għall-pjan ta 'azzjoni biex jaħdem?</v>
      </c>
    </row>
    <row r="10551" ht="15.75" customHeight="1">
      <c r="A10551" s="2" t="s">
        <v>10551</v>
      </c>
      <c r="B10551" s="2" t="str">
        <f>IFERROR(__xludf.DUMMYFUNCTION("GOOGLETRANSLATE(A10551, ""en"", ""mt"")"),"L-ossiġnu huwa l-iktar element kimiku abbundanti bil-massa fil-bijosfera, l-arja, il-baħar u l-art tad-dinja. L-ossiġnu huwa t-tielet l-iktar element kimiku abbundanti fl-univers, wara l-idroġenu u l-elju. Madwar 0.9% tal-massa tax-xemx hija ossiġnu. L-os"&amp;"siġnu jikkostitwixxi 49.2% tal-qoxra tad-dinja bil-massa u huwa l-komponent ewlieni tal-oċeani tad-dinja (88.8% bil-massa). Il-gass tal-ossiġnu huwa t-tieni l-iktar komponent komuni tal-atmosfera tad-Dinja, li jieħu 20.8% tal-volum tiegħu u 23.1% tal-mass"&amp;"a tiegħu (xi 1015 tunnellata). [D] id-Dinja mhix tas-soltu fost il-pjaneti tas-sistema solari meta jkollha daqshekk għolja konċentrazzjoni ta 'gass ta' ossiġnu fl-atmosfera tiegħu: Mars (b'0.1% o
2 mill-volum) u Venere għandhom konċentrazzjonijiet ferm ak"&amp;"tar baxxi. L-o
2 li jdawru dawn il-pjaneti l-oħra huwa prodott biss minn radjazzjoni ultravjola li għandha impatt fuq molekuli li fihom l-ossiġnu bħal dijossidu tal-karbonju.")</f>
        <v>L-ossiġnu huwa l-iktar element kimiku abbundanti bil-massa fil-bijosfera, l-arja, il-baħar u l-art tad-dinja. L-ossiġnu huwa t-tielet l-iktar element kimiku abbundanti fl-univers, wara l-idroġenu u l-elju. Madwar 0.9% tal-massa tax-xemx hija ossiġnu. L-ossiġnu jikkostitwixxi 49.2% tal-qoxra tad-dinja bil-massa u huwa l-komponent ewlieni tal-oċeani tad-dinja (88.8% bil-massa). Il-gass tal-ossiġnu huwa t-tieni l-iktar komponent komuni tal-atmosfera tad-Dinja, li jieħu 20.8% tal-volum tiegħu u 23.1% tal-massa tiegħu (xi 1015 tunnellata). [D] id-Dinja mhix tas-soltu fost il-pjaneti tas-sistema solari meta jkollha daqshekk għolja konċentrazzjoni ta 'gass ta' ossiġnu fl-atmosfera tiegħu: Mars (b'0.1% o
2 mill-volum) u Venere għandhom konċentrazzjonijiet ferm aktar baxxi. L-o
2 li jdawru dawn il-pjaneti l-oħra huwa prodott biss minn radjazzjoni ultravjola li għandha impatt fuq molekuli li fihom l-ossiġnu bħal dijossidu tal-karbonju.</v>
      </c>
    </row>
    <row r="10552" ht="15.75" customHeight="1">
      <c r="A10552" s="2" t="s">
        <v>10552</v>
      </c>
      <c r="B10552" s="2" t="str">
        <f>IFERROR(__xludf.DUMMYFUNCTION("GOOGLETRANSLATE(A10552, ""en"", ""mt"")"),"Geary")</f>
        <v>Geary</v>
      </c>
    </row>
    <row r="10553" ht="15.75" customHeight="1">
      <c r="A10553" s="2" t="s">
        <v>10553</v>
      </c>
      <c r="B10553" s="2" t="str">
        <f>IFERROR(__xludf.DUMMYFUNCTION("GOOGLETRANSLATE(A10553, ""en"", ""mt"")"),"Taħt 0 ° C")</f>
        <v>Taħt 0 ° C</v>
      </c>
    </row>
    <row r="10554" ht="15.75" customHeight="1">
      <c r="A10554" s="2" t="s">
        <v>10554</v>
      </c>
      <c r="B10554" s="2" t="str">
        <f>IFERROR(__xludf.DUMMYFUNCTION("GOOGLETRANSLATE(A10554, ""en"", ""mt"")"),"Ossiġenu-18")</f>
        <v>Ossiġenu-18</v>
      </c>
    </row>
    <row r="10555" ht="15.75" customHeight="1">
      <c r="A10555" s="2" t="s">
        <v>10555</v>
      </c>
      <c r="B10555" s="2" t="str">
        <f>IFERROR(__xludf.DUMMYFUNCTION("GOOGLETRANSLATE(A10555, ""en"", ""mt"")"),"tiddikjara l-liġi marzjali")</f>
        <v>tiddikjara l-liġi marzjali</v>
      </c>
    </row>
    <row r="10556" ht="15.75" customHeight="1">
      <c r="A10556" s="2" t="s">
        <v>10556</v>
      </c>
      <c r="B10556" s="2" t="str">
        <f>IFERROR(__xludf.DUMMYFUNCTION("GOOGLETRANSLATE(A10556, ""en"", ""mt"")"),"Luther's 1541 Innu ""Kristu Unser Herr Zum Jordan Kam"" (""Lil il-Ġordan wasal il-Kristu Sidna"") jirrifletti l-istruttura u s-sustanza tal-mistoqsijiet u t-tweġibiet tiegħu dwar il-magħmudija fil-katekiżmu żgħir. Luther adotta melodija li teżisti minn Jo"&amp;"hann Walter assoċjata ma 'l-issettjar tal-innu ta' talb għall-grazzja tas-Salm 67; L-issettjar ta 'l-innu ta' erba 'partijiet ta' Wolf Heintz intuża biex jintroduċi r-Riforma tal-Luterana f'Halle fl-1541. Predikaturi u kompożituri tas-seklu 18, inkluż J. "&amp;"S. Bach, użaw dan l-innu rikk bħala suġġett għax-xogħol tagħhom stess, għalkemm it-teoloġija tal-magħmudija oġġettiva tagħha stess, għalkemm it-teoloġija tal-magħmudija. ġie spostat minn innijiet aktar suġġettivi taħt l-influwenza tal-pietiżmu Luteran tas"&amp;"-seklu 19.")</f>
        <v>Luther's 1541 Innu "Kristu Unser Herr Zum Jordan Kam" ("Lil il-Ġordan wasal il-Kristu Sidna") jirrifletti l-istruttura u s-sustanza tal-mistoqsijiet u t-tweġibiet tiegħu dwar il-magħmudija fil-katekiżmu żgħir. Luther adotta melodija li teżisti minn Johann Walter assoċjata ma 'l-issettjar tal-innu ta' talb għall-grazzja tas-Salm 67; L-issettjar ta 'l-innu ta' erba 'partijiet ta' Wolf Heintz intuża biex jintroduċi r-Riforma tal-Luterana f'Halle fl-1541. Predikaturi u kompożituri tas-seklu 18, inkluż J. S. Bach, użaw dan l-innu rikk bħala suġġett għax-xogħol tagħhom stess, għalkemm it-teoloġija tal-magħmudija oġġettiva tagħha stess, għalkemm it-teoloġija tal-magħmudija. ġie spostat minn innijiet aktar suġġettivi taħt l-influwenza tal-pietiżmu Luteran tas-seklu 19.</v>
      </c>
    </row>
    <row r="10557" ht="15.75" customHeight="1">
      <c r="A10557" s="2" t="s">
        <v>10557</v>
      </c>
      <c r="B10557" s="2" t="str">
        <f>IFERROR(__xludf.DUMMYFUNCTION("GOOGLETRANSLATE(A10557, ""en"", ""mt"")"),"sorpriż lill-Kanadiżi fit-28 ta 'Mejju")</f>
        <v>sorpriż lill-Kanadiżi fit-28 ta 'Mejju</v>
      </c>
    </row>
    <row r="10558" ht="15.75" customHeight="1">
      <c r="A10558" s="2" t="s">
        <v>10558</v>
      </c>
      <c r="B10558" s="2" t="str">
        <f>IFERROR(__xludf.DUMMYFUNCTION("GOOGLETRANSLATE(A10558, ""en"", ""mt"")"),"Liema sena bdiet tvontario turi episodji tat-tabib min?")</f>
        <v>Liema sena bdiet tvontario turi episodji tat-tabib min?</v>
      </c>
    </row>
    <row r="10559" ht="15.75" customHeight="1">
      <c r="A10559" s="2" t="s">
        <v>10559</v>
      </c>
      <c r="B10559" s="2" t="str">
        <f>IFERROR(__xludf.DUMMYFUNCTION("GOOGLETRANSLATE(A10559, ""en"", ""mt"")"),"Antigone")</f>
        <v>Antigone</v>
      </c>
    </row>
    <row r="10560" ht="15.75" customHeight="1">
      <c r="A10560" s="2" t="s">
        <v>10560</v>
      </c>
      <c r="B10560" s="2" t="str">
        <f>IFERROR(__xludf.DUMMYFUNCTION("GOOGLETRANSLATE(A10560, ""en"", ""mt"")"),"X'inhi l-ogħla qorti fl-Unjoni Ewropea?")</f>
        <v>X'inhi l-ogħla qorti fl-Unjoni Ewropea?</v>
      </c>
    </row>
    <row r="10561" ht="15.75" customHeight="1">
      <c r="A10561" s="2" t="s">
        <v>10561</v>
      </c>
      <c r="B10561" s="2" t="str">
        <f>IFERROR(__xludf.DUMMYFUNCTION("GOOGLETRANSLATE(A10561, ""en"", ""mt"")"),"enerġija kimika")</f>
        <v>enerġija kimika</v>
      </c>
    </row>
    <row r="10562" ht="15.75" customHeight="1">
      <c r="A10562" s="2" t="s">
        <v>10562</v>
      </c>
      <c r="B10562" s="2" t="str">
        <f>IFERROR(__xludf.DUMMYFUNCTION("GOOGLETRANSLATE(A10562, ""en"", ""mt"")"),"Liema Doctor Who Show kien l-akbar simulcast ta 'drama televiżiv?")</f>
        <v>Liema Doctor Who Show kien l-akbar simulcast ta 'drama televiżiv?</v>
      </c>
    </row>
    <row r="10563" ht="15.75" customHeight="1">
      <c r="A10563" s="2" t="s">
        <v>10563</v>
      </c>
      <c r="B10563" s="2" t="str">
        <f>IFERROR(__xludf.DUMMYFUNCTION("GOOGLETRANSLATE(A10563, ""en"", ""mt"")"),"Għaliex xi nies għażlu li jmorru l-ħabs għad-diżubbidjenza tagħhom?")</f>
        <v>Għaliex xi nies għażlu li jmorru l-ħabs għad-diżubbidjenza tagħhom?</v>
      </c>
    </row>
    <row r="10564" ht="15.75" customHeight="1">
      <c r="A10564" s="2" t="s">
        <v>10564</v>
      </c>
      <c r="B10564" s="2" t="str">
        <f>IFERROR(__xludf.DUMMYFUNCTION("GOOGLETRANSLATE(A10564, ""en"", ""mt"")"),"April 1970,")</f>
        <v>April 1970,</v>
      </c>
    </row>
    <row r="10565" ht="15.75" customHeight="1">
      <c r="A10565" s="2" t="s">
        <v>10565</v>
      </c>
      <c r="B10565" s="2" t="str">
        <f>IFERROR(__xludf.DUMMYFUNCTION("GOOGLETRANSLATE(A10565, ""en"", ""mt"")"),"telimina l-liġi ta 'akkuża.")</f>
        <v>telimina l-liġi ta 'akkuża.</v>
      </c>
    </row>
    <row r="10566" ht="15.75" customHeight="1">
      <c r="A10566" s="2" t="s">
        <v>10566</v>
      </c>
      <c r="B10566" s="2" t="str">
        <f>IFERROR(__xludf.DUMMYFUNCTION("GOOGLETRANSLATE(A10566, ""en"", ""mt"")"),"ċerti dispożizzjonijiet ""għeruq""")</f>
        <v>ċerti dispożizzjonijiet "għeruq"</v>
      </c>
    </row>
    <row r="10567" ht="15.75" customHeight="1">
      <c r="A10567" s="2" t="s">
        <v>10567</v>
      </c>
      <c r="B10567" s="2" t="str">
        <f>IFERROR(__xludf.DUMMYFUNCTION("GOOGLETRANSLATE(A10567, ""en"", ""mt"")"),"indekompożizzjoni")</f>
        <v>indekompożizzjoni</v>
      </c>
    </row>
    <row r="10568" ht="15.75" customHeight="1">
      <c r="A10568" s="2" t="s">
        <v>10568</v>
      </c>
      <c r="B10568" s="2" t="str">
        <f>IFERROR(__xludf.DUMMYFUNCTION("GOOGLETRANSLATE(A10568, ""en"", ""mt"")"),"Kemm il-popolazzjoni ta 'Varsavja kienet Lhudija?")</f>
        <v>Kemm il-popolazzjoni ta 'Varsavja kienet Lhudija?</v>
      </c>
    </row>
    <row r="10569" ht="15.75" customHeight="1">
      <c r="A10569" s="2" t="s">
        <v>10569</v>
      </c>
      <c r="B10569" s="2" t="str">
        <f>IFERROR(__xludf.DUMMYFUNCTION("GOOGLETRANSLATE(A10569, ""en"", ""mt"")"),"Fuq xiex ipproponiet il-ħlasijiet ta 'benefiċċji ta' Alec Shelbrooke?")</f>
        <v>Fuq xiex ipproponiet il-ħlasijiet ta 'benefiċċji ta' Alec Shelbrooke?</v>
      </c>
    </row>
    <row r="10570" ht="15.75" customHeight="1">
      <c r="A10570" s="2" t="s">
        <v>10570</v>
      </c>
      <c r="B10570" s="2" t="str">
        <f>IFERROR(__xludf.DUMMYFUNCTION("GOOGLETRANSLATE(A10570, ""en"", ""mt"")"),"Operazzjonijiet orjentati lejn il-konnessjoni")</f>
        <v>Operazzjonijiet orjentati lejn il-konnessjoni</v>
      </c>
    </row>
    <row r="10571" ht="15.75" customHeight="1">
      <c r="A10571" s="2" t="s">
        <v>10571</v>
      </c>
      <c r="B10571" s="2" t="str">
        <f>IFERROR(__xludf.DUMMYFUNCTION("GOOGLETRANSLATE(A10571, ""en"", ""mt"")"),"Liema xmara kien hemm oriġinarjament pont madwar fi żminijiet Rumani?")</f>
        <v>Liema xmara kien hemm oriġinarjament pont madwar fi żminijiet Rumani?</v>
      </c>
    </row>
    <row r="10572" ht="15.75" customHeight="1">
      <c r="A10572" s="2" t="s">
        <v>10572</v>
      </c>
      <c r="B10572" s="2" t="str">
        <f>IFERROR(__xludf.DUMMYFUNCTION("GOOGLETRANSLATE(A10572, ""en"", ""mt"")"),"trabi")</f>
        <v>trabi</v>
      </c>
    </row>
    <row r="10573" ht="15.75" customHeight="1">
      <c r="A10573" s="2" t="s">
        <v>10573</v>
      </c>
      <c r="B10573" s="2" t="str">
        <f>IFERROR(__xludf.DUMMYFUNCTION("GOOGLETRANSLATE(A10573, ""en"", ""mt"")"),"defiċit.")</f>
        <v>defiċit.</v>
      </c>
    </row>
    <row r="10574" ht="15.75" customHeight="1">
      <c r="A10574" s="2" t="s">
        <v>10574</v>
      </c>
      <c r="B10574" s="2" t="str">
        <f>IFERROR(__xludf.DUMMYFUNCTION("GOOGLETRANSLATE(A10574, ""en"", ""mt"")"),"X'kienet imsejħa Fort Caroline wara l-attakk Spanjol?")</f>
        <v>X'kienet imsejħa Fort Caroline wara l-attakk Spanjol?</v>
      </c>
    </row>
    <row r="10575" ht="15.75" customHeight="1">
      <c r="A10575" s="2" t="s">
        <v>10575</v>
      </c>
      <c r="B10575" s="2" t="str">
        <f>IFERROR(__xludf.DUMMYFUNCTION("GOOGLETRANSLATE(A10575, ""en"", ""mt"")"),"Sebat ijiem lejn ix-xmara Rhine")</f>
        <v>Sebat ijiem lejn ix-xmara Rhine</v>
      </c>
    </row>
    <row r="10576" ht="15.75" customHeight="1">
      <c r="A10576" s="2" t="s">
        <v>10576</v>
      </c>
      <c r="B10576" s="2" t="str">
        <f>IFERROR(__xludf.DUMMYFUNCTION("GOOGLETRANSLATE(A10576, ""en"", ""mt"")"),"Sun Life Stadium")</f>
        <v>Sun Life Stadium</v>
      </c>
    </row>
    <row r="10577" ht="15.75" customHeight="1">
      <c r="A10577" s="2" t="s">
        <v>10577</v>
      </c>
      <c r="B10577" s="2" t="str">
        <f>IFERROR(__xludf.DUMMYFUNCTION("GOOGLETRANSLATE(A10577, ""en"", ""mt"")"),"il-forza elettrostatika (minħabba l-kamp elettriku) u l-forza manjetika (minħabba l-kamp manjetiku).")</f>
        <v>il-forza elettrostatika (minħabba l-kamp elettriku) u l-forza manjetika (minħabba l-kamp manjetiku).</v>
      </c>
    </row>
    <row r="10578" ht="15.75" customHeight="1">
      <c r="A10578" s="2" t="s">
        <v>10578</v>
      </c>
      <c r="B10578" s="2" t="str">
        <f>IFERROR(__xludf.DUMMYFUNCTION("GOOGLETRANSLATE(A10578, ""en"", ""mt"")"),"Fejn ir-regola tat-Tran Dynasty?")</f>
        <v>Fejn ir-regola tat-Tran Dynasty?</v>
      </c>
    </row>
    <row r="10579" ht="15.75" customHeight="1">
      <c r="A10579" s="2" t="s">
        <v>10579</v>
      </c>
      <c r="B10579" s="2" t="str">
        <f>IFERROR(__xludf.DUMMYFUNCTION("GOOGLETRANSLATE(A10579, ""en"", ""mt"")"),"438,000 speċi")</f>
        <v>438,000 speċi</v>
      </c>
    </row>
    <row r="10580" ht="15.75" customHeight="1">
      <c r="A10580" s="2" t="s">
        <v>10580</v>
      </c>
      <c r="B10580" s="2" t="str">
        <f>IFERROR(__xludf.DUMMYFUNCTION("GOOGLETRANSLATE(A10580, ""en"", ""mt"")"),"Kemm jiżen il-CM fil-KGS?")</f>
        <v>Kemm jiżen il-CM fil-KGS?</v>
      </c>
    </row>
    <row r="10581" ht="15.75" customHeight="1">
      <c r="A10581" s="2" t="s">
        <v>10581</v>
      </c>
      <c r="B10581" s="2" t="str">
        <f>IFERROR(__xludf.DUMMYFUNCTION("GOOGLETRANSLATE(A10581, ""en"", ""mt"")"),"Fl-1096, il-kruċjati li jgħaddu mill-assedju ta 'Amalfi ġew magħquda minn Bohemond ta' Taranto u n-neputi tiegħu Tancred ma 'armata ta' Italo-Normans. Bohemond kien il-mexxej de facto tal-kruċjata matul il-passaġġ tagħha mill-Asja Minuri. Wara l-assedju t"&amp;"a 'suċċess ta' Antijokja fl-1097, Bohemond beda jinqata 'prinċipat indipendenti madwar dik il-belt. Tancred kien strumentali fil-konkwista ta ’Ġerusalemm u ħadem għall-espansjoni tar-renju Crusader fi Transjordan u r-reġjun tal-Galilija. [Ċitazzjoni meħti"&amp;"eġa]")</f>
        <v>Fl-1096, il-kruċjati li jgħaddu mill-assedju ta 'Amalfi ġew magħquda minn Bohemond ta' Taranto u n-neputi tiegħu Tancred ma 'armata ta' Italo-Normans. Bohemond kien il-mexxej de facto tal-kruċjata matul il-passaġġ tagħha mill-Asja Minuri. Wara l-assedju ta 'suċċess ta' Antijokja fl-1097, Bohemond beda jinqata 'prinċipat indipendenti madwar dik il-belt. Tancred kien strumentali fil-konkwista ta ’Ġerusalemm u ħadem għall-espansjoni tar-renju Crusader fi Transjordan u r-reġjun tal-Galilija. [Ċitazzjoni meħtieġa]</v>
      </c>
    </row>
    <row r="10582" ht="15.75" customHeight="1">
      <c r="A10582" s="2" t="s">
        <v>10582</v>
      </c>
      <c r="B10582" s="2" t="str">
        <f>IFERROR(__xludf.DUMMYFUNCTION("GOOGLETRANSLATE(A10582, ""en"", ""mt"")"),"Taħt kondizzjonijiet normali, x'għandhom żewġ atomi ta 'ossiġnu?")</f>
        <v>Taħt kondizzjonijiet normali, x'għandhom żewġ atomi ta 'ossiġnu?</v>
      </c>
    </row>
    <row r="10583" ht="15.75" customHeight="1">
      <c r="A10583" s="2" t="s">
        <v>10583</v>
      </c>
      <c r="B10583" s="2" t="str">
        <f>IFERROR(__xludf.DUMMYFUNCTION("GOOGLETRANSLATE(A10583, ""en"", ""mt"")"),"Kemm Huguenots emigraw lejn l-Amerika ta ’Fuq bħala kolonisti?")</f>
        <v>Kemm Huguenots emigraw lejn l-Amerika ta ’Fuq bħala kolonisti?</v>
      </c>
    </row>
    <row r="10584" ht="15.75" customHeight="1">
      <c r="A10584" s="2" t="s">
        <v>10584</v>
      </c>
      <c r="B10584" s="2" t="str">
        <f>IFERROR(__xludf.DUMMYFUNCTION("GOOGLETRANSLATE(A10584, ""en"", ""mt"")"),"Komunikazzjonijiet ta 'Livell 3")</f>
        <v>Komunikazzjonijiet ta 'Livell 3</v>
      </c>
    </row>
    <row r="10585" ht="15.75" customHeight="1">
      <c r="A10585" s="2" t="s">
        <v>10585</v>
      </c>
      <c r="B10585" s="2" t="str">
        <f>IFERROR(__xludf.DUMMYFUNCTION("GOOGLETRANSLATE(A10585, ""en"", ""mt"")"),"Liema sena ħabbru BSKYB u Microsoft?")</f>
        <v>Liema sena ħabbru BSKYB u Microsoft?</v>
      </c>
    </row>
    <row r="10586" ht="15.75" customHeight="1">
      <c r="A10586" s="2" t="s">
        <v>10586</v>
      </c>
      <c r="B10586" s="2" t="str">
        <f>IFERROR(__xludf.DUMMYFUNCTION("GOOGLETRANSLATE(A10586, ""en"", ""mt"")"),"X'inhu l-perjodu ta 'żmien rappreżentat fil-kollezzjoni tat-tessuti tal-mużew?")</f>
        <v>X'inhu l-perjodu ta 'żmien rappreżentat fil-kollezzjoni tat-tessuti tal-mużew?</v>
      </c>
    </row>
    <row r="10587" ht="15.75" customHeight="1">
      <c r="A10587" s="2" t="s">
        <v>10587</v>
      </c>
      <c r="B10587" s="2" t="str">
        <f>IFERROR(__xludf.DUMMYFUNCTION("GOOGLETRANSLATE(A10587, ""en"", ""mt"")"),"X'inhi l-inqas temperatura rreġistrata fir-Rabat?")</f>
        <v>X'inhi l-inqas temperatura rreġistrata fir-Rabat?</v>
      </c>
    </row>
    <row r="10588" ht="15.75" customHeight="1">
      <c r="A10588" s="2" t="s">
        <v>10588</v>
      </c>
      <c r="B10588" s="2" t="str">
        <f>IFERROR(__xludf.DUMMYFUNCTION("GOOGLETRANSLATE(A10588, ""en"", ""mt"")"),"Kważi l-blat kollha juru evidenza ta 'effetti tal-proċess ta' impatt. Ħafna kampjuni jidhru li huma mqabbda ma 'craters ta' impatt mikrometeoroid, li qatt ma jidher fuq il-blat tad-dinja, minħabba l-atmosfera oħxon. Ħafna juru sinjali li jkunu soġġetti għ"&amp;"al mewġ ta 'xokk ta' pressjoni għolja li huma ġġenerati waqt avvenimenti ta 'impatt. Uħud mill-kampjuni mibgħuta lura huma ta 'tidwib b'impatt (materjali mdewweb ħdejn crater ta' l-impatt.) Il-kampjuni kollha mibgħuta mill-qamar huma mqassma ħafna bħala r"&amp;"iżultat ta 'li huma soġġetti għal avvenimenti ta' impatt multipli.")</f>
        <v>Kważi l-blat kollha juru evidenza ta 'effetti tal-proċess ta' impatt. Ħafna kampjuni jidhru li huma mqabbda ma 'craters ta' impatt mikrometeoroid, li qatt ma jidher fuq il-blat tad-dinja, minħabba l-atmosfera oħxon. Ħafna juru sinjali li jkunu soġġetti għal mewġ ta 'xokk ta' pressjoni għolja li huma ġġenerati waqt avvenimenti ta 'impatt. Uħud mill-kampjuni mibgħuta lura huma ta 'tidwib b'impatt (materjali mdewweb ħdejn crater ta' l-impatt.) Il-kampjuni kollha mibgħuta mill-qamar huma mqassma ħafna bħala riżultat ta 'li huma soġġetti għal avvenimenti ta' impatt multipli.</v>
      </c>
    </row>
    <row r="10589" ht="15.75" customHeight="1">
      <c r="A10589" s="2" t="s">
        <v>10589</v>
      </c>
      <c r="B10589" s="2" t="str">
        <f>IFERROR(__xludf.DUMMYFUNCTION("GOOGLETRANSLATE(A10589, ""en"", ""mt"")"),"Meta l-Herald Tribune ppubblika l-artiklu Tesla tagħha?")</f>
        <v>Meta l-Herald Tribune ppubblika l-artiklu Tesla tagħha?</v>
      </c>
    </row>
    <row r="10590" ht="15.75" customHeight="1">
      <c r="A10590" s="2" t="s">
        <v>10590</v>
      </c>
      <c r="B10590" s="2" t="str">
        <f>IFERROR(__xludf.DUMMYFUNCTION("GOOGLETRANSLATE(A10590, ""en"", ""mt"")"),"fl-ispazju tat-tilakoid")</f>
        <v>fl-ispazju tat-tilakoid</v>
      </c>
    </row>
    <row r="10591" ht="15.75" customHeight="1">
      <c r="A10591" s="2" t="s">
        <v>10591</v>
      </c>
      <c r="B10591" s="2" t="str">
        <f>IFERROR(__xludf.DUMMYFUNCTION("GOOGLETRANSLATE(A10591, ""en"", ""mt"")"),"L-ekonomista Simon Kuznets argumenta li l-livelli ta 'inugwaljanza ekonomika huma fil-parti l-kbira r-riżultat ta' stadji ta 'żvilupp. Skond Kuznets, pajjiżi b'livelli baxxi ta 'żvilupp għandhom distribuzzjonijiet relattivament ugwali ta' ġid. Hekk kif ji"&amp;"żviluppa pajjiż, huwa jakkwista aktar kapital, li jwassal biex is-sidien ta 'dan il-kapital ikollhom aktar ġid u dħul u jintroduċu inugwaljanza. Eventwalment, permezz ta 'diversi mekkaniżmi ta' tqassim mill-ġdid possibbli bħal programmi ta 'benesseri soċj"&amp;"ali, pajjiżi aktar żviluppati jmorru lura għal livelli aktar baxxi ta' inugwaljanza.")</f>
        <v>L-ekonomista Simon Kuznets argumenta li l-livelli ta 'inugwaljanza ekonomika huma fil-parti l-kbira r-riżultat ta' stadji ta 'żvilupp. Skond Kuznets, pajjiżi b'livelli baxxi ta 'żvilupp għandhom distribuzzjonijiet relattivament ugwali ta' ġid. Hekk kif jiżviluppa pajjiż, huwa jakkwista aktar kapital, li jwassal biex is-sidien ta 'dan il-kapital ikollhom aktar ġid u dħul u jintroduċu inugwaljanza. Eventwalment, permezz ta 'diversi mekkaniżmi ta' tqassim mill-ġdid possibbli bħal programmi ta 'benesseri soċjali, pajjiżi aktar żviluppati jmorru lura għal livelli aktar baxxi ta' inugwaljanza.</v>
      </c>
    </row>
    <row r="10592" ht="15.75" customHeight="1">
      <c r="A10592" s="2" t="s">
        <v>10592</v>
      </c>
      <c r="B10592" s="2" t="str">
        <f>IFERROR(__xludf.DUMMYFUNCTION("GOOGLETRANSLATE(A10592, ""en"", ""mt"")"),"Ċentru Barnett")</f>
        <v>Ċentru Barnett</v>
      </c>
    </row>
    <row r="10593" ht="15.75" customHeight="1">
      <c r="A10593" s="2" t="s">
        <v>10593</v>
      </c>
      <c r="B10593" s="2" t="str">
        <f>IFERROR(__xludf.DUMMYFUNCTION("GOOGLETRANSLATE(A10593, ""en"", ""mt"")"),"X'inhu terminu għat-treġġigħ lura tal-fluss tal-fwar f'magna tal-pistuni wara kull puplesija?")</f>
        <v>X'inhu terminu għat-treġġigħ lura tal-fluss tal-fwar f'magna tal-pistuni wara kull puplesija?</v>
      </c>
    </row>
    <row r="10594" ht="15.75" customHeight="1">
      <c r="A10594" s="2" t="s">
        <v>10594</v>
      </c>
      <c r="B10594" s="2" t="str">
        <f>IFERROR(__xludf.DUMMYFUNCTION("GOOGLETRANSLATE(A10594, ""en"", ""mt"")"),"l-aktar sempliċi")</f>
        <v>l-aktar sempliċi</v>
      </c>
    </row>
    <row r="10595" ht="15.75" customHeight="1">
      <c r="A10595" s="2" t="s">
        <v>10595</v>
      </c>
      <c r="B10595" s="2" t="str">
        <f>IFERROR(__xludf.DUMMYFUNCTION("GOOGLETRANSLATE(A10595, ""en"", ""mt"")"),"Pearl Mackie")</f>
        <v>Pearl Mackie</v>
      </c>
    </row>
    <row r="10596" ht="15.75" customHeight="1">
      <c r="A10596" s="2" t="s">
        <v>10596</v>
      </c>
      <c r="B10596" s="2" t="str">
        <f>IFERROR(__xludf.DUMMYFUNCTION("GOOGLETRANSLATE(A10596, ""en"", ""mt"")"),"Abilene")</f>
        <v>Abilene</v>
      </c>
    </row>
    <row r="10597" ht="15.75" customHeight="1">
      <c r="A10597" s="2" t="s">
        <v>10597</v>
      </c>
      <c r="B10597" s="2" t="str">
        <f>IFERROR(__xludf.DUMMYFUNCTION("GOOGLETRANSLATE(A10597, ""en"", ""mt"")"),"pompa tal-ilma")</f>
        <v>pompa tal-ilma</v>
      </c>
    </row>
    <row r="10598" ht="15.75" customHeight="1">
      <c r="A10598" s="2" t="s">
        <v>10598</v>
      </c>
      <c r="B10598" s="2" t="str">
        <f>IFERROR(__xludf.DUMMYFUNCTION("GOOGLETRANSLATE(A10598, ""en"", ""mt"")"),"Sydney")</f>
        <v>Sydney</v>
      </c>
    </row>
    <row r="10599" ht="15.75" customHeight="1">
      <c r="A10599" s="2" t="s">
        <v>10599</v>
      </c>
      <c r="B10599" s="2" t="str">
        <f>IFERROR(__xludf.DUMMYFUNCTION("GOOGLETRANSLATE(A10599, ""en"", ""mt"")"),"1945")</f>
        <v>1945</v>
      </c>
    </row>
    <row r="10600" ht="15.75" customHeight="1">
      <c r="A10600" s="2" t="s">
        <v>10600</v>
      </c>
      <c r="B10600" s="2" t="str">
        <f>IFERROR(__xludf.DUMMYFUNCTION("GOOGLETRANSLATE(A10600, ""en"", ""mt"")"),"Brownlee jiġġustifika d-diżubbidjenza ċivili lejn liema fergħa tal-gvern?")</f>
        <v>Brownlee jiġġustifika d-diżubbidjenza ċivili lejn liema fergħa tal-gvern?</v>
      </c>
    </row>
    <row r="10601" ht="15.75" customHeight="1">
      <c r="A10601" s="2" t="s">
        <v>10601</v>
      </c>
      <c r="B10601" s="2" t="str">
        <f>IFERROR(__xludf.DUMMYFUNCTION("GOOGLETRANSLATE(A10601, ""en"", ""mt"")"),"X'inhi l-liġi msemmija li tiddefinixxi ħlas li jiċċaqlaq minn kamp manjetiku?")</f>
        <v>X'inhi l-liġi msemmija li tiddefinixxi ħlas li jiċċaqlaq minn kamp manjetiku?</v>
      </c>
    </row>
    <row r="10602" ht="15.75" customHeight="1">
      <c r="A10602" s="2" t="s">
        <v>10602</v>
      </c>
      <c r="B10602" s="2" t="str">
        <f>IFERROR(__xludf.DUMMYFUNCTION("GOOGLETRANSLATE(A10602, ""en"", ""mt"")"),"Liema pittur Taljan kien jidher fid-daħla tal-bieb tal-bronż prinċipali tal-mużew?")</f>
        <v>Liema pittur Taljan kien jidher fid-daħla tal-bieb tal-bronż prinċipali tal-mużew?</v>
      </c>
    </row>
    <row r="10603" ht="15.75" customHeight="1">
      <c r="A10603" s="2" t="s">
        <v>10603</v>
      </c>
      <c r="B10603" s="2" t="str">
        <f>IFERROR(__xludf.DUMMYFUNCTION("GOOGLETRANSLATE(A10603, ""en"", ""mt"")"),"immaġini ta 'annimali differenti u bnedmin iwettqu diversi azzjonijiet")</f>
        <v>immaġini ta 'annimali differenti u bnedmin iwettqu diversi azzjonijiet</v>
      </c>
    </row>
    <row r="10604" ht="15.75" customHeight="1">
      <c r="A10604" s="2" t="s">
        <v>10604</v>
      </c>
      <c r="B10604" s="2" t="str">
        <f>IFERROR(__xludf.DUMMYFUNCTION("GOOGLETRANSLATE(A10604, ""en"", ""mt"")"),"L-għaqda politika taċ-Ċina u ħafna mill-Asja Ċentrali")</f>
        <v>L-għaqda politika taċ-Ċina u ħafna mill-Asja Ċentrali</v>
      </c>
    </row>
    <row r="10605" ht="15.75" customHeight="1">
      <c r="A10605" s="2" t="s">
        <v>10605</v>
      </c>
      <c r="B10605" s="2" t="str">
        <f>IFERROR(__xludf.DUMMYFUNCTION("GOOGLETRANSLATE(A10605, ""en"", ""mt"")"),"Il-kloroplasti jistgħu jservu bħala sensuri ċellulari. Wara li jindunaw l-istress f'ċellula, li jista 'jkun minħabba patoġen, il-kloroplasti jibdew jipproduċu molekuli bħall-aċidu saliċiliku, l-aċidu ġiżmoniku, l-ossidu nitriku u speċi reattivi ta' ossiġe"&amp;"nu li jistgħu jservu bħala sinjali tad-difiża. Bħala sinjali ċellulari, speċi reattivi ta 'ossiġnu huma molekuli instabbli, u għalhekk probabbilment ma jħallux il-kloroplast, iżda minflok jgħaddu s-sinjal tagħhom għal molekula tat-tieni messaġġier mhux ma"&amp;"għrufa. Dawn il-molekuli kollha jibdew sinjalazzjoni retrograda - sinjali mill-kloroplast li jirregolaw l-espressjoni tal-ġene fin-nukleu.")</f>
        <v>Il-kloroplasti jistgħu jservu bħala sensuri ċellulari. Wara li jindunaw l-istress f'ċellula, li jista 'jkun minħabba patoġen, il-kloroplasti jibdew jipproduċu molekuli bħall-aċidu saliċiliku, l-aċidu ġiżmoniku, l-ossidu nitriku u speċi reattivi ta' ossiġenu li jistgħu jservu bħala sinjali tad-difiża. Bħala sinjali ċellulari, speċi reattivi ta 'ossiġnu huma molekuli instabbli, u għalhekk probabbilment ma jħallux il-kloroplast, iżda minflok jgħaddu s-sinjal tagħhom għal molekula tat-tieni messaġġier mhux magħrufa. Dawn il-molekuli kollha jibdew sinjalazzjoni retrograda - sinjali mill-kloroplast li jirregolaw l-espressjoni tal-ġene fin-nukleu.</v>
      </c>
    </row>
    <row r="10606" ht="15.75" customHeight="1">
      <c r="A10606" s="2" t="s">
        <v>10606</v>
      </c>
      <c r="B10606" s="2" t="str">
        <f>IFERROR(__xludf.DUMMYFUNCTION("GOOGLETRANSLATE(A10606, ""en"", ""mt"")"),"Il-premiering l-għada tal-qtil ta 'John F. Kennedy, l-ewwel episodju ta' Doctor Who ġie ripetut bit-tieni episodju l-ġimgħa ta 'wara. Doctor Who dejjem deher inizjalment fuq il-kanal Mainstream BBC One tal-BBC, fejn huwa meqjus bħala spettaklu tal-familja"&amp;", li jiġbed udjenzi ta 'ħafna miljuni ta' telespettaturi; Episodji issa huma ripetuti fuq BBC Three. Il-popolarità tal-programm waxed u naqset matul l-għexieren ta 'snin, bi tliet perjodi notevoli ta' klassifikazzjonijiet għoljin. L-ewwel waħda minn dawn "&amp;"kienet il-perjodu ""Dalekmania"" (madwar 1964-1965), meta l-popolarità tad-Daleks regolarment ġabet lill-klassifikazzjonijiet ta 'Doctor Who ta' bejn 9 u 14-il miljun, anke għal stejjer li ma kinux jidhru magħhom. It-tieni kien l-aħħar tas-snin sebgħin, m"&amp;"eta Tom Baker kultant ġibed udjenzi ta 'aktar minn 12-il miljun.")</f>
        <v>Il-premiering l-għada tal-qtil ta 'John F. Kennedy, l-ewwel episodju ta' Doctor Who ġie ripetut bit-tieni episodju l-ġimgħa ta 'wara. Doctor Who dejjem deher inizjalment fuq il-kanal Mainstream BBC One tal-BBC, fejn huwa meqjus bħala spettaklu tal-familja, li jiġbed udjenzi ta 'ħafna miljuni ta' telespettaturi; Episodji issa huma ripetuti fuq BBC Three. Il-popolarità tal-programm waxed u naqset matul l-għexieren ta 'snin, bi tliet perjodi notevoli ta' klassifikazzjonijiet għoljin. L-ewwel waħda minn dawn kienet il-perjodu "Dalekmania" (madwar 1964-1965), meta l-popolarità tad-Daleks regolarment ġabet lill-klassifikazzjonijiet ta 'Doctor Who ta' bejn 9 u 14-il miljun, anke għal stejjer li ma kinux jidhru magħhom. It-tieni kien l-aħħar tas-snin sebgħin, meta Tom Baker kultant ġibed udjenzi ta 'aktar minn 12-il miljun.</v>
      </c>
    </row>
    <row r="10607" ht="15.75" customHeight="1">
      <c r="A10607" s="2" t="s">
        <v>10607</v>
      </c>
      <c r="B10607" s="2" t="str">
        <f>IFERROR(__xludf.DUMMYFUNCTION("GOOGLETRANSLATE(A10607, ""en"", ""mt"")"),"il-kuntrattur ewlieni")</f>
        <v>il-kuntrattur ewlieni</v>
      </c>
    </row>
    <row r="10608" ht="15.75" customHeight="1">
      <c r="A10608" s="2" t="s">
        <v>10608</v>
      </c>
      <c r="B10608" s="2" t="str">
        <f>IFERROR(__xludf.DUMMYFUNCTION("GOOGLETRANSLATE(A10608, ""en"", ""mt"")"),"Meta jiġri fotorespirazzjoni?")</f>
        <v>Meta jiġri fotorespirazzjoni?</v>
      </c>
    </row>
    <row r="10609" ht="15.75" customHeight="1">
      <c r="A10609" s="2" t="s">
        <v>10609</v>
      </c>
      <c r="B10609" s="2" t="str">
        <f>IFERROR(__xludf.DUMMYFUNCTION("GOOGLETRANSLATE(A10609, ""en"", ""mt"")"),"L-ewwel żewġ serje")</f>
        <v>L-ewwel żewġ serje</v>
      </c>
    </row>
    <row r="10610" ht="15.75" customHeight="1">
      <c r="A10610" s="2" t="s">
        <v>10610</v>
      </c>
      <c r="B10610" s="2" t="str">
        <f>IFERROR(__xludf.DUMMYFUNCTION("GOOGLETRANSLATE(A10610, ""en"", ""mt"")"),"Liema tribù waqgħet wara li Temüjin għeleb lil Toghrul?")</f>
        <v>Liema tribù waqgħet wara li Temüjin għeleb lil Toghrul?</v>
      </c>
    </row>
    <row r="10611" ht="15.75" customHeight="1">
      <c r="A10611" s="2" t="s">
        <v>10611</v>
      </c>
      <c r="B10611" s="2" t="str">
        <f>IFERROR(__xludf.DUMMYFUNCTION("GOOGLETRANSLATE(A10611, ""en"", ""mt"")"),"X'kien l-isem tal-episodju tal-50 anniversarju?")</f>
        <v>X'kien l-isem tal-episodju tal-50 anniversarju?</v>
      </c>
    </row>
    <row r="10612" ht="15.75" customHeight="1">
      <c r="A10612" s="2" t="s">
        <v>10612</v>
      </c>
      <c r="B10612" s="2" t="str">
        <f>IFERROR(__xludf.DUMMYFUNCTION("GOOGLETRANSLATE(A10612, ""en"", ""mt"")"),"Kunflitt ferm akbar bejn Franza u l-Gran Brittanja")</f>
        <v>Kunflitt ferm akbar bejn Franza u l-Gran Brittanja</v>
      </c>
    </row>
    <row r="10613" ht="15.75" customHeight="1">
      <c r="A10613" s="2" t="s">
        <v>10613</v>
      </c>
      <c r="B10613" s="2" t="str">
        <f>IFERROR(__xludf.DUMMYFUNCTION("GOOGLETRANSLATE(A10613, ""en"", ""mt"")"),"il-qamar")</f>
        <v>il-qamar</v>
      </c>
    </row>
    <row r="10614" ht="15.75" customHeight="1">
      <c r="A10614" s="2" t="s">
        <v>10614</v>
      </c>
      <c r="B10614" s="2" t="str">
        <f>IFERROR(__xludf.DUMMYFUNCTION("GOOGLETRANSLATE(A10614, ""en"", ""mt"")"),"Wara s-sitt priedka")</f>
        <v>Wara s-sitt priedka</v>
      </c>
    </row>
    <row r="10615" ht="15.75" customHeight="1">
      <c r="A10615" s="2" t="s">
        <v>10615</v>
      </c>
      <c r="B10615" s="2" t="str">
        <f>IFERROR(__xludf.DUMMYFUNCTION("GOOGLETRANSLATE(A10615, ""en"", ""mt"")"),"Settembru 1971")</f>
        <v>Settembru 1971</v>
      </c>
    </row>
    <row r="10616" ht="15.75" customHeight="1">
      <c r="A10616" s="2" t="s">
        <v>10616</v>
      </c>
      <c r="B10616" s="2" t="str">
        <f>IFERROR(__xludf.DUMMYFUNCTION("GOOGLETRANSLATE(A10616, ""en"", ""mt"")"),"diskors")</f>
        <v>diskors</v>
      </c>
    </row>
    <row r="10617" ht="15.75" customHeight="1">
      <c r="A10617" s="2" t="s">
        <v>10617</v>
      </c>
      <c r="B10617" s="2" t="str">
        <f>IFERROR(__xludf.DUMMYFUNCTION("GOOGLETRANSLATE(A10617, ""en"", ""mt"")"),"Disinn Ibni")</f>
        <v>Disinn Ibni</v>
      </c>
    </row>
    <row r="10618" ht="15.75" customHeight="1">
      <c r="A10618" s="2" t="s">
        <v>10618</v>
      </c>
      <c r="B10618" s="2" t="str">
        <f>IFERROR(__xludf.DUMMYFUNCTION("GOOGLETRANSLATE(A10618, ""en"", ""mt"")"),"Ilmijiet tal-baħar")</f>
        <v>Ilmijiet tal-baħar</v>
      </c>
    </row>
    <row r="10619" ht="15.75" customHeight="1">
      <c r="A10619" s="2" t="s">
        <v>10619</v>
      </c>
      <c r="B10619" s="2" t="str">
        <f>IFERROR(__xludf.DUMMYFUNCTION("GOOGLETRANSLATE(A10619, ""en"", ""mt"")"),"X'inhu l-isem tal-akbar stampa universitarja fl-Istati Uniti?")</f>
        <v>X'inhu l-isem tal-akbar stampa universitarja fl-Istati Uniti?</v>
      </c>
    </row>
    <row r="10620" ht="15.75" customHeight="1">
      <c r="A10620" s="2" t="s">
        <v>10620</v>
      </c>
      <c r="B10620" s="2" t="str">
        <f>IFERROR(__xludf.DUMMYFUNCTION("GOOGLETRANSLATE(A10620, ""en"", ""mt"")"),"Grupp tal-kloroplast tal-glaukofit")</f>
        <v>Grupp tal-kloroplast tal-glaukofit</v>
      </c>
    </row>
    <row r="10621" ht="15.75" customHeight="1">
      <c r="A10621" s="2" t="s">
        <v>10621</v>
      </c>
      <c r="B10621" s="2" t="str">
        <f>IFERROR(__xludf.DUMMYFUNCTION("GOOGLETRANSLATE(A10621, ""en"", ""mt"")"),"L-immunoloġija hija ferm sperimentali fil-prattika ta 'kuljum iżda hija wkoll ikkaratterizzata minn attitudni teoretika kontinwa. Ħafna teoriji ġew issuġġeriti fl-immunoloġija mill-aħħar tas-seklu dsatax sal-lum. L-aħħar tas-seklu 19 u l-bidu tas-seklu 20"&amp;" raw battalja bejn teoriji ""ċellulari"" u ""umoristiċi"" tal-immunità. Skond it-teorija ċellulari tal-immunità, irrappreżentata b'mod partikolari minn Elie Metchnikoff, kienu ċelloli - b'mod aktar preċiż, fagoċiti - li kienu responsabbli għar-risponsi im"&amp;"muni. B'kuntrast, it-teorija umoristika tal-immunità, miżmuma, fost oħrajn, minn Robert Koch u Emil von Behring, iddikjaraw li l-aġenti immuni attivi kienu komponenti li jinħallu (molekuli) misjuba fl- ""umuri"" tal-organiżmu aktar milli ċ-ċelloli tiegħu.")</f>
        <v>L-immunoloġija hija ferm sperimentali fil-prattika ta 'kuljum iżda hija wkoll ikkaratterizzata minn attitudni teoretika kontinwa. Ħafna teoriji ġew issuġġeriti fl-immunoloġija mill-aħħar tas-seklu dsatax sal-lum. L-aħħar tas-seklu 19 u l-bidu tas-seklu 20 raw battalja bejn teoriji "ċellulari" u "umoristiċi" tal-immunità. Skond it-teorija ċellulari tal-immunità, irrappreżentata b'mod partikolari minn Elie Metchnikoff, kienu ċelloli - b'mod aktar preċiż, fagoċiti - li kienu responsabbli għar-risponsi immuni. B'kuntrast, it-teorija umoristika tal-immunità, miżmuma, fost oħrajn, minn Robert Koch u Emil von Behring, iddikjaraw li l-aġenti immuni attivi kienu komponenti li jinħallu (molekuli) misjuba fl- "umuri" tal-organiżmu aktar milli ċ-ċelloli tiegħu.</v>
      </c>
    </row>
    <row r="10622" ht="15.75" customHeight="1">
      <c r="A10622" s="2" t="s">
        <v>10622</v>
      </c>
      <c r="B10622" s="2" t="str">
        <f>IFERROR(__xludf.DUMMYFUNCTION("GOOGLETRANSLATE(A10622, ""en"", ""mt"")"),"tirrifjuta li tieħu impenn fuq ir-risposta tal-Amerika")</f>
        <v>tirrifjuta li tieħu impenn fuq ir-risposta tal-Amerika</v>
      </c>
    </row>
    <row r="10623" ht="15.75" customHeight="1">
      <c r="A10623" s="2" t="s">
        <v>10623</v>
      </c>
      <c r="B10623" s="2" t="str">
        <f>IFERROR(__xludf.DUMMYFUNCTION("GOOGLETRANSLATE(A10623, ""en"", ""mt"")"),"attakki fuq il-Lhud")</f>
        <v>attakki fuq il-Lhud</v>
      </c>
    </row>
    <row r="10624" ht="15.75" customHeight="1">
      <c r="A10624" s="2" t="s">
        <v>10624</v>
      </c>
      <c r="B10624" s="2" t="str">
        <f>IFERROR(__xludf.DUMMYFUNCTION("GOOGLETRANSLATE(A10624, ""en"", ""mt"")"),"Ġunju 1978")</f>
        <v>Ġunju 1978</v>
      </c>
    </row>
    <row r="10625" ht="15.75" customHeight="1">
      <c r="A10625" s="2" t="s">
        <v>10625</v>
      </c>
      <c r="B10625" s="2" t="str">
        <f>IFERROR(__xludf.DUMMYFUNCTION("GOOGLETRANSLATE(A10625, ""en"", ""mt"")"),"Jekk il-ħin polinomjali jista 'jintuża fi problema kompluta ta' NP, xi jfisser li P huwa daqs?")</f>
        <v>Jekk il-ħin polinomjali jista 'jintuża fi problema kompluta ta' NP, xi jfisser li P huwa daqs?</v>
      </c>
    </row>
    <row r="10626" ht="15.75" customHeight="1">
      <c r="A10626" s="2" t="s">
        <v>10626</v>
      </c>
      <c r="B10626" s="2" t="str">
        <f>IFERROR(__xludf.DUMMYFUNCTION("GOOGLETRANSLATE(A10626, ""en"", ""mt"")"),"Minn fejn ġie l-ewwel oġġett fil-kollezzjoni tal-ħġieġ V&amp;A?")</f>
        <v>Minn fejn ġie l-ewwel oġġett fil-kollezzjoni tal-ħġieġ V&amp;A?</v>
      </c>
    </row>
    <row r="10627" ht="15.75" customHeight="1">
      <c r="A10627" s="2" t="s">
        <v>10627</v>
      </c>
      <c r="B10627" s="2" t="str">
        <f>IFERROR(__xludf.DUMMYFUNCTION("GOOGLETRANSLATE(A10627, ""en"", ""mt"")"),"Liema pjattaforma kkawżat lil BSKYB biex itemm is-servizz analogu tagħhom?")</f>
        <v>Liema pjattaforma kkawżat lil BSKYB biex itemm is-servizz analogu tagħhom?</v>
      </c>
    </row>
    <row r="10628" ht="15.75" customHeight="1">
      <c r="A10628" s="2" t="s">
        <v>10628</v>
      </c>
      <c r="B10628" s="2" t="str">
        <f>IFERROR(__xludf.DUMMYFUNCTION("GOOGLETRANSLATE(A10628, ""en"", ""mt"")"),"Kif taffettwa t-tkessiħ tal-ambjent lokali tal-mnemiopsis?")</f>
        <v>Kif taffettwa t-tkessiħ tal-ambjent lokali tal-mnemiopsis?</v>
      </c>
    </row>
    <row r="10629" ht="15.75" customHeight="1">
      <c r="A10629" s="2" t="s">
        <v>10629</v>
      </c>
      <c r="B10629" s="2" t="str">
        <f>IFERROR(__xludf.DUMMYFUNCTION("GOOGLETRANSLATE(A10629, ""en"", ""mt"")"),"Temperaturi globali aktar baxxi")</f>
        <v>Temperaturi globali aktar baxxi</v>
      </c>
    </row>
    <row r="10630" ht="15.75" customHeight="1">
      <c r="A10630" s="2" t="s">
        <v>10630</v>
      </c>
      <c r="B10630" s="2" t="str">
        <f>IFERROR(__xludf.DUMMYFUNCTION("GOOGLETRANSLATE(A10630, ""en"", ""mt"")"),"Ma 'Tanaghrisson u l-partit tiegħu, sorpriż lill-Kanadiżi fit-28 ta' Mejju f'dak li sar magħruf bħala l-Battalja ta 'Jumonville Glen")</f>
        <v>Ma 'Tanaghrisson u l-partit tiegħu, sorpriż lill-Kanadiżi fit-28 ta' Mejju f'dak li sar magħruf bħala l-Battalja ta 'Jumonville Glen</v>
      </c>
    </row>
    <row r="10631" ht="15.75" customHeight="1">
      <c r="A10631" s="2" t="s">
        <v>10631</v>
      </c>
      <c r="B10631" s="2" t="str">
        <f>IFERROR(__xludf.DUMMYFUNCTION("GOOGLETRANSLATE(A10631, ""en"", ""mt"")"),"B'differenza mill-konferma u l-professjoni tal-fidi, il-magħmudija hija sagrament fl-UMC. Il-Ktieb tad-Dixxiplina tal-Knisja Metodista Magħquda jidderieġi l-knisja lokali biex toffri preparazzjoni ta ’sħubija jew klassijiet ta’ konferma lin-nies kollha, i"&amp;"nklużi l-adulti. It-terminu konferma ġeneralment huwa riservat għaż-żgħażagħ, filwaqt li xi varjazzjoni fuq il-klassi tas-sħubija hija ġeneralment użata għall-adulti li jixtiequ jingħaqdu mal-knisja. Il-Ktieb tad-Dixxiplina normalment jippermetti lil xi ż"&amp;"għażagħ tal-inqas li jtemmu s-sitt grad biex jipparteċipaw, għalkemm ir-ragħaj għandu awtorità diskrezzjonarja biex jippermetti li persuna żagħżugħa tipparteċipa. Fil-klassijiet ta ’konferma u preparazzjoni tas-sħubija, l-istudenti jitgħallmu dwar il-knis"&amp;"ja u t-tradizzjoni teoloġika Metodista-Kristjana sabiex jistqarru l-fidi aħħarija tagħhom fi Kristu.")</f>
        <v>B'differenza mill-konferma u l-professjoni tal-fidi, il-magħmudija hija sagrament fl-UMC. Il-Ktieb tad-Dixxiplina tal-Knisja Metodista Magħquda jidderieġi l-knisja lokali biex toffri preparazzjoni ta ’sħubija jew klassijiet ta’ konferma lin-nies kollha, inklużi l-adulti. It-terminu konferma ġeneralment huwa riservat għaż-żgħażagħ, filwaqt li xi varjazzjoni fuq il-klassi tas-sħubija hija ġeneralment użata għall-adulti li jixtiequ jingħaqdu mal-knisja. Il-Ktieb tad-Dixxiplina normalment jippermetti lil xi żgħażagħ tal-inqas li jtemmu s-sitt grad biex jipparteċipaw, għalkemm ir-ragħaj għandu awtorità diskrezzjonarja biex jippermetti li persuna żagħżugħa tipparteċipa. Fil-klassijiet ta ’konferma u preparazzjoni tas-sħubija, l-istudenti jitgħallmu dwar il-knisja u t-tradizzjoni teoloġika Metodista-Kristjana sabiex jistqarru l-fidi aħħarija tagħhom fi Kristu.</v>
      </c>
    </row>
    <row r="10632" ht="15.75" customHeight="1">
      <c r="A10632" s="2" t="s">
        <v>10632</v>
      </c>
      <c r="B10632" s="2" t="str">
        <f>IFERROR(__xludf.DUMMYFUNCTION("GOOGLETRANSLATE(A10632, ""en"", ""mt"")"),"Liema grupp kien responsabbli biex jikkawża aktar vjolenza f'Wittenberg?")</f>
        <v>Liema grupp kien responsabbli biex jikkawża aktar vjolenza f'Wittenberg?</v>
      </c>
    </row>
    <row r="10633" ht="15.75" customHeight="1">
      <c r="A10633" s="2" t="s">
        <v>10633</v>
      </c>
      <c r="B10633" s="2" t="str">
        <f>IFERROR(__xludf.DUMMYFUNCTION("GOOGLETRANSLATE(A10633, ""en"", ""mt"")"),"Hughes Hotel")</f>
        <v>Hughes Hotel</v>
      </c>
    </row>
    <row r="10634" ht="15.75" customHeight="1">
      <c r="A10634" s="2" t="s">
        <v>10634</v>
      </c>
      <c r="B10634" s="2" t="str">
        <f>IFERROR(__xludf.DUMMYFUNCTION("GOOGLETRANSLATE(A10634, ""en"", ""mt"")"),"L-għarbiel tal-qasam tan-numru ġenerali")</f>
        <v>L-għarbiel tal-qasam tan-numru ġenerali</v>
      </c>
    </row>
    <row r="10635" ht="15.75" customHeight="1">
      <c r="A10635" s="2" t="s">
        <v>10635</v>
      </c>
      <c r="B10635" s="2" t="str">
        <f>IFERROR(__xludf.DUMMYFUNCTION("GOOGLETRANSLATE(A10635, ""en"", ""mt"")"),"150 Laureates Nobel")</f>
        <v>150 Laureates Nobel</v>
      </c>
    </row>
    <row r="10636" ht="15.75" customHeight="1">
      <c r="A10636" s="2" t="s">
        <v>10636</v>
      </c>
      <c r="B10636" s="2" t="str">
        <f>IFERROR(__xludf.DUMMYFUNCTION("GOOGLETRANSLATE(A10636, ""en"", ""mt"")"),"Fl-10 ġimgħa tal-istaġun 2015, ma 'liema korriment kien qed jittratta Peyton Manning?")</f>
        <v>Fl-10 ġimgħa tal-istaġun 2015, ma 'liema korriment kien qed jittratta Peyton Manning?</v>
      </c>
    </row>
    <row r="10637" ht="15.75" customHeight="1">
      <c r="A10637" s="2" t="s">
        <v>10637</v>
      </c>
      <c r="B10637" s="2" t="str">
        <f>IFERROR(__xludf.DUMMYFUNCTION("GOOGLETRANSLATE(A10637, ""en"", ""mt"")"),"Applikazzjoni kontinwa ta 'forza")</f>
        <v>Applikazzjoni kontinwa ta 'forza</v>
      </c>
    </row>
    <row r="10638" ht="15.75" customHeight="1">
      <c r="A10638" s="2" t="s">
        <v>10638</v>
      </c>
      <c r="B10638" s="2" t="str">
        <f>IFERROR(__xludf.DUMMYFUNCTION("GOOGLETRANSLATE(A10638, ""en"", ""mt"")"),"Fejn tgħix Tesla għal ħafna minn ħajtu?")</f>
        <v>Fejn tgħix Tesla għal ħafna minn ħajtu?</v>
      </c>
    </row>
    <row r="10639" ht="15.75" customHeight="1">
      <c r="A10639" s="2" t="s">
        <v>10639</v>
      </c>
      <c r="B10639" s="2" t="str">
        <f>IFERROR(__xludf.DUMMYFUNCTION("GOOGLETRANSLATE(A10639, ""en"", ""mt"")"),"Liema pożizzjoni jilgħab Von Miller għad-Denver Broncos?")</f>
        <v>Liema pożizzjoni jilgħab Von Miller għad-Denver Broncos?</v>
      </c>
    </row>
    <row r="10640" ht="15.75" customHeight="1">
      <c r="A10640" s="2" t="s">
        <v>10640</v>
      </c>
      <c r="B10640" s="2" t="str">
        <f>IFERROR(__xludf.DUMMYFUNCTION("GOOGLETRANSLATE(A10640, ""en"", ""mt"")"),"X’għamel Guo Shoujing għall-kalendarji?")</f>
        <v>X’għamel Guo Shoujing għall-kalendarji?</v>
      </c>
    </row>
    <row r="10641" ht="15.75" customHeight="1">
      <c r="A10641" s="2" t="s">
        <v>10641</v>
      </c>
      <c r="B10641" s="2" t="str">
        <f>IFERROR(__xludf.DUMMYFUNCTION("GOOGLETRANSLATE(A10641, ""en"", ""mt"")"),"pompa")</f>
        <v>pompa</v>
      </c>
    </row>
    <row r="10642" ht="15.75" customHeight="1">
      <c r="A10642" s="2" t="s">
        <v>10642</v>
      </c>
      <c r="B10642" s="2" t="str">
        <f>IFERROR(__xludf.DUMMYFUNCTION("GOOGLETRANSLATE(A10642, ""en"", ""mt"")"),"Tesla kisbet esperjenza fit-telefonija u l-inġinerija elettrika qabel ma emigra lejn l-Istati Uniti fl-1884 biex taħdem għal Thomas Edison fi New York City. Malajr ħabat waħdu ma 'dawk li jappoġġjaw finanzjarji, waqqaf laboratorji u kumpaniji biex jiżvilu"&amp;"ppaw firxa ta' apparati elettriċi. Il-mutur u t-transformer tal-induzzjoni AC brevettati tiegħu kienu liċenzjati minn George Westinghouse, li wkoll ingaġġa lil Tesla għal żmien qasir bħala konsulent. Ix-xogħol tiegħu fis-snin formattivi tal-iżvilupp tal-e"&amp;"nerġija elettrika kien involut fi kurrent alternattiv / kurrent dirett ""Gwerra tal-Kurrenti"" kif ukoll f'diversi battalji ta 'privattivi.")</f>
        <v>Tesla kisbet esperjenza fit-telefonija u l-inġinerija elettrika qabel ma emigra lejn l-Istati Uniti fl-1884 biex taħdem għal Thomas Edison fi New York City. Malajr ħabat waħdu ma 'dawk li jappoġġjaw finanzjarji, waqqaf laboratorji u kumpaniji biex jiżviluppaw firxa ta' apparati elettriċi. Il-mutur u t-transformer tal-induzzjoni AC brevettati tiegħu kienu liċenzjati minn George Westinghouse, li wkoll ingaġġa lil Tesla għal żmien qasir bħala konsulent. Ix-xogħol tiegħu fis-snin formattivi tal-iżvilupp tal-enerġija elettrika kien involut fi kurrent alternattiv / kurrent dirett "Gwerra tal-Kurrenti" kif ukoll f'diversi battalji ta 'privattivi.</v>
      </c>
    </row>
    <row r="10643" ht="15.75" customHeight="1">
      <c r="A10643" s="2" t="s">
        <v>10643</v>
      </c>
      <c r="B10643" s="2" t="str">
        <f>IFERROR(__xludf.DUMMYFUNCTION("GOOGLETRANSLATE(A10643, ""en"", ""mt"")"),"tikkastiga lill-poplu Miami")</f>
        <v>tikkastiga lill-poplu Miami</v>
      </c>
    </row>
    <row r="10644" ht="15.75" customHeight="1">
      <c r="A10644" s="2" t="s">
        <v>10644</v>
      </c>
      <c r="B10644" s="2" t="str">
        <f>IFERROR(__xludf.DUMMYFUNCTION("GOOGLETRANSLATE(A10644, ""en"", ""mt"")"),"Jesmond u Heaton huma żoni mimlijin prinċipalment b'liema?")</f>
        <v>Jesmond u Heaton huma żoni mimlijin prinċipalment b'liema?</v>
      </c>
    </row>
    <row r="10645" ht="15.75" customHeight="1">
      <c r="A10645" s="2" t="s">
        <v>10645</v>
      </c>
      <c r="B10645" s="2" t="str">
        <f>IFERROR(__xludf.DUMMYFUNCTION("GOOGLETRANSLATE(A10645, ""en"", ""mt"")"),"Kemm-il ġurnata l-kunsill ikollu jwarrab il-veto tas-sindku?")</f>
        <v>Kemm-il ġurnata l-kunsill ikollu jwarrab il-veto tas-sindku?</v>
      </c>
    </row>
    <row r="10646" ht="15.75" customHeight="1">
      <c r="A10646" s="2" t="s">
        <v>10646</v>
      </c>
      <c r="B10646" s="2" t="str">
        <f>IFERROR(__xludf.DUMMYFUNCTION("GOOGLETRANSLATE(A10646, ""en"", ""mt"")"),"66 miljun sena")</f>
        <v>66 miljun sena</v>
      </c>
    </row>
    <row r="10647" ht="15.75" customHeight="1">
      <c r="A10647" s="2" t="s">
        <v>10647</v>
      </c>
      <c r="B10647" s="2" t="str">
        <f>IFERROR(__xludf.DUMMYFUNCTION("GOOGLETRANSLATE(A10647, ""en"", ""mt"")"),"Liema organizzazzjoni rranġat għall-fondazzjoni tal-iskola?")</f>
        <v>Liema organizzazzjoni rranġat għall-fondazzjoni tal-iskola?</v>
      </c>
    </row>
    <row r="10648" ht="15.75" customHeight="1">
      <c r="A10648" s="2" t="s">
        <v>10648</v>
      </c>
      <c r="B10648" s="2" t="str">
        <f>IFERROR(__xludf.DUMMYFUNCTION("GOOGLETRANSLATE(A10648, ""en"", ""mt"")"),"Aaron ortografija")</f>
        <v>Aaron ortografija</v>
      </c>
    </row>
    <row r="10649" ht="15.75" customHeight="1">
      <c r="A10649" s="2" t="s">
        <v>10649</v>
      </c>
      <c r="B10649" s="2" t="str">
        <f>IFERROR(__xludf.DUMMYFUNCTION("GOOGLETRANSLATE(A10649, ""en"", ""mt"")"),"Oliver Evans")</f>
        <v>Oliver Evans</v>
      </c>
    </row>
    <row r="10650" ht="15.75" customHeight="1">
      <c r="A10650" s="2" t="s">
        <v>10650</v>
      </c>
      <c r="B10650" s="2" t="str">
        <f>IFERROR(__xludf.DUMMYFUNCTION("GOOGLETRANSLATE(A10650, ""en"", ""mt"")"),"Ċiniż mhux nattiv")</f>
        <v>Ċiniż mhux nattiv</v>
      </c>
    </row>
    <row r="10651" ht="15.75" customHeight="1">
      <c r="A10651" s="2" t="s">
        <v>10651</v>
      </c>
      <c r="B10651" s="2" t="str">
        <f>IFERROR(__xludf.DUMMYFUNCTION("GOOGLETRANSLATE(A10651, ""en"", ""mt"")"),"Il-veloċità kostanti kienet assoċjata ma 'nuqqas ta' forza netta")</f>
        <v>Il-veloċità kostanti kienet assoċjata ma 'nuqqas ta' forza netta</v>
      </c>
    </row>
    <row r="10652" ht="15.75" customHeight="1">
      <c r="A10652" s="2" t="s">
        <v>10652</v>
      </c>
      <c r="B10652" s="2" t="str">
        <f>IFERROR(__xludf.DUMMYFUNCTION("GOOGLETRANSLATE(A10652, ""en"", ""mt"")"),"Liema kumpanija hija l-gallerija tal-arti Ġappuniża msemmija wara?")</f>
        <v>Liema kumpanija hija l-gallerija tal-arti Ġappuniża msemmija wara?</v>
      </c>
    </row>
    <row r="10653" ht="15.75" customHeight="1">
      <c r="A10653" s="2" t="s">
        <v>10653</v>
      </c>
      <c r="B10653" s="2" t="str">
        <f>IFERROR(__xludf.DUMMYFUNCTION("GOOGLETRANSLATE(A10653, ""en"", ""mt"")"),"imħabbra pubblikament")</f>
        <v>imħabbra pubblikament</v>
      </c>
    </row>
    <row r="10654" ht="15.75" customHeight="1">
      <c r="A10654" s="2" t="s">
        <v>10654</v>
      </c>
      <c r="B10654" s="2" t="str">
        <f>IFERROR(__xludf.DUMMYFUNCTION("GOOGLETRANSLATE(A10654, ""en"", ""mt"")"),"Tiżgura li r-riċetta hija valida")</f>
        <v>Tiżgura li r-riċetta hija valida</v>
      </c>
    </row>
    <row r="10655" ht="15.75" customHeight="1">
      <c r="A10655" s="2" t="s">
        <v>10655</v>
      </c>
      <c r="B10655" s="2" t="str">
        <f>IFERROR(__xludf.DUMMYFUNCTION("GOOGLETRANSLATE(A10655, ""en"", ""mt"")"),"Min kien ħadem fuq is-serje Saturn anki qabel ma beda l-programm Apollo uffiċjalment?")</f>
        <v>Min kien ħadem fuq is-serje Saturn anki qabel ma beda l-programm Apollo uffiċjalment?</v>
      </c>
    </row>
    <row r="10656" ht="15.75" customHeight="1">
      <c r="A10656" s="2" t="s">
        <v>10656</v>
      </c>
      <c r="B10656" s="2" t="str">
        <f>IFERROR(__xludf.DUMMYFUNCTION("GOOGLETRANSLATE(A10656, ""en"", ""mt"")"),"l-iskambju tat-telefon Budapest")</f>
        <v>l-iskambju tat-telefon Budapest</v>
      </c>
    </row>
    <row r="10657" ht="15.75" customHeight="1">
      <c r="A10657" s="2" t="s">
        <v>10657</v>
      </c>
      <c r="B10657" s="2" t="str">
        <f>IFERROR(__xludf.DUMMYFUNCTION("GOOGLETRANSLATE(A10657, ""en"", ""mt"")"),"Ħafna mill-kitbiet ta 'Tesla huma disponibbli liberament fuq il-web, inkluż l-artiklu ""Il-Problema taż-Żieda tal-Enerġija tal-Bniedem"", ippubblikat fir-rivista Century fl-1900, u l-artiklu ""Esperimenti b'kurrenti alternattivi ta' potenzjal għoli u frek"&amp;"wenza għolja,"" ippubblikat f'Hid Invenzjonijiet tal-kotba, riċerki u kitbiet ta ’Nikola Tesla.")</f>
        <v>Ħafna mill-kitbiet ta 'Tesla huma disponibbli liberament fuq il-web, inkluż l-artiklu "Il-Problema taż-Żieda tal-Enerġija tal-Bniedem", ippubblikat fir-rivista Century fl-1900, u l-artiklu "Esperimenti b'kurrenti alternattivi ta' potenzjal għoli u frekwenza għolja," ippubblikat f'Hid Invenzjonijiet tal-kotba, riċerki u kitbiet ta ’Nikola Tesla.</v>
      </c>
    </row>
    <row r="10658" ht="15.75" customHeight="1">
      <c r="A10658" s="2" t="s">
        <v>10658</v>
      </c>
      <c r="B10658" s="2" t="str">
        <f>IFERROR(__xludf.DUMMYFUNCTION("GOOGLETRANSLATE(A10658, ""en"", ""mt"")"),"vulgarità u vjolenza")</f>
        <v>vulgarità u vjolenza</v>
      </c>
    </row>
    <row r="10659" ht="15.75" customHeight="1">
      <c r="A10659" s="2" t="s">
        <v>10659</v>
      </c>
      <c r="B10659" s="2" t="str">
        <f>IFERROR(__xludf.DUMMYFUNCTION("GOOGLETRANSLATE(A10659, ""en"", ""mt"")"),"Id-diżubbidjenza ċivili mhux rivoluzzjonarja hija diżubbidjenza sempliċi tal-liġijiet minħabba li huma ġġudikati ""ħażin"" minn kuxjenza individwali, jew bħala parti minn sforz biex jagħmlu ċerti liġijiet ineffettivi, biex jikkawżaw ir-revoka tagħhom, jew"&amp;" biex jagħmlu pressjoni biex jiksbu wieħed Xewqat politiċi dwar xi kwistjoni oħra. Id-diżubbidjenza ċivili rivoluzzjonarja hija aktar ta 'tentattiv attiv biex titwaqqa' gvern (jew biex tbiddel it-tradizzjonijiet kulturali, id-drawwiet soċjali, it-twemmin "&amp;"reliġjuż, eċċ ... ir-rivoluzzjoni m'għandhiex għalfejn tkun politika, i.e. ""rivoluzzjoni kulturali"", sempliċement timplika knis u Bidla mifruxa għal sezzjoni tat-tessut soċjali). L-atti ta 'Gandhi ġew deskritti bħala diżubbidjenza ċivili rivoluzzjonarja"&amp;". Ġie ddikjarat li l-Ungeriżi taħt Ferenc Deák indirizzaw diżubbidjenza ċivili rivoluzzjonarja kontra l-gvern Awstrijak. Thoreau kiteb ukoll dwar diżubbidjenza ċivili li twettaq ""rivoluzzjoni paċifika."" Howard Zinn, Harvey Wheeler, u oħrajn identifikaw "&amp;"id-dritt imħaddem fid-dikjarazzjoni tal-indipendenza biex ""ibiddel jew jabolixxi"" gvern inġust biex ikun prinċipju ta 'diżubbidjenza ċivili.")</f>
        <v>Id-diżubbidjenza ċivili mhux rivoluzzjonarja hija diżubbidjenza sempliċi tal-liġijiet minħabba li huma ġġudikati "ħażin" minn kuxjenza individwali, jew bħala parti minn sforz biex jagħmlu ċerti liġijiet ineffettivi, biex jikkawżaw ir-revoka tagħhom, jew biex jagħmlu pressjoni biex jiksbu wieħed Xewqat politiċi dwar xi kwistjoni oħra. Id-diżubbidjenza ċivili rivoluzzjonarja hija aktar ta 'tentattiv attiv biex titwaqqa' gvern (jew biex tbiddel it-tradizzjonijiet kulturali, id-drawwiet soċjali, it-twemmin reliġjuż, eċċ ... ir-rivoluzzjoni m'għandhiex għalfejn tkun politika, i.e. "rivoluzzjoni kulturali", sempliċement timplika knis u Bidla mifruxa għal sezzjoni tat-tessut soċjali). L-atti ta 'Gandhi ġew deskritti bħala diżubbidjenza ċivili rivoluzzjonarja. Ġie ddikjarat li l-Ungeriżi taħt Ferenc Deák indirizzaw diżubbidjenza ċivili rivoluzzjonarja kontra l-gvern Awstrijak. Thoreau kiteb ukoll dwar diżubbidjenza ċivili li twettaq "rivoluzzjoni paċifika." Howard Zinn, Harvey Wheeler, u oħrajn identifikaw id-dritt imħaddem fid-dikjarazzjoni tal-indipendenza biex "ibiddel jew jabolixxi" gvern inġust biex ikun prinċipju ta 'diżubbidjenza ċivili.</v>
      </c>
    </row>
    <row r="10660" ht="15.75" customHeight="1">
      <c r="A10660" s="2" t="s">
        <v>10660</v>
      </c>
      <c r="B10660" s="2" t="str">
        <f>IFERROR(__xludf.DUMMYFUNCTION("GOOGLETRANSLATE(A10660, ""en"", ""mt"")"),"żidiet")</f>
        <v>żidiet</v>
      </c>
    </row>
    <row r="10661" ht="15.75" customHeight="1">
      <c r="A10661" s="2" t="s">
        <v>10661</v>
      </c>
      <c r="B10661" s="2" t="str">
        <f>IFERROR(__xludf.DUMMYFUNCTION("GOOGLETRANSLATE(A10661, ""en"", ""mt"")"),"Il-Ġermanja u l-Awstrija")</f>
        <v>Il-Ġermanja u l-Awstrija</v>
      </c>
    </row>
    <row r="10662" ht="15.75" customHeight="1">
      <c r="A10662" s="2" t="s">
        <v>10662</v>
      </c>
      <c r="B10662" s="2" t="str">
        <f>IFERROR(__xludf.DUMMYFUNCTION("GOOGLETRANSLATE(A10662, ""en"", ""mt"")"),"proprjetà tal-gvern")</f>
        <v>proprjetà tal-gvern</v>
      </c>
    </row>
    <row r="10663" ht="15.75" customHeight="1">
      <c r="A10663" s="2" t="s">
        <v>10663</v>
      </c>
      <c r="B10663" s="2" t="str">
        <f>IFERROR(__xludf.DUMMYFUNCTION("GOOGLETRANSLATE(A10663, ""en"", ""mt"")"),"it-territorju Ġermaniż kollu")</f>
        <v>it-territorju Ġermaniż kollu</v>
      </c>
    </row>
    <row r="10664" ht="15.75" customHeight="1">
      <c r="A10664" s="2" t="s">
        <v>10664</v>
      </c>
      <c r="B10664" s="2" t="str">
        <f>IFERROR(__xludf.DUMMYFUNCTION("GOOGLETRANSLATE(A10664, ""en"", ""mt"")"),"Kemm Vittorjani huma Kattoliċi?")</f>
        <v>Kemm Vittorjani huma Kattoliċi?</v>
      </c>
    </row>
    <row r="10665" ht="15.75" customHeight="1">
      <c r="A10665" s="2" t="s">
        <v>10665</v>
      </c>
      <c r="B10665" s="2" t="str">
        <f>IFERROR(__xludf.DUMMYFUNCTION("GOOGLETRANSLATE(A10665, ""en"", ""mt"")"),"X'inhuma wħud mill-argumenti tax-xjenzati?")</f>
        <v>X'inhuma wħud mill-argumenti tax-xjenzati?</v>
      </c>
    </row>
    <row r="10666" ht="15.75" customHeight="1">
      <c r="A10666" s="2" t="s">
        <v>10666</v>
      </c>
      <c r="B10666" s="2" t="str">
        <f>IFERROR(__xludf.DUMMYFUNCTION("GOOGLETRANSLATE(A10666, ""en"", ""mt"")"),"Franza ħadet il-kontroll tal-Alġerija fl-1830 iżda bdiet bla heda biex tibni mill-ġdid l-imperu dinji tagħha wara l-1850, billi kkonċentrat prinċipalment fl-Afrika tat-Tramuntana u tal-Punent, kif ukoll fl-Asja tax-Xlokk, b'konkwisti oħra fl-Afrika Ċentra"&amp;"li u tal-Lvant, kif ukoll il-Paċifiku t'Isfel - Ir-Repubblikani, għall-ewwel ostili għall-Imperu, saru biss ta ’appoġġ meta l-Ġermanja bdiet tibni l-imperu kolonjali tagħha stess. Kif żviluppa, l-imperu l-ġdid ħa rwoli ta 'kummerċ ma' Franza, ipprovda mat"&amp;"erja prima u xiri ta 'oġġetti manifatturati, kif ukoll isellef prestiġju lill-patrija u xerred iċ-ċiviltà u l-lingwa Franċiża kif ukoll il-Kattoliċiżmu. Ipprovda wkoll ħaddiema kruċjali fiż-żewġ gwerer dinjija.")</f>
        <v>Franza ħadet il-kontroll tal-Alġerija fl-1830 iżda bdiet bla heda biex tibni mill-ġdid l-imperu dinji tagħha wara l-1850, billi kkonċentrat prinċipalment fl-Afrika tat-Tramuntana u tal-Punent, kif ukoll fl-Asja tax-Xlokk, b'konkwisti oħra fl-Afrika Ċentrali u tal-Lvant, kif ukoll il-Paċifiku t'Isfel - Ir-Repubblikani, għall-ewwel ostili għall-Imperu, saru biss ta ’appoġġ meta l-Ġermanja bdiet tibni l-imperu kolonjali tagħha stess. Kif żviluppa, l-imperu l-ġdid ħa rwoli ta 'kummerċ ma' Franza, ipprovda materja prima u xiri ta 'oġġetti manifatturati, kif ukoll isellef prestiġju lill-patrija u xerred iċ-ċiviltà u l-lingwa Franċiża kif ukoll il-Kattoliċiżmu. Ipprovda wkoll ħaddiema kruċjali fiż-żewġ gwerer dinjija.</v>
      </c>
    </row>
    <row r="10667" ht="15.75" customHeight="1">
      <c r="A10667" s="2" t="s">
        <v>10667</v>
      </c>
      <c r="B10667" s="2" t="str">
        <f>IFERROR(__xludf.DUMMYFUNCTION("GOOGLETRANSLATE(A10667, ""en"", ""mt"")"),"Ħmar")</f>
        <v>Ħmar</v>
      </c>
    </row>
    <row r="10668" ht="15.75" customHeight="1">
      <c r="A10668" s="2" t="s">
        <v>10668</v>
      </c>
      <c r="B10668" s="2" t="str">
        <f>IFERROR(__xludf.DUMMYFUNCTION("GOOGLETRANSLATE(A10668, ""en"", ""mt"")"),"X'se jkollu l-poter tal-Prim Ministru?")</f>
        <v>X'se jkollu l-poter tal-Prim Ministru?</v>
      </c>
    </row>
    <row r="10669" ht="15.75" customHeight="1">
      <c r="A10669" s="2" t="s">
        <v>10669</v>
      </c>
      <c r="B10669" s="2" t="str">
        <f>IFERROR(__xludf.DUMMYFUNCTION("GOOGLETRANSLATE(A10669, ""en"", ""mt"")"),"korp ta 'trattati u leġislazzjoni, bħal regolamenti u direttivi, li għandhom effett dirett jew effett indirett fuq il-liġijiet tal-Istati Membri tal-Unjoni Ewropea")</f>
        <v>korp ta 'trattati u leġislazzjoni, bħal regolamenti u direttivi, li għandhom effett dirett jew effett indirett fuq il-liġijiet tal-Istati Membri tal-Unjoni Ewropea</v>
      </c>
    </row>
    <row r="10670" ht="15.75" customHeight="1">
      <c r="A10670" s="2" t="s">
        <v>10670</v>
      </c>
      <c r="B10670" s="2" t="str">
        <f>IFERROR(__xludf.DUMMYFUNCTION("GOOGLETRANSLATE(A10670, ""en"", ""mt"")"),"Fejn il-fluss tan-nofs tar-Rhine bejn Bingen u Bonn?")</f>
        <v>Fejn il-fluss tan-nofs tar-Rhine bejn Bingen u Bonn?</v>
      </c>
    </row>
    <row r="10671" ht="15.75" customHeight="1">
      <c r="A10671" s="2" t="s">
        <v>10671</v>
      </c>
      <c r="B10671" s="2" t="str">
        <f>IFERROR(__xludf.DUMMYFUNCTION("GOOGLETRANSLATE(A10671, ""en"", ""mt"")"),"Numerika")</f>
        <v>Numerika</v>
      </c>
    </row>
    <row r="10672" ht="15.75" customHeight="1">
      <c r="A10672" s="2" t="s">
        <v>10672</v>
      </c>
      <c r="B10672" s="2" t="str">
        <f>IFERROR(__xludf.DUMMYFUNCTION("GOOGLETRANSLATE(A10672, ""en"", ""mt"")"),"passjoni")</f>
        <v>passjoni</v>
      </c>
    </row>
    <row r="10673" ht="15.75" customHeight="1">
      <c r="A10673" s="2" t="s">
        <v>10673</v>
      </c>
      <c r="B10673" s="2" t="str">
        <f>IFERROR(__xludf.DUMMYFUNCTION("GOOGLETRANSLATE(A10673, ""en"", ""mt"")"),"F'Lulju 1888,")</f>
        <v>F'Lulju 1888,</v>
      </c>
    </row>
    <row r="10674" ht="15.75" customHeight="1">
      <c r="A10674" s="2" t="s">
        <v>10674</v>
      </c>
      <c r="B10674" s="2" t="str">
        <f>IFERROR(__xludf.DUMMYFUNCTION("GOOGLETRANSLATE(A10674, ""en"", ""mt"")"),"Liema plejer ta 'Denver ikkawża żewġ fumbles għall-Panthers?")</f>
        <v>Liema plejer ta 'Denver ikkawża żewġ fumbles għall-Panthers?</v>
      </c>
    </row>
    <row r="10675" ht="15.75" customHeight="1">
      <c r="A10675" s="2" t="s">
        <v>10675</v>
      </c>
      <c r="B10675" s="2" t="str">
        <f>IFERROR(__xludf.DUMMYFUNCTION("GOOGLETRANSLATE(A10675, ""en"", ""mt"")"),"B'kuntrast mal-fehmiet ta 'John Calvin u Philipp Melanchthon, matul ħajtu Luther sostna li ma kinitx duttrina falza li temmen li r-ruħ ta' Nisrani torqod wara li tkun separata mill-ġisem fil-mewt; u, għalhekk, huwa kkontesta l-interpretazzjonijiet tradizz"&amp;"jonali ta 'xi siltiet tal-Bibbja, bħall-parabbola tal-bniedem għani u ta' Lazzru. Dan wassal ukoll lil Luther biex jirrifjuta l-idea ta 'turmenti għall-qaddis paċi. "" Huwa ċaħad ukoll l-eżistenza tal-purgatorju, li kienu jinvolvu erwieħ Kristjani li għad"&amp;"dejjin minn tbatija penitenzjali wara l-mewt. Huwa afferma l-kontinwità tal-identità personali tiegħu lil hinn mill-mewt. Fl-artikoli ta 'Smalcald tiegħu, huwa ddeskriva lill-qaddisin bħala li bħalissa joqogħdu ""fl-oqbra tagħhom u fil-Ġenna.""")</f>
        <v>B'kuntrast mal-fehmiet ta 'John Calvin u Philipp Melanchthon, matul ħajtu Luther sostna li ma kinitx duttrina falza li temmen li r-ruħ ta' Nisrani torqod wara li tkun separata mill-ġisem fil-mewt; u, għalhekk, huwa kkontesta l-interpretazzjonijiet tradizzjonali ta 'xi siltiet tal-Bibbja, bħall-parabbola tal-bniedem għani u ta' Lazzru. Dan wassal ukoll lil Luther biex jirrifjuta l-idea ta 'turmenti għall-qaddis paċi. " Huwa ċaħad ukoll l-eżistenza tal-purgatorju, li kienu jinvolvu erwieħ Kristjani li għaddejjin minn tbatija penitenzjali wara l-mewt. Huwa afferma l-kontinwità tal-identità personali tiegħu lil hinn mill-mewt. Fl-artikoli ta 'Smalcald tiegħu, huwa ddeskriva lill-qaddisin bħala li bħalissa joqogħdu "fl-oqbra tagħhom u fil-Ġenna."</v>
      </c>
    </row>
    <row r="10676" ht="15.75" customHeight="1">
      <c r="A10676" s="2" t="s">
        <v>10676</v>
      </c>
      <c r="B10676" s="2" t="str">
        <f>IFERROR(__xludf.DUMMYFUNCTION("GOOGLETRANSLATE(A10676, ""en"", ""mt"")"),"Kemm se jdum l-avveniment fiċ-Ċentru tal-Konvenzjoni ta 'Santa Clara?")</f>
        <v>Kemm se jdum l-avveniment fiċ-Ċentru tal-Konvenzjoni ta 'Santa Clara?</v>
      </c>
    </row>
    <row r="10677" ht="15.75" customHeight="1">
      <c r="A10677" s="2" t="s">
        <v>10677</v>
      </c>
      <c r="B10677" s="2" t="str">
        <f>IFERROR(__xludf.DUMMYFUNCTION("GOOGLETRANSLATE(A10677, ""en"", ""mt"")"),"Liema re u ex Huguenot ħarsu barra għall-benesseri tal-grupp?")</f>
        <v>Liema re u ex Huguenot ħarsu barra għall-benesseri tal-grupp?</v>
      </c>
    </row>
    <row r="10678" ht="15.75" customHeight="1">
      <c r="A10678" s="2" t="s">
        <v>10678</v>
      </c>
      <c r="B10678" s="2" t="str">
        <f>IFERROR(__xludf.DUMMYFUNCTION("GOOGLETRANSLATE(A10678, ""en"", ""mt"")"),"Esperimenti fiżiċi ta 'temperatura għolja u pressjoni")</f>
        <v>Esperimenti fiżiċi ta 'temperatura għolja u pressjoni</v>
      </c>
    </row>
    <row r="10679" ht="15.75" customHeight="1">
      <c r="A10679" s="2" t="s">
        <v>10679</v>
      </c>
      <c r="B10679" s="2" t="str">
        <f>IFERROR(__xludf.DUMMYFUNCTION("GOOGLETRANSLATE(A10679, ""en"", ""mt"")"),"Kalifat")</f>
        <v>Kalifat</v>
      </c>
    </row>
    <row r="10680" ht="15.75" customHeight="1">
      <c r="A10680" s="2" t="s">
        <v>10680</v>
      </c>
      <c r="B10680" s="2" t="str">
        <f>IFERROR(__xludf.DUMMYFUNCTION("GOOGLETRANSLATE(A10680, ""en"", ""mt"")"),"Liema serje oħra msemmija rritornat bi tkomplija tal-plott?")</f>
        <v>Liema serje oħra msemmija rritornat bi tkomplija tal-plott?</v>
      </c>
    </row>
    <row r="10681" ht="15.75" customHeight="1">
      <c r="A10681" s="2" t="s">
        <v>10681</v>
      </c>
      <c r="B10681" s="2" t="str">
        <f>IFERROR(__xludf.DUMMYFUNCTION("GOOGLETRANSLATE(A10681, ""en"", ""mt"")"),"Rigal")</f>
        <v>Rigal</v>
      </c>
    </row>
    <row r="10682" ht="15.75" customHeight="1">
      <c r="A10682" s="2" t="s">
        <v>10682</v>
      </c>
      <c r="B10682" s="2" t="str">
        <f>IFERROR(__xludf.DUMMYFUNCTION("GOOGLETRANSLATE(A10682, ""en"", ""mt"")"),"In-nixfa reżistenti")</f>
        <v>In-nixfa reżistenti</v>
      </c>
    </row>
    <row r="10683" ht="15.75" customHeight="1">
      <c r="A10683" s="2" t="s">
        <v>10683</v>
      </c>
      <c r="B10683" s="2" t="str">
        <f>IFERROR(__xludf.DUMMYFUNCTION("GOOGLETRANSLATE(A10683, ""en"", ""mt"")"),"Min ħareġ rikostruzzjonijiet uffiċjali ta 'episodji ta' Doctor Who?")</f>
        <v>Min ħareġ rikostruzzjonijiet uffiċjali ta 'episodji ta' Doctor Who?</v>
      </c>
    </row>
    <row r="10684" ht="15.75" customHeight="1">
      <c r="A10684" s="2" t="s">
        <v>10684</v>
      </c>
      <c r="B10684" s="2" t="str">
        <f>IFERROR(__xludf.DUMMYFUNCTION("GOOGLETRANSLATE(A10684, ""en"", ""mt"")"),"Għal xiex huma limitati l-impenn tal-gvern inkompetenti għall-ġustizzja soċjali?")</f>
        <v>Għal xiex huma limitati l-impenn tal-gvern inkompetenti għall-ġustizzja soċjali?</v>
      </c>
    </row>
    <row r="10685" ht="15.75" customHeight="1">
      <c r="A10685" s="2" t="s">
        <v>10685</v>
      </c>
      <c r="B10685" s="2" t="str">
        <f>IFERROR(__xludf.DUMMYFUNCTION("GOOGLETRANSLATE(A10685, ""en"", ""mt"")"),"Liema diviżjoni toffri aktar minn fergħa waħda ta 'studji li ma jaqblux ma' l-erbgħa l-oħra?")</f>
        <v>Liema diviżjoni toffri aktar minn fergħa waħda ta 'studji li ma jaqblux ma' l-erbgħa l-oħra?</v>
      </c>
    </row>
    <row r="10686" ht="15.75" customHeight="1">
      <c r="A10686" s="2" t="s">
        <v>10686</v>
      </c>
      <c r="B10686" s="2" t="str">
        <f>IFERROR(__xludf.DUMMYFUNCTION("GOOGLETRANSLATE(A10686, ""en"", ""mt"")"),"għal partijiet oħra tal-imperu")</f>
        <v>għal partijiet oħra tal-imperu</v>
      </c>
    </row>
    <row r="10687" ht="15.75" customHeight="1">
      <c r="A10687" s="2" t="s">
        <v>10687</v>
      </c>
      <c r="B10687" s="2" t="str">
        <f>IFERROR(__xludf.DUMMYFUNCTION("GOOGLETRANSLATE(A10687, ""en"", ""mt"")"),"Public Pad Service Telepad (bl-użu tad-DNIC 2049")</f>
        <v>Public Pad Service Telepad (bl-użu tad-DNIC 2049</v>
      </c>
    </row>
    <row r="10688" ht="15.75" customHeight="1">
      <c r="A10688" s="2" t="s">
        <v>10688</v>
      </c>
      <c r="B10688" s="2" t="str">
        <f>IFERROR(__xludf.DUMMYFUNCTION("GOOGLETRANSLATE(A10688, ""en"", ""mt"")"),"Il-Baħar tat-Tramuntana")</f>
        <v>Il-Baħar tat-Tramuntana</v>
      </c>
    </row>
    <row r="10689" ht="15.75" customHeight="1">
      <c r="A10689" s="2" t="s">
        <v>10689</v>
      </c>
      <c r="B10689" s="2" t="str">
        <f>IFERROR(__xludf.DUMMYFUNCTION("GOOGLETRANSLATE(A10689, ""en"", ""mt"")"),"Għaliex hija meħtieġa l-ħtieġa għall-aċċettazzjoni tal-kastig?")</f>
        <v>Għaliex hija meħtieġa l-ħtieġa għall-aċċettazzjoni tal-kastig?</v>
      </c>
    </row>
    <row r="10690" ht="15.75" customHeight="1">
      <c r="A10690" s="2" t="s">
        <v>10690</v>
      </c>
      <c r="B10690" s="2" t="str">
        <f>IFERROR(__xludf.DUMMYFUNCTION("GOOGLETRANSLATE(A10690, ""en"", ""mt"")"),"Min rebaħ Super Bowl XLIX?")</f>
        <v>Min rebaħ Super Bowl XLIX?</v>
      </c>
    </row>
    <row r="10691" ht="15.75" customHeight="1">
      <c r="A10691" s="2" t="s">
        <v>10691</v>
      </c>
      <c r="B10691" s="2" t="str">
        <f>IFERROR(__xludf.DUMMYFUNCTION("GOOGLETRANSLATE(A10691, ""en"", ""mt"")"),"Fil-bidu tal-2012, il-Kummissarju tal-NFL Roger Goodell iddikjara li l-kampjonat ippjana li jagħmel il-50 Super Bowl ""spettakolari"" u li tkun ""logħba importanti għalina bħala kampjonat"".")</f>
        <v>Fil-bidu tal-2012, il-Kummissarju tal-NFL Roger Goodell iddikjara li l-kampjonat ippjana li jagħmel il-50 Super Bowl "spettakolari" u li tkun "logħba importanti għalina bħala kampjonat".</v>
      </c>
    </row>
    <row r="10692" ht="15.75" customHeight="1">
      <c r="A10692" s="2" t="s">
        <v>10692</v>
      </c>
      <c r="B10692" s="2" t="str">
        <f>IFERROR(__xludf.DUMMYFUNCTION("GOOGLETRANSLATE(A10692, ""en"", ""mt"")"),"Tesla investigat l-elettriku atmosferiku, billi osservat sinjali tas-sajjetti permezz tar-riċevituri tiegħu. Huwa ddikjara li osserva mewġ wieqaf matul dan iż-żmien. Id-distanzi l-kbar u n-natura ta ’dak li Tesla kienet tinduna mill-maltempati tas-sajjett"&amp;"i kkonfermaw it-twemmin tiegħu li d-dinja kellha frekwenza reżonanti.")</f>
        <v>Tesla investigat l-elettriku atmosferiku, billi osservat sinjali tas-sajjetti permezz tar-riċevituri tiegħu. Huwa ddikjara li osserva mewġ wieqaf matul dan iż-żmien. Id-distanzi l-kbar u n-natura ta ’dak li Tesla kienet tinduna mill-maltempati tas-sajjetti kkonfermaw it-twemmin tiegħu li d-dinja kellha frekwenza reżonanti.</v>
      </c>
    </row>
    <row r="10693" ht="15.75" customHeight="1">
      <c r="A10693" s="2" t="s">
        <v>10693</v>
      </c>
      <c r="B10693" s="2" t="str">
        <f>IFERROR(__xludf.DUMMYFUNCTION("GOOGLETRANSLATE(A10693, ""en"", ""mt"")"),"1919")</f>
        <v>1919</v>
      </c>
    </row>
    <row r="10694" ht="15.75" customHeight="1">
      <c r="A10694" s="2" t="s">
        <v>10694</v>
      </c>
      <c r="B10694" s="2" t="str">
        <f>IFERROR(__xludf.DUMMYFUNCTION("GOOGLETRANSLATE(A10694, ""en"", ""mt"")"),"67.9")</f>
        <v>67.9</v>
      </c>
    </row>
    <row r="10695" ht="15.75" customHeight="1">
      <c r="A10695" s="2" t="s">
        <v>10695</v>
      </c>
      <c r="B10695" s="2" t="str">
        <f>IFERROR(__xludf.DUMMYFUNCTION("GOOGLETRANSLATE(A10695, ""en"", ""mt"")"),"Dodge D-50")</f>
        <v>Dodge D-50</v>
      </c>
    </row>
    <row r="10696" ht="15.75" customHeight="1">
      <c r="A10696" s="2" t="s">
        <v>10696</v>
      </c>
      <c r="B10696" s="2" t="str">
        <f>IFERROR(__xludf.DUMMYFUNCTION("GOOGLETRANSLATE(A10696, ""en"", ""mt"")"),"X'kien l-iskor finali ta 'Super Bowl 50?")</f>
        <v>X'kien l-iskor finali ta 'Super Bowl 50?</v>
      </c>
    </row>
    <row r="10697" ht="15.75" customHeight="1">
      <c r="A10697" s="2" t="s">
        <v>10697</v>
      </c>
      <c r="B10697" s="2" t="str">
        <f>IFERROR(__xludf.DUMMYFUNCTION("GOOGLETRANSLATE(A10697, ""en"", ""mt"")"),"Liema kulur kien l-isfond għas-sekwenza tal-ID tal-1977 tal-ABC?")</f>
        <v>Liema kulur kien l-isfond għas-sekwenza tal-ID tal-1977 tal-ABC?</v>
      </c>
    </row>
    <row r="10698" ht="15.75" customHeight="1">
      <c r="A10698" s="2" t="s">
        <v>10698</v>
      </c>
      <c r="B10698" s="2" t="str">
        <f>IFERROR(__xludf.DUMMYFUNCTION("GOOGLETRANSLATE(A10698, ""en"", ""mt"")"),"Fl-1882, Tesla bdiet taħdem għall-Kontinentali Edison Company fi Franza, tfassal u tagħmel titjib għal tagħmir elettriku. F'Ġunju tal-1884, huwa mar jgħix fi New York City: 57–60 fejn kien mikri minn Thomas Edison biex jaħdem fil-magna Edison tiegħu jaħde"&amp;"m fuq in-naħa tax-Xlokk ta 'Manhattan. Il-ħidma ta 'Tesla għal Edison bdiet b'inġinerija elettrika sempliċi u mxiet malajr biex issolvi problemi aktar diffiċli.")</f>
        <v>Fl-1882, Tesla bdiet taħdem għall-Kontinentali Edison Company fi Franza, tfassal u tagħmel titjib għal tagħmir elettriku. F'Ġunju tal-1884, huwa mar jgħix fi New York City: 57–60 fejn kien mikri minn Thomas Edison biex jaħdem fil-magna Edison tiegħu jaħdem fuq in-naħa tax-Xlokk ta 'Manhattan. Il-ħidma ta 'Tesla għal Edison bdiet b'inġinerija elettrika sempliċi u mxiet malajr biex issolvi problemi aktar diffiċli.</v>
      </c>
    </row>
    <row r="10699" ht="15.75" customHeight="1">
      <c r="A10699" s="2" t="s">
        <v>10699</v>
      </c>
      <c r="B10699" s="2" t="str">
        <f>IFERROR(__xludf.DUMMYFUNCTION("GOOGLETRANSLATE(A10699, ""en"", ""mt"")"),"Wär gott nicht mit uns diese zeit")</f>
        <v>Wär gott nicht mit uns diese zeit</v>
      </c>
    </row>
    <row r="10700" ht="15.75" customHeight="1">
      <c r="A10700" s="2" t="s">
        <v>10700</v>
      </c>
      <c r="B10700" s="2" t="str">
        <f>IFERROR(__xludf.DUMMYFUNCTION("GOOGLETRANSLATE(A10700, ""en"", ""mt"")"),"Drittijiet tal-liċenzja tal-minjieri")</f>
        <v>Drittijiet tal-liċenzja tal-minjieri</v>
      </c>
    </row>
    <row r="10701" ht="15.75" customHeight="1">
      <c r="A10701" s="2" t="s">
        <v>10701</v>
      </c>
      <c r="B10701" s="2" t="str">
        <f>IFERROR(__xludf.DUMMYFUNCTION("GOOGLETRANSLATE(A10701, ""en"", ""mt"")"),"Id-diżubbidjenza ċivili hija ġeneralment definita bħala li għandha x'taqsam mar-relazzjoni ta 'ċittadin mal-istat u l-liġijiet tiegħu, kif distint minn impass kostituzzjonali li fih żewġ aġenziji pubbliċi, speċjalment żewġ fergħat ugwalment sovrani tal-gv"&amp;"ern, kunflitt. Pereżempju, jekk il-kap tal-gvern ta 'pajjiż kien jirrifjuta li jinforza deċiżjoni ta' l-ogħla qorti ta 'dak il-pajjiż, ma tkunx diżubbidjenza ċivili, peress li l-kap tal-gvern ikun qed jaġixxi fil-kapaċità tagħha jew tiegħu bħala uffiċjal "&amp;"pubbliku aktar milli privat ċittadin.")</f>
        <v>Id-diżubbidjenza ċivili hija ġeneralment definita bħala li għandha x'taqsam mar-relazzjoni ta 'ċittadin mal-istat u l-liġijiet tiegħu, kif distint minn impass kostituzzjonali li fih żewġ aġenziji pubbliċi, speċjalment żewġ fergħat ugwalment sovrani tal-gvern, kunflitt. Pereżempju, jekk il-kap tal-gvern ta 'pajjiż kien jirrifjuta li jinforza deċiżjoni ta' l-ogħla qorti ta 'dak il-pajjiż, ma tkunx diżubbidjenza ċivili, peress li l-kap tal-gvern ikun qed jaġixxi fil-kapaċità tagħha jew tiegħu bħala uffiċjal pubbliku aktar milli privat ċittadin.</v>
      </c>
    </row>
    <row r="10702" ht="15.75" customHeight="1">
      <c r="A10702" s="2" t="s">
        <v>10702</v>
      </c>
      <c r="B10702" s="2" t="str">
        <f>IFERROR(__xludf.DUMMYFUNCTION("GOOGLETRANSLATE(A10702, ""en"", ""mt"")"),"Meta Levi's Stadium ingħata d-dritt li jospita Super Bowl 50?")</f>
        <v>Meta Levi's Stadium ingħata d-dritt li jospita Super Bowl 50?</v>
      </c>
    </row>
    <row r="10703" ht="15.75" customHeight="1">
      <c r="A10703" s="2" t="s">
        <v>10703</v>
      </c>
      <c r="B10703" s="2" t="str">
        <f>IFERROR(__xludf.DUMMYFUNCTION("GOOGLETRANSLATE(A10703, ""en"", ""mt"")"),"akkomodazzjoni")</f>
        <v>akkomodazzjoni</v>
      </c>
    </row>
    <row r="10704" ht="15.75" customHeight="1">
      <c r="A10704" s="2" t="s">
        <v>10704</v>
      </c>
      <c r="B10704" s="2" t="str">
        <f>IFERROR(__xludf.DUMMYFUNCTION("GOOGLETRANSLATE(A10704, ""en"", ""mt"")"),"Jekk id-dispożizzjonijiet tat-trattati għandhom effett dirett u huma ċari biżżejjed, preċiżi u inkondizzjonati.")</f>
        <v>Jekk id-dispożizzjonijiet tat-trattati għandhom effett dirett u huma ċari biżżejjed, preċiżi u inkondizzjonati.</v>
      </c>
    </row>
    <row r="10705" ht="15.75" customHeight="1">
      <c r="A10705" s="2" t="s">
        <v>10705</v>
      </c>
      <c r="B10705" s="2" t="str">
        <f>IFERROR(__xludf.DUMMYFUNCTION("GOOGLETRANSLATE(A10705, ""en"", ""mt"")"),"Tesla aktar tard avviċinat lil Morgan biex titlob aktar fondi biex tibni trasmettitur aktar qawwi. Meta mistoqsi fejn marru l-flus kollha, Tesla wieġbet billi qalet li kien affettwat mill-paniku tal-1901, li hu (Morgan) kien ikkawża. Morgan kien ixxukkjat"&amp;" bit-tifkira tal-parti tiegħu fil-ħabta tas-suq tal-ishma u bil-ksur tal-kuntratt ta 'Tesla billi talab aktar fondi. Tesla kitbet motiv ieħor lil Morgan, iżda kien ukoll mingħajr frott. Morgan xorta kien dovut flus Tesla fuq il-ftehim oriġinali, u Tesla k"&amp;"ienet qed tiffaċċja esklużjoni anki qabel ma bdiet il-kostruzzjoni tat-torri.")</f>
        <v>Tesla aktar tard avviċinat lil Morgan biex titlob aktar fondi biex tibni trasmettitur aktar qawwi. Meta mistoqsi fejn marru l-flus kollha, Tesla wieġbet billi qalet li kien affettwat mill-paniku tal-1901, li hu (Morgan) kien ikkawża. Morgan kien ixxukkjat bit-tifkira tal-parti tiegħu fil-ħabta tas-suq tal-ishma u bil-ksur tal-kuntratt ta 'Tesla billi talab aktar fondi. Tesla kitbet motiv ieħor lil Morgan, iżda kien ukoll mingħajr frott. Morgan xorta kien dovut flus Tesla fuq il-ftehim oriġinali, u Tesla kienet qed tiffaċċja esklużjoni anki qabel ma bdiet il-kostruzzjoni tat-torri.</v>
      </c>
    </row>
    <row r="10706" ht="15.75" customHeight="1">
      <c r="A10706" s="2" t="s">
        <v>10706</v>
      </c>
      <c r="B10706" s="2" t="str">
        <f>IFERROR(__xludf.DUMMYFUNCTION("GOOGLETRANSLATE(A10706, ""en"", ""mt"")"),", ""Il-Klauster Iswed,""")</f>
        <v>, "Il-Klauster Iswed,"</v>
      </c>
    </row>
    <row r="10707" ht="15.75" customHeight="1">
      <c r="A10707" s="2" t="s">
        <v>10707</v>
      </c>
      <c r="B10707" s="2" t="str">
        <f>IFERROR(__xludf.DUMMYFUNCTION("GOOGLETRANSLATE(A10707, ""en"", ""mt"")"),"Southern California")</f>
        <v>Southern California</v>
      </c>
    </row>
    <row r="10708" ht="15.75" customHeight="1">
      <c r="A10708" s="2" t="s">
        <v>10708</v>
      </c>
      <c r="B10708" s="2" t="str">
        <f>IFERROR(__xludf.DUMMYFUNCTION("GOOGLETRANSLATE(A10708, ""en"", ""mt"")"),"Bejn is-snin 1880 u t-Tieni Gwerra Dinjija")</f>
        <v>Bejn is-snin 1880 u t-Tieni Gwerra Dinjija</v>
      </c>
    </row>
    <row r="10709" ht="15.75" customHeight="1">
      <c r="A10709" s="2" t="s">
        <v>10709</v>
      </c>
      <c r="B10709" s="2" t="str">
        <f>IFERROR(__xludf.DUMMYFUNCTION("GOOGLETRANSLATE(A10709, ""en"", ""mt"")"),"Liema żewġ tobba jeżistu t-tabib tal-gwerra bejniethom?")</f>
        <v>Liema żewġ tobba jeżistu t-tabib tal-gwerra bejniethom?</v>
      </c>
    </row>
    <row r="10710" ht="15.75" customHeight="1">
      <c r="A10710" s="2" t="s">
        <v>10710</v>
      </c>
      <c r="B10710" s="2" t="str">
        <f>IFERROR(__xludf.DUMMYFUNCTION("GOOGLETRANSLATE(A10710, ""en"", ""mt"")"),"X'kien l-iktar importanti minn dawn l-ibliet jew bliet?")</f>
        <v>X'kien l-iktar importanti minn dawn l-ibliet jew bliet?</v>
      </c>
    </row>
    <row r="10711" ht="15.75" customHeight="1">
      <c r="A10711" s="2" t="s">
        <v>10711</v>
      </c>
      <c r="B10711" s="2" t="str">
        <f>IFERROR(__xludf.DUMMYFUNCTION("GOOGLETRANSLATE(A10711, ""en"", ""mt"")"),"X'inhi xrar jew sħana għall-progress ta 'nar?")</f>
        <v>X'inhi xrar jew sħana għall-progress ta 'nar?</v>
      </c>
    </row>
    <row r="10712" ht="15.75" customHeight="1">
      <c r="A10712" s="2" t="s">
        <v>10712</v>
      </c>
      <c r="B10712" s="2" t="str">
        <f>IFERROR(__xludf.DUMMYFUNCTION("GOOGLETRANSLATE(A10712, ""en"", ""mt"")"),"MPEG-4")</f>
        <v>MPEG-4</v>
      </c>
    </row>
    <row r="10713" ht="15.75" customHeight="1">
      <c r="A10713" s="2" t="s">
        <v>10713</v>
      </c>
      <c r="B10713" s="2" t="str">
        <f>IFERROR(__xludf.DUMMYFUNCTION("GOOGLETRANSLATE(A10713, ""en"", ""mt"")"),"mija")</f>
        <v>mija</v>
      </c>
    </row>
    <row r="10714" ht="15.75" customHeight="1">
      <c r="A10714" s="2" t="s">
        <v>10714</v>
      </c>
      <c r="B10714" s="2" t="str">
        <f>IFERROR(__xludf.DUMMYFUNCTION("GOOGLETRANSLATE(A10714, ""en"", ""mt"")"),"Min ġie sostitwit minn Kubiak fis-Super Bowl XXIV?")</f>
        <v>Min ġie sostitwit minn Kubiak fis-Super Bowl XXIV?</v>
      </c>
    </row>
    <row r="10715" ht="15.75" customHeight="1">
      <c r="A10715" s="2" t="s">
        <v>10715</v>
      </c>
      <c r="B10715" s="2" t="str">
        <f>IFERROR(__xludf.DUMMYFUNCTION("GOOGLETRANSLATE(A10715, ""en"", ""mt"")"),"il-konferenza annwali tagħhom")</f>
        <v>il-konferenza annwali tagħhom</v>
      </c>
    </row>
    <row r="10716" ht="15.75" customHeight="1">
      <c r="A10716" s="2" t="s">
        <v>10716</v>
      </c>
      <c r="B10716" s="2" t="str">
        <f>IFERROR(__xludf.DUMMYFUNCTION("GOOGLETRANSLATE(A10716, ""en"", ""mt"")"),"leptin")</f>
        <v>leptin</v>
      </c>
    </row>
    <row r="10717" ht="15.75" customHeight="1">
      <c r="A10717" s="2" t="s">
        <v>10717</v>
      </c>
      <c r="B10717" s="2" t="str">
        <f>IFERROR(__xludf.DUMMYFUNCTION("GOOGLETRANSLATE(A10717, ""en"", ""mt"")"),"Iċ-Chicago Bears")</f>
        <v>Iċ-Chicago Bears</v>
      </c>
    </row>
    <row r="10718" ht="15.75" customHeight="1">
      <c r="A10718" s="2" t="s">
        <v>10718</v>
      </c>
      <c r="B10718" s="2" t="str">
        <f>IFERROR(__xludf.DUMMYFUNCTION("GOOGLETRANSLATE(A10718, ""en"", ""mt"")"),"Kemm hemm mekkaniżmi magna tal-fwar tipika biex iżżomm il-pressjoni tal-bojler milli tqum wisq?")</f>
        <v>Kemm hemm mekkaniżmi magna tal-fwar tipika biex iżżomm il-pressjoni tal-bojler milli tqum wisq?</v>
      </c>
    </row>
    <row r="10719" ht="15.75" customHeight="1">
      <c r="A10719" s="2" t="s">
        <v>10719</v>
      </c>
      <c r="B10719" s="2" t="str">
        <f>IFERROR(__xludf.DUMMYFUNCTION("GOOGLETRANSLATE(A10719, ""en"", ""mt"")"),"il-kostruzzjoni ta 'toroq militari għaż-żona")</f>
        <v>il-kostruzzjoni ta 'toroq militari għaż-żona</v>
      </c>
    </row>
    <row r="10720" ht="15.75" customHeight="1">
      <c r="A10720" s="2" t="s">
        <v>10720</v>
      </c>
      <c r="B10720" s="2" t="str">
        <f>IFERROR(__xludf.DUMMYFUNCTION("GOOGLETRANSLATE(A10720, ""en"", ""mt"")"),"19 minn 28 mediċini approvati mill-FDA ġodda")</f>
        <v>19 minn 28 mediċini approvati mill-FDA ġodda</v>
      </c>
    </row>
    <row r="10721" ht="15.75" customHeight="1">
      <c r="A10721" s="2" t="s">
        <v>10721</v>
      </c>
      <c r="B10721" s="2" t="str">
        <f>IFERROR(__xludf.DUMMYFUNCTION("GOOGLETRANSLATE(A10721, ""en"", ""mt"")"),"Meta nbena l-palazz fuq l-ilma?")</f>
        <v>Meta nbena l-palazz fuq l-ilma?</v>
      </c>
    </row>
    <row r="10722" ht="15.75" customHeight="1">
      <c r="A10722" s="2" t="s">
        <v>10722</v>
      </c>
      <c r="B10722" s="2" t="str">
        <f>IFERROR(__xludf.DUMMYFUNCTION("GOOGLETRANSLATE(A10722, ""en"", ""mt"")"),"Persja wara l-konkwisti Musulmani waslu fi tmiemhom")</f>
        <v>Persja wara l-konkwisti Musulmani waslu fi tmiemhom</v>
      </c>
    </row>
    <row r="10723" ht="15.75" customHeight="1">
      <c r="A10723" s="2" t="s">
        <v>10723</v>
      </c>
      <c r="B10723" s="2" t="str">
        <f>IFERROR(__xludf.DUMMYFUNCTION("GOOGLETRANSLATE(A10723, ""en"", ""mt"")"),"Kemm nies mietu bil-pesta f'Pariġi fl-1466?")</f>
        <v>Kemm nies mietu bil-pesta f'Pariġi fl-1466?</v>
      </c>
    </row>
    <row r="10724" ht="15.75" customHeight="1">
      <c r="A10724" s="2" t="s">
        <v>10724</v>
      </c>
      <c r="B10724" s="2" t="str">
        <f>IFERROR(__xludf.DUMMYFUNCTION("GOOGLETRANSLATE(A10724, ""en"", ""mt"")"),"X'kien l-isem Ingliż tal-kalendarju ta 'Gou?")</f>
        <v>X'kien l-isem Ingliż tal-kalendarju ta 'Gou?</v>
      </c>
    </row>
    <row r="10725" ht="15.75" customHeight="1">
      <c r="A10725" s="2" t="s">
        <v>10725</v>
      </c>
      <c r="B10725" s="2" t="str">
        <f>IFERROR(__xludf.DUMMYFUNCTION("GOOGLETRANSLATE(A10725, ""en"", ""mt"")"),"70%")</f>
        <v>70%</v>
      </c>
    </row>
    <row r="10726" ht="15.75" customHeight="1">
      <c r="A10726" s="2" t="s">
        <v>10726</v>
      </c>
      <c r="B10726" s="2" t="str">
        <f>IFERROR(__xludf.DUMMYFUNCTION("GOOGLETRANSLATE(A10726, ""en"", ""mt"")"),"tlieta")</f>
        <v>tlieta</v>
      </c>
    </row>
    <row r="10727" ht="15.75" customHeight="1">
      <c r="A10727" s="2" t="s">
        <v>10727</v>
      </c>
      <c r="B10727" s="2" t="str">
        <f>IFERROR(__xludf.DUMMYFUNCTION("GOOGLETRANSLATE(A10727, ""en"", ""mt"")"),"is-sistema ta 'modifika ta' restrizzjoni")</f>
        <v>is-sistema ta 'modifika ta' restrizzjoni</v>
      </c>
    </row>
    <row r="10728" ht="15.75" customHeight="1">
      <c r="A10728" s="2" t="s">
        <v>10728</v>
      </c>
      <c r="B10728" s="2" t="str">
        <f>IFERROR(__xludf.DUMMYFUNCTION("GOOGLETRANSLATE(A10728, ""en"", ""mt"")"),"Robert Koch u Emil von Behring")</f>
        <v>Robert Koch u Emil von Behring</v>
      </c>
    </row>
    <row r="10729" ht="15.75" customHeight="1">
      <c r="A10729" s="2" t="s">
        <v>10729</v>
      </c>
      <c r="B10729" s="2" t="str">
        <f>IFERROR(__xludf.DUMMYFUNCTION("GOOGLETRANSLATE(A10729, ""en"", ""mt"")"),"perpendikulari")</f>
        <v>perpendikulari</v>
      </c>
    </row>
    <row r="10730" ht="15.75" customHeight="1">
      <c r="A10730" s="2" t="s">
        <v>10730</v>
      </c>
      <c r="B10730" s="2" t="str">
        <f>IFERROR(__xludf.DUMMYFUNCTION("GOOGLETRANSLATE(A10730, ""en"", ""mt"")"),"kannizzata ta ’tubi fl-istoma tagħhom, imsejħa korp prolamellari")</f>
        <v>kannizzata ta ’tubi fl-istoma tagħhom, imsejħa korp prolamellari</v>
      </c>
    </row>
    <row r="10731" ht="15.75" customHeight="1">
      <c r="A10731" s="2" t="s">
        <v>10731</v>
      </c>
      <c r="B10731" s="2" t="str">
        <f>IFERROR(__xludf.DUMMYFUNCTION("GOOGLETRANSLATE(A10731, ""en"", ""mt"")"),"Tymnet kien netwerk ta 'komunikazzjonijiet ta' dejta internazzjonali bil-kwartjieri ġenerali f'San Jose, CA li utilizza l-interfaces ta 'pakkett ta' sejħa virtwali u uża X.25, SNA / SDLC, BSC u ASCII interfaces biex jgħaqqdu kompjuters ospitanti (servers)"&amp;" f'eluf ta 'kumpaniji kbar, istituzzjonijiet edukattivi, u aġenziji tal-gvern. L-utenti tipikament konnessi permezz ta 'konnessjonijiet dial-up jew konnessjonijiet ta' async iddedikati. In-negozju kien jikkonsisti minn netwerk pubbliku kbir li appoġġa lil"&amp;"l-utenti dial-up u negozju ta 'netwerk privat li ppermetta aġenziji tal-gvern u kumpaniji kbar (l-aktar banek u linji tal-ajru) biex jibnu n-netwerks iddedikati tagħhom stess. In-netwerks privati ​​spiss kienu konnessi permezz ta ’gateways man-netwerk pub"&amp;"bliku biex jilħqu postijiet mhux fuq in-netwerk privat. Tymnet kien ukoll konness ma 'għexieren ta' netwerks pubbliċi oħra fl-Istati Uniti u internazzjonalment permezz ta 'gateways X.25 / x.75. (Nota interessanti: Tymnet ma kienx imsemmi wara s-Sur Tyme. "&amp;"Impjegat ieħor issuġġerixxa l-isem.)")</f>
        <v>Tymnet kien netwerk ta 'komunikazzjonijiet ta' dejta internazzjonali bil-kwartjieri ġenerali f'San Jose, CA li utilizza l-interfaces ta 'pakkett ta' sejħa virtwali u uża X.25, SNA / SDLC, BSC u ASCII interfaces biex jgħaqqdu kompjuters ospitanti (servers) f'eluf ta 'kumpaniji kbar, istituzzjonijiet edukattivi, u aġenziji tal-gvern. L-utenti tipikament konnessi permezz ta 'konnessjonijiet dial-up jew konnessjonijiet ta' async iddedikati. In-negozju kien jikkonsisti minn netwerk pubbliku kbir li appoġġa lill-utenti dial-up u negozju ta 'netwerk privat li ppermetta aġenziji tal-gvern u kumpaniji kbar (l-aktar banek u linji tal-ajru) biex jibnu n-netwerks iddedikati tagħhom stess. In-netwerks privati ​​spiss kienu konnessi permezz ta ’gateways man-netwerk pubbliku biex jilħqu postijiet mhux fuq in-netwerk privat. Tymnet kien ukoll konness ma 'għexieren ta' netwerks pubbliċi oħra fl-Istati Uniti u internazzjonalment permezz ta 'gateways X.25 / x.75. (Nota interessanti: Tymnet ma kienx imsemmi wara s-Sur Tyme. Impjegat ieħor issuġġerixxa l-isem.)</v>
      </c>
    </row>
    <row r="10732" ht="15.75" customHeight="1">
      <c r="A10732" s="2" t="s">
        <v>10732</v>
      </c>
      <c r="B10732" s="2" t="str">
        <f>IFERROR(__xludf.DUMMYFUNCTION("GOOGLETRANSLATE(A10732, ""en"", ""mt"")"),"vizzjuż u distruttiv")</f>
        <v>vizzjuż u distruttiv</v>
      </c>
    </row>
    <row r="10733" ht="15.75" customHeight="1">
      <c r="A10733" s="2" t="s">
        <v>10733</v>
      </c>
      <c r="B10733" s="2" t="str">
        <f>IFERROR(__xludf.DUMMYFUNCTION("GOOGLETRANSLATE(A10733, ""en"", ""mt"")"),"Minbarra r-raġġi tal-paċi, kif sejħu l-ġurnalisti?")</f>
        <v>Minbarra r-raġġi tal-paċi, kif sejħu l-ġurnalisti?</v>
      </c>
    </row>
    <row r="10734" ht="15.75" customHeight="1">
      <c r="A10734" s="2" t="s">
        <v>10734</v>
      </c>
      <c r="B10734" s="2" t="str">
        <f>IFERROR(__xludf.DUMMYFUNCTION("GOOGLETRANSLATE(A10734, ""en"", ""mt"")"),"Min biegħ id-drittijiet?")</f>
        <v>Min biegħ id-drittijiet?</v>
      </c>
    </row>
    <row r="10735" ht="15.75" customHeight="1">
      <c r="A10735" s="2" t="s">
        <v>10735</v>
      </c>
      <c r="B10735" s="2" t="str">
        <f>IFERROR(__xludf.DUMMYFUNCTION("GOOGLETRANSLATE(A10735, ""en"", ""mt"")"),"Reviżjonijiet tal-Uża tal-Mediċina")</f>
        <v>Reviżjonijiet tal-Uża tal-Mediċina</v>
      </c>
    </row>
    <row r="10736" ht="15.75" customHeight="1">
      <c r="A10736" s="2" t="s">
        <v>10736</v>
      </c>
      <c r="B10736" s="2" t="str">
        <f>IFERROR(__xludf.DUMMYFUNCTION("GOOGLETRANSLATE(A10736, ""en"", ""mt"")"),"Mudelli ta 'unifikazzjoni")</f>
        <v>Mudelli ta 'unifikazzjoni</v>
      </c>
    </row>
    <row r="10737" ht="15.75" customHeight="1">
      <c r="A10737" s="2" t="s">
        <v>10737</v>
      </c>
      <c r="B10737" s="2" t="str">
        <f>IFERROR(__xludf.DUMMYFUNCTION("GOOGLETRANSLATE(A10737, ""en"", ""mt"")"),"pjanti modifikati ġenetikament")</f>
        <v>pjanti modifikati ġenetikament</v>
      </c>
    </row>
    <row r="10738" ht="15.75" customHeight="1">
      <c r="A10738" s="2" t="s">
        <v>10738</v>
      </c>
      <c r="B10738" s="2" t="str">
        <f>IFERROR(__xludf.DUMMYFUNCTION("GOOGLETRANSLATE(A10738, ""en"", ""mt"")"),"Min ressaq il-qorti tiegħu minn Kraków għal Varsavja fl-1596?")</f>
        <v>Min ressaq il-qorti tiegħu minn Kraków għal Varsavja fl-1596?</v>
      </c>
    </row>
    <row r="10739" ht="15.75" customHeight="1">
      <c r="A10739" s="2" t="s">
        <v>10739</v>
      </c>
      <c r="B10739" s="2" t="str">
        <f>IFERROR(__xludf.DUMMYFUNCTION("GOOGLETRANSLATE(A10739, ""en"", ""mt"")"),"Reġimi Iżlamiċi Illiberali")</f>
        <v>Reġimi Iżlamiċi Illiberali</v>
      </c>
    </row>
    <row r="10740" ht="15.75" customHeight="1">
      <c r="A10740" s="2" t="s">
        <v>10740</v>
      </c>
      <c r="B10740" s="2" t="str">
        <f>IFERROR(__xludf.DUMMYFUNCTION("GOOGLETRANSLATE(A10740, ""en"", ""mt"")"),"Meta twaqqfet il-Kolonja ta ’New South Wales?")</f>
        <v>Meta twaqqfet il-Kolonja ta ’New South Wales?</v>
      </c>
    </row>
    <row r="10741" ht="15.75" customHeight="1">
      <c r="A10741" s="2" t="s">
        <v>10741</v>
      </c>
      <c r="B10741" s="2" t="str">
        <f>IFERROR(__xludf.DUMMYFUNCTION("GOOGLETRANSLATE(A10741, ""en"", ""mt"")"),"1995")</f>
        <v>1995</v>
      </c>
    </row>
    <row r="10742" ht="15.75" customHeight="1">
      <c r="A10742" s="2" t="s">
        <v>10742</v>
      </c>
      <c r="B10742" s="2" t="str">
        <f>IFERROR(__xludf.DUMMYFUNCTION("GOOGLETRANSLATE(A10742, ""en"", ""mt"")"),"X'inhu terminu ieħor għas-sensiela ta 'problema ta' problema?")</f>
        <v>X'inhu terminu ieħor għas-sensiela ta 'problema ta' problema?</v>
      </c>
    </row>
    <row r="10743" ht="15.75" customHeight="1">
      <c r="A10743" s="2" t="s">
        <v>10743</v>
      </c>
      <c r="B10743" s="2" t="str">
        <f>IFERROR(__xludf.DUMMYFUNCTION("GOOGLETRANSLATE(A10743, ""en"", ""mt"")"),"tmienja")</f>
        <v>tmienja</v>
      </c>
    </row>
    <row r="10744" ht="15.75" customHeight="1">
      <c r="A10744" s="2" t="s">
        <v>10744</v>
      </c>
      <c r="B10744" s="2" t="str">
        <f>IFERROR(__xludf.DUMMYFUNCTION("GOOGLETRANSLATE(A10744, ""en"", ""mt"")"),"mingħajr marki")</f>
        <v>mingħajr marki</v>
      </c>
    </row>
    <row r="10745" ht="15.75" customHeight="1">
      <c r="A10745" s="2" t="s">
        <v>10745</v>
      </c>
      <c r="B10745" s="2" t="str">
        <f>IFERROR(__xludf.DUMMYFUNCTION("GOOGLETRANSLATE(A10745, ""en"", ""mt"")"),"L-istadju 1 huwa l-ewwel, jew l-istadju introduttorju tal-abbozz, fejn il-ministru jew membru inkarigat mill-abbozz se jintroduċuh formalment lill-parlament flimkien mad-dokumenti li jakkumpanjawha - noti ta 'spjegazzjoni, memorandum ta' politika li jista"&amp;"bbilixxi l-politika li hija sottostanti l-abbozz ta 'liġi, u Memorandum finanzjarju li jistabbilixxi l-ispejjeż u l-iffrankar assoċjati miegħu. Dikjarazzjonijiet mill-uffiċjal li jippresiedi u l-membru inkarigat mill-abbozz huma wkoll ippreżentati li jind"&amp;"ikaw jekk l-abbozz huwiex fil-kompetenza leġiżlattiva tal-Parlament. L-istadju 1 ġeneralment iseħħ, inizjalment, fil-kumitat jew kumitati rilevanti u mbagħad jiġi sottomess lill-Parlament kollu għal dibattitu sħiħ fil-kamra dwar il-prinċipji ġenerali tal-"&amp;"abbozz. Jekk il-Parlament kollu jaqbel f'vot lill-prinċipji ġenerali tal-abbozz, imbagħad jipproċedi għall-istadju 2.")</f>
        <v>L-istadju 1 huwa l-ewwel, jew l-istadju introduttorju tal-abbozz, fejn il-ministru jew membru inkarigat mill-abbozz se jintroduċuh formalment lill-parlament flimkien mad-dokumenti li jakkumpanjawha - noti ta 'spjegazzjoni, memorandum ta' politika li jistabbilixxi l-politika li hija sottostanti l-abbozz ta 'liġi, u Memorandum finanzjarju li jistabbilixxi l-ispejjeż u l-iffrankar assoċjati miegħu. Dikjarazzjonijiet mill-uffiċjal li jippresiedi u l-membru inkarigat mill-abbozz huma wkoll ippreżentati li jindikaw jekk l-abbozz huwiex fil-kompetenza leġiżlattiva tal-Parlament. L-istadju 1 ġeneralment iseħħ, inizjalment, fil-kumitat jew kumitati rilevanti u mbagħad jiġi sottomess lill-Parlament kollu għal dibattitu sħiħ fil-kamra dwar il-prinċipji ġenerali tal-abbozz. Jekk il-Parlament kollu jaqbel f'vot lill-prinċipji ġenerali tal-abbozz, imbagħad jipproċedi għall-istadju 2.</v>
      </c>
    </row>
    <row r="10746" ht="15.75" customHeight="1">
      <c r="A10746" s="2" t="s">
        <v>10746</v>
      </c>
      <c r="B10746" s="2" t="str">
        <f>IFERROR(__xludf.DUMMYFUNCTION("GOOGLETRANSLATE(A10746, ""en"", ""mt"")"),"taf kemm il-kobor kif ukoll id-direzzjoni taż-żewġ forzi biex tikkalkula r-riżultat")</f>
        <v>taf kemm il-kobor kif ukoll id-direzzjoni taż-żewġ forzi biex tikkalkula r-riżultat</v>
      </c>
    </row>
    <row r="10747" ht="15.75" customHeight="1">
      <c r="A10747" s="2" t="s">
        <v>10747</v>
      </c>
      <c r="B10747" s="2" t="str">
        <f>IFERROR(__xludf.DUMMYFUNCTION("GOOGLETRANSLATE(A10747, ""en"", ""mt"")"),"Fejn sar l-avveniment il-ġdid tal-Midja għal Super Bowl 50?")</f>
        <v>Fejn sar l-avveniment il-ġdid tal-Midja għal Super Bowl 50?</v>
      </c>
    </row>
    <row r="10748" ht="15.75" customHeight="1">
      <c r="A10748" s="2" t="s">
        <v>10748</v>
      </c>
      <c r="B10748" s="2" t="str">
        <f>IFERROR(__xludf.DUMMYFUNCTION("GOOGLETRANSLATE(A10748, ""en"", ""mt"")"),"issuġġerixxaha għall-użu fl-arpanet")</f>
        <v>issuġġerixxaha għall-użu fl-arpanet</v>
      </c>
    </row>
    <row r="10749" ht="15.75" customHeight="1">
      <c r="A10749" s="2" t="s">
        <v>10749</v>
      </c>
      <c r="B10749" s="2" t="str">
        <f>IFERROR(__xludf.DUMMYFUNCTION("GOOGLETRANSLATE(A10749, ""en"", ""mt"")"),"F'liema ġurnata sseħħ il-Jum tas-Super Bowl tal-Midja tradizzjonalment?")</f>
        <v>F'liema ġurnata sseħħ il-Jum tas-Super Bowl tal-Midja tradizzjonalment?</v>
      </c>
    </row>
    <row r="10750" ht="15.75" customHeight="1">
      <c r="A10750" s="2" t="s">
        <v>10750</v>
      </c>
      <c r="B10750" s="2" t="str">
        <f>IFERROR(__xludf.DUMMYFUNCTION("GOOGLETRANSLATE(A10750, ""en"", ""mt"")"),"Satyagraha")</f>
        <v>Satyagraha</v>
      </c>
    </row>
    <row r="10751" ht="15.75" customHeight="1">
      <c r="A10751" s="2" t="s">
        <v>10751</v>
      </c>
      <c r="B10751" s="2" t="str">
        <f>IFERROR(__xludf.DUMMYFUNCTION("GOOGLETRANSLATE(A10751, ""en"", ""mt"")"),"il-professjoni tat-tagħlim")</f>
        <v>il-professjoni tat-tagħlim</v>
      </c>
    </row>
    <row r="10752" ht="15.75" customHeight="1">
      <c r="A10752" s="2" t="s">
        <v>10752</v>
      </c>
      <c r="B10752" s="2" t="str">
        <f>IFERROR(__xludf.DUMMYFUNCTION("GOOGLETRANSLATE(A10752, ""en"", ""mt"")"),"X'sar is-Sovjetiċi li jużaw fil-vettura spazjali wara s-suċċess ta 'Zond 5?")</f>
        <v>X'sar is-Sovjetiċi li jużaw fil-vettura spazjali wara s-suċċess ta 'Zond 5?</v>
      </c>
    </row>
    <row r="10753" ht="15.75" customHeight="1">
      <c r="A10753" s="2" t="s">
        <v>10753</v>
      </c>
      <c r="B10753" s="2" t="str">
        <f>IFERROR(__xludf.DUMMYFUNCTION("GOOGLETRANSLATE(A10753, ""en"", ""mt"")"),"Nuqqas ta 'forza netta")</f>
        <v>Nuqqas ta 'forza netta</v>
      </c>
    </row>
    <row r="10754" ht="15.75" customHeight="1">
      <c r="A10754" s="2" t="s">
        <v>10754</v>
      </c>
      <c r="B10754" s="2" t="str">
        <f>IFERROR(__xludf.DUMMYFUNCTION("GOOGLETRANSLATE(A10754, ""en"", ""mt"")"),"Kemm jeżistu bordijiet ta 'eżami fl-Indja?")</f>
        <v>Kemm jeżistu bordijiet ta 'eżami fl-Indja?</v>
      </c>
    </row>
    <row r="10755" ht="15.75" customHeight="1">
      <c r="A10755" s="2" t="s">
        <v>10755</v>
      </c>
      <c r="B10755" s="2" t="str">
        <f>IFERROR(__xludf.DUMMYFUNCTION("GOOGLETRANSLATE(A10755, ""en"", ""mt"")"),"Min kien il-President tal-Kumitat tal-Kamra dwar l-Enerġija u l-Kummerċ?")</f>
        <v>Min kien il-President tal-Kumitat tal-Kamra dwar l-Enerġija u l-Kummerċ?</v>
      </c>
    </row>
    <row r="10756" ht="15.75" customHeight="1">
      <c r="A10756" s="2" t="s">
        <v>10756</v>
      </c>
      <c r="B10756" s="2" t="str">
        <f>IFERROR(__xludf.DUMMYFUNCTION("GOOGLETRANSLATE(A10756, ""en"", ""mt"")"),"Madwar l-1685, ir-refuġjati Huguenot sabu kenn fil-Luterani u stati riformati fil-Ġermanja u fl-Iskandinavja. Kważi 50,000 Huguenots stabbilixxew ruħhom fil-Ġermanja, li 20,000 minnhom ġew milqugħa fi Brandenburg-Prussja, fejn ingħataw privileġġi speċjali"&amp;" (editt ta 'Potsdam) u knejjes li fihom għandhom jaduraw (bħalma huma l-Knisja ta' San Pietru u San Pawl, Angermünde ) minn Frederick William, l-Elettur ta 'Brandenburg u Duka tal-Prussja. Il-Huguenots ipprovda żewġ reġimenti ġodda tal-armata tiegħu: ir-r"&amp;"eġimenti tal-infanterija Altpreußische Nru 13 (Reġiment fuq Foot Varenne) u 15 (Regiment fuq Foot Wylich). 4,000 Huguenots oħra stabbilixxew fit-territorji Ġermaniżi ta 'Baden, Franconia (il-Prinċipat ta' Bayreuth, il-Prinċipat ta 'Ansbach), Landgraviate "&amp;"ta' Hesse-Kassel, Dukat ta 'Württemberg, fl-Assoċjazzjoni ta' Wetterau ta 'l-Imperjali, fil-Palatinat u Palatinat-Zweibrücken, Rhine-Main-Area (Frankfurt), fis-Saarland tal-ġurnata moderna; u 1,500 sabu kenn f'Hamburg, Bremen u Sassonja t'Isfel. Tliet mit"&amp;"t refuġjat ingħataw ażil fil-qorti ta ’George William, Duka ta’ Brunswick-Lüneburg f’Celle.")</f>
        <v>Madwar l-1685, ir-refuġjati Huguenot sabu kenn fil-Luterani u stati riformati fil-Ġermanja u fl-Iskandinavja. Kważi 50,000 Huguenots stabbilixxew ruħhom fil-Ġermanja, li 20,000 minnhom ġew milqugħa fi Brandenburg-Prussja, fejn ingħataw privileġġi speċjali (editt ta 'Potsdam) u knejjes li fihom għandhom jaduraw (bħalma huma l-Knisja ta' San Pietru u San Pawl, Angermünde ) minn Frederick William, l-Elettur ta 'Brandenburg u Duka tal-Prussja. Il-Huguenots ipprovda żewġ reġimenti ġodda tal-armata tiegħu: ir-reġimenti tal-infanterija Altpreußische Nru 13 (Reġiment fuq Foot Varenne) u 15 (Regiment fuq Foot Wylich). 4,000 Huguenots oħra stabbilixxew fit-territorji Ġermaniżi ta 'Baden, Franconia (il-Prinċipat ta' Bayreuth, il-Prinċipat ta 'Ansbach), Landgraviate ta' Hesse-Kassel, Dukat ta 'Württemberg, fl-Assoċjazzjoni ta' Wetterau ta 'l-Imperjali, fil-Palatinat u Palatinat-Zweibrücken, Rhine-Main-Area (Frankfurt), fis-Saarland tal-ġurnata moderna; u 1,500 sabu kenn f'Hamburg, Bremen u Sassonja t'Isfel. Tliet mitt refuġjat ingħataw ażil fil-qorti ta ’George William, Duka ta’ Brunswick-Lüneburg f’Celle.</v>
      </c>
    </row>
    <row r="10757" ht="15.75" customHeight="1">
      <c r="A10757" s="2" t="s">
        <v>10757</v>
      </c>
      <c r="B10757" s="2" t="str">
        <f>IFERROR(__xludf.DUMMYFUNCTION("GOOGLETRANSLATE(A10757, ""en"", ""mt"")"),"F'liema sena l-gazzetta bidlet id-definizzjoni preċedenti tagħha?")</f>
        <v>F'liema sena l-gazzetta bidlet id-definizzjoni preċedenti tagħha?</v>
      </c>
    </row>
    <row r="10758" ht="15.75" customHeight="1">
      <c r="A10758" s="2" t="s">
        <v>10758</v>
      </c>
      <c r="B10758" s="2" t="str">
        <f>IFERROR(__xludf.DUMMYFUNCTION("GOOGLETRANSLATE(A10758, ""en"", ""mt"")"),"Ta 'liema natura matematika hija l-problema ta' Basel?")</f>
        <v>Ta 'liema natura matematika hija l-problema ta' Basel?</v>
      </c>
    </row>
    <row r="10759" ht="15.75" customHeight="1">
      <c r="A10759" s="2" t="s">
        <v>10759</v>
      </c>
      <c r="B10759" s="2" t="str">
        <f>IFERROR(__xludf.DUMMYFUNCTION("GOOGLETRANSLATE(A10759, ""en"", ""mt"")"),"Liema tip speċifiku ta 'ctenophore ġie introdott fil-Baħar l-Iswed?")</f>
        <v>Liema tip speċifiku ta 'ctenophore ġie introdott fil-Baħar l-Iswed?</v>
      </c>
    </row>
    <row r="10760" ht="15.75" customHeight="1">
      <c r="A10760" s="2" t="s">
        <v>10760</v>
      </c>
      <c r="B10760" s="2" t="str">
        <f>IFERROR(__xludf.DUMMYFUNCTION("GOOGLETRANSLATE(A10760, ""en"", ""mt"")"),"kontrogrammazzjoni kontra l-kompetituri tagħha")</f>
        <v>kontrogrammazzjoni kontra l-kompetituri tagħha</v>
      </c>
    </row>
    <row r="10761" ht="15.75" customHeight="1">
      <c r="A10761" s="2" t="s">
        <v>10761</v>
      </c>
      <c r="B10761" s="2" t="str">
        <f>IFERROR(__xludf.DUMMYFUNCTION("GOOGLETRANSLATE(A10761, ""en"", ""mt"")"),"Splużjoni tat-tank tal-ossiġnu fi tranżitu lejn il-qamar")</f>
        <v>Splużjoni tat-tank tal-ossiġnu fi tranżitu lejn il-qamar</v>
      </c>
    </row>
    <row r="10762" ht="15.75" customHeight="1">
      <c r="A10762" s="2" t="s">
        <v>10762</v>
      </c>
      <c r="B10762" s="2" t="str">
        <f>IFERROR(__xludf.DUMMYFUNCTION("GOOGLETRANSLATE(A10762, ""en"", ""mt"")"),"Min beda d-dinastija Yuan?")</f>
        <v>Min beda d-dinastija Yuan?</v>
      </c>
    </row>
    <row r="10763" ht="15.75" customHeight="1">
      <c r="A10763" s="2" t="s">
        <v>10763</v>
      </c>
      <c r="B10763" s="2" t="str">
        <f>IFERROR(__xludf.DUMMYFUNCTION("GOOGLETRANSLATE(A10763, ""en"", ""mt"")"),"Fluttwazzjonijiet fil-klima")</f>
        <v>Fluttwazzjonijiet fil-klima</v>
      </c>
    </row>
    <row r="10764" ht="15.75" customHeight="1">
      <c r="A10764" s="2" t="s">
        <v>10764</v>
      </c>
      <c r="B10764" s="2" t="str">
        <f>IFERROR(__xludf.DUMMYFUNCTION("GOOGLETRANSLATE(A10764, ""en"", ""mt"")"),"liberazzjoni u evita l-ħabs")</f>
        <v>liberazzjoni u evita l-ħabs</v>
      </c>
    </row>
    <row r="10765" ht="15.75" customHeight="1">
      <c r="A10765" s="2" t="s">
        <v>10765</v>
      </c>
      <c r="B10765" s="2" t="str">
        <f>IFERROR(__xludf.DUMMYFUNCTION("GOOGLETRANSLATE(A10765, ""en"", ""mt"")"),"Liema pożizzjoni tilgħab Danny Trevathan?")</f>
        <v>Liema pożizzjoni tilgħab Danny Trevathan?</v>
      </c>
    </row>
    <row r="10766" ht="15.75" customHeight="1">
      <c r="A10766" s="2" t="s">
        <v>10766</v>
      </c>
      <c r="B10766" s="2" t="str">
        <f>IFERROR(__xludf.DUMMYFUNCTION("GOOGLETRANSLATE(A10766, ""en"", ""mt"")"),"immedjatament")</f>
        <v>immedjatament</v>
      </c>
    </row>
    <row r="10767" ht="15.75" customHeight="1">
      <c r="A10767" s="2" t="s">
        <v>10767</v>
      </c>
      <c r="B10767" s="2" t="str">
        <f>IFERROR(__xludf.DUMMYFUNCTION("GOOGLETRANSLATE(A10767, ""en"", ""mt"")"),"L-assassin fatali")</f>
        <v>L-assassin fatali</v>
      </c>
    </row>
    <row r="10768" ht="15.75" customHeight="1">
      <c r="A10768" s="2" t="s">
        <v>10768</v>
      </c>
      <c r="B10768" s="2" t="str">
        <f>IFERROR(__xludf.DUMMYFUNCTION("GOOGLETRANSLATE(A10768, ""en"", ""mt"")"),"Meta ġie stabbilit is-soluzzjoni li kienet se ssir Varsavja?")</f>
        <v>Meta ġie stabbilit is-soluzzjoni li kienet se ssir Varsavja?</v>
      </c>
    </row>
    <row r="10769" ht="15.75" customHeight="1">
      <c r="A10769" s="2" t="s">
        <v>10769</v>
      </c>
      <c r="B10769" s="2" t="str">
        <f>IFERROR(__xludf.DUMMYFUNCTION("GOOGLETRANSLATE(A10769, ""en"", ""mt"")"),"Kif jissejħu l-partiċelli tal-mewġ li jimmedjaw il-fenomeni elettromanjetiċi kollha?")</f>
        <v>Kif jissejħu l-partiċelli tal-mewġ li jimmedjaw il-fenomeni elettromanjetiċi kollha?</v>
      </c>
    </row>
    <row r="10770" ht="15.75" customHeight="1">
      <c r="A10770" s="2" t="s">
        <v>10770</v>
      </c>
      <c r="B10770" s="2" t="str">
        <f>IFERROR(__xludf.DUMMYFUNCTION("GOOGLETRANSLATE(A10770, ""en"", ""mt"")"),"Jippruvaw jirkupraw is-sehem tas-suq")</f>
        <v>Jippruvaw jirkupraw is-sehem tas-suq</v>
      </c>
    </row>
    <row r="10771" ht="15.75" customHeight="1">
      <c r="A10771" s="2" t="s">
        <v>10771</v>
      </c>
      <c r="B10771" s="2" t="str">
        <f>IFERROR(__xludf.DUMMYFUNCTION("GOOGLETRANSLATE(A10771, ""en"", ""mt"")"),"Carl Sagan")</f>
        <v>Carl Sagan</v>
      </c>
    </row>
    <row r="10772" ht="15.75" customHeight="1">
      <c r="A10772" s="2" t="s">
        <v>10772</v>
      </c>
      <c r="B10772" s="2" t="str">
        <f>IFERROR(__xludf.DUMMYFUNCTION("GOOGLETRANSLATE(A10772, ""en"", ""mt"")"),"X'jagħmel it-tentilla ta 'Euplokamis differenti minn Cysippids oħra?")</f>
        <v>X'jagħmel it-tentilla ta 'Euplokamis differenti minn Cysippids oħra?</v>
      </c>
    </row>
    <row r="10773" ht="15.75" customHeight="1">
      <c r="A10773" s="2" t="s">
        <v>10773</v>
      </c>
      <c r="B10773" s="2" t="str">
        <f>IFERROR(__xludf.DUMMYFUNCTION("GOOGLETRANSLATE(A10773, ""en"", ""mt"")"),"Liema grupp ta 'nies ma jistgħux ikunu parti mid-diżubbidjenza ċivili?")</f>
        <v>Liema grupp ta 'nies ma jistgħux ikunu parti mid-diżubbidjenza ċivili?</v>
      </c>
    </row>
    <row r="10774" ht="15.75" customHeight="1">
      <c r="A10774" s="2" t="s">
        <v>10774</v>
      </c>
      <c r="B10774" s="2" t="str">
        <f>IFERROR(__xludf.DUMMYFUNCTION("GOOGLETRANSLATE(A10774, ""en"", ""mt"")"),"F’xi pjanti bħall-kakti, il-kloroplasti jinstabu fiż-zkuk, għalkemm fil-biċċa l-kbira tal-pjanti, il-kloroplasti huma kkonċentrati fil-weraq. Millimetru kwadru wieħed ta 'tessut tal-weraq jista' jkun fih nofs miljun kloroplasti. Fi ħdan werqa, il-kloropla"&amp;"sti jinstabu prinċipalment fis-saffi tal-mesofilla ta 'werqa, u fiċ-ċelloli tal-gwardja ta' stomata. Iċ-ċelloli tal-mesofilla Palisade jista 'jkun fihom 30-70 kloroplasti għal kull ċellula, filwaqt li ċelloli tal-gwardja stomatali fihom biss madwar 8-15 k"&amp;"ull ċellula, kif ukoll ħafna inqas klorofilla. Il-kloroplasti jistgħu jinstabu wkoll fiċ-ċelloli tal-għant tal-qatta 'ta' weraq, speċjalment fil-pjanti C4, li jwettqu ċ-ċiklu ta 'Calvin fiċ-ċelloli tal-għant tal-qatta' tagħhom. Ħafna drabi huma assenti mi"&amp;"ll-epidermide ta 'weraq.")</f>
        <v>F’xi pjanti bħall-kakti, il-kloroplasti jinstabu fiż-zkuk, għalkemm fil-biċċa l-kbira tal-pjanti, il-kloroplasti huma kkonċentrati fil-weraq. Millimetru kwadru wieħed ta 'tessut tal-weraq jista' jkun fih nofs miljun kloroplasti. Fi ħdan werqa, il-kloroplasti jinstabu prinċipalment fis-saffi tal-mesofilla ta 'werqa, u fiċ-ċelloli tal-gwardja ta' stomata. Iċ-ċelloli tal-mesofilla Palisade jista 'jkun fihom 30-70 kloroplasti għal kull ċellula, filwaqt li ċelloli tal-gwardja stomatali fihom biss madwar 8-15 kull ċellula, kif ukoll ħafna inqas klorofilla. Il-kloroplasti jistgħu jinstabu wkoll fiċ-ċelloli tal-għant tal-qatta 'ta' weraq, speċjalment fil-pjanti C4, li jwettqu ċ-ċiklu ta 'Calvin fiċ-ċelloli tal-għant tal-qatta' tagħhom. Ħafna drabi huma assenti mill-epidermide ta 'weraq.</v>
      </c>
    </row>
    <row r="10775" ht="15.75" customHeight="1">
      <c r="A10775" s="2" t="s">
        <v>10775</v>
      </c>
      <c r="B10775" s="2" t="str">
        <f>IFERROR(__xludf.DUMMYFUNCTION("GOOGLETRANSLATE(A10775, ""en"", ""mt"")"),"Immunodefiċjenza sseħħ")</f>
        <v>Immunodefiċjenza sseħħ</v>
      </c>
    </row>
    <row r="10776" ht="15.75" customHeight="1">
      <c r="A10776" s="2" t="s">
        <v>10776</v>
      </c>
      <c r="B10776" s="2" t="str">
        <f>IFERROR(__xludf.DUMMYFUNCTION("GOOGLETRANSLATE(A10776, ""en"", ""mt"")"),"Fejn kien jinsab Evan Washburn waqt li ħabbar matul il-logħba?")</f>
        <v>Fejn kien jinsab Evan Washburn waqt li ħabbar matul il-logħba?</v>
      </c>
    </row>
    <row r="10777" ht="15.75" customHeight="1">
      <c r="A10777" s="2" t="s">
        <v>10777</v>
      </c>
      <c r="B10777" s="2" t="str">
        <f>IFERROR(__xludf.DUMMYFUNCTION("GOOGLETRANSLATE(A10777, ""en"", ""mt"")"),"X'għandhom numru ta 'riċerkaturi jaħsbu li n-nuqqas ta' l-inugwaljanza tad-dħul huwa kkawżat parzjalment?")</f>
        <v>X'għandhom numru ta 'riċerkaturi jaħsbu li n-nuqqas ta' l-inugwaljanza tad-dħul huwa kkawżat parzjalment?</v>
      </c>
    </row>
    <row r="10778" ht="15.75" customHeight="1">
      <c r="A10778" s="2" t="s">
        <v>10778</v>
      </c>
      <c r="B10778" s="2" t="str">
        <f>IFERROR(__xludf.DUMMYFUNCTION("GOOGLETRANSLATE(A10778, ""en"", ""mt"")"),"Biex tiżdied l-erja tal-kloroplast")</f>
        <v>Biex tiżdied l-erja tal-kloroplast</v>
      </c>
    </row>
    <row r="10779" ht="15.75" customHeight="1">
      <c r="A10779" s="2" t="s">
        <v>10779</v>
      </c>
      <c r="B10779" s="2" t="str">
        <f>IFERROR(__xludf.DUMMYFUNCTION("GOOGLETRANSLATE(A10779, ""en"", ""mt"")"),"Xi jfisser is-sjieda privata ta 'xi ħaġa?")</f>
        <v>Xi jfisser is-sjieda privata ta 'xi ħaġa?</v>
      </c>
    </row>
    <row r="10780" ht="15.75" customHeight="1">
      <c r="A10780" s="2" t="s">
        <v>10780</v>
      </c>
      <c r="B10780" s="2" t="str">
        <f>IFERROR(__xludf.DUMMYFUNCTION("GOOGLETRANSLATE(A10780, ""en"", ""mt"")"),"psewdo")</f>
        <v>psewdo</v>
      </c>
    </row>
    <row r="10781" ht="15.75" customHeight="1">
      <c r="A10781" s="2" t="s">
        <v>10781</v>
      </c>
      <c r="B10781" s="2" t="str">
        <f>IFERROR(__xludf.DUMMYFUNCTION("GOOGLETRANSLATE(A10781, ""en"", ""mt"")"),"Ta 'liema forma tieħu l-primes Mersenne?")</f>
        <v>Ta 'liema forma tieħu l-primes Mersenne?</v>
      </c>
    </row>
    <row r="10782" ht="15.75" customHeight="1">
      <c r="A10782" s="2" t="s">
        <v>10782</v>
      </c>
      <c r="B10782" s="2" t="str">
        <f>IFERROR(__xludf.DUMMYFUNCTION("GOOGLETRANSLATE(A10782, ""en"", ""mt"")"),"Vjolazzjonijiet tad-drittijiet tal-bniedem")</f>
        <v>Vjolazzjonijiet tad-drittijiet tal-bniedem</v>
      </c>
    </row>
    <row r="10783" ht="15.75" customHeight="1">
      <c r="A10783" s="2" t="s">
        <v>10783</v>
      </c>
      <c r="B10783" s="2" t="str">
        <f>IFERROR(__xludf.DUMMYFUNCTION("GOOGLETRANSLATE(A10783, ""en"", ""mt"")"),"kważi xahar")</f>
        <v>kważi xahar</v>
      </c>
    </row>
    <row r="10784" ht="15.75" customHeight="1">
      <c r="A10784" s="2" t="s">
        <v>10784</v>
      </c>
      <c r="B10784" s="2" t="str">
        <f>IFERROR(__xludf.DUMMYFUNCTION("GOOGLETRANSLATE(A10784, ""en"", ""mt"")"),"Negozju Qabbad")</f>
        <v>Negozju Qabbad</v>
      </c>
    </row>
    <row r="10785" ht="15.75" customHeight="1">
      <c r="A10785" s="2" t="s">
        <v>10785</v>
      </c>
      <c r="B10785" s="2" t="str">
        <f>IFERROR(__xludf.DUMMYFUNCTION("GOOGLETRANSLATE(A10785, ""en"", ""mt"")"),"Liema plejer ta 'Denver qabad il-ballun 76 darba fl-istaġun 2015?")</f>
        <v>Liema plejer ta 'Denver qabad il-ballun 76 darba fl-istaġun 2015?</v>
      </c>
    </row>
    <row r="10786" ht="15.75" customHeight="1">
      <c r="A10786" s="2" t="s">
        <v>10786</v>
      </c>
      <c r="B10786" s="2" t="str">
        <f>IFERROR(__xludf.DUMMYFUNCTION("GOOGLETRANSLATE(A10786, ""en"", ""mt"")"),"X'tip ta 'diżubbidjenza ċivili hija aċċettata b'mod komuni?")</f>
        <v>X'tip ta 'diżubbidjenza ċivili hija aċċettata b'mod komuni?</v>
      </c>
    </row>
    <row r="10787" ht="15.75" customHeight="1">
      <c r="A10787" s="2" t="s">
        <v>10787</v>
      </c>
      <c r="B10787" s="2" t="str">
        <f>IFERROR(__xludf.DUMMYFUNCTION("GOOGLETRANSLATE(A10787, ""en"", ""mt"")"),"Konsolidazzjoni ta 'Jacksonville")</f>
        <v>Konsolidazzjoni ta 'Jacksonville</v>
      </c>
    </row>
    <row r="10788" ht="15.75" customHeight="1">
      <c r="A10788" s="2" t="s">
        <v>10788</v>
      </c>
      <c r="B10788" s="2" t="str">
        <f>IFERROR(__xludf.DUMMYFUNCTION("GOOGLETRANSLATE(A10788, ""en"", ""mt"")"),"In-netwerks privati ​​spiss kienu konnessi permezz ta ’gateways man-netwerk pubbliku biex jilħqu postijiet mhux fuq in-netwerk privat")</f>
        <v>In-netwerks privati ​​spiss kienu konnessi permezz ta ’gateways man-netwerk pubbliku biex jilħqu postijiet mhux fuq in-netwerk privat</v>
      </c>
    </row>
    <row r="10789" ht="15.75" customHeight="1">
      <c r="A10789" s="2" t="s">
        <v>10789</v>
      </c>
      <c r="B10789" s="2" t="str">
        <f>IFERROR(__xludf.DUMMYFUNCTION("GOOGLETRANSLATE(A10789, ""en"", ""mt"")"),"Akkademiku")</f>
        <v>Akkademiku</v>
      </c>
    </row>
    <row r="10790" ht="15.75" customHeight="1">
      <c r="A10790" s="2" t="s">
        <v>10790</v>
      </c>
      <c r="B10790" s="2" t="str">
        <f>IFERROR(__xludf.DUMMYFUNCTION("GOOGLETRANSLATE(A10790, ""en"", ""mt"")"),"vjolenza, degradazzjoni, sfruttament, u sfurzar")</f>
        <v>vjolenza, degradazzjoni, sfruttament, u sfurzar</v>
      </c>
    </row>
    <row r="10791" ht="15.75" customHeight="1">
      <c r="A10791" s="2" t="s">
        <v>10791</v>
      </c>
      <c r="B10791" s="2" t="str">
        <f>IFERROR(__xludf.DUMMYFUNCTION("GOOGLETRANSLATE(A10791, ""en"", ""mt"")"),"Ċentru tal-Konvenzjoni ta 'Santa Clara")</f>
        <v>Ċentru tal-Konvenzjoni ta 'Santa Clara</v>
      </c>
    </row>
    <row r="10792" ht="15.75" customHeight="1">
      <c r="A10792" s="2" t="s">
        <v>10792</v>
      </c>
      <c r="B10792" s="2" t="str">
        <f>IFERROR(__xludf.DUMMYFUNCTION("GOOGLETRANSLATE(A10792, ""en"", ""mt"")"),"Fejn jinsab l-iktar punt baxx ta 'Varsavja?")</f>
        <v>Fejn jinsab l-iktar punt baxx ta 'Varsavja?</v>
      </c>
    </row>
    <row r="10793" ht="15.75" customHeight="1">
      <c r="A10793" s="2" t="s">
        <v>10793</v>
      </c>
      <c r="B10793" s="2" t="str">
        <f>IFERROR(__xludf.DUMMYFUNCTION("GOOGLETRANSLATE(A10793, ""en"", ""mt"")"),"Duval")</f>
        <v>Duval</v>
      </c>
    </row>
    <row r="10794" ht="15.75" customHeight="1">
      <c r="A10794" s="2" t="s">
        <v>10794</v>
      </c>
      <c r="B10794" s="2" t="str">
        <f>IFERROR(__xludf.DUMMYFUNCTION("GOOGLETRANSLATE(A10794, ""en"", ""mt"")"),"DFDS Meta temm is-servizzi tagħha għan-Norveġja?")</f>
        <v>DFDS Meta temm is-servizzi tagħha għan-Norveġja?</v>
      </c>
    </row>
    <row r="10795" ht="15.75" customHeight="1">
      <c r="A10795" s="2" t="s">
        <v>10795</v>
      </c>
      <c r="B10795" s="2" t="str">
        <f>IFERROR(__xludf.DUMMYFUNCTION("GOOGLETRANSLATE(A10795, ""en"", ""mt"")"),"Chevron")</f>
        <v>Chevron</v>
      </c>
    </row>
    <row r="10796" ht="15.75" customHeight="1">
      <c r="A10796" s="2" t="s">
        <v>10796</v>
      </c>
      <c r="B10796" s="2" t="str">
        <f>IFERROR(__xludf.DUMMYFUNCTION("GOOGLETRANSLATE(A10796, ""en"", ""mt"")"),"Kemm leġjuni f'ħames bażijiet kienu tul ir-Renu mir-Rumani?")</f>
        <v>Kemm leġjuni f'ħames bażijiet kienu tul ir-Renu mir-Rumani?</v>
      </c>
    </row>
    <row r="10797" ht="15.75" customHeight="1">
      <c r="A10797" s="2" t="s">
        <v>10797</v>
      </c>
      <c r="B10797" s="2" t="str">
        <f>IFERROR(__xludf.DUMMYFUNCTION("GOOGLETRANSLATE(A10797, ""en"", ""mt"")"),"Donald Davies")</f>
        <v>Donald Davies</v>
      </c>
    </row>
    <row r="10798" ht="15.75" customHeight="1">
      <c r="A10798" s="2" t="s">
        <v>10798</v>
      </c>
      <c r="B10798" s="2" t="str">
        <f>IFERROR(__xludf.DUMMYFUNCTION("GOOGLETRANSLATE(A10798, ""en"", ""mt"")"),"sferi separati ta 'għarfien li kull wieħed japplika għal")</f>
        <v>sferi separati ta 'għarfien li kull wieħed japplika għal</v>
      </c>
    </row>
    <row r="10799" ht="15.75" customHeight="1">
      <c r="A10799" s="2" t="s">
        <v>10799</v>
      </c>
      <c r="B10799" s="2" t="str">
        <f>IFERROR(__xludf.DUMMYFUNCTION("GOOGLETRANSLATE(A10799, ""en"", ""mt"")"),"Fiż-zkuk")</f>
        <v>Fiż-zkuk</v>
      </c>
    </row>
    <row r="10800" ht="15.75" customHeight="1">
      <c r="A10800" s="2" t="s">
        <v>10800</v>
      </c>
      <c r="B10800" s="2" t="str">
        <f>IFERROR(__xludf.DUMMYFUNCTION("GOOGLETRANSLATE(A10800, ""en"", ""mt"")"),"Xi jfisser Paramylon Store?")</f>
        <v>Xi jfisser Paramylon Store?</v>
      </c>
    </row>
    <row r="10801" ht="15.75" customHeight="1">
      <c r="A10801" s="2" t="s">
        <v>10801</v>
      </c>
      <c r="B10801" s="2" t="str">
        <f>IFERROR(__xludf.DUMMYFUNCTION("GOOGLETRANSLATE(A10801, ""en"", ""mt"")"),"Calcitriol")</f>
        <v>Calcitriol</v>
      </c>
    </row>
    <row r="10802" ht="15.75" customHeight="1">
      <c r="A10802" s="2" t="s">
        <v>10802</v>
      </c>
      <c r="B10802" s="2" t="str">
        <f>IFERROR(__xludf.DUMMYFUNCTION("GOOGLETRANSLATE(A10802, ""en"", ""mt"")"),"Preżenza personali u kelma ħajja")</f>
        <v>Preżenza personali u kelma ħajja</v>
      </c>
    </row>
    <row r="10803" ht="15.75" customHeight="1">
      <c r="A10803" s="2" t="s">
        <v>10803</v>
      </c>
      <c r="B10803" s="2" t="str">
        <f>IFERROR(__xludf.DUMMYFUNCTION("GOOGLETRANSLATE(A10803, ""en"", ""mt"")"),"Ekonomikament")</f>
        <v>Ekonomikament</v>
      </c>
    </row>
    <row r="10804" ht="15.75" customHeight="1">
      <c r="A10804" s="2" t="s">
        <v>10804</v>
      </c>
      <c r="B10804" s="2" t="str">
        <f>IFERROR(__xludf.DUMMYFUNCTION("GOOGLETRANSLATE(A10804, ""en"", ""mt"")"),"X'azzjoni minn Luther żiedet mal-antisemitiżmu fil-Ġermanja?")</f>
        <v>X'azzjoni minn Luther żiedet mal-antisemitiżmu fil-Ġermanja?</v>
      </c>
    </row>
    <row r="10805" ht="15.75" customHeight="1">
      <c r="A10805" s="2" t="s">
        <v>10805</v>
      </c>
      <c r="B10805" s="2" t="str">
        <f>IFERROR(__xludf.DUMMYFUNCTION("GOOGLETRANSLATE(A10805, ""en"", ""mt"")"),"Id-dejta tal-Landing Moon ġiet irreġistrata minn kamera speċjali tat-TV Apollo li rreġistrat f'format inkompatibbli mat-TV imxandar. Dan wassal għal filmati lunari li kellhom jiġu kkonvertiti għax-xandira tat-televiżjoni diretta u maħżuna fuq tejps tat-te"&amp;"lemetrija manjetika. Matul is-snin ta 'wara, nuqqas ta' tejp manjetiku ġiegħel lin-NASA biex tneħħi numru massiv ta 'tejps manjetiċi mill-Amministrazzjoni Nazzjonali tal-Arkivji u r-Rekords li għandhom jiġu rreġistrati b'data aktar ġdida bis-satellita. St"&amp;"an Lebar, li mexxa lit-tim li ddisinja u bena l-kamera televiżiva Lunar fil-Westinghouse Electric Corporation, ħadem ukoll ma 'Nafzger biex jipprova jsib it-tejps nieqsa.")</f>
        <v>Id-dejta tal-Landing Moon ġiet irreġistrata minn kamera speċjali tat-TV Apollo li rreġistrat f'format inkompatibbli mat-TV imxandar. Dan wassal għal filmati lunari li kellhom jiġu kkonvertiti għax-xandira tat-televiżjoni diretta u maħżuna fuq tejps tat-telemetrija manjetika. Matul is-snin ta 'wara, nuqqas ta' tejp manjetiku ġiegħel lin-NASA biex tneħħi numru massiv ta 'tejps manjetiċi mill-Amministrazzjoni Nazzjonali tal-Arkivji u r-Rekords li għandhom jiġu rreġistrati b'data aktar ġdida bis-satellita. Stan Lebar, li mexxa lit-tim li ddisinja u bena l-kamera televiżiva Lunar fil-Westinghouse Electric Corporation, ħadem ukoll ma 'Nafzger biex jipprova jsib it-tejps nieqsa.</v>
      </c>
    </row>
    <row r="10806" ht="15.75" customHeight="1">
      <c r="A10806" s="2" t="s">
        <v>10806</v>
      </c>
      <c r="B10806" s="2" t="str">
        <f>IFERROR(__xludf.DUMMYFUNCTION("GOOGLETRANSLATE(A10806, ""en"", ""mt"")"),"Mill-1960s")</f>
        <v>Mill-1960s</v>
      </c>
    </row>
    <row r="10807" ht="15.75" customHeight="1">
      <c r="A10807" s="2" t="s">
        <v>10807</v>
      </c>
      <c r="B10807" s="2" t="str">
        <f>IFERROR(__xludf.DUMMYFUNCTION("GOOGLETRANSLATE(A10807, ""en"", ""mt"")"),"Koalizzjoni reliġjuża għall-għażla riproduttiva.")</f>
        <v>Koalizzjoni reliġjuża għall-għażla riproduttiva.</v>
      </c>
    </row>
    <row r="10808" ht="15.75" customHeight="1">
      <c r="A10808" s="2" t="s">
        <v>10808</v>
      </c>
      <c r="B10808" s="2" t="str">
        <f>IFERROR(__xludf.DUMMYFUNCTION("GOOGLETRANSLATE(A10808, ""en"", ""mt"")"),"Kilogramma-Forza (KGF)")</f>
        <v>Kilogramma-Forza (KGF)</v>
      </c>
    </row>
    <row r="10809" ht="15.75" customHeight="1">
      <c r="A10809" s="2" t="s">
        <v>10809</v>
      </c>
      <c r="B10809" s="2" t="str">
        <f>IFERROR(__xludf.DUMMYFUNCTION("GOOGLETRANSLATE(A10809, ""en"", ""mt"")"),"Minn min ixtri l-art Huguenots f'Carolina t'Isfel?")</f>
        <v>Minn min ixtri l-art Huguenots f'Carolina t'Isfel?</v>
      </c>
    </row>
    <row r="10810" ht="15.75" customHeight="1">
      <c r="A10810" s="2" t="s">
        <v>10810</v>
      </c>
      <c r="B10810" s="2" t="str">
        <f>IFERROR(__xludf.DUMMYFUNCTION("GOOGLETRANSLATE(A10810, ""en"", ""mt"")"),"f'nofs is-seklu 14")</f>
        <v>f'nofs is-seklu 14</v>
      </c>
    </row>
    <row r="10811" ht="15.75" customHeight="1">
      <c r="A10811" s="2" t="s">
        <v>10811</v>
      </c>
      <c r="B10811" s="2" t="str">
        <f>IFERROR(__xludf.DUMMYFUNCTION("GOOGLETRANSLATE(A10811, ""en"", ""mt"")"),"Lagos u Quiberon Bay")</f>
        <v>Lagos u Quiberon Bay</v>
      </c>
    </row>
    <row r="10812" ht="15.75" customHeight="1">
      <c r="A10812" s="2" t="s">
        <v>10812</v>
      </c>
      <c r="B10812" s="2" t="str">
        <f>IFERROR(__xludf.DUMMYFUNCTION("GOOGLETRANSLATE(A10812, ""en"", ""mt"")"),"Għal xiex juża l-Euplokamis it-tliet tipi ta 'moviment?")</f>
        <v>Għal xiex juża l-Euplokamis it-tliet tipi ta 'moviment?</v>
      </c>
    </row>
    <row r="10813" ht="15.75" customHeight="1">
      <c r="A10813" s="2" t="s">
        <v>10813</v>
      </c>
      <c r="B10813" s="2" t="str">
        <f>IFERROR(__xludf.DUMMYFUNCTION("GOOGLETRANSLATE(A10813, ""en"", ""mt"")"),"Sports Programs, Inc")</f>
        <v>Sports Programs, Inc</v>
      </c>
    </row>
    <row r="10814" ht="15.75" customHeight="1">
      <c r="A10814" s="2" t="s">
        <v>10814</v>
      </c>
      <c r="B10814" s="2" t="str">
        <f>IFERROR(__xludf.DUMMYFUNCTION("GOOGLETRANSLATE(A10814, ""en"", ""mt"")"),"X'inhi l-utilità marġinali tal-ġid għal kull dħul għal kull persuna hekk kif dik il-persuna ssir iktar sinjura?")</f>
        <v>X'inhi l-utilità marġinali tal-ġid għal kull dħul għal kull persuna hekk kif dik il-persuna ssir iktar sinjura?</v>
      </c>
    </row>
    <row r="10815" ht="15.75" customHeight="1">
      <c r="A10815" s="2" t="s">
        <v>10815</v>
      </c>
      <c r="B10815" s="2" t="str">
        <f>IFERROR(__xludf.DUMMYFUNCTION("GOOGLETRANSLATE(A10815, ""en"", ""mt"")"),"Amministrazzjoni Nazzjonali tal-Ajrunawtika u Spazjali (NASA)")</f>
        <v>Amministrazzjoni Nazzjonali tal-Ajrunawtika u Spazjali (NASA)</v>
      </c>
    </row>
    <row r="10816" ht="15.75" customHeight="1">
      <c r="A10816" s="2" t="s">
        <v>10816</v>
      </c>
      <c r="B10816" s="2" t="str">
        <f>IFERROR(__xludf.DUMMYFUNCTION("GOOGLETRANSLATE(A10816, ""en"", ""mt"")"),"imċaħħad milli jaqla 'daqs kemm kienu mod ieħor")</f>
        <v>imċaħħad milli jaqla 'daqs kemm kienu mod ieħor</v>
      </c>
    </row>
    <row r="10817" ht="15.75" customHeight="1">
      <c r="A10817" s="2" t="s">
        <v>10817</v>
      </c>
      <c r="B10817" s="2" t="str">
        <f>IFERROR(__xludf.DUMMYFUNCTION("GOOGLETRANSLATE(A10817, ""en"", ""mt"")"),"Il-kloroplasti għandhom id-DNA tagħhom stess, ħafna drabi mqassra bħala ctDNA, jew cpDNA. Huwa magħruf ukoll bħala l-plastome. L-eżistenza tagħha ġiet ippruvata għall-ewwel darba fl-1962, u l-ewwel sekwenzat fl-1986 - meta żewġ timijiet ta 'riċerka Ġappun"&amp;"iżi sekwenzjaw id-DNA tal-kloroplast ta' Liverwort u Tabakk. Minn dakinhar, mijiet ta 'DNAs tal-kloroplast minn speċi varji ġew sekwenzjati, iżda huma l-aktar dawk ta' pjanti tal-art u alka ħadra - glaukofiti, alka ħamra, u gruppi oħra tal-alka huma estre"&amp;"mament mhux irrappreżentati, potenzjalment jintroduċu xi preġudizzju fil-fehmiet ta '""tipiċi"" Struttura u kontenut tad-DNA tal-kloroplast.")</f>
        <v>Il-kloroplasti għandhom id-DNA tagħhom stess, ħafna drabi mqassra bħala ctDNA, jew cpDNA. Huwa magħruf ukoll bħala l-plastome. L-eżistenza tagħha ġiet ippruvata għall-ewwel darba fl-1962, u l-ewwel sekwenzat fl-1986 - meta żewġ timijiet ta 'riċerka Ġappuniżi sekwenzjaw id-DNA tal-kloroplast ta' Liverwort u Tabakk. Minn dakinhar, mijiet ta 'DNAs tal-kloroplast minn speċi varji ġew sekwenzjati, iżda huma l-aktar dawk ta' pjanti tal-art u alka ħadra - glaukofiti, alka ħamra, u gruppi oħra tal-alka huma estremament mhux irrappreżentati, potenzjalment jintroduċu xi preġudizzju fil-fehmiet ta '"tipiċi" Struttura u kontenut tad-DNA tal-kloroplast.</v>
      </c>
    </row>
    <row r="10818" ht="15.75" customHeight="1">
      <c r="A10818" s="2" t="s">
        <v>10818</v>
      </c>
      <c r="B10818" s="2" t="str">
        <f>IFERROR(__xludf.DUMMYFUNCTION("GOOGLETRANSLATE(A10818, ""en"", ""mt"")"),"Qabel ma beda l-programm Apollo, Wernher von Braun u t-tim tiegħu ta 'inġiniera tar-rokits kienu bdew jaħdmu fuq pjanijiet għal vetturi ta' tnedija kbar ħafna, is-serje Saturn, u s-serje Nova saħansitra akbar. F'nofs dawn il-pjanijiet, von Braun ġie trasf"&amp;"erit mill-armata għan-NASA, u għamel direttur taċ-Ċentru tat-Titjira Spazjali Marshall. Il-pjan inizjali ta 'tlugħ dirett biex jibgħat il-modulu ta' kmand / servizz Apollo ta 'tliet persuni direttament fuq il-wiċċ Lunar, fuq il-parti ta' rokit ta 'dixxend"&amp;"enza kbira, ikun jeħtieġ lanċjatur ta' klassi Nova, b'kapaċità ta 'tagħbija ta' tagħbija lunari ta 'aktar minn 180,000 lira (82,000 kg). Il-11 ta 'Ġunju, 1962, id-deċiżjoni li tuża Lunar Orbit Rendezvous ippermettiet lis-Saturnu V biex jissostitwixxi n-No"&amp;"va, u l-MSFC ipproċeda biex jiżviluppa l-familja tar-rokit Saturn għal Apollo.")</f>
        <v>Qabel ma beda l-programm Apollo, Wernher von Braun u t-tim tiegħu ta 'inġiniera tar-rokits kienu bdew jaħdmu fuq pjanijiet għal vetturi ta' tnedija kbar ħafna, is-serje Saturn, u s-serje Nova saħansitra akbar. F'nofs dawn il-pjanijiet, von Braun ġie trasferit mill-armata għan-NASA, u għamel direttur taċ-Ċentru tat-Titjira Spazjali Marshall. Il-pjan inizjali ta 'tlugħ dirett biex jibgħat il-modulu ta' kmand / servizz Apollo ta 'tliet persuni direttament fuq il-wiċċ Lunar, fuq il-parti ta' rokit ta 'dixxendenza kbira, ikun jeħtieġ lanċjatur ta' klassi Nova, b'kapaċità ta 'tagħbija ta' tagħbija lunari ta 'aktar minn 180,000 lira (82,000 kg). Il-11 ta 'Ġunju, 1962, id-deċiżjoni li tuża Lunar Orbit Rendezvous ippermettiet lis-Saturnu V biex jissostitwixxi n-Nova, u l-MSFC ipproċeda biex jiżviluppa l-familja tar-rokit Saturn għal Apollo.</v>
      </c>
    </row>
    <row r="10819" ht="15.75" customHeight="1">
      <c r="A10819" s="2" t="s">
        <v>10819</v>
      </c>
      <c r="B10819" s="2" t="str">
        <f>IFERROR(__xludf.DUMMYFUNCTION("GOOGLETRANSLATE(A10819, ""en"", ""mt"")"),"Kemm mill-abitanti ta 'Varsavja tkellmu Pollakk fl-1933?")</f>
        <v>Kemm mill-abitanti ta 'Varsavja tkellmu Pollakk fl-1933?</v>
      </c>
    </row>
    <row r="10820" ht="15.75" customHeight="1">
      <c r="A10820" s="2" t="s">
        <v>10820</v>
      </c>
      <c r="B10820" s="2" t="str">
        <f>IFERROR(__xludf.DUMMYFUNCTION("GOOGLETRANSLATE(A10820, ""en"", ""mt"")"),"Fil-bnedmin, din ir-rispons hija attivata billi l-kumpliment jorbot ma 'antikorpi li jkunu mwaħħlin ma' dawn il-mikrobi jew it-twaħħil ta 'proteini ta' komplement ma 'karboidrati fuq l-uċuħ ta' mikrobi. Dan is-sinjal ta 'rikonoxximent iqajjem rispons ta' "&amp;"qtil rapidu. Il-veloċità tar-rispons hija riżultat ta 'amplifikazzjoni tas-sinjal li sseħħ wara attivazzjoni proteolitika sekwenzjali ta' molekuli ta 'komplement, li huma wkoll proteasi. Wara li l-proteini tal-kumpliment inizjalment jorbtu mal-mikrobi, hu"&amp;"ma jattivaw l-attività tal-protease tagħhom, li min-naħa tagħhom jattiva proteasi oħra ta 'komplement, u l-bqija. Dan jipproduċi kaskata katalitika li tamplifika s-sinjal inizjali permezz ta 'rispons pożittiv ikkontrollat. Il-kaskata tirriżulta fil-produz"&amp;"zjoni ta 'peptidi li jattiraw ċelloli immuni, iżidu l-permeabilità vaskulari, u opsonize (kisja) il-wiċċ ta' patoġen, li jimmarkawha għall-qerda. Din id-deposizzjoni ta 'komplement tista' wkoll toqtol iċ-ċelloli direttament billi tfixkel il-membrana tal-p"&amp;"lażma tagħhom.")</f>
        <v>Fil-bnedmin, din ir-rispons hija attivata billi l-kumpliment jorbot ma 'antikorpi li jkunu mwaħħlin ma' dawn il-mikrobi jew it-twaħħil ta 'proteini ta' komplement ma 'karboidrati fuq l-uċuħ ta' mikrobi. Dan is-sinjal ta 'rikonoxximent iqajjem rispons ta' qtil rapidu. Il-veloċità tar-rispons hija riżultat ta 'amplifikazzjoni tas-sinjal li sseħħ wara attivazzjoni proteolitika sekwenzjali ta' molekuli ta 'komplement, li huma wkoll proteasi. Wara li l-proteini tal-kumpliment inizjalment jorbtu mal-mikrobi, huma jattivaw l-attività tal-protease tagħhom, li min-naħa tagħhom jattiva proteasi oħra ta 'komplement, u l-bqija. Dan jipproduċi kaskata katalitika li tamplifika s-sinjal inizjali permezz ta 'rispons pożittiv ikkontrollat. Il-kaskata tirriżulta fil-produzzjoni ta 'peptidi li jattiraw ċelloli immuni, iżidu l-permeabilità vaskulari, u opsonize (kisja) il-wiċċ ta' patoġen, li jimmarkawha għall-qerda. Din id-deposizzjoni ta 'komplement tista' wkoll toqtol iċ-ċelloli direttament billi tfixkel il-membrana tal-plażma tagħhom.</v>
      </c>
    </row>
    <row r="10821" ht="15.75" customHeight="1">
      <c r="A10821" s="2" t="s">
        <v>10821</v>
      </c>
      <c r="B10821" s="2" t="str">
        <f>IFERROR(__xludf.DUMMYFUNCTION("GOOGLETRANSLATE(A10821, ""en"", ""mt"")"),"motiv għomja")</f>
        <v>motiv għomja</v>
      </c>
    </row>
    <row r="10822" ht="15.75" customHeight="1">
      <c r="A10822" s="2" t="s">
        <v>10822</v>
      </c>
      <c r="B10822" s="2" t="str">
        <f>IFERROR(__xludf.DUMMYFUNCTION("GOOGLETRANSLATE(A10822, ""en"", ""mt"")"),"X'inhu użat biex tiddeċiedi s-salarju ta 'għalliem?")</f>
        <v>X'inhu użat biex tiddeċiedi s-salarju ta 'għalliem?</v>
      </c>
    </row>
    <row r="10823" ht="15.75" customHeight="1">
      <c r="A10823" s="2" t="s">
        <v>10823</v>
      </c>
      <c r="B10823" s="2" t="str">
        <f>IFERROR(__xludf.DUMMYFUNCTION("GOOGLETRANSLATE(A10823, ""en"", ""mt"")"),"Dispożizzjoni tal-effetti personali tal-priġunieri")</f>
        <v>Dispożizzjoni tal-effetti personali tal-priġunieri</v>
      </c>
    </row>
    <row r="10824" ht="15.75" customHeight="1">
      <c r="A10824" s="2" t="s">
        <v>10824</v>
      </c>
      <c r="B10824" s="2" t="str">
        <f>IFERROR(__xludf.DUMMYFUNCTION("GOOGLETRANSLATE(A10824, ""en"", ""mt"")"),"F'liema sena Tesla marret Colorado Springs?")</f>
        <v>F'liema sena Tesla marret Colorado Springs?</v>
      </c>
    </row>
    <row r="10825" ht="15.75" customHeight="1">
      <c r="A10825" s="2" t="s">
        <v>10825</v>
      </c>
      <c r="B10825" s="2" t="str">
        <f>IFERROR(__xludf.DUMMYFUNCTION("GOOGLETRANSLATE(A10825, ""en"", ""mt"")"),"145 galleriji")</f>
        <v>145 galleriji</v>
      </c>
    </row>
    <row r="10826" ht="15.75" customHeight="1">
      <c r="A10826" s="2" t="s">
        <v>10826</v>
      </c>
      <c r="B10826" s="2" t="str">
        <f>IFERROR(__xludf.DUMMYFUNCTION("GOOGLETRANSLATE(A10826, ""en"", ""mt"")"),"min iħaddem")</f>
        <v>min iħaddem</v>
      </c>
    </row>
    <row r="10827" ht="15.75" customHeight="1">
      <c r="A10827" s="2" t="s">
        <v>10827</v>
      </c>
      <c r="B10827" s="2" t="str">
        <f>IFERROR(__xludf.DUMMYFUNCTION("GOOGLETRANSLATE(A10827, ""en"", ""mt"")"),"Luther kif ra l-Islam?")</f>
        <v>Luther kif ra l-Islam?</v>
      </c>
    </row>
    <row r="10828" ht="15.75" customHeight="1">
      <c r="A10828" s="2" t="s">
        <v>10828</v>
      </c>
      <c r="B10828" s="2" t="str">
        <f>IFERROR(__xludf.DUMMYFUNCTION("GOOGLETRANSLATE(A10828, ""en"", ""mt"")"),"Distribuzzjonijiet relattivament ugwali tal-ġid")</f>
        <v>Distribuzzjonijiet relattivament ugwali tal-ġid</v>
      </c>
    </row>
    <row r="10829" ht="15.75" customHeight="1">
      <c r="A10829" s="2" t="s">
        <v>10829</v>
      </c>
      <c r="B10829" s="2" t="str">
        <f>IFERROR(__xludf.DUMMYFUNCTION("GOOGLETRANSLATE(A10829, ""en"", ""mt"")"),"Kemm provinċji kien fih l-Imperu Ottoman fis-seklu 17?")</f>
        <v>Kemm provinċji kien fih l-Imperu Ottoman fis-seklu 17?</v>
      </c>
    </row>
    <row r="10830" ht="15.75" customHeight="1">
      <c r="A10830" s="2" t="s">
        <v>10830</v>
      </c>
      <c r="B10830" s="2" t="str">
        <f>IFERROR(__xludf.DUMMYFUNCTION("GOOGLETRANSLATE(A10830, ""en"", ""mt"")"),"Times Square")</f>
        <v>Times Square</v>
      </c>
    </row>
    <row r="10831" ht="15.75" customHeight="1">
      <c r="A10831" s="2" t="s">
        <v>10831</v>
      </c>
      <c r="B10831" s="2" t="str">
        <f>IFERROR(__xludf.DUMMYFUNCTION("GOOGLETRANSLATE(A10831, ""en"", ""mt"")"),"Liema Liberali rnexxielu lil Joseph Willard bħala President?")</f>
        <v>Liema Liberali rnexxielu lil Joseph Willard bħala President?</v>
      </c>
    </row>
    <row r="10832" ht="15.75" customHeight="1">
      <c r="A10832" s="2" t="s">
        <v>10832</v>
      </c>
      <c r="B10832" s="2" t="str">
        <f>IFERROR(__xludf.DUMMYFUNCTION("GOOGLETRANSLATE(A10832, ""en"", ""mt"")"),"William Morris")</f>
        <v>William Morris</v>
      </c>
    </row>
    <row r="10833" ht="15.75" customHeight="1">
      <c r="A10833" s="2" t="s">
        <v>10833</v>
      </c>
      <c r="B10833" s="2" t="str">
        <f>IFERROR(__xludf.DUMMYFUNCTION("GOOGLETRANSLATE(A10833, ""en"", ""mt"")"),"Għalkemm John Wesley oriġinarjament ried li l-Metodisti jibqgħu fil-Knisja ta 'l-Ingilterra, ir-Rivoluzzjoni Amerikana separati b'mod deċiżiv il-Metodisti fil-kolonji Amerikani mill-ħajja u s-sagramenti tal-Knisja Anglikana. Fl-1784, wara tentattivi li ma"&amp;" rnexxewx li l-Knisja tal-Ingilterra tibgħat isqof biex tibda knisja ġdida fil-kolonji, Wesley ħatar b’mod deċiżiv lil sħabu Thomas Coke bħala Supretendent (Isqof) biex jorganizza soċjetà Metodista separata. Flimkien ma 'Coke, Wesley bagħtet reviżjoni tat"&amp;"-talb Anglikan u l-Artikoli ta' Reliġjon li ġew riċevuti u adottati mill-Konferenza tal-Milied ta 'Baltimore tal-1784, li stabbilixxa uffiċjalment il-Knisja Episkopali Metodista. Il-konferenza saret fil-Knisja Metodista sabiħa tal-Lane, meqjusa bħala l-om"&amp;"m tal-Metodiżmu Amerikan.")</f>
        <v>Għalkemm John Wesley oriġinarjament ried li l-Metodisti jibqgħu fil-Knisja ta 'l-Ingilterra, ir-Rivoluzzjoni Amerikana separati b'mod deċiżiv il-Metodisti fil-kolonji Amerikani mill-ħajja u s-sagramenti tal-Knisja Anglikana. Fl-1784, wara tentattivi li ma rnexxewx li l-Knisja tal-Ingilterra tibgħat isqof biex tibda knisja ġdida fil-kolonji, Wesley ħatar b’mod deċiżiv lil sħabu Thomas Coke bħala Supretendent (Isqof) biex jorganizza soċjetà Metodista separata. Flimkien ma 'Coke, Wesley bagħtet reviżjoni tat-talb Anglikan u l-Artikoli ta' Reliġjon li ġew riċevuti u adottati mill-Konferenza tal-Milied ta 'Baltimore tal-1784, li stabbilixxa uffiċjalment il-Knisja Episkopali Metodista. Il-konferenza saret fil-Knisja Metodista sabiħa tal-Lane, meqjusa bħala l-omm tal-Metodiżmu Amerikan.</v>
      </c>
    </row>
    <row r="10834" ht="15.75" customHeight="1">
      <c r="A10834" s="2" t="s">
        <v>10834</v>
      </c>
      <c r="B10834" s="2" t="str">
        <f>IFERROR(__xludf.DUMMYFUNCTION("GOOGLETRANSLATE(A10834, ""en"", ""mt"")"),"Paramount Building fil-1501 Broadway f'Manhattan")</f>
        <v>Paramount Building fil-1501 Broadway f'Manhattan</v>
      </c>
    </row>
    <row r="10835" ht="15.75" customHeight="1">
      <c r="A10835" s="2" t="s">
        <v>10835</v>
      </c>
      <c r="B10835" s="2" t="str">
        <f>IFERROR(__xludf.DUMMYFUNCTION("GOOGLETRANSLATE(A10835, ""en"", ""mt"")"),"Agħmel pjanijiet dettaljati u żżomm sorveljanza bir-reqqa")</f>
        <v>Agħmel pjanijiet dettaljati u żżomm sorveljanza bir-reqqa</v>
      </c>
    </row>
    <row r="10836" ht="15.75" customHeight="1">
      <c r="A10836" s="2" t="s">
        <v>10836</v>
      </c>
      <c r="B10836" s="2" t="str">
        <f>IFERROR(__xludf.DUMMYFUNCTION("GOOGLETRANSLATE(A10836, ""en"", ""mt"")"),"Gospic, Imperu Awstrijak")</f>
        <v>Gospic, Imperu Awstrijak</v>
      </c>
    </row>
    <row r="10837" ht="15.75" customHeight="1">
      <c r="A10837" s="2" t="s">
        <v>10837</v>
      </c>
      <c r="B10837" s="2" t="str">
        <f>IFERROR(__xludf.DUMMYFUNCTION("GOOGLETRANSLATE(A10837, ""en"", ""mt"")"),"Flimkien ma 'l-isport u l-arti, x'inhu tip ta' borża ta 'talent?")</f>
        <v>Flimkien ma 'l-isport u l-arti, x'inhu tip ta' borża ta 'talent?</v>
      </c>
    </row>
    <row r="10838" ht="15.75" customHeight="1">
      <c r="A10838" s="2" t="s">
        <v>10838</v>
      </c>
      <c r="B10838" s="2" t="str">
        <f>IFERROR(__xludf.DUMMYFUNCTION("GOOGLETRANSLATE(A10838, ""en"", ""mt"")"),"Tard 19")</f>
        <v>Tard 19</v>
      </c>
    </row>
    <row r="10839" ht="15.75" customHeight="1">
      <c r="A10839" s="2" t="s">
        <v>10839</v>
      </c>
      <c r="B10839" s="2" t="str">
        <f>IFERROR(__xludf.DUMMYFUNCTION("GOOGLETRANSLATE(A10839, ""en"", ""mt"")"),"adattattiv")</f>
        <v>adattattiv</v>
      </c>
    </row>
    <row r="10840" ht="15.75" customHeight="1">
      <c r="A10840" s="2" t="s">
        <v>10840</v>
      </c>
      <c r="B10840" s="2" t="str">
        <f>IFERROR(__xludf.DUMMYFUNCTION("GOOGLETRANSLATE(A10840, ""en"", ""mt"")"),"Min ħabbat Carolina fir-rawnd diviżjonali?")</f>
        <v>Min ħabbat Carolina fir-rawnd diviżjonali?</v>
      </c>
    </row>
    <row r="10841" ht="15.75" customHeight="1">
      <c r="A10841" s="2" t="s">
        <v>10841</v>
      </c>
      <c r="B10841" s="2" t="str">
        <f>IFERROR(__xludf.DUMMYFUNCTION("GOOGLETRANSLATE(A10841, ""en"", ""mt"")"),"Meta sar il-kalendarju ta 'Gou l-kalendarju uffiċjali tal-Yuan?")</f>
        <v>Meta sar il-kalendarju ta 'Gou l-kalendarju uffiċjali tal-Yuan?</v>
      </c>
    </row>
    <row r="10842" ht="15.75" customHeight="1">
      <c r="A10842" s="2" t="s">
        <v>10842</v>
      </c>
      <c r="B10842" s="2" t="str">
        <f>IFERROR(__xludf.DUMMYFUNCTION("GOOGLETRANSLATE(A10842, ""en"", ""mt"")"),"Norseman, Viking")</f>
        <v>Norseman, Viking</v>
      </c>
    </row>
    <row r="10843" ht="15.75" customHeight="1">
      <c r="A10843" s="2" t="s">
        <v>10843</v>
      </c>
      <c r="B10843" s="2" t="str">
        <f>IFERROR(__xludf.DUMMYFUNCTION("GOOGLETRANSLATE(A10843, ""en"", ""mt"")"),"Il-ġnien tas-Sassonu, li jkopri l-erja ta ’15 .5 ettaru, kien formalment ġnien irjali. Hemm aktar minn 100 speċi differenti ta 'siġar u t-toroq huma post fejn joqogħdu u jirrilassaw. Fit-tarf tal-lvant tal-park, jinsab il-qabar tas-suldat mhux magħruf. Fi"&amp;"s-seklu 19 il-ġnien tal-Palazz Krasiński ġie mibdul mill-ġdid minn Franciszek Szanior. Fiż-żona ċentrali tal-park wieħed xorta jista 'jsib siġar qodma li jmorru minn dak il-perjodu: siġra tal-maidenhair, ġewż iswed, ġellewża Torka u siġar tal-ġwienaħ Kawk"&amp;"asi. Bil-bankijiet tagħha, twapet tal-fjuri, għadira bil-papri u bitħa għat-tfal, il-ġnien tal-palazz Krasiński huwa destinazzjoni popolari għall-varsovians. Il-monument tar-rewwixta tal-ghetto ta 'Varsavja jinsab ukoll hawn. Il-park łazienki jkopri l-erj"&amp;"a ta '76 ettaru. Il-karattru u l-istorja uniċi tal-park huma riflessi fl-arkitettura tal-pajsaġġ tiegħu (pavaljuni, skulturi, pontijiet, kaskati, għadajjar) u veġetazzjoni (speċi domestiċi u barranin ta 'siġar u arbuxxelli). Dak li jagħmel dan il-park dif"&amp;"ferenti minn spazji ħodor oħra f'Varsavja huwa l-preżenza ta 'paguni u faġani, li jistgħu jidhru hawn mixi liberament, u carps rjali fl-għadira. Il-Park tal-Palazz Wilanów, imur lura għat-tieni nofs tas-seklu 17. Ikopri l-erja ta '43 ha. Iż-żona ċentrali "&amp;"tagħha ta 'stil Franċiż tikkorrispondi għall-forom barokki tal-qedem tal-palazz. Is-sezzjoni tal-Lvant tal-park, l-eqreb lejn il-palazz, hija l-ġnien b'żewġ livelli bi terrazzin li jħares lejn l-għadira. Il-park madwar il-Palazz tal-Królikania jinsab fuq "&amp;"l-escarpment il-qadim tal-Vistula. Il-park għandu karreġġjati li jiġru fuq ftit livelli fil-fond fir-ravini fuq iż-żewġ naħat tal-palazz.")</f>
        <v>Il-ġnien tas-Sassonu, li jkopri l-erja ta ’15 .5 ettaru, kien formalment ġnien irjali. Hemm aktar minn 100 speċi differenti ta 'siġar u t-toroq huma post fejn joqogħdu u jirrilassaw. Fit-tarf tal-lvant tal-park, jinsab il-qabar tas-suldat mhux magħruf. Fis-seklu 19 il-ġnien tal-Palazz Krasiński ġie mibdul mill-ġdid minn Franciszek Szanior. Fiż-żona ċentrali tal-park wieħed xorta jista 'jsib siġar qodma li jmorru minn dak il-perjodu: siġra tal-maidenhair, ġewż iswed, ġellewża Torka u siġar tal-ġwienaħ Kawkasi. Bil-bankijiet tagħha, twapet tal-fjuri, għadira bil-papri u bitħa għat-tfal, il-ġnien tal-palazz Krasiński huwa destinazzjoni popolari għall-varsovians. Il-monument tar-rewwixta tal-ghetto ta 'Varsavja jinsab ukoll hawn. Il-park łazienki jkopri l-erja ta '76 ettaru. Il-karattru u l-istorja uniċi tal-park huma riflessi fl-arkitettura tal-pajsaġġ tiegħu (pavaljuni, skulturi, pontijiet, kaskati, għadajjar) u veġetazzjoni (speċi domestiċi u barranin ta 'siġar u arbuxxelli). Dak li jagħmel dan il-park differenti minn spazji ħodor oħra f'Varsavja huwa l-preżenza ta 'paguni u faġani, li jistgħu jidhru hawn mixi liberament, u carps rjali fl-għadira. Il-Park tal-Palazz Wilanów, imur lura għat-tieni nofs tas-seklu 17. Ikopri l-erja ta '43 ha. Iż-żona ċentrali tagħha ta 'stil Franċiż tikkorrispondi għall-forom barokki tal-qedem tal-palazz. Is-sezzjoni tal-Lvant tal-park, l-eqreb lejn il-palazz, hija l-ġnien b'żewġ livelli bi terrazzin li jħares lejn l-għadira. Il-park madwar il-Palazz tal-Królikania jinsab fuq l-escarpment il-qadim tal-Vistula. Il-park għandu karreġġjati li jiġru fuq ftit livelli fil-fond fir-ravini fuq iż-żewġ naħat tal-palazz.</v>
      </c>
    </row>
    <row r="10844" ht="15.75" customHeight="1">
      <c r="A10844" s="2" t="s">
        <v>10844</v>
      </c>
      <c r="B10844" s="2" t="str">
        <f>IFERROR(__xludf.DUMMYFUNCTION("GOOGLETRANSLATE(A10844, ""en"", ""mt"")"),"F'impjant ta 'l-enerġija nukleari, x'inhi t-turbina tal-fwar konnessa magħha?")</f>
        <v>F'impjant ta 'l-enerġija nukleari, x'inhi t-turbina tal-fwar konnessa magħha?</v>
      </c>
    </row>
    <row r="10845" ht="15.75" customHeight="1">
      <c r="A10845" s="2" t="s">
        <v>10845</v>
      </c>
      <c r="B10845" s="2" t="str">
        <f>IFERROR(__xludf.DUMMYFUNCTION("GOOGLETRANSLATE(A10845, ""en"", ""mt"")"),"patoġen speċifiku")</f>
        <v>patoġen speċifiku</v>
      </c>
    </row>
    <row r="10846" ht="15.75" customHeight="1">
      <c r="A10846" s="2" t="s">
        <v>10846</v>
      </c>
      <c r="B10846" s="2" t="str">
        <f>IFERROR(__xludf.DUMMYFUNCTION("GOOGLETRANSLATE(A10846, ""en"", ""mt"")"),"Bil-ftuħ tal-galleriji ta 'skultura ta' Dorothy u Michael Hintze fl-2006 ġie deċiż li tiġi estiża l-kronoloġija tax-xogħlijiet li juru sal-1950; Dan kien jinvolvi self minn mużewijiet oħra, inkluż Tate Britain, u għalhekk jaħdem minn Henry Moore u Jacob E"&amp;"pstein flimkien ma 'kontemporanji oħra tagħhom issa qegħdin jidhru. Dawn il-galleriji jikkonċentraw fuq xogħlijiet datati mill-1600 sal-1950 minn skulturi Ingliżi, xogħlijiet minn skulturi kontinentali li ħadmu fil-Gran Brittanja, u xogħlijiet mixtrija mi"&amp;"nn patruni Brittaniċi mill-iskulturi kontinentali, bħalma huma t-Tesovja Canova u l-Minotawru. Il-galleriji li jħarsu l-ġnien huma rranġati bit-tema, skultura tal-qabar, ritratt, skultura tal-ġnien u mitoloġija. Imbagħad hemm sezzjoni li tkopri skultura t"&amp;"ard tas-seklu 19 u skultura tal-bidu tas-seklu 20, dan jinkludi xogħol minn Rodin u skulturi oħra Franċiżi bħal Dalou li qatta 'bosta snin fil-Gran Brittanja fejn għallem skultura.")</f>
        <v>Bil-ftuħ tal-galleriji ta 'skultura ta' Dorothy u Michael Hintze fl-2006 ġie deċiż li tiġi estiża l-kronoloġija tax-xogħlijiet li juru sal-1950; Dan kien jinvolvi self minn mużewijiet oħra, inkluż Tate Britain, u għalhekk jaħdem minn Henry Moore u Jacob Epstein flimkien ma 'kontemporanji oħra tagħhom issa qegħdin jidhru. Dawn il-galleriji jikkonċentraw fuq xogħlijiet datati mill-1600 sal-1950 minn skulturi Ingliżi, xogħlijiet minn skulturi kontinentali li ħadmu fil-Gran Brittanja, u xogħlijiet mixtrija minn patruni Brittaniċi mill-iskulturi kontinentali, bħalma huma t-Tesovja Canova u l-Minotawru. Il-galleriji li jħarsu l-ġnien huma rranġati bit-tema, skultura tal-qabar, ritratt, skultura tal-ġnien u mitoloġija. Imbagħad hemm sezzjoni li tkopri skultura tard tas-seklu 19 u skultura tal-bidu tas-seklu 20, dan jinkludi xogħol minn Rodin u skulturi oħra Franċiżi bħal Dalou li qatta 'bosta snin fil-Gran Brittanja fejn għallem skultura.</v>
      </c>
    </row>
    <row r="10847" ht="15.75" customHeight="1">
      <c r="A10847" s="2" t="s">
        <v>10847</v>
      </c>
      <c r="B10847" s="2" t="str">
        <f>IFERROR(__xludf.DUMMYFUNCTION("GOOGLETRANSLATE(A10847, ""en"", ""mt"")"),"Meta kienet it-tieni kriżi taż-żejt?")</f>
        <v>Meta kienet it-tieni kriżi taż-żejt?</v>
      </c>
    </row>
    <row r="10848" ht="15.75" customHeight="1">
      <c r="A10848" s="2" t="s">
        <v>10848</v>
      </c>
      <c r="B10848" s="2" t="str">
        <f>IFERROR(__xludf.DUMMYFUNCTION("GOOGLETRANSLATE(A10848, ""en"", ""mt"")"),"Liema kunsilli jassenjaw kompiti lill-IPCC?")</f>
        <v>Liema kunsilli jassenjaw kompiti lill-IPCC?</v>
      </c>
    </row>
    <row r="10849" ht="15.75" customHeight="1">
      <c r="A10849" s="2" t="s">
        <v>10849</v>
      </c>
      <c r="B10849" s="2" t="str">
        <f>IFERROR(__xludf.DUMMYFUNCTION("GOOGLETRANSLATE(A10849, ""en"", ""mt"")"),"Fejn Tesla marret titlaq minn Gospic?")</f>
        <v>Fejn Tesla marret titlaq minn Gospic?</v>
      </c>
    </row>
    <row r="10850" ht="15.75" customHeight="1">
      <c r="A10850" s="2" t="s">
        <v>10850</v>
      </c>
      <c r="B10850" s="2" t="str">
        <f>IFERROR(__xludf.DUMMYFUNCTION("GOOGLETRANSLATE(A10850, ""en"", ""mt"")"),"Il-familja medja tal-garnizon tal-Mongolja tad-dinastija Yuan tidher li għexet ħajja ta 'divertiment rurali li qed titmermer, bi dħul mill-ħsad tal-kerrejja Ċiniżi tagħhom li jittieklu mill-ispejjeż tat-tagħmir u l-ispedizzjoni tal-irġiel għat-tours tad-d"&amp;"mir tagħhom. Il-Mongoli pprattikaw l-iskjavitù tad-dejn, u sal-1290 fil-partijiet kollha tal-Imperu Mongolja li kienu jbigħu lil uliedhom fl-iskjavitù. Meta jara dan bħala li jagħmel ħsara għan-nazzjon Mongol, Kublai fl-1291 ipprojbixxa l-bejgħ barra mill"&amp;"-pajjiż tal-Mongoli. Kublai xtaq jipperswadi liċ-Ċiniżi li kien qed isir dejjem aktar siniċizzat waqt li żamm il-kredenzjali Mongoljani tiegħu man-nies tiegħu stess. Huwa waqqaf amministrazzjoni ċivili biex tiddeċiedi, bena kapital fiċ-Ċina, appoġġa reliġ"&amp;"jonijiet u kultura Ċiniżi, u fassal istituzzjonijiet ekonomiċi u politiċi xierqa għall-qorti. Iżda fl-istess ħin huwa qatt ma abbanduna l-wirt Mongoljan tiegħu.")</f>
        <v>Il-familja medja tal-garnizon tal-Mongolja tad-dinastija Yuan tidher li għexet ħajja ta 'divertiment rurali li qed titmermer, bi dħul mill-ħsad tal-kerrejja Ċiniżi tagħhom li jittieklu mill-ispejjeż tat-tagħmir u l-ispedizzjoni tal-irġiel għat-tours tad-dmir tagħhom. Il-Mongoli pprattikaw l-iskjavitù tad-dejn, u sal-1290 fil-partijiet kollha tal-Imperu Mongolja li kienu jbigħu lil uliedhom fl-iskjavitù. Meta jara dan bħala li jagħmel ħsara għan-nazzjon Mongol, Kublai fl-1291 ipprojbixxa l-bejgħ barra mill-pajjiż tal-Mongoli. Kublai xtaq jipperswadi liċ-Ċiniżi li kien qed isir dejjem aktar siniċizzat waqt li żamm il-kredenzjali Mongoljani tiegħu man-nies tiegħu stess. Huwa waqqaf amministrazzjoni ċivili biex tiddeċiedi, bena kapital fiċ-Ċina, appoġġa reliġjonijiet u kultura Ċiniżi, u fassal istituzzjonijiet ekonomiċi u politiċi xierqa għall-qorti. Iżda fl-istess ħin huwa qatt ma abbanduna l-wirt Mongoljan tiegħu.</v>
      </c>
    </row>
    <row r="10851" ht="15.75" customHeight="1">
      <c r="A10851" s="2" t="s">
        <v>10851</v>
      </c>
      <c r="B10851" s="2" t="str">
        <f>IFERROR(__xludf.DUMMYFUNCTION("GOOGLETRANSLATE(A10851, ""en"", ""mt"")"),"4 ta ’Awwissu 1915 sa Novembru 1918")</f>
        <v>4 ta ’Awwissu 1915 sa Novembru 1918</v>
      </c>
    </row>
    <row r="10852" ht="15.75" customHeight="1">
      <c r="A10852" s="2" t="s">
        <v>10852</v>
      </c>
      <c r="B10852" s="2" t="str">
        <f>IFERROR(__xludf.DUMMYFUNCTION("GOOGLETRANSLATE(A10852, ""en"", ""mt"")"),"EA, kafè, sisal, piretru, qamħ, u qamħ")</f>
        <v>EA, kafè, sisal, piretru, qamħ, u qamħ</v>
      </c>
    </row>
    <row r="10853" ht="15.75" customHeight="1">
      <c r="A10853" s="2" t="s">
        <v>10853</v>
      </c>
      <c r="B10853" s="2" t="str">
        <f>IFERROR(__xludf.DUMMYFUNCTION("GOOGLETRANSLATE(A10853, ""en"", ""mt"")"),"Cyanobacterium fotosintetiku")</f>
        <v>Cyanobacterium fotosintetiku</v>
      </c>
    </row>
    <row r="10854" ht="15.75" customHeight="1">
      <c r="A10854" s="2" t="s">
        <v>10854</v>
      </c>
      <c r="B10854" s="2" t="str">
        <f>IFERROR(__xludf.DUMMYFUNCTION("GOOGLETRANSLATE(A10854, ""en"", ""mt"")"),"Il-messaġġ / dejta oriġinali hija mmuntata mill-ġdid fl-ordni t-tajba")</f>
        <v>Il-messaġġ / dejta oriġinali hija mmuntata mill-ġdid fl-ordni t-tajba</v>
      </c>
    </row>
    <row r="10855" ht="15.75" customHeight="1">
      <c r="A10855" s="2" t="s">
        <v>10855</v>
      </c>
      <c r="B10855" s="2" t="str">
        <f>IFERROR(__xludf.DUMMYFUNCTION("GOOGLETRANSLATE(A10855, ""en"", ""mt"")"),"Liema serje għandu attur jagħmel impressjoni tar-raba 'tabib?")</f>
        <v>Liema serje għandu attur jagħmel impressjoni tar-raba 'tabib?</v>
      </c>
    </row>
    <row r="10856" ht="15.75" customHeight="1">
      <c r="A10856" s="2" t="s">
        <v>10856</v>
      </c>
      <c r="B10856" s="2" t="str">
        <f>IFERROR(__xludf.DUMMYFUNCTION("GOOGLETRANSLATE(A10856, ""en"", ""mt"")"),"Filwaqt li l-Kummissjoni għandha monopolju fuq il-bidu tal-leġislazzjoni, il-Parlament Ewropew u l-Kunsill tal-Unjoni Ewropea għandhom setgħat ta 'emenda u veto matul il-proċess leġiżlattiv. Skond it-Trattat dwar l-Artikoli tal-Unjoni Ewropea 9 u 10, l-UE"&amp;" tosserva ""l-prinċipju ta 'l-ugwaljanza taċ-ċittadini tagħha"" u hija maħsuba biex tkun ibbażata fuq ""demokrazija rappreżentattiva"". Fil-prattika, l-ugwaljanza u d-demokrazija huma defiċjenti minħabba li r-rappreżentanti eletti fil-Parlament ma jistgħu"&amp;"x jibdew leġislazzjoni kontra x-xewqat tal-kummissjoni, iċ-ċittadini tal-iżgħar pajjiżi għandhom għaxar darbiet il-piż tal-vot fil-parlament bħala ċittadini tal-akbar pajjiżi, u ""maġġoranza kwalifikata"" jew kunsens ta ' Il-kunsill huwa mitlub jilleġiżla"&amp;". Il-ġustifikazzjoni għal dan id- ""defiċit demokratiku"" taħt it-trattati ġeneralment huwa maħsub li l-integrazzjoni tat-tlestija tal-ekonomija u l-istituzzjonijiet politiċi Ewropej kienet teħtieġ il-koordinazzjoni teknika tal-esperti, filwaqt li l-għarf"&amp;"ien popolari tal-UE żviluppa u s-sentimenti nazzjonalisti naqas wara l-gwerra. Maż-żmien, dan kien ifisser li l-Parlament gradwalment assuma aktar vuċi: milli jkun assemblea mhux eletta, għall-ewwel elezzjonijiet diretti tiegħu fl-1979, għal dejjem aktar "&amp;"aktar drittijiet fil-proċess leġiżlattiv. Id-drittijiet taċ-ċittadini huma għalhekk limitati meta mqabbla mal-politiki demokratiċi fl-Istati Membri Ewropej kollha: Taħt l-Artikolu 11 tat-TEU, iċ-ċittadini u l-assoċjazzjonijiet għandhom id-drittijiet bħall"&amp;"-pubbliċità tal-fehmiet tagħhom u jissottomettu inizjattiva li għandha tiġi kkunsidrata mill-Kummissjoni b'miljun firma. L-Artikolu 227 tat-TFEU fih dritt ieħor għaċ-ċittadini biex jitolbu lill-Parlament dwar kwistjonijiet li jaffettwawhom. L-elezzjonijie"&amp;"t tal-Parlament, iseħħu kull ħames snin, u l-voti għall-membri tal-Parlament Ewropew fl-Istati Membri għandhom jiġu organizzati permezz ta 'rappreżentanza proporzjonali jew vot trasferibbli wieħed. Hemm 750 mep u n-numri tagħhom huma ""proporzjonalment de"&amp;"gressivament"" skond id-daqs tal-istat membru. Dan ifisser - għalkemm il-kunsill huwa maħsub biex ikun il-korp li jirrappreżenta l-istati membri - fiċ-ċittadini tal-Parlament ta 'stati membri iżgħar għandhom aktar vuċi minn ċittadini fi stati membri akbar"&amp;". Il-MEPS jaqsmu, bħalma jagħmlu fil-parlamenti nazzjonali, fuq linji tal-partit politiku: il-Partit Konservattiv tal-Poplu Ewropew bħalissa huwa l-akbar, u l-Partit tas-Soċjalisti Ewropej imexxi l-oppożizzjoni. Il-Partijiet ma jirċevux fondi pubbliċi mil"&amp;"l-UE, peress li l-Qorti tal-Ġustizzja li saret fil-Parlament tal-Parti ""Les Verts"" v li din kienet kwistjoni kompletament biex tkun regolata mill-Istati Membri. Il-poteri tal-Parlament jinkludu li jsejħu inkjesti dwar amministrazzjoni ħażina jew jaħtru "&amp;"ombudsman sakemm issir xi proċeduri tal-qorti. Jista 'jirrikjedi li l-kummissjoni tirrispondi għall-mistoqsijiet u b'maġġoranza ta' żewġ terzi tista 'tiċċensura l-kummissjoni kollha (kif ġara lill-Kummissjoni Santer fl-1999). F’xi każijiet, il-Parlament g"&amp;"ħandu drittijiet ta ’konsultazzjoni espliċiti, li l-Kummissjoni għandha ssegwi ġenwinament. Madankollu l-parteċipazzjoni tar-rwol tagħha fil-proċess leġiżlattiv għadha limitata għax l-ebda membru ma jista 'effettivament jew jgħaddi leġislazzjoni mingħajr "&amp;"il-kummissjoni u l-kunsill, li jfisser li l-poter (""kratia"") mhuwiex f'idejn ir-rappreżentanti eletti direttament tan-nies (""demos""): Fl-UE għadu mhux veru li ""l-amministrazzjoni tinsab f'idejn il-ħafna u mhux tal-ftit.""")</f>
        <v>Filwaqt li l-Kummissjoni għandha monopolju fuq il-bidu tal-leġislazzjoni, il-Parlament Ewropew u l-Kunsill tal-Unjoni Ewropea għandhom setgħat ta 'emenda u veto matul il-proċess leġiżlattiv. Skond it-Trattat dwar l-Artikoli tal-Unjoni Ewropea 9 u 10, l-UE tosserva "l-prinċipju ta 'l-ugwaljanza taċ-ċittadini tagħha" u hija maħsuba biex tkun ibbażata fuq "demokrazija rappreżentattiva". Fil-prattika, l-ugwaljanza u d-demokrazija huma defiċjenti minħabba li r-rappreżentanti eletti fil-Parlament ma jistgħux jibdew leġislazzjoni kontra x-xewqat tal-kummissjoni, iċ-ċittadini tal-iżgħar pajjiżi għandhom għaxar darbiet il-piż tal-vot fil-parlament bħala ċittadini tal-akbar pajjiżi, u "maġġoranza kwalifikata" jew kunsens ta ' Il-kunsill huwa mitlub jilleġiżla. Il-ġustifikazzjoni għal dan id- "defiċit demokratiku" taħt it-trattati ġeneralment huwa maħsub li l-integrazzjoni tat-tlestija tal-ekonomija u l-istituzzjonijiet politiċi Ewropej kienet teħtieġ il-koordinazzjoni teknika tal-esperti, filwaqt li l-għarfien popolari tal-UE żviluppa u s-sentimenti nazzjonalisti naqas wara l-gwerra. Maż-żmien, dan kien ifisser li l-Parlament gradwalment assuma aktar vuċi: milli jkun assemblea mhux eletta, għall-ewwel elezzjonijiet diretti tiegħu fl-1979, għal dejjem aktar aktar drittijiet fil-proċess leġiżlattiv. Id-drittijiet taċ-ċittadini huma għalhekk limitati meta mqabbla mal-politiki demokratiċi fl-Istati Membri Ewropej kollha: Taħt l-Artikolu 11 tat-TEU, iċ-ċittadini u l-assoċjazzjonijiet għandhom id-drittijiet bħall-pubbliċità tal-fehmiet tagħhom u jissottomettu inizjattiva li għandha tiġi kkunsidrata mill-Kummissjoni b'miljun firma. L-Artikolu 227 tat-TFEU fih dritt ieħor għaċ-ċittadini biex jitolbu lill-Parlament dwar kwistjonijiet li jaffettwawhom. L-elezzjonijiet tal-Parlament, iseħħu kull ħames snin, u l-voti għall-membri tal-Parlament Ewropew fl-Istati Membri għandhom jiġu organizzati permezz ta 'rappreżentanza proporzjonali jew vot trasferibbli wieħed. Hemm 750 mep u n-numri tagħhom huma "proporzjonalment degressivament" skond id-daqs tal-istat membru. Dan ifisser - għalkemm il-kunsill huwa maħsub biex ikun il-korp li jirrappreżenta l-istati membri - fiċ-ċittadini tal-Parlament ta 'stati membri iżgħar għandhom aktar vuċi minn ċittadini fi stati membri akbar. Il-MEPS jaqsmu, bħalma jagħmlu fil-parlamenti nazzjonali, fuq linji tal-partit politiku: il-Partit Konservattiv tal-Poplu Ewropew bħalissa huwa l-akbar, u l-Partit tas-Soċjalisti Ewropej imexxi l-oppożizzjoni. Il-Partijiet ma jirċevux fondi pubbliċi mill-UE, peress li l-Qorti tal-Ġustizzja li saret fil-Parlament tal-Parti "Les Verts" v li din kienet kwistjoni kompletament biex tkun regolata mill-Istati Membri. Il-poteri tal-Parlament jinkludu li jsejħu inkjesti dwar amministrazzjoni ħażina jew jaħtru ombudsman sakemm issir xi proċeduri tal-qorti. Jista 'jirrikjedi li l-kummissjoni tirrispondi għall-mistoqsijiet u b'maġġoranza ta' żewġ terzi tista 'tiċċensura l-kummissjoni kollha (kif ġara lill-Kummissjoni Santer fl-1999). F’xi każijiet, il-Parlament għandu drittijiet ta ’konsultazzjoni espliċiti, li l-Kummissjoni għandha ssegwi ġenwinament. Madankollu l-parteċipazzjoni tar-rwol tagħha fil-proċess leġiżlattiv għadha limitata għax l-ebda membru ma jista 'effettivament jew jgħaddi leġislazzjoni mingħajr il-kummissjoni u l-kunsill, li jfisser li l-poter ("kratia") mhuwiex f'idejn ir-rappreżentanti eletti direttament tan-nies ("demos"): Fl-UE għadu mhux veru li "l-amministrazzjoni tinsab f'idejn il-ħafna u mhux tal-ftit."</v>
      </c>
    </row>
    <row r="10857" ht="15.75" customHeight="1">
      <c r="A10857" s="2" t="s">
        <v>10857</v>
      </c>
      <c r="B10857" s="2" t="str">
        <f>IFERROR(__xludf.DUMMYFUNCTION("GOOGLETRANSLATE(A10857, ""en"", ""mt"")"),"19.3%")</f>
        <v>19.3%</v>
      </c>
    </row>
    <row r="10858" ht="15.75" customHeight="1">
      <c r="A10858" s="2" t="s">
        <v>10858</v>
      </c>
      <c r="B10858" s="2" t="str">
        <f>IFERROR(__xludf.DUMMYFUNCTION("GOOGLETRANSLATE(A10858, ""en"", ""mt"")"),"X’kienu l-pjanijiet Ingliżi kontra l-Franċiż?")</f>
        <v>X’kienu l-pjanijiet Ingliżi kontra l-Franċiż?</v>
      </c>
    </row>
    <row r="10859" ht="15.75" customHeight="1">
      <c r="A10859" s="2" t="s">
        <v>10859</v>
      </c>
      <c r="B10859" s="2" t="str">
        <f>IFERROR(__xludf.DUMMYFUNCTION("GOOGLETRANSLATE(A10859, ""en"", ""mt"")"),"Il-kittieb tal-iskritt għall-ispeċjal kompla jkollu liema rwol fis-serje Doctor Who riveduta?")</f>
        <v>Il-kittieb tal-iskritt għall-ispeċjal kompla jkollu liema rwol fis-serje Doctor Who riveduta?</v>
      </c>
    </row>
    <row r="10860" ht="15.75" customHeight="1">
      <c r="A10860" s="2" t="s">
        <v>10860</v>
      </c>
      <c r="B10860" s="2" t="str">
        <f>IFERROR(__xludf.DUMMYFUNCTION("GOOGLETRANSLATE(A10860, ""en"", ""mt"")"),"William MacLure")</f>
        <v>William MacLure</v>
      </c>
    </row>
    <row r="10861" ht="15.75" customHeight="1">
      <c r="A10861" s="2" t="s">
        <v>10861</v>
      </c>
      <c r="B10861" s="2" t="str">
        <f>IFERROR(__xludf.DUMMYFUNCTION("GOOGLETRANSLATE(A10861, ""en"", ""mt"")"),"Appoġġ miċ-Ċina għal ferrovija ppjanata ta '$ 2.5 biljun mill-port tan-Nofsinhar tal-Kenja ta' Mombasa sal-Uganda ġirien")</f>
        <v>Appoġġ miċ-Ċina għal ferrovija ppjanata ta '$ 2.5 biljun mill-port tan-Nofsinhar tal-Kenja ta' Mombasa sal-Uganda ġirien</v>
      </c>
    </row>
    <row r="10862" ht="15.75" customHeight="1">
      <c r="A10862" s="2" t="s">
        <v>10862</v>
      </c>
      <c r="B10862" s="2" t="str">
        <f>IFERROR(__xludf.DUMMYFUNCTION("GOOGLETRANSLATE(A10862, ""en"", ""mt"")"),"Indipendenza Skoċċiża")</f>
        <v>Indipendenza Skoċċiża</v>
      </c>
    </row>
    <row r="10863" ht="15.75" customHeight="1">
      <c r="A10863" s="2" t="s">
        <v>10863</v>
      </c>
      <c r="B10863" s="2" t="str">
        <f>IFERROR(__xludf.DUMMYFUNCTION("GOOGLETRANSLATE(A10863, ""en"", ""mt"")"),"dgħajjef ħafna")</f>
        <v>dgħajjef ħafna</v>
      </c>
    </row>
    <row r="10864" ht="15.75" customHeight="1">
      <c r="A10864" s="2" t="s">
        <v>10864</v>
      </c>
      <c r="B10864" s="2" t="str">
        <f>IFERROR(__xludf.DUMMYFUNCTION("GOOGLETRANSLATE(A10864, ""en"", ""mt"")"),"X'inhu l-proporzjon power-to-piż ta 'impjant tal-fwar meta mqabbel ma' dak ta 'magna ta' kombustjoni interna?")</f>
        <v>X'inhu l-proporzjon power-to-piż ta 'impjant tal-fwar meta mqabbel ma' dak ta 'magna ta' kombustjoni interna?</v>
      </c>
    </row>
    <row r="10865" ht="15.75" customHeight="1">
      <c r="A10865" s="2" t="s">
        <v>10865</v>
      </c>
      <c r="B10865" s="2" t="str">
        <f>IFERROR(__xludf.DUMMYFUNCTION("GOOGLETRANSLATE(A10865, ""en"", ""mt"")"),"Min irreġistra verżjoni tat-tema tad-Doctor Who bil-lirika mitkellma fis-snin sebgħin?")</f>
        <v>Min irreġistra verżjoni tat-tema tad-Doctor Who bil-lirika mitkellma fis-snin sebgħin?</v>
      </c>
    </row>
    <row r="10866" ht="15.75" customHeight="1">
      <c r="A10866" s="2" t="s">
        <v>10866</v>
      </c>
      <c r="B10866" s="2" t="str">
        <f>IFERROR(__xludf.DUMMYFUNCTION("GOOGLETRANSLATE(A10866, ""en"", ""mt"")"),"Wernher von Braun")</f>
        <v>Wernher von Braun</v>
      </c>
    </row>
    <row r="10867" ht="15.75" customHeight="1">
      <c r="A10867" s="2" t="s">
        <v>10867</v>
      </c>
      <c r="B10867" s="2" t="str">
        <f>IFERROR(__xludf.DUMMYFUNCTION("GOOGLETRANSLATE(A10867, ""en"", ""mt"")"),"Madwar nofs it-300,000 abitant ta 'Napli")</f>
        <v>Madwar nofs it-300,000 abitant ta 'Napli</v>
      </c>
    </row>
    <row r="10868" ht="15.75" customHeight="1">
      <c r="A10868" s="2" t="s">
        <v>10868</v>
      </c>
      <c r="B10868" s="2" t="str">
        <f>IFERROR(__xludf.DUMMYFUNCTION("GOOGLETRANSLATE(A10868, ""en"", ""mt"")"),"X'kien l-ivvjaġġar tas-sema aktar tard mill-ġdid?")</f>
        <v>X'kien l-ivvjaġġar tas-sema aktar tard mill-ġdid?</v>
      </c>
    </row>
    <row r="10869" ht="15.75" customHeight="1">
      <c r="A10869" s="2" t="s">
        <v>10869</v>
      </c>
      <c r="B10869" s="2" t="str">
        <f>IFERROR(__xludf.DUMMYFUNCTION("GOOGLETRANSLATE(A10869, ""en"", ""mt"")"),"Universal ħallas għall-ħajja sigrieta tal-annimali domestiċi u liema karru ieħor tal-films?")</f>
        <v>Universal ħallas għall-ħajja sigrieta tal-annimali domestiċi u liema karru ieħor tal-films?</v>
      </c>
    </row>
    <row r="10870" ht="15.75" customHeight="1">
      <c r="A10870" s="2" t="s">
        <v>10870</v>
      </c>
      <c r="B10870" s="2" t="str">
        <f>IFERROR(__xludf.DUMMYFUNCTION("GOOGLETRANSLATE(A10870, ""en"", ""mt"")"),"BBC HD")</f>
        <v>BBC HD</v>
      </c>
    </row>
    <row r="10871" ht="15.75" customHeight="1">
      <c r="A10871" s="2" t="s">
        <v>10871</v>
      </c>
      <c r="B10871" s="2" t="str">
        <f>IFERROR(__xludf.DUMMYFUNCTION("GOOGLETRANSLATE(A10871, ""en"", ""mt"")"),"Xmara Trout")</f>
        <v>Xmara Trout</v>
      </c>
    </row>
    <row r="10872" ht="15.75" customHeight="1">
      <c r="A10872" s="2" t="s">
        <v>10872</v>
      </c>
      <c r="B10872" s="2" t="str">
        <f>IFERROR(__xludf.DUMMYFUNCTION("GOOGLETRANSLATE(A10872, ""en"", ""mt"")"),"7 sa 10 fil-mija")</f>
        <v>7 sa 10 fil-mija</v>
      </c>
    </row>
    <row r="10873" ht="15.75" customHeight="1">
      <c r="A10873" s="2" t="s">
        <v>10873</v>
      </c>
      <c r="B10873" s="2" t="str">
        <f>IFERROR(__xludf.DUMMYFUNCTION("GOOGLETRANSLATE(A10873, ""en"", ""mt"")"),"Fl-1893, min rebaħ l-offerta biex jixgħel l-Espożizzjoni Kolumbjana tad-Dinja?")</f>
        <v>Fl-1893, min rebaħ l-offerta biex jixgħel l-Espożizzjoni Kolumbjana tad-Dinja?</v>
      </c>
    </row>
    <row r="10874" ht="15.75" customHeight="1">
      <c r="A10874" s="2" t="s">
        <v>10874</v>
      </c>
      <c r="B10874" s="2" t="str">
        <f>IFERROR(__xludf.DUMMYFUNCTION("GOOGLETRANSLATE(A10874, ""en"", ""mt"")"),"Meta ġie skopert li n-numri ewlenin jistgħu jiġu applikati għall-ħolqien ta 'algoritmi ta' kriptografija ewlenija?")</f>
        <v>Meta ġie skopert li n-numri ewlenin jistgħu jiġu applikati għall-ħolqien ta 'algoritmi ta' kriptografija ewlenija?</v>
      </c>
    </row>
    <row r="10875" ht="15.75" customHeight="1">
      <c r="A10875" s="2" t="s">
        <v>10875</v>
      </c>
      <c r="B10875" s="2" t="str">
        <f>IFERROR(__xludf.DUMMYFUNCTION("GOOGLETRANSLATE(A10875, ""en"", ""mt"")"),"X'inhu l-proċess li tinbidel id-dawl f'enerġija kimika?")</f>
        <v>X'inhu l-proċess li tinbidel id-dawl f'enerġija kimika?</v>
      </c>
    </row>
    <row r="10876" ht="15.75" customHeight="1">
      <c r="A10876" s="2" t="s">
        <v>10876</v>
      </c>
      <c r="B10876" s="2" t="str">
        <f>IFERROR(__xludf.DUMMYFUNCTION("GOOGLETRANSLATE(A10876, ""en"", ""mt"")"),"X'tip ta 'għanijiet ġeneralment isiru l-liġi?")</f>
        <v>X'tip ta 'għanijiet ġeneralment isiru l-liġi?</v>
      </c>
    </row>
    <row r="10877" ht="15.75" customHeight="1">
      <c r="A10877" s="2" t="s">
        <v>10877</v>
      </c>
      <c r="B10877" s="2" t="str">
        <f>IFERROR(__xludf.DUMMYFUNCTION("GOOGLETRANSLATE(A10877, ""en"", ""mt"")"),"Ikkastiga lill-Kristjani minn Alla")</f>
        <v>Ikkastiga lill-Kristjani minn Alla</v>
      </c>
    </row>
    <row r="10878" ht="15.75" customHeight="1">
      <c r="A10878" s="2" t="s">
        <v>10878</v>
      </c>
      <c r="B10878" s="2" t="str">
        <f>IFERROR(__xludf.DUMMYFUNCTION("GOOGLETRANSLATE(A10878, ""en"", ""mt"")"),"Kolonisti Ingliżi")</f>
        <v>Kolonisti Ingliżi</v>
      </c>
    </row>
    <row r="10879" ht="15.75" customHeight="1">
      <c r="A10879" s="2" t="s">
        <v>10879</v>
      </c>
      <c r="B10879" s="2" t="str">
        <f>IFERROR(__xludf.DUMMYFUNCTION("GOOGLETRANSLATE(A10879, ""en"", ""mt"")"),"Fl-Istati Uniti, kien hemm spinta biex tillegalizza l-importazzjoni ta 'mediċini mill-Kanada u pajjiżi oħra, sabiex jitnaqqsu l-ispejjeż tal-konsumatur. Filwaqt li fil-biċċa l-kbira tal-każijiet l-importazzjoni ta 'mediċini bir-riċetta tikser ir-regolamen"&amp;"ti tal-Amministrazzjoni tal-Ikel u d-Droga (FDA) u l-liġijiet federali, l-infurzar huwa ġeneralment immirat lejn fornituri tad-droga internazzjonali, aktar milli għall-konsumaturi. M'hemm l-ebda każ magħruf ta 'xi ċittadini ta' l-Istati Uniti li jixtru dr"&amp;"ogi Kanadiżi għal użu personali bi preskrizzjoni, li qatt ġie akkużat mill-awtoritajiet.")</f>
        <v>Fl-Istati Uniti, kien hemm spinta biex tillegalizza l-importazzjoni ta 'mediċini mill-Kanada u pajjiżi oħra, sabiex jitnaqqsu l-ispejjeż tal-konsumatur. Filwaqt li fil-biċċa l-kbira tal-każijiet l-importazzjoni ta 'mediċini bir-riċetta tikser ir-regolamenti tal-Amministrazzjoni tal-Ikel u d-Droga (FDA) u l-liġijiet federali, l-infurzar huwa ġeneralment immirat lejn fornituri tad-droga internazzjonali, aktar milli għall-konsumaturi. M'hemm l-ebda każ magħruf ta 'xi ċittadini ta' l-Istati Uniti li jixtru drogi Kanadiżi għal użu personali bi preskrizzjoni, li qatt ġie akkużat mill-awtoritajiet.</v>
      </c>
    </row>
    <row r="10880" ht="15.75" customHeight="1">
      <c r="A10880" s="2" t="s">
        <v>10880</v>
      </c>
      <c r="B10880" s="2" t="str">
        <f>IFERROR(__xludf.DUMMYFUNCTION("GOOGLETRANSLATE(A10880, ""en"", ""mt"")"),"X'tip ta 'netwerk kien ABC meta beda l-ewwel?")</f>
        <v>X'tip ta 'netwerk kien ABC meta beda l-ewwel?</v>
      </c>
    </row>
    <row r="10881" ht="15.75" customHeight="1">
      <c r="A10881" s="2" t="s">
        <v>10881</v>
      </c>
      <c r="B10881" s="2" t="str">
        <f>IFERROR(__xludf.DUMMYFUNCTION("GOOGLETRANSLATE(A10881, ""en"", ""mt"")"),"X'tip ta 'element ta' tisħin spiss jintuża fil-magni tal-fwar tal-ġugarell?")</f>
        <v>X'tip ta 'element ta' tisħin spiss jintuża fil-magni tal-fwar tal-ġugarell?</v>
      </c>
    </row>
    <row r="10882" ht="15.75" customHeight="1">
      <c r="A10882" s="2" t="s">
        <v>10882</v>
      </c>
      <c r="B10882" s="2" t="str">
        <f>IFERROR(__xludf.DUMMYFUNCTION("GOOGLETRANSLATE(A10882, ""en"", ""mt"")"),"Kull naħa li tipproponi dik l-azzjoni tittieħed")</f>
        <v>Kull naħa li tipproponi dik l-azzjoni tittieħed</v>
      </c>
    </row>
    <row r="10883" ht="15.75" customHeight="1">
      <c r="A10883" s="2" t="s">
        <v>10883</v>
      </c>
      <c r="B10883" s="2" t="str">
        <f>IFERROR(__xludf.DUMMYFUNCTION("GOOGLETRANSLATE(A10883, ""en"", ""mt"")"),"Kull meta ltaqa 'ma' negozjanti Ingliżi jew negozji tal-pil, Céloron għarrafhom bit-talbiet Franċiżi fit-territorju u qalilhom biex jitilqu.")</f>
        <v>Kull meta ltaqa 'ma' negozjanti Ingliżi jew negozji tal-pil, Céloron għarrafhom bit-talbiet Franċiżi fit-territorju u qalilhom biex jitilqu.</v>
      </c>
    </row>
    <row r="10884" ht="15.75" customHeight="1">
      <c r="A10884" s="2" t="s">
        <v>10884</v>
      </c>
      <c r="B10884" s="2" t="str">
        <f>IFERROR(__xludf.DUMMYFUNCTION("GOOGLETRANSLATE(A10884, ""en"", ""mt"")"),"Liema bidla kostituzzjonali ġiet ikkunsidrata?")</f>
        <v>Liema bidla kostituzzjonali ġiet ikkunsidrata?</v>
      </c>
    </row>
    <row r="10885" ht="15.75" customHeight="1">
      <c r="A10885" s="2" t="s">
        <v>10885</v>
      </c>
      <c r="B10885" s="2" t="str">
        <f>IFERROR(__xludf.DUMMYFUNCTION("GOOGLETRANSLATE(A10885, ""en"", ""mt"")"),"X'tip ta 'intraprenditorija jwassal għal avvanzi fit-teknoloġija?")</f>
        <v>X'tip ta 'intraprenditorija jwassal għal avvanzi fit-teknoloġija?</v>
      </c>
    </row>
    <row r="10886" ht="15.75" customHeight="1">
      <c r="A10886" s="2" t="s">
        <v>10886</v>
      </c>
      <c r="B10886" s="2" t="str">
        <f>IFERROR(__xludf.DUMMYFUNCTION("GOOGLETRANSLATE(A10886, ""en"", ""mt"")"),"Fis-snin 1960, serje ta 'skoperti, li l-iktar importanti minnhom kienet tinfirex il-baħar, wriet li l-litosfera tad-Dinja, li tinkludi l-qoxra tal-qoxra u l-ogħla riġida tal-mantell ta' fuq, hija separata f'numru ta 'pjanċi tettoniċi li jiċċaqalqu madwar "&amp;"il-plastikament Deformazzjoni, solidu, mantell ta 'fuq, li jissejjaħ l-astenosfera. Hemm akkoppjar intimu bejn il-moviment tal-pjanċi fuq il-wiċċ u l-konvezzjoni tal-mantell: mozzjonijiet tal-pjanċa oċeanika u kurrenti tal-konvezzjoni tal-mantell dejjem j"&amp;"iċċaqalqu fl-istess direzzjoni, minħabba li l-litosfera oċeanika hija s-saff tal-konfini termali ta 'fuq tal-mantell tal-konvezzjoni - Dan l-akkoppjar bejn pjanċi riġidi li jiċċaqilqu fuq il-wiċċ tad-dinja u l-mantell tal-konvetti huwa msejjaħ tettonika t"&amp;"al-pjanċa.")</f>
        <v>Fis-snin 1960, serje ta 'skoperti, li l-iktar importanti minnhom kienet tinfirex il-baħar, wriet li l-litosfera tad-Dinja, li tinkludi l-qoxra tal-qoxra u l-ogħla riġida tal-mantell ta' fuq, hija separata f'numru ta 'pjanċi tettoniċi li jiċċaqalqu madwar il-plastikament Deformazzjoni, solidu, mantell ta 'fuq, li jissejjaħ l-astenosfera. Hemm akkoppjar intimu bejn il-moviment tal-pjanċi fuq il-wiċċ u l-konvezzjoni tal-mantell: mozzjonijiet tal-pjanċa oċeanika u kurrenti tal-konvezzjoni tal-mantell dejjem jiċċaqalqu fl-istess direzzjoni, minħabba li l-litosfera oċeanika hija s-saff tal-konfini termali ta 'fuq tal-mantell tal-konvezzjoni - Dan l-akkoppjar bejn pjanċi riġidi li jiċċaqilqu fuq il-wiċċ tad-dinja u l-mantell tal-konvetti huwa msejjaħ tettonika tal-pjanċa.</v>
      </c>
    </row>
    <row r="10887" ht="15.75" customHeight="1">
      <c r="A10887" s="2" t="s">
        <v>10887</v>
      </c>
      <c r="B10887" s="2" t="str">
        <f>IFERROR(__xludf.DUMMYFUNCTION("GOOGLETRANSLATE(A10887, ""en"", ""mt"")"),"Meta tlestiet is-7 Pjazza Lincoln?")</f>
        <v>Meta tlestiet is-7 Pjazza Lincoln?</v>
      </c>
    </row>
    <row r="10888" ht="15.75" customHeight="1">
      <c r="A10888" s="2" t="s">
        <v>10888</v>
      </c>
      <c r="B10888" s="2" t="str">
        <f>IFERROR(__xludf.DUMMYFUNCTION("GOOGLETRANSLATE(A10888, ""en"", ""mt"")"),"kandidati fuq il-post")</f>
        <v>kandidati fuq il-post</v>
      </c>
    </row>
    <row r="10889" ht="15.75" customHeight="1">
      <c r="A10889" s="2" t="s">
        <v>10889</v>
      </c>
      <c r="B10889" s="2" t="str">
        <f>IFERROR(__xludf.DUMMYFUNCTION("GOOGLETRANSLATE(A10889, ""en"", ""mt"")"),"Masaaki Shirakawa")</f>
        <v>Masaaki Shirakawa</v>
      </c>
    </row>
    <row r="10890" ht="15.75" customHeight="1">
      <c r="A10890" s="2" t="s">
        <v>10890</v>
      </c>
      <c r="B10890" s="2" t="str">
        <f>IFERROR(__xludf.DUMMYFUNCTION("GOOGLETRANSLATE(A10890, ""en"", ""mt"")"),"Proġett ta 'kostruzzjoni")</f>
        <v>Proġett ta 'kostruzzjoni</v>
      </c>
    </row>
    <row r="10891" ht="15.75" customHeight="1">
      <c r="A10891" s="2" t="s">
        <v>10891</v>
      </c>
      <c r="B10891" s="2" t="str">
        <f>IFERROR(__xludf.DUMMYFUNCTION("GOOGLETRANSLATE(A10891, ""en"", ""mt"")"),"Huma meħtieġa inqas ħaddiema")</f>
        <v>Huma meħtieġa inqas ħaddiema</v>
      </c>
    </row>
    <row r="10892" ht="15.75" customHeight="1">
      <c r="A10892" s="2" t="s">
        <v>10892</v>
      </c>
      <c r="B10892" s="2" t="str">
        <f>IFERROR(__xludf.DUMMYFUNCTION("GOOGLETRANSLATE(A10892, ""en"", ""mt"")"),"Id-Daleks (a.k.a. il-mutanti)")</f>
        <v>Id-Daleks (a.k.a. il-mutanti)</v>
      </c>
    </row>
    <row r="10893" ht="15.75" customHeight="1">
      <c r="A10893" s="2" t="s">
        <v>10893</v>
      </c>
      <c r="B10893" s="2" t="str">
        <f>IFERROR(__xludf.DUMMYFUNCTION("GOOGLETRANSLATE(A10893, ""en"", ""mt"")"),"L-imperjalizmu kellu rwol importanti fl-istoriji tal-Ġappun, il-Korea, l-Imperu Assirjan, l-Imperu Ċiniż, l-Imperu Ruman, il-Greċja, l-Imperu Biżantin, l-Imperu Persjan, l-Imperu Ottoman, l-Eġittu tal-qedem, l-Imperu Brittaniku, l-Indja, u ħafna imperi oħ"&amp;"ra. L-imperjalizmu kien komponent bażiku għall-konkwisti ta 'Genghis Khan matul l-imperu Mongoljan, u ta' linji oħra tal-gwerra. Numru ta 'imperi Musulmani rikonoxxuti storikament fl-għexieren. L-Afrika Sub-Saħarjana dehret ukoll għexieren ta 'imperi li j"&amp;"kunu qabel l-era kolonjali Ewropea, pereżempju l-Imperu Etjopjan, l-Imperu Oyo, l-Unjoni Asante, l-Imperu Luba, l-Imperu Lunda, u l-Imperu Mutapa. L-Amerika matul l-era pre-Kolumbjana kellha wkoll imperi kbar bħall-Imperu Aztek u l-Imperu Incan.")</f>
        <v>L-imperjalizmu kellu rwol importanti fl-istoriji tal-Ġappun, il-Korea, l-Imperu Assirjan, l-Imperu Ċiniż, l-Imperu Ruman, il-Greċja, l-Imperu Biżantin, l-Imperu Persjan, l-Imperu Ottoman, l-Eġittu tal-qedem, l-Imperu Brittaniku, l-Indja, u ħafna imperi oħra. L-imperjalizmu kien komponent bażiku għall-konkwisti ta 'Genghis Khan matul l-imperu Mongoljan, u ta' linji oħra tal-gwerra. Numru ta 'imperi Musulmani rikonoxxuti storikament fl-għexieren. L-Afrika Sub-Saħarjana dehret ukoll għexieren ta 'imperi li jkunu qabel l-era kolonjali Ewropea, pereżempju l-Imperu Etjopjan, l-Imperu Oyo, l-Unjoni Asante, l-Imperu Luba, l-Imperu Lunda, u l-Imperu Mutapa. L-Amerika matul l-era pre-Kolumbjana kellha wkoll imperi kbar bħall-Imperu Aztek u l-Imperu Incan.</v>
      </c>
    </row>
    <row r="10894" ht="15.75" customHeight="1">
      <c r="A10894" s="2" t="s">
        <v>10894</v>
      </c>
      <c r="B10894" s="2" t="str">
        <f>IFERROR(__xludf.DUMMYFUNCTION("GOOGLETRANSLATE(A10894, ""en"", ""mt"")"),"L-ewwel episodju ta 'Doctor Who ħareġ il-jum ta' wara liema avveniment famuż fl-istorja?")</f>
        <v>L-ewwel episodju ta 'Doctor Who ħareġ il-jum ta' wara liema avveniment famuż fl-istorja?</v>
      </c>
    </row>
    <row r="10895" ht="15.75" customHeight="1">
      <c r="A10895" s="2" t="s">
        <v>10895</v>
      </c>
      <c r="B10895" s="2" t="str">
        <f>IFERROR(__xludf.DUMMYFUNCTION("GOOGLETRANSLATE(A10895, ""en"", ""mt"")"),"bits")</f>
        <v>bits</v>
      </c>
    </row>
    <row r="10896" ht="15.75" customHeight="1">
      <c r="A10896" s="2" t="s">
        <v>10896</v>
      </c>
      <c r="B10896" s="2" t="str">
        <f>IFERROR(__xludf.DUMMYFUNCTION("GOOGLETRANSLATE(A10896, ""en"", ""mt"")"),"Kemm kilometru huwa Varsavja mill-Muntanji tal-Karpazji?")</f>
        <v>Kemm kilometru huwa Varsavja mill-Muntanji tal-Karpazji?</v>
      </c>
    </row>
    <row r="10897" ht="15.75" customHeight="1">
      <c r="A10897" s="2" t="s">
        <v>10897</v>
      </c>
      <c r="B10897" s="2" t="str">
        <f>IFERROR(__xludf.DUMMYFUNCTION("GOOGLETRANSLATE(A10897, ""en"", ""mt"")"),"X'tfittex Luther biex jirrestawra?")</f>
        <v>X'tfittex Luther biex jirrestawra?</v>
      </c>
    </row>
    <row r="10898" ht="15.75" customHeight="1">
      <c r="A10898" s="2" t="s">
        <v>10898</v>
      </c>
      <c r="B10898" s="2" t="str">
        <f>IFERROR(__xludf.DUMMYFUNCTION("GOOGLETRANSLATE(A10898, ""en"", ""mt"")"),"X'tip ta 'arkati għandha l-arkitettura Norman?")</f>
        <v>X'tip ta 'arkati għandha l-arkitettura Norman?</v>
      </c>
    </row>
    <row r="10899" ht="15.75" customHeight="1">
      <c r="A10899" s="2" t="s">
        <v>10899</v>
      </c>
      <c r="B10899" s="2" t="str">
        <f>IFERROR(__xludf.DUMMYFUNCTION("GOOGLETRANSLATE(A10899, ""en"", ""mt"")"),"Leonard Goldenson ħabbar proposta ta 'għaqda ma' liema kumpanija f'Diċembru 1965?")</f>
        <v>Leonard Goldenson ħabbar proposta ta 'għaqda ma' liema kumpanija f'Diċembru 1965?</v>
      </c>
    </row>
    <row r="10900" ht="15.75" customHeight="1">
      <c r="A10900" s="2" t="s">
        <v>10900</v>
      </c>
      <c r="B10900" s="2" t="str">
        <f>IFERROR(__xludf.DUMMYFUNCTION("GOOGLETRANSLATE(A10900, ""en"", ""mt"")"),"Notazzjoni Big O.")</f>
        <v>Notazzjoni Big O.</v>
      </c>
    </row>
    <row r="10901" ht="15.75" customHeight="1">
      <c r="A10901" s="2" t="s">
        <v>10901</v>
      </c>
      <c r="B10901" s="2" t="str">
        <f>IFERROR(__xludf.DUMMYFUNCTION("GOOGLETRANSLATE(A10901, ""en"", ""mt"")"),"Kemm hu kiesaħ dan ir-reġjun ta 'Victoria fir-rebbieħ?")</f>
        <v>Kemm hu kiesaħ dan ir-reġjun ta 'Victoria fir-rebbieħ?</v>
      </c>
    </row>
    <row r="10902" ht="15.75" customHeight="1">
      <c r="A10902" s="2" t="s">
        <v>10902</v>
      </c>
      <c r="B10902" s="2" t="str">
        <f>IFERROR(__xludf.DUMMYFUNCTION("GOOGLETRANSLATE(A10902, ""en"", ""mt"")"),"Fejn saret il-laqgħa meta s-sidien tal-NFL ivvutaw fuq il-post għal Super Bowl 50?")</f>
        <v>Fejn saret il-laqgħa meta s-sidien tal-NFL ivvutaw fuq il-post għal Super Bowl 50?</v>
      </c>
    </row>
    <row r="10903" ht="15.75" customHeight="1">
      <c r="A10903" s="2" t="s">
        <v>10903</v>
      </c>
      <c r="B10903" s="2" t="str">
        <f>IFERROR(__xludf.DUMMYFUNCTION("GOOGLETRANSLATE(A10903, ""en"", ""mt"")"),"Walloon")</f>
        <v>Walloon</v>
      </c>
    </row>
    <row r="10904" ht="15.75" customHeight="1">
      <c r="A10904" s="2" t="s">
        <v>10904</v>
      </c>
      <c r="B10904" s="2" t="str">
        <f>IFERROR(__xludf.DUMMYFUNCTION("GOOGLETRANSLATE(A10904, ""en"", ""mt"")"),"l-alter rhein")</f>
        <v>l-alter rhein</v>
      </c>
    </row>
    <row r="10905" ht="15.75" customHeight="1">
      <c r="A10905" s="2" t="s">
        <v>10905</v>
      </c>
      <c r="B10905" s="2" t="str">
        <f>IFERROR(__xludf.DUMMYFUNCTION("GOOGLETRANSLATE(A10905, ""en"", ""mt"")"),"Jailer")</f>
        <v>Jailer</v>
      </c>
    </row>
    <row r="10906" ht="15.75" customHeight="1">
      <c r="A10906" s="2" t="s">
        <v>10906</v>
      </c>
      <c r="B10906" s="2" t="str">
        <f>IFERROR(__xludf.DUMMYFUNCTION("GOOGLETRANSLATE(A10906, ""en"", ""mt"")"),"Fkieren u bram jistgħu jieklu kwantitajiet kbar ta 'xiex?")</f>
        <v>Fkieren u bram jistgħu jieklu kwantitajiet kbar ta 'xiex?</v>
      </c>
    </row>
    <row r="10907" ht="15.75" customHeight="1">
      <c r="A10907" s="2" t="s">
        <v>10907</v>
      </c>
      <c r="B10907" s="2" t="str">
        <f>IFERROR(__xludf.DUMMYFUNCTION("GOOGLETRANSLATE(A10907, ""en"", ""mt"")"),"Is-sistema immunitarja tipproduċi wkoll liema molekuli sabiex tippermetti l-qerda tat-tumur mis-sistema tal-komplement?")</f>
        <v>Is-sistema immunitarja tipproduċi wkoll liema molekuli sabiex tippermetti l-qerda tat-tumur mis-sistema tal-komplement?</v>
      </c>
    </row>
    <row r="10908" ht="15.75" customHeight="1">
      <c r="A10908" s="2" t="s">
        <v>10908</v>
      </c>
      <c r="B10908" s="2" t="str">
        <f>IFERROR(__xludf.DUMMYFUNCTION("GOOGLETRANSLATE(A10908, ""en"", ""mt"")"),"Kattoliku")</f>
        <v>Kattoliku</v>
      </c>
    </row>
    <row r="10909" ht="15.75" customHeight="1">
      <c r="A10909" s="2" t="s">
        <v>10909</v>
      </c>
      <c r="B10909" s="2" t="str">
        <f>IFERROR(__xludf.DUMMYFUNCTION("GOOGLETRANSLATE(A10909, ""en"", ""mt"")"),"Luke Kuechly.")</f>
        <v>Luke Kuechly.</v>
      </c>
    </row>
    <row r="10910" ht="15.75" customHeight="1">
      <c r="A10910" s="2" t="s">
        <v>10910</v>
      </c>
      <c r="B10910" s="2" t="str">
        <f>IFERROR(__xludf.DUMMYFUNCTION("GOOGLETRANSLATE(A10910, ""en"", ""mt"")"),"X’tfiżżlet Tesla fl-1887?")</f>
        <v>X’tfiżżlet Tesla fl-1887?</v>
      </c>
    </row>
    <row r="10911" ht="15.75" customHeight="1">
      <c r="A10911" s="2" t="s">
        <v>10911</v>
      </c>
      <c r="B10911" s="2" t="str">
        <f>IFERROR(__xludf.DUMMYFUNCTION("GOOGLETRANSLATE(A10911, ""en"", ""mt"")"),"Universitajiet")</f>
        <v>Universitajiet</v>
      </c>
    </row>
    <row r="10912" ht="15.75" customHeight="1">
      <c r="A10912" s="2" t="s">
        <v>10912</v>
      </c>
      <c r="B10912" s="2" t="str">
        <f>IFERROR(__xludf.DUMMYFUNCTION("GOOGLETRANSLATE(A10912, ""en"", ""mt"")"),"ilma baħar")</f>
        <v>ilma baħar</v>
      </c>
    </row>
    <row r="10913" ht="15.75" customHeight="1">
      <c r="A10913" s="2" t="s">
        <v>10913</v>
      </c>
      <c r="B10913" s="2" t="str">
        <f>IFERROR(__xludf.DUMMYFUNCTION("GOOGLETRANSLATE(A10913, ""en"", ""mt"")"),"Personalità ġdida")</f>
        <v>Personalità ġdida</v>
      </c>
    </row>
    <row r="10914" ht="15.75" customHeight="1">
      <c r="A10914" s="2" t="s">
        <v>10914</v>
      </c>
      <c r="B10914" s="2" t="str">
        <f>IFERROR(__xludf.DUMMYFUNCTION("GOOGLETRANSLATE(A10914, ""en"", ""mt"")"),"ormoni")</f>
        <v>ormoni</v>
      </c>
    </row>
    <row r="10915" ht="15.75" customHeight="1">
      <c r="A10915" s="2" t="s">
        <v>10915</v>
      </c>
      <c r="B10915" s="2" t="str">
        <f>IFERROR(__xludf.DUMMYFUNCTION("GOOGLETRANSLATE(A10915, ""en"", ""mt"")"),"Liema entità pubblika ta 'tagħlim ħafna drabi hija fil-mira ta' diżubbidjenza ċivili?")</f>
        <v>Liema entità pubblika ta 'tagħlim ħafna drabi hija fil-mira ta' diżubbidjenza ċivili?</v>
      </c>
    </row>
    <row r="10916" ht="15.75" customHeight="1">
      <c r="A10916" s="2" t="s">
        <v>10916</v>
      </c>
      <c r="B10916" s="2" t="str">
        <f>IFERROR(__xludf.DUMMYFUNCTION("GOOGLETRANSLATE(A10916, ""en"", ""mt"")"),"X'inhu ctenophora?")</f>
        <v>X'inhu ctenophora?</v>
      </c>
    </row>
    <row r="10917" ht="15.75" customHeight="1">
      <c r="A10917" s="2" t="s">
        <v>10917</v>
      </c>
      <c r="B10917" s="2" t="str">
        <f>IFERROR(__xludf.DUMMYFUNCTION("GOOGLETRANSLATE(A10917, ""en"", ""mt"")"),"X'kien il-programm fl-ewwel blokka tal-programm tat-tfal li se jixxandar fl-HD?")</f>
        <v>X'kien il-programm fl-ewwel blokka tal-programm tat-tfal li se jixxandar fl-HD?</v>
      </c>
    </row>
    <row r="10918" ht="15.75" customHeight="1">
      <c r="A10918" s="2" t="s">
        <v>10918</v>
      </c>
      <c r="B10918" s="2" t="str">
        <f>IFERROR(__xludf.DUMMYFUNCTION("GOOGLETRANSLATE(A10918, ""en"", ""mt"")"),"Minbarra l-kisbiet xjentifiċi tiegħu għal xiex kienet famuża Tesla?")</f>
        <v>Minbarra l-kisbiet xjentifiċi tiegħu għal xiex kienet famuża Tesla?</v>
      </c>
    </row>
    <row r="10919" ht="15.75" customHeight="1">
      <c r="A10919" s="2" t="s">
        <v>10919</v>
      </c>
      <c r="B10919" s="2" t="str">
        <f>IFERROR(__xludf.DUMMYFUNCTION("GOOGLETRANSLATE(A10919, ""en"", ""mt"")"),"Imperatur tal-Kanzunetta")</f>
        <v>Imperatur tal-Kanzunetta</v>
      </c>
    </row>
    <row r="10920" ht="15.75" customHeight="1">
      <c r="A10920" s="2" t="s">
        <v>10920</v>
      </c>
      <c r="B10920" s="2" t="str">
        <f>IFERROR(__xludf.DUMMYFUNCTION("GOOGLETRANSLATE(A10920, ""en"", ""mt"")"),"X'jagħmel il-Wells Fargo Centre jispikka?")</f>
        <v>X'jagħmel il-Wells Fargo Centre jispikka?</v>
      </c>
    </row>
    <row r="10921" ht="15.75" customHeight="1">
      <c r="A10921" s="2" t="s">
        <v>10921</v>
      </c>
      <c r="B10921" s="2" t="str">
        <f>IFERROR(__xludf.DUMMYFUNCTION("GOOGLETRANSLATE(A10921, ""en"", ""mt"")"),"nisel tal-kloroplast aħdar")</f>
        <v>nisel tal-kloroplast aħdar</v>
      </c>
    </row>
    <row r="10922" ht="15.75" customHeight="1">
      <c r="A10922" s="2" t="s">
        <v>10922</v>
      </c>
      <c r="B10922" s="2" t="str">
        <f>IFERROR(__xludf.DUMMYFUNCTION("GOOGLETRANSLATE(A10922, ""en"", ""mt"")"),"Imġieba ħażina mill-għalliema, speċjalment kondotta ħażina sesswali, kienet qed tiżdied skrutinju mill-midja u mill-qrati. Studju mill-Assoċjazzjoni Amerikana tan-Nisa Universitarji rrapporta li 9.6% tal-istudenti fl-Istati Uniti jiddikjaraw li rċivew att"&amp;"enzjoni sesswali mhux mixtieqa minn adult assoċjat mal-edukazzjoni; Kemm jekk huma voluntier, sewwieq tal-linja, għalliem, amministratur jew adult ieħor; Xi żmien matul il-karriera edukattiva tagħhom.")</f>
        <v>Imġieba ħażina mill-għalliema, speċjalment kondotta ħażina sesswali, kienet qed tiżdied skrutinju mill-midja u mill-qrati. Studju mill-Assoċjazzjoni Amerikana tan-Nisa Universitarji rrapporta li 9.6% tal-istudenti fl-Istati Uniti jiddikjaraw li rċivew attenzjoni sesswali mhux mixtieqa minn adult assoċjat mal-edukazzjoni; Kemm jekk huma voluntier, sewwieq tal-linja, għalliem, amministratur jew adult ieħor; Xi żmien matul il-karriera edukattiva tagħhom.</v>
      </c>
    </row>
    <row r="10923" ht="15.75" customHeight="1">
      <c r="A10923" s="2" t="s">
        <v>10923</v>
      </c>
      <c r="B10923" s="2" t="str">
        <f>IFERROR(__xludf.DUMMYFUNCTION("GOOGLETRANSLATE(A10923, ""en"", ""mt"")"),"Storja turbulenti tal-belt u pajjiż")</f>
        <v>Storja turbulenti tal-belt u pajjiż</v>
      </c>
    </row>
    <row r="10924" ht="15.75" customHeight="1">
      <c r="A10924" s="2" t="s">
        <v>10924</v>
      </c>
      <c r="B10924" s="2" t="str">
        <f>IFERROR(__xludf.DUMMYFUNCTION("GOOGLETRANSLATE(A10924, ""en"", ""mt"")"),"Il-forzi armati huma skjerati regolarment fil-missjonijiet taż-żamma tal-paċi madwar id-dinja. Barra minn hekk, wara l-elezzjonijiet nazzjonali ta 'Diċembru 2007 u l-vjolenza li sussegwentement ħakmet lill-pajjiż, kummissjoni ta' inkjesta, il-Kummissjoni "&amp;"Waki, faħħret il-prontezza tagħha u aġġudikatha biex ""marret id-dmir tagħha sew."" Madankollu, kien hemm allegazzjonijiet serji ta 'ksur tad-drittijiet tal-bniedem, l-iktar reċentement waqt li wettaq operazzjonijiet ta' kontra-ribelli fiż-żona ta 'Mt Elg"&amp;"on u wkoll fid-distrett ta' Mandera Central.")</f>
        <v>Il-forzi armati huma skjerati regolarment fil-missjonijiet taż-żamma tal-paċi madwar id-dinja. Barra minn hekk, wara l-elezzjonijiet nazzjonali ta 'Diċembru 2007 u l-vjolenza li sussegwentement ħakmet lill-pajjiż, kummissjoni ta' inkjesta, il-Kummissjoni Waki, faħħret il-prontezza tagħha u aġġudikatha biex "marret id-dmir tagħha sew." Madankollu, kien hemm allegazzjonijiet serji ta 'ksur tad-drittijiet tal-bniedem, l-iktar reċentement waqt li wettaq operazzjonijiet ta' kontra-ribelli fiż-żona ta 'Mt Elgon u wkoll fid-distrett ta' Mandera Central.</v>
      </c>
    </row>
    <row r="10925" ht="15.75" customHeight="1">
      <c r="A10925" s="2" t="s">
        <v>10925</v>
      </c>
      <c r="B10925" s="2" t="str">
        <f>IFERROR(__xludf.DUMMYFUNCTION("GOOGLETRANSLATE(A10925, ""en"", ""mt"")"),"Aktar minn 12-il miljun abitant")</f>
        <v>Aktar minn 12-il miljun abitant</v>
      </c>
    </row>
    <row r="10926" ht="15.75" customHeight="1">
      <c r="A10926" s="2" t="s">
        <v>10926</v>
      </c>
      <c r="B10926" s="2" t="str">
        <f>IFERROR(__xludf.DUMMYFUNCTION("GOOGLETRANSLATE(A10926, ""en"", ""mt"")"),"gassuż")</f>
        <v>gassuż</v>
      </c>
    </row>
    <row r="10927" ht="15.75" customHeight="1">
      <c r="A10927" s="2" t="s">
        <v>10927</v>
      </c>
      <c r="B10927" s="2" t="str">
        <f>IFERROR(__xludf.DUMMYFUNCTION("GOOGLETRANSLATE(A10927, ""en"", ""mt"")"),"Kemm touchdowns totali skorjaw Cam Newton?")</f>
        <v>Kemm touchdowns totali skorjaw Cam Newton?</v>
      </c>
    </row>
    <row r="10928" ht="15.75" customHeight="1">
      <c r="A10928" s="2" t="s">
        <v>10928</v>
      </c>
      <c r="B10928" s="2" t="str">
        <f>IFERROR(__xludf.DUMMYFUNCTION("GOOGLETRANSLATE(A10928, ""en"", ""mt"")"),"spiritus nitroaereus jew biss nitroereus")</f>
        <v>spiritus nitroaereus jew biss nitroereus</v>
      </c>
    </row>
    <row r="10929" ht="15.75" customHeight="1">
      <c r="A10929" s="2" t="s">
        <v>10929</v>
      </c>
      <c r="B10929" s="2" t="str">
        <f>IFERROR(__xludf.DUMMYFUNCTION("GOOGLETRANSLATE(A10929, ""en"", ""mt"")"),"tinteraġixxi u taħdem direttament mal-istudenti")</f>
        <v>tinteraġixxi u taħdem direttament mal-istudenti</v>
      </c>
    </row>
    <row r="10930" ht="15.75" customHeight="1">
      <c r="A10930" s="2" t="s">
        <v>10930</v>
      </c>
      <c r="B10930" s="2" t="str">
        <f>IFERROR(__xludf.DUMMYFUNCTION("GOOGLETRANSLATE(A10930, ""en"", ""mt"")"),"8,477 km")</f>
        <v>8,477 km</v>
      </c>
    </row>
    <row r="10931" ht="15.75" customHeight="1">
      <c r="A10931" s="2" t="s">
        <v>10931</v>
      </c>
      <c r="B10931" s="2" t="str">
        <f>IFERROR(__xludf.DUMMYFUNCTION("GOOGLETRANSLATE(A10931, ""en"", ""mt"")"),"781")</f>
        <v>781</v>
      </c>
    </row>
    <row r="10932" ht="15.75" customHeight="1">
      <c r="A10932" s="2" t="s">
        <v>10932</v>
      </c>
      <c r="B10932" s="2" t="str">
        <f>IFERROR(__xludf.DUMMYFUNCTION("GOOGLETRANSLATE(A10932, ""en"", ""mt"")"),"27% sehem ta 'sjieda")</f>
        <v>27% sehem ta 'sjieda</v>
      </c>
    </row>
    <row r="10933" ht="15.75" customHeight="1">
      <c r="A10933" s="2" t="s">
        <v>10933</v>
      </c>
      <c r="B10933" s="2" t="str">
        <f>IFERROR(__xludf.DUMMYFUNCTION("GOOGLETRANSLATE(A10933, ""en"", ""mt"")"),"X’waqqaf il-Borża ta ’Varsavja?")</f>
        <v>X’waqqaf il-Borża ta ’Varsavja?</v>
      </c>
    </row>
    <row r="10934" ht="15.75" customHeight="1">
      <c r="A10934" s="2" t="s">
        <v>10934</v>
      </c>
      <c r="B10934" s="2" t="str">
        <f>IFERROR(__xludf.DUMMYFUNCTION("GOOGLETRANSLATE(A10934, ""en"", ""mt"")"),"Liema plejer ta 'Denver ħa l-ballun lejn il-linja ta' 14-il tarzna Panthers?")</f>
        <v>Liema plejer ta 'Denver ħa l-ballun lejn il-linja ta' 14-il tarzna Panthers?</v>
      </c>
    </row>
    <row r="10935" ht="15.75" customHeight="1">
      <c r="A10935" s="2" t="s">
        <v>10935</v>
      </c>
      <c r="B10935" s="2" t="str">
        <f>IFERROR(__xludf.DUMMYFUNCTION("GOOGLETRANSLATE(A10935, ""en"", ""mt"")"),"Fejn intwera l-indikatur tal-magna tal-fwar Charles Porter?")</f>
        <v>Fejn intwera l-indikatur tal-magna tal-fwar Charles Porter?</v>
      </c>
    </row>
    <row r="10936" ht="15.75" customHeight="1">
      <c r="A10936" s="2" t="s">
        <v>10936</v>
      </c>
      <c r="B10936" s="2" t="str">
        <f>IFERROR(__xludf.DUMMYFUNCTION("GOOGLETRANSLATE(A10936, ""en"", ""mt"")"),"Fl-1893, George Westinghouse rebaħ l-offerta biex jixgħel l-Espożizzjoni tal-Kolumbja Dinjija tal-1893 f'Chicago b'kurrent alternattiv, li għeleb offerta ta 'General Electric b'miljun dollaru. Il-fiera ta 'din id-dinja ddedikat bini għal esebiti elettriċi"&amp;". Kien avveniment ewlieni fl-istorja tal-qawwa AC, peress li Westinghouse wera s-sigurtà, l-affidabbiltà, u l-effiċjenza ta 'sistema kurrenti alternattiva integrata għal kollox għall-pubbliku Amerikan. Fl-Espożizzjoni tal-Kolumbja, taħt banner li jħabbar "&amp;"is- ""Sistema ta 'Tesla Polyphase"", Tesla wriet serje ta' effetti elettriċi li qabel kienu mwettqa madwar l-Amerika u l-Ewropa,: 76 Inkluż bl-użu ta 'vultaġġ għoli u ta' frekwenza għolja li jalterna kurrent biex jixgħel l-iskarikar tal-gass mingħajr fili"&amp;" Lamp.:79 Osservatur innota:")</f>
        <v>Fl-1893, George Westinghouse rebaħ l-offerta biex jixgħel l-Espożizzjoni tal-Kolumbja Dinjija tal-1893 f'Chicago b'kurrent alternattiv, li għeleb offerta ta 'General Electric b'miljun dollaru. Il-fiera ta 'din id-dinja ddedikat bini għal esebiti elettriċi. Kien avveniment ewlieni fl-istorja tal-qawwa AC, peress li Westinghouse wera s-sigurtà, l-affidabbiltà, u l-effiċjenza ta 'sistema kurrenti alternattiva integrata għal kollox għall-pubbliku Amerikan. Fl-Espożizzjoni tal-Kolumbja, taħt banner li jħabbar is- "Sistema ta 'Tesla Polyphase", Tesla wriet serje ta' effetti elettriċi li qabel kienu mwettqa madwar l-Amerika u l-Ewropa,: 76 Inkluż bl-użu ta 'vultaġġ għoli u ta' frekwenza għolja li jalterna kurrent biex jixgħel l-iskarikar tal-gass mingħajr fili Lamp.:79 Osservatur innota:</v>
      </c>
    </row>
    <row r="10937" ht="15.75" customHeight="1">
      <c r="A10937" s="2" t="s">
        <v>10937</v>
      </c>
      <c r="B10937" s="2" t="str">
        <f>IFERROR(__xludf.DUMMYFUNCTION("GOOGLETRANSLATE(A10937, ""en"", ""mt"")"),"5 miljun")</f>
        <v>5 miljun</v>
      </c>
    </row>
    <row r="10938" ht="15.75" customHeight="1">
      <c r="A10938" s="2" t="s">
        <v>10938</v>
      </c>
      <c r="B10938" s="2" t="str">
        <f>IFERROR(__xludf.DUMMYFUNCTION("GOOGLETRANSLATE(A10938, ""en"", ""mt"")"),"Il-pesta Justinian li kienet prevalenti fl-Imperu Ruman tal-Lvant minn 541 sa 700 CE.")</f>
        <v>Il-pesta Justinian li kienet prevalenti fl-Imperu Ruman tal-Lvant minn 541 sa 700 CE.</v>
      </c>
    </row>
    <row r="10939" ht="15.75" customHeight="1">
      <c r="A10939" s="2" t="s">
        <v>10939</v>
      </c>
      <c r="B10939" s="2" t="str">
        <f>IFERROR(__xludf.DUMMYFUNCTION("GOOGLETRANSLATE(A10939, ""en"", ""mt"")"),"Pjazza tal-Vitorja")</f>
        <v>Pjazza tal-Vitorja</v>
      </c>
    </row>
    <row r="10940" ht="15.75" customHeight="1">
      <c r="A10940" s="2" t="s">
        <v>10940</v>
      </c>
      <c r="B10940" s="2" t="str">
        <f>IFERROR(__xludf.DUMMYFUNCTION("GOOGLETRANSLATE(A10940, ""en"", ""mt"")"),"Iċ-Ċentru għall-Ħajja")</f>
        <v>Iċ-Ċentru għall-Ħajja</v>
      </c>
    </row>
    <row r="10941" ht="15.75" customHeight="1">
      <c r="A10941" s="2" t="s">
        <v>10941</v>
      </c>
      <c r="B10941" s="2" t="str">
        <f>IFERROR(__xludf.DUMMYFUNCTION("GOOGLETRANSLATE(A10941, ""en"", ""mt"")"),"oċeani")</f>
        <v>oċeani</v>
      </c>
    </row>
    <row r="10942" ht="15.75" customHeight="1">
      <c r="A10942" s="2" t="s">
        <v>10942</v>
      </c>
      <c r="B10942" s="2" t="str">
        <f>IFERROR(__xludf.DUMMYFUNCTION("GOOGLETRANSLATE(A10942, ""en"", ""mt"")"),"Tanzanija")</f>
        <v>Tanzanija</v>
      </c>
    </row>
    <row r="10943" ht="15.75" customHeight="1">
      <c r="A10943" s="2" t="s">
        <v>10943</v>
      </c>
      <c r="B10943" s="2" t="str">
        <f>IFERROR(__xludf.DUMMYFUNCTION("GOOGLETRANSLATE(A10943, ""en"", ""mt"")"),"Darian Stewart")</f>
        <v>Darian Stewart</v>
      </c>
    </row>
    <row r="10944" ht="15.75" customHeight="1">
      <c r="A10944" s="2" t="s">
        <v>10944</v>
      </c>
      <c r="B10944" s="2" t="str">
        <f>IFERROR(__xludf.DUMMYFUNCTION("GOOGLETRANSLATE(A10944, ""en"", ""mt"")"),"Mużew tal-Manifatturi")</f>
        <v>Mużew tal-Manifatturi</v>
      </c>
    </row>
    <row r="10945" ht="15.75" customHeight="1">
      <c r="A10945" s="2" t="s">
        <v>10945</v>
      </c>
      <c r="B10945" s="2" t="str">
        <f>IFERROR(__xludf.DUMMYFUNCTION("GOOGLETRANSLATE(A10945, ""en"", ""mt"")"),"Min x'aktarx jgħallem tifel id-dar?")</f>
        <v>Min x'aktarx jgħallem tifel id-dar?</v>
      </c>
    </row>
    <row r="10946" ht="15.75" customHeight="1">
      <c r="A10946" s="2" t="s">
        <v>10946</v>
      </c>
      <c r="B10946" s="2" t="str">
        <f>IFERROR(__xludf.DUMMYFUNCTION("GOOGLETRANSLATE(A10946, ""en"", ""mt"")"),"Ħażna tas-sħab")</f>
        <v>Ħażna tas-sħab</v>
      </c>
    </row>
    <row r="10947" ht="15.75" customHeight="1">
      <c r="A10947" s="2" t="s">
        <v>10947</v>
      </c>
      <c r="B10947" s="2" t="str">
        <f>IFERROR(__xludf.DUMMYFUNCTION("GOOGLETRANSLATE(A10947, ""en"", ""mt"")"),"permezz tas-sistema tal-ferrovija ħafifa tal-metro")</f>
        <v>permezz tas-sistema tal-ferrovija ħafifa tal-metro</v>
      </c>
    </row>
    <row r="10948" ht="15.75" customHeight="1">
      <c r="A10948" s="2" t="s">
        <v>10948</v>
      </c>
      <c r="B10948" s="2" t="str">
        <f>IFERROR(__xludf.DUMMYFUNCTION("GOOGLETRANSLATE(A10948, ""en"", ""mt"")"),"X'jaħdmu l-pagi bl-istess mod bħal għal xi ġid ieħor?")</f>
        <v>X'jaħdmu l-pagi bl-istess mod bħal għal xi ġid ieħor?</v>
      </c>
    </row>
    <row r="10949" ht="15.75" customHeight="1">
      <c r="A10949" s="2" t="s">
        <v>10949</v>
      </c>
      <c r="B10949" s="2" t="str">
        <f>IFERROR(__xludf.DUMMYFUNCTION("GOOGLETRANSLATE(A10949, ""en"", ""mt"")"),"Fryderyk Chopin University of Music")</f>
        <v>Fryderyk Chopin University of Music</v>
      </c>
    </row>
    <row r="10950" ht="15.75" customHeight="1">
      <c r="A10950" s="2" t="s">
        <v>10950</v>
      </c>
      <c r="B10950" s="2" t="str">
        <f>IFERROR(__xludf.DUMMYFUNCTION("GOOGLETRANSLATE(A10950, ""en"", ""mt"")"),"L-ilma mkeċċi jmexxihom lura malajr ħafna")</f>
        <v>L-ilma mkeċċi jmexxihom lura malajr ħafna</v>
      </c>
    </row>
    <row r="10951" ht="15.75" customHeight="1">
      <c r="A10951" s="2" t="s">
        <v>10951</v>
      </c>
      <c r="B10951" s="2" t="str">
        <f>IFERROR(__xludf.DUMMYFUNCTION("GOOGLETRANSLATE(A10951, ""en"", ""mt"")"),"Xi wħud mill-gruppi Iżlamisti appoġġjati mill-Punent aktar tard saru biex jidhru?")</f>
        <v>Xi wħud mill-gruppi Iżlamisti appoġġjati mill-Punent aktar tard saru biex jidhru?</v>
      </c>
    </row>
    <row r="10952" ht="15.75" customHeight="1">
      <c r="A10952" s="2" t="s">
        <v>10952</v>
      </c>
      <c r="B10952" s="2" t="str">
        <f>IFERROR(__xludf.DUMMYFUNCTION("GOOGLETRANSLATE(A10952, ""en"", ""mt"")"),"X'inhu terminu ieħor għall-immaġni tar-raġġi X?")</f>
        <v>X'inhu terminu ieħor għall-immaġni tar-raġġi X?</v>
      </c>
    </row>
    <row r="10953" ht="15.75" customHeight="1">
      <c r="A10953" s="2" t="s">
        <v>10953</v>
      </c>
      <c r="B10953" s="2" t="str">
        <f>IFERROR(__xludf.DUMMYFUNCTION("GOOGLETRANSLATE(A10953, ""en"", ""mt"")"),"Kemm tunnellata ta 'trab tas-Saħara taqa' fuq il-baċin tal-Amażonja kull sena?")</f>
        <v>Kemm tunnellata ta 'trab tas-Saħara taqa' fuq il-baċin tal-Amażonja kull sena?</v>
      </c>
    </row>
    <row r="10954" ht="15.75" customHeight="1">
      <c r="A10954" s="2" t="s">
        <v>10954</v>
      </c>
      <c r="B10954" s="2" t="str">
        <f>IFERROR(__xludf.DUMMYFUNCTION("GOOGLETRANSLATE(A10954, ""en"", ""mt"")"),"Disturbi fl-ilma maħluqa miċ-ċili")</f>
        <v>Disturbi fl-ilma maħluqa miċ-ċili</v>
      </c>
    </row>
    <row r="10955" ht="15.75" customHeight="1">
      <c r="A10955" s="2" t="s">
        <v>10955</v>
      </c>
      <c r="B10955" s="2" t="str">
        <f>IFERROR(__xludf.DUMMYFUNCTION("GOOGLETRANSLATE(A10955, ""en"", ""mt"")"),"2,000")</f>
        <v>2,000</v>
      </c>
    </row>
    <row r="10956" ht="15.75" customHeight="1">
      <c r="A10956" s="2" t="s">
        <v>10956</v>
      </c>
      <c r="B10956" s="2" t="str">
        <f>IFERROR(__xludf.DUMMYFUNCTION("GOOGLETRANSLATE(A10956, ""en"", ""mt"")"),"Ekwazzjonijiet Newtonjani")</f>
        <v>Ekwazzjonijiet Newtonjani</v>
      </c>
    </row>
    <row r="10957" ht="15.75" customHeight="1">
      <c r="A10957" s="2" t="s">
        <v>10957</v>
      </c>
      <c r="B10957" s="2" t="str">
        <f>IFERROR(__xludf.DUMMYFUNCTION("GOOGLETRANSLATE(A10957, ""en"", ""mt"")"),"X'tip ta 'stħarriġ juri l-post ta' unitajiet stratigrafiċi fis-sub-wiċċ?")</f>
        <v>X'tip ta 'stħarriġ juri l-post ta' unitajiet stratigrafiċi fis-sub-wiċċ?</v>
      </c>
    </row>
    <row r="10958" ht="15.75" customHeight="1">
      <c r="A10958" s="2" t="s">
        <v>10958</v>
      </c>
      <c r="B10958" s="2" t="str">
        <f>IFERROR(__xludf.DUMMYFUNCTION("GOOGLETRANSLATE(A10958, ""en"", ""mt"")"),"Algoritmu għal X li jnaqqas għal C kieku nagħmlu?")</f>
        <v>Algoritmu għal X li jnaqqas għal C kieku nagħmlu?</v>
      </c>
    </row>
    <row r="10959" ht="15.75" customHeight="1">
      <c r="A10959" s="2" t="s">
        <v>10959</v>
      </c>
      <c r="B10959" s="2" t="str">
        <f>IFERROR(__xludf.DUMMYFUNCTION("GOOGLETRANSLATE(A10959, ""en"", ""mt"")"),"Luther meta introduċa l-qima l-ġdida?")</f>
        <v>Luther meta introduċa l-qima l-ġdida?</v>
      </c>
    </row>
    <row r="10960" ht="15.75" customHeight="1">
      <c r="A10960" s="2" t="s">
        <v>10960</v>
      </c>
      <c r="B10960" s="2" t="str">
        <f>IFERROR(__xludf.DUMMYFUNCTION("GOOGLETRANSLATE(A10960, ""en"", ""mt"")"),"Hekk kif il-majjistral tal-Ewropa bil-mod bdiet tisħon minn 22,000 sena ilu 'l quddiem, is-sottosen iffriżat u l-glaċieri alpin estiżi bdew jinħallu u l-għata tas-silġ tal-waqgħa tax-xitwa mdewba fir-rebbiegħa. Ħafna mill-iskarikar kien immexxi lejn ir-Re"&amp;"nu u l-estensjoni 'l isfel tagħha. It-tisħin rapidu u l-bidliet tal-veġetazzjoni, għall-foresta miftuħa, bdew madwar 13,000 bp. Minn 9000 bp, l-Ewropa kienet forestata għal kollox. Bil-kopertura tas-silġ li qed tonqos globalment, il-livelli tal-ilma tal-o"&amp;"ċean żdiedu u l-Kanal Ingliż u l-Baħar tat-Tramuntana reġgħu ġew inundati. Meltwater, li żied mal-oċean u s-sussidju tal-art, għerqu l-kosti preċedenti tal-Ewropa transgpressionalment.")</f>
        <v>Hekk kif il-majjistral tal-Ewropa bil-mod bdiet tisħon minn 22,000 sena ilu 'l quddiem, is-sottosen iffriżat u l-glaċieri alpin estiżi bdew jinħallu u l-għata tas-silġ tal-waqgħa tax-xitwa mdewba fir-rebbiegħa. Ħafna mill-iskarikar kien immexxi lejn ir-Renu u l-estensjoni 'l isfel tagħha. It-tisħin rapidu u l-bidliet tal-veġetazzjoni, għall-foresta miftuħa, bdew madwar 13,000 bp. Minn 9000 bp, l-Ewropa kienet forestata għal kollox. Bil-kopertura tas-silġ li qed tonqos globalment, il-livelli tal-ilma tal-oċean żdiedu u l-Kanal Ingliż u l-Baħar tat-Tramuntana reġgħu ġew inundati. Meltwater, li żied mal-oċean u s-sussidju tal-art, għerqu l-kosti preċedenti tal-Ewropa transgpressionalment.</v>
      </c>
    </row>
    <row r="10961" ht="15.75" customHeight="1">
      <c r="A10961" s="2" t="s">
        <v>10961</v>
      </c>
      <c r="B10961" s="2" t="str">
        <f>IFERROR(__xludf.DUMMYFUNCTION("GOOGLETRANSLATE(A10961, ""en"", ""mt"")"),"X’kienu l-Ewropej jaħsbu li l-popli fit-tropiċi kellhom bżonn?")</f>
        <v>X’kienu l-Ewropej jaħsbu li l-popli fit-tropiċi kellhom bżonn?</v>
      </c>
    </row>
    <row r="10962" ht="15.75" customHeight="1">
      <c r="A10962" s="2" t="s">
        <v>10962</v>
      </c>
      <c r="B10962" s="2" t="str">
        <f>IFERROR(__xludf.DUMMYFUNCTION("GOOGLETRANSLATE(A10962, ""en"", ""mt"")"),"Fejn baqa 'l-Broncos għal Super Bowl 50?")</f>
        <v>Fejn baqa 'l-Broncos għal Super Bowl 50?</v>
      </c>
    </row>
    <row r="10963" ht="15.75" customHeight="1">
      <c r="A10963" s="2" t="s">
        <v>10963</v>
      </c>
      <c r="B10963" s="2" t="str">
        <f>IFERROR(__xludf.DUMMYFUNCTION("GOOGLETRANSLATE(A10963, ""en"", ""mt"")"),"Tbattal l-art tal-madwar u l-polders")</f>
        <v>Tbattal l-art tal-madwar u l-polders</v>
      </c>
    </row>
    <row r="10964" ht="15.75" customHeight="1">
      <c r="A10964" s="2" t="s">
        <v>10964</v>
      </c>
      <c r="B10964" s="2" t="str">
        <f>IFERROR(__xludf.DUMMYFUNCTION("GOOGLETRANSLATE(A10964, ""en"", ""mt"")"),"Avukat")</f>
        <v>Avukat</v>
      </c>
    </row>
    <row r="10965" ht="15.75" customHeight="1">
      <c r="A10965" s="2" t="s">
        <v>10965</v>
      </c>
      <c r="B10965" s="2" t="str">
        <f>IFERROR(__xludf.DUMMYFUNCTION("GOOGLETRANSLATE(A10965, ""en"", ""mt"")"),"Sadanittant, fl-1 ta 'Awwissu, 1774, esperiment immexxi mill-kleru Brittaniku Joseph Priestley iffokat ix-xemx fuq l-ossidu Merkuriku (HGO) ġewwa tubu tal-ħġieġ, li ħeles gass li hu jismu ""arja deflogistizzata"". Huwa nnota li x-xemgħat inħarqu isbaħ fil"&amp;"-gass u li ġurdien kien aktar attiv u għex aktar waqt li jieħu n-nifs. Wara li nifs il-gass innifsu, huwa kiteb: ""Is-sentiment ta 'dan għall-pulmuni tiegħi ma kienx differenti b'mod differenti minn dak ta' l-arja komuni, imma kont inħobb li s-sider tiegħ"&amp;"i ħassu partikolarment ħafif u faċli għal xi żmien wara."" Priestley ippubblika s-sejbiet tiegħu fl-1775 f'karta intitolata ""Kont ta 'Skoperti Aktar fl-Ajru"" li kien inkluż fit-tieni volum tal-ktieb tiegħu intitolat Esperimenti u Osservazzjonijiet fuq t"&amp;"ipi differenti ta' arja. Minħabba li ppubblika s-sejbiet tiegħu l-ewwel, Priestley normalment jingħata prijorità fl-iskoperta.")</f>
        <v>Sadanittant, fl-1 ta 'Awwissu, 1774, esperiment immexxi mill-kleru Brittaniku Joseph Priestley iffokat ix-xemx fuq l-ossidu Merkuriku (HGO) ġewwa tubu tal-ħġieġ, li ħeles gass li hu jismu "arja deflogistizzata". Huwa nnota li x-xemgħat inħarqu isbaħ fil-gass u li ġurdien kien aktar attiv u għex aktar waqt li jieħu n-nifs. Wara li nifs il-gass innifsu, huwa kiteb: "Is-sentiment ta 'dan għall-pulmuni tiegħi ma kienx differenti b'mod differenti minn dak ta' l-arja komuni, imma kont inħobb li s-sider tiegħi ħassu partikolarment ħafif u faċli għal xi żmien wara." Priestley ippubblika s-sejbiet tiegħu fl-1775 f'karta intitolata "Kont ta 'Skoperti Aktar fl-Ajru" li kien inkluż fit-tieni volum tal-ktieb tiegħu intitolat Esperimenti u Osservazzjonijiet fuq tipi differenti ta' arja. Minħabba li ppubblika s-sejbiet tiegħu l-ewwel, Priestley normalment jingħata prijorità fl-iskoperta.</v>
      </c>
    </row>
    <row r="10966" ht="15.75" customHeight="1">
      <c r="A10966" s="2" t="s">
        <v>10966</v>
      </c>
      <c r="B10966" s="2" t="str">
        <f>IFERROR(__xludf.DUMMYFUNCTION("GOOGLETRANSLATE(A10966, ""en"", ""mt"")"),"President")</f>
        <v>President</v>
      </c>
    </row>
    <row r="10967" ht="15.75" customHeight="1">
      <c r="A10967" s="2" t="s">
        <v>10967</v>
      </c>
      <c r="B10967" s="2" t="str">
        <f>IFERROR(__xludf.DUMMYFUNCTION("GOOGLETRANSLATE(A10967, ""en"", ""mt"")"),"Ħdejn il-postijiet attwali tagħhom")</f>
        <v>Ħdejn il-postijiet attwali tagħhom</v>
      </c>
    </row>
    <row r="10968" ht="15.75" customHeight="1">
      <c r="A10968" s="2" t="s">
        <v>10968</v>
      </c>
      <c r="B10968" s="2" t="str">
        <f>IFERROR(__xludf.DUMMYFUNCTION("GOOGLETRANSLATE(A10968, ""en"", ""mt"")"),"Liema pożizzjoni kisbet il-kollettur tat-taxxa li arresta Thoreau?")</f>
        <v>Liema pożizzjoni kisbet il-kollettur tat-taxxa li arresta Thoreau?</v>
      </c>
    </row>
    <row r="10969" ht="15.75" customHeight="1">
      <c r="A10969" s="2" t="s">
        <v>10969</v>
      </c>
      <c r="B10969" s="2" t="str">
        <f>IFERROR(__xludf.DUMMYFUNCTION("GOOGLETRANSLATE(A10969, ""en"", ""mt"")"),"fejn il-votanti suppost kellhom jallinjaw wara l-kandidati favoriti tagħhom minflok vot sigriet")</f>
        <v>fejn il-votanti suppost kellhom jallinjaw wara l-kandidati favoriti tagħhom minflok vot sigriet</v>
      </c>
    </row>
    <row r="10970" ht="15.75" customHeight="1">
      <c r="A10970" s="2" t="s">
        <v>10970</v>
      </c>
      <c r="B10970" s="2" t="str">
        <f>IFERROR(__xludf.DUMMYFUNCTION("GOOGLETRANSLATE(A10970, ""en"", ""mt"")"),"In-nies x’votaw is-serje Doctor Who bħal fil-vot onlajn tal-2011?")</f>
        <v>In-nies x’votaw is-serje Doctor Who bħal fil-vot onlajn tal-2011?</v>
      </c>
    </row>
    <row r="10971" ht="15.75" customHeight="1">
      <c r="A10971" s="2" t="s">
        <v>10971</v>
      </c>
      <c r="B10971" s="2" t="str">
        <f>IFERROR(__xludf.DUMMYFUNCTION("GOOGLETRANSLATE(A10971, ""en"", ""mt"")"),"Min ikkontesta d-dritt ta 'Kublai Khan li jirnexxi Mongke Khan?")</f>
        <v>Min ikkontesta d-dritt ta 'Kublai Khan li jirnexxi Mongke Khan?</v>
      </c>
    </row>
    <row r="10972" ht="15.75" customHeight="1">
      <c r="A10972" s="2" t="s">
        <v>10972</v>
      </c>
      <c r="B10972" s="2" t="str">
        <f>IFERROR(__xludf.DUMMYFUNCTION("GOOGLETRANSLATE(A10972, ""en"", ""mt"")"),"Minflok in-numri Rumani, x'qed juża l-NFL?")</f>
        <v>Minflok in-numri Rumani, x'qed juża l-NFL?</v>
      </c>
    </row>
    <row r="10973" ht="15.75" customHeight="1">
      <c r="A10973" s="2" t="s">
        <v>10973</v>
      </c>
      <c r="B10973" s="2" t="str">
        <f>IFERROR(__xludf.DUMMYFUNCTION("GOOGLETRANSLATE(A10973, ""en"", ""mt"")"),"Siġill tal-Approvazzjoni")</f>
        <v>Siġill tal-Approvazzjoni</v>
      </c>
    </row>
    <row r="10974" ht="15.75" customHeight="1">
      <c r="A10974" s="2" t="s">
        <v>10974</v>
      </c>
      <c r="B10974" s="2" t="str">
        <f>IFERROR(__xludf.DUMMYFUNCTION("GOOGLETRANSLATE(A10974, ""en"", ""mt"")"),"Creon, ir-re attwali ta 'Tebes")</f>
        <v>Creon, ir-re attwali ta 'Tebes</v>
      </c>
    </row>
    <row r="10975" ht="15.75" customHeight="1">
      <c r="A10975" s="2" t="s">
        <v>10975</v>
      </c>
      <c r="B10975" s="2" t="str">
        <f>IFERROR(__xludf.DUMMYFUNCTION("GOOGLETRANSLATE(A10975, ""en"", ""mt"")"),"Żid O2 minflok CO2")</f>
        <v>Żid O2 minflok CO2</v>
      </c>
    </row>
    <row r="10976" ht="15.75" customHeight="1">
      <c r="A10976" s="2" t="s">
        <v>10976</v>
      </c>
      <c r="B10976" s="2" t="str">
        <f>IFERROR(__xludf.DUMMYFUNCTION("GOOGLETRANSLATE(A10976, ""en"", ""mt"")"),"X'inhuma t-tliet libreriji popolari wara li għadhom ma ggradwawx fis-sistema ta 'Harvard?")</f>
        <v>X'inhuma t-tliet libreriji popolari wara li għadhom ma ggradwawx fis-sistema ta 'Harvard?</v>
      </c>
    </row>
    <row r="10977" ht="15.75" customHeight="1">
      <c r="A10977" s="2" t="s">
        <v>10977</v>
      </c>
      <c r="B10977" s="2" t="str">
        <f>IFERROR(__xludf.DUMMYFUNCTION("GOOGLETRANSLATE(A10977, ""en"", ""mt"")"),"Fejn ibiddel l-isem Nederrijn?")</f>
        <v>Fejn ibiddel l-isem Nederrijn?</v>
      </c>
    </row>
    <row r="10978" ht="15.75" customHeight="1">
      <c r="A10978" s="2" t="s">
        <v>10978</v>
      </c>
      <c r="B10978" s="2" t="str">
        <f>IFERROR(__xludf.DUMMYFUNCTION("GOOGLETRANSLATE(A10978, ""en"", ""mt"")"),"Artifact")</f>
        <v>Artifact</v>
      </c>
    </row>
    <row r="10979" ht="15.75" customHeight="1">
      <c r="A10979" s="2" t="s">
        <v>10979</v>
      </c>
      <c r="B10979" s="2" t="str">
        <f>IFERROR(__xludf.DUMMYFUNCTION("GOOGLETRANSLATE(A10979, ""en"", ""mt"")"),"Mercedes-Benz Superdome")</f>
        <v>Mercedes-Benz Superdome</v>
      </c>
    </row>
    <row r="10980" ht="15.75" customHeight="1">
      <c r="A10980" s="2" t="s">
        <v>10980</v>
      </c>
      <c r="B10980" s="2" t="str">
        <f>IFERROR(__xludf.DUMMYFUNCTION("GOOGLETRANSLATE(A10980, ""en"", ""mt"")"),"enerġija mekkanika")</f>
        <v>enerġija mekkanika</v>
      </c>
    </row>
    <row r="10981" ht="15.75" customHeight="1">
      <c r="A10981" s="2" t="s">
        <v>10981</v>
      </c>
      <c r="B10981" s="2" t="str">
        <f>IFERROR(__xludf.DUMMYFUNCTION("GOOGLETRANSLATE(A10981, ""en"", ""mt"")"),"ħamrija fqira.")</f>
        <v>ħamrija fqira.</v>
      </c>
    </row>
    <row r="10982" ht="15.75" customHeight="1">
      <c r="A10982" s="2" t="s">
        <v>10982</v>
      </c>
      <c r="B10982" s="2" t="str">
        <f>IFERROR(__xludf.DUMMYFUNCTION("GOOGLETRANSLATE(A10982, ""en"", ""mt"")"),"Fix-Xjenza, l-alumni jinkludu l-astronomi Carl Sagan, kontributur prominenti għar-riċerka xjentifika tal-ħajja extraterrestrial, u Edwin Hubble, magħrufa għall- ""Liġi ta 'Hubble"", l-astronawt tan-NASA John M. M. Grunsfeld, il-ġenetista James Watson, l-i"&amp;"ktar magħruf bħala wieħed mill-ko- Discoverters of the Structure of DNA, Fiżiċista Esperimentali Luis Alvarez, Ambjentalista Popolari David Suzuki, Balloonist Jeannette Piccard, Bijoloġisti Ernest Everett Just u Lynn Margulis, Xjentist tal-Kompjuter Richa"&amp;"rd Hamming, il-kreatur tal-Kodiċi Hamming, l-iżviluppatur tal-batterija tal-Lithium, John B. , ir-riċevitur tal-Midalja tal-Matematika u tal-Fields Paul Joseph Cohen, u l-ġeokimista Clair Cameron Patterson, li żviluppaw il-metodu ta 'dating taċ-ċomb tal-u"&amp;"ranju fid-dating taċ-ċomb taċ-ċomb. Il-fiżiċista u r-riċerkatur nukleari Stanton Friedman, li ħadem fuq xi proġetti bikrija li jinvolvu sistemi ta 'propulsjoni spazjali li jaħdmu bl-enerġija nukleari, huwa wkoll gradwat (M.SC).")</f>
        <v>Fix-Xjenza, l-alumni jinkludu l-astronomi Carl Sagan, kontributur prominenti għar-riċerka xjentifika tal-ħajja extraterrestrial, u Edwin Hubble, magħrufa għall- "Liġi ta 'Hubble", l-astronawt tan-NASA John M. M. Grunsfeld, il-ġenetista James Watson, l-iktar magħruf bħala wieħed mill-ko- Discoverters of the Structure of DNA, Fiżiċista Esperimentali Luis Alvarez, Ambjentalista Popolari David Suzuki, Balloonist Jeannette Piccard, Bijoloġisti Ernest Everett Just u Lynn Margulis, Xjentist tal-Kompjuter Richard Hamming, il-kreatur tal-Kodiċi Hamming, l-iżviluppatur tal-batterija tal-Lithium, John B. , ir-riċevitur tal-Midalja tal-Matematika u tal-Fields Paul Joseph Cohen, u l-ġeokimista Clair Cameron Patterson, li żviluppaw il-metodu ta 'dating taċ-ċomb tal-uranju fid-dating taċ-ċomb taċ-ċomb. Il-fiżiċista u r-riċerkatur nukleari Stanton Friedman, li ħadem fuq xi proġetti bikrija li jinvolvu sistemi ta 'propulsjoni spazjali li jaħdmu bl-enerġija nukleari, huwa wkoll gradwat (M.SC).</v>
      </c>
    </row>
    <row r="10983" ht="15.75" customHeight="1">
      <c r="A10983" s="2" t="s">
        <v>10983</v>
      </c>
      <c r="B10983" s="2" t="str">
        <f>IFERROR(__xludf.DUMMYFUNCTION("GOOGLETRANSLATE(A10983, ""en"", ""mt"")"),"In-Netwerks Affiljati approvaw ftehim ta 'affiljat ta' sentejn fl-2002. F'Settembru, il-president / CEO ta 'Disney Michael Eisner iddeskriva l-allinjament mill-ġdid propost tan-Netwerk tax-Xandir ABC Partijiet ta' Jum ma 'l-unità simili fil-kanali tal-kej"&amp;"bil tagħha: ABC is-Sibt filgħodu ma' kanali Disney (Toon &amp; Playhouse), ABC bi nhar ma 'SoapNet u ABC Prime Time mal-Familja ABC. L-2002 raw id-debutt tas-serje tal-ewwel realtà tan-netwerk, The Bachelor (is-suċċess tal-ispettaklu tal-istil tal-eliminazzjo"&amp;"ni wassal għal spinoff, The Bachelorette, li ħareġ is-sena ta 'wara, kif ukoll żewġ spinoffs addizzjonali li aktar tard iddebuttaw fil-bidu tal-2010) -")</f>
        <v>In-Netwerks Affiljati approvaw ftehim ta 'affiljat ta' sentejn fl-2002. F'Settembru, il-president / CEO ta 'Disney Michael Eisner iddeskriva l-allinjament mill-ġdid propost tan-Netwerk tax-Xandir ABC Partijiet ta' Jum ma 'l-unità simili fil-kanali tal-kejbil tagħha: ABC is-Sibt filgħodu ma' kanali Disney (Toon &amp; Playhouse), ABC bi nhar ma 'SoapNet u ABC Prime Time mal-Familja ABC. L-2002 raw id-debutt tas-serje tal-ewwel realtà tan-netwerk, The Bachelor (is-suċċess tal-ispettaklu tal-istil tal-eliminazzjoni wassal għal spinoff, The Bachelorette, li ħareġ is-sena ta 'wara, kif ukoll żewġ spinoffs addizzjonali li aktar tard iddebuttaw fil-bidu tal-2010) -</v>
      </c>
    </row>
    <row r="10984" ht="15.75" customHeight="1">
      <c r="A10984" s="2" t="s">
        <v>10984</v>
      </c>
      <c r="B10984" s="2" t="str">
        <f>IFERROR(__xludf.DUMMYFUNCTION("GOOGLETRANSLATE(A10984, ""en"", ""mt"")"),"Liema karatteristika Tesla qalet għenet l-abbiltajiet xjentifiċi tiegħu?")</f>
        <v>Liema karatteristika Tesla qalet għenet l-abbiltajiet xjentifiċi tiegħu?</v>
      </c>
    </row>
    <row r="10985" ht="15.75" customHeight="1">
      <c r="A10985" s="2" t="s">
        <v>10985</v>
      </c>
      <c r="B10985" s="2" t="str">
        <f>IFERROR(__xludf.DUMMYFUNCTION("GOOGLETRANSLATE(A10985, ""en"", ""mt"")"),"Johann Tetzel")</f>
        <v>Johann Tetzel</v>
      </c>
    </row>
    <row r="10986" ht="15.75" customHeight="1">
      <c r="A10986" s="2" t="s">
        <v>10986</v>
      </c>
      <c r="B10986" s="2" t="str">
        <f>IFERROR(__xludf.DUMMYFUNCTION("GOOGLETRANSLATE(A10986, ""en"", ""mt"")"),"skejjel indipendenti")</f>
        <v>skejjel indipendenti</v>
      </c>
    </row>
    <row r="10987" ht="15.75" customHeight="1">
      <c r="A10987" s="2" t="s">
        <v>10987</v>
      </c>
      <c r="B10987" s="2" t="str">
        <f>IFERROR(__xludf.DUMMYFUNCTION("GOOGLETRANSLATE(A10987, ""en"", ""mt"")"),"100")</f>
        <v>100</v>
      </c>
    </row>
    <row r="10988" ht="15.75" customHeight="1">
      <c r="A10988" s="2" t="s">
        <v>10988</v>
      </c>
      <c r="B10988" s="2" t="str">
        <f>IFERROR(__xludf.DUMMYFUNCTION("GOOGLETRANSLATE(A10988, ""en"", ""mt"")"),"Tape burokratiku eċċessiv hija waħda mir-raġunijiet għal liema tip ta 'sjieda?")</f>
        <v>Tape burokratiku eċċessiv hija waħda mir-raġunijiet għal liema tip ta 'sjieda?</v>
      </c>
    </row>
    <row r="10989" ht="15.75" customHeight="1">
      <c r="A10989" s="2" t="s">
        <v>10989</v>
      </c>
      <c r="B10989" s="2" t="str">
        <f>IFERROR(__xludf.DUMMYFUNCTION("GOOGLETRANSLATE(A10989, ""en"", ""mt"")"),"Gasquet")</f>
        <v>Gasquet</v>
      </c>
    </row>
    <row r="10990" ht="15.75" customHeight="1">
      <c r="A10990" s="2" t="s">
        <v>10990</v>
      </c>
      <c r="B10990" s="2" t="str">
        <f>IFERROR(__xludf.DUMMYFUNCTION("GOOGLETRANSLATE(A10990, ""en"", ""mt"")"),"Kemm nies qatlu l-Ħamas bejn l-2000 u l-2007?")</f>
        <v>Kemm nies qatlu l-Ħamas bejn l-2000 u l-2007?</v>
      </c>
    </row>
    <row r="10991" ht="15.75" customHeight="1">
      <c r="A10991" s="2" t="s">
        <v>10991</v>
      </c>
      <c r="B10991" s="2" t="str">
        <f>IFERROR(__xludf.DUMMYFUNCTION("GOOGLETRANSLATE(A10991, ""en"", ""mt"")"),"X'sena għamlet l-ewwel Doctor Who Show fuq it-TV?")</f>
        <v>X'sena għamlet l-ewwel Doctor Who Show fuq it-TV?</v>
      </c>
    </row>
    <row r="10992" ht="15.75" customHeight="1">
      <c r="A10992" s="2" t="s">
        <v>10992</v>
      </c>
      <c r="B10992" s="2" t="str">
        <f>IFERROR(__xludf.DUMMYFUNCTION("GOOGLETRANSLATE(A10992, ""en"", ""mt"")"),"13.34%")</f>
        <v>13.34%</v>
      </c>
    </row>
    <row r="10993" ht="15.75" customHeight="1">
      <c r="A10993" s="2" t="s">
        <v>10993</v>
      </c>
      <c r="B10993" s="2" t="str">
        <f>IFERROR(__xludf.DUMMYFUNCTION("GOOGLETRANSLATE(A10993, ""en"", ""mt"")"),"Liema belt hija l-ħames l-akbar belt f'Kalifornja?")</f>
        <v>Liema belt hija l-ħames l-akbar belt f'Kalifornja?</v>
      </c>
    </row>
    <row r="10994" ht="15.75" customHeight="1">
      <c r="A10994" s="2" t="s">
        <v>10994</v>
      </c>
      <c r="B10994" s="2" t="str">
        <f>IFERROR(__xludf.DUMMYFUNCTION("GOOGLETRANSLATE(A10994, ""en"", ""mt"")"),"inkompetenti, ineffiċjenti, jew negliku")</f>
        <v>inkompetenti, ineffiċjenti, jew negliku</v>
      </c>
    </row>
    <row r="10995" ht="15.75" customHeight="1">
      <c r="A10995" s="2" t="s">
        <v>10995</v>
      </c>
      <c r="B10995" s="2" t="str">
        <f>IFERROR(__xludf.DUMMYFUNCTION("GOOGLETRANSLATE(A10995, ""en"", ""mt"")"),"X’għamel l-emigrazzjoni lejn dawn il-kolonji attraenti?")</f>
        <v>X’għamel l-emigrazzjoni lejn dawn il-kolonji attraenti?</v>
      </c>
    </row>
    <row r="10996" ht="15.75" customHeight="1">
      <c r="A10996" s="2" t="s">
        <v>10996</v>
      </c>
      <c r="B10996" s="2" t="str">
        <f>IFERROR(__xludf.DUMMYFUNCTION("GOOGLETRANSLATE(A10996, ""en"", ""mt"")"),"NP-Complete Klaptack")</f>
        <v>NP-Complete Klaptack</v>
      </c>
    </row>
    <row r="10997" ht="15.75" customHeight="1">
      <c r="A10997" s="2" t="s">
        <v>10997</v>
      </c>
      <c r="B10997" s="2" t="str">
        <f>IFERROR(__xludf.DUMMYFUNCTION("GOOGLETRANSLATE(A10997, ""en"", ""mt"")"),"Kejl tal-prevalenza tal-korruzzjoni tas-settur pubbliku f’diversi pajjiżi")</f>
        <v>Kejl tal-prevalenza tal-korruzzjoni tas-settur pubbliku f’diversi pajjiżi</v>
      </c>
    </row>
    <row r="10998" ht="15.75" customHeight="1">
      <c r="A10998" s="2" t="s">
        <v>10998</v>
      </c>
      <c r="B10998" s="2" t="str">
        <f>IFERROR(__xludf.DUMMYFUNCTION("GOOGLETRANSLATE(A10998, ""en"", ""mt"")"),"Fit-8 ta 'Frar 2007")</f>
        <v>Fit-8 ta 'Frar 2007</v>
      </c>
    </row>
    <row r="10999" ht="15.75" customHeight="1">
      <c r="A10999" s="2" t="s">
        <v>10999</v>
      </c>
      <c r="B10999" s="2" t="str">
        <f>IFERROR(__xludf.DUMMYFUNCTION("GOOGLETRANSLATE(A10999, ""en"", ""mt"")"),"il-kamra tal-lukanda tiegħu")</f>
        <v>il-kamra tal-lukanda tiegħu</v>
      </c>
    </row>
    <row r="11000" ht="15.75" customHeight="1">
      <c r="A11000" s="2" t="s">
        <v>11000</v>
      </c>
      <c r="B11000" s="2" t="str">
        <f>IFERROR(__xludf.DUMMYFUNCTION("GOOGLETRANSLATE(A11000, ""en"", ""mt"")"),"Wara kull elezzjoni għall-Parlament Skoċċiż, fil-bidu ta 'kull sessjoni parlamentari, il-Parlament jagħżel MSP wieħed biex iservi bħala uffiċjal li jippresiedi, l-ekwivalenti tal-kelliem (bħalissa Tricia Marwick), u żewġ MSPs biex iservu bħala deputati (b"&amp;"ħalissa Elaine Smith u John Scott). L-uffiċjal li jippresiedi u d-deputati huma eletti minn votazzjoni sigrieta tal-129 MSPs, li hija l-unika votazzjoni sigrieta mmexxija fil-Parlament Skoċċiż. Prinċipalment, ir-rwol tal-uffiċjal li jippresiedi huwa li ji"&amp;"ppresjedi l-proċeduri tal-kamra u l-korp korporattiv Parlamentari Skoċċiż. Meta jippresjedi laqgħat tal-Parlament, l-uffiċjal li jippresiedi u d-deputati tiegħu / tagħha għandhom ikunu politikament imparzjali. Waqt id-dibattiti, l-uffiċjal li jippresiedi "&amp;"(jew id-deputat) huwa megħjun mill-iskrivani Parlamentari, li jagħtu pariri dwar kif jiġu interpretati l-ordnijiet permanenti li jirregolaw il-proċeduri tal-laqgħat. Skrivan tal-vot joqgħod quddiem l-uffiċjal li jippresiedi u jopera t-tagħmir tal-vot elet"&amp;"troniku u l-arloġġi tal-kamra.")</f>
        <v>Wara kull elezzjoni għall-Parlament Skoċċiż, fil-bidu ta 'kull sessjoni parlamentari, il-Parlament jagħżel MSP wieħed biex iservi bħala uffiċjal li jippresiedi, l-ekwivalenti tal-kelliem (bħalissa Tricia Marwick), u żewġ MSPs biex iservu bħala deputati (bħalissa Elaine Smith u John Scott). L-uffiċjal li jippresiedi u d-deputati huma eletti minn votazzjoni sigrieta tal-129 MSPs, li hija l-unika votazzjoni sigrieta mmexxija fil-Parlament Skoċċiż. Prinċipalment, ir-rwol tal-uffiċjal li jippresiedi huwa li jippresjedi l-proċeduri tal-kamra u l-korp korporattiv Parlamentari Skoċċiż. Meta jippresjedi laqgħat tal-Parlament, l-uffiċjal li jippresiedi u d-deputati tiegħu / tagħha għandhom ikunu politikament imparzjali. Waqt id-dibattiti, l-uffiċjal li jippresiedi (jew id-deputat) huwa megħjun mill-iskrivani Parlamentari, li jagħtu pariri dwar kif jiġu interpretati l-ordnijiet permanenti li jirregolaw il-proċeduri tal-laqgħat. Skrivan tal-vot joqgħod quddiem l-uffiċjal li jippresiedi u jopera t-tagħmir tal-vot elettroniku u l-arloġġi tal-kamra.</v>
      </c>
    </row>
    <row r="11001" ht="15.75" customHeight="1">
      <c r="A11001" s="2" t="s">
        <v>11001</v>
      </c>
      <c r="B11001" s="2" t="str">
        <f>IFERROR(__xludf.DUMMYFUNCTION("GOOGLETRANSLATE(A11001, ""en"", ""mt"")"),"Id-Diviżjoni tas-Serje tad-Dipartiment tad-Drama tal-BBC ipproduċiet il-programm għal 26 staġuni, imxandra fuq il-BBC 1. Numri ta 'wiri li jaqgħu, tnaqqis fil-perċezzjoni pubblika tal-ispettaklu u slot ta' trasmissjoni inqas prominenti raw produzzjoni sos"&amp;"piża fl-1989 minn Jonathan Powell, kontrollur tal-BBC 1. Għalkemm (kif il-ko-istilla tas-serje Sophie Aldred irrappurtat fid-dokumentarju Doctor Who: aktar minn 30 sena fit-TARDIS) kienet effettivament, jekk mhux formalment, ikkanċellata bid-deċiżjoni li "&amp;"ma tikkummissjonax 27 serje ppjanata tal-ispettaklu għat-trasmissjoni Fl-1990, il-BBC ripetutament affermat li s-serje tirritorna.")</f>
        <v>Id-Diviżjoni tas-Serje tad-Dipartiment tad-Drama tal-BBC ipproduċiet il-programm għal 26 staġuni, imxandra fuq il-BBC 1. Numri ta 'wiri li jaqgħu, tnaqqis fil-perċezzjoni pubblika tal-ispettaklu u slot ta' trasmissjoni inqas prominenti raw produzzjoni sospiża fl-1989 minn Jonathan Powell, kontrollur tal-BBC 1. Għalkemm (kif il-ko-istilla tas-serje Sophie Aldred irrappurtat fid-dokumentarju Doctor Who: aktar minn 30 sena fit-TARDIS) kienet effettivament, jekk mhux formalment, ikkanċellata bid-deċiżjoni li ma tikkummissjonax 27 serje ppjanata tal-ispettaklu għat-trasmissjoni Fl-1990, il-BBC ripetutament affermat li s-serje tirritorna.</v>
      </c>
    </row>
    <row r="11002" ht="15.75" customHeight="1">
      <c r="A11002" s="2" t="s">
        <v>11002</v>
      </c>
      <c r="B11002" s="2" t="str">
        <f>IFERROR(__xludf.DUMMYFUNCTION("GOOGLETRANSLATE(A11002, ""en"", ""mt"")"),"Kemm btieħi kien il-gowl mitluf fil-grawnd?")</f>
        <v>Kemm btieħi kien il-gowl mitluf fil-grawnd?</v>
      </c>
    </row>
    <row r="11003" ht="15.75" customHeight="1">
      <c r="A11003" s="2" t="s">
        <v>11003</v>
      </c>
      <c r="B11003" s="2" t="str">
        <f>IFERROR(__xludf.DUMMYFUNCTION("GOOGLETRANSLATE(A11003, ""en"", ""mt"")"),"Aqta 'l-Frontier Franċiż Fortizzi Aktar lejn il-Punent u n-Nofsinhar")</f>
        <v>Aqta 'l-Frontier Franċiż Fortizzi Aktar lejn il-Punent u n-Nofsinhar</v>
      </c>
    </row>
    <row r="11004" ht="15.75" customHeight="1">
      <c r="A11004" s="2" t="s">
        <v>11004</v>
      </c>
      <c r="B11004" s="2" t="str">
        <f>IFERROR(__xludf.DUMMYFUNCTION("GOOGLETRANSLATE(A11004, ""en"", ""mt"")"),"Maciot de Bethencourt")</f>
        <v>Maciot de Bethencourt</v>
      </c>
    </row>
    <row r="11005" ht="15.75" customHeight="1">
      <c r="A11005" s="2" t="s">
        <v>11005</v>
      </c>
      <c r="B11005" s="2" t="str">
        <f>IFERROR(__xludf.DUMMYFUNCTION("GOOGLETRANSLATE(A11005, ""en"", ""mt"")"),"Problemi intrattabbli li m'għandhomx soluzzjonijiet ta 'ħin polinomjali neċessarjament ixxejjen l-effikaċja prattika ta' liema tip ta 'algoritmu?")</f>
        <v>Problemi intrattabbli li m'għandhomx soluzzjonijiet ta 'ħin polinomjali neċessarjament ixxejjen l-effikaċja prattika ta' liema tip ta 'algoritmu?</v>
      </c>
    </row>
    <row r="11006" ht="15.75" customHeight="1">
      <c r="A11006" s="2" t="s">
        <v>11006</v>
      </c>
      <c r="B11006" s="2" t="str">
        <f>IFERROR(__xludf.DUMMYFUNCTION("GOOGLETRANSLATE(A11006, ""en"", ""mt"")"),"X'tip ta 'kurrent elettriku huwa meħtieġ għall-elettroliżi?")</f>
        <v>X'tip ta 'kurrent elettriku huwa meħtieġ għall-elettroliżi?</v>
      </c>
    </row>
    <row r="11007" ht="15.75" customHeight="1">
      <c r="A11007" s="2" t="s">
        <v>11007</v>
      </c>
      <c r="B11007" s="2" t="str">
        <f>IFERROR(__xludf.DUMMYFUNCTION("GOOGLETRANSLATE(A11007, ""en"", ""mt"")"),"dgħjufija fid-dixxiplina tal-iskola")</f>
        <v>dgħjufija fid-dixxiplina tal-iskola</v>
      </c>
    </row>
    <row r="11008" ht="15.75" customHeight="1">
      <c r="A11008" s="2" t="s">
        <v>11008</v>
      </c>
      <c r="B11008" s="2" t="str">
        <f>IFERROR(__xludf.DUMMYFUNCTION("GOOGLETRANSLATE(A11008, ""en"", ""mt"")"),"Minn liema materjal huwa magħmul il-ganċ ta 'Gloucester?")</f>
        <v>Minn liema materjal huwa magħmul il-ganċ ta 'Gloucester?</v>
      </c>
    </row>
    <row r="11009" ht="15.75" customHeight="1">
      <c r="A11009" s="2" t="s">
        <v>11009</v>
      </c>
      <c r="B11009" s="2" t="str">
        <f>IFERROR(__xludf.DUMMYFUNCTION("GOOGLETRANSLATE(A11009, ""en"", ""mt"")"),"l-uffiċjal li jippresiedi")</f>
        <v>l-uffiċjal li jippresiedi</v>
      </c>
    </row>
    <row r="11010" ht="15.75" customHeight="1">
      <c r="A11010" s="2" t="s">
        <v>11010</v>
      </c>
      <c r="B11010" s="2" t="str">
        <f>IFERROR(__xludf.DUMMYFUNCTION("GOOGLETRANSLATE(A11010, ""en"", ""mt"")"),"Min kien limitat mid-difiża ta 'Denver?")</f>
        <v>Min kien limitat mid-difiża ta 'Denver?</v>
      </c>
    </row>
    <row r="11011" ht="15.75" customHeight="1">
      <c r="A11011" s="2" t="s">
        <v>11011</v>
      </c>
      <c r="B11011" s="2" t="str">
        <f>IFERROR(__xludf.DUMMYFUNCTION("GOOGLETRANSLATE(A11011, ""en"", ""mt"")"),"X'inhi problema partikolari fil-bijoloġija li tibbenefika mid-determinazzjoni ta 'dak p = np?")</f>
        <v>X'inhi problema partikolari fil-bijoloġija li tibbenefika mid-determinazzjoni ta 'dak p = np?</v>
      </c>
    </row>
    <row r="11012" ht="15.75" customHeight="1">
      <c r="A11012" s="2" t="s">
        <v>11012</v>
      </c>
      <c r="B11012" s="2" t="str">
        <f>IFERROR(__xludf.DUMMYFUNCTION("GOOGLETRANSLATE(A11012, ""en"", ""mt"")"),"7")</f>
        <v>7</v>
      </c>
    </row>
    <row r="11013" ht="15.75" customHeight="1">
      <c r="A11013" s="2" t="s">
        <v>11013</v>
      </c>
      <c r="B11013" s="2" t="str">
        <f>IFERROR(__xludf.DUMMYFUNCTION("GOOGLETRANSLATE(A11013, ""en"", ""mt"")"),"Partijiet oħra ta 'oġġett")</f>
        <v>Partijiet oħra ta 'oġġett</v>
      </c>
    </row>
    <row r="11014" ht="15.75" customHeight="1">
      <c r="A11014" s="2" t="s">
        <v>11014</v>
      </c>
      <c r="B11014" s="2" t="str">
        <f>IFERROR(__xludf.DUMMYFUNCTION("GOOGLETRANSLATE(A11014, ""en"", ""mt"")"),"32%")</f>
        <v>32%</v>
      </c>
    </row>
    <row r="11015" ht="15.75" customHeight="1">
      <c r="A11015" s="2" t="s">
        <v>11015</v>
      </c>
      <c r="B11015" s="2" t="str">
        <f>IFERROR(__xludf.DUMMYFUNCTION("GOOGLETRANSLATE(A11015, ""en"", ""mt"")"),"Kemm għamlet Sky biex tirbaħ l-4 pacakges imxandra li xtraw?")</f>
        <v>Kemm għamlet Sky biex tirbaħ l-4 pacakges imxandra li xtraw?</v>
      </c>
    </row>
    <row r="11016" ht="15.75" customHeight="1">
      <c r="A11016" s="2" t="s">
        <v>11016</v>
      </c>
      <c r="B11016" s="2" t="str">
        <f>IFERROR(__xludf.DUMMYFUNCTION("GOOGLETRANSLATE(A11016, ""en"", ""mt"")"),"A ibridu Bermuda 419 Turf.")</f>
        <v>A ibridu Bermuda 419 Turf.</v>
      </c>
    </row>
    <row r="11017" ht="15.75" customHeight="1">
      <c r="A11017" s="2" t="s">
        <v>11017</v>
      </c>
      <c r="B11017" s="2" t="str">
        <f>IFERROR(__xludf.DUMMYFUNCTION("GOOGLETRANSLATE(A11017, ""en"", ""mt"")"),"Dak li jservi bħala barriera bijoloġika billi jikkompeti għall-ispazju u l-ikel fil-passaġġ GI?")</f>
        <v>Dak li jservi bħala barriera bijoloġika billi jikkompeti għall-ispazju u l-ikel fil-passaġġ GI?</v>
      </c>
    </row>
    <row r="11018" ht="15.75" customHeight="1">
      <c r="A11018" s="2" t="s">
        <v>11018</v>
      </c>
      <c r="B11018" s="2" t="str">
        <f>IFERROR(__xludf.DUMMYFUNCTION("GOOGLETRANSLATE(A11018, ""en"", ""mt"")"),"X'għandu jkun l-għan ewlieni li ma tużax kastig f'sistema ġusta?")</f>
        <v>X'għandu jkun l-għan ewlieni li ma tużax kastig f'sistema ġusta?</v>
      </c>
    </row>
    <row r="11019" ht="15.75" customHeight="1">
      <c r="A11019" s="2" t="s">
        <v>11019</v>
      </c>
      <c r="B11019" s="2" t="str">
        <f>IFERROR(__xludf.DUMMYFUNCTION("GOOGLETRANSLATE(A11019, ""en"", ""mt"")"),"Minn xiex jinżlu l-kloroplasti tal-pjanta?")</f>
        <v>Minn xiex jinżlu l-kloroplasti tal-pjanta?</v>
      </c>
    </row>
    <row r="11020" ht="15.75" customHeight="1">
      <c r="A11020" s="2" t="s">
        <v>11020</v>
      </c>
      <c r="B11020" s="2" t="str">
        <f>IFERROR(__xludf.DUMMYFUNCTION("GOOGLETRANSLATE(A11020, ""en"", ""mt"")"),"X'inhu t-tieni l-akbar kontributur għall-PGD tal-Kenja?")</f>
        <v>X'inhu t-tieni l-akbar kontributur għall-PGD tal-Kenja?</v>
      </c>
    </row>
    <row r="11021" ht="15.75" customHeight="1">
      <c r="A11021" s="2" t="s">
        <v>11021</v>
      </c>
      <c r="B11021" s="2" t="str">
        <f>IFERROR(__xludf.DUMMYFUNCTION("GOOGLETRANSLATE(A11021, ""en"", ""mt"")"),"Netwerk tad-dejta bbażat fuq dan in-netwerk tal-vuċi tat-telefown kien iddisinjat biex jgħaqqad l-erba 'ċentri tal-bejgħ u s-servizzi tal-kompjuter ta' GE")</f>
        <v>Netwerk tad-dejta bbażat fuq dan in-netwerk tal-vuċi tat-telefown kien iddisinjat biex jgħaqqad l-erba 'ċentri tal-bejgħ u s-servizzi tal-kompjuter ta' GE</v>
      </c>
    </row>
    <row r="11022" ht="15.75" customHeight="1">
      <c r="A11022" s="2" t="s">
        <v>11022</v>
      </c>
      <c r="B11022" s="2" t="str">
        <f>IFERROR(__xludf.DUMMYFUNCTION("GOOGLETRANSLATE(A11022, ""en"", ""mt"")"),"Rheinrinne")</f>
        <v>Rheinrinne</v>
      </c>
    </row>
    <row r="11023" ht="15.75" customHeight="1">
      <c r="A11023" s="2" t="s">
        <v>11023</v>
      </c>
      <c r="B11023" s="2" t="str">
        <f>IFERROR(__xludf.DUMMYFUNCTION("GOOGLETRANSLATE(A11023, ""en"", ""mt"")"),"Paramount imħallsa fo, 10 Cloverfield Lane u liema karru ieħor tal-films għandhom jixxandru waqt il-logħba?")</f>
        <v>Paramount imħallsa fo, 10 Cloverfield Lane u liema karru ieħor tal-films għandhom jixxandru waqt il-logħba?</v>
      </c>
    </row>
    <row r="11024" ht="15.75" customHeight="1">
      <c r="A11024" s="2" t="s">
        <v>11024</v>
      </c>
      <c r="B11024" s="2" t="str">
        <f>IFERROR(__xludf.DUMMYFUNCTION("GOOGLETRANSLATE(A11024, ""en"", ""mt"")"),"Duttrina ta ’Satyagraha")</f>
        <v>Duttrina ta ’Satyagraha</v>
      </c>
    </row>
    <row r="11025" ht="15.75" customHeight="1">
      <c r="A11025" s="2" t="s">
        <v>11025</v>
      </c>
      <c r="B11025" s="2" t="str">
        <f>IFERROR(__xludf.DUMMYFUNCTION("GOOGLETRANSLATE(A11025, ""en"", ""mt"")"),"Liema rotta jgħaqqad lil Fresno mal-Wied Ċentrali ta 'Kalifornja?")</f>
        <v>Liema rotta jgħaqqad lil Fresno mal-Wied Ċentrali ta 'Kalifornja?</v>
      </c>
    </row>
    <row r="11026" ht="15.75" customHeight="1">
      <c r="A11026" s="2" t="s">
        <v>11026</v>
      </c>
      <c r="B11026" s="2" t="str">
        <f>IFERROR(__xludf.DUMMYFUNCTION("GOOGLETRANSLATE(A11026, ""en"", ""mt"")"),"Artikoli 106 u 107")</f>
        <v>Artikoli 106 u 107</v>
      </c>
    </row>
    <row r="11027" ht="15.75" customHeight="1">
      <c r="A11027" s="2" t="s">
        <v>11027</v>
      </c>
      <c r="B11027" s="2" t="str">
        <f>IFERROR(__xludf.DUMMYFUNCTION("GOOGLETRANSLATE(A11027, ""en"", ""mt"")"),"Liema ittajpjar huma l-ittri fil-logo ikoniku ABC li tfakkar?")</f>
        <v>Liema ittajpjar huma l-ittri fil-logo ikoniku ABC li tfakkar?</v>
      </c>
    </row>
    <row r="11028" ht="15.75" customHeight="1">
      <c r="A11028" s="2" t="s">
        <v>11028</v>
      </c>
      <c r="B11028" s="2" t="str">
        <f>IFERROR(__xludf.DUMMYFUNCTION("GOOGLETRANSLATE(A11028, ""en"", ""mt"")"),"Bejn l-1991 u l-2000, l-erja totali tal-foresta mitlufa fl-Amażonja telgħet minn 415,000 għal 587,000 kilometru kwadru (160,000 għal 227,000 sq mi), bil-biċċa l-kbira tal-foresta mitlufa ssir mergħa għall-baqar. Sebgħin fil-mija tal-art li qabel kienet fo"&amp;"restata fl-Amażonja, u 91% tal-art deforestata mill-1970, hija użata għall-mergħa tal-bhejjem. Bħalissa, il-Brażil huwa t-tieni l-akbar produttur globali tas-sojja wara l-Istati Uniti. Riċerka ġdida madankollu, immexxija minn Leydimere Oliveira et al., Ur"&amp;"iet li l-aktar foresta tropikali tkun illoggjata fl-Amażonja, inqas il-preċipitazzjoni tilħaq iż-żona u għalhekk iktar ikun baxx ir-rendiment għal kull ettaru. Allura minkejja l-perċezzjoni popolari, ma kien hemm l-ebda vantaġġ ekonomiku għall-Brażil minn"&amp;" żoni ta 'foresti tropikali u kkonvertiti dawn f'għelieqi pastorali.")</f>
        <v>Bejn l-1991 u l-2000, l-erja totali tal-foresta mitlufa fl-Amażonja telgħet minn 415,000 għal 587,000 kilometru kwadru (160,000 għal 227,000 sq mi), bil-biċċa l-kbira tal-foresta mitlufa ssir mergħa għall-baqar. Sebgħin fil-mija tal-art li qabel kienet forestata fl-Amażonja, u 91% tal-art deforestata mill-1970, hija użata għall-mergħa tal-bhejjem. Bħalissa, il-Brażil huwa t-tieni l-akbar produttur globali tas-sojja wara l-Istati Uniti. Riċerka ġdida madankollu, immexxija minn Leydimere Oliveira et al., Uriet li l-aktar foresta tropikali tkun illoggjata fl-Amażonja, inqas il-preċipitazzjoni tilħaq iż-żona u għalhekk iktar ikun baxx ir-rendiment għal kull ettaru. Allura minkejja l-perċezzjoni popolari, ma kien hemm l-ebda vantaġġ ekonomiku għall-Brażil minn żoni ta 'foresti tropikali u kkonvertiti dawn f'għelieqi pastorali.</v>
      </c>
    </row>
    <row r="11029" ht="15.75" customHeight="1">
      <c r="A11029" s="2" t="s">
        <v>11029</v>
      </c>
      <c r="B11029" s="2" t="str">
        <f>IFERROR(__xludf.DUMMYFUNCTION("GOOGLETRANSLATE(A11029, ""en"", ""mt"")"),"Territorju fil-lvant tal-Mississippi sal-Gran Brittanja")</f>
        <v>Territorju fil-lvant tal-Mississippi sal-Gran Brittanja</v>
      </c>
    </row>
    <row r="11030" ht="15.75" customHeight="1">
      <c r="A11030" s="2" t="s">
        <v>11030</v>
      </c>
      <c r="B11030" s="2" t="str">
        <f>IFERROR(__xludf.DUMMYFUNCTION("GOOGLETRANSLATE(A11030, ""en"", ""mt"")"),"Kolonjali")</f>
        <v>Kolonjali</v>
      </c>
    </row>
    <row r="11031" ht="15.75" customHeight="1">
      <c r="A11031" s="2" t="s">
        <v>11031</v>
      </c>
      <c r="B11031" s="2" t="str">
        <f>IFERROR(__xludf.DUMMYFUNCTION("GOOGLETRANSLATE(A11031, ""en"", ""mt"")"),"Robert Boyle")</f>
        <v>Robert Boyle</v>
      </c>
    </row>
    <row r="11032" ht="15.75" customHeight="1">
      <c r="A11032" s="2" t="s">
        <v>11032</v>
      </c>
      <c r="B11032" s="2" t="str">
        <f>IFERROR(__xludf.DUMMYFUNCTION("GOOGLETRANSLATE(A11032, ""en"", ""mt"")"),"Korp u Demm ta ’Kristu")</f>
        <v>Korp u Demm ta ’Kristu</v>
      </c>
    </row>
    <row r="11033" ht="15.75" customHeight="1">
      <c r="A11033" s="2" t="s">
        <v>11033</v>
      </c>
      <c r="B11033" s="2" t="str">
        <f>IFERROR(__xludf.DUMMYFUNCTION("GOOGLETRANSLATE(A11033, ""en"", ""mt"")"),"Meta huma meħtieġa inqas ħaddiema, x'jiġri mis-suq tax-xogħol?")</f>
        <v>Meta huma meħtieġa inqas ħaddiema, x'jiġri mis-suq tax-xogħol?</v>
      </c>
    </row>
    <row r="11034" ht="15.75" customHeight="1">
      <c r="A11034" s="2" t="s">
        <v>11034</v>
      </c>
      <c r="B11034" s="2" t="str">
        <f>IFERROR(__xludf.DUMMYFUNCTION("GOOGLETRANSLATE(A11034, ""en"", ""mt"")"),"Mill-2005, x'inhu s-sess ta 'Doctor Who's Primary Traveling Companion?")</f>
        <v>Mill-2005, x'inhu s-sess ta 'Doctor Who's Primary Traveling Companion?</v>
      </c>
    </row>
    <row r="11035" ht="15.75" customHeight="1">
      <c r="A11035" s="2" t="s">
        <v>11035</v>
      </c>
      <c r="B11035" s="2" t="str">
        <f>IFERROR(__xludf.DUMMYFUNCTION("GOOGLETRANSLATE(A11035, ""en"", ""mt"")"),"X'inhu l-format nattiv għall-proprjetajiet tat-TV tal-Istati Uniti tal-Walt Disney Company?")</f>
        <v>X'inhu l-format nattiv għall-proprjetajiet tat-TV tal-Istati Uniti tal-Walt Disney Company?</v>
      </c>
    </row>
    <row r="11036" ht="15.75" customHeight="1">
      <c r="A11036" s="2" t="s">
        <v>11036</v>
      </c>
      <c r="B11036" s="2" t="str">
        <f>IFERROR(__xludf.DUMMYFUNCTION("GOOGLETRANSLATE(A11036, ""en"", ""mt"")"),"Johann von Staupitz,")</f>
        <v>Johann von Staupitz,</v>
      </c>
    </row>
    <row r="11037" ht="15.75" customHeight="1">
      <c r="A11037" s="2" t="s">
        <v>11037</v>
      </c>
      <c r="B11037" s="2" t="str">
        <f>IFERROR(__xludf.DUMMYFUNCTION("GOOGLETRANSLATE(A11037, ""en"", ""mt"")"),"Marzu 2003")</f>
        <v>Marzu 2003</v>
      </c>
    </row>
    <row r="11038" ht="15.75" customHeight="1">
      <c r="A11038" s="2" t="s">
        <v>11038</v>
      </c>
      <c r="B11038" s="2" t="str">
        <f>IFERROR(__xludf.DUMMYFUNCTION("GOOGLETRANSLATE(A11038, ""en"", ""mt"")"),"Walt Disney tippreżenta")</f>
        <v>Walt Disney tippreżenta</v>
      </c>
    </row>
    <row r="11039" ht="15.75" customHeight="1">
      <c r="A11039" s="2" t="s">
        <v>11039</v>
      </c>
      <c r="B11039" s="2" t="str">
        <f>IFERROR(__xludf.DUMMYFUNCTION("GOOGLETRANSLATE(A11039, ""en"", ""mt"")"),"Prim fard")</f>
        <v>Prim fard</v>
      </c>
    </row>
    <row r="11040" ht="15.75" customHeight="1">
      <c r="A11040" s="2" t="s">
        <v>11040</v>
      </c>
      <c r="B11040" s="2" t="str">
        <f>IFERROR(__xludf.DUMMYFUNCTION("GOOGLETRANSLATE(A11040, ""en"", ""mt"")"),"Barra minn hekk, hemm $ 2 miljun f'avvenimenti anċillari oħra, inkluż avveniment ta 'ġimgħa fit-tul taċ-Ċentru tal-Konvenzjonijiet ta' Santa Clara, festival tal-birra, tal-inbid u tal-ikel fil-Bellomy Field fl-Università ta 'Santa Clara, u rally PEP. Ġbir"&amp;" ta 'fondi professjonali se jgħin biex isib sponsors tan-negozju u donaturi individwali, iżda xorta jista' jkollu bżonn il-Kunsill tal-Belt biex jgħin jiffinanzja l-avveniment. Finanzjament addizzjonali se jkun ipprovdut mill-Kunsill tal-Belt, li ħabbar p"&amp;"janijiet biex iwarrab il-finanzjament taż-żerriegħa għall-avveniment.")</f>
        <v>Barra minn hekk, hemm $ 2 miljun f'avvenimenti anċillari oħra, inkluż avveniment ta 'ġimgħa fit-tul taċ-Ċentru tal-Konvenzjonijiet ta' Santa Clara, festival tal-birra, tal-inbid u tal-ikel fil-Bellomy Field fl-Università ta 'Santa Clara, u rally PEP. Ġbir ta 'fondi professjonali se jgħin biex isib sponsors tan-negozju u donaturi individwali, iżda xorta jista' jkollu bżonn il-Kunsill tal-Belt biex jgħin jiffinanzja l-avveniment. Finanzjament addizzjonali se jkun ipprovdut mill-Kunsill tal-Belt, li ħabbar pjanijiet biex iwarrab il-finanzjament taż-żerriegħa għall-avveniment.</v>
      </c>
    </row>
    <row r="11041" ht="15.75" customHeight="1">
      <c r="A11041" s="2" t="s">
        <v>11041</v>
      </c>
      <c r="B11041" s="2" t="str">
        <f>IFERROR(__xludf.DUMMYFUNCTION("GOOGLETRANSLATE(A11041, ""en"", ""mt"")"),"Membri tal-Organizzazzjoni tal-Pajjiżi li Jesportaw il-Petrolju Għarab")</f>
        <v>Membri tal-Organizzazzjoni tal-Pajjiżi li Jesportaw il-Petrolju Għarab</v>
      </c>
    </row>
    <row r="11042" ht="15.75" customHeight="1">
      <c r="A11042" s="2" t="s">
        <v>11042</v>
      </c>
      <c r="B11042" s="2" t="str">
        <f>IFERROR(__xludf.DUMMYFUNCTION("GOOGLETRANSLATE(A11042, ""en"", ""mt"")"),"Kemm ġew murija l-ispeċjalitajiet tal-Milied tat-Tabib Min?")</f>
        <v>Kemm ġew murija l-ispeċjalitajiet tal-Milied tat-Tabib Min?</v>
      </c>
    </row>
    <row r="11043" ht="15.75" customHeight="1">
      <c r="A11043" s="2" t="s">
        <v>11043</v>
      </c>
      <c r="B11043" s="2" t="str">
        <f>IFERROR(__xludf.DUMMYFUNCTION("GOOGLETRANSLATE(A11043, ""en"", ""mt"")"),"ma jikserx id-drittijiet ta 'ħaddieħor")</f>
        <v>ma jikserx id-drittijiet ta 'ħaddieħor</v>
      </c>
    </row>
    <row r="11044" ht="15.75" customHeight="1">
      <c r="A11044" s="2" t="s">
        <v>11044</v>
      </c>
      <c r="B11044" s="2" t="str">
        <f>IFERROR(__xludf.DUMMYFUNCTION("GOOGLETRANSLATE(A11044, ""en"", ""mt"")"),"John Pell")</f>
        <v>John Pell</v>
      </c>
    </row>
    <row r="11045" ht="15.75" customHeight="1">
      <c r="A11045" s="2" t="s">
        <v>11045</v>
      </c>
      <c r="B11045" s="2" t="str">
        <f>IFERROR(__xludf.DUMMYFUNCTION("GOOGLETRANSLATE(A11045, ""en"", ""mt"")"),"is-seba '")</f>
        <v>is-seba '</v>
      </c>
    </row>
    <row r="11046" ht="15.75" customHeight="1">
      <c r="A11046" s="2" t="s">
        <v>11046</v>
      </c>
      <c r="B11046" s="2" t="str">
        <f>IFERROR(__xludf.DUMMYFUNCTION("GOOGLETRANSLATE(A11046, ""en"", ""mt"")"),"F'dak li għandu x'jaqsam ma 'l-ipprogrammar, erbgħa mill-wirjiet tal-marka ta' ABC tas-snin sebgħin temmew il-ġirjiet tagħhom matul nofs is-snin 1980: Laverne &amp; Shirley temmew il-ġirja tagħha fl-1983, Happy Days u Three's Company spiċċaw fl-1984 (b'dawn t"&amp;"al-aħħar jipproduċu ħajja qasira spinoff dik is-sena), filwaqt li l-imħabba tad-dgħajsa temmet il-ġirja tagħha fl-1986. Wara kważi għaxar snin ta 'problemi ta' klassifikazzjonijiet, NBC reġgħet kisbet il-klassifikazzjonijiet taċ-ċomb fost it-tliet netwerk"&amp;"s il-kbar fl-1984 fuq is-suċċess ta 'serje bħal The Cosby Show, Cheers u Miami Viċi. Biex tikkontrobatti l-NBC, ABC iddeċieda li jerġa 'jiffoka ruħu fuq kummiedji u serje orjentata lejn il-familja li tibda f'nofs is-snin 1980 inkluż is-Sur Belvedere, Rose"&amp;"anne, Who's the Boss?, Biss l-għaxra minna, is-snin tal-għaġeb, id-dar sħiħa u l-barranin perfetti.")</f>
        <v>F'dak li għandu x'jaqsam ma 'l-ipprogrammar, erbgħa mill-wirjiet tal-marka ta' ABC tas-snin sebgħin temmew il-ġirjiet tagħhom matul nofs is-snin 1980: Laverne &amp; Shirley temmew il-ġirja tagħha fl-1983, Happy Days u Three's Company spiċċaw fl-1984 (b'dawn tal-aħħar jipproduċu ħajja qasira spinoff dik is-sena), filwaqt li l-imħabba tad-dgħajsa temmet il-ġirja tagħha fl-1986. Wara kważi għaxar snin ta 'problemi ta' klassifikazzjonijiet, NBC reġgħet kisbet il-klassifikazzjonijiet taċ-ċomb fost it-tliet netwerks il-kbar fl-1984 fuq is-suċċess ta 'serje bħal The Cosby Show, Cheers u Miami Viċi. Biex tikkontrobatti l-NBC, ABC iddeċieda li jerġa 'jiffoka ruħu fuq kummiedji u serje orjentata lejn il-familja li tibda f'nofs is-snin 1980 inkluż is-Sur Belvedere, Roseanne, Who's the Boss?, Biss l-għaxra minna, is-snin tal-għaġeb, id-dar sħiħa u l-barranin perfetti.</v>
      </c>
    </row>
    <row r="11047" ht="15.75" customHeight="1">
      <c r="A11047" s="2" t="s">
        <v>11047</v>
      </c>
      <c r="B11047" s="2" t="str">
        <f>IFERROR(__xludf.DUMMYFUNCTION("GOOGLETRANSLATE(A11047, ""en"", ""mt"")"),"Kardinali tal-Arizona")</f>
        <v>Kardinali tal-Arizona</v>
      </c>
    </row>
    <row r="11048" ht="15.75" customHeight="1">
      <c r="A11048" s="2" t="s">
        <v>11048</v>
      </c>
      <c r="B11048" s="2" t="str">
        <f>IFERROR(__xludf.DUMMYFUNCTION("GOOGLETRANSLATE(A11048, ""en"", ""mt"")"),"4,686 Mau Mau")</f>
        <v>4,686 Mau Mau</v>
      </c>
    </row>
    <row r="11049" ht="15.75" customHeight="1">
      <c r="A11049" s="2" t="s">
        <v>11049</v>
      </c>
      <c r="B11049" s="2" t="str">
        <f>IFERROR(__xludf.DUMMYFUNCTION("GOOGLETRANSLATE(A11049, ""en"", ""mt"")"),"leġislazzjoni biex tillimita s-sjieda barranija ta 'proprjetajiet ta' xandir")</f>
        <v>leġislazzjoni biex tillimita s-sjieda barranija ta 'proprjetajiet ta' xandir</v>
      </c>
    </row>
    <row r="11050" ht="15.75" customHeight="1">
      <c r="A11050" s="2" t="s">
        <v>11050</v>
      </c>
      <c r="B11050" s="2" t="str">
        <f>IFERROR(__xludf.DUMMYFUNCTION("GOOGLETRANSLATE(A11050, ""en"", ""mt"")"),"Minn liema reġjun taċ-Ċina huwa parti minn Hebei?")</f>
        <v>Minn liema reġjun taċ-Ċina huwa parti minn Hebei?</v>
      </c>
    </row>
    <row r="11051" ht="15.75" customHeight="1">
      <c r="A11051" s="2" t="s">
        <v>11051</v>
      </c>
      <c r="B11051" s="2" t="str">
        <f>IFERROR(__xludf.DUMMYFUNCTION("GOOGLETRANSLATE(A11051, ""en"", ""mt"")"),"Il-phycobilin phycoerytherin")</f>
        <v>Il-phycobilin phycoerytherin</v>
      </c>
    </row>
    <row r="11052" ht="15.75" customHeight="1">
      <c r="A11052" s="2" t="s">
        <v>11052</v>
      </c>
      <c r="B11052" s="2" t="str">
        <f>IFERROR(__xludf.DUMMYFUNCTION("GOOGLETRANSLATE(A11052, ""en"", ""mt"")"),"kuntrasti")</f>
        <v>kuntrasti</v>
      </c>
    </row>
    <row r="11053" ht="15.75" customHeight="1">
      <c r="A11053" s="2" t="s">
        <v>11053</v>
      </c>
      <c r="B11053" s="2" t="str">
        <f>IFERROR(__xludf.DUMMYFUNCTION("GOOGLETRANSLATE(A11053, ""en"", ""mt"")"),"Hemm xi reġjuni fejn it-Trattat tal-Unjoni Ewropea jeskludi mill-ġurisdizzjoni?")</f>
        <v>Hemm xi reġjuni fejn it-Trattat tal-Unjoni Ewropea jeskludi mill-ġurisdizzjoni?</v>
      </c>
    </row>
    <row r="11054" ht="15.75" customHeight="1">
      <c r="A11054" s="2" t="s">
        <v>11054</v>
      </c>
      <c r="B11054" s="2" t="str">
        <f>IFERROR(__xludf.DUMMYFUNCTION("GOOGLETRANSLATE(A11054, ""en"", ""mt"")"),"X'jagħmlu t-turbini tal-fwar tal-power station bħala sink kiesaħ fin-nuqqas ta 'CHP?")</f>
        <v>X'jagħmlu t-turbini tal-fwar tal-power station bħala sink kiesaħ fin-nuqqas ta 'CHP?</v>
      </c>
    </row>
    <row r="11055" ht="15.75" customHeight="1">
      <c r="A11055" s="2" t="s">
        <v>11055</v>
      </c>
      <c r="B11055" s="2" t="str">
        <f>IFERROR(__xludf.DUMMYFUNCTION("GOOGLETRANSLATE(A11055, ""en"", ""mt"")"),"X'tip ta 'prospetti għandhom uħud mill-Musulmani f'Londra?")</f>
        <v>X'tip ta 'prospetti għandhom uħud mill-Musulmani f'Londra?</v>
      </c>
    </row>
    <row r="11056" ht="15.75" customHeight="1">
      <c r="A11056" s="2" t="s">
        <v>11056</v>
      </c>
      <c r="B11056" s="2" t="str">
        <f>IFERROR(__xludf.DUMMYFUNCTION("GOOGLETRANSLATE(A11056, ""en"", ""mt"")"),"Meded opportunistiċi ta 'Normans stabbilixxew b'suċċess pedament fin-Nofsinhar tal-Italja (il-Mezzogiorno). Probabbilment bħala riżultat tar-ritorn tal-istejjer tal-pellegrini, in-Normanni daħlu fil-mezzogiorno bħala ġellieda fl-1017 l-aktar tard. Fl-999,"&amp;" skond Amatus ta 'Montecassino, il-pellegrini Norman jirritornaw minn Ġerusalemm imsejħa fil-port ta' Salerno meta seħħ attakk ta 'Saraċen. In-Normanni ġġieldu b’tali mod li l-Prinċep Guimar III talabhom biex jibqgħu, iżda huma rrifjutaw u minflok offrew "&amp;"li jgħidu lil oħrajn lura d-dar tat-talba tal-Prinċep. William ta 'Apulia jirrakkonta li, fl-1016, pellegrini Norman lejn is-santwarju ta' l-Arkanġlu Michael f'Monte Gargano ġew milqugħa minn Melus ta 'Bari, nobbli u Rebel Lombard, li kkonvinċewhom biex j"&amp;"irritornaw ma' aktar ġellieda biex jgħinu jitfgħu l-ħakma Biżantina, li għamlu.")</f>
        <v>Meded opportunistiċi ta 'Normans stabbilixxew b'suċċess pedament fin-Nofsinhar tal-Italja (il-Mezzogiorno). Probabbilment bħala riżultat tar-ritorn tal-istejjer tal-pellegrini, in-Normanni daħlu fil-mezzogiorno bħala ġellieda fl-1017 l-aktar tard. Fl-999, skond Amatus ta 'Montecassino, il-pellegrini Norman jirritornaw minn Ġerusalemm imsejħa fil-port ta' Salerno meta seħħ attakk ta 'Saraċen. In-Normanni ġġieldu b’tali mod li l-Prinċep Guimar III talabhom biex jibqgħu, iżda huma rrifjutaw u minflok offrew li jgħidu lil oħrajn lura d-dar tat-talba tal-Prinċep. William ta 'Apulia jirrakkonta li, fl-1016, pellegrini Norman lejn is-santwarju ta' l-Arkanġlu Michael f'Monte Gargano ġew milqugħa minn Melus ta 'Bari, nobbli u Rebel Lombard, li kkonvinċewhom biex jirritornaw ma' aktar ġellieda biex jgħinu jitfgħu l-ħakma Biżantina, li għamlu.</v>
      </c>
    </row>
    <row r="11057" ht="15.75" customHeight="1">
      <c r="A11057" s="2" t="s">
        <v>11057</v>
      </c>
      <c r="B11057" s="2" t="str">
        <f>IFERROR(__xludf.DUMMYFUNCTION("GOOGLETRANSLATE(A11057, ""en"", ""mt"")"),"Il-Ġermanja u r-Renju Unit")</f>
        <v>Il-Ġermanja u r-Renju Unit</v>
      </c>
    </row>
    <row r="11058" ht="15.75" customHeight="1">
      <c r="A11058" s="2" t="s">
        <v>11058</v>
      </c>
      <c r="B11058" s="2" t="str">
        <f>IFERROR(__xludf.DUMMYFUNCTION("GOOGLETRANSLATE(A11058, ""en"", ""mt"")"),"xmara xmara")</f>
        <v>xmara xmara</v>
      </c>
    </row>
    <row r="11059" ht="15.75" customHeight="1">
      <c r="A11059" s="2" t="s">
        <v>11059</v>
      </c>
      <c r="B11059" s="2" t="str">
        <f>IFERROR(__xludf.DUMMYFUNCTION("GOOGLETRANSLATE(A11059, ""en"", ""mt"")"),"Is-soluzzjoni tagħha teħtieġ riżorsi sinifikanti")</f>
        <v>Is-soluzzjoni tagħha teħtieġ riżorsi sinifikanti</v>
      </c>
    </row>
    <row r="11060" ht="15.75" customHeight="1">
      <c r="A11060" s="2" t="s">
        <v>11060</v>
      </c>
      <c r="B11060" s="2" t="str">
        <f>IFERROR(__xludf.DUMMYFUNCTION("GOOGLETRANSLATE(A11060, ""en"", ""mt"")"),"Hermaphrodites sekwenzjali")</f>
        <v>Hermaphrodites sekwenzjali</v>
      </c>
    </row>
    <row r="11061" ht="15.75" customHeight="1">
      <c r="A11061" s="2" t="s">
        <v>11061</v>
      </c>
      <c r="B11061" s="2" t="str">
        <f>IFERROR(__xludf.DUMMYFUNCTION("GOOGLETRANSLATE(A11061, ""en"", ""mt"")"),"Liema titli jingħataw il-president?")</f>
        <v>Liema titli jingħataw il-president?</v>
      </c>
    </row>
    <row r="11062" ht="15.75" customHeight="1">
      <c r="A11062" s="2" t="s">
        <v>11062</v>
      </c>
      <c r="B11062" s="2" t="str">
        <f>IFERROR(__xludf.DUMMYFUNCTION("GOOGLETRANSLATE(A11062, ""en"", ""mt"")"),"L-imperjalizmu huwa l-iktar spiss assoċjat ma 'liema sovranità?")</f>
        <v>L-imperjalizmu huwa l-iktar spiss assoċjat ma 'liema sovranità?</v>
      </c>
    </row>
    <row r="11063" ht="15.75" customHeight="1">
      <c r="A11063" s="2" t="s">
        <v>11063</v>
      </c>
      <c r="B11063" s="2" t="str">
        <f>IFERROR(__xludf.DUMMYFUNCTION("GOOGLETRANSLATE(A11063, ""en"", ""mt"")"),"Edward John Noble, is-sid ta 'Life Savers Candy, il-katina tal-mediċina Rexall u l-istazzjon tar-radju ta' New York City WMCA, xtara n-netwerk għal $ 8 miljun. Minħabba r-regoli tas-sjieda tal-FCC, it-tranżazzjoni, li kellha tinkludi x-xiri ta 'tliet staz"&amp;"zjonijiet RCA minn Noble, kienet teħtieġlu jerġa' jbiegħ l-istazzjon tiegħu bl-approvazzjoni tal-FCC. Il-kummissjoni awtorizzat it-tranżazzjoni fit-12 ta 'Ottubru, 1943. Ftit wara, in-Netwerk Blu ġie mixtri mill-kumpanija l-ġdida Noble mwaqqfa, is-Sistema"&amp;" ta' Xandir Amerikana. Noble sussegwentement akkwista d-drittijiet għall-isem ""American Broadcasting Company"" mingħand George B. Storer fl-1944; Il-kumpanija ewlenija tagħha adottat l-isem korporattiv American Broadcasting Companies, Inc. Woods żamm il-"&amp;"pożizzjoni tiegħu bħala president u CEO ta 'ABC sa Diċembru 1949, u sussegwentement ġie promoss għall-viċi-president tal-bord qabel ma telaq minn ABC għal kollox fit-30 ta' Ġunju, 1951.")</f>
        <v>Edward John Noble, is-sid ta 'Life Savers Candy, il-katina tal-mediċina Rexall u l-istazzjon tar-radju ta' New York City WMCA, xtara n-netwerk għal $ 8 miljun. Minħabba r-regoli tas-sjieda tal-FCC, it-tranżazzjoni, li kellha tinkludi x-xiri ta 'tliet stazzjonijiet RCA minn Noble, kienet teħtieġlu jerġa' jbiegħ l-istazzjon tiegħu bl-approvazzjoni tal-FCC. Il-kummissjoni awtorizzat it-tranżazzjoni fit-12 ta 'Ottubru, 1943. Ftit wara, in-Netwerk Blu ġie mixtri mill-kumpanija l-ġdida Noble mwaqqfa, is-Sistema ta' Xandir Amerikana. Noble sussegwentement akkwista d-drittijiet għall-isem "American Broadcasting Company" mingħand George B. Storer fl-1944; Il-kumpanija ewlenija tagħha adottat l-isem korporattiv American Broadcasting Companies, Inc. Woods żamm il-pożizzjoni tiegħu bħala president u CEO ta 'ABC sa Diċembru 1949, u sussegwentement ġie promoss għall-viċi-president tal-bord qabel ma telaq minn ABC għal kollox fit-30 ta' Ġunju, 1951.</v>
      </c>
    </row>
    <row r="11064" ht="15.75" customHeight="1">
      <c r="A11064" s="2" t="s">
        <v>11064</v>
      </c>
      <c r="B11064" s="2" t="str">
        <f>IFERROR(__xludf.DUMMYFUNCTION("GOOGLETRANSLATE(A11064, ""en"", ""mt"")"),"immultiplikat żewġ numri interi")</f>
        <v>immultiplikat żewġ numri interi</v>
      </c>
    </row>
    <row r="11065" ht="15.75" customHeight="1">
      <c r="A11065" s="2" t="s">
        <v>11065</v>
      </c>
      <c r="B11065" s="2" t="str">
        <f>IFERROR(__xludf.DUMMYFUNCTION("GOOGLETRANSLATE(A11065, ""en"", ""mt"")"),"il-parlament")</f>
        <v>il-parlament</v>
      </c>
    </row>
    <row r="11066" ht="15.75" customHeight="1">
      <c r="A11066" s="2" t="s">
        <v>11066</v>
      </c>
      <c r="B11066" s="2" t="str">
        <f>IFERROR(__xludf.DUMMYFUNCTION("GOOGLETRANSLATE(A11066, ""en"", ""mt"")"),"NP-Hard")</f>
        <v>NP-Hard</v>
      </c>
    </row>
    <row r="11067" ht="15.75" customHeight="1">
      <c r="A11067" s="2" t="s">
        <v>11067</v>
      </c>
      <c r="B11067" s="2" t="str">
        <f>IFERROR(__xludf.DUMMYFUNCTION("GOOGLETRANSLATE(A11067, ""en"", ""mt"")"),"X'inhi r-reliġjon ewlenija fil-Kenja?")</f>
        <v>X'inhi r-reliġjon ewlenija fil-Kenja?</v>
      </c>
    </row>
    <row r="11068" ht="15.75" customHeight="1">
      <c r="A11068" s="2" t="s">
        <v>11068</v>
      </c>
      <c r="B11068" s="2" t="str">
        <f>IFERROR(__xludf.DUMMYFUNCTION("GOOGLETRANSLATE(A11068, ""en"", ""mt"")"),"L-element jinstab fi kważi l-bijomolekuli kollha li huma importanti għall-ħajja (jew iġġenerata mill-ħajja). Ftit bijomolekuli kumplessi komuni biss, bħal squalene u l-karoteni, ma fihom l-ebda ossiġnu. Mill-komposti organiċi b'relevanza bijoloġika, il-ka"&amp;"rboidrati fihom l-akbar proporzjon mill-massa ta 'ossiġenu. Ix-xaħmijiet kollha, l-aċidi grassi, l-aċidi amminiċi, u l-proteini fihom ossiġnu (minħabba l-preżenza ta 'gruppi ta' karbonil f'dawn l-aċidi u r-residwi ta 'ester tagħhom). L-ossiġnu jseħħ ukoll"&amp;" fil-fosfat (PO3−
4) Gruppi fil-molekuli bijoloġikament importanti li jġorru l-enerġija ATP u ADP, fis-sinsla u l-purini (minbarra adenine) u pirimidini ta 'RNA u DNA, u fl-għadam bħala fosfat tal-kalċju u idrossilapatite.")</f>
        <v>L-element jinstab fi kważi l-bijomolekuli kollha li huma importanti għall-ħajja (jew iġġenerata mill-ħajja). Ftit bijomolekuli kumplessi komuni biss, bħal squalene u l-karoteni, ma fihom l-ebda ossiġnu. Mill-komposti organiċi b'relevanza bijoloġika, il-karboidrati fihom l-akbar proporzjon mill-massa ta 'ossiġenu. Ix-xaħmijiet kollha, l-aċidi grassi, l-aċidi amminiċi, u l-proteini fihom ossiġnu (minħabba l-preżenza ta 'gruppi ta' karbonil f'dawn l-aċidi u r-residwi ta 'ester tagħhom). L-ossiġnu jseħħ ukoll fil-fosfat (PO3−
4) Gruppi fil-molekuli bijoloġikament importanti li jġorru l-enerġija ATP u ADP, fis-sinsla u l-purini (minbarra adenine) u pirimidini ta 'RNA u DNA, u fl-għadam bħala fosfat tal-kalċju u idrossilapatite.</v>
      </c>
    </row>
    <row r="11069" ht="15.75" customHeight="1">
      <c r="A11069" s="2" t="s">
        <v>11069</v>
      </c>
      <c r="B11069" s="2" t="str">
        <f>IFERROR(__xludf.DUMMYFUNCTION("GOOGLETRANSLATE(A11069, ""en"", ""mt"")"),"It-test tal-primalità tar-rabin Miller-Rabin")</f>
        <v>It-test tal-primalità tar-rabin Miller-Rabin</v>
      </c>
    </row>
    <row r="11070" ht="15.75" customHeight="1">
      <c r="A11070" s="2" t="s">
        <v>11070</v>
      </c>
      <c r="B11070" s="2" t="str">
        <f>IFERROR(__xludf.DUMMYFUNCTION("GOOGLETRANSLATE(A11070, ""en"", ""mt"")"),"Oratorju li jagħmel l-epoka")</f>
        <v>Oratorju li jagħmel l-epoka</v>
      </c>
    </row>
    <row r="11071" ht="15.75" customHeight="1">
      <c r="A11071" s="2" t="s">
        <v>11071</v>
      </c>
      <c r="B11071" s="2" t="str">
        <f>IFERROR(__xludf.DUMMYFUNCTION("GOOGLETRANSLATE(A11071, ""en"", ""mt"")"),"Liema artikoli jiddikjaraw li sakemm ma jingħatawx, il-poteri jibqgħu mal-istati membri?")</f>
        <v>Liema artikoli jiddikjaraw li sakemm ma jingħatawx, il-poteri jibqgħu mal-istati membri?</v>
      </c>
    </row>
    <row r="11072" ht="15.75" customHeight="1">
      <c r="A11072" s="2" t="s">
        <v>11072</v>
      </c>
      <c r="B11072" s="2" t="str">
        <f>IFERROR(__xludf.DUMMYFUNCTION("GOOGLETRANSLATE(A11072, ""en"", ""mt"")"),"Kemm pitturi taw John Sheeshanks lill-mużew?")</f>
        <v>Kemm pitturi taw John Sheeshanks lill-mużew?</v>
      </c>
    </row>
    <row r="11073" ht="15.75" customHeight="1">
      <c r="A11073" s="2" t="s">
        <v>11073</v>
      </c>
      <c r="B11073" s="2" t="str">
        <f>IFERROR(__xludf.DUMMYFUNCTION("GOOGLETRANSLATE(A11073, ""en"", ""mt"")"),"Liema lag massiv il-Mongoljani sejħu Tenggis?")</f>
        <v>Liema lag massiv il-Mongoljani sejħu Tenggis?</v>
      </c>
    </row>
    <row r="11074" ht="15.75" customHeight="1">
      <c r="A11074" s="2" t="s">
        <v>11074</v>
      </c>
      <c r="B11074" s="2" t="str">
        <f>IFERROR(__xludf.DUMMYFUNCTION("GOOGLETRANSLATE(A11074, ""en"", ""mt"")"),"Liema spettaklu ta 'nofs il-mistrieħ tas-Super Bowl kien Beyoncé headline?")</f>
        <v>Liema spettaklu ta 'nofs il-mistrieħ tas-Super Bowl kien Beyoncé headline?</v>
      </c>
    </row>
    <row r="11075" ht="15.75" customHeight="1">
      <c r="A11075" s="2" t="s">
        <v>11075</v>
      </c>
      <c r="B11075" s="2" t="str">
        <f>IFERROR(__xludf.DUMMYFUNCTION("GOOGLETRANSLATE(A11075, ""en"", ""mt"")"),"Għaliex l-Iżlamisti għandhom bżonn elezzjonijiet demokratiċi?")</f>
        <v>Għaliex l-Iżlamisti għandhom bżonn elezzjonijiet demokratiċi?</v>
      </c>
    </row>
    <row r="11076" ht="15.75" customHeight="1">
      <c r="A11076" s="2" t="s">
        <v>11076</v>
      </c>
      <c r="B11076" s="2" t="str">
        <f>IFERROR(__xludf.DUMMYFUNCTION("GOOGLETRANSLATE(A11076, ""en"", ""mt"")"),"1802")</f>
        <v>1802</v>
      </c>
    </row>
    <row r="11077" ht="15.75" customHeight="1">
      <c r="A11077" s="2" t="s">
        <v>11077</v>
      </c>
      <c r="B11077" s="2" t="str">
        <f>IFERROR(__xludf.DUMMYFUNCTION("GOOGLETRANSLATE(A11077, ""en"", ""mt"")"),"kastig")</f>
        <v>kastig</v>
      </c>
    </row>
    <row r="11078" ht="15.75" customHeight="1">
      <c r="A11078" s="2" t="s">
        <v>11078</v>
      </c>
      <c r="B11078" s="2" t="str">
        <f>IFERROR(__xludf.DUMMYFUNCTION("GOOGLETRANSLATE(A11078, ""en"", ""mt"")"),"Liema parti tad-dinja hija magħmula l-aktar minn silikati tal-ħadid u tal-manjeżju?")</f>
        <v>Liema parti tad-dinja hija magħmula l-aktar minn silikati tal-ħadid u tal-manjeżju?</v>
      </c>
    </row>
    <row r="11079" ht="15.75" customHeight="1">
      <c r="A11079" s="2" t="s">
        <v>11079</v>
      </c>
      <c r="B11079" s="2" t="str">
        <f>IFERROR(__xludf.DUMMYFUNCTION("GOOGLETRANSLATE(A11079, ""en"", ""mt"")"),"inġust")</f>
        <v>inġust</v>
      </c>
    </row>
    <row r="11080" ht="15.75" customHeight="1">
      <c r="A11080" s="2" t="s">
        <v>11080</v>
      </c>
      <c r="B11080" s="2" t="str">
        <f>IFERROR(__xludf.DUMMYFUNCTION("GOOGLETRANSLATE(A11080, ""en"", ""mt"")"),"Mohamed Morsi")</f>
        <v>Mohamed Morsi</v>
      </c>
    </row>
    <row r="11081" ht="15.75" customHeight="1">
      <c r="A11081" s="2" t="s">
        <v>11081</v>
      </c>
      <c r="B11081" s="2" t="str">
        <f>IFERROR(__xludf.DUMMYFUNCTION("GOOGLETRANSLATE(A11081, ""en"", ""mt"")"),"Meta jinżamm il-funfair fi Newcastle?")</f>
        <v>Meta jinżamm il-funfair fi Newcastle?</v>
      </c>
    </row>
    <row r="11082" ht="15.75" customHeight="1">
      <c r="A11082" s="2" t="s">
        <v>11082</v>
      </c>
      <c r="B11082" s="2" t="str">
        <f>IFERROR(__xludf.DUMMYFUNCTION("GOOGLETRANSLATE(A11082, ""en"", ""mt"")"),"kanali bażiċi")</f>
        <v>kanali bażiċi</v>
      </c>
    </row>
    <row r="11083" ht="15.75" customHeight="1">
      <c r="A11083" s="2" t="s">
        <v>11083</v>
      </c>
      <c r="B11083" s="2" t="str">
        <f>IFERROR(__xludf.DUMMYFUNCTION("GOOGLETRANSLATE(A11083, ""en"", ""mt"")"),"is-sitwazzjoni finanzjarja diżastruża tagħhom")</f>
        <v>is-sitwazzjoni finanzjarja diżastruża tagħhom</v>
      </c>
    </row>
    <row r="11084" ht="15.75" customHeight="1">
      <c r="A11084" s="2" t="s">
        <v>11084</v>
      </c>
      <c r="B11084" s="2" t="str">
        <f>IFERROR(__xludf.DUMMYFUNCTION("GOOGLETRANSLATE(A11084, ""en"", ""mt"")"),"Flotta Ġdida ta 'Ferroviji")</f>
        <v>Flotta Ġdida ta 'Ferroviji</v>
      </c>
    </row>
    <row r="11085" ht="15.75" customHeight="1">
      <c r="A11085" s="2" t="s">
        <v>11085</v>
      </c>
      <c r="B11085" s="2" t="str">
        <f>IFERROR(__xludf.DUMMYFUNCTION("GOOGLETRANSLATE(A11085, ""en"", ""mt"")"),"Iqbal esprima l-biżgħat li mhux biss is-sekulariżmu u n-nazzjonaliżmu sekulari jdgħajfu l-pedamenti spiritwali tal-Iżlam u tas-soċjetà Musulmana, iżda wkoll li l-popolazzjoni tal-maġġoranza hindu tal-Indja kienet tiffranka l-wirt, il-kultura u l-influwenz"&amp;"a politika Musulmana. Fil-vjaġġi tiegħu lejn l-Eġittu, l-Afganistan, il-Palestina u s-Sirja, huwa ppromwova ideat ta 'kooperazzjoni politika u għaqda Iżlamika akbar, u talab għat-twaqqigħ tad-differenzi nazzjonalisti. Sir Muhammad Iqbal ġie elett presiden"&amp;"t tal-Lega Musulmana fl-1930 fis-sessjoni tiegħu f'Allahabad kif ukoll għas-sessjoni f'Lahore fl-1932. Fl-indirizz ta 'Allahabad tiegħu fid-29 ta' Diċembru 1930, Iqbal iddeskriva viżjoni ta 'stat indipendenti għall-provinċji ta' maġġoranza Musulmana fil-m"&amp;"ajjistral tal-Indja. Dan l-indirizz aktar tard ispirat il-moviment tal-Pakistan.")</f>
        <v>Iqbal esprima l-biżgħat li mhux biss is-sekulariżmu u n-nazzjonaliżmu sekulari jdgħajfu l-pedamenti spiritwali tal-Iżlam u tas-soċjetà Musulmana, iżda wkoll li l-popolazzjoni tal-maġġoranza hindu tal-Indja kienet tiffranka l-wirt, il-kultura u l-influwenza politika Musulmana. Fil-vjaġġi tiegħu lejn l-Eġittu, l-Afganistan, il-Palestina u s-Sirja, huwa ppromwova ideat ta 'kooperazzjoni politika u għaqda Iżlamika akbar, u talab għat-twaqqigħ tad-differenzi nazzjonalisti. Sir Muhammad Iqbal ġie elett president tal-Lega Musulmana fl-1930 fis-sessjoni tiegħu f'Allahabad kif ukoll għas-sessjoni f'Lahore fl-1932. Fl-indirizz ta 'Allahabad tiegħu fid-29 ta' Diċembru 1930, Iqbal iddeskriva viżjoni ta 'stat indipendenti għall-provinċji ta' maġġoranza Musulmana fil-majjistral tal-Indja. Dan l-indirizz aktar tard ispirat il-moviment tal-Pakistan.</v>
      </c>
    </row>
    <row r="11086" ht="15.75" customHeight="1">
      <c r="A11086" s="2" t="s">
        <v>11086</v>
      </c>
      <c r="B11086" s="2" t="str">
        <f>IFERROR(__xludf.DUMMYFUNCTION("GOOGLETRANSLATE(A11086, ""en"", ""mt"")"),"sustanza bħall-injam taqbad piż ġenerali fil-ħruq")</f>
        <v>sustanza bħall-injam taqbad piż ġenerali fil-ħruq</v>
      </c>
    </row>
    <row r="11087" ht="15.75" customHeight="1">
      <c r="A11087" s="2" t="s">
        <v>11087</v>
      </c>
      <c r="B11087" s="2" t="str">
        <f>IFERROR(__xludf.DUMMYFUNCTION("GOOGLETRANSLATE(A11087, ""en"", ""mt"")"),"X'inhi deċiżjoni personali importanti għal diżubbidjenti ċivili?")</f>
        <v>X'inhi deċiżjoni personali importanti għal diżubbidjenti ċivili?</v>
      </c>
    </row>
    <row r="11088" ht="15.75" customHeight="1">
      <c r="A11088" s="2" t="s">
        <v>11088</v>
      </c>
      <c r="B11088" s="2" t="str">
        <f>IFERROR(__xludf.DUMMYFUNCTION("GOOGLETRANSLATE(A11088, ""en"", ""mt"")"),"Fl-2007, liema kumpanija xtrat ABC Radio Properties?")</f>
        <v>Fl-2007, liema kumpanija xtrat ABC Radio Properties?</v>
      </c>
    </row>
    <row r="11089" ht="15.75" customHeight="1">
      <c r="A11089" s="2" t="s">
        <v>11089</v>
      </c>
      <c r="B11089" s="2" t="str">
        <f>IFERROR(__xludf.DUMMYFUNCTION("GOOGLETRANSLATE(A11089, ""en"", ""mt"")"),"Fuq xiex għamel enfasi fuq il-moviment Salafi?")</f>
        <v>Fuq xiex għamel enfasi fuq il-moviment Salafi?</v>
      </c>
    </row>
    <row r="11090" ht="15.75" customHeight="1">
      <c r="A11090" s="2" t="s">
        <v>11090</v>
      </c>
      <c r="B11090" s="2" t="str">
        <f>IFERROR(__xludf.DUMMYFUNCTION("GOOGLETRANSLATE(A11090, ""en"", ""mt"")"),"X’uża Luther bħala akkumpanjament għall-innijiet tiegħu?")</f>
        <v>X’uża Luther bħala akkumpanjament għall-innijiet tiegħu?</v>
      </c>
    </row>
    <row r="11091" ht="15.75" customHeight="1">
      <c r="A11091" s="2" t="s">
        <v>11091</v>
      </c>
      <c r="B11091" s="2" t="str">
        <f>IFERROR(__xludf.DUMMYFUNCTION("GOOGLETRANSLATE(A11091, ""en"", ""mt"")"),"X'tip ta 'ċelloli immuni jgħinu biex jeqirdu ċelloli anormali fit-tumuri?")</f>
        <v>X'tip ta 'ċelloli immuni jgħinu biex jeqirdu ċelloli anormali fit-tumuri?</v>
      </c>
    </row>
    <row r="11092" ht="15.75" customHeight="1">
      <c r="A11092" s="2" t="s">
        <v>11092</v>
      </c>
      <c r="B11092" s="2" t="str">
        <f>IFERROR(__xludf.DUMMYFUNCTION("GOOGLETRANSLATE(A11092, ""en"", ""mt"")"),"Ir-rilaxx tal-ormon tal-irqad jappoġġja l-formazzjoni tal-memorja immuni billi jibda liema rispons immuni?")</f>
        <v>Ir-rilaxx tal-ormon tal-irqad jappoġġja l-formazzjoni tal-memorja immuni billi jibda liema rispons immuni?</v>
      </c>
    </row>
    <row r="11093" ht="15.75" customHeight="1">
      <c r="A11093" s="2" t="s">
        <v>11093</v>
      </c>
      <c r="B11093" s="2" t="str">
        <f>IFERROR(__xludf.DUMMYFUNCTION("GOOGLETRANSLATE(A11093, ""en"", ""mt"")"),"X'tip ta 'cpDNA għandu l-qamħirrum?")</f>
        <v>X'tip ta 'cpDNA għandu l-qamħirrum?</v>
      </c>
    </row>
    <row r="11094" ht="15.75" customHeight="1">
      <c r="A11094" s="2" t="s">
        <v>11094</v>
      </c>
      <c r="B11094" s="2" t="str">
        <f>IFERROR(__xludf.DUMMYFUNCTION("GOOGLETRANSLATE(A11094, ""en"", ""mt"")"),"X'tip ta 'akkomodazzjoni nbniet f'Varsavja bħala parti mill-proċess tal-briks għall-Varsavja?")</f>
        <v>X'tip ta 'akkomodazzjoni nbniet f'Varsavja bħala parti mill-proċess tal-briks għall-Varsavja?</v>
      </c>
    </row>
    <row r="11095" ht="15.75" customHeight="1">
      <c r="A11095" s="2" t="s">
        <v>11095</v>
      </c>
      <c r="B11095" s="2" t="str">
        <f>IFERROR(__xludf.DUMMYFUNCTION("GOOGLETRANSLATE(A11095, ""en"", ""mt"")"),"Il-modulu Lunar (LM) kien iddisinjat biex jinżel mill-orbita lunari biex jillandja żewġ astronawti fuq il-qamar u jeħodhom lura lejn l-orbita biex joħorġu mal-modulu tal-kmand. Mhux iddisinjat biex itir fl-atmosfera tad-Dinja jew jirritorna lejn id-Dinja,"&amp;" il-fuselage tagħha kien iddisinjat totalment mingħajr kunsiderazzjonijiet ajrudinamiċi, u kien ta 'kostruzzjoni estremament ħafifa. Kien jikkonsisti fi stadji separati ta 'dixxendenza u ta' tlugħ, kull wieħed bil-magna tiegħu stess. L-istadju tad-dixxend"&amp;"enza kien fih ħażna għall-propellant tad-dixxendenza, konsumabbli tal-wiċċ, u tagħmir għall-esplorazzjoni tal-wiċċ. L-istadju ta ’tlugħ kien fih il-kabina tal-ekwipaġġ, il-propellant tat-tlugħ, u sistema ta’ kontroll ta ’reazzjoni. Il-mudell inizjali LM j"&amp;"iżen madwar 33,300 lira (15,100 kg), u ppermetta l-wiċċ jibqa 'sa madwar 34 siegħa. Modulu lunari estiż jiżen aktar minn 36,200 lira (16,400 kg), u ppermetta waqfiet tal-wiċċ ta 'aktar minn 3 ijiem.")</f>
        <v>Il-modulu Lunar (LM) kien iddisinjat biex jinżel mill-orbita lunari biex jillandja żewġ astronawti fuq il-qamar u jeħodhom lura lejn l-orbita biex joħorġu mal-modulu tal-kmand. Mhux iddisinjat biex itir fl-atmosfera tad-Dinja jew jirritorna lejn id-Dinja, il-fuselage tagħha kien iddisinjat totalment mingħajr kunsiderazzjonijiet ajrudinamiċi, u kien ta 'kostruzzjoni estremament ħafifa. Kien jikkonsisti fi stadji separati ta 'dixxendenza u ta' tlugħ, kull wieħed bil-magna tiegħu stess. L-istadju tad-dixxendenza kien fih ħażna għall-propellant tad-dixxendenza, konsumabbli tal-wiċċ, u tagħmir għall-esplorazzjoni tal-wiċċ. L-istadju ta ’tlugħ kien fih il-kabina tal-ekwipaġġ, il-propellant tat-tlugħ, u sistema ta’ kontroll ta ’reazzjoni. Il-mudell inizjali LM jiżen madwar 33,300 lira (15,100 kg), u ppermetta l-wiċċ jibqa 'sa madwar 34 siegħa. Modulu lunari estiż jiżen aktar minn 36,200 lira (16,400 kg), u ppermetta waqfiet tal-wiċċ ta 'aktar minn 3 ijiem.</v>
      </c>
    </row>
    <row r="11096" ht="15.75" customHeight="1">
      <c r="A11096" s="2" t="s">
        <v>11096</v>
      </c>
      <c r="B11096" s="2" t="str">
        <f>IFERROR(__xludf.DUMMYFUNCTION("GOOGLETRANSLATE(A11096, ""en"", ""mt"")"),"Liema perit, famuż għat-tfassil tal-Katidral ta 'San Pawl ta' Londra, huwa rappreżentat fil-kollezzjoni RIBA?")</f>
        <v>Liema perit, famuż għat-tfassil tal-Katidral ta 'San Pawl ta' Londra, huwa rappreżentat fil-kollezzjoni RIBA?</v>
      </c>
    </row>
    <row r="11097" ht="15.75" customHeight="1">
      <c r="A11097" s="2" t="s">
        <v>11097</v>
      </c>
      <c r="B11097" s="2" t="str">
        <f>IFERROR(__xludf.DUMMYFUNCTION("GOOGLETRANSLATE(A11097, ""en"", ""mt"")"),"Liema pożizzjoni ħadet Mark Woods fil-kumpanija l-ġdida tax-xandir Amerikana?")</f>
        <v>Liema pożizzjoni ħadet Mark Woods fil-kumpanija l-ġdida tax-xandir Amerikana?</v>
      </c>
    </row>
    <row r="11098" ht="15.75" customHeight="1">
      <c r="A11098" s="2" t="s">
        <v>11098</v>
      </c>
      <c r="B11098" s="2" t="str">
        <f>IFERROR(__xludf.DUMMYFUNCTION("GOOGLETRANSLATE(A11098, ""en"", ""mt"")"),"Meta kien imlaqqa 'l-Parlament attwali tal-Iskozja?")</f>
        <v>Meta kien imlaqqa 'l-Parlament attwali tal-Iskozja?</v>
      </c>
    </row>
    <row r="11099" ht="15.75" customHeight="1">
      <c r="A11099" s="2" t="s">
        <v>11099</v>
      </c>
      <c r="B11099" s="2" t="str">
        <f>IFERROR(__xludf.DUMMYFUNCTION("GOOGLETRANSLATE(A11099, ""en"", ""mt"")"),"fi Brough Park fil-Byker")</f>
        <v>fi Brough Park fil-Byker</v>
      </c>
    </row>
    <row r="11100" ht="15.75" customHeight="1">
      <c r="A11100" s="2" t="s">
        <v>11100</v>
      </c>
      <c r="B11100" s="2" t="str">
        <f>IFERROR(__xludf.DUMMYFUNCTION("GOOGLETRANSLATE(A11100, ""en"", ""mt"")"),"Huwa kien innota film bil-ħsara fil-laboratorju tiegħu")</f>
        <v>Huwa kien innota film bil-ħsara fil-laboratorju tiegħu</v>
      </c>
    </row>
    <row r="11101" ht="15.75" customHeight="1">
      <c r="A11101" s="2" t="s">
        <v>11101</v>
      </c>
      <c r="B11101" s="2" t="str">
        <f>IFERROR(__xludf.DUMMYFUNCTION("GOOGLETRANSLATE(A11101, ""en"", ""mt"")"),"Liema hu anzjan l-Imperu Brittaniku jew l-Imperu Etjopjan?")</f>
        <v>Liema hu anzjan l-Imperu Brittaniku jew l-Imperu Etjopjan?</v>
      </c>
    </row>
    <row r="11102" ht="15.75" customHeight="1">
      <c r="A11102" s="2" t="s">
        <v>11102</v>
      </c>
      <c r="B11102" s="2" t="str">
        <f>IFERROR(__xludf.DUMMYFUNCTION("GOOGLETRANSLATE(A11102, ""en"", ""mt"")"),"Meta xi speċi, inklużi Bathyctena chuni, Euplokamis Stations u Eurhamphaea vexilligera, huma mfixkla, huma jipproduċu sekrezzjonijiet (linka) li luminesce bl-istess tulijiet ta 'mewġ bħall-korpi tagħhom. Il-minorenni se jegħleb aktar jgħajjat ​​fir-rigwar"&amp;"d tad-daqs tal-ġisem tagħhom mill-adulti, li l-luminixxenza tagħhom hija mxerrda fuq ġisimhom. Investigazzjoni statistika dettaljata ma ssuġġerietx il-funzjoni tal-bijoluminesċenza ta 'Ctenophores u lanqas ipproduċiet korrelazzjoni bejn il-kulur eżatt tag"&amp;"ħha u kwalunkwe aspett tal-ambjenti tal-annimali, bħal fond jew jekk jgħixux fl-ilmijiet kostali jew f'nofs l-oċean.")</f>
        <v>Meta xi speċi, inklużi Bathyctena chuni, Euplokamis Stations u Eurhamphaea vexilligera, huma mfixkla, huma jipproduċu sekrezzjonijiet (linka) li luminesce bl-istess tulijiet ta 'mewġ bħall-korpi tagħhom. Il-minorenni se jegħleb aktar jgħajjat ​​fir-rigward tad-daqs tal-ġisem tagħhom mill-adulti, li l-luminixxenza tagħhom hija mxerrda fuq ġisimhom. Investigazzjoni statistika dettaljata ma ssuġġerietx il-funzjoni tal-bijoluminesċenza ta 'Ctenophores u lanqas ipproduċiet korrelazzjoni bejn il-kulur eżatt tagħha u kwalunkwe aspett tal-ambjenti tal-annimali, bħal fond jew jekk jgħixux fl-ilmijiet kostali jew f'nofs l-oċean.</v>
      </c>
    </row>
    <row r="11103" ht="15.75" customHeight="1">
      <c r="A11103" s="2" t="s">
        <v>11103</v>
      </c>
      <c r="B11103" s="2" t="str">
        <f>IFERROR(__xludf.DUMMYFUNCTION("GOOGLETRANSLATE(A11103, ""en"", ""mt"")"),"Il-pesta nfirxet fl-Iskandinavja jew il-Ġermanja l-ewwel?")</f>
        <v>Il-pesta nfirxet fl-Iskandinavja jew il-Ġermanja l-ewwel?</v>
      </c>
    </row>
    <row r="11104" ht="15.75" customHeight="1">
      <c r="A11104" s="2" t="s">
        <v>11104</v>
      </c>
      <c r="B11104" s="2" t="str">
        <f>IFERROR(__xludf.DUMMYFUNCTION("GOOGLETRANSLATE(A11104, ""en"", ""mt"")"),"Apoptożi rapida")</f>
        <v>Apoptożi rapida</v>
      </c>
    </row>
    <row r="11105" ht="15.75" customHeight="1">
      <c r="A11105" s="2" t="s">
        <v>11105</v>
      </c>
      <c r="B11105" s="2" t="str">
        <f>IFERROR(__xludf.DUMMYFUNCTION("GOOGLETRANSLATE(A11105, ""en"", ""mt"")"),"Hoesung Lee")</f>
        <v>Hoesung Lee</v>
      </c>
    </row>
    <row r="11106" ht="15.75" customHeight="1">
      <c r="A11106" s="2" t="s">
        <v>11106</v>
      </c>
      <c r="B11106" s="2" t="str">
        <f>IFERROR(__xludf.DUMMYFUNCTION("GOOGLETRANSLATE(A11106, ""en"", ""mt"")"),"X’ħeġġeġ il-kummerċ taħt il-wan?")</f>
        <v>X’ħeġġeġ il-kummerċ taħt il-wan?</v>
      </c>
    </row>
    <row r="11107" ht="15.75" customHeight="1">
      <c r="A11107" s="2" t="s">
        <v>11107</v>
      </c>
      <c r="B11107" s="2" t="str">
        <f>IFERROR(__xludf.DUMMYFUNCTION("GOOGLETRANSLATE(A11107, ""en"", ""mt"")"),"Minbarra l-Afrika, fejn il-Ġermanja kellha interessi imperjali?")</f>
        <v>Minbarra l-Afrika, fejn il-Ġermanja kellha interessi imperjali?</v>
      </c>
    </row>
    <row r="11108" ht="15.75" customHeight="1">
      <c r="A11108" s="2" t="s">
        <v>11108</v>
      </c>
      <c r="B11108" s="2" t="str">
        <f>IFERROR(__xludf.DUMMYFUNCTION("GOOGLETRANSLATE(A11108, ""en"", ""mt"")"),"Biex tikkastiga lill-poplu Miami ta 'Pickawillany")</f>
        <v>Biex tikkastiga lill-poplu Miami ta 'Pickawillany</v>
      </c>
    </row>
    <row r="11109" ht="15.75" customHeight="1">
      <c r="A11109" s="2" t="s">
        <v>11109</v>
      </c>
      <c r="B11109" s="2" t="str">
        <f>IFERROR(__xludf.DUMMYFUNCTION("GOOGLETRANSLATE(A11109, ""en"", ""mt"")"),"sparking u l-manutenzjoni għolja")</f>
        <v>sparking u l-manutenzjoni għolja</v>
      </c>
    </row>
    <row r="11110" ht="15.75" customHeight="1">
      <c r="A11110" s="2" t="s">
        <v>11110</v>
      </c>
      <c r="B11110" s="2" t="str">
        <f>IFERROR(__xludf.DUMMYFUNCTION("GOOGLETRANSLATE(A11110, ""en"", ""mt"")"),"Għal phylum bi speċi relattivament ftit, ctenophores għandhom firxa wiesgħa ta 'pjanijiet tal-ġisem. L-ispeċi kostali jeħtieġ li jkunu iebsa biżżejjed biex jifilħu l-mewġ u jdawru partiċelli tas-sediment, filwaqt li xi speċi oċeaniċi huma daqshekk fraġli "&amp;"li huwa diffiċli ħafna li jaqbduhom intatti għall-istudju. Barra minn hekk l-ispeċi oċeaniċi ma jippreservawx sew, u huma magħrufa prinċipalment minn ritratti u minn noti ta 'osservaturi. Għalhekk il-biċċa l-kbira tal-attenzjoni sa ftit ilu kkonċentrat fu"&amp;"q tliet ġeneri kostali - Pleurobrachia, Beroe u Mnemiopsis. Mill-inqas żewġ kotba jibbażaw id-deskrizzjonijiet tagħhom ta 'ctenophores fuq il-pleurobrachia cydippid.")</f>
        <v>Għal phylum bi speċi relattivament ftit, ctenophores għandhom firxa wiesgħa ta 'pjanijiet tal-ġisem. L-ispeċi kostali jeħtieġ li jkunu iebsa biżżejjed biex jifilħu l-mewġ u jdawru partiċelli tas-sediment, filwaqt li xi speċi oċeaniċi huma daqshekk fraġli li huwa diffiċli ħafna li jaqbduhom intatti għall-istudju. Barra minn hekk l-ispeċi oċeaniċi ma jippreservawx sew, u huma magħrufa prinċipalment minn ritratti u minn noti ta 'osservaturi. Għalhekk il-biċċa l-kbira tal-attenzjoni sa ftit ilu kkonċentrat fuq tliet ġeneri kostali - Pleurobrachia, Beroe u Mnemiopsis. Mill-inqas żewġ kotba jibbażaw id-deskrizzjonijiet tagħhom ta 'ctenophores fuq il-pleurobrachia cydippid.</v>
      </c>
    </row>
    <row r="11111" ht="15.75" customHeight="1">
      <c r="A11111" s="2" t="s">
        <v>11111</v>
      </c>
      <c r="B11111" s="2" t="str">
        <f>IFERROR(__xludf.DUMMYFUNCTION("GOOGLETRANSLATE(A11111, ""en"", ""mt"")"),"Huma jipproduċu sekrezzjonijiet (linka) li jdawwru ħafna bl-istess tul ta 'mewġ bħall-korpi tagħhom")</f>
        <v>Huma jipproduċu sekrezzjonijiet (linka) li jdawwru ħafna bl-istess tul ta 'mewġ bħall-korpi tagħhom</v>
      </c>
    </row>
    <row r="11112" ht="15.75" customHeight="1">
      <c r="A11112" s="2" t="s">
        <v>11112</v>
      </c>
      <c r="B11112" s="2" t="str">
        <f>IFERROR(__xludf.DUMMYFUNCTION("GOOGLETRANSLATE(A11112, ""en"", ""mt"")"),"Liema Borough of Newcastle kellu popolazzjoni madwar 259,000?")</f>
        <v>Liema Borough of Newcastle kellu popolazzjoni madwar 259,000?</v>
      </c>
    </row>
    <row r="11113" ht="15.75" customHeight="1">
      <c r="A11113" s="2" t="s">
        <v>11113</v>
      </c>
      <c r="B11113" s="2" t="str">
        <f>IFERROR(__xludf.DUMMYFUNCTION("GOOGLETRANSLATE(A11113, ""en"", ""mt"")"),"Min hu mitlub jivverifika u jkollu linji ta 'utilità eżistenti mmarkati?")</f>
        <v>Min hu mitlub jivverifika u jkollu linji ta 'utilità eżistenti mmarkati?</v>
      </c>
    </row>
    <row r="11114" ht="15.75" customHeight="1">
      <c r="A11114" s="2" t="s">
        <v>11114</v>
      </c>
      <c r="B11114" s="2" t="str">
        <f>IFERROR(__xludf.DUMMYFUNCTION("GOOGLETRANSLATE(A11114, ""en"", ""mt"")"),"F'liema baċin jaqa 't-trab?")</f>
        <v>F'liema baċin jaqa 't-trab?</v>
      </c>
    </row>
    <row r="11115" ht="15.75" customHeight="1">
      <c r="A11115" s="2" t="s">
        <v>11115</v>
      </c>
      <c r="B11115" s="2" t="str">
        <f>IFERROR(__xludf.DUMMYFUNCTION("GOOGLETRANSLATE(A11115, ""en"", ""mt"")"),"Liema kumpanija reġgħet inbidlet min irid ikun miljunarju bħala programm sindikat?")</f>
        <v>Liema kumpanija reġgħet inbidlet min irid ikun miljunarju bħala programm sindikat?</v>
      </c>
    </row>
    <row r="11116" ht="15.75" customHeight="1">
      <c r="A11116" s="2" t="s">
        <v>11116</v>
      </c>
      <c r="B11116" s="2" t="str">
        <f>IFERROR(__xludf.DUMMYFUNCTION("GOOGLETRANSLATE(A11116, ""en"", ""mt"")"),"""Le, dak mhux tajjeb""")</f>
        <v>"Le, dak mhux tajjeb"</v>
      </c>
    </row>
    <row r="11117" ht="15.75" customHeight="1">
      <c r="A11117" s="2" t="s">
        <v>11117</v>
      </c>
      <c r="B11117" s="2" t="str">
        <f>IFERROR(__xludf.DUMMYFUNCTION("GOOGLETRANSLATE(A11117, ""en"", ""mt"")"),"Victoria hija ċ-ċentru tal-biedja tal-ħalib fl-Awstralja. Huwa dar għal 60% tat-3 miljun baqar tal-ħalib tal-Awstralja u jipproduċi kważi żewġ terzi tal-ħalib tan-nazzjon, kważi 6.4 biljun litru. L-istat għandu wkoll 2.4 miljun baqar taċ-ċanga, b'aktar mi"&amp;"nn 2.2 miljun baqar u għoġġiela maqtula kull sena. Fl-2003–04, l-ekwipaġġi tas-sajd kummerċjali Vittorjan u l-industrija tal-akkwakultura pproduċew 11,634 tunnellata ta 'frott tal-baħar b'valur ta' kważi $ 109 miljun. Blacklipped Abalone huwa l-pedament t"&amp;"al-qabda, li jġib $ 46 miljun, segwit minn awwista tal-blat tan-Nofsinhar li tiswa $ 13.7 miljun. Il-biċċa l-kbira tal-awwista abalone u rock hija esportata lejn l-Asja.")</f>
        <v>Victoria hija ċ-ċentru tal-biedja tal-ħalib fl-Awstralja. Huwa dar għal 60% tat-3 miljun baqar tal-ħalib tal-Awstralja u jipproduċi kważi żewġ terzi tal-ħalib tan-nazzjon, kważi 6.4 biljun litru. L-istat għandu wkoll 2.4 miljun baqar taċ-ċanga, b'aktar minn 2.2 miljun baqar u għoġġiela maqtula kull sena. Fl-2003–04, l-ekwipaġġi tas-sajd kummerċjali Vittorjan u l-industrija tal-akkwakultura pproduċew 11,634 tunnellata ta 'frott tal-baħar b'valur ta' kważi $ 109 miljun. Blacklipped Abalone huwa l-pedament tal-qabda, li jġib $ 46 miljun, segwit minn awwista tal-blat tan-Nofsinhar li tiswa $ 13.7 miljun. Il-biċċa l-kbira tal-awwista abalone u rock hija esportata lejn l-Asja.</v>
      </c>
    </row>
    <row r="11118" ht="15.75" customHeight="1">
      <c r="A11118" s="2" t="s">
        <v>11118</v>
      </c>
      <c r="B11118" s="2" t="str">
        <f>IFERROR(__xludf.DUMMYFUNCTION("GOOGLETRANSLATE(A11118, ""en"", ""mt"")"),"L-ossiġnu jiġi rilaxxat fir-respirazzjoni ċellulari minn?")</f>
        <v>L-ossiġnu jiġi rilaxxat fir-respirazzjoni ċellulari minn?</v>
      </c>
    </row>
    <row r="11119" ht="15.75" customHeight="1">
      <c r="A11119" s="2" t="s">
        <v>11119</v>
      </c>
      <c r="B11119" s="2" t="str">
        <f>IFERROR(__xludf.DUMMYFUNCTION("GOOGLETRANSLATE(A11119, ""en"", ""mt"")"),"Il-kampus tal-Università ta ’Chicago")</f>
        <v>Il-kampus tal-Università ta ’Chicago</v>
      </c>
    </row>
    <row r="11120" ht="15.75" customHeight="1">
      <c r="A11120" s="2" t="s">
        <v>11120</v>
      </c>
      <c r="B11120" s="2" t="str">
        <f>IFERROR(__xludf.DUMMYFUNCTION("GOOGLETRANSLATE(A11120, ""en"", ""mt"")"),"Funzjoni fotosintetika")</f>
        <v>Funzjoni fotosintetika</v>
      </c>
    </row>
    <row r="11121" ht="15.75" customHeight="1">
      <c r="A11121" s="2" t="s">
        <v>11121</v>
      </c>
      <c r="B11121" s="2" t="str">
        <f>IFERROR(__xludf.DUMMYFUNCTION("GOOGLETRANSLATE(A11121, ""en"", ""mt"")"),"X'inhu l-kunċett ta 'Luther ta' Kristu u s-salvazzjoni tiegħu?")</f>
        <v>X'inhu l-kunċett ta 'Luther ta' Kristu u s-salvazzjoni tiegħu?</v>
      </c>
    </row>
    <row r="11122" ht="15.75" customHeight="1">
      <c r="A11122" s="2" t="s">
        <v>11122</v>
      </c>
      <c r="B11122" s="2" t="str">
        <f>IFERROR(__xludf.DUMMYFUNCTION("GOOGLETRANSLATE(A11122, ""en"", ""mt"")"),"Trattati li jistabbilixxu l-Unjoni Ewropea")</f>
        <v>Trattati li jistabbilixxu l-Unjoni Ewropea</v>
      </c>
    </row>
    <row r="11123" ht="15.75" customHeight="1">
      <c r="A11123" s="2" t="s">
        <v>11123</v>
      </c>
      <c r="B11123" s="2" t="str">
        <f>IFERROR(__xludf.DUMMYFUNCTION("GOOGLETRANSLATE(A11123, ""en"", ""mt"")"),"X'inhu meqjus bħala dellipine xieraq?")</f>
        <v>X'inhu meqjus bħala dellipine xieraq?</v>
      </c>
    </row>
    <row r="11124" ht="15.75" customHeight="1">
      <c r="A11124" s="2" t="s">
        <v>11124</v>
      </c>
      <c r="B11124" s="2" t="str">
        <f>IFERROR(__xludf.DUMMYFUNCTION("GOOGLETRANSLATE(A11124, ""en"", ""mt"")"),"mhux ċivilizzat")</f>
        <v>mhux ċivilizzat</v>
      </c>
    </row>
    <row r="11125" ht="15.75" customHeight="1">
      <c r="A11125" s="2" t="s">
        <v>11125</v>
      </c>
      <c r="B11125" s="2" t="str">
        <f>IFERROR(__xludf.DUMMYFUNCTION("GOOGLETRANSLATE(A11125, ""en"", ""mt"")"),"Meta ġiet żviluppata l-abbiltà li tuża iżotopi radjuattivi sal-lum il-formazzjonijiet tal-blat?")</f>
        <v>Meta ġiet żviluppata l-abbiltà li tuża iżotopi radjuattivi sal-lum il-formazzjonijiet tal-blat?</v>
      </c>
    </row>
    <row r="11126" ht="15.75" customHeight="1">
      <c r="A11126" s="2" t="s">
        <v>11126</v>
      </c>
      <c r="B11126" s="2" t="str">
        <f>IFERROR(__xludf.DUMMYFUNCTION("GOOGLETRANSLATE(A11126, ""en"", ""mt"")"),"Tmexxi ħajja mimlija spirtu u bħal Kristu mmirata lejn l-imħabba")</f>
        <v>Tmexxi ħajja mimlija spirtu u bħal Kristu mmirata lejn l-imħabba</v>
      </c>
    </row>
    <row r="11127" ht="15.75" customHeight="1">
      <c r="A11127" s="2" t="s">
        <v>11127</v>
      </c>
      <c r="B11127" s="2" t="str">
        <f>IFERROR(__xludf.DUMMYFUNCTION("GOOGLETRANSLATE(A11127, ""en"", ""mt"")"),"Xi nnota Shrewsbury dwar il-pesta?")</f>
        <v>Xi nnota Shrewsbury dwar il-pesta?</v>
      </c>
    </row>
    <row r="11128" ht="15.75" customHeight="1">
      <c r="A11128" s="2" t="s">
        <v>11128</v>
      </c>
      <c r="B11128" s="2" t="str">
        <f>IFERROR(__xludf.DUMMYFUNCTION("GOOGLETRANSLATE(A11128, ""en"", ""mt"")"),"Trinity-st. Knisja Episkopali ta ’Pawlu")</f>
        <v>Trinity-st. Knisja Episkopali ta ’Pawlu</v>
      </c>
    </row>
    <row r="11129" ht="15.75" customHeight="1">
      <c r="A11129" s="2" t="s">
        <v>11129</v>
      </c>
      <c r="B11129" s="2" t="str">
        <f>IFERROR(__xludf.DUMMYFUNCTION("GOOGLETRANSLATE(A11129, ""en"", ""mt"")"),"ABC meta ħabbar ir-ristrutturazzjoni tar-radju ABC?")</f>
        <v>ABC meta ħabbar ir-ristrutturazzjoni tar-radju ABC?</v>
      </c>
    </row>
    <row r="11130" ht="15.75" customHeight="1">
      <c r="A11130" s="2" t="s">
        <v>11130</v>
      </c>
      <c r="B11130" s="2" t="str">
        <f>IFERROR(__xludf.DUMMYFUNCTION("GOOGLETRANSLATE(A11130, ""en"", ""mt"")"),"a + bi")</f>
        <v>a + bi</v>
      </c>
    </row>
    <row r="11131" ht="15.75" customHeight="1">
      <c r="A11131" s="2" t="s">
        <v>11131</v>
      </c>
      <c r="B11131" s="2" t="str">
        <f>IFERROR(__xludf.DUMMYFUNCTION("GOOGLETRANSLATE(A11131, ""en"", ""mt"")"),"Organizzazzjoni ta 'Pajjiżi Esportanti tal-Petrolju Għarab")</f>
        <v>Organizzazzjoni ta 'Pajjiżi Esportanti tal-Petrolju Għarab</v>
      </c>
    </row>
    <row r="11132" ht="15.75" customHeight="1">
      <c r="A11132" s="2" t="s">
        <v>11132</v>
      </c>
      <c r="B11132" s="2" t="str">
        <f>IFERROR(__xludf.DUMMYFUNCTION("GOOGLETRANSLATE(A11132, ""en"", ""mt"")"),"l-Artiku")</f>
        <v>l-Artiku</v>
      </c>
    </row>
    <row r="11133" ht="15.75" customHeight="1">
      <c r="A11133" s="2" t="s">
        <v>11133</v>
      </c>
      <c r="B11133" s="2" t="str">
        <f>IFERROR(__xludf.DUMMYFUNCTION("GOOGLETRANSLATE(A11133, ""en"", ""mt"")"),"għant li fih jista 'jiġi rtirat")</f>
        <v>għant li fih jista 'jiġi rtirat</v>
      </c>
    </row>
    <row r="11134" ht="15.75" customHeight="1">
      <c r="A11134" s="2" t="s">
        <v>11134</v>
      </c>
      <c r="B11134" s="2" t="str">
        <f>IFERROR(__xludf.DUMMYFUNCTION("GOOGLETRANSLATE(A11134, ""en"", ""mt"")"),"Milka, Angelina u Marica")</f>
        <v>Milka, Angelina u Marica</v>
      </c>
    </row>
    <row r="11135" ht="15.75" customHeight="1">
      <c r="A11135" s="2" t="s">
        <v>11135</v>
      </c>
      <c r="B11135" s="2" t="str">
        <f>IFERROR(__xludf.DUMMYFUNCTION("GOOGLETRANSLATE(A11135, ""en"", ""mt"")"),"Ħaddem IP fuq l-ATM jew verżjoni ta 'MPLS")</f>
        <v>Ħaddem IP fuq l-ATM jew verżjoni ta 'MPLS</v>
      </c>
    </row>
    <row r="11136" ht="15.75" customHeight="1">
      <c r="A11136" s="2" t="s">
        <v>11136</v>
      </c>
      <c r="B11136" s="2" t="str">
        <f>IFERROR(__xludf.DUMMYFUNCTION("GOOGLETRANSLATE(A11136, ""en"", ""mt"")"),"Thomas Edison u George Westinghouse")</f>
        <v>Thomas Edison u George Westinghouse</v>
      </c>
    </row>
    <row r="11137" ht="15.75" customHeight="1">
      <c r="A11137" s="2" t="s">
        <v>11137</v>
      </c>
      <c r="B11137" s="2" t="str">
        <f>IFERROR(__xludf.DUMMYFUNCTION("GOOGLETRANSLATE(A11137, ""en"", ""mt"")"),"X'għandu l-affext tal-mekkanika ta 'Newton?")</f>
        <v>X'għandu l-affext tal-mekkanika ta 'Newton?</v>
      </c>
    </row>
    <row r="11138" ht="15.75" customHeight="1">
      <c r="A11138" s="2" t="s">
        <v>11138</v>
      </c>
      <c r="B11138" s="2" t="str">
        <f>IFERROR(__xludf.DUMMYFUNCTION("GOOGLETRANSLATE(A11138, ""en"", ""mt"")"),"L-ebda tifel ma ħalla warajh")</f>
        <v>L-ebda tifel ma ħalla warajh</v>
      </c>
    </row>
    <row r="11139" ht="15.75" customHeight="1">
      <c r="A11139" s="2" t="s">
        <v>11139</v>
      </c>
      <c r="B11139" s="2" t="str">
        <f>IFERROR(__xludf.DUMMYFUNCTION("GOOGLETRANSLATE(A11139, ""en"", ""mt"")"),"Ħsarat normali u permezz tat-tiġbid tad-duttili u t-tnaqqija")</f>
        <v>Ħsarat normali u permezz tat-tiġbid tad-duttili u t-tnaqqija</v>
      </c>
    </row>
    <row r="11140" ht="15.75" customHeight="1">
      <c r="A11140" s="2" t="s">
        <v>11140</v>
      </c>
      <c r="B11140" s="2" t="str">
        <f>IFERROR(__xludf.DUMMYFUNCTION("GOOGLETRANSLATE(A11140, ""en"", ""mt"")"),"X'kienet is-Serje ta 'Antoloġija ta' Disneyland li reġgħet inbdiet fl-1958?")</f>
        <v>X'kienet is-Serje ta 'Antoloġija ta' Disneyland li reġgħet inbdiet fl-1958?</v>
      </c>
    </row>
    <row r="11141" ht="15.75" customHeight="1">
      <c r="A11141" s="2" t="s">
        <v>11141</v>
      </c>
      <c r="B11141" s="2" t="str">
        <f>IFERROR(__xludf.DUMMYFUNCTION("GOOGLETRANSLATE(A11141, ""en"", ""mt"")"),"X'kienet it-taħlit bħala li qiegħed fl-industrija tal-kostruzzjoni tal-lokomottiva?")</f>
        <v>X'kienet it-taħlit bħala li qiegħed fl-industrija tal-kostruzzjoni tal-lokomottiva?</v>
      </c>
    </row>
    <row r="11142" ht="15.75" customHeight="1">
      <c r="A11142" s="2" t="s">
        <v>11142</v>
      </c>
      <c r="B11142" s="2" t="str">
        <f>IFERROR(__xludf.DUMMYFUNCTION("GOOGLETRANSLATE(A11142, ""en"", ""mt"")"),"Fergħat ġenetiċi")</f>
        <v>Fergħat ġenetiċi</v>
      </c>
    </row>
    <row r="11143" ht="15.75" customHeight="1">
      <c r="A11143" s="2" t="s">
        <v>11143</v>
      </c>
      <c r="B11143" s="2" t="str">
        <f>IFERROR(__xludf.DUMMYFUNCTION("GOOGLETRANSLATE(A11143, ""en"", ""mt"")"),"X'kienu l-ismijiet tas-sorijiet ta 'Tesla?")</f>
        <v>X'kienu l-ismijiet tas-sorijiet ta 'Tesla?</v>
      </c>
    </row>
    <row r="11144" ht="15.75" customHeight="1">
      <c r="A11144" s="2" t="s">
        <v>11144</v>
      </c>
      <c r="B11144" s="2" t="str">
        <f>IFERROR(__xludf.DUMMYFUNCTION("GOOGLETRANSLATE(A11144, ""en"", ""mt"")"),"Kalendarju tal-Qaddisin")</f>
        <v>Kalendarju tal-Qaddisin</v>
      </c>
    </row>
    <row r="11145" ht="15.75" customHeight="1">
      <c r="A11145" s="2" t="s">
        <v>11145</v>
      </c>
      <c r="B11145" s="2" t="str">
        <f>IFERROR(__xludf.DUMMYFUNCTION("GOOGLETRANSLATE(A11145, ""en"", ""mt"")"),"Kemm btieħi kisbu Newton għall-pass fl-istaġun 2015?")</f>
        <v>Kemm btieħi kisbu Newton għall-pass fl-istaġun 2015?</v>
      </c>
    </row>
    <row r="11146" ht="15.75" customHeight="1">
      <c r="A11146" s="2" t="s">
        <v>11146</v>
      </c>
      <c r="B11146" s="2" t="str">
        <f>IFERROR(__xludf.DUMMYFUNCTION("GOOGLETRANSLATE(A11146, ""en"", ""mt"")"),"Liema duttrini oħra Luther ma qabdux dwar il-qaddisin?")</f>
        <v>Liema duttrini oħra Luther ma qabdux dwar il-qaddisin?</v>
      </c>
    </row>
    <row r="11147" ht="15.75" customHeight="1">
      <c r="A11147" s="2" t="s">
        <v>11147</v>
      </c>
      <c r="B11147" s="2" t="str">
        <f>IFERROR(__xludf.DUMMYFUNCTION("GOOGLETRANSLATE(A11147, ""en"", ""mt"")"),"Il-popolarità ta 'Jacksonville għall-films kisbet liema titlu?")</f>
        <v>Il-popolarità ta 'Jacksonville għall-films kisbet liema titlu?</v>
      </c>
    </row>
    <row r="11148" ht="15.75" customHeight="1">
      <c r="A11148" s="2" t="s">
        <v>11148</v>
      </c>
      <c r="B11148" s="2" t="str">
        <f>IFERROR(__xludf.DUMMYFUNCTION("GOOGLETRANSLATE(A11148, ""en"", ""mt"")"),"Taħt liema direttiva l-UE armat restrizzjonijiet fuq ir-restrizzjonijiet fuq il-kummerċjalizzazzjoni u r-reklamar?")</f>
        <v>Taħt liema direttiva l-UE armat restrizzjonijiet fuq ir-restrizzjonijiet fuq il-kummerċjalizzazzjoni u r-reklamar?</v>
      </c>
    </row>
    <row r="11149" ht="15.75" customHeight="1">
      <c r="A11149" s="2" t="s">
        <v>11149</v>
      </c>
      <c r="B11149" s="2" t="str">
        <f>IFERROR(__xludf.DUMMYFUNCTION("GOOGLETRANSLATE(A11149, ""en"", ""mt"")"),"Minbarra l-Baħar tat-Tramuntana u l-Kanal Irlandiż, x'iktar tbaxxiet fl-aħħar fażi kiesħa?")</f>
        <v>Minbarra l-Baħar tat-Tramuntana u l-Kanal Irlandiż, x'iktar tbaxxiet fl-aħħar fażi kiesħa?</v>
      </c>
    </row>
    <row r="11150" ht="15.75" customHeight="1">
      <c r="A11150" s="2" t="s">
        <v>11150</v>
      </c>
      <c r="B11150" s="2" t="str">
        <f>IFERROR(__xludf.DUMMYFUNCTION("GOOGLETRANSLATE(A11150, ""en"", ""mt"")"),"Ħafna mill-bażi tat-taxxa tal-belt tinħela")</f>
        <v>Ħafna mill-bażi tat-taxxa tal-belt tinħela</v>
      </c>
    </row>
    <row r="11151" ht="15.75" customHeight="1">
      <c r="A11151" s="2" t="s">
        <v>11151</v>
      </c>
      <c r="B11151" s="2" t="str">
        <f>IFERROR(__xludf.DUMMYFUNCTION("GOOGLETRANSLATE(A11151, ""en"", ""mt"")"),"Ware")</f>
        <v>Ware</v>
      </c>
    </row>
    <row r="11152" ht="15.75" customHeight="1">
      <c r="A11152" s="2" t="s">
        <v>11152</v>
      </c>
      <c r="B11152" s="2" t="str">
        <f>IFERROR(__xludf.DUMMYFUNCTION("GOOGLETRANSLATE(A11152, ""en"", ""mt"")"),"F'liema direzzjoni l-ilma fuq in-naħa tal-Lvant ħareġ?")</f>
        <v>F'liema direzzjoni l-ilma fuq in-naħa tal-Lvant ħareġ?</v>
      </c>
    </row>
    <row r="11153" ht="15.75" customHeight="1">
      <c r="A11153" s="2" t="s">
        <v>11153</v>
      </c>
      <c r="B11153" s="2" t="str">
        <f>IFERROR(__xludf.DUMMYFUNCTION("GOOGLETRANSLATE(A11153, ""en"", ""mt"")"),"l-elettorat ta 'Brandenburg u l-elettorat tal-palatinate")</f>
        <v>l-elettorat ta 'Brandenburg u l-elettorat tal-palatinate</v>
      </c>
    </row>
    <row r="11154" ht="15.75" customHeight="1">
      <c r="A11154" s="2" t="s">
        <v>11154</v>
      </c>
      <c r="B11154" s="2" t="str">
        <f>IFERROR(__xludf.DUMMYFUNCTION("GOOGLETRANSLATE(A11154, ""en"", ""mt"")"),"It-tieni")</f>
        <v>It-tieni</v>
      </c>
    </row>
    <row r="11155" ht="15.75" customHeight="1">
      <c r="A11155" s="2" t="s">
        <v>11155</v>
      </c>
      <c r="B11155" s="2" t="str">
        <f>IFERROR(__xludf.DUMMYFUNCTION("GOOGLETRANSLATE(A11155, ""en"", ""mt"")"),"Liema parti jilagħbu l-avvenimenti fl-ekonomija tar-Rabat?")</f>
        <v>Liema parti jilagħbu l-avvenimenti fl-ekonomija tar-Rabat?</v>
      </c>
    </row>
    <row r="11156" ht="15.75" customHeight="1">
      <c r="A11156" s="2" t="s">
        <v>11156</v>
      </c>
      <c r="B11156" s="2" t="str">
        <f>IFERROR(__xludf.DUMMYFUNCTION("GOOGLETRANSLATE(A11156, ""en"", ""mt"")"),"orizzontali")</f>
        <v>orizzontali</v>
      </c>
    </row>
    <row r="11157" ht="15.75" customHeight="1">
      <c r="A11157" s="2" t="s">
        <v>11157</v>
      </c>
      <c r="B11157" s="2" t="str">
        <f>IFERROR(__xludf.DUMMYFUNCTION("GOOGLETRANSLATE(A11157, ""en"", ""mt"")"),"produzzjoni tal-massa")</f>
        <v>produzzjoni tal-massa</v>
      </c>
    </row>
    <row r="11158" ht="15.75" customHeight="1">
      <c r="A11158" s="2" t="s">
        <v>11158</v>
      </c>
      <c r="B11158" s="2" t="str">
        <f>IFERROR(__xludf.DUMMYFUNCTION("GOOGLETRANSLATE(A11158, ""en"", ""mt"")"),"Minħabba l-mewt ta 'Elisabeth Sladen")</f>
        <v>Minħabba l-mewt ta 'Elisabeth Sladen</v>
      </c>
    </row>
    <row r="11159" ht="15.75" customHeight="1">
      <c r="A11159" s="2" t="s">
        <v>11159</v>
      </c>
      <c r="B11159" s="2" t="str">
        <f>IFERROR(__xludf.DUMMYFUNCTION("GOOGLETRANSLATE(A11159, ""en"", ""mt"")"),"Bajd ta 'Columbus")</f>
        <v>Bajd ta 'Columbus</v>
      </c>
    </row>
    <row r="11160" ht="15.75" customHeight="1">
      <c r="A11160" s="2" t="s">
        <v>11160</v>
      </c>
      <c r="B11160" s="2" t="str">
        <f>IFERROR(__xludf.DUMMYFUNCTION("GOOGLETRANSLATE(A11160, ""en"", ""mt"")"),"Kemm tunnellata jiżen l-iskrin Hereford?")</f>
        <v>Kemm tunnellata jiżen l-iskrin Hereford?</v>
      </c>
    </row>
    <row r="11161" ht="15.75" customHeight="1">
      <c r="A11161" s="2" t="s">
        <v>11161</v>
      </c>
      <c r="B11161" s="2" t="str">
        <f>IFERROR(__xludf.DUMMYFUNCTION("GOOGLETRANSLATE(A11161, ""en"", ""mt"")"),"Kemm l-immunità innata kif ukoll dik adatta tiddependi fuq il-kapaċità tas-sistema immunitarja li tiddistingwi bejn molekuli awto u dawk li mhumiex awto. Fl-immunoloġija, l-awto molekuli huma dawk il-komponenti tal-ġisem ta 'organiżmu li jistgħu jiġu dist"&amp;"inti minn sustanzi barranin mis-sistema immuni. Bil-maqlub, molekuli mhux awto huma dawk rikonoxxuti bħala molekuli barranin. Klassi waħda ta 'molekuli mhux awto huma msejħa antiġeni (qosra għall-ġeneraturi tal-antikorpi) u huma definiti bħala sustanzi li"&amp;" jorbtu ma' riċetturi immuni speċifiċi u li jġibu rispons immuni.")</f>
        <v>Kemm l-immunità innata kif ukoll dik adatta tiddependi fuq il-kapaċità tas-sistema immunitarja li tiddistingwi bejn molekuli awto u dawk li mhumiex awto. Fl-immunoloġija, l-awto molekuli huma dawk il-komponenti tal-ġisem ta 'organiżmu li jistgħu jiġu distinti minn sustanzi barranin mis-sistema immuni. Bil-maqlub, molekuli mhux awto huma dawk rikonoxxuti bħala molekuli barranin. Klassi waħda ta 'molekuli mhux awto huma msejħa antiġeni (qosra għall-ġeneraturi tal-antikorpi) u huma definiti bħala sustanzi li jorbtu ma' riċetturi immuni speċifiċi u li jġibu rispons immuni.</v>
      </c>
    </row>
    <row r="11162" ht="15.75" customHeight="1">
      <c r="A11162" s="2" t="s">
        <v>11162</v>
      </c>
      <c r="B11162" s="2" t="str">
        <f>IFERROR(__xludf.DUMMYFUNCTION("GOOGLETRANSLATE(A11162, ""en"", ""mt"")"),"Diverti")</f>
        <v>Diverti</v>
      </c>
    </row>
    <row r="11163" ht="15.75" customHeight="1">
      <c r="A11163" s="2" t="s">
        <v>11163</v>
      </c>
      <c r="B11163" s="2" t="str">
        <f>IFERROR(__xludf.DUMMYFUNCTION("GOOGLETRANSLATE(A11163, ""en"", ""mt"")"),"Età indurata")</f>
        <v>Età indurata</v>
      </c>
    </row>
    <row r="11164" ht="15.75" customHeight="1">
      <c r="A11164" s="2" t="s">
        <v>11164</v>
      </c>
      <c r="B11164" s="2" t="str">
        <f>IFERROR(__xludf.DUMMYFUNCTION("GOOGLETRANSLATE(A11164, ""en"", ""mt"")"),"kumpanji")</f>
        <v>kumpanji</v>
      </c>
    </row>
    <row r="11165" ht="15.75" customHeight="1">
      <c r="A11165" s="2" t="s">
        <v>11165</v>
      </c>
      <c r="B11165" s="2" t="str">
        <f>IFERROR(__xludf.DUMMYFUNCTION("GOOGLETRANSLATE(A11165, ""en"", ""mt"")"),"Channel 4 HD")</f>
        <v>Channel 4 HD</v>
      </c>
    </row>
    <row r="11166" ht="15.75" customHeight="1">
      <c r="A11166" s="2" t="s">
        <v>11166</v>
      </c>
      <c r="B11166" s="2" t="str">
        <f>IFERROR(__xludf.DUMMYFUNCTION("GOOGLETRANSLATE(A11166, ""en"", ""mt"")"),"Fejn Franza ffokat l-isforzi tagħha biex tibni mill-ġdid l-imperu tagħha?")</f>
        <v>Fejn Franza ffokat l-isforzi tagħha biex tibni mill-ġdid l-imperu tagħha?</v>
      </c>
    </row>
    <row r="11167" ht="15.75" customHeight="1">
      <c r="A11167" s="2" t="s">
        <v>11167</v>
      </c>
      <c r="B11167" s="2" t="str">
        <f>IFERROR(__xludf.DUMMYFUNCTION("GOOGLETRANSLATE(A11167, ""en"", ""mt"")"),"Kemm speċi ta 'pjanti huma stmati li jinsabu fir-reġjun tal-Amażonja?")</f>
        <v>Kemm speċi ta 'pjanti huma stmati li jinsabu fir-reġjun tal-Amażonja?</v>
      </c>
    </row>
    <row r="11168" ht="15.75" customHeight="1">
      <c r="A11168" s="2" t="s">
        <v>11168</v>
      </c>
      <c r="B11168" s="2" t="str">
        <f>IFERROR(__xludf.DUMMYFUNCTION("GOOGLETRANSLATE(A11168, ""en"", ""mt"")"),"mid-dipartiment,")</f>
        <v>mid-dipartiment,</v>
      </c>
    </row>
    <row r="11169" ht="15.75" customHeight="1">
      <c r="A11169" s="2" t="s">
        <v>11169</v>
      </c>
      <c r="B11169" s="2" t="str">
        <f>IFERROR(__xludf.DUMMYFUNCTION("GOOGLETRANSLATE(A11169, ""en"", ""mt"")"),"Dizzjunarju tal-Liġi tal-Iswed")</f>
        <v>Dizzjunarju tal-Liġi tal-Iswed</v>
      </c>
    </row>
    <row r="11170" ht="15.75" customHeight="1">
      <c r="A11170" s="2" t="s">
        <v>11170</v>
      </c>
      <c r="B11170" s="2" t="str">
        <f>IFERROR(__xludf.DUMMYFUNCTION("GOOGLETRANSLATE(A11170, ""en"", ""mt"")"),"Alpi Vittorjani")</f>
        <v>Alpi Vittorjani</v>
      </c>
    </row>
    <row r="11171" ht="15.75" customHeight="1">
      <c r="A11171" s="2" t="s">
        <v>11171</v>
      </c>
      <c r="B11171" s="2" t="str">
        <f>IFERROR(__xludf.DUMMYFUNCTION("GOOGLETRANSLATE(A11171, ""en"", ""mt"")"),"Il-kriżi tal-enerġija wasslet għal interess akbar fl-enerġija rinnovabbli, l-enerġija nukleari u l-fjuwils fossili domestiċi. Hemm kritika li l-politiki tal-enerġija Amerikani mill-kriżi ġew iddominati mill-ħsieb tal-mentalità tal-kriżi, li jippromwovu so"&amp;"luzzjonijiet ta 'malajr għaljin u soluzzjonijiet ta' sparatura waħda li jinjoraw ir-realtajiet tas-suq u tat-teknoloġija. Minflok ma jipprovdu regoli stabbli li jappoġġjaw riċerka bażika filwaqt li jħallu ħafna ambitu għall-intraprenditorija u l-innovazzj"&amp;"oni, il-kungressi u l-presidenti appoġġjaw ripetutament politiki li jwiegħdu soluzzjonijiet li huma politikament spedjenti, iżda li l-prospetti tagħhom huma dubjużi.")</f>
        <v>Il-kriżi tal-enerġija wasslet għal interess akbar fl-enerġija rinnovabbli, l-enerġija nukleari u l-fjuwils fossili domestiċi. Hemm kritika li l-politiki tal-enerġija Amerikani mill-kriżi ġew iddominati mill-ħsieb tal-mentalità tal-kriżi, li jippromwovu soluzzjonijiet ta 'malajr għaljin u soluzzjonijiet ta' sparatura waħda li jinjoraw ir-realtajiet tas-suq u tat-teknoloġija. Minflok ma jipprovdu regoli stabbli li jappoġġjaw riċerka bażika filwaqt li jħallu ħafna ambitu għall-intraprenditorija u l-innovazzjoni, il-kungressi u l-presidenti appoġġjaw ripetutament politiki li jwiegħdu soluzzjonijiet li huma politikament spedjenti, iżda li l-prospetti tagħhom huma dubjużi.</v>
      </c>
    </row>
    <row r="11172" ht="15.75" customHeight="1">
      <c r="A11172" s="2" t="s">
        <v>11172</v>
      </c>
      <c r="B11172" s="2" t="str">
        <f>IFERROR(__xludf.DUMMYFUNCTION("GOOGLETRANSLATE(A11172, ""en"", ""mt"")"),"Il-Pont tal-Bieb tad-Deheb.")</f>
        <v>Il-Pont tal-Bieb tad-Deheb.</v>
      </c>
    </row>
    <row r="11173" ht="15.75" customHeight="1">
      <c r="A11173" s="2" t="s">
        <v>11173</v>
      </c>
      <c r="B11173" s="2" t="str">
        <f>IFERROR(__xludf.DUMMYFUNCTION("GOOGLETRANSLATE(A11173, ""en"", ""mt"")"),"L-antikorpi ttrasportati mill-omm lejn tarbija permezz tal-plaċenta huwa eżempju ta 'liema tip ta' immunità ta 'ħajja qasira?")</f>
        <v>L-antikorpi ttrasportati mill-omm lejn tarbija permezz tal-plaċenta huwa eżempju ta 'liema tip ta' immunità ta 'ħajja qasira?</v>
      </c>
    </row>
    <row r="11174" ht="15.75" customHeight="1">
      <c r="A11174" s="2" t="s">
        <v>11174</v>
      </c>
      <c r="B11174" s="2" t="str">
        <f>IFERROR(__xludf.DUMMYFUNCTION("GOOGLETRANSLATE(A11174, ""en"", ""mt"")"),"Mill-fondazzjoni tagħha")</f>
        <v>Mill-fondazzjoni tagħha</v>
      </c>
    </row>
    <row r="11175" ht="15.75" customHeight="1">
      <c r="A11175" s="2" t="s">
        <v>11175</v>
      </c>
      <c r="B11175" s="2" t="str">
        <f>IFERROR(__xludf.DUMMYFUNCTION("GOOGLETRANSLATE(A11175, ""en"", ""mt"")"),"Min waqqaf il-Fratellanza Musulmana?")</f>
        <v>Min waqqaf il-Fratellanza Musulmana?</v>
      </c>
    </row>
    <row r="11176" ht="15.75" customHeight="1">
      <c r="A11176" s="2" t="s">
        <v>11176</v>
      </c>
      <c r="B11176" s="2" t="str">
        <f>IFERROR(__xludf.DUMMYFUNCTION("GOOGLETRANSLATE(A11176, ""en"", ""mt"")"),"n = 2")</f>
        <v>n = 2</v>
      </c>
    </row>
    <row r="11177" ht="15.75" customHeight="1">
      <c r="A11177" s="2" t="s">
        <v>11177</v>
      </c>
      <c r="B11177" s="2" t="str">
        <f>IFERROR(__xludf.DUMMYFUNCTION("GOOGLETRANSLATE(A11177, ""en"", ""mt"")"),"Iċ-ċiklu tal-karbonju")</f>
        <v>Iċ-ċiklu tal-karbonju</v>
      </c>
    </row>
    <row r="11178" ht="15.75" customHeight="1">
      <c r="A11178" s="2" t="s">
        <v>11178</v>
      </c>
      <c r="B11178" s="2" t="str">
        <f>IFERROR(__xludf.DUMMYFUNCTION("GOOGLETRANSLATE(A11178, ""en"", ""mt"")"),"Wara l-1940s")</f>
        <v>Wara l-1940s</v>
      </c>
    </row>
    <row r="11179" ht="15.75" customHeight="1">
      <c r="A11179" s="2" t="s">
        <v>11179</v>
      </c>
      <c r="B11179" s="2" t="str">
        <f>IFERROR(__xludf.DUMMYFUNCTION("GOOGLETRANSLATE(A11179, ""en"", ""mt"")"),"Ford, Chrysler, u GM")</f>
        <v>Ford, Chrysler, u GM</v>
      </c>
    </row>
    <row r="11180" ht="15.75" customHeight="1">
      <c r="A11180" s="2" t="s">
        <v>11180</v>
      </c>
      <c r="B11180" s="2" t="str">
        <f>IFERROR(__xludf.DUMMYFUNCTION("GOOGLETRANSLATE(A11180, ""en"", ""mt"")"),"F’liema sena Genghis Khan laqat kontra t-Tanguts?")</f>
        <v>F’liema sena Genghis Khan laqat kontra t-Tanguts?</v>
      </c>
    </row>
    <row r="11181" ht="15.75" customHeight="1">
      <c r="A11181" s="2" t="s">
        <v>11181</v>
      </c>
      <c r="B11181" s="2" t="str">
        <f>IFERROR(__xludf.DUMMYFUNCTION("GOOGLETRANSLATE(A11181, ""en"", ""mt"")"),"1700")</f>
        <v>1700</v>
      </c>
    </row>
    <row r="11182" ht="15.75" customHeight="1">
      <c r="A11182" s="2" t="s">
        <v>11182</v>
      </c>
      <c r="B11182" s="2" t="str">
        <f>IFERROR(__xludf.DUMMYFUNCTION("GOOGLETRANSLATE(A11182, ""en"", ""mt"")"),"Mill-1947 sal-1967, kemm żdied il-prezz taż-żejt?")</f>
        <v>Mill-1947 sal-1967, kemm żdied il-prezz taż-żejt?</v>
      </c>
    </row>
    <row r="11183" ht="15.75" customHeight="1">
      <c r="A11183" s="2" t="s">
        <v>11183</v>
      </c>
      <c r="B11183" s="2" t="str">
        <f>IFERROR(__xludf.DUMMYFUNCTION("GOOGLETRANSLATE(A11183, ""en"", ""mt"")"),"L-Għaxar Kmandamenti")</f>
        <v>L-Għaxar Kmandamenti</v>
      </c>
    </row>
    <row r="11184" ht="15.75" customHeight="1">
      <c r="A11184" s="2" t="s">
        <v>11184</v>
      </c>
      <c r="B11184" s="2" t="str">
        <f>IFERROR(__xludf.DUMMYFUNCTION("GOOGLETRANSLATE(A11184, ""en"", ""mt"")"),"Tmiem l-Ewwel Gwerra Dinjija")</f>
        <v>Tmiem l-Ewwel Gwerra Dinjija</v>
      </c>
    </row>
    <row r="11185" ht="15.75" customHeight="1">
      <c r="A11185" s="2" t="s">
        <v>11185</v>
      </c>
      <c r="B11185" s="2" t="str">
        <f>IFERROR(__xludf.DUMMYFUNCTION("GOOGLETRANSLATE(A11185, ""en"", ""mt"")"),"ċitotossiku jew immunosoppressiv")</f>
        <v>ċitotossiku jew immunosoppressiv</v>
      </c>
    </row>
    <row r="11186" ht="15.75" customHeight="1">
      <c r="A11186" s="2" t="s">
        <v>11186</v>
      </c>
      <c r="B11186" s="2" t="str">
        <f>IFERROR(__xludf.DUMMYFUNCTION("GOOGLETRANSLATE(A11186, ""en"", ""mt"")"),"riġenerat")</f>
        <v>riġenerat</v>
      </c>
    </row>
    <row r="11187" ht="15.75" customHeight="1">
      <c r="A11187" s="2" t="s">
        <v>11187</v>
      </c>
      <c r="B11187" s="2" t="str">
        <f>IFERROR(__xludf.DUMMYFUNCTION("GOOGLETRANSLATE(A11187, ""en"", ""mt"")"),"Tetzel")</f>
        <v>Tetzel</v>
      </c>
    </row>
    <row r="11188" ht="15.75" customHeight="1">
      <c r="A11188" s="2" t="s">
        <v>11188</v>
      </c>
      <c r="B11188" s="2" t="str">
        <f>IFERROR(__xludf.DUMMYFUNCTION("GOOGLETRANSLATE(A11188, ""en"", ""mt"")"),"Saddam Hussein's")</f>
        <v>Saddam Hussein's</v>
      </c>
    </row>
    <row r="11189" ht="15.75" customHeight="1">
      <c r="A11189" s="2" t="s">
        <v>11189</v>
      </c>
      <c r="B11189" s="2" t="str">
        <f>IFERROR(__xludf.DUMMYFUNCTION("GOOGLETRANSLATE(A11189, ""en"", ""mt"")"),"korriment tal-fasciitis plantar")</f>
        <v>korriment tal-fasciitis plantar</v>
      </c>
    </row>
    <row r="11190" ht="15.75" customHeight="1">
      <c r="A11190" s="2" t="s">
        <v>11190</v>
      </c>
      <c r="B11190" s="2" t="str">
        <f>IFERROR(__xludf.DUMMYFUNCTION("GOOGLETRANSLATE(A11190, ""en"", ""mt"")"),"Liema nazzjon fih il-maġġoranza tal-foresta tal-Amażonja?")</f>
        <v>Liema nazzjon fih il-maġġoranza tal-foresta tal-Amażonja?</v>
      </c>
    </row>
    <row r="11191" ht="15.75" customHeight="1">
      <c r="A11191" s="2" t="s">
        <v>11191</v>
      </c>
      <c r="B11191" s="2" t="str">
        <f>IFERROR(__xludf.DUMMYFUNCTION("GOOGLETRANSLATE(A11191, ""en"", ""mt"")"),"F'liema sena l-iżviluppaturi Billings &amp; Meyering akkwistaw il-passaġġ Alta Vista?")</f>
        <v>F'liema sena l-iżviluppaturi Billings &amp; Meyering akkwistaw il-passaġġ Alta Vista?</v>
      </c>
    </row>
    <row r="11192" ht="15.75" customHeight="1">
      <c r="A11192" s="2" t="s">
        <v>11192</v>
      </c>
      <c r="B11192" s="2" t="str">
        <f>IFERROR(__xludf.DUMMYFUNCTION("GOOGLETRANSLATE(A11192, ""en"", ""mt"")"),"Liema mexxej tal-Mongolja kien l-iktar oppost għal Jochi bħala s-suċċessur ta 'Genghis Khan?")</f>
        <v>Liema mexxej tal-Mongolja kien l-iktar oppost għal Jochi bħala s-suċċessur ta 'Genghis Khan?</v>
      </c>
    </row>
    <row r="11193" ht="15.75" customHeight="1">
      <c r="A11193" s="2" t="s">
        <v>11193</v>
      </c>
      <c r="B11193" s="2" t="str">
        <f>IFERROR(__xludf.DUMMYFUNCTION("GOOGLETRANSLATE(A11193, ""en"", ""mt"")"),"3.6% tal - popolazzjoni ta 'l-Istati Uniti, jew")</f>
        <v>3.6% tal - popolazzjoni ta 'l-Istati Uniti, jew</v>
      </c>
    </row>
    <row r="11194" ht="15.75" customHeight="1">
      <c r="A11194" s="2" t="s">
        <v>11194</v>
      </c>
      <c r="B11194" s="2" t="str">
        <f>IFERROR(__xludf.DUMMYFUNCTION("GOOGLETRANSLATE(A11194, ""en"", ""mt"")"),"Fir-rigward tal-indulġenzi għall-mejtin")</f>
        <v>Fir-rigward tal-indulġenzi għall-mejtin</v>
      </c>
    </row>
    <row r="11195" ht="15.75" customHeight="1">
      <c r="A11195" s="2" t="s">
        <v>11195</v>
      </c>
      <c r="B11195" s="2" t="str">
        <f>IFERROR(__xludf.DUMMYFUNCTION("GOOGLETRANSLATE(A11195, ""en"", ""mt"")"),"Fejn jinsabu l-Appostli?")</f>
        <v>Fejn jinsabu l-Appostli?</v>
      </c>
    </row>
    <row r="11196" ht="15.75" customHeight="1">
      <c r="A11196" s="2" t="s">
        <v>11196</v>
      </c>
      <c r="B11196" s="2" t="str">
        <f>IFERROR(__xludf.DUMMYFUNCTION("GOOGLETRANSLATE(A11196, ""en"", ""mt"")"),"it-turbina tal-fwar")</f>
        <v>it-turbina tal-fwar</v>
      </c>
    </row>
    <row r="11197" ht="15.75" customHeight="1">
      <c r="A11197" s="2" t="s">
        <v>11197</v>
      </c>
      <c r="B11197" s="2" t="str">
        <f>IFERROR(__xludf.DUMMYFUNCTION("GOOGLETRANSLATE(A11197, ""en"", ""mt"")"),"bdiewa itineranti")</f>
        <v>bdiewa itineranti</v>
      </c>
    </row>
    <row r="11198" ht="15.75" customHeight="1">
      <c r="A11198" s="2" t="s">
        <v>11198</v>
      </c>
      <c r="B11198" s="2" t="str">
        <f>IFERROR(__xludf.DUMMYFUNCTION("GOOGLETRANSLATE(A11198, ""en"", ""mt"")"),"Kemm il-PGD jirrappreżenta l-manifattura?")</f>
        <v>Kemm il-PGD jirrappreżenta l-manifattura?</v>
      </c>
    </row>
    <row r="11199" ht="15.75" customHeight="1">
      <c r="A11199" s="2" t="s">
        <v>11199</v>
      </c>
      <c r="B11199" s="2" t="str">
        <f>IFERROR(__xludf.DUMMYFUNCTION("GOOGLETRANSLATE(A11199, ""en"", ""mt"")"),"Min kienu ż-żewġ predikaturi lajċi li Wesley ordnaw bħala presbyters?")</f>
        <v>Min kienu ż-żewġ predikaturi lajċi li Wesley ordnaw bħala presbyters?</v>
      </c>
    </row>
    <row r="11200" ht="15.75" customHeight="1">
      <c r="A11200" s="2" t="s">
        <v>11200</v>
      </c>
      <c r="B11200" s="2" t="str">
        <f>IFERROR(__xludf.DUMMYFUNCTION("GOOGLETRANSLATE(A11200, ""en"", ""mt"")"),"Wara li Huguenots ħarbu minn Franza, l-aħħar bastjun li fadal tagħhom kien fejn?")</f>
        <v>Wara li Huguenots ħarbu minn Franza, l-aħħar bastjun li fadal tagħhom kien fejn?</v>
      </c>
    </row>
    <row r="11201" ht="15.75" customHeight="1">
      <c r="A11201" s="2" t="s">
        <v>11201</v>
      </c>
      <c r="B11201" s="2" t="str">
        <f>IFERROR(__xludf.DUMMYFUNCTION("GOOGLETRANSLATE(A11201, ""en"", ""mt"")"),"ħabib")</f>
        <v>ħabib</v>
      </c>
    </row>
    <row r="11202" ht="15.75" customHeight="1">
      <c r="A11202" s="2" t="s">
        <v>11202</v>
      </c>
      <c r="B11202" s="2" t="str">
        <f>IFERROR(__xludf.DUMMYFUNCTION("GOOGLETRANSLATE(A11202, ""en"", ""mt"")"),"Twaqqfet fl-1852")</f>
        <v>Twaqqfet fl-1852</v>
      </c>
    </row>
    <row r="11203" ht="15.75" customHeight="1">
      <c r="A11203" s="2" t="s">
        <v>11203</v>
      </c>
      <c r="B11203" s="2" t="str">
        <f>IFERROR(__xludf.DUMMYFUNCTION("GOOGLETRANSLATE(A11203, ""en"", ""mt"")"),"kundizzjonijiet ta 'ekwilibriju statiku")</f>
        <v>kundizzjonijiet ta 'ekwilibriju statiku</v>
      </c>
    </row>
    <row r="11204" ht="15.75" customHeight="1">
      <c r="A11204" s="2" t="s">
        <v>11204</v>
      </c>
      <c r="B11204" s="2" t="str">
        <f>IFERROR(__xludf.DUMMYFUNCTION("GOOGLETRANSLATE(A11204, ""en"", ""mt"")"),"X'inhi l-iktar riżorsa kritika mkejla biex tevalwa d-determinazzjoni tal-kapaċità ta 'magna tat-Turing li ssolvi kwalunkwe sett ta' problemi?")</f>
        <v>X'inhi l-iktar riżorsa kritika mkejla biex tevalwa d-determinazzjoni tal-kapaċità ta 'magna tat-Turing li ssolvi kwalunkwe sett ta' problemi?</v>
      </c>
    </row>
    <row r="11205" ht="15.75" customHeight="1">
      <c r="A11205" s="2" t="s">
        <v>11205</v>
      </c>
      <c r="B11205" s="2" t="str">
        <f>IFERROR(__xludf.DUMMYFUNCTION("GOOGLETRANSLATE(A11205, ""en"", ""mt"")"),"F'liema serje ABC ippreżenta l-adattamenti tal-films tal-1950?")</f>
        <v>F'liema serje ABC ippreżenta l-adattamenti tal-films tal-1950?</v>
      </c>
    </row>
    <row r="11206" ht="15.75" customHeight="1">
      <c r="A11206" s="2" t="s">
        <v>11206</v>
      </c>
      <c r="B11206" s="2" t="str">
        <f>IFERROR(__xludf.DUMMYFUNCTION("GOOGLETRANSLATE(A11206, ""en"", ""mt"")"),"Min hu magħruf ukoll fil-missier tal-bomba tal-idroġenu?")</f>
        <v>Min hu magħruf ukoll fil-missier tal-bomba tal-idroġenu?</v>
      </c>
    </row>
    <row r="11207" ht="15.75" customHeight="1">
      <c r="A11207" s="2" t="s">
        <v>11207</v>
      </c>
      <c r="B11207" s="2" t="str">
        <f>IFERROR(__xludf.DUMMYFUNCTION("GOOGLETRANSLATE(A11207, ""en"", ""mt"")"),"Fejn jintemm il-kejl tax-Xmara Rhine?")</f>
        <v>Fejn jintemm il-kejl tax-Xmara Rhine?</v>
      </c>
    </row>
    <row r="11208" ht="15.75" customHeight="1">
      <c r="A11208" s="2" t="s">
        <v>11208</v>
      </c>
      <c r="B11208" s="2" t="str">
        <f>IFERROR(__xludf.DUMMYFUNCTION("GOOGLETRANSLATE(A11208, ""en"", ""mt"")"),"Artifact")</f>
        <v>Artifact</v>
      </c>
    </row>
    <row r="11209" ht="15.75" customHeight="1">
      <c r="A11209" s="2" t="s">
        <v>11209</v>
      </c>
      <c r="B11209" s="2" t="str">
        <f>IFERROR(__xludf.DUMMYFUNCTION("GOOGLETRANSLATE(A11209, ""en"", ""mt"")"),"ħlas għal kull unità ta 'ħin ta' konnessjoni")</f>
        <v>ħlas għal kull unità ta 'ħin ta' konnessjoni</v>
      </c>
    </row>
    <row r="11210" ht="15.75" customHeight="1">
      <c r="A11210" s="2" t="s">
        <v>11210</v>
      </c>
      <c r="B11210" s="2" t="str">
        <f>IFERROR(__xludf.DUMMYFUNCTION("GOOGLETRANSLATE(A11210, ""en"", ""mt"")"),"L-Ewwel Gwerra Dinjija")</f>
        <v>L-Ewwel Gwerra Dinjija</v>
      </c>
    </row>
    <row r="11211" ht="15.75" customHeight="1">
      <c r="A11211" s="2" t="s">
        <v>11211</v>
      </c>
      <c r="B11211" s="2" t="str">
        <f>IFERROR(__xludf.DUMMYFUNCTION("GOOGLETRANSLATE(A11211, ""en"", ""mt"")"),"Iċ-ċelloli tal-pjanti jirrispondu għall-molekuli assoċjati ma 'patoġeni magħrufa bħala?")</f>
        <v>Iċ-ċelloli tal-pjanti jirrispondu għall-molekuli assoċjati ma 'patoġeni magħrufa bħala?</v>
      </c>
    </row>
    <row r="11212" ht="15.75" customHeight="1">
      <c r="A11212" s="2" t="s">
        <v>11212</v>
      </c>
      <c r="B11212" s="2" t="str">
        <f>IFERROR(__xludf.DUMMYFUNCTION("GOOGLETRANSLATE(A11212, ""en"", ""mt"")"),"Teoriji oħra tal-oriġini tal-kelma jistgħu ġeneralment jiġu kklassifikati bħala xiex?")</f>
        <v>Teoriji oħra tal-oriġini tal-kelma jistgħu ġeneralment jiġu kklassifikati bħala xiex?</v>
      </c>
    </row>
    <row r="11213" ht="15.75" customHeight="1">
      <c r="A11213" s="2" t="s">
        <v>11213</v>
      </c>
      <c r="B11213" s="2" t="str">
        <f>IFERROR(__xludf.DUMMYFUNCTION("GOOGLETRANSLATE(A11213, ""en"", ""mt"")"),"attakka l-kolonna Ingliża")</f>
        <v>attakka l-kolonna Ingliża</v>
      </c>
    </row>
    <row r="11214" ht="15.75" customHeight="1">
      <c r="A11214" s="2" t="s">
        <v>11214</v>
      </c>
      <c r="B11214" s="2" t="str">
        <f>IFERROR(__xludf.DUMMYFUNCTION("GOOGLETRANSLATE(A11214, ""en"", ""mt"")"),"Ingliż modern")</f>
        <v>Ingliż modern</v>
      </c>
    </row>
    <row r="11215" ht="15.75" customHeight="1">
      <c r="A11215" s="2" t="s">
        <v>11215</v>
      </c>
      <c r="B11215" s="2" t="str">
        <f>IFERROR(__xludf.DUMMYFUNCTION("GOOGLETRANSLATE(A11215, ""en"", ""mt"")"),"Għal xiex jużaw Platyctenida?")</f>
        <v>Għal xiex jużaw Platyctenida?</v>
      </c>
    </row>
    <row r="11216" ht="15.75" customHeight="1">
      <c r="A11216" s="2" t="s">
        <v>11216</v>
      </c>
      <c r="B11216" s="2" t="str">
        <f>IFERROR(__xludf.DUMMYFUNCTION("GOOGLETRANSLATE(A11216, ""en"", ""mt"")"),"Fil-ħin tal-kollokazzjoni ta 'Marburg, Suleiman il-magnificent kien assedjat lil Vjenna ma' armata Ottomana vasta. Luther kien argumenta kontra li rreżista lit-Torok fl-ispjegazzjoni tiegħu tal-1518 dwar il-ħamsa u disgħin teżi, li pprovoka akkużi ta 'tel"&amp;"fa. Huwa ra lit-Torok bħala pjaga mibgħuta biex jikkastigaw lill-Kristjani minn Alla, bħala aġenti tal-apokalipsi bibliċi li jeqirdu l-Antikrist, li Luther kien jemmen li huwa l-papat, u l-knisja Rumana. Huwa ċaħad b'mod konsistenti l-idea ta 'gwerra qadd"&amp;"isa, ""bħallikieku n-nies tagħna kienu armata ta' Kristjani kontra t-Torok, li kienu għedewwa ta 'Kristu. Din hija assolutament kuntrarja għad-duttrina u l-isem ta' Kristu"". Min-naħa l-oħra, b'konformità mad-duttrina tiegħu taż-żewġ renji, Luther appoġġj"&amp;"a gwerra mhux reliġjuża kontra t-Torok. Fl-1526, huwa sostna jekk is-suldati jistgħux ikunu fi stat ta 'grazzja li d-difiża nazzjonali hija raġuni għal gwerra ġusta. Sal-1529, fil-gwerra kontra t-Turk, huwa kien qed iħeġġeġ b’mod attiv lill-Imperatur Char"&amp;"les V u lill-poplu Ġermaniż biex jiġġieled gwerra sekulari kontra t-Torok. Huwa għamilha ċara, madankollu, li l-gwerra spiritwali kontra fidi aljena kienet separata, li għandha titwettaq permezz tat-talb u l-indiema. Madwar iż-żmien tal-assedju ta 'Vjenna"&amp;", Luther kiteb talb għat-twassil nazzjonali mit-Torok, u talab lil Alla biex ""jagħti lill-imperatur tagħna rebħa perpetwa fuq l-għedewwa tagħna"".")</f>
        <v>Fil-ħin tal-kollokazzjoni ta 'Marburg, Suleiman il-magnificent kien assedjat lil Vjenna ma' armata Ottomana vasta. Luther kien argumenta kontra li rreżista lit-Torok fl-ispjegazzjoni tiegħu tal-1518 dwar il-ħamsa u disgħin teżi, li pprovoka akkużi ta 'telfa. Huwa ra lit-Torok bħala pjaga mibgħuta biex jikkastigaw lill-Kristjani minn Alla, bħala aġenti tal-apokalipsi bibliċi li jeqirdu l-Antikrist, li Luther kien jemmen li huwa l-papat, u l-knisja Rumana. Huwa ċaħad b'mod konsistenti l-idea ta 'gwerra qaddisa, "bħallikieku n-nies tagħna kienu armata ta' Kristjani kontra t-Torok, li kienu għedewwa ta 'Kristu. Din hija assolutament kuntrarja għad-duttrina u l-isem ta' Kristu". Min-naħa l-oħra, b'konformità mad-duttrina tiegħu taż-żewġ renji, Luther appoġġja gwerra mhux reliġjuża kontra t-Torok. Fl-1526, huwa sostna jekk is-suldati jistgħux ikunu fi stat ta 'grazzja li d-difiża nazzjonali hija raġuni għal gwerra ġusta. Sal-1529, fil-gwerra kontra t-Turk, huwa kien qed iħeġġeġ b’mod attiv lill-Imperatur Charles V u lill-poplu Ġermaniż biex jiġġieled gwerra sekulari kontra t-Torok. Huwa għamilha ċara, madankollu, li l-gwerra spiritwali kontra fidi aljena kienet separata, li għandha titwettaq permezz tat-talb u l-indiema. Madwar iż-żmien tal-assedju ta 'Vjenna, Luther kiteb talb għat-twassil nazzjonali mit-Torok, u talab lil Alla biex "jagħti lill-imperatur tagħna rebħa perpetwa fuq l-għedewwa tagħna".</v>
      </c>
    </row>
    <row r="11217" ht="15.75" customHeight="1">
      <c r="A11217" s="2" t="s">
        <v>11217</v>
      </c>
      <c r="B11217" s="2" t="str">
        <f>IFERROR(__xludf.DUMMYFUNCTION("GOOGLETRANSLATE(A11217, ""en"", ""mt"")"),"Martin Luther (/ ˈluːθər / jew / ˈluːðər /; Ġermaniż: [ˈmaɐ̯tiːn ˈlʊtɐ] (Isma); 10 ta ’Novembru 1483 - 18 ta’ Frar 1546) kien professur Ġermaniż tat-teoloġija, kompożitur, kompożitur, saċerdot, saċerdot, ex-monk u figura seminali fir-riformazzjoni Protest"&amp;"anti - Luther wasal biex jirrifjuta diversi tagħlim u prattiki tal-knisja Kattolika Medjevali tard. Huwa kkontesta bil-qawwa t-talba li l-ħelsien mill-kastig ta 'Alla għad-dnub jista' jinxtara bil-flus. Huwa ppropona diskussjoni akkademika dwar il-poter u"&amp;" l-utilità tal-indulġenzi fil-ħamsa u disgħin teżi tiegħu tal-1517. Ir-rifjut tiegħu li jirtira l-kitbiet kollha tiegħu fuq it-talba tal-Papa Leo X fl-1520 u l-Imperatur Ruman qaddis Charles V fid-dieta tad-dud Fl-1521 irriżulta fl-exkomunikazzjoni tiegħu"&amp;" mill-Papa u l-kundanna bħala illegali mill-Imperatur.")</f>
        <v>Martin Luther (/ ˈluːθər / jew / ˈluːðər /; Ġermaniż: [ˈmaɐ̯tiːn ˈlʊtɐ] (Isma); 10 ta ’Novembru 1483 - 18 ta’ Frar 1546) kien professur Ġermaniż tat-teoloġija, kompożitur, kompożitur, saċerdot, saċerdot, ex-monk u figura seminali fir-riformazzjoni Protestanti - Luther wasal biex jirrifjuta diversi tagħlim u prattiki tal-knisja Kattolika Medjevali tard. Huwa kkontesta bil-qawwa t-talba li l-ħelsien mill-kastig ta 'Alla għad-dnub jista' jinxtara bil-flus. Huwa ppropona diskussjoni akkademika dwar il-poter u l-utilità tal-indulġenzi fil-ħamsa u disgħin teżi tiegħu tal-1517. Ir-rifjut tiegħu li jirtira l-kitbiet kollha tiegħu fuq it-talba tal-Papa Leo X fl-1520 u l-Imperatur Ruman qaddis Charles V fid-dieta tad-dud Fl-1521 irriżulta fl-exkomunikazzjoni tiegħu mill-Papa u l-kundanna bħala illegali mill-Imperatur.</v>
      </c>
    </row>
    <row r="11218" ht="15.75" customHeight="1">
      <c r="A11218" s="2" t="s">
        <v>11218</v>
      </c>
      <c r="B11218" s="2" t="str">
        <f>IFERROR(__xludf.DUMMYFUNCTION("GOOGLETRANSLATE(A11218, ""en"", ""mt"")"),"New Rochelle, li tinsab fil-kontea ta ’Westchester fuq ix-xatt tat-tramuntana ta’ Long Island Sound, dehret li kienet il-post tajjeb ħafna tal-Huguenots fi New York. Jingħad li żbarkaw fuq il-kosta tal-peniżola ta 'Davenports Neck imsejħa ""Bauffet's Poin"&amp;"t"" wara li vvjaġġaw mill-Ingilterra fejn qabel kienu refuġjaw minħabba l-persekuzzjoni reliġjuża, erba' snin qabel ir-revoka tal-editt ta 'Nantes. Huma xtraw mingħand John Pell, Lord of Pelham Manor, medda ta ’art li tikkonsisti f’sitt elf mitt acres bl-"&amp;"għajnuna ta’ Jacob Leisler. Ġie msemmi New Rochelle wara La Rochelle, l-ex-hold qawwi tagħhom fi Franza. Knisja żgħira tal-injam inbniet l-ewwel fil-komunità, segwita minn tieni knisja li nbniet minn ġebla. Qabel it-twaqqif ta 'dan, l-irġiel b'saħħithom s"&amp;"piss jimxu tlieta u għoxrin mil nhar is-Sibt filgħaxija, id-distanza fit-triq minn New Rochelle għal New York, biex jattendu s-servizz tal-Ħadd. Il-knisja eventwalment ġiet sostitwita minn terz, Trinity-St. Il-Knisja Episkopali ta 'Pawlu, li fiha l-werrie"&amp;"t inkluż il-qanpiena oriġinali mill-Knisja Huguenot Franċiża ""Eglise du St Esperit"" fi Triq Pine fi New York City, li hija ppreservata bħala relikwa fil-kamra tat-torri. Iċ-ċimiterju Huguenot, jew ""dfin ta 'Huguenot"", minn dakinhar ġie rikonoxxut bħal"&amp;"a ċimiterju storiku li huwa l-aħħar post ta' mistrieħ għal firxa wiesgħa tal-fundaturi Huguenot, kolonizzaturi bikrija u ċittadini prominenti li jmorru lura aktar minn tliet sekli.")</f>
        <v>New Rochelle, li tinsab fil-kontea ta ’Westchester fuq ix-xatt tat-tramuntana ta’ Long Island Sound, dehret li kienet il-post tajjeb ħafna tal-Huguenots fi New York. Jingħad li żbarkaw fuq il-kosta tal-peniżola ta 'Davenports Neck imsejħa "Bauffet's Point" wara li vvjaġġaw mill-Ingilterra fejn qabel kienu refuġjaw minħabba l-persekuzzjoni reliġjuża, erba' snin qabel ir-revoka tal-editt ta 'Nantes. Huma xtraw mingħand John Pell, Lord of Pelham Manor, medda ta ’art li tikkonsisti f’sitt elf mitt acres bl-għajnuna ta’ Jacob Leisler. Ġie msemmi New Rochelle wara La Rochelle, l-ex-hold qawwi tagħhom fi Franza. Knisja żgħira tal-injam inbniet l-ewwel fil-komunità, segwita minn tieni knisja li nbniet minn ġebla. Qabel it-twaqqif ta 'dan, l-irġiel b'saħħithom spiss jimxu tlieta u għoxrin mil nhar is-Sibt filgħaxija, id-distanza fit-triq minn New Rochelle għal New York, biex jattendu s-servizz tal-Ħadd. Il-knisja eventwalment ġiet sostitwita minn terz, Trinity-St. Il-Knisja Episkopali ta 'Pawlu, li fiha l-werriet inkluż il-qanpiena oriġinali mill-Knisja Huguenot Franċiża "Eglise du St Esperit" fi Triq Pine fi New York City, li hija ppreservata bħala relikwa fil-kamra tat-torri. Iċ-ċimiterju Huguenot, jew "dfin ta 'Huguenot", minn dakinhar ġie rikonoxxut bħala ċimiterju storiku li huwa l-aħħar post ta' mistrieħ għal firxa wiesgħa tal-fundaturi Huguenot, kolonizzaturi bikrija u ċittadini prominenti li jmorru lura aktar minn tliet sekli.</v>
      </c>
    </row>
    <row r="11219" ht="15.75" customHeight="1">
      <c r="A11219" s="2" t="s">
        <v>11219</v>
      </c>
      <c r="B11219" s="2" t="str">
        <f>IFERROR(__xludf.DUMMYFUNCTION("GOOGLETRANSLATE(A11219, ""en"", ""mt"")"),"huma f'kuntatt mal-istoma")</f>
        <v>huma f'kuntatt mal-istoma</v>
      </c>
    </row>
    <row r="11220" ht="15.75" customHeight="1">
      <c r="A11220" s="2" t="s">
        <v>11220</v>
      </c>
      <c r="B11220" s="2" t="str">
        <f>IFERROR(__xludf.DUMMYFUNCTION("GOOGLETRANSLATE(A11220, ""en"", ""mt"")"),"ċelloli fagoċitiċi")</f>
        <v>ċelloli fagoċitiċi</v>
      </c>
    </row>
    <row r="11221" ht="15.75" customHeight="1">
      <c r="A11221" s="2" t="s">
        <v>11221</v>
      </c>
      <c r="B11221" s="2" t="str">
        <f>IFERROR(__xludf.DUMMYFUNCTION("GOOGLETRANSLATE(A11221, ""en"", ""mt"")"),"fl-epoka tal-Pleistocene")</f>
        <v>fl-epoka tal-Pleistocene</v>
      </c>
    </row>
    <row r="11222" ht="15.75" customHeight="1">
      <c r="A11222" s="2" t="s">
        <v>11222</v>
      </c>
      <c r="B11222" s="2" t="str">
        <f>IFERROR(__xludf.DUMMYFUNCTION("GOOGLETRANSLATE(A11222, ""en"", ""mt"")"),"Il-kolonji kienu sinjal ta 'dak fost il-pajjiżi Ewropej?")</f>
        <v>Il-kolonji kienu sinjal ta 'dak fost il-pajjiżi Ewropej?</v>
      </c>
    </row>
    <row r="11223" ht="15.75" customHeight="1">
      <c r="A11223" s="2" t="s">
        <v>11223</v>
      </c>
      <c r="B11223" s="2" t="str">
        <f>IFERROR(__xludf.DUMMYFUNCTION("GOOGLETRANSLATE(A11223, ""en"", ""mt"")"),"Pesta ordinarja tal-Lvant jew Bubonika ordinarja")</f>
        <v>Pesta ordinarja tal-Lvant jew Bubonika ordinarja</v>
      </c>
    </row>
    <row r="11224" ht="15.75" customHeight="1">
      <c r="A11224" s="2" t="s">
        <v>11224</v>
      </c>
      <c r="B11224" s="2" t="str">
        <f>IFERROR(__xludf.DUMMYFUNCTION("GOOGLETRANSLATE(A11224, ""en"", ""mt"")"),"Jista 'jkun daħal fl-Ewropa f'żewġ mewġ")</f>
        <v>Jista 'jkun daħal fl-Ewropa f'żewġ mewġ</v>
      </c>
    </row>
    <row r="11225" ht="15.75" customHeight="1">
      <c r="A11225" s="2" t="s">
        <v>11225</v>
      </c>
      <c r="B11225" s="2" t="str">
        <f>IFERROR(__xludf.DUMMYFUNCTION("GOOGLETRANSLATE(A11225, ""en"", ""mt"")"),"John Sutcliffe")</f>
        <v>John Sutcliffe</v>
      </c>
    </row>
    <row r="11226" ht="15.75" customHeight="1">
      <c r="A11226" s="2" t="s">
        <v>11226</v>
      </c>
      <c r="B11226" s="2" t="str">
        <f>IFERROR(__xludf.DUMMYFUNCTION("GOOGLETRANSLATE(A11226, ""en"", ""mt"")"),"X'jistgħu jagħmlu l-membri mhux eletti mill-gvern Skoċċiż?")</f>
        <v>X'jistgħu jagħmlu l-membri mhux eletti mill-gvern Skoċċiż?</v>
      </c>
    </row>
    <row r="11227" ht="15.75" customHeight="1">
      <c r="A11227" s="2" t="s">
        <v>11227</v>
      </c>
      <c r="B11227" s="2" t="str">
        <f>IFERROR(__xludf.DUMMYFUNCTION("GOOGLETRANSLATE(A11227, ""en"", ""mt"")"),"kura tas-saħħa")</f>
        <v>kura tas-saħħa</v>
      </c>
    </row>
    <row r="11228" ht="15.75" customHeight="1">
      <c r="A11228" s="2" t="s">
        <v>11228</v>
      </c>
      <c r="B11228" s="2" t="str">
        <f>IFERROR(__xludf.DUMMYFUNCTION("GOOGLETRANSLATE(A11228, ""en"", ""mt"")"),"Apollo dam mill-1961 sal-1972, u kien appoġġjat mill-programm Gemini b'żewġ persuni li dam fl-istess ħin miegħu mill-1962 sal-1966. Il-missjonijiet Gemini żviluppaw uħud mit-tekniki tal-ivvjaġġar spazjali li kienu meħtieġa għas-suċċess tal-missjonijiet Ap"&amp;"ollo. Apollo uża rokits tal-familja Saturn bħala vetturi tal-varar. Vetturi Apollo / Saturn intużaw ukoll għal programm ta 'applikazzjonijiet Apollo, li kien jikkonsisti minn SkyLab, stazzjon spazjali li appoġġa tliet missjonijiet ekwipaġġati fl-1973–74, "&amp;"u l-Proġett tat-Test Apollo-Soyuz, missjoni konġunta ta' orbita tad-Dinja mal-Unjoni Sovjetika fl-1975 fl-1975 -")</f>
        <v>Apollo dam mill-1961 sal-1972, u kien appoġġjat mill-programm Gemini b'żewġ persuni li dam fl-istess ħin miegħu mill-1962 sal-1966. Il-missjonijiet Gemini żviluppaw uħud mit-tekniki tal-ivvjaġġar spazjali li kienu meħtieġa għas-suċċess tal-missjonijiet Apollo. Apollo uża rokits tal-familja Saturn bħala vetturi tal-varar. Vetturi Apollo / Saturn intużaw ukoll għal programm ta 'applikazzjonijiet Apollo, li kien jikkonsisti minn SkyLab, stazzjon spazjali li appoġġa tliet missjonijiet ekwipaġġati fl-1973–74, u l-Proġett tat-Test Apollo-Soyuz, missjoni konġunta ta' orbita tad-Dinja mal-Unjoni Sovjetika fl-1975 fl-1975 -</v>
      </c>
    </row>
    <row r="11229" ht="15.75" customHeight="1">
      <c r="A11229" s="2" t="s">
        <v>11229</v>
      </c>
      <c r="B11229" s="2" t="str">
        <f>IFERROR(__xludf.DUMMYFUNCTION("GOOGLETRANSLATE(A11229, ""en"", ""mt"")"),"Liema grupp ifittex li jirrikonċepixxi u jippromwovi l-qdusija Biblika fil-knisja tal-lum?")</f>
        <v>Liema grupp ifittex li jirrikonċepixxi u jippromwovi l-qdusija Biblika fil-knisja tal-lum?</v>
      </c>
    </row>
    <row r="11230" ht="15.75" customHeight="1">
      <c r="A11230" s="2" t="s">
        <v>11230</v>
      </c>
      <c r="B11230" s="2" t="str">
        <f>IFERROR(__xludf.DUMMYFUNCTION("GOOGLETRANSLATE(A11230, ""en"", ""mt"")"),"X’kien beda wara li kienu fis-seħħ dawn il-programmi ġodda?")</f>
        <v>X’kien beda wara li kienu fis-seħħ dawn il-programmi ġodda?</v>
      </c>
    </row>
    <row r="11231" ht="15.75" customHeight="1">
      <c r="A11231" s="2" t="s">
        <v>11231</v>
      </c>
      <c r="B11231" s="2" t="str">
        <f>IFERROR(__xludf.DUMMYFUNCTION("GOOGLETRANSLATE(A11231, ""en"", ""mt"")"),"Fuq liema kien il-qgħad persistenti għandu effett negattiv?")</f>
        <v>Fuq liema kien il-qgħad persistenti għandu effett negattiv?</v>
      </c>
    </row>
    <row r="11232" ht="15.75" customHeight="1">
      <c r="A11232" s="2" t="s">
        <v>11232</v>
      </c>
      <c r="B11232" s="2" t="str">
        <f>IFERROR(__xludf.DUMMYFUNCTION("GOOGLETRANSLATE(A11232, ""en"", ""mt"")"),"Kolonja tal-Ġeorġja")</f>
        <v>Kolonja tal-Ġeorġja</v>
      </c>
    </row>
    <row r="11233" ht="15.75" customHeight="1">
      <c r="A11233" s="2" t="s">
        <v>11233</v>
      </c>
      <c r="B11233" s="2" t="str">
        <f>IFERROR(__xludf.DUMMYFUNCTION("GOOGLETRANSLATE(A11233, ""en"", ""mt"")"),"każ tal-ġurisprudenza mill-qorti tal-ġustizzja")</f>
        <v>każ tal-ġurisprudenza mill-qorti tal-ġustizzja</v>
      </c>
    </row>
    <row r="11234" ht="15.75" customHeight="1">
      <c r="A11234" s="2" t="s">
        <v>11234</v>
      </c>
      <c r="B11234" s="2" t="str">
        <f>IFERROR(__xludf.DUMMYFUNCTION("GOOGLETRANSLATE(A11234, ""en"", ""mt"")"),"Fl-1735, fejn jgħallmu John u Charles Wesley fl-Amerika?")</f>
        <v>Fl-1735, fejn jgħallmu John u Charles Wesley fl-Amerika?</v>
      </c>
    </row>
    <row r="11235" ht="15.75" customHeight="1">
      <c r="A11235" s="2" t="s">
        <v>11235</v>
      </c>
      <c r="B11235" s="2" t="str">
        <f>IFERROR(__xludf.DUMMYFUNCTION("GOOGLETRANSLATE(A11235, ""en"", ""mt"")"),"Liema sess huwa inqas lest li jivvjaġġa jew jirriloka għax-xogħol?")</f>
        <v>Liema sess huwa inqas lest li jivvjaġġa jew jirriloka għax-xogħol?</v>
      </c>
    </row>
    <row r="11236" ht="15.75" customHeight="1">
      <c r="A11236" s="2" t="s">
        <v>11236</v>
      </c>
      <c r="B11236" s="2" t="str">
        <f>IFERROR(__xludf.DUMMYFUNCTION("GOOGLETRANSLATE(A11236, ""en"", ""mt"")"),"Ġiet qawmien mill-ġdid fl-aħħar tas-seklu 19, bil-ġirja għall-Afrika u żidiet kbar fl-Asja u l-Lvant Nofsani. L-ispirtu Ingliż tal-imperjalizmu kien espress minn Joseph Chamberlain u Lord Rosebury, u implimentat fl-Afrika minn Cecil Rhodes. Il-psewdo-xjen"&amp;"zi tad-darwiniżmu soċjali u t-teoriji tar-razza ffurmaw irfid ideoloġiku matul dan iż-żmien. Kelliema oħra influwenti kienu jinkludu Lord Cromer, Lord Curzon, Ġeneral Kitchner, Lord Milner, u l-kittieb Rudyard Kipling. L-Imperu Brittaniku kien l-akbar imp"&amp;"eru li d-dinja qatt rat kemm f'termini ta 'landmass kif ukoll ta' popolazzjoni. Il-poter tagħha, kemm militari kif ukoll ekonomiku, baqa 'mhux imqabbel.")</f>
        <v>Ġiet qawmien mill-ġdid fl-aħħar tas-seklu 19, bil-ġirja għall-Afrika u żidiet kbar fl-Asja u l-Lvant Nofsani. L-ispirtu Ingliż tal-imperjalizmu kien espress minn Joseph Chamberlain u Lord Rosebury, u implimentat fl-Afrika minn Cecil Rhodes. Il-psewdo-xjenzi tad-darwiniżmu soċjali u t-teoriji tar-razza ffurmaw irfid ideoloġiku matul dan iż-żmien. Kelliema oħra influwenti kienu jinkludu Lord Cromer, Lord Curzon, Ġeneral Kitchner, Lord Milner, u l-kittieb Rudyard Kipling. L-Imperu Brittaniku kien l-akbar imperu li d-dinja qatt rat kemm f'termini ta 'landmass kif ukoll ta' popolazzjoni. Il-poter tagħha, kemm militari kif ukoll ekonomiku, baqa 'mhux imqabbel.</v>
      </c>
    </row>
    <row r="11237" ht="15.75" customHeight="1">
      <c r="A11237" s="2" t="s">
        <v>11237</v>
      </c>
      <c r="B11237" s="2" t="str">
        <f>IFERROR(__xludf.DUMMYFUNCTION("GOOGLETRANSLATE(A11237, ""en"", ""mt"")"),"fossa tal-moħħ")</f>
        <v>fossa tal-moħħ</v>
      </c>
    </row>
    <row r="11238" ht="15.75" customHeight="1">
      <c r="A11238" s="2" t="s">
        <v>11238</v>
      </c>
      <c r="B11238" s="2" t="str">
        <f>IFERROR(__xludf.DUMMYFUNCTION("GOOGLETRANSLATE(A11238, ""en"", ""mt"")"),"10,000")</f>
        <v>10,000</v>
      </c>
    </row>
    <row r="11239" ht="15.75" customHeight="1">
      <c r="A11239" s="2" t="s">
        <v>11239</v>
      </c>
      <c r="B11239" s="2" t="str">
        <f>IFERROR(__xludf.DUMMYFUNCTION("GOOGLETRANSLATE(A11239, ""en"", ""mt"")"),"Lavoisier")</f>
        <v>Lavoisier</v>
      </c>
    </row>
    <row r="11240" ht="15.75" customHeight="1">
      <c r="A11240" s="2" t="s">
        <v>11240</v>
      </c>
      <c r="B11240" s="2" t="str">
        <f>IFERROR(__xludf.DUMMYFUNCTION("GOOGLETRANSLATE(A11240, ""en"", ""mt"")"),"forma ta ’lenti")</f>
        <v>forma ta ’lenti</v>
      </c>
    </row>
    <row r="11241" ht="15.75" customHeight="1">
      <c r="A11241" s="2" t="s">
        <v>11241</v>
      </c>
      <c r="B11241" s="2" t="str">
        <f>IFERROR(__xludf.DUMMYFUNCTION("GOOGLETRANSLATE(A11241, ""en"", ""mt"")"),"Għaliex iż-żejt skopert ġdid jinbiegħ bi prezz ogħla?")</f>
        <v>Għaliex iż-żejt skopert ġdid jinbiegħ bi prezz ogħla?</v>
      </c>
    </row>
    <row r="11242" ht="15.75" customHeight="1">
      <c r="A11242" s="2" t="s">
        <v>11242</v>
      </c>
      <c r="B11242" s="2" t="str">
        <f>IFERROR(__xludf.DUMMYFUNCTION("GOOGLETRANSLATE(A11242, ""en"", ""mt"")"),"F'liema oqsma oħra l-missjonijiet Apollo għenu biex jixprunaw l-avvanzi?")</f>
        <v>F'liema oqsma oħra l-missjonijiet Apollo għenu biex jixprunaw l-avvanzi?</v>
      </c>
    </row>
    <row r="11243" ht="15.75" customHeight="1">
      <c r="A11243" s="2" t="s">
        <v>11243</v>
      </c>
      <c r="B11243" s="2" t="str">
        <f>IFERROR(__xludf.DUMMYFUNCTION("GOOGLETRANSLATE(A11243, ""en"", ""mt"")"),"ABC News issa")</f>
        <v>ABC News issa</v>
      </c>
    </row>
    <row r="11244" ht="15.75" customHeight="1">
      <c r="A11244" s="2" t="s">
        <v>11244</v>
      </c>
      <c r="B11244" s="2" t="str">
        <f>IFERROR(__xludf.DUMMYFUNCTION("GOOGLETRANSLATE(A11244, ""en"", ""mt"")"),"Meta ESPN ħadet ir-responsabbiltà għad-diviżjoni sportiva ta 'ABC?")</f>
        <v>Meta ESPN ħadet ir-responsabbiltà għad-diviżjoni sportiva ta 'ABC?</v>
      </c>
    </row>
    <row r="11245" ht="15.75" customHeight="1">
      <c r="A11245" s="2" t="s">
        <v>11245</v>
      </c>
      <c r="B11245" s="2" t="str">
        <f>IFERROR(__xludf.DUMMYFUNCTION("GOOGLETRANSLATE(A11245, ""en"", ""mt"")"),"'l isfel")</f>
        <v>'l isfel</v>
      </c>
    </row>
    <row r="11246" ht="15.75" customHeight="1">
      <c r="A11246" s="2" t="s">
        <v>11246</v>
      </c>
      <c r="B11246" s="2" t="str">
        <f>IFERROR(__xludf.DUMMYFUNCTION("GOOGLETRANSLATE(A11246, ""en"", ""mt"")"),"Kollha")</f>
        <v>Kollha</v>
      </c>
    </row>
    <row r="11247" ht="15.75" customHeight="1">
      <c r="A11247" s="2" t="s">
        <v>11247</v>
      </c>
      <c r="B11247" s="2" t="str">
        <f>IFERROR(__xludf.DUMMYFUNCTION("GOOGLETRANSLATE(A11247, ""en"", ""mt"")"),"Wara punt miż-żewġ timijiet, Carolina marret fit-triq it-tajba b'9-play, 73-yard li skorja sewqan. Newton temmew 4 minn 4 passes għal 51 tarzni u ġrew darbtejn għal 25 tarzni, filwaqt li Jonathan Stewart temm l-ispinta b'ġirja ta '1-yard, li qata' l-iskor"&amp;" għal 10-7 bi 11:28 fadal fit-tieni kwart. Aktar tard, ir-riċevitur ta 'Broncos Jordan Norwood irċieva l-punt qasir ta' 28 tarzna ta 'Brad Nortman imdawwar minn plejers ta' Panthers, iżda l-ebda wieħed minnhom ma pprova jagħmel attakk, apparentement ħaseb"&amp;" li Norwood kien sejjaħ qabda ġusta. Norwood ma għamilx hekk, u mingħajr l-ebda reżistenza madwaru, huwa telaq għar-rekord tas-Super Bowl ta '61 -yard tarzna qabel ma Mario Addison kaxkarha 'l isfel fuq il-linja ta' 14-il bitħa tal-Panthers. Minkejja l-po"&amp;"żizzjoni eċċellenti tal-grawnd ta 'Denver, ma setgħux iġibu l-ballun fiż-żona finali, u għalhekk McManus ta bidu għal gowl ta' 33-tarzna li żied il-vantaġġ tagħhom għal 13–7.")</f>
        <v>Wara punt miż-żewġ timijiet, Carolina marret fit-triq it-tajba b'9-play, 73-yard li skorja sewqan. Newton temmew 4 minn 4 passes għal 51 tarzni u ġrew darbtejn għal 25 tarzni, filwaqt li Jonathan Stewart temm l-ispinta b'ġirja ta '1-yard, li qata' l-iskor għal 10-7 bi 11:28 fadal fit-tieni kwart. Aktar tard, ir-riċevitur ta 'Broncos Jordan Norwood irċieva l-punt qasir ta' 28 tarzna ta 'Brad Nortman imdawwar minn plejers ta' Panthers, iżda l-ebda wieħed minnhom ma pprova jagħmel attakk, apparentement ħaseb li Norwood kien sejjaħ qabda ġusta. Norwood ma għamilx hekk, u mingħajr l-ebda reżistenza madwaru, huwa telaq għar-rekord tas-Super Bowl ta '61 -yard tarzna qabel ma Mario Addison kaxkarha 'l isfel fuq il-linja ta' 14-il bitħa tal-Panthers. Minkejja l-pożizzjoni eċċellenti tal-grawnd ta 'Denver, ma setgħux iġibu l-ballun fiż-żona finali, u għalhekk McManus ta bidu għal gowl ta' 33-tarzna li żied il-vantaġġ tagħhom għal 13–7.</v>
      </c>
    </row>
    <row r="11248" ht="15.75" customHeight="1">
      <c r="A11248" s="2" t="s">
        <v>11248</v>
      </c>
      <c r="B11248" s="2" t="str">
        <f>IFERROR(__xludf.DUMMYFUNCTION("GOOGLETRANSLATE(A11248, ""en"", ""mt"")"),"Fejn intuża l-lingwa li Luther fit-traduzzjonijiet tiegħu mitkellma?")</f>
        <v>Fejn intuża l-lingwa li Luther fit-traduzzjonijiet tiegħu mitkellma?</v>
      </c>
    </row>
    <row r="11249" ht="15.75" customHeight="1">
      <c r="A11249" s="2" t="s">
        <v>11249</v>
      </c>
      <c r="B11249" s="2" t="str">
        <f>IFERROR(__xludf.DUMMYFUNCTION("GOOGLETRANSLATE(A11249, ""en"", ""mt"")"),"Ħong Kong fl-1894")</f>
        <v>Ħong Kong fl-1894</v>
      </c>
    </row>
    <row r="11250" ht="15.75" customHeight="1">
      <c r="A11250" s="2" t="s">
        <v>11250</v>
      </c>
      <c r="B11250" s="2" t="str">
        <f>IFERROR(__xludf.DUMMYFUNCTION("GOOGLETRANSLATE(A11250, ""en"", ""mt"")"),"dawl aħdar")</f>
        <v>dawl aħdar</v>
      </c>
    </row>
    <row r="11251" ht="15.75" customHeight="1">
      <c r="A11251" s="2" t="s">
        <v>11251</v>
      </c>
      <c r="B11251" s="2" t="str">
        <f>IFERROR(__xludf.DUMMYFUNCTION("GOOGLETRANSLATE(A11251, ""en"", ""mt"")"),"April 2008")</f>
        <v>April 2008</v>
      </c>
    </row>
    <row r="11252" ht="15.75" customHeight="1">
      <c r="A11252" s="2" t="s">
        <v>11252</v>
      </c>
      <c r="B11252" s="2" t="str">
        <f>IFERROR(__xludf.DUMMYFUNCTION("GOOGLETRANSLATE(A11252, ""en"", ""mt"")"),"74")</f>
        <v>74</v>
      </c>
    </row>
    <row r="11253" ht="15.75" customHeight="1">
      <c r="A11253" s="2" t="s">
        <v>11253</v>
      </c>
      <c r="B11253" s="2" t="str">
        <f>IFERROR(__xludf.DUMMYFUNCTION("GOOGLETRANSLATE(A11253, ""en"", ""mt"")"),"53%")</f>
        <v>53%</v>
      </c>
    </row>
    <row r="11254" ht="15.75" customHeight="1">
      <c r="A11254" s="2" t="s">
        <v>11254</v>
      </c>
      <c r="B11254" s="2" t="str">
        <f>IFERROR(__xludf.DUMMYFUNCTION("GOOGLETRANSLATE(A11254, ""en"", ""mt"")"),"li jinvolvu kunjardi orogeniċi")</f>
        <v>li jinvolvu kunjardi orogeniċi</v>
      </c>
    </row>
    <row r="11255" ht="15.75" customHeight="1">
      <c r="A11255" s="2" t="s">
        <v>11255</v>
      </c>
      <c r="B11255" s="2" t="str">
        <f>IFERROR(__xludf.DUMMYFUNCTION("GOOGLETRANSLATE(A11255, ""en"", ""mt"")"),"Liema karatteristika se tarrikkixxi l-ambjent favur il-pedestrian wara r-restawr?")</f>
        <v>Liema karatteristika se tarrikkixxi l-ambjent favur il-pedestrian wara r-restawr?</v>
      </c>
    </row>
    <row r="11256" ht="15.75" customHeight="1">
      <c r="A11256" s="2" t="s">
        <v>11256</v>
      </c>
      <c r="B11256" s="2" t="str">
        <f>IFERROR(__xludf.DUMMYFUNCTION("GOOGLETRANSLATE(A11256, ""en"", ""mt"")"),"Biex kontinwament tespandi l-investiment")</f>
        <v>Biex kontinwament tespandi l-investiment</v>
      </c>
    </row>
    <row r="11257" ht="15.75" customHeight="1">
      <c r="A11257" s="2" t="s">
        <v>11257</v>
      </c>
      <c r="B11257" s="2" t="str">
        <f>IFERROR(__xludf.DUMMYFUNCTION("GOOGLETRANSLATE(A11257, ""en"", ""mt"")"),"Mudelli numeriċi")</f>
        <v>Mudelli numeriċi</v>
      </c>
    </row>
    <row r="11258" ht="15.75" customHeight="1">
      <c r="A11258" s="2" t="s">
        <v>11258</v>
      </c>
      <c r="B11258" s="2" t="str">
        <f>IFERROR(__xludf.DUMMYFUNCTION("GOOGLETRANSLATE(A11258, ""en"", ""mt"")"),"Sir George Gilbert Scott")</f>
        <v>Sir George Gilbert Scott</v>
      </c>
    </row>
    <row r="11259" ht="15.75" customHeight="1">
      <c r="A11259" s="2" t="s">
        <v>11259</v>
      </c>
      <c r="B11259" s="2" t="str">
        <f>IFERROR(__xludf.DUMMYFUNCTION("GOOGLETRANSLATE(A11259, ""en"", ""mt"")"),"tkabbir ekonomiku")</f>
        <v>tkabbir ekonomiku</v>
      </c>
    </row>
    <row r="11260" ht="15.75" customHeight="1">
      <c r="A11260" s="2" t="s">
        <v>11260</v>
      </c>
      <c r="B11260" s="2" t="str">
        <f>IFERROR(__xludf.DUMMYFUNCTION("GOOGLETRANSLATE(A11260, ""en"", ""mt"")"),"Biex ""float"" (titla 'u taqa' skont id-domanda tas-suq)")</f>
        <v>Biex "float" (titla 'u taqa' skont id-domanda tas-suq)</v>
      </c>
    </row>
    <row r="11261" ht="15.75" customHeight="1">
      <c r="A11261" s="2" t="s">
        <v>11261</v>
      </c>
      <c r="B11261" s="2" t="str">
        <f>IFERROR(__xludf.DUMMYFUNCTION("GOOGLETRANSLATE(A11261, ""en"", ""mt"")"),"X’għandu l-Istat Olivier Roy li għadda minn bidla notevoli fit-tieni nofs tas-seklu 20?")</f>
        <v>X’għandu l-Istat Olivier Roy li għadda minn bidla notevoli fit-tieni nofs tas-seklu 20?</v>
      </c>
    </row>
    <row r="11262" ht="15.75" customHeight="1">
      <c r="A11262" s="2" t="s">
        <v>11262</v>
      </c>
      <c r="B11262" s="2" t="str">
        <f>IFERROR(__xludf.DUMMYFUNCTION("GOOGLETRANSLATE(A11262, ""en"", ""mt"")"),"jikkawżaw il-ħażniet tal-ħut jiġġarrfu")</f>
        <v>jikkawżaw il-ħażniet tal-ħut jiġġarrfu</v>
      </c>
    </row>
    <row r="11263" ht="15.75" customHeight="1">
      <c r="A11263" s="2" t="s">
        <v>11263</v>
      </c>
      <c r="B11263" s="2" t="str">
        <f>IFERROR(__xludf.DUMMYFUNCTION("GOOGLETRANSLATE(A11263, ""en"", ""mt"")"),"X'kien il-verdett fuq allegati żbalji oħra?")</f>
        <v>X'kien il-verdett fuq allegati żbalji oħra?</v>
      </c>
    </row>
    <row r="11264" ht="15.75" customHeight="1">
      <c r="A11264" s="2" t="s">
        <v>11264</v>
      </c>
      <c r="B11264" s="2" t="str">
        <f>IFERROR(__xludf.DUMMYFUNCTION("GOOGLETRANSLATE(A11264, ""en"", ""mt"")"),"Manifattura FMCG, proċessar tal-metall, azzar u manifattura elettronika u proċessar tal-ikel")</f>
        <v>Manifattura FMCG, proċessar tal-metall, azzar u manifattura elettronika u proċessar tal-ikel</v>
      </c>
    </row>
    <row r="11265" ht="15.75" customHeight="1">
      <c r="A11265" s="2" t="s">
        <v>11265</v>
      </c>
      <c r="B11265" s="2" t="str">
        <f>IFERROR(__xludf.DUMMYFUNCTION("GOOGLETRANSLATE(A11265, ""en"", ""mt"")"),"Is-suspettat qed jitkellem ma 'investigaturi kriminali")</f>
        <v>Is-suspettat qed jitkellem ma 'investigaturi kriminali</v>
      </c>
    </row>
    <row r="11266" ht="15.75" customHeight="1">
      <c r="A11266" s="2" t="s">
        <v>11266</v>
      </c>
      <c r="B11266" s="2" t="str">
        <f>IFERROR(__xludf.DUMMYFUNCTION("GOOGLETRANSLATE(A11266, ""en"", ""mt"")"),"dnub")</f>
        <v>dnub</v>
      </c>
    </row>
    <row r="11267" ht="15.75" customHeight="1">
      <c r="A11267" s="2" t="s">
        <v>11267</v>
      </c>
      <c r="B11267" s="2" t="str">
        <f>IFERROR(__xludf.DUMMYFUNCTION("GOOGLETRANSLATE(A11267, ""en"", ""mt"")"),"Drogi ċitotossiċi jew immunosoppressivi")</f>
        <v>Drogi ċitotossiċi jew immunosoppressivi</v>
      </c>
    </row>
    <row r="11268" ht="15.75" customHeight="1">
      <c r="A11268" s="2" t="s">
        <v>11268</v>
      </c>
      <c r="B11268" s="2" t="str">
        <f>IFERROR(__xludf.DUMMYFUNCTION("GOOGLETRANSLATE(A11268, ""en"", ""mt"")"),"Fort Presque Isle (ħdejn Erie tal-lum, Pennsylvania")</f>
        <v>Fort Presque Isle (ħdejn Erie tal-lum, Pennsylvania</v>
      </c>
    </row>
    <row r="11269" ht="15.75" customHeight="1">
      <c r="A11269" s="2" t="s">
        <v>11269</v>
      </c>
      <c r="B11269" s="2" t="str">
        <f>IFERROR(__xludf.DUMMYFUNCTION("GOOGLETRANSLATE(A11269, ""en"", ""mt"")"),"X'tip ta 'numri juru difett bit-test tal-primalità Fermat?")</f>
        <v>X'tip ta 'numri juru difett bit-test tal-primalità Fermat?</v>
      </c>
    </row>
    <row r="11270" ht="15.75" customHeight="1">
      <c r="A11270" s="2" t="s">
        <v>11270</v>
      </c>
      <c r="B11270" s="2" t="str">
        <f>IFERROR(__xludf.DUMMYFUNCTION("GOOGLETRANSLATE(A11270, ""en"", ""mt"")"),"Amministrazzjoni Kolonjali Nażista Ġermaniża")</f>
        <v>Amministrazzjoni Kolonjali Nażista Ġermaniża</v>
      </c>
    </row>
    <row r="11271" ht="15.75" customHeight="1">
      <c r="A11271" s="2" t="s">
        <v>11271</v>
      </c>
      <c r="B11271" s="2" t="str">
        <f>IFERROR(__xludf.DUMMYFUNCTION("GOOGLETRANSLATE(A11271, ""en"", ""mt"")"),"Min kienu tnejn mill-konsulenti Ċiniżi ta 'Kublai?")</f>
        <v>Min kienu tnejn mill-konsulenti Ċiniżi ta 'Kublai?</v>
      </c>
    </row>
    <row r="11272" ht="15.75" customHeight="1">
      <c r="A11272" s="2" t="s">
        <v>11272</v>
      </c>
      <c r="B11272" s="2" t="str">
        <f>IFERROR(__xludf.DUMMYFUNCTION("GOOGLETRANSLATE(A11272, ""en"", ""mt"")"),"X'inhi l-missjoni primarja tad-Daleks?")</f>
        <v>X'inhi l-missjoni primarja tad-Daleks?</v>
      </c>
    </row>
    <row r="11273" ht="15.75" customHeight="1">
      <c r="A11273" s="2" t="s">
        <v>11273</v>
      </c>
      <c r="B11273" s="2" t="str">
        <f>IFERROR(__xludf.DUMMYFUNCTION("GOOGLETRANSLATE(A11273, ""en"", ""mt"")"),"Ordni mill-ġdid tal-gvern u tas-soċjetà skont ix-Shari'a")</f>
        <v>Ordni mill-ġdid tal-gvern u tas-soċjetà skont ix-Shari'a</v>
      </c>
    </row>
    <row r="11274" ht="15.75" customHeight="1">
      <c r="A11274" s="2" t="s">
        <v>11274</v>
      </c>
      <c r="B11274" s="2" t="str">
        <f>IFERROR(__xludf.DUMMYFUNCTION("GOOGLETRANSLATE(A11274, ""en"", ""mt"")"),"Għal xiex tittraduċi l-kelma Rheinrinne?")</f>
        <v>Għal xiex tittraduċi l-kelma Rheinrinne?</v>
      </c>
    </row>
    <row r="11275" ht="15.75" customHeight="1">
      <c r="A11275" s="2" t="s">
        <v>11275</v>
      </c>
      <c r="B11275" s="2" t="str">
        <f>IFERROR(__xludf.DUMMYFUNCTION("GOOGLETRANSLATE(A11275, ""en"", ""mt"")"),"Mgħollija")</f>
        <v>Mgħollija</v>
      </c>
    </row>
    <row r="11276" ht="15.75" customHeight="1">
      <c r="A11276" s="2" t="s">
        <v>11276</v>
      </c>
      <c r="B11276" s="2" t="str">
        <f>IFERROR(__xludf.DUMMYFUNCTION("GOOGLETRANSLATE(A11276, ""en"", ""mt"")"),"X’ordni għamlu l-Brittaniċi tal-Franċiż?")</f>
        <v>X’ordni għamlu l-Brittaniċi tal-Franċiż?</v>
      </c>
    </row>
    <row r="11277" ht="15.75" customHeight="1">
      <c r="A11277" s="2" t="s">
        <v>11277</v>
      </c>
      <c r="B11277" s="2" t="str">
        <f>IFERROR(__xludf.DUMMYFUNCTION("GOOGLETRANSLATE(A11277, ""en"", ""mt"")"),"X'inhu l-iktar oġġett importanti għad-diżubbidjenza ċivili li ssegwi?")</f>
        <v>X'inhu l-iktar oġġett importanti għad-diżubbidjenza ċivili li ssegwi?</v>
      </c>
    </row>
    <row r="11278" ht="15.75" customHeight="1">
      <c r="A11278" s="2" t="s">
        <v>11278</v>
      </c>
      <c r="B11278" s="2" t="str">
        <f>IFERROR(__xludf.DUMMYFUNCTION("GOOGLETRANSLATE(A11278, ""en"", ""mt"")"),"Manchuria")</f>
        <v>Manchuria</v>
      </c>
    </row>
    <row r="11279" ht="15.75" customHeight="1">
      <c r="A11279" s="2" t="s">
        <v>11279</v>
      </c>
      <c r="B11279" s="2" t="str">
        <f>IFERROR(__xludf.DUMMYFUNCTION("GOOGLETRANSLATE(A11279, ""en"", ""mt"")"),"1347")</f>
        <v>1347</v>
      </c>
    </row>
    <row r="11280" ht="15.75" customHeight="1">
      <c r="A11280" s="2" t="s">
        <v>11280</v>
      </c>
      <c r="B11280" s="2" t="str">
        <f>IFERROR(__xludf.DUMMYFUNCTION("GOOGLETRANSLATE(A11280, ""en"", ""mt"")"),"Shaq Thompson")</f>
        <v>Shaq Thompson</v>
      </c>
    </row>
    <row r="11281" ht="15.75" customHeight="1">
      <c r="A11281" s="2" t="s">
        <v>11281</v>
      </c>
      <c r="B11281" s="2" t="str">
        <f>IFERROR(__xludf.DUMMYFUNCTION("GOOGLETRANSLATE(A11281, ""en"", ""mt"")"),"it-tramuntana")</f>
        <v>it-tramuntana</v>
      </c>
    </row>
    <row r="11282" ht="15.75" customHeight="1">
      <c r="A11282" s="2" t="s">
        <v>11282</v>
      </c>
      <c r="B11282" s="2" t="str">
        <f>IFERROR(__xludf.DUMMYFUNCTION("GOOGLETRANSLATE(A11282, ""en"", ""mt"")"),"li fih tista 'tagħmel liġijiet")</f>
        <v>li fih tista 'tagħmel liġijiet</v>
      </c>
    </row>
    <row r="11283" ht="15.75" customHeight="1">
      <c r="A11283" s="2" t="s">
        <v>11283</v>
      </c>
      <c r="B11283" s="2" t="str">
        <f>IFERROR(__xludf.DUMMYFUNCTION("GOOGLETRANSLATE(A11283, ""en"", ""mt"")"),"Ċirkuwitu u apparat li jipproduċi r-raġġi X b'node wieħed")</f>
        <v>Ċirkuwitu u apparat li jipproduċi r-raġġi X b'node wieħed</v>
      </c>
    </row>
    <row r="11284" ht="15.75" customHeight="1">
      <c r="A11284" s="2" t="s">
        <v>11284</v>
      </c>
      <c r="B11284" s="2" t="str">
        <f>IFERROR(__xludf.DUMMYFUNCTION("GOOGLETRANSLATE(A11284, ""en"", ""mt"")"),"Min għen biex iddisinja l-quadrangles ewlenin?")</f>
        <v>Min għen biex iddisinja l-quadrangles ewlenin?</v>
      </c>
    </row>
    <row r="11285" ht="15.75" customHeight="1">
      <c r="A11285" s="2" t="s">
        <v>11285</v>
      </c>
      <c r="B11285" s="2" t="str">
        <f>IFERROR(__xludf.DUMMYFUNCTION("GOOGLETRANSLATE(A11285, ""en"", ""mt"")"),"Phylum ta 'annimali")</f>
        <v>Phylum ta 'annimali</v>
      </c>
    </row>
    <row r="11286" ht="15.75" customHeight="1">
      <c r="A11286" s="2" t="s">
        <v>11286</v>
      </c>
      <c r="B11286" s="2" t="str">
        <f>IFERROR(__xludf.DUMMYFUNCTION("GOOGLETRANSLATE(A11286, ""en"", ""mt"")"),"Liema avveniment ieħor għamel lill-BBC konċernat li t-telespettaturi ma kinux raw il-premier ta 'Doctor Who?")</f>
        <v>Liema avveniment ieħor għamel lill-BBC konċernat li t-telespettaturi ma kinux raw il-premier ta 'Doctor Who?</v>
      </c>
    </row>
    <row r="11287" ht="15.75" customHeight="1">
      <c r="A11287" s="2" t="s">
        <v>11287</v>
      </c>
      <c r="B11287" s="2" t="str">
        <f>IFERROR(__xludf.DUMMYFUNCTION("GOOGLETRANSLATE(A11287, ""en"", ""mt"")"),"djar tal-anzjani")</f>
        <v>djar tal-anzjani</v>
      </c>
    </row>
    <row r="11288" ht="15.75" customHeight="1">
      <c r="A11288" s="2" t="s">
        <v>11288</v>
      </c>
      <c r="B11288" s="2" t="str">
        <f>IFERROR(__xludf.DUMMYFUNCTION("GOOGLETRANSLATE(A11288, ""en"", ""mt"")"),"ir-reġjun tal-fruntiera tan-Nofsinhar")</f>
        <v>ir-reġjun tal-fruntiera tan-Nofsinhar</v>
      </c>
    </row>
    <row r="11289" ht="15.75" customHeight="1">
      <c r="A11289" s="2" t="s">
        <v>11289</v>
      </c>
      <c r="B11289" s="2" t="str">
        <f>IFERROR(__xludf.DUMMYFUNCTION("GOOGLETRANSLATE(A11289, ""en"", ""mt"")"),"Min irreġistra t-tema li kellha għall-istaġun 18?")</f>
        <v>Min irreġistra t-tema li kellha għall-istaġun 18?</v>
      </c>
    </row>
    <row r="11290" ht="15.75" customHeight="1">
      <c r="A11290" s="2" t="s">
        <v>11290</v>
      </c>
      <c r="B11290" s="2" t="str">
        <f>IFERROR(__xludf.DUMMYFUNCTION("GOOGLETRANSLATE(A11290, ""en"", ""mt"")"),"Liema pożizzjoni jilgħab Demaryius Thomas?")</f>
        <v>Liema pożizzjoni jilgħab Demaryius Thomas?</v>
      </c>
    </row>
    <row r="11291" ht="15.75" customHeight="1">
      <c r="A11291" s="2" t="s">
        <v>11291</v>
      </c>
      <c r="B11291" s="2" t="str">
        <f>IFERROR(__xludf.DUMMYFUNCTION("GOOGLETRANSLATE(A11291, ""en"", ""mt"")"),"Biex tikkoordina r-rispons għall-embargo")</f>
        <v>Biex tikkoordina r-rispons għall-embargo</v>
      </c>
    </row>
    <row r="11292" ht="15.75" customHeight="1">
      <c r="A11292" s="2" t="s">
        <v>11292</v>
      </c>
      <c r="B11292" s="2" t="str">
        <f>IFERROR(__xludf.DUMMYFUNCTION("GOOGLETRANSLATE(A11292, ""en"", ""mt"")"),"Meta Kublai attakka lil Xiangyang?")</f>
        <v>Meta Kublai attakka lil Xiangyang?</v>
      </c>
    </row>
    <row r="11293" ht="15.75" customHeight="1">
      <c r="A11293" s="2" t="s">
        <v>11293</v>
      </c>
      <c r="B11293" s="2" t="str">
        <f>IFERROR(__xludf.DUMMYFUNCTION("GOOGLETRANSLATE(A11293, ""en"", ""mt"")"),"Teoloġija ta ’Wesleyan s")</f>
        <v>Teoloġija ta ’Wesleyan s</v>
      </c>
    </row>
    <row r="11294" ht="15.75" customHeight="1">
      <c r="A11294" s="2" t="s">
        <v>11294</v>
      </c>
      <c r="B11294" s="2" t="str">
        <f>IFERROR(__xludf.DUMMYFUNCTION("GOOGLETRANSLATE(A11294, ""en"", ""mt"")"),"Fqar u l-klassi tan-nofs")</f>
        <v>Fqar u l-klassi tan-nofs</v>
      </c>
    </row>
    <row r="11295" ht="15.75" customHeight="1">
      <c r="A11295" s="2" t="s">
        <v>11295</v>
      </c>
      <c r="B11295" s="2" t="str">
        <f>IFERROR(__xludf.DUMMYFUNCTION("GOOGLETRANSLATE(A11295, ""en"", ""mt"")"),"Filwaqt li dan huwa l-perspettiva tal-kunsens fost il-maġġoranza tal-akkademiċi, xi għalliema u ġenituri favur stil ta 'dixxiplina aktar assertiv u konfrontazzjonali. [Ċitazzjoni meħtieġa] bħal dawn individwi jiddikjaraw li ħafna problemi bl-iskola modern"&amp;"a joħorġu mid-dgħjufija fid-dixxiplina tal-iskola u jekk l-għalliema eżerċitaw Kontroll tad-ditta fuq il-klassi huma jkunu jistgħu jgħallmu b'mod aktar effiċjenti. Din il-perspettiva hija appoġġjata mill-kisba edukattiva tal-pajjiżi - fl-Asja tal-Lvant pe"&amp;"reżempju - li tgħaqqad dixxiplina stretta ma 'standards għoljin ta' edukazzjoni. [Ċitazzjoni meħtieġa]")</f>
        <v>Filwaqt li dan huwa l-perspettiva tal-kunsens fost il-maġġoranza tal-akkademiċi, xi għalliema u ġenituri favur stil ta 'dixxiplina aktar assertiv u konfrontazzjonali. [Ċitazzjoni meħtieġa] bħal dawn individwi jiddikjaraw li ħafna problemi bl-iskola moderna joħorġu mid-dgħjufija fid-dixxiplina tal-iskola u jekk l-għalliema eżerċitaw Kontroll tad-ditta fuq il-klassi huma jkunu jistgħu jgħallmu b'mod aktar effiċjenti. Din il-perspettiva hija appoġġjata mill-kisba edukattiva tal-pajjiżi - fl-Asja tal-Lvant pereżempju - li tgħaqqad dixxiplina stretta ma 'standards għoljin ta' edukazzjoni. [Ċitazzjoni meħtieġa]</v>
      </c>
    </row>
    <row r="11296" ht="15.75" customHeight="1">
      <c r="A11296" s="2" t="s">
        <v>11296</v>
      </c>
      <c r="B11296" s="2" t="str">
        <f>IFERROR(__xludf.DUMMYFUNCTION("GOOGLETRANSLATE(A11296, ""en"", ""mt"")"),"karatteristiċi")</f>
        <v>karatteristiċi</v>
      </c>
    </row>
    <row r="11297" ht="15.75" customHeight="1">
      <c r="A11297" s="2" t="s">
        <v>11297</v>
      </c>
      <c r="B11297" s="2" t="str">
        <f>IFERROR(__xludf.DUMMYFUNCTION("GOOGLETRANSLATE(A11297, ""en"", ""mt"")"),"ħafna staġuni ċċelebrati")</f>
        <v>ħafna staġuni ċċelebrati</v>
      </c>
    </row>
    <row r="11298" ht="15.75" customHeight="1">
      <c r="A11298" s="2" t="s">
        <v>11298</v>
      </c>
      <c r="B11298" s="2" t="str">
        <f>IFERROR(__xludf.DUMMYFUNCTION("GOOGLETRANSLATE(A11298, ""en"", ""mt"")"),"Is-sistema 7–4–2–3 ġiet adottata")</f>
        <v>Is-sistema 7–4–2–3 ġiet adottata</v>
      </c>
    </row>
    <row r="11299" ht="15.75" customHeight="1">
      <c r="A11299" s="2" t="s">
        <v>11299</v>
      </c>
      <c r="B11299" s="2" t="str">
        <f>IFERROR(__xludf.DUMMYFUNCTION("GOOGLETRANSLATE(A11299, ""en"", ""mt"")"),"Bermuda 419 Turf")</f>
        <v>Bermuda 419 Turf</v>
      </c>
    </row>
    <row r="11300" ht="15.75" customHeight="1">
      <c r="A11300" s="2" t="s">
        <v>11300</v>
      </c>
      <c r="B11300" s="2" t="str">
        <f>IFERROR(__xludf.DUMMYFUNCTION("GOOGLETRANSLATE(A11300, ""en"", ""mt"")"),"Meta kien l-Oloken?")</f>
        <v>Meta kien l-Oloken?</v>
      </c>
    </row>
    <row r="11301" ht="15.75" customHeight="1">
      <c r="A11301" s="2" t="s">
        <v>11301</v>
      </c>
      <c r="B11301" s="2" t="str">
        <f>IFERROR(__xludf.DUMMYFUNCTION("GOOGLETRANSLATE(A11301, ""en"", ""mt"")"),"Kemm ċentri ta 'riċerka tmexxi l-università fuq il-kampus?")</f>
        <v>Kemm ċentri ta 'riċerka tmexxi l-università fuq il-kampus?</v>
      </c>
    </row>
    <row r="11302" ht="15.75" customHeight="1">
      <c r="A11302" s="2" t="s">
        <v>11302</v>
      </c>
      <c r="B11302" s="2" t="str">
        <f>IFERROR(__xludf.DUMMYFUNCTION("GOOGLETRANSLATE(A11302, ""en"", ""mt"")"),"L-U.S.")</f>
        <v>L-U.S.</v>
      </c>
    </row>
    <row r="11303" ht="15.75" customHeight="1">
      <c r="A11303" s="2" t="s">
        <v>11303</v>
      </c>
      <c r="B11303" s="2" t="str">
        <f>IFERROR(__xludf.DUMMYFUNCTION("GOOGLETRANSLATE(A11303, ""en"", ""mt"")"),"Meta huwa skedat it-tim sospiż li jirritorna?")</f>
        <v>Meta huwa skedat it-tim sospiż li jirritorna?</v>
      </c>
    </row>
    <row r="11304" ht="15.75" customHeight="1">
      <c r="A11304" s="2" t="s">
        <v>11304</v>
      </c>
      <c r="B11304" s="2" t="str">
        <f>IFERROR(__xludf.DUMMYFUNCTION("GOOGLETRANSLATE(A11304, ""en"", ""mt"")"),"Harvey Martin")</f>
        <v>Harvey Martin</v>
      </c>
    </row>
    <row r="11305" ht="15.75" customHeight="1">
      <c r="A11305" s="2" t="s">
        <v>11305</v>
      </c>
      <c r="B11305" s="2" t="str">
        <f>IFERROR(__xludf.DUMMYFUNCTION("GOOGLETRANSLATE(A11305, ""en"", ""mt"")"),"X'inhu xogħol wieħed minn Olivier Messiaen?")</f>
        <v>X'inhu xogħol wieħed minn Olivier Messiaen?</v>
      </c>
    </row>
    <row r="11306" ht="15.75" customHeight="1">
      <c r="A11306" s="2" t="s">
        <v>11306</v>
      </c>
      <c r="B11306" s="2" t="str">
        <f>IFERROR(__xludf.DUMMYFUNCTION("GOOGLETRANSLATE(A11306, ""en"", ""mt"")"),"Milton Latham")</f>
        <v>Milton Latham</v>
      </c>
    </row>
    <row r="11307" ht="15.75" customHeight="1">
      <c r="A11307" s="2" t="s">
        <v>11307</v>
      </c>
      <c r="B11307" s="2" t="str">
        <f>IFERROR(__xludf.DUMMYFUNCTION("GOOGLETRANSLATE(A11307, ""en"", ""mt"")"),"L-ogħla terrazzin")</f>
        <v>L-ogħla terrazzin</v>
      </c>
    </row>
    <row r="11308" ht="15.75" customHeight="1">
      <c r="A11308" s="2" t="s">
        <v>11308</v>
      </c>
      <c r="B11308" s="2" t="str">
        <f>IFERROR(__xludf.DUMMYFUNCTION("GOOGLETRANSLATE(A11308, ""en"", ""mt"")"),"Liema kontinenti huma rappreżentati fil-kollezzjoni tat-tessuti V&amp;A?")</f>
        <v>Liema kontinenti huma rappreżentati fil-kollezzjoni tat-tessuti V&amp;A?</v>
      </c>
    </row>
    <row r="11309" ht="15.75" customHeight="1">
      <c r="A11309" s="2" t="s">
        <v>11309</v>
      </c>
      <c r="B11309" s="2" t="str">
        <f>IFERROR(__xludf.DUMMYFUNCTION("GOOGLETRANSLATE(A11309, ""en"", ""mt"")"),"Ċaħda fl-irqad")</f>
        <v>Ċaħda fl-irqad</v>
      </c>
    </row>
    <row r="11310" ht="15.75" customHeight="1">
      <c r="A11310" s="2" t="s">
        <v>11310</v>
      </c>
      <c r="B11310" s="2" t="str">
        <f>IFERROR(__xludf.DUMMYFUNCTION("GOOGLETRANSLATE(A11310, ""en"", ""mt"")"),"piramidi ta 'rjus maqtugħin")</f>
        <v>piramidi ta 'rjus maqtugħin</v>
      </c>
    </row>
    <row r="11311" ht="15.75" customHeight="1">
      <c r="A11311" s="2" t="s">
        <v>11311</v>
      </c>
      <c r="B11311" s="2" t="str">
        <f>IFERROR(__xludf.DUMMYFUNCTION("GOOGLETRANSLATE(A11311, ""en"", ""mt"")"),"Bantu u Nilotiku")</f>
        <v>Bantu u Nilotiku</v>
      </c>
    </row>
    <row r="11312" ht="15.75" customHeight="1">
      <c r="A11312" s="2" t="s">
        <v>11312</v>
      </c>
      <c r="B11312" s="2" t="str">
        <f>IFERROR(__xludf.DUMMYFUNCTION("GOOGLETRANSLATE(A11312, ""en"", ""mt"")"),"Hgo")</f>
        <v>Hgo</v>
      </c>
    </row>
    <row r="11313" ht="15.75" customHeight="1">
      <c r="A11313" s="2" t="s">
        <v>11313</v>
      </c>
      <c r="B11313" s="2" t="str">
        <f>IFERROR(__xludf.DUMMYFUNCTION("GOOGLETRANSLATE(A11313, ""en"", ""mt"")"),"X'għaddiet reċentement minn restawr estensiv?")</f>
        <v>X'għaddiet reċentement minn restawr estensiv?</v>
      </c>
    </row>
    <row r="11314" ht="15.75" customHeight="1">
      <c r="A11314" s="2" t="s">
        <v>11314</v>
      </c>
      <c r="B11314" s="2" t="str">
        <f>IFERROR(__xludf.DUMMYFUNCTION("GOOGLETRANSLATE(A11314, ""en"", ""mt"")"),"Liema plejer rebaħ l-ewwel darba t-Trofew Heisman għall-Università?")</f>
        <v>Liema plejer rebaħ l-ewwel darba t-Trofew Heisman għall-Università?</v>
      </c>
    </row>
    <row r="11315" ht="15.75" customHeight="1">
      <c r="A11315" s="2" t="s">
        <v>11315</v>
      </c>
      <c r="B11315" s="2" t="str">
        <f>IFERROR(__xludf.DUMMYFUNCTION("GOOGLETRANSLATE(A11315, ""en"", ""mt"")"),"Il-batterji spiss inixxu x'tip ta 'proteini jinġerixxu barriera fiżika?")</f>
        <v>Il-batterji spiss inixxu x'tip ta 'proteini jinġerixxu barriera fiżika?</v>
      </c>
    </row>
    <row r="11316" ht="15.75" customHeight="1">
      <c r="A11316" s="2" t="s">
        <v>11316</v>
      </c>
      <c r="B11316" s="2" t="str">
        <f>IFERROR(__xludf.DUMMYFUNCTION("GOOGLETRANSLATE(A11316, ""en"", ""mt"")"),"Min stieden lil Washington biex tiekol miegħu?")</f>
        <v>Min stieden lil Washington biex tiekol miegħu?</v>
      </c>
    </row>
    <row r="11317" ht="15.75" customHeight="1">
      <c r="A11317" s="2" t="s">
        <v>11317</v>
      </c>
      <c r="B11317" s="2" t="str">
        <f>IFERROR(__xludf.DUMMYFUNCTION("GOOGLETRANSLATE(A11317, ""en"", ""mt"")"),"Liema kumpanija għandha l-kumpanija tax-xandir Amerikana?")</f>
        <v>Liema kumpanija għandha l-kumpanija tax-xandir Amerikana?</v>
      </c>
    </row>
    <row r="11318" ht="15.75" customHeight="1">
      <c r="A11318" s="2" t="s">
        <v>11318</v>
      </c>
      <c r="B11318" s="2" t="str">
        <f>IFERROR(__xludf.DUMMYFUNCTION("GOOGLETRANSLATE(A11318, ""en"", ""mt"")"),"L-evoluzzjoni ġeokimika tal-unitajiet tal-blat")</f>
        <v>L-evoluzzjoni ġeokimika tal-unitajiet tal-blat</v>
      </c>
    </row>
    <row r="11319" ht="15.75" customHeight="1">
      <c r="A11319" s="2" t="s">
        <v>11319</v>
      </c>
      <c r="B11319" s="2" t="str">
        <f>IFERROR(__xludf.DUMMYFUNCTION("GOOGLETRANSLATE(A11319, ""en"", ""mt"")"),"F'liema sena ġew Ġwanni u Charles Wesley l-Amerika biex jgħallmu l-Evanġelju?")</f>
        <v>F'liema sena ġew Ġwanni u Charles Wesley l-Amerika biex jgħallmu l-Evanġelju?</v>
      </c>
    </row>
    <row r="11320" ht="15.75" customHeight="1">
      <c r="A11320" s="2" t="s">
        <v>11320</v>
      </c>
      <c r="B11320" s="2" t="str">
        <f>IFERROR(__xludf.DUMMYFUNCTION("GOOGLETRANSLATE(A11320, ""en"", ""mt"")"),"Netwerk Intermedju Nodes bl-asinkronikament bl-użu ta 'l-ewwel-in, l-ewwel buffering")</f>
        <v>Netwerk Intermedju Nodes bl-asinkronikament bl-użu ta 'l-ewwel-in, l-ewwel buffering</v>
      </c>
    </row>
    <row r="11321" ht="15.75" customHeight="1">
      <c r="A11321" s="2" t="s">
        <v>11321</v>
      </c>
      <c r="B11321" s="2" t="str">
        <f>IFERROR(__xludf.DUMMYFUNCTION("GOOGLETRANSLATE(A11321, ""en"", ""mt"")"),"Bil-qawmien mill-ġdid tal-2005 tal-ispettaklu, il-produttur eżekuttiv Russell T Davies iddikjara l-intenzjoni tiegħu li jerġa 'jintroduċi ikoni klassiċi ta' Doctor Who One Sons Serje 3, is-Sontarans u Davros fis-Serje 4, u t-Time Lords (Rassilon) fl-ispeċ"&amp;"jalitajiet 2009-10. Is-suċċessur ta 'Davies, Steven Moffat, kompla t-tendenza billi reġa' qajjem is-Silurjani fis-Serje 5, Cybermats fis-Serje 6, l-Intelliġenza l-Kbira u l-Ġellieda tas-Silġ fis-Serje 7, u ż-żygons fil-50 anniversarju speċjali. Mir-ritorn"&amp;" tal-2005 tagħha, is-serje introduċiet ukoll aljeni ġodda rikurrenti: Slitheen (raxacoricofallapatorian), ood, judoon, anġli li jibku u s-silenzju.")</f>
        <v>Bil-qawmien mill-ġdid tal-2005 tal-ispettaklu, il-produttur eżekuttiv Russell T Davies iddikjara l-intenzjoni tiegħu li jerġa 'jintroduċi ikoni klassiċi ta' Doctor Who One Sons Serje 3, is-Sontarans u Davros fis-Serje 4, u t-Time Lords (Rassilon) fl-ispeċjalitajiet 2009-10. Is-suċċessur ta 'Davies, Steven Moffat, kompla t-tendenza billi reġa' qajjem is-Silurjani fis-Serje 5, Cybermats fis-Serje 6, l-Intelliġenza l-Kbira u l-Ġellieda tas-Silġ fis-Serje 7, u ż-żygons fil-50 anniversarju speċjali. Mir-ritorn tal-2005 tagħha, is-serje introduċiet ukoll aljeni ġodda rikurrenti: Slitheen (raxacoricofallapatorian), ood, judoon, anġli li jibku u s-silenzju.</v>
      </c>
    </row>
    <row r="11322" ht="15.75" customHeight="1">
      <c r="A11322" s="2" t="s">
        <v>11322</v>
      </c>
      <c r="B11322" s="2" t="str">
        <f>IFERROR(__xludf.DUMMYFUNCTION("GOOGLETRANSLATE(A11322, ""en"", ""mt"")"),"1.4 darbiet normali")</f>
        <v>1.4 darbiet normali</v>
      </c>
    </row>
    <row r="11323" ht="15.75" customHeight="1">
      <c r="A11323" s="2" t="s">
        <v>11323</v>
      </c>
      <c r="B11323" s="2" t="str">
        <f>IFERROR(__xludf.DUMMYFUNCTION("GOOGLETRANSLATE(A11323, ""en"", ""mt"")"),"Tossiċità tal-ossiġnu għall-pulmuni u s-sistema nervuża ċentrali")</f>
        <v>Tossiċità tal-ossiġnu għall-pulmuni u s-sistema nervuża ċentrali</v>
      </c>
    </row>
    <row r="11324" ht="15.75" customHeight="1">
      <c r="A11324" s="2" t="s">
        <v>11324</v>
      </c>
      <c r="B11324" s="2" t="str">
        <f>IFERROR(__xludf.DUMMYFUNCTION("GOOGLETRANSLATE(A11324, ""en"", ""mt"")"),"F'partijiet kbar, Newcastle għadu jżomm tqassim tat-triq medjevali. Alleys dojoq jew ""chares"", li ħafna minnhom jistgħu jiġu traversati biss bil-marda, għadhom jeżistu fl-abbundanza, partikolarment madwar ix-xmajjar. It-taraġ mir-riverside għal partijie"&amp;"t ogħla taċ-ċentru tal-belt u l-kastell li jeżisti, oriġinarjament irreġistrat fis-seklu 14, jibqa 'intatt f'postijiet. Close, Sandhill u Quayside fihom bini modern kif ukoll strutturi li jmorru mis-sekli 15-18-il sena, inklużi Bessie Surtees House, The C"&amp;"ooperage u Lloyds Quayside Bars, Derwentwater Hous Id-dar tal-merkantili tas-seklu 16 fil-viċin 28-30.")</f>
        <v>F'partijiet kbar, Newcastle għadu jżomm tqassim tat-triq medjevali. Alleys dojoq jew "chares", li ħafna minnhom jistgħu jiġu traversati biss bil-marda, għadhom jeżistu fl-abbundanza, partikolarment madwar ix-xmajjar. It-taraġ mir-riverside għal partijiet ogħla taċ-ċentru tal-belt u l-kastell li jeżisti, oriġinarjament irreġistrat fis-seklu 14, jibqa 'intatt f'postijiet. Close, Sandhill u Quayside fihom bini modern kif ukoll strutturi li jmorru mis-sekli 15-18-il sena, inklużi Bessie Surtees House, The Cooperage u Lloyds Quayside Bars, Derwentwater Hous Id-dar tal-merkantili tas-seklu 16 fil-viċin 28-30.</v>
      </c>
    </row>
    <row r="11325" ht="15.75" customHeight="1">
      <c r="A11325" s="2" t="s">
        <v>11325</v>
      </c>
      <c r="B11325" s="2" t="str">
        <f>IFERROR(__xludf.DUMMYFUNCTION("GOOGLETRANSLATE(A11325, ""en"", ""mt"")"),"Liema żona Huguenot hija magħżula bħala monument storiku?")</f>
        <v>Liema żona Huguenot hija magħżula bħala monument storiku?</v>
      </c>
    </row>
    <row r="11326" ht="15.75" customHeight="1">
      <c r="A11326" s="2" t="s">
        <v>11326</v>
      </c>
      <c r="B11326" s="2" t="str">
        <f>IFERROR(__xludf.DUMMYFUNCTION("GOOGLETRANSLATE(A11326, ""en"", ""mt"")"),"Biegħ mediċini bir-riċetta mingħajr ma teħtieġ riċetta")</f>
        <v>Biegħ mediċini bir-riċetta mingħajr ma teħtieġ riċetta</v>
      </c>
    </row>
    <row r="11327" ht="15.75" customHeight="1">
      <c r="A11327" s="2" t="s">
        <v>11327</v>
      </c>
      <c r="B11327" s="2" t="str">
        <f>IFERROR(__xludf.DUMMYFUNCTION("GOOGLETRANSLATE(A11327, ""en"", ""mt"")"),"aktar minn 70")</f>
        <v>aktar minn 70</v>
      </c>
    </row>
    <row r="11328" ht="15.75" customHeight="1">
      <c r="A11328" s="2" t="s">
        <v>11328</v>
      </c>
      <c r="B11328" s="2" t="str">
        <f>IFERROR(__xludf.DUMMYFUNCTION("GOOGLETRANSLATE(A11328, ""en"", ""mt"")"),"Kemm innijiet ta 'Luther ġew inklużi fl-Achtliederbuch?")</f>
        <v>Kemm innijiet ta 'Luther ġew inklużi fl-Achtliederbuch?</v>
      </c>
    </row>
    <row r="11329" ht="15.75" customHeight="1">
      <c r="A11329" s="2" t="s">
        <v>11329</v>
      </c>
      <c r="B11329" s="2" t="str">
        <f>IFERROR(__xludf.DUMMYFUNCTION("GOOGLETRANSLATE(A11329, ""en"", ""mt"")"),"Kemm il-flus inħallu Francovich jitlob mill-gvern Taljan fid-danni?")</f>
        <v>Kemm il-flus inħallu Francovich jitlob mill-gvern Taljan fid-danni?</v>
      </c>
    </row>
    <row r="11330" ht="15.75" customHeight="1">
      <c r="A11330" s="2" t="s">
        <v>11330</v>
      </c>
      <c r="B11330" s="2" t="str">
        <f>IFERROR(__xludf.DUMMYFUNCTION("GOOGLETRANSLATE(A11330, ""en"", ""mt"")"),"Tesla teorizza li l-applikazzjoni tal-elettriku għall-intelliġenza mtejba tal-moħħ. Fl-1912, huwa ddisinja ""pjan biex l-istudenti matt jgħajjat ​​billi jissaturawhom inkonxjament bl-elettriku,"" wajers il-ħitan ta 'kamra tal-iskola u, ""saturati [l-iskol"&amp;"a] bi mewġ elettriku infinitesimali li jivvibra bi frekwenza għolja. Il-kamra kollha se għalhekk, Is-Sur Tesla jiddikjara, jiġi kkonvertit f'qasam elettromanjetiku li jagħti s-saħħa u stimulanti "".")</f>
        <v>Tesla teorizza li l-applikazzjoni tal-elettriku għall-intelliġenza mtejba tal-moħħ. Fl-1912, huwa ddisinja "pjan biex l-istudenti matt jgħajjat ​​billi jissaturawhom inkonxjament bl-elettriku," wajers il-ħitan ta 'kamra tal-iskola u, "saturati [l-iskola] bi mewġ elettriku infinitesimali li jivvibra bi frekwenza għolja. Il-kamra kollha se għalhekk, Is-Sur Tesla jiddikjara, jiġi kkonvertit f'qasam elettromanjetiku li jagħti s-saħħa u stimulanti ".</v>
      </c>
    </row>
    <row r="11331" ht="15.75" customHeight="1">
      <c r="A11331" s="2" t="s">
        <v>11331</v>
      </c>
      <c r="B11331" s="2" t="str">
        <f>IFERROR(__xludf.DUMMYFUNCTION("GOOGLETRANSLATE(A11331, ""en"", ""mt"")"),"Liema Teorema tiddikjara li kull numru sħiħ kbir jista 'jinkiteb bħala prim fil-qosor ma' semiprime?")</f>
        <v>Liema Teorema tiddikjara li kull numru sħiħ kbir jista 'jinkiteb bħala prim fil-qosor ma' semiprime?</v>
      </c>
    </row>
    <row r="11332" ht="15.75" customHeight="1">
      <c r="A11332" s="2" t="s">
        <v>11332</v>
      </c>
      <c r="B11332" s="2" t="str">
        <f>IFERROR(__xludf.DUMMYFUNCTION("GOOGLETRANSLATE(A11332, ""en"", ""mt"")"),"In-Nofsinhar tal-Kalifornja hija maqsuma kulturalment, politikament, u ekonomikament f'reġjuni distintivi, kull wieħed fih il-kultura u l-atmosfera tagħha stess, ankrata ġeneralment minn belt kemm b'rikonoxximent nazzjonali u xi kultant globali, li ħafna "&amp;"drabi huma l-hub tal-attività ekonomika għar-reġjun rispettiv tagħha u li huma d-dar għal ħafna destinazzjonijiet turistiċi. Kull reġjun huwa maqsum aktar f'ħafna żoni kulturalment distinti iżda kollu kemm hu jikkombina biex joħloq l-atmosfera tan-Nofsinh"&amp;"ar ta 'California.")</f>
        <v>In-Nofsinhar tal-Kalifornja hija maqsuma kulturalment, politikament, u ekonomikament f'reġjuni distintivi, kull wieħed fih il-kultura u l-atmosfera tagħha stess, ankrata ġeneralment minn belt kemm b'rikonoxximent nazzjonali u xi kultant globali, li ħafna drabi huma l-hub tal-attività ekonomika għar-reġjun rispettiv tagħha u li huma d-dar għal ħafna destinazzjonijiet turistiċi. Kull reġjun huwa maqsum aktar f'ħafna żoni kulturalment distinti iżda kollu kemm hu jikkombina biex joħloq l-atmosfera tan-Nofsinhar ta 'California.</v>
      </c>
    </row>
    <row r="11333" ht="15.75" customHeight="1">
      <c r="A11333" s="2" t="s">
        <v>11333</v>
      </c>
      <c r="B11333" s="2" t="str">
        <f>IFERROR(__xludf.DUMMYFUNCTION("GOOGLETRANSLATE(A11333, ""en"", ""mt"")"),"Il-korrelazzjoni bejn il-kapitaliżmu, l-aristokrazija u l-imperjalizmu ilha diskussa fost l-istoriċi u t-teoriċi politiċi. Ħafna mid-dibattitu kien pijunier minn teoriċi bħal J. A. Hobson (1858–1940), Joseph Schumpeter (1883–1950), Thorstein Veblen (1857–"&amp;"1929), u Norman Angell (1872–1967). Filwaqt li dawn il-kittieba mhux Marxisti kienu l-iktar prolifiċi tagħhom qabel l-Ewwel Gwerra Dinjija, huma baqgħu attivi fis-snin interwar. Ix-xogħol ikkombinat tagħhom informa l-istudju dwar l-imperjalizmu u l-impatt"&amp;" tiegħu fuq l-Ewropa, kif ukoll ikkontribwixxa għal riflessjonijiet dwar iż-żieda tal-kumpless politiku militari fl-Istati Uniti mill-ħamsinijiet. Hobson argumenta li r-riformi soċjali domestiċi jistgħu jfejqu l-marda internazzjonali tal-imperjalizmu bill"&amp;"i jneħħu l-fondazzjoni ekonomika tiegħu. Hobson teorizza li l-intervent tal-istat permezz tat-tassazzjoni jista 'jagħti spinta lill-konsum usa', joħloq il-ġid, u jinkoraġġixxi ordni dinjija paċifika, tolleranti u multipolari.")</f>
        <v>Il-korrelazzjoni bejn il-kapitaliżmu, l-aristokrazija u l-imperjalizmu ilha diskussa fost l-istoriċi u t-teoriċi politiċi. Ħafna mid-dibattitu kien pijunier minn teoriċi bħal J. A. Hobson (1858–1940), Joseph Schumpeter (1883–1950), Thorstein Veblen (1857–1929), u Norman Angell (1872–1967). Filwaqt li dawn il-kittieba mhux Marxisti kienu l-iktar prolifiċi tagħhom qabel l-Ewwel Gwerra Dinjija, huma baqgħu attivi fis-snin interwar. Ix-xogħol ikkombinat tagħhom informa l-istudju dwar l-imperjalizmu u l-impatt tiegħu fuq l-Ewropa, kif ukoll ikkontribwixxa għal riflessjonijiet dwar iż-żieda tal-kumpless politiku militari fl-Istati Uniti mill-ħamsinijiet. Hobson argumenta li r-riformi soċjali domestiċi jistgħu jfejqu l-marda internazzjonali tal-imperjalizmu billi jneħħu l-fondazzjoni ekonomika tiegħu. Hobson teorizza li l-intervent tal-istat permezz tat-tassazzjoni jista 'jagħti spinta lill-konsum usa', joħloq il-ġid, u jinkoraġġixxi ordni dinjija paċifika, tolleranti u multipolari.</v>
      </c>
    </row>
    <row r="11334" ht="15.75" customHeight="1">
      <c r="A11334" s="2" t="s">
        <v>11334</v>
      </c>
      <c r="B11334" s="2" t="str">
        <f>IFERROR(__xludf.DUMMYFUNCTION("GOOGLETRANSLATE(A11334, ""en"", ""mt"")"),"Kull Mejju mill-1987, l-Università ta ’Chicago kellha l-Università ta’ Chicago Scavenger Hunt, li fiha timijiet kbar ta ’studenti jikkompetu biex jiksbu oġġetti esoteriċi notorjament minn lista. Mill-1963, il-Festival tal-Arti (FOTA) jieħu f'idejh il-kamp"&amp;"us għal 7-10 ijiem ta 'esibizzjonijiet u sforzi artistiċi interattivi. Kull Jannar, l-università għandha festival tax-xitwa tul ġimgħa, Kuviasungnerk / Kangeiko, li jinkludu rutini ta 'eżerċizzju kmieni filgħodu u workshops ta' fitness. L-università kull "&amp;"sena għandha wkoll karnival u kunċert tas-sajf imsejjaħ Summer Breeze li tospita mużiċisti barra, u hija d-dar għal Doc Films, studenti tas-soċjetà tal-films imwaqqfa fl-1932 li tiskrinja films filgħaxija fl-università. Mill-1946, l-università organizzat "&amp;"id-dibattitu Latke-Hamantash, li jinvolvi diskussjonijiet umoristiċi dwar il-merti relattivi u t-tifsiriet ta 'Latkes u Hamantashen.")</f>
        <v>Kull Mejju mill-1987, l-Università ta ’Chicago kellha l-Università ta’ Chicago Scavenger Hunt, li fiha timijiet kbar ta ’studenti jikkompetu biex jiksbu oġġetti esoteriċi notorjament minn lista. Mill-1963, il-Festival tal-Arti (FOTA) jieħu f'idejh il-kampus għal 7-10 ijiem ta 'esibizzjonijiet u sforzi artistiċi interattivi. Kull Jannar, l-università għandha festival tax-xitwa tul ġimgħa, Kuviasungnerk / Kangeiko, li jinkludu rutini ta 'eżerċizzju kmieni filgħodu u workshops ta' fitness. L-università kull sena għandha wkoll karnival u kunċert tas-sajf imsejjaħ Summer Breeze li tospita mużiċisti barra, u hija d-dar għal Doc Films, studenti tas-soċjetà tal-films imwaqqfa fl-1932 li tiskrinja films filgħaxija fl-università. Mill-1946, l-università organizzat id-dibattitu Latke-Hamantash, li jinvolvi diskussjonijiet umoristiċi dwar il-merti relattivi u t-tifsiriet ta 'Latkes u Hamantashen.</v>
      </c>
    </row>
    <row r="11335" ht="15.75" customHeight="1">
      <c r="A11335" s="2" t="s">
        <v>11335</v>
      </c>
      <c r="B11335" s="2" t="str">
        <f>IFERROR(__xludf.DUMMYFUNCTION("GOOGLETRANSLATE(A11335, ""en"", ""mt"")"),"Ħafna marru Kuba")</f>
        <v>Ħafna marru Kuba</v>
      </c>
    </row>
    <row r="11336" ht="15.75" customHeight="1">
      <c r="A11336" s="2" t="s">
        <v>11336</v>
      </c>
      <c r="B11336" s="2" t="str">
        <f>IFERROR(__xludf.DUMMYFUNCTION("GOOGLETRANSLATE(A11336, ""en"", ""mt"")"),"Fl-Irlanda, l-iskejjel privati ​​(Irlandiżi: Scoil phríobháideach) mhumiex tas-soltu minħabba li ċertu numru ta ’salarji tal-għalliema jitħallsu mill-istat. Jekk l-iskola tixtieq timpjega għalliema żejda huma jitħallsu bi ħlasijiet tal-iskola, li għandhom"&amp;" tendenza li jkunu relattivament baxxi fl-Irlanda meta mqabbla mal-bqija tad-dinja. Madankollu, hemm element limitat ta 'valutazzjoni tal-istat ta' skejjel privati, minħabba r-rekwiżit li l-istat jiżgura li t-tfal jirċievu ċerta edukazzjoni minima; L-iske"&amp;"jjel privati ​​Irlandiżi għandhom xorta jaħdmu lejn iċ-ċertifikat tal-junior u ċ-ċertifikat tat-tluq, eż. Bosta skejjel privati ​​fl-Irlanda jirdoppjaw ukoll bħala skejjel tal-imbark. Il-ħlas medju huwa ta 'madwar € 5,000 kull sena għal ħafna skejjel, iżd"&amp;"a wħud minn dawn l-iskejjel jipprovdu wkoll imbark u t-tariffi jistgħu mbagħad jogħlew sa € 25,000 fis-sena. L-iskejjel li jħallsu t-tariffi huma ġeneralment immexxija minn ordni reliġjuża, i.e., is-Soċjetà ta ’Ġesù jew kongregazzjoni ta’ aħwa Kristjani, "&amp;"eċċ.")</f>
        <v>Fl-Irlanda, l-iskejjel privati ​​(Irlandiżi: Scoil phríobháideach) mhumiex tas-soltu minħabba li ċertu numru ta ’salarji tal-għalliema jitħallsu mill-istat. Jekk l-iskola tixtieq timpjega għalliema żejda huma jitħallsu bi ħlasijiet tal-iskola, li għandhom tendenza li jkunu relattivament baxxi fl-Irlanda meta mqabbla mal-bqija tad-dinja. Madankollu, hemm element limitat ta 'valutazzjoni tal-istat ta' skejjel privati, minħabba r-rekwiżit li l-istat jiżgura li t-tfal jirċievu ċerta edukazzjoni minima; L-iskejjel privati ​​Irlandiżi għandhom xorta jaħdmu lejn iċ-ċertifikat tal-junior u ċ-ċertifikat tat-tluq, eż. Bosta skejjel privati ​​fl-Irlanda jirdoppjaw ukoll bħala skejjel tal-imbark. Il-ħlas medju huwa ta 'madwar € 5,000 kull sena għal ħafna skejjel, iżda wħud minn dawn l-iskejjel jipprovdu wkoll imbark u t-tariffi jistgħu mbagħad jogħlew sa € 25,000 fis-sena. L-iskejjel li jħallsu t-tariffi huma ġeneralment immexxija minn ordni reliġjuża, i.e., is-Soċjetà ta ’Ġesù jew kongregazzjoni ta’ aħwa Kristjani, eċċ.</v>
      </c>
    </row>
    <row r="11337" ht="15.75" customHeight="1">
      <c r="A11337" s="2" t="s">
        <v>11337</v>
      </c>
      <c r="B11337" s="2" t="str">
        <f>IFERROR(__xludf.DUMMYFUNCTION("GOOGLETRANSLATE(A11337, ""en"", ""mt"")"),"Ong Khan")</f>
        <v>Ong Khan</v>
      </c>
    </row>
    <row r="11338" ht="15.75" customHeight="1">
      <c r="A11338" s="2" t="s">
        <v>11338</v>
      </c>
      <c r="B11338" s="2" t="str">
        <f>IFERROR(__xludf.DUMMYFUNCTION("GOOGLETRANSLATE(A11338, ""en"", ""mt"")"),"CBS xandir Super Bowl 50 fl-Istati Uniti, u ċċarġja medja ta '$ 5 miljun għal kummerċjali ta '30 sekonda matul il-logħba. L-ispettaklu tas-Super Bowl 50 f'ħin il-mistrieħ kien intitolat mill-grupp tal-blat Brittaniku Coldplay ma 'artisti mistiedna speċjal"&amp;"i Beyoncé u Bruno Mars, li intitolati s-Super Bowl XLVII u s-Super Bowl XLVIII wirjiet ta' nofs il-ħin, rispettivament. Kien it-tielet l-iktar li jara l-Istati Uniti mxandra qatt.")</f>
        <v>CBS xandir Super Bowl 50 fl-Istati Uniti, u ċċarġja medja ta '$ 5 miljun għal kummerċjali ta '30 sekonda matul il-logħba. L-ispettaklu tas-Super Bowl 50 f'ħin il-mistrieħ kien intitolat mill-grupp tal-blat Brittaniku Coldplay ma 'artisti mistiedna speċjali Beyoncé u Bruno Mars, li intitolati s-Super Bowl XLVII u s-Super Bowl XLVIII wirjiet ta' nofs il-ħin, rispettivament. Kien it-tielet l-iktar li jara l-Istati Uniti mxandra qatt.</v>
      </c>
    </row>
    <row r="11339" ht="15.75" customHeight="1">
      <c r="A11339" s="2" t="s">
        <v>11339</v>
      </c>
      <c r="B11339" s="2" t="str">
        <f>IFERROR(__xludf.DUMMYFUNCTION("GOOGLETRANSLATE(A11339, ""en"", ""mt"")"),"il-fiżiċista Taljan Galileo Ferraris")</f>
        <v>il-fiżiċista Taljan Galileo Ferraris</v>
      </c>
    </row>
    <row r="11340" ht="15.75" customHeight="1">
      <c r="A11340" s="2" t="s">
        <v>11340</v>
      </c>
      <c r="B11340" s="2" t="str">
        <f>IFERROR(__xludf.DUMMYFUNCTION("GOOGLETRANSLATE(A11340, ""en"", ""mt"")"),"1913")</f>
        <v>1913</v>
      </c>
    </row>
    <row r="11341" ht="15.75" customHeight="1">
      <c r="A11341" s="2" t="s">
        <v>11341</v>
      </c>
      <c r="B11341" s="2" t="str">
        <f>IFERROR(__xludf.DUMMYFUNCTION("GOOGLETRANSLATE(A11341, ""en"", ""mt"")"),"X'inhuma xi sorsi supplimentari tal-liġi tal-Unjoni Ewropea?")</f>
        <v>X'inhuma xi sorsi supplimentari tal-liġi tal-Unjoni Ewropea?</v>
      </c>
    </row>
    <row r="11342" ht="15.75" customHeight="1">
      <c r="A11342" s="2" t="s">
        <v>11342</v>
      </c>
      <c r="B11342" s="2" t="str">
        <f>IFERROR(__xludf.DUMMYFUNCTION("GOOGLETRANSLATE(A11342, ""en"", ""mt"")"),"Kemm hemm btieti ta 'żejt stmat li l-Kenja għandha?")</f>
        <v>Kemm hemm btieti ta 'żejt stmat li l-Kenja għandha?</v>
      </c>
    </row>
    <row r="11343" ht="15.75" customHeight="1">
      <c r="A11343" s="2" t="s">
        <v>11343</v>
      </c>
      <c r="B11343" s="2" t="str">
        <f>IFERROR(__xludf.DUMMYFUNCTION("GOOGLETRANSLATE(A11343, ""en"", ""mt"")"),"San Lawrenz")</f>
        <v>San Lawrenz</v>
      </c>
    </row>
    <row r="11344" ht="15.75" customHeight="1">
      <c r="A11344" s="2" t="s">
        <v>11344</v>
      </c>
      <c r="B11344" s="2" t="str">
        <f>IFERROR(__xludf.DUMMYFUNCTION("GOOGLETRANSLATE(A11344, ""en"", ""mt"")"),"Bejn wieħed u ieħor kemm klabbs spiċċaw fl-università?")</f>
        <v>Bejn wieħed u ieħor kemm klabbs spiċċaw fl-università?</v>
      </c>
    </row>
    <row r="11345" ht="15.75" customHeight="1">
      <c r="A11345" s="2" t="s">
        <v>11345</v>
      </c>
      <c r="B11345" s="2" t="str">
        <f>IFERROR(__xludf.DUMMYFUNCTION("GOOGLETRANSLATE(A11345, ""en"", ""mt"")"),"qatt ratifikat")</f>
        <v>qatt ratifikat</v>
      </c>
    </row>
    <row r="11346" ht="15.75" customHeight="1">
      <c r="A11346" s="2" t="s">
        <v>11346</v>
      </c>
      <c r="B11346" s="2" t="str">
        <f>IFERROR(__xludf.DUMMYFUNCTION("GOOGLETRANSLATE(A11346, ""en"", ""mt"")"),"Il-Kmand Brittaniku l-ġdid ma kienx fis-seħħ sa Lulju. Meta wasal f'Albany, Abercrombie irrifjuta li jieħu xi azzjonijiet sinifikanti sakemm Loudoun approvahom. Montcalm ħa azzjoni kuraġġuża kontra l-inerzja tiegħu. Filwaqt li jibni fuq ix-xogħol ta 'Vaud"&amp;"reuil li qed iġġebbed lill-Oswego Garrison, Montcalm eżegwixxa feint strateġiku billi ċeda l-kwartieri ġenerali tiegħu lejn Ticonderoga, bħallikieku biex jippresjedi attakk ieħor tul il-Lag George. Ma 'Abercrombie imqabbad' l isfel f'Albany, Montcalm niże"&amp;"l u mexxa l-attakk ta 'suċċess fuq Oswego f'Awwissu. Wara l-konsegwenzi, Montcalm u l-Indjani taħt il-kmand tiegħu ma qablux dwar id-dispożizzjoni tal-effetti personali tal-priġunieri. L-Ewropej ma kkunsidrawhomx premjijiet u ma ħallewx lill-Indjani milli"&amp;" jqaxxru l-priġunieri tal-oġġetti ta 'valur tagħhom, li rrabjaw lill-Indjani.")</f>
        <v>Il-Kmand Brittaniku l-ġdid ma kienx fis-seħħ sa Lulju. Meta wasal f'Albany, Abercrombie irrifjuta li jieħu xi azzjonijiet sinifikanti sakemm Loudoun approvahom. Montcalm ħa azzjoni kuraġġuża kontra l-inerzja tiegħu. Filwaqt li jibni fuq ix-xogħol ta 'Vaudreuil li qed iġġebbed lill-Oswego Garrison, Montcalm eżegwixxa feint strateġiku billi ċeda l-kwartieri ġenerali tiegħu lejn Ticonderoga, bħallikieku biex jippresjedi attakk ieħor tul il-Lag George. Ma 'Abercrombie imqabbad' l isfel f'Albany, Montcalm niżel u mexxa l-attakk ta 'suċċess fuq Oswego f'Awwissu. Wara l-konsegwenzi, Montcalm u l-Indjani taħt il-kmand tiegħu ma qablux dwar id-dispożizzjoni tal-effetti personali tal-priġunieri. L-Ewropej ma kkunsidrawhomx premjijiet u ma ħallewx lill-Indjani milli jqaxxru l-priġunieri tal-oġġetti ta 'valur tagħhom, li rrabjaw lill-Indjani.</v>
      </c>
    </row>
    <row r="11347" ht="15.75" customHeight="1">
      <c r="A11347" s="2" t="s">
        <v>11347</v>
      </c>
      <c r="B11347" s="2" t="str">
        <f>IFERROR(__xludf.DUMMYFUNCTION("GOOGLETRANSLATE(A11347, ""en"", ""mt"")"),"Dak li għen biex jappoġġja l-modulu tal-kmand b'magna tal-propulsjoni u propellanti?")</f>
        <v>Dak li għen biex jappoġġja l-modulu tal-kmand b'magna tal-propulsjoni u propellanti?</v>
      </c>
    </row>
    <row r="11348" ht="15.75" customHeight="1">
      <c r="A11348" s="2" t="s">
        <v>11348</v>
      </c>
      <c r="B11348" s="2" t="str">
        <f>IFERROR(__xludf.DUMMYFUNCTION("GOOGLETRANSLATE(A11348, ""en"", ""mt"")"),"L-allotrope komuni ta 'ossiġenu elementari fid-Dinja tissejjaħ dioxygen, o
2. Hija l-forma li hija parti ewlenija fl-atmosfera tad-Dinja (ara l-okkorrenza). O2 għandu tul ta 'bond ta' 121 pm u enerġija ta 'bond ta' 498 kJ · mol - 1, li hija iżgħar mill-en"&amp;"erġija ta 'bonds doppji oħra jew pari ta' bonds singoli fil-bijosfera u responsabbli għar-reazzjoni eżotermika ta 'O2 bi kwalunkwe molekula organika - Minħabba l-kontenut ta 'enerġija tiegħu, O2 jintuża minn forom kumplessi ta' ħajja, bħal annimali, fir-r"&amp;"espirazzjoni ċellulari (ara r-rwol bijoloġiku). Aspetti oħra ta 'O
2 huma koperti fil-bqija ta 'dan l-artikolu.")</f>
        <v>L-allotrope komuni ta 'ossiġenu elementari fid-Dinja tissejjaħ dioxygen, o
2. Hija l-forma li hija parti ewlenija fl-atmosfera tad-Dinja (ara l-okkorrenza). O2 għandu tul ta 'bond ta' 121 pm u enerġija ta 'bond ta' 498 kJ · mol - 1, li hija iżgħar mill-enerġija ta 'bonds doppji oħra jew pari ta' bonds singoli fil-bijosfera u responsabbli għar-reazzjoni eżotermika ta 'O2 bi kwalunkwe molekula organika - Minħabba l-kontenut ta 'enerġija tiegħu, O2 jintuża minn forom kumplessi ta' ħajja, bħal annimali, fir-respirazzjoni ċellulari (ara r-rwol bijoloġiku). Aspetti oħra ta 'O
2 huma koperti fil-bqija ta 'dan l-artikolu.</v>
      </c>
    </row>
    <row r="11349" ht="15.75" customHeight="1">
      <c r="A11349" s="2" t="s">
        <v>11349</v>
      </c>
      <c r="B11349" s="2" t="str">
        <f>IFERROR(__xludf.DUMMYFUNCTION("GOOGLETRANSLATE(A11349, ""en"", ""mt"")"),"korrott fil-modi tiegħu")</f>
        <v>korrott fil-modi tiegħu</v>
      </c>
    </row>
    <row r="11350" ht="15.75" customHeight="1">
      <c r="A11350" s="2" t="s">
        <v>11350</v>
      </c>
      <c r="B11350" s="2" t="str">
        <f>IFERROR(__xludf.DUMMYFUNCTION("GOOGLETRANSLATE(A11350, ""en"", ""mt"")"),"Liema mexxej famuż tad-drittijiet ċivili sejjaħ Harvard Home?")</f>
        <v>Liema mexxej famuż tad-drittijiet ċivili sejjaħ Harvard Home?</v>
      </c>
    </row>
    <row r="11351" ht="15.75" customHeight="1">
      <c r="A11351" s="2" t="s">
        <v>11351</v>
      </c>
      <c r="B11351" s="2" t="str">
        <f>IFERROR(__xludf.DUMMYFUNCTION("GOOGLETRANSLATE(A11351, ""en"", ""mt"")"),"Il-belt għandha ċentru neoklasiku estensiv imsejjaħ Tyneside Classical fil-biċċa l-kbira żviluppa fis-snin 1830 minn Richard Grainger u John Dobson, u riċentement restawrat b'mod estensiv. Ix-xandar u l-kittieb Stuart Maconie ddeskrivew lil Newcastle bħal"&amp;"a l-aħjar belt li tħares l-Ingilterra u l-istudjuż Brittaniku tat-twelid Ġermaniż tal-Arkitettura, Nikolaus Pevsner, jiddeskrivi Triq Gray bħala waħda mill-ifjen toroq fl-Ingilterra. It-triq tgħaġġel mill-monument ta ’Gray lejn il-wied tax-xmara Tyne u ġi"&amp;"et ivvutata fit-triq l-aktar fina tal-Ingilterra fl-2005 fi stħarriġ tas-semmiegħa tal-BBC Radio 4. Fil-Google Street View Awards tal-2010, Grey Street waslet it-3 fil-kategorija pittoreska Ingliża. Osborne Road waslet ir-4 fil-kategorija tat-Triq Foodie."&amp;" Porzjon tal-belt ta 'Grainger ġie mwaqqa' fis-snin 1960 biex jagħmel triq għaċ-Ċentru tax-Xiri tal-Pjazza Eldon, inkluż in-naħa kollha ħlief waħda tal-Pjazza Eldon oriġinali nnifisha.")</f>
        <v>Il-belt għandha ċentru neoklasiku estensiv imsejjaħ Tyneside Classical fil-biċċa l-kbira żviluppa fis-snin 1830 minn Richard Grainger u John Dobson, u riċentement restawrat b'mod estensiv. Ix-xandar u l-kittieb Stuart Maconie ddeskrivew lil Newcastle bħala l-aħjar belt li tħares l-Ingilterra u l-istudjuż Brittaniku tat-twelid Ġermaniż tal-Arkitettura, Nikolaus Pevsner, jiddeskrivi Triq Gray bħala waħda mill-ifjen toroq fl-Ingilterra. It-triq tgħaġġel mill-monument ta ’Gray lejn il-wied tax-xmara Tyne u ġiet ivvutata fit-triq l-aktar fina tal-Ingilterra fl-2005 fi stħarriġ tas-semmiegħa tal-BBC Radio 4. Fil-Google Street View Awards tal-2010, Grey Street waslet it-3 fil-kategorija pittoreska Ingliża. Osborne Road waslet ir-4 fil-kategorija tat-Triq Foodie. Porzjon tal-belt ta 'Grainger ġie mwaqqa' fis-snin 1960 biex jagħmel triq għaċ-Ċentru tax-Xiri tal-Pjazza Eldon, inkluż in-naħa kollha ħlief waħda tal-Pjazza Eldon oriġinali nnifisha.</v>
      </c>
    </row>
    <row r="11352" ht="15.75" customHeight="1">
      <c r="A11352" s="2" t="s">
        <v>11352</v>
      </c>
      <c r="B11352" s="2" t="str">
        <f>IFERROR(__xludf.DUMMYFUNCTION("GOOGLETRANSLATE(A11352, ""en"", ""mt"")"),"Huwa seta 'interċetta l-esperimenti Ewropej ta' Marconi")</f>
        <v>Huwa seta 'interċetta l-esperimenti Ewropej ta' Marconi</v>
      </c>
    </row>
    <row r="11353" ht="15.75" customHeight="1">
      <c r="A11353" s="2" t="s">
        <v>11353</v>
      </c>
      <c r="B11353" s="2" t="str">
        <f>IFERROR(__xludf.DUMMYFUNCTION("GOOGLETRANSLATE(A11353, ""en"", ""mt"")"),"il-prinċipji taċ-ċertezza legali u l-fidi tajba")</f>
        <v>il-prinċipji taċ-ċertezza legali u l-fidi tajba</v>
      </c>
    </row>
    <row r="11354" ht="15.75" customHeight="1">
      <c r="A11354" s="2" t="s">
        <v>11354</v>
      </c>
      <c r="B11354" s="2" t="str">
        <f>IFERROR(__xludf.DUMMYFUNCTION("GOOGLETRANSLATE(A11354, ""en"", ""mt"")"),"Liema kumpanija Eisner saret president ta 'meta telaq mill-ABC fl-1976?")</f>
        <v>Liema kumpanija Eisner saret president ta 'meta telaq mill-ABC fl-1976?</v>
      </c>
    </row>
    <row r="11355" ht="15.75" customHeight="1">
      <c r="A11355" s="2" t="s">
        <v>11355</v>
      </c>
      <c r="B11355" s="2" t="str">
        <f>IFERROR(__xludf.DUMMYFUNCTION("GOOGLETRANSLATE(A11355, ""en"", ""mt"")"),"Kostruzzjoni tal-bini")</f>
        <v>Kostruzzjoni tal-bini</v>
      </c>
    </row>
    <row r="11356" ht="15.75" customHeight="1">
      <c r="A11356" s="2" t="s">
        <v>11356</v>
      </c>
      <c r="B11356" s="2" t="str">
        <f>IFERROR(__xludf.DUMMYFUNCTION("GOOGLETRANSLATE(A11356, ""en"", ""mt"")"),"X'tip ta 'xogħlijiet mill-Asja huma inklużi fil-Galleriji Ingliżi tal-V &amp; A?")</f>
        <v>X'tip ta 'xogħlijiet mill-Asja huma inklużi fil-Galleriji Ingliżi tal-V &amp; A?</v>
      </c>
    </row>
    <row r="11357" ht="15.75" customHeight="1">
      <c r="A11357" s="2" t="s">
        <v>11357</v>
      </c>
      <c r="B11357" s="2" t="str">
        <f>IFERROR(__xludf.DUMMYFUNCTION("GOOGLETRANSLATE(A11357, ""en"", ""mt"")"),"X'inhi l-ispiża annwali ta 'xi skejjel ta' preparazzjoni notevoli fi New England?")</f>
        <v>X'inhi l-ispiża annwali ta 'xi skejjel ta' preparazzjoni notevoli fi New England?</v>
      </c>
    </row>
    <row r="11358" ht="15.75" customHeight="1">
      <c r="A11358" s="2" t="s">
        <v>11358</v>
      </c>
      <c r="B11358" s="2" t="str">
        <f>IFERROR(__xludf.DUMMYFUNCTION("GOOGLETRANSLATE(A11358, ""en"", ""mt"")"),"1855 Kostituzzjoni Kolonjali")</f>
        <v>1855 Kostituzzjoni Kolonjali</v>
      </c>
    </row>
    <row r="11359" ht="15.75" customHeight="1">
      <c r="A11359" s="2" t="s">
        <v>11359</v>
      </c>
      <c r="B11359" s="2" t="str">
        <f>IFERROR(__xludf.DUMMYFUNCTION("GOOGLETRANSLATE(A11359, ""en"", ""mt"")"),"Lega ta ’Augsburg")</f>
        <v>Lega ta ’Augsburg</v>
      </c>
    </row>
    <row r="11360" ht="15.75" customHeight="1">
      <c r="A11360" s="2" t="s">
        <v>11360</v>
      </c>
      <c r="B11360" s="2" t="str">
        <f>IFERROR(__xludf.DUMMYFUNCTION("GOOGLETRANSLATE(A11360, ""en"", ""mt"")"),"wara l-gwerra tad-dinja")</f>
        <v>wara l-gwerra tad-dinja</v>
      </c>
    </row>
    <row r="11361" ht="15.75" customHeight="1">
      <c r="A11361" s="2" t="s">
        <v>11361</v>
      </c>
      <c r="B11361" s="2" t="str">
        <f>IFERROR(__xludf.DUMMYFUNCTION("GOOGLETRANSLATE(A11361, ""en"", ""mt"")"),"primes")</f>
        <v>primes</v>
      </c>
    </row>
    <row r="11362" ht="15.75" customHeight="1">
      <c r="A11362" s="2" t="s">
        <v>11362</v>
      </c>
      <c r="B11362" s="2" t="str">
        <f>IFERROR(__xludf.DUMMYFUNCTION("GOOGLETRANSLATE(A11362, ""en"", ""mt"")"),"Liema klassi ta 'kumplessità hija kkaratterizzata minn kompiti komputazzjonali u algoritmi effiċjenti?")</f>
        <v>Liema klassi ta 'kumplessità hija kkaratterizzata minn kompiti komputazzjonali u algoritmi effiċjenti?</v>
      </c>
    </row>
    <row r="11363" ht="15.75" customHeight="1">
      <c r="A11363" s="2" t="s">
        <v>11363</v>
      </c>
      <c r="B11363" s="2" t="str">
        <f>IFERROR(__xludf.DUMMYFUNCTION("GOOGLETRANSLATE(A11363, ""en"", ""mt"")"),"Kemm kienu nies fit-titjira tat-test tal-AS-206?")</f>
        <v>Kemm kienu nies fit-titjira tat-test tal-AS-206?</v>
      </c>
    </row>
    <row r="11364" ht="15.75" customHeight="1">
      <c r="A11364" s="2" t="s">
        <v>11364</v>
      </c>
      <c r="B11364" s="2" t="str">
        <f>IFERROR(__xludf.DUMMYFUNCTION("GOOGLETRANSLATE(A11364, ""en"", ""mt"")"),"Fejn Aristotile kien jemmen il-post naturali għall-elementi tad-dinja u tal-ilma?")</f>
        <v>Fejn Aristotile kien jemmen il-post naturali għall-elementi tad-dinja u tal-ilma?</v>
      </c>
    </row>
    <row r="11365" ht="15.75" customHeight="1">
      <c r="A11365" s="2" t="s">
        <v>11365</v>
      </c>
      <c r="B11365" s="2" t="str">
        <f>IFERROR(__xludf.DUMMYFUNCTION("GOOGLETRANSLATE(A11365, ""en"", ""mt"")"),"Isqfijiet")</f>
        <v>Isqfijiet</v>
      </c>
    </row>
    <row r="11366" ht="15.75" customHeight="1">
      <c r="A11366" s="2" t="s">
        <v>11366</v>
      </c>
      <c r="B11366" s="2" t="str">
        <f>IFERROR(__xludf.DUMMYFUNCTION("GOOGLETRANSLATE(A11366, ""en"", ""mt"")"),"Il-Gżejjer Faroe")</f>
        <v>Il-Gżejjer Faroe</v>
      </c>
    </row>
    <row r="11367" ht="15.75" customHeight="1">
      <c r="A11367" s="2" t="s">
        <v>11367</v>
      </c>
      <c r="B11367" s="2" t="str">
        <f>IFERROR(__xludf.DUMMYFUNCTION("GOOGLETRANSLATE(A11367, ""en"", ""mt"")"),"Il-kitbiet ta ’Luther ċċirkolaw b’mod wiesa’, u laħqu Franza, l-Ingilterra, u l-Italja kmieni mill-1519. Studenti mxarrba lejn Wittenberg biex jisimgħu lil Luther jitkellem. Ippubblika kummentarju qasir dwar Galatin u x-xogħol tiegħu fuq is-Salmi. Din il-"&amp;"parti bikrija tal-karriera ta 'Luther kienet waħda mill-iktar kreattivi u produttivi tiegħu. Tlieta mix-xogħlijiet l-iktar magħrufa tiegħu ġew ippubblikati fl-1520: għan-nobbli Nisranija tan-nazzjon Ġermaniż, fuq il-magħluq Babilonjan tal-knisja, u fuq il"&amp;"-libertà ta 'Nisrani.")</f>
        <v>Il-kitbiet ta ’Luther ċċirkolaw b’mod wiesa’, u laħqu Franza, l-Ingilterra, u l-Italja kmieni mill-1519. Studenti mxarrba lejn Wittenberg biex jisimgħu lil Luther jitkellem. Ippubblika kummentarju qasir dwar Galatin u x-xogħol tiegħu fuq is-Salmi. Din il-parti bikrija tal-karriera ta 'Luther kienet waħda mill-iktar kreattivi u produttivi tiegħu. Tlieta mix-xogħlijiet l-iktar magħrufa tiegħu ġew ippubblikati fl-1520: għan-nobbli Nisranija tan-nazzjon Ġermaniż, fuq il-magħluq Babilonjan tal-knisja, u fuq il-libertà ta 'Nisrani.</v>
      </c>
    </row>
    <row r="11368" ht="15.75" customHeight="1">
      <c r="A11368" s="2" t="s">
        <v>11368</v>
      </c>
      <c r="B11368" s="2" t="str">
        <f>IFERROR(__xludf.DUMMYFUNCTION("GOOGLETRANSLATE(A11368, ""en"", ""mt"")"),"l-eżekuttiv tat-trasport tal-passiġġieri Tyne u jilbes")</f>
        <v>l-eżekuttiv tat-trasport tal-passiġġieri Tyne u jilbes</v>
      </c>
    </row>
    <row r="11369" ht="15.75" customHeight="1">
      <c r="A11369" s="2" t="s">
        <v>11369</v>
      </c>
      <c r="B11369" s="2" t="str">
        <f>IFERROR(__xludf.DUMMYFUNCTION("GOOGLETRANSLATE(A11369, ""en"", ""mt"")"),"Harvard Yard")</f>
        <v>Harvard Yard</v>
      </c>
    </row>
    <row r="11370" ht="15.75" customHeight="1">
      <c r="A11370" s="2" t="s">
        <v>11370</v>
      </c>
      <c r="B11370" s="2" t="str">
        <f>IFERROR(__xludf.DUMMYFUNCTION("GOOGLETRANSLATE(A11370, ""en"", ""mt"")"),"X'kienet ix-xejra tal-popolazzjoni ta 'studenti femminili mis-snin sebgħin u Deyond?")</f>
        <v>X'kienet ix-xejra tal-popolazzjoni ta 'studenti femminili mis-snin sebgħin u Deyond?</v>
      </c>
    </row>
    <row r="11371" ht="15.75" customHeight="1">
      <c r="A11371" s="2" t="s">
        <v>11371</v>
      </c>
      <c r="B11371" s="2" t="str">
        <f>IFERROR(__xludf.DUMMYFUNCTION("GOOGLETRANSLATE(A11371, ""en"", ""mt"")"),"Manning kien l-għażla numru wieħed f'liema abbozz?")</f>
        <v>Manning kien l-għażla numru wieħed f'liema abbozz?</v>
      </c>
    </row>
    <row r="11372" ht="15.75" customHeight="1">
      <c r="A11372" s="2" t="s">
        <v>11372</v>
      </c>
      <c r="B11372" s="2" t="str">
        <f>IFERROR(__xludf.DUMMYFUNCTION("GOOGLETRANSLATE(A11372, ""en"", ""mt"")"),"plastid li nieqes mill-klorofilla")</f>
        <v>plastid li nieqes mill-klorofilla</v>
      </c>
    </row>
    <row r="11373" ht="15.75" customHeight="1">
      <c r="A11373" s="2" t="s">
        <v>11373</v>
      </c>
      <c r="B11373" s="2" t="str">
        <f>IFERROR(__xludf.DUMMYFUNCTION("GOOGLETRANSLATE(A11373, ""en"", ""mt"")"),"fl-1185")</f>
        <v>fl-1185</v>
      </c>
    </row>
    <row r="11374" ht="15.75" customHeight="1">
      <c r="A11374" s="2" t="s">
        <v>11374</v>
      </c>
      <c r="B11374" s="2" t="str">
        <f>IFERROR(__xludf.DUMMYFUNCTION("GOOGLETRANSLATE(A11374, ""en"", ""mt"")"),"Xi tirrifletti t-taħlita ta 'stili arkitettoniċi ta' Varsavja?")</f>
        <v>Xi tirrifletti t-taħlita ta 'stili arkitettoniċi ta' Varsavja?</v>
      </c>
    </row>
    <row r="11375" ht="15.75" customHeight="1">
      <c r="A11375" s="2" t="s">
        <v>11375</v>
      </c>
      <c r="B11375" s="2" t="str">
        <f>IFERROR(__xludf.DUMMYFUNCTION("GOOGLETRANSLATE(A11375, ""en"", ""mt"")"),"mogħtija awtorità sagramentali")</f>
        <v>mogħtija awtorità sagramentali</v>
      </c>
    </row>
    <row r="11376" ht="15.75" customHeight="1">
      <c r="A11376" s="2" t="s">
        <v>11376</v>
      </c>
      <c r="B11376" s="2" t="str">
        <f>IFERROR(__xludf.DUMMYFUNCTION("GOOGLETRANSLATE(A11376, ""en"", ""mt"")"),"ribelljoni")</f>
        <v>ribelljoni</v>
      </c>
    </row>
    <row r="11377" ht="15.75" customHeight="1">
      <c r="A11377" s="2" t="s">
        <v>11377</v>
      </c>
      <c r="B11377" s="2" t="str">
        <f>IFERROR(__xludf.DUMMYFUNCTION("GOOGLETRANSLATE(A11377, ""en"", ""mt"")"),"Avveniment ewlieni")</f>
        <v>Avveniment ewlieni</v>
      </c>
    </row>
    <row r="11378" ht="15.75" customHeight="1">
      <c r="A11378" s="2" t="s">
        <v>11378</v>
      </c>
      <c r="B11378" s="2" t="str">
        <f>IFERROR(__xludf.DUMMYFUNCTION("GOOGLETRANSLATE(A11378, ""en"", ""mt"")"),"Cape Town")</f>
        <v>Cape Town</v>
      </c>
    </row>
    <row r="11379" ht="15.75" customHeight="1">
      <c r="A11379" s="2" t="s">
        <v>11379</v>
      </c>
      <c r="B11379" s="2" t="str">
        <f>IFERROR(__xludf.DUMMYFUNCTION("GOOGLETRANSLATE(A11379, ""en"", ""mt"")"),"Meta ġie ppubblikat ir-Raba 'Valutazzjoni tal-IPCC?")</f>
        <v>Meta ġie ppubblikat ir-Raba 'Valutazzjoni tal-IPCC?</v>
      </c>
    </row>
    <row r="11380" ht="15.75" customHeight="1">
      <c r="A11380" s="2" t="s">
        <v>11380</v>
      </c>
      <c r="B11380" s="2" t="str">
        <f>IFERROR(__xludf.DUMMYFUNCTION("GOOGLETRANSLATE(A11380, ""en"", ""mt"")"),"X'żieda li żdiedet iċ-ċittadinanza tal-UE?")</f>
        <v>X'żieda li żdiedet iċ-ċittadinanza tal-UE?</v>
      </c>
    </row>
    <row r="11381" ht="15.75" customHeight="1">
      <c r="A11381" s="2" t="s">
        <v>11381</v>
      </c>
      <c r="B11381" s="2" t="str">
        <f>IFERROR(__xludf.DUMMYFUNCTION("GOOGLETRANSLATE(A11381, ""en"", ""mt"")"),"Soċjetajiet Ġeografiċi fl-Ewropa")</f>
        <v>Soċjetajiet Ġeografiċi fl-Ewropa</v>
      </c>
    </row>
    <row r="11382" ht="15.75" customHeight="1">
      <c r="A11382" s="2" t="s">
        <v>11382</v>
      </c>
      <c r="B11382" s="2" t="str">
        <f>IFERROR(__xludf.DUMMYFUNCTION("GOOGLETRANSLATE(A11382, ""en"", ""mt"")"),"Korporazzjoni tax-Xandir Awstraljana")</f>
        <v>Korporazzjoni tax-Xandir Awstraljana</v>
      </c>
    </row>
    <row r="11383" ht="15.75" customHeight="1">
      <c r="A11383" s="2" t="s">
        <v>11383</v>
      </c>
      <c r="B11383" s="2" t="str">
        <f>IFERROR(__xludf.DUMMYFUNCTION("GOOGLETRANSLATE(A11383, ""en"", ""mt"")"),"kompetizzjoni bejn il-ħaddiema")</f>
        <v>kompetizzjoni bejn il-ħaddiema</v>
      </c>
    </row>
    <row r="11384" ht="15.75" customHeight="1">
      <c r="A11384" s="2" t="s">
        <v>11384</v>
      </c>
      <c r="B11384" s="2" t="str">
        <f>IFERROR(__xludf.DUMMYFUNCTION("GOOGLETRANSLATE(A11384, ""en"", ""mt"")"),"X'inhu l-isem ta 'tip wieħed ta' test tal-primalità moderna?")</f>
        <v>X'inhu l-isem ta 'tip wieħed ta' test tal-primalità moderna?</v>
      </c>
    </row>
    <row r="11385" ht="15.75" customHeight="1">
      <c r="A11385" s="2" t="s">
        <v>11385</v>
      </c>
      <c r="B11385" s="2" t="str">
        <f>IFERROR(__xludf.DUMMYFUNCTION("GOOGLETRANSLATE(A11385, ""en"", ""mt"")"),"X'kienet l-okkupazzjoni ta 'missier Tesla?")</f>
        <v>X'kienet l-okkupazzjoni ta 'missier Tesla?</v>
      </c>
    </row>
    <row r="11386" ht="15.75" customHeight="1">
      <c r="A11386" s="2" t="s">
        <v>11386</v>
      </c>
      <c r="B11386" s="2" t="str">
        <f>IFERROR(__xludf.DUMMYFUNCTION("GOOGLETRANSLATE(A11386, ""en"", ""mt"")"),"Meta l-bennejja jitolbu ftit flus biex jitlestew il-proġett")</f>
        <v>Meta l-bennejja jitolbu ftit flus biex jitlestew il-proġett</v>
      </c>
    </row>
    <row r="11387" ht="15.75" customHeight="1">
      <c r="A11387" s="2" t="s">
        <v>11387</v>
      </c>
      <c r="B11387" s="2" t="str">
        <f>IFERROR(__xludf.DUMMYFUNCTION("GOOGLETRANSLATE(A11387, ""en"", ""mt"")"),"Royal")</f>
        <v>Royal</v>
      </c>
    </row>
    <row r="11388" ht="15.75" customHeight="1">
      <c r="A11388" s="2" t="s">
        <v>11388</v>
      </c>
      <c r="B11388" s="2" t="str">
        <f>IFERROR(__xludf.DUMMYFUNCTION("GOOGLETRANSLATE(A11388, ""en"", ""mt"")"),"Release malajr, bieb tal-ftuħ 'il barra")</f>
        <v>Release malajr, bieb tal-ftuħ 'il barra</v>
      </c>
    </row>
    <row r="11389" ht="15.75" customHeight="1">
      <c r="A11389" s="2" t="s">
        <v>11389</v>
      </c>
      <c r="B11389" s="2" t="str">
        <f>IFERROR(__xludf.DUMMYFUNCTION("GOOGLETRANSLATE(A11389, ""en"", ""mt"")"),"bejn wieħed u ieħor sferiku u rifrazzjoni ħafna")</f>
        <v>bejn wieħed u ieħor sferiku u rifrazzjoni ħafna</v>
      </c>
    </row>
    <row r="11390" ht="15.75" customHeight="1">
      <c r="A11390" s="2" t="s">
        <v>11390</v>
      </c>
      <c r="B11390" s="2" t="str">
        <f>IFERROR(__xludf.DUMMYFUNCTION("GOOGLETRANSLATE(A11390, ""en"", ""mt"")"),"9 ta ’Marzu 1508")</f>
        <v>9 ta ’Marzu 1508</v>
      </c>
    </row>
    <row r="11391" ht="15.75" customHeight="1">
      <c r="A11391" s="2" t="s">
        <v>11391</v>
      </c>
      <c r="B11391" s="2" t="str">
        <f>IFERROR(__xludf.DUMMYFUNCTION("GOOGLETRANSLATE(A11391, ""en"", ""mt"")"),"Algoritmu RSA")</f>
        <v>Algoritmu RSA</v>
      </c>
    </row>
    <row r="11392" ht="15.75" customHeight="1">
      <c r="A11392" s="2" t="s">
        <v>11392</v>
      </c>
      <c r="B11392" s="2" t="str">
        <f>IFERROR(__xludf.DUMMYFUNCTION("GOOGLETRANSLATE(A11392, ""en"", ""mt"")"),"Min inġieb biex jaħdem fuq il-mużew wara l-mewt tal-Kaptan Francis Fowke?")</f>
        <v>Min inġieb biex jaħdem fuq il-mużew wara l-mewt tal-Kaptan Francis Fowke?</v>
      </c>
    </row>
    <row r="11393" ht="15.75" customHeight="1">
      <c r="A11393" s="2" t="s">
        <v>11393</v>
      </c>
      <c r="B11393" s="2" t="str">
        <f>IFERROR(__xludf.DUMMYFUNCTION("GOOGLETRANSLATE(A11393, ""en"", ""mt"")"),"Ħsara fil-ġilda")</f>
        <v>Ħsara fil-ġilda</v>
      </c>
    </row>
    <row r="11394" ht="15.75" customHeight="1">
      <c r="A11394" s="2" t="s">
        <v>11394</v>
      </c>
      <c r="B11394" s="2" t="str">
        <f>IFERROR(__xludf.DUMMYFUNCTION("GOOGLETRANSLATE(A11394, ""en"", ""mt"")"),"Min ipprovda diskussjoni filosofika tal-forza?")</f>
        <v>Min ipprovda diskussjoni filosofika tal-forza?</v>
      </c>
    </row>
    <row r="11395" ht="15.75" customHeight="1">
      <c r="A11395" s="2" t="s">
        <v>11395</v>
      </c>
      <c r="B11395" s="2" t="str">
        <f>IFERROR(__xludf.DUMMYFUNCTION("GOOGLETRANSLATE(A11395, ""en"", ""mt"")"),"Liema stazzjon tar-radju jinsab f'103.5fm fuq il-kwadrant f'Denver?")</f>
        <v>Liema stazzjon tar-radju jinsab f'103.5fm fuq il-kwadrant f'Denver?</v>
      </c>
    </row>
    <row r="11396" ht="15.75" customHeight="1">
      <c r="A11396" s="2" t="s">
        <v>11396</v>
      </c>
      <c r="B11396" s="2" t="str">
        <f>IFERROR(__xludf.DUMMYFUNCTION("GOOGLETRANSLATE(A11396, ""en"", ""mt"")"),"Għaxar darbiet aktar")</f>
        <v>Għaxar darbiet aktar</v>
      </c>
    </row>
    <row r="11397" ht="15.75" customHeight="1">
      <c r="A11397" s="2" t="s">
        <v>11397</v>
      </c>
      <c r="B11397" s="2" t="str">
        <f>IFERROR(__xludf.DUMMYFUNCTION("GOOGLETRANSLATE(A11397, ""en"", ""mt"")"),"kiseb il-libertajiet demokratiċi")</f>
        <v>kiseb il-libertajiet demokratiċi</v>
      </c>
    </row>
    <row r="11398" ht="15.75" customHeight="1">
      <c r="A11398" s="2" t="s">
        <v>11398</v>
      </c>
      <c r="B11398" s="2" t="str">
        <f>IFERROR(__xludf.DUMMYFUNCTION("GOOGLETRANSLATE(A11398, ""en"", ""mt"")"),"Liema batterji tal-ikel huma eżempju ta 'patoġenesi intraċellulari?")</f>
        <v>Liema batterji tal-ikel huma eżempju ta 'patoġenesi intraċellulari?</v>
      </c>
    </row>
    <row r="11399" ht="15.75" customHeight="1">
      <c r="A11399" s="2" t="s">
        <v>11399</v>
      </c>
      <c r="B11399" s="2" t="str">
        <f>IFERROR(__xludf.DUMMYFUNCTION("GOOGLETRANSLATE(A11399, ""en"", ""mt"")"),"Rivera")</f>
        <v>Rivera</v>
      </c>
    </row>
    <row r="11400" ht="15.75" customHeight="1">
      <c r="A11400" s="2" t="s">
        <v>11400</v>
      </c>
      <c r="B11400" s="2" t="str">
        <f>IFERROR(__xludf.DUMMYFUNCTION("GOOGLETRANSLATE(A11400, ""en"", ""mt"")"),"Proposta tal-Kummissjoni")</f>
        <v>Proposta tal-Kummissjoni</v>
      </c>
    </row>
    <row r="11401" ht="15.75" customHeight="1">
      <c r="A11401" s="2" t="s">
        <v>11401</v>
      </c>
      <c r="B11401" s="2" t="str">
        <f>IFERROR(__xludf.DUMMYFUNCTION("GOOGLETRANSLATE(A11401, ""en"", ""mt"")"),"Il-Bureau tal-Affarijiet Buddisti u Tibetani")</f>
        <v>Il-Bureau tal-Affarijiet Buddisti u Tibetani</v>
      </c>
    </row>
    <row r="11402" ht="15.75" customHeight="1">
      <c r="A11402" s="2" t="s">
        <v>11402</v>
      </c>
      <c r="B11402" s="2" t="str">
        <f>IFERROR(__xludf.DUMMYFUNCTION("GOOGLETRANSLATE(A11402, ""en"", ""mt"")"),"74 fil-mija, jew 260 mill-352 vot")</f>
        <v>74 fil-mija, jew 260 mill-352 vot</v>
      </c>
    </row>
    <row r="11403" ht="15.75" customHeight="1">
      <c r="A11403" s="2" t="s">
        <v>11403</v>
      </c>
      <c r="B11403" s="2" t="str">
        <f>IFERROR(__xludf.DUMMYFUNCTION("GOOGLETRANSLATE(A11403, ""en"", ""mt"")"),"Meta kienu l-ewwel kotba ta 'Doctor Who Books disponibbli?")</f>
        <v>Meta kienu l-ewwel kotba ta 'Doctor Who Books disponibbli?</v>
      </c>
    </row>
    <row r="11404" ht="15.75" customHeight="1">
      <c r="A11404" s="2" t="s">
        <v>11404</v>
      </c>
      <c r="B11404" s="2" t="str">
        <f>IFERROR(__xludf.DUMMYFUNCTION("GOOGLETRANSLATE(A11404, ""en"", ""mt"")"),"ċediment jew il-possedimenti kontinentali tal-Amerika ta ’Fuq fil-lvant tal-Mississippi jew il-gżejjer tal-Karibew ta’ Guadeloupe u Martinique")</f>
        <v>ċediment jew il-possedimenti kontinentali tal-Amerika ta ’Fuq fil-lvant tal-Mississippi jew il-gżejjer tal-Karibew ta’ Guadeloupe u Martinique</v>
      </c>
    </row>
    <row r="11405" ht="15.75" customHeight="1">
      <c r="A11405" s="2" t="s">
        <v>11405</v>
      </c>
      <c r="B11405" s="2" t="str">
        <f>IFERROR(__xludf.DUMMYFUNCTION("GOOGLETRANSLATE(A11405, ""en"", ""mt"")"),"2.2 pulzieri")</f>
        <v>2.2 pulzieri</v>
      </c>
    </row>
    <row r="11406" ht="15.75" customHeight="1">
      <c r="A11406" s="2" t="s">
        <v>11406</v>
      </c>
      <c r="B11406" s="2" t="str">
        <f>IFERROR(__xludf.DUMMYFUNCTION("GOOGLETRANSLATE(A11406, ""en"", ""mt"")"),"Min kien responsabbli għad-dekorazzjonijiet tal-kamra ta 'refreshment taċ-ċentru?")</f>
        <v>Min kien responsabbli għad-dekorazzjonijiet tal-kamra ta 'refreshment taċ-ċentru?</v>
      </c>
    </row>
    <row r="11407" ht="15.75" customHeight="1">
      <c r="A11407" s="2" t="s">
        <v>11407</v>
      </c>
      <c r="B11407" s="2" t="str">
        <f>IFERROR(__xludf.DUMMYFUNCTION("GOOGLETRANSLATE(A11407, ""en"", ""mt"")"),"id-deżert tad-distrett ta 'Maine u' l isfel fix-xmara Chaudière")</f>
        <v>id-deżert tad-distrett ta 'Maine u' l isfel fix-xmara Chaudière</v>
      </c>
    </row>
    <row r="11408" ht="15.75" customHeight="1">
      <c r="A11408" s="2" t="s">
        <v>11408</v>
      </c>
      <c r="B11408" s="2" t="str">
        <f>IFERROR(__xludf.DUMMYFUNCTION("GOOGLETRANSLATE(A11408, ""en"", ""mt"")"),"Digi")</f>
        <v>Digi</v>
      </c>
    </row>
    <row r="11409" ht="15.75" customHeight="1">
      <c r="A11409" s="2" t="s">
        <v>11409</v>
      </c>
      <c r="B11409" s="2" t="str">
        <f>IFERROR(__xludf.DUMMYFUNCTION("GOOGLETRANSLATE(A11409, ""en"", ""mt"")"),"It-taħlit ma kienx popolari fil-kostruzzjoni ta 'liema magni?")</f>
        <v>It-taħlit ma kienx popolari fil-kostruzzjoni ta 'liema magni?</v>
      </c>
    </row>
    <row r="11410" ht="15.75" customHeight="1">
      <c r="A11410" s="2" t="s">
        <v>11410</v>
      </c>
      <c r="B11410" s="2" t="str">
        <f>IFERROR(__xludf.DUMMYFUNCTION("GOOGLETRANSLATE(A11410, ""en"", ""mt"")"),"$ 20,000")</f>
        <v>$ 20,000</v>
      </c>
    </row>
    <row r="11411" ht="15.75" customHeight="1">
      <c r="A11411" s="2" t="s">
        <v>11411</v>
      </c>
      <c r="B11411" s="2" t="str">
        <f>IFERROR(__xludf.DUMMYFUNCTION("GOOGLETRANSLATE(A11411, ""en"", ""mt"")"),"negattiv fit-tul")</f>
        <v>negattiv fit-tul</v>
      </c>
    </row>
    <row r="11412" ht="15.75" customHeight="1">
      <c r="A11412" s="2" t="s">
        <v>11412</v>
      </c>
      <c r="B11412" s="2" t="str">
        <f>IFERROR(__xludf.DUMMYFUNCTION("GOOGLETRANSLATE(A11412, ""en"", ""mt"")"),"Espansjoni Tripla tal-Baħar")</f>
        <v>Espansjoni Tripla tal-Baħar</v>
      </c>
    </row>
    <row r="11413" ht="15.75" customHeight="1">
      <c r="A11413" s="2" t="s">
        <v>11413</v>
      </c>
      <c r="B11413" s="2" t="str">
        <f>IFERROR(__xludf.DUMMYFUNCTION("GOOGLETRANSLATE(A11413, ""en"", ""mt"")"),"X'każ tal-qorti desegregated skejjel fl-Istati Uniti?")</f>
        <v>X'każ tal-qorti desegregated skejjel fl-Istati Uniti?</v>
      </c>
    </row>
    <row r="11414" ht="15.75" customHeight="1">
      <c r="A11414" s="2" t="s">
        <v>11414</v>
      </c>
      <c r="B11414" s="2" t="str">
        <f>IFERROR(__xludf.DUMMYFUNCTION("GOOGLETRANSLATE(A11414, ""en"", ""mt"")"),"Biex tissorvelja liema avveniment il-kejl tar-radjazzjoni mill-veġetazzjoni jipprovdi informazzjoni?")</f>
        <v>Biex tissorvelja liema avveniment il-kejl tar-radjazzjoni mill-veġetazzjoni jipprovdi informazzjoni?</v>
      </c>
    </row>
    <row r="11415" ht="15.75" customHeight="1">
      <c r="A11415" s="2" t="s">
        <v>11415</v>
      </c>
      <c r="B11415" s="2" t="str">
        <f>IFERROR(__xludf.DUMMYFUNCTION("GOOGLETRANSLATE(A11415, ""en"", ""mt"")"),"lura lejn New York fost aħbarijiet li seħħ massakru fil-Fort William Henry.")</f>
        <v>lura lejn New York fost aħbarijiet li seħħ massakru fil-Fort William Henry.</v>
      </c>
    </row>
    <row r="11416" ht="15.75" customHeight="1">
      <c r="A11416" s="2" t="s">
        <v>11416</v>
      </c>
      <c r="B11416" s="2" t="str">
        <f>IFERROR(__xludf.DUMMYFUNCTION("GOOGLETRANSLATE(A11416, ""en"", ""mt"")"),"8")</f>
        <v>8</v>
      </c>
    </row>
    <row r="11417" ht="15.75" customHeight="1">
      <c r="A11417" s="2" t="s">
        <v>11417</v>
      </c>
      <c r="B11417" s="2" t="str">
        <f>IFERROR(__xludf.DUMMYFUNCTION("GOOGLETRANSLATE(A11417, ""en"", ""mt"")"),"Għal xiex tispikka l-VBNS")</f>
        <v>Għal xiex tispikka l-VBNS</v>
      </c>
    </row>
    <row r="11418" ht="15.75" customHeight="1">
      <c r="A11418" s="2" t="s">
        <v>11418</v>
      </c>
      <c r="B11418" s="2" t="str">
        <f>IFERROR(__xludf.DUMMYFUNCTION("GOOGLETRANSLATE(A11418, ""en"", ""mt"")"),"Charles W. Eliot")</f>
        <v>Charles W. Eliot</v>
      </c>
    </row>
    <row r="11419" ht="15.75" customHeight="1">
      <c r="A11419" s="2" t="s">
        <v>11419</v>
      </c>
      <c r="B11419" s="2" t="str">
        <f>IFERROR(__xludf.DUMMYFUNCTION("GOOGLETRANSLATE(A11419, ""en"", ""mt"")"),"F'liema sena kkaratterizza Edmond bħala algoritmu ""tajjeb""?")</f>
        <v>F'liema sena kkaratterizza Edmond bħala algoritmu "tajjeb"?</v>
      </c>
    </row>
    <row r="11420" ht="15.75" customHeight="1">
      <c r="A11420" s="2" t="s">
        <v>11420</v>
      </c>
      <c r="B11420" s="2" t="str">
        <f>IFERROR(__xludf.DUMMYFUNCTION("GOOGLETRANSLATE(A11420, ""en"", ""mt"")"),"filgħaxija")</f>
        <v>filgħaxija</v>
      </c>
    </row>
    <row r="11421" ht="15.75" customHeight="1">
      <c r="A11421" s="2" t="s">
        <v>11421</v>
      </c>
      <c r="B11421" s="2" t="str">
        <f>IFERROR(__xludf.DUMMYFUNCTION("GOOGLETRANSLATE(A11421, ""en"", ""mt"")"),"Uġigħ fis-sider")</f>
        <v>Uġigħ fis-sider</v>
      </c>
    </row>
    <row r="11422" ht="15.75" customHeight="1">
      <c r="A11422" s="2" t="s">
        <v>11422</v>
      </c>
      <c r="B11422" s="2" t="str">
        <f>IFERROR(__xludf.DUMMYFUNCTION("GOOGLETRANSLATE(A11422, ""en"", ""mt"")"),"Meta kienet il-Gwerra Franċiża u Indjana?")</f>
        <v>Meta kienet il-Gwerra Franċiża u Indjana?</v>
      </c>
    </row>
    <row r="11423" ht="15.75" customHeight="1">
      <c r="A11423" s="2" t="s">
        <v>11423</v>
      </c>
      <c r="B11423" s="2" t="str">
        <f>IFERROR(__xludf.DUMMYFUNCTION("GOOGLETRANSLATE(A11423, ""en"", ""mt"")"),"Juża meraq tal-għeneb mhux iffermentat")</f>
        <v>Juża meraq tal-għeneb mhux iffermentat</v>
      </c>
    </row>
    <row r="11424" ht="15.75" customHeight="1">
      <c r="A11424" s="2" t="s">
        <v>11424</v>
      </c>
      <c r="B11424" s="2" t="str">
        <f>IFERROR(__xludf.DUMMYFUNCTION("GOOGLETRANSLATE(A11424, ""en"", ""mt"")"),"aħmar")</f>
        <v>aħmar</v>
      </c>
    </row>
    <row r="11425" ht="15.75" customHeight="1">
      <c r="A11425" s="2" t="s">
        <v>11425</v>
      </c>
      <c r="B11425" s="2" t="str">
        <f>IFERROR(__xludf.DUMMYFUNCTION("GOOGLETRANSLATE(A11425, ""en"", ""mt"")"),"X'inhuma l-apicomplexans simili għal?")</f>
        <v>X'inhuma l-apicomplexans simili għal?</v>
      </c>
    </row>
    <row r="11426" ht="15.75" customHeight="1">
      <c r="A11426" s="2" t="s">
        <v>11426</v>
      </c>
      <c r="B11426" s="2" t="str">
        <f>IFERROR(__xludf.DUMMYFUNCTION("GOOGLETRANSLATE(A11426, ""en"", ""mt"")"),"Uffiċċju tal-Prinċipal.")</f>
        <v>Uffiċċju tal-Prinċipal.</v>
      </c>
    </row>
    <row r="11427" ht="15.75" customHeight="1">
      <c r="A11427" s="2" t="s">
        <v>11427</v>
      </c>
      <c r="B11427" s="2" t="str">
        <f>IFERROR(__xludf.DUMMYFUNCTION("GOOGLETRANSLATE(A11427, ""en"", ""mt"")"),"8.4%")</f>
        <v>8.4%</v>
      </c>
    </row>
    <row r="11428" ht="15.75" customHeight="1">
      <c r="A11428" s="2" t="s">
        <v>11428</v>
      </c>
      <c r="B11428" s="2" t="str">
        <f>IFERROR(__xludf.DUMMYFUNCTION("GOOGLETRANSLATE(A11428, ""en"", ""mt"")"),"annimali u bnedmin iwettqu diversi azzjonijiet")</f>
        <v>annimali u bnedmin iwettqu diversi azzjonijiet</v>
      </c>
    </row>
    <row r="11429" ht="15.75" customHeight="1">
      <c r="A11429" s="2" t="s">
        <v>11429</v>
      </c>
      <c r="B11429" s="2" t="str">
        <f>IFERROR(__xludf.DUMMYFUNCTION("GOOGLETRANSLATE(A11429, ""en"", ""mt"")"),"F'liema belt jinsab iċ-Ċentru Moscone?")</f>
        <v>F'liema belt jinsab iċ-Ċentru Moscone?</v>
      </c>
    </row>
    <row r="11430" ht="15.75" customHeight="1">
      <c r="A11430" s="2" t="s">
        <v>11430</v>
      </c>
      <c r="B11430" s="2" t="str">
        <f>IFERROR(__xludf.DUMMYFUNCTION("GOOGLETRANSLATE(A11430, ""en"", ""mt"")"),"Fejn Luther ipoġġi s-salvazzjoni?")</f>
        <v>Fejn Luther ipoġġi s-salvazzjoni?</v>
      </c>
    </row>
    <row r="11431" ht="15.75" customHeight="1">
      <c r="A11431" s="2" t="s">
        <v>11431</v>
      </c>
      <c r="B11431" s="2" t="str">
        <f>IFERROR(__xludf.DUMMYFUNCTION("GOOGLETRANSLATE(A11431, ""en"", ""mt"")"),"mitluba miż-żewġ naħat")</f>
        <v>mitluba miż-żewġ naħat</v>
      </c>
    </row>
    <row r="11432" ht="15.75" customHeight="1">
      <c r="A11432" s="2" t="s">
        <v>11432</v>
      </c>
      <c r="B11432" s="2" t="str">
        <f>IFERROR(__xludf.DUMMYFUNCTION("GOOGLETRANSLATE(A11432, ""en"", ""mt"")"),"Awtoritajiet sekulari")</f>
        <v>Awtoritajiet sekulari</v>
      </c>
    </row>
    <row r="11433" ht="15.75" customHeight="1">
      <c r="A11433" s="2" t="s">
        <v>11433</v>
      </c>
      <c r="B11433" s="2" t="str">
        <f>IFERROR(__xludf.DUMMYFUNCTION("GOOGLETRANSLATE(A11433, ""en"", ""mt"")"),"4 ġimgħat")</f>
        <v>4 ġimgħat</v>
      </c>
    </row>
    <row r="11434" ht="15.75" customHeight="1">
      <c r="A11434" s="2" t="s">
        <v>11434</v>
      </c>
      <c r="B11434" s="2" t="str">
        <f>IFERROR(__xludf.DUMMYFUNCTION("GOOGLETRANSLATE(A11434, ""en"", ""mt"")"),"tazza")</f>
        <v>tazza</v>
      </c>
    </row>
    <row r="11435" ht="15.75" customHeight="1">
      <c r="A11435" s="2" t="s">
        <v>11435</v>
      </c>
      <c r="B11435" s="2" t="str">
        <f>IFERROR(__xludf.DUMMYFUNCTION("GOOGLETRANSLATE(A11435, ""en"", ""mt"")"),"X'inhu t-terminu Ġermaniż għas-segregazzjoni ta 'studenti bbażati fuq il-ġid tal-ġenituri tagħhom?")</f>
        <v>X'inhu t-terminu Ġermaniż għas-segregazzjoni ta 'studenti bbażati fuq il-ġid tal-ġenituri tagħhom?</v>
      </c>
    </row>
    <row r="11436" ht="15.75" customHeight="1">
      <c r="A11436" s="2" t="s">
        <v>11436</v>
      </c>
      <c r="B11436" s="2" t="str">
        <f>IFERROR(__xludf.DUMMYFUNCTION("GOOGLETRANSLATE(A11436, ""en"", ""mt"")"),"Kull min għandu għarfien jew ħiliet")</f>
        <v>Kull min għandu għarfien jew ħiliet</v>
      </c>
    </row>
    <row r="11437" ht="15.75" customHeight="1">
      <c r="A11437" s="2" t="s">
        <v>11437</v>
      </c>
      <c r="B11437" s="2" t="str">
        <f>IFERROR(__xludf.DUMMYFUNCTION("GOOGLETRANSLATE(A11437, ""en"", ""mt"")"),"Spiżjara Kliniċi")</f>
        <v>Spiżjara Kliniċi</v>
      </c>
    </row>
    <row r="11438" ht="15.75" customHeight="1">
      <c r="A11438" s="2" t="s">
        <v>11438</v>
      </c>
      <c r="B11438" s="2" t="str">
        <f>IFERROR(__xludf.DUMMYFUNCTION("GOOGLETRANSLATE(A11438, ""en"", ""mt"")"),"X'inhi l-belt ewlenija Amerikana li tinsab l-università?")</f>
        <v>X'inhi l-belt ewlenija Amerikana li tinsab l-università?</v>
      </c>
    </row>
    <row r="11439" ht="15.75" customHeight="1">
      <c r="A11439" s="2" t="s">
        <v>11439</v>
      </c>
      <c r="B11439" s="2" t="str">
        <f>IFERROR(__xludf.DUMMYFUNCTION("GOOGLETRANSLATE(A11439, ""en"", ""mt"")"),"Jekk A u Q huma koprime, liema teorema jqis li progressjoni aritmetika għandha numru infinit ta 'primes?")</f>
        <v>Jekk A u Q huma koprime, liema teorema jqis li progressjoni aritmetika għandha numru infinit ta 'primes?</v>
      </c>
    </row>
    <row r="11440" ht="15.75" customHeight="1">
      <c r="A11440" s="2" t="s">
        <v>11440</v>
      </c>
      <c r="B11440" s="2" t="str">
        <f>IFERROR(__xludf.DUMMYFUNCTION("GOOGLETRANSLATE(A11440, ""en"", ""mt"")"),"Il-partiċelli tal-materja huma murija bħala x'tip ta 'linji fid-dijagramma ta' Feynman?")</f>
        <v>Il-partiċelli tal-materja huma murija bħala x'tip ta 'linji fid-dijagramma ta' Feynman?</v>
      </c>
    </row>
    <row r="11441" ht="15.75" customHeight="1">
      <c r="A11441" s="2" t="s">
        <v>11441</v>
      </c>
      <c r="B11441" s="2" t="str">
        <f>IFERROR(__xludf.DUMMYFUNCTION("GOOGLETRANSLATE(A11441, ""en"", ""mt"")"),"Lil New York City")</f>
        <v>Lil New York City</v>
      </c>
    </row>
    <row r="11442" ht="15.75" customHeight="1">
      <c r="A11442" s="2" t="s">
        <v>11442</v>
      </c>
      <c r="B11442" s="2" t="str">
        <f>IFERROR(__xludf.DUMMYFUNCTION("GOOGLETRANSLATE(A11442, ""en"", ""mt"")"),"ħsara")</f>
        <v>ħsara</v>
      </c>
    </row>
    <row r="11443" ht="15.75" customHeight="1">
      <c r="A11443" s="2" t="s">
        <v>11443</v>
      </c>
      <c r="B11443" s="2" t="str">
        <f>IFERROR(__xludf.DUMMYFUNCTION("GOOGLETRANSLATE(A11443, ""en"", ""mt"")"),"Asinkronikament billi tuża l-ewwel-in, l-ewwel buffering")</f>
        <v>Asinkronikament billi tuża l-ewwel-in, l-ewwel buffering</v>
      </c>
    </row>
    <row r="11444" ht="15.75" customHeight="1">
      <c r="A11444" s="2" t="s">
        <v>11444</v>
      </c>
      <c r="B11444" s="2" t="str">
        <f>IFERROR(__xludf.DUMMYFUNCTION("GOOGLETRANSLATE(A11444, ""en"", ""mt"")"),"Iż-żieda fil-livell tal-baħar attwali kienet 'il fuq mill-parti ta' fuq tal-firxa")</f>
        <v>Iż-żieda fil-livell tal-baħar attwali kienet 'il fuq mill-parti ta' fuq tal-firxa</v>
      </c>
    </row>
    <row r="11445" ht="15.75" customHeight="1">
      <c r="A11445" s="2" t="s">
        <v>11445</v>
      </c>
      <c r="B11445" s="2" t="str">
        <f>IFERROR(__xludf.DUMMYFUNCTION("GOOGLETRANSLATE(A11445, ""en"", ""mt"")"),"grad li fih dawn il-bnadar iżommu l-kuluri oriġinali tagħhom għadu mhux magħruf")</f>
        <v>grad li fih dawn il-bnadar iżommu l-kuluri oriġinali tagħhom għadu mhux magħruf</v>
      </c>
    </row>
    <row r="11446" ht="15.75" customHeight="1">
      <c r="A11446" s="2" t="s">
        <v>11446</v>
      </c>
      <c r="B11446" s="2" t="str">
        <f>IFERROR(__xludf.DUMMYFUNCTION("GOOGLETRANSLATE(A11446, ""en"", ""mt"")"),"Mewġ sismiċi")</f>
        <v>Mewġ sismiċi</v>
      </c>
    </row>
    <row r="11447" ht="15.75" customHeight="1">
      <c r="A11447" s="2" t="s">
        <v>11447</v>
      </c>
      <c r="B11447" s="2" t="str">
        <f>IFERROR(__xludf.DUMMYFUNCTION("GOOGLETRANSLATE(A11447, ""en"", ""mt"")"),"Meta hija l-aħħar darba li ġara l-illandjar tar-ritorn fumble fis-Super Bowl?")</f>
        <v>Meta hija l-aħħar darba li ġara l-illandjar tar-ritorn fumble fis-Super Bowl?</v>
      </c>
    </row>
    <row r="11448" ht="15.75" customHeight="1">
      <c r="A11448" s="2" t="s">
        <v>11448</v>
      </c>
      <c r="B11448" s="2" t="str">
        <f>IFERROR(__xludf.DUMMYFUNCTION("GOOGLETRANSLATE(A11448, ""en"", ""mt"")"),"Gruppi ta 'interess u aġenziji tal-gvern li kienu kkonċernati bl-enerġija ma kinux jaqblu għal min?")</f>
        <v>Gruppi ta 'interess u aġenziji tal-gvern li kienu kkonċernati bl-enerġija ma kinux jaqblu għal min?</v>
      </c>
    </row>
    <row r="11449" ht="15.75" customHeight="1">
      <c r="A11449" s="2" t="s">
        <v>11449</v>
      </c>
      <c r="B11449" s="2" t="str">
        <f>IFERROR(__xludf.DUMMYFUNCTION("GOOGLETRANSLATE(A11449, ""en"", ""mt"")"),"It-tabib rarament jivvjaġġa waħdu u ħafna drabi jġib wieħed jew aktar kumpanji biex jaqsmu dawn l-avventuri. Il-kumpanji tiegħu huma ġeneralment bnedmin, peress li sab faxxinu mal-pjaneta tad-Dinja. Huwa spiss isib avvenimenti li jwaqqfu l-kurżità tiegħu "&amp;"waqt li jipprova jipprevjeni l-forzi tal-ħażen milli jagħmlu ħsara lil nies innoċenti jew ibiddlu l-istorja, billi jużaw biss l-għerf u r-riżorsi minimi tiegħu, bħalma huma t-tornavit soniku versatili tiegħu. Bħala Lord Time, it-tabib għandu l-abbiltà li "&amp;"jirriġenera meta ġismu jkun bil-ħsara mortalment, jieħu dehra u personalità ġdida. It-tabib kiseb bosta għedewwa li jerġgħu jseħħu matul il-vjaġġi tiegħu, inklużi d-Daleks, iċ-Cybermen, u l-Kaptan, ieħor mill-ġdid ta 'Time Lord.")</f>
        <v>It-tabib rarament jivvjaġġa waħdu u ħafna drabi jġib wieħed jew aktar kumpanji biex jaqsmu dawn l-avventuri. Il-kumpanji tiegħu huma ġeneralment bnedmin, peress li sab faxxinu mal-pjaneta tad-Dinja. Huwa spiss isib avvenimenti li jwaqqfu l-kurżità tiegħu waqt li jipprova jipprevjeni l-forzi tal-ħażen milli jagħmlu ħsara lil nies innoċenti jew ibiddlu l-istorja, billi jużaw biss l-għerf u r-riżorsi minimi tiegħu, bħalma huma t-tornavit soniku versatili tiegħu. Bħala Lord Time, it-tabib għandu l-abbiltà li jirriġenera meta ġismu jkun bil-ħsara mortalment, jieħu dehra u personalità ġdida. It-tabib kiseb bosta għedewwa li jerġgħu jseħħu matul il-vjaġġi tiegħu, inklużi d-Daleks, iċ-Cybermen, u l-Kaptan, ieħor mill-ġdid ta 'Time Lord.</v>
      </c>
    </row>
    <row r="11450" ht="15.75" customHeight="1">
      <c r="A11450" s="2" t="s">
        <v>11450</v>
      </c>
      <c r="B11450" s="2" t="str">
        <f>IFERROR(__xludf.DUMMYFUNCTION("GOOGLETRANSLATE(A11450, ""en"", ""mt"")"),"Greg Olsen")</f>
        <v>Greg Olsen</v>
      </c>
    </row>
    <row r="11451" ht="15.75" customHeight="1">
      <c r="A11451" s="2" t="s">
        <v>11451</v>
      </c>
      <c r="B11451" s="2" t="str">
        <f>IFERROR(__xludf.DUMMYFUNCTION("GOOGLETRANSLATE(A11451, ""en"", ""mt"")"),"Liema dixxendent ta 'Genghis Khan huwa mfakkar bħala li rriunifika ċ-Ċina?")</f>
        <v>Liema dixxendent ta 'Genghis Khan huwa mfakkar bħala li rriunifika ċ-Ċina?</v>
      </c>
    </row>
    <row r="11452" ht="15.75" customHeight="1">
      <c r="A11452" s="2" t="s">
        <v>11452</v>
      </c>
      <c r="B11452" s="2" t="str">
        <f>IFERROR(__xludf.DUMMYFUNCTION("GOOGLETRANSLATE(A11452, ""en"", ""mt"")"),"438,000")</f>
        <v>438,000</v>
      </c>
    </row>
    <row r="11453" ht="15.75" customHeight="1">
      <c r="A11453" s="2" t="s">
        <v>11453</v>
      </c>
      <c r="B11453" s="2" t="str">
        <f>IFERROR(__xludf.DUMMYFUNCTION("GOOGLETRANSLATE(A11453, ""en"", ""mt"")"),"F’Settembru 1760, u qabel ma faqqgħet xi ostilitajiet, il-Gvernatur Vaudreuil innegozja minn Montreal a kapitolazzjoni mal-Ġeneral Amherst. Amherst ingħatat it-talba ta 'Vaudreuil li kull resident Franċiż li għażel li jibqa' fil-kolonja jingħata l-libertà"&amp;" li jkompli jadura fit-tradizzjoni Kattolika Rumana tagħhom, kompla s-sjieda tal-propjetà tagħhom, u d-dritt li jibqgħu mhux disturbati fi djarhom. Il-Brittaniċi pprovdew trattament mediku għas-suldati Franċiżi morda u midruba u truppi regolari Franċiżi ġ"&amp;"ew mibgħuta lura lejn Franza abbord il-vapuri Ingliżi bi ftehim li ma kellhomx iservu mill-ġdid fil-gwerra preżenti.")</f>
        <v>F’Settembru 1760, u qabel ma faqqgħet xi ostilitajiet, il-Gvernatur Vaudreuil innegozja minn Montreal a kapitolazzjoni mal-Ġeneral Amherst. Amherst ingħatat it-talba ta 'Vaudreuil li kull resident Franċiż li għażel li jibqa' fil-kolonja jingħata l-libertà li jkompli jadura fit-tradizzjoni Kattolika Rumana tagħhom, kompla s-sjieda tal-propjetà tagħhom, u d-dritt li jibqgħu mhux disturbati fi djarhom. Il-Brittaniċi pprovdew trattament mediku għas-suldati Franċiżi morda u midruba u truppi regolari Franċiżi ġew mibgħuta lura lejn Franza abbord il-vapuri Ingliżi bi ftehim li ma kellhomx iservu mill-ġdid fil-gwerra preżenti.</v>
      </c>
    </row>
    <row r="11454" ht="15.75" customHeight="1">
      <c r="A11454" s="2" t="s">
        <v>11454</v>
      </c>
      <c r="B11454" s="2" t="str">
        <f>IFERROR(__xludf.DUMMYFUNCTION("GOOGLETRANSLATE(A11454, ""en"", ""mt"")"),"Enerġiji interni tas-sistema")</f>
        <v>Enerġiji interni tas-sistema</v>
      </c>
    </row>
    <row r="11455" ht="15.75" customHeight="1">
      <c r="A11455" s="2" t="s">
        <v>11455</v>
      </c>
      <c r="B11455" s="2" t="str">
        <f>IFERROR(__xludf.DUMMYFUNCTION("GOOGLETRANSLATE(A11455, ""en"", ""mt"")"),"Liema ortografija ta 'Genghis taqbel l-iktar mill-qrib mal-pronunzja probabbli tagħha?")</f>
        <v>Liema ortografija ta 'Genghis taqbel l-iktar mill-qrib mal-pronunzja probabbli tagħha?</v>
      </c>
    </row>
    <row r="11456" ht="15.75" customHeight="1">
      <c r="A11456" s="2" t="s">
        <v>11456</v>
      </c>
      <c r="B11456" s="2" t="str">
        <f>IFERROR(__xludf.DUMMYFUNCTION("GOOGLETRANSLATE(A11456, ""en"", ""mt"")"),"Rebellion Red Turban")</f>
        <v>Rebellion Red Turban</v>
      </c>
    </row>
    <row r="11457" ht="15.75" customHeight="1">
      <c r="A11457" s="2" t="s">
        <v>11457</v>
      </c>
      <c r="B11457" s="2" t="str">
        <f>IFERROR(__xludf.DUMMYFUNCTION("GOOGLETRANSLATE(A11457, ""en"", ""mt"")"),"Liema studio għandu ABC fil-1500 Broadway fi New York?")</f>
        <v>Liema studio għandu ABC fil-1500 Broadway fi New York?</v>
      </c>
    </row>
    <row r="11458" ht="15.75" customHeight="1">
      <c r="A11458" s="2" t="s">
        <v>11458</v>
      </c>
      <c r="B11458" s="2" t="str">
        <f>IFERROR(__xludf.DUMMYFUNCTION("GOOGLETRANSLATE(A11458, ""en"", ""mt"")"),"Hi tagħti diskors li jħawwad")</f>
        <v>Hi tagħti diskors li jħawwad</v>
      </c>
    </row>
    <row r="11459" ht="15.75" customHeight="1">
      <c r="A11459" s="2" t="s">
        <v>11459</v>
      </c>
      <c r="B11459" s="2" t="str">
        <f>IFERROR(__xludf.DUMMYFUNCTION("GOOGLETRANSLATE(A11459, ""en"", ""mt"")"),"Kemm mijiet ta 'snin kienet irregolata l-Iskozja direttament mill-Parlament tal-Gran Brittanja?")</f>
        <v>Kemm mijiet ta 'snin kienet irregolata l-Iskozja direttament mill-Parlament tal-Gran Brittanja?</v>
      </c>
    </row>
    <row r="11460" ht="15.75" customHeight="1">
      <c r="A11460" s="2" t="s">
        <v>11460</v>
      </c>
      <c r="B11460" s="2" t="str">
        <f>IFERROR(__xludf.DUMMYFUNCTION("GOOGLETRANSLATE(A11460, ""en"", ""mt"")"),"pressjoni għolja")</f>
        <v>pressjoni għolja</v>
      </c>
    </row>
    <row r="11461" ht="15.75" customHeight="1">
      <c r="A11461" s="2" t="s">
        <v>11461</v>
      </c>
      <c r="B11461" s="2" t="str">
        <f>IFERROR(__xludf.DUMMYFUNCTION("GOOGLETRANSLATE(A11461, ""en"", ""mt"")"),"3.62")</f>
        <v>3.62</v>
      </c>
    </row>
    <row r="11462" ht="15.75" customHeight="1">
      <c r="A11462" s="2" t="s">
        <v>11462</v>
      </c>
      <c r="B11462" s="2" t="str">
        <f>IFERROR(__xludf.DUMMYFUNCTION("GOOGLETRANSLATE(A11462, ""en"", ""mt"")"),"Aristotile pprovda diskussjoni filosofika tal-kunċett ta 'forza bħala parti integrali tal-kosmoloġija Aristoteljana. Fil-fehma ta 'Aristotile, l-isfera terrestri kien fiha erba' elementi li jiġu għall-mistrieħ f'postijiet naturali differenti fihom. Aristo"&amp;"tile kien jemmen li oġġetti bla waqfien fid-dinja, dawk komposti l-aktar mill-elementi tad-dinja u l-ilma, biex ikunu fil-post naturali tagħhom fuq l-art u li jibqgħu hekk jekk jitħallew waħedhom. Huwa ddistingwa bejn it-tendenza intrinsika ta 'oġġetti li"&amp;" jsibu l- ""post naturali"" tagħhom (per eżempju, biex il-korpi tqal jaqgħu), li wasslu għal ""moviment naturali"", u moviment mhux naturali jew sfurzat, li kien jeħtieġ l-applikazzjoni kontinwa ta' forza. Din it-teorija, ibbażata fuq l-esperjenza ta 'kul"&amp;"jum ta' kif l-oġġetti jiċċaqalqu, bħall-applikazzjoni kostanti ta 'forza meħtieġa biex iżżomm karrettun miexi, kellha problemi kunċettwali li tirrappreżenta l-imġieba tal-projettili, bħat-titjira tal-vleġeġ. Il-post fejn l-Archer jiċċaqlaq il-projettili k"&amp;"ien fil-bidu tat-titjira, u filwaqt li l-projettili baħħru fl-arja, l-ebda kawża effiċjenti li tista 'tinstab ma taġixxi fuqha. Aristotile kien konxju ta 'din il-problema u ppropona li l-arja spostata permezz tat-triq tal-projettili ġġorr il-projettili għ"&amp;"all-mira tagħha. Din l-ispjegazzjoni titlob kontinwu bħall-arja għall-bidla fil-post b'mod ġenerali.")</f>
        <v>Aristotile pprovda diskussjoni filosofika tal-kunċett ta 'forza bħala parti integrali tal-kosmoloġija Aristoteljana. Fil-fehma ta 'Aristotile, l-isfera terrestri kien fiha erba' elementi li jiġu għall-mistrieħ f'postijiet naturali differenti fihom. Aristotile kien jemmen li oġġetti bla waqfien fid-dinja, dawk komposti l-aktar mill-elementi tad-dinja u l-ilma, biex ikunu fil-post naturali tagħhom fuq l-art u li jibqgħu hekk jekk jitħallew waħedhom. Huwa ddistingwa bejn it-tendenza intrinsika ta 'oġġetti li jsibu l- "post naturali" tagħhom (per eżempju, biex il-korpi tqal jaqgħu), li wasslu għal "moviment naturali", u moviment mhux naturali jew sfurzat, li kien jeħtieġ l-applikazzjoni kontinwa ta' forza. Din it-teorija, ibbażata fuq l-esperjenza ta 'kuljum ta' kif l-oġġetti jiċċaqalqu, bħall-applikazzjoni kostanti ta 'forza meħtieġa biex iżżomm karrettun miexi, kellha problemi kunċettwali li tirrappreżenta l-imġieba tal-projettili, bħat-titjira tal-vleġeġ. Il-post fejn l-Archer jiċċaqlaq il-projettili kien fil-bidu tat-titjira, u filwaqt li l-projettili baħħru fl-arja, l-ebda kawża effiċjenti li tista 'tinstab ma taġixxi fuqha. Aristotile kien konxju ta 'din il-problema u ppropona li l-arja spostata permezz tat-triq tal-projettili ġġorr il-projettili għall-mira tagħha. Din l-ispjegazzjoni titlob kontinwu bħall-arja għall-bidla fil-post b'mod ġenerali.</v>
      </c>
    </row>
    <row r="11463" ht="15.75" customHeight="1">
      <c r="A11463" s="2" t="s">
        <v>11463</v>
      </c>
      <c r="B11463" s="2" t="str">
        <f>IFERROR(__xludf.DUMMYFUNCTION("GOOGLETRANSLATE(A11463, ""en"", ""mt"")"),"Intraprenditorija bbażata fuq il-ħtieġa")</f>
        <v>Intraprenditorija bbażata fuq il-ħtieġa</v>
      </c>
    </row>
    <row r="11464" ht="15.75" customHeight="1">
      <c r="A11464" s="2" t="s">
        <v>11464</v>
      </c>
      <c r="B11464" s="2" t="str">
        <f>IFERROR(__xludf.DUMMYFUNCTION("GOOGLETRANSLATE(A11464, ""en"", ""mt"")"),"X'jista 'jżid il-forza tat-tensjoni fuq tagħbija?")</f>
        <v>X'jista 'jżid il-forza tat-tensjoni fuq tagħbija?</v>
      </c>
    </row>
    <row r="11465" ht="15.75" customHeight="1">
      <c r="A11465" s="2" t="s">
        <v>11465</v>
      </c>
      <c r="B11465" s="2" t="str">
        <f>IFERROR(__xludf.DUMMYFUNCTION("GOOGLETRANSLATE(A11465, ""en"", ""mt"")"),"Min kien iservi lil Varsavja bħala s-sedil fl-1529?")</f>
        <v>Min kien iservi lil Varsavja bħala s-sedil fl-1529?</v>
      </c>
    </row>
    <row r="11466" ht="15.75" customHeight="1">
      <c r="A11466" s="2" t="s">
        <v>11466</v>
      </c>
      <c r="B11466" s="2" t="str">
        <f>IFERROR(__xludf.DUMMYFUNCTION("GOOGLETRANSLATE(A11466, ""en"", ""mt"")"),"inbid kif ukoll il-ħobż")</f>
        <v>inbid kif ukoll il-ħobż</v>
      </c>
    </row>
    <row r="11467" ht="15.75" customHeight="1">
      <c r="A11467" s="2" t="s">
        <v>11467</v>
      </c>
      <c r="B11467" s="2" t="str">
        <f>IFERROR(__xludf.DUMMYFUNCTION("GOOGLETRANSLATE(A11467, ""en"", ""mt"")"),"Ditta, ċara")</f>
        <v>Ditta, ċara</v>
      </c>
    </row>
    <row r="11468" ht="15.75" customHeight="1">
      <c r="A11468" s="2" t="s">
        <v>11468</v>
      </c>
      <c r="B11468" s="2" t="str">
        <f>IFERROR(__xludf.DUMMYFUNCTION("GOOGLETRANSLATE(A11468, ""en"", ""mt"")"),"saqaf")</f>
        <v>saqaf</v>
      </c>
    </row>
    <row r="11469" ht="15.75" customHeight="1">
      <c r="A11469" s="2" t="s">
        <v>11469</v>
      </c>
      <c r="B11469" s="2" t="str">
        <f>IFERROR(__xludf.DUMMYFUNCTION("GOOGLETRANSLATE(A11469, ""en"", ""mt"")"),"James Lafayette")</f>
        <v>James Lafayette</v>
      </c>
    </row>
    <row r="11470" ht="15.75" customHeight="1">
      <c r="A11470" s="2" t="s">
        <v>11470</v>
      </c>
      <c r="B11470" s="2" t="str">
        <f>IFERROR(__xludf.DUMMYFUNCTION("GOOGLETRANSLATE(A11470, ""en"", ""mt"")"),"kull sitt xhur")</f>
        <v>kull sitt xhur</v>
      </c>
    </row>
    <row r="11471" ht="15.75" customHeight="1">
      <c r="A11471" s="2" t="s">
        <v>11471</v>
      </c>
      <c r="B11471" s="2" t="str">
        <f>IFERROR(__xludf.DUMMYFUNCTION("GOOGLETRANSLATE(A11471, ""en"", ""mt"")"),"Il-problema tal-bejjiegħ li tivvjaġġa hija eżempju ta 'liema tip ta' problema?")</f>
        <v>Il-problema tal-bejjiegħ li tivvjaġġa hija eżempju ta 'liema tip ta' problema?</v>
      </c>
    </row>
    <row r="11472" ht="15.75" customHeight="1">
      <c r="A11472" s="2" t="s">
        <v>11472</v>
      </c>
      <c r="B11472" s="2" t="str">
        <f>IFERROR(__xludf.DUMMYFUNCTION("GOOGLETRANSLATE(A11472, ""en"", ""mt"")"),"Keraites")</f>
        <v>Keraites</v>
      </c>
    </row>
    <row r="11473" ht="15.75" customHeight="1">
      <c r="A11473" s="2" t="s">
        <v>11473</v>
      </c>
      <c r="B11473" s="2" t="str">
        <f>IFERROR(__xludf.DUMMYFUNCTION("GOOGLETRANSLATE(A11473, ""en"", ""mt"")"),"X'inhu meħtieġ biex tospita popolazzjoni akbar?")</f>
        <v>X'inhu meħtieġ biex tospita popolazzjoni akbar?</v>
      </c>
    </row>
    <row r="11474" ht="15.75" customHeight="1">
      <c r="A11474" s="2" t="s">
        <v>11474</v>
      </c>
      <c r="B11474" s="2" t="str">
        <f>IFERROR(__xludf.DUMMYFUNCTION("GOOGLETRANSLATE(A11474, ""en"", ""mt"")"),"7 ta ’Jannar 1900")</f>
        <v>7 ta ’Jannar 1900</v>
      </c>
    </row>
    <row r="11475" ht="15.75" customHeight="1">
      <c r="A11475" s="2" t="s">
        <v>11475</v>
      </c>
      <c r="B11475" s="2" t="str">
        <f>IFERROR(__xludf.DUMMYFUNCTION("GOOGLETRANSLATE(A11475, ""en"", ""mt"")"),"Ħafna speċi huma ermafroditi")</f>
        <v>Ħafna speċi huma ermafroditi</v>
      </c>
    </row>
    <row r="11476" ht="15.75" customHeight="1">
      <c r="A11476" s="2" t="s">
        <v>11476</v>
      </c>
      <c r="B11476" s="2" t="str">
        <f>IFERROR(__xludf.DUMMYFUNCTION("GOOGLETRANSLATE(A11476, ""en"", ""mt"")"),"Satya Nadella")</f>
        <v>Satya Nadella</v>
      </c>
    </row>
    <row r="11477" ht="15.75" customHeight="1">
      <c r="A11477" s="2" t="s">
        <v>11477</v>
      </c>
      <c r="B11477" s="2" t="str">
        <f>IFERROR(__xludf.DUMMYFUNCTION("GOOGLETRANSLATE(A11477, ""en"", ""mt"")"),"X'jagħmel għalliem għal xi ħadd li huwa cocky?")</f>
        <v>X'jagħmel għalliem għal xi ħadd li huwa cocky?</v>
      </c>
    </row>
    <row r="11478" ht="15.75" customHeight="1">
      <c r="A11478" s="2" t="s">
        <v>11478</v>
      </c>
      <c r="B11478" s="2" t="str">
        <f>IFERROR(__xludf.DUMMYFUNCTION("GOOGLETRANSLATE(A11478, ""en"", ""mt"")"),"Marriott")</f>
        <v>Marriott</v>
      </c>
    </row>
    <row r="11479" ht="15.75" customHeight="1">
      <c r="A11479" s="2" t="s">
        <v>11479</v>
      </c>
      <c r="B11479" s="2" t="str">
        <f>IFERROR(__xludf.DUMMYFUNCTION("GOOGLETRANSLATE(A11479, ""en"", ""mt"")"),"Lil min kien Johann Eck l-assistent?")</f>
        <v>Lil min kien Johann Eck l-assistent?</v>
      </c>
    </row>
    <row r="11480" ht="15.75" customHeight="1">
      <c r="A11480" s="2" t="s">
        <v>11480</v>
      </c>
      <c r="B11480" s="2" t="str">
        <f>IFERROR(__xludf.DUMMYFUNCTION("GOOGLETRANSLATE(A11480, ""en"", ""mt"")"),"figuri politiċi")</f>
        <v>figuri politiċi</v>
      </c>
    </row>
    <row r="11481" ht="15.75" customHeight="1">
      <c r="A11481" s="2" t="s">
        <v>11481</v>
      </c>
      <c r="B11481" s="2" t="str">
        <f>IFERROR(__xludf.DUMMYFUNCTION("GOOGLETRANSLATE(A11481, ""en"", ""mt"")"),"Essay tal-kastig")</f>
        <v>Essay tal-kastig</v>
      </c>
    </row>
    <row r="11482" ht="15.75" customHeight="1">
      <c r="A11482" s="2" t="s">
        <v>11482</v>
      </c>
      <c r="B11482" s="2" t="str">
        <f>IFERROR(__xludf.DUMMYFUNCTION("GOOGLETRANSLATE(A11482, ""en"", ""mt"")"),"Il-programm ta 'erba' snin full-time li għadu ma sarx jinkludi minoranza ta 'reġistrazzjonijiet fl-università u jenfasizza l-istruzzjoni ma' ""fokus tal-arti u x-xjenzi"". Bejn l-1978 u l-2008, l-istudenti jidħlu kienu meħtieġa jlestu kurrikulu ewlieni ta"&amp;" 'seba' klassijiet barra mill-konċentrazzjoni tagħhom. Mill-2008, studenti li għadhom ma ggradwawx kienu meħtieġa jlestu korsijiet fi tmien kategoriji ta 'edukazzjoni ġenerali: fehim estetiku u interpretattiv, kultura u twemmin, raġunament empiriku u mate"&amp;"matiku, raġunament etiku, xjenza tas-sistemi ħajjin, xjenza tal-univers fiżiku, soċjetajiet tad-dinja, u l-Istati Uniti fid-dinja. Harvard joffri programm komprensiv ta 'gradwati ta' dottorat u hemm livell għoli ta 'koeżistenza bejn il-gradi gradwati u da"&amp;"wk li għadhom ma ggradwawx. Il-Fondazzjoni Carnegie għall-Avvanzament tat-Tagħlim, in-New York Times, u xi studenti kkritikaw lil Harvard għad-dipendenza tagħha fuq it-tagħlim ta ’dawk li jwaqqfu għal xi aspetti tal-edukazzjoni li għadhom ma ggradwawx; Hu"&amp;"ma jqisu dan biex jaffettwa ħażin il-kwalità tal-edukazzjoni.")</f>
        <v>Il-programm ta 'erba' snin full-time li għadu ma sarx jinkludi minoranza ta 'reġistrazzjonijiet fl-università u jenfasizza l-istruzzjoni ma' "fokus tal-arti u x-xjenzi". Bejn l-1978 u l-2008, l-istudenti jidħlu kienu meħtieġa jlestu kurrikulu ewlieni ta 'seba' klassijiet barra mill-konċentrazzjoni tagħhom. Mill-2008, studenti li għadhom ma ggradwawx kienu meħtieġa jlestu korsijiet fi tmien kategoriji ta 'edukazzjoni ġenerali: fehim estetiku u interpretattiv, kultura u twemmin, raġunament empiriku u matematiku, raġunament etiku, xjenza tas-sistemi ħajjin, xjenza tal-univers fiżiku, soċjetajiet tad-dinja, u l-Istati Uniti fid-dinja. Harvard joffri programm komprensiv ta 'gradwati ta' dottorat u hemm livell għoli ta 'koeżistenza bejn il-gradi gradwati u dawk li għadhom ma ggradwawx. Il-Fondazzjoni Carnegie għall-Avvanzament tat-Tagħlim, in-New York Times, u xi studenti kkritikaw lil Harvard għad-dipendenza tagħha fuq it-tagħlim ta ’dawk li jwaqqfu għal xi aspetti tal-edukazzjoni li għadhom ma ggradwawx; Huma jqisu dan biex jaffettwa ħażin il-kwalità tal-edukazzjoni.</v>
      </c>
    </row>
    <row r="11483" ht="15.75" customHeight="1">
      <c r="A11483" s="2" t="s">
        <v>11483</v>
      </c>
      <c r="B11483" s="2" t="str">
        <f>IFERROR(__xludf.DUMMYFUNCTION("GOOGLETRANSLATE(A11483, ""en"", ""mt"")"),"mibegħda")</f>
        <v>mibegħda</v>
      </c>
    </row>
    <row r="11484" ht="15.75" customHeight="1">
      <c r="A11484" s="2" t="s">
        <v>11484</v>
      </c>
      <c r="B11484" s="2" t="str">
        <f>IFERROR(__xludf.DUMMYFUNCTION("GOOGLETRANSLATE(A11484, ""en"", ""mt"")"),"21 ta 'Mejju, 2013,")</f>
        <v>21 ta 'Mejju, 2013,</v>
      </c>
    </row>
    <row r="11485" ht="15.75" customHeight="1">
      <c r="A11485" s="2" t="s">
        <v>11485</v>
      </c>
      <c r="B11485" s="2" t="str">
        <f>IFERROR(__xludf.DUMMYFUNCTION("GOOGLETRANSLATE(A11485, ""en"", ""mt"")"),"sesswali")</f>
        <v>sesswali</v>
      </c>
    </row>
    <row r="11486" ht="15.75" customHeight="1">
      <c r="A11486" s="2" t="s">
        <v>11486</v>
      </c>
      <c r="B11486" s="2" t="str">
        <f>IFERROR(__xludf.DUMMYFUNCTION("GOOGLETRANSLATE(A11486, ""en"", ""mt"")"),"sitt kloroplast membrani")</f>
        <v>sitt kloroplast membrani</v>
      </c>
    </row>
    <row r="11487" ht="15.75" customHeight="1">
      <c r="A11487" s="2" t="s">
        <v>11487</v>
      </c>
      <c r="B11487" s="2" t="str">
        <f>IFERROR(__xludf.DUMMYFUNCTION("GOOGLETRANSLATE(A11487, ""en"", ""mt"")"),"Min għandu fiera tal-arti internazzjonali annwali fi Newcastle?")</f>
        <v>Min għandu fiera tal-arti internazzjonali annwali fi Newcastle?</v>
      </c>
    </row>
    <row r="11488" ht="15.75" customHeight="1">
      <c r="A11488" s="2" t="s">
        <v>11488</v>
      </c>
      <c r="B11488" s="2" t="str">
        <f>IFERROR(__xludf.DUMMYFUNCTION("GOOGLETRANSLATE(A11488, ""en"", ""mt"")"),"Min ippubblika l-kitbiet ta 'Tesla?")</f>
        <v>Min ippubblika l-kitbiet ta 'Tesla?</v>
      </c>
    </row>
    <row r="11489" ht="15.75" customHeight="1">
      <c r="A11489" s="2" t="s">
        <v>11489</v>
      </c>
      <c r="B11489" s="2" t="str">
        <f>IFERROR(__xludf.DUMMYFUNCTION("GOOGLETRANSLATE(A11489, ""en"", ""mt"")"),"18 ta 'Lulju, 2006")</f>
        <v>18 ta 'Lulju, 2006</v>
      </c>
    </row>
    <row r="11490" ht="15.75" customHeight="1">
      <c r="A11490" s="2" t="s">
        <v>11490</v>
      </c>
      <c r="B11490" s="2" t="str">
        <f>IFERROR(__xludf.DUMMYFUNCTION("GOOGLETRANSLATE(A11490, ""en"", ""mt"")"),"Liema sena taw lil Börte welldet lil Jochi?")</f>
        <v>Liema sena taw lil Börte welldet lil Jochi?</v>
      </c>
    </row>
    <row r="11491" ht="15.75" customHeight="1">
      <c r="A11491" s="2" t="s">
        <v>11491</v>
      </c>
      <c r="B11491" s="2" t="str">
        <f>IFERROR(__xludf.DUMMYFUNCTION("GOOGLETRANSLATE(A11491, ""en"", ""mt"")"),"Il-qawwa ta 'kull parti fil-Parlament")</f>
        <v>Il-qawwa ta 'kull parti fil-Parlament</v>
      </c>
    </row>
    <row r="11492" ht="15.75" customHeight="1">
      <c r="A11492" s="2" t="s">
        <v>11492</v>
      </c>
      <c r="B11492" s="2" t="str">
        <f>IFERROR(__xludf.DUMMYFUNCTION("GOOGLETRANSLATE(A11492, ""en"", ""mt"")"),"Numru ewlieni (jew prim) huwa numru naturali akbar minn 1 li m'għandux diviżor pożittiv minbarra 1 u nnifsu. Numru naturali akbar minn 1 li mhux numru ewlieni jissejjaħ numru kompost. Pereżempju, 5 hija primarja minħabba li 1 u 5 huma l-uniċi fatturi numr"&amp;"u sħiħ pożittiv tagħha, filwaqt li 6 huwa kompost minħabba li għandu d-diviżuri 2 u 3 minbarra 1 u 6. It-teorema fundamentali tal-aritmetika tistabbilixxi r-rwol ċentrali tal-primes fit-teorija tan-numri : Kull numru sħiħ akbar minn 1 jista 'jiġi espress "&amp;"bħala prodott ta' primes li huwa uniku biex tordna. L-uniċità f'dan it-teorema teħtieġ li tiġi eskluża 1 bħala prim minħabba li wieħed jista 'jinkludi b'mod arbitrarju ħafna każijiet ta' 1 fi kwalunkwe fatturizzazzjoni, e.g., 3, 1 · 3, 1 · 1 · 3, eċċ. Hum"&amp;"a kollha fatturi ta '3.")</f>
        <v>Numru ewlieni (jew prim) huwa numru naturali akbar minn 1 li m'għandux diviżor pożittiv minbarra 1 u nnifsu. Numru naturali akbar minn 1 li mhux numru ewlieni jissejjaħ numru kompost. Pereżempju, 5 hija primarja minħabba li 1 u 5 huma l-uniċi fatturi numru sħiħ pożittiv tagħha, filwaqt li 6 huwa kompost minħabba li għandu d-diviżuri 2 u 3 minbarra 1 u 6. It-teorema fundamentali tal-aritmetika tistabbilixxi r-rwol ċentrali tal-primes fit-teorija tan-numri : Kull numru sħiħ akbar minn 1 jista 'jiġi espress bħala prodott ta' primes li huwa uniku biex tordna. L-uniċità f'dan it-teorema teħtieġ li tiġi eskluża 1 bħala prim minħabba li wieħed jista 'jinkludi b'mod arbitrarju ħafna każijiet ta' 1 fi kwalunkwe fatturizzazzjoni, e.g., 3, 1 · 3, 1 · 1 · 3, eċċ. Huma kollha fatturi ta '3.</v>
      </c>
    </row>
    <row r="11493" ht="15.75" customHeight="1">
      <c r="A11493" s="2" t="s">
        <v>11493</v>
      </c>
      <c r="B11493" s="2" t="str">
        <f>IFERROR(__xludf.DUMMYFUNCTION("GOOGLETRANSLATE(A11493, ""en"", ""mt"")"),"L-euglenofiti huma grupp ta 'protisti flagellati komuni li fihom kloroplasti derivati ​​minn alka ħadra. Il-kloroplasti tal-euglenofiti għandhom tliet membrani - huwa maħsub li l-membrana tal-endosymbiont primarju kienet mitlufa, u tħalli l-membrani ċjano"&amp;"batteriċi, u l-membrana fagożomali tal-ospitanti sekondarji. Il-kloroplasti euglenofiti għandhom pirenojdi u thylakoids f'munzelli fi gruppi ta 'tlieta. Il-lamtu huwa maħżun fil-forma ta 'paramylon, li jinsab fil-granuli marbuta mal-membrana fiċ-ċitoplasm"&amp;"a ta' l-euglenofita.")</f>
        <v>L-euglenofiti huma grupp ta 'protisti flagellati komuni li fihom kloroplasti derivati ​​minn alka ħadra. Il-kloroplasti tal-euglenofiti għandhom tliet membrani - huwa maħsub li l-membrana tal-endosymbiont primarju kienet mitlufa, u tħalli l-membrani ċjanobatteriċi, u l-membrana fagożomali tal-ospitanti sekondarji. Il-kloroplasti euglenofiti għandhom pirenojdi u thylakoids f'munzelli fi gruppi ta 'tlieta. Il-lamtu huwa maħżun fil-forma ta 'paramylon, li jinsab fil-granuli marbuta mal-membrana fiċ-ċitoplasma ta' l-euglenofita.</v>
      </c>
    </row>
    <row r="11494" ht="15.75" customHeight="1">
      <c r="A11494" s="2" t="s">
        <v>11494</v>
      </c>
      <c r="B11494" s="2" t="str">
        <f>IFERROR(__xludf.DUMMYFUNCTION("GOOGLETRANSLATE(A11494, ""en"", ""mt"")"),"Vjal 1330 tal-Amerika f'Manhattan")</f>
        <v>Vjal 1330 tal-Amerika f'Manhattan</v>
      </c>
    </row>
    <row r="11495" ht="15.75" customHeight="1">
      <c r="A11495" s="2" t="s">
        <v>11495</v>
      </c>
      <c r="B11495" s="2" t="str">
        <f>IFERROR(__xludf.DUMMYFUNCTION("GOOGLETRANSLATE(A11495, ""en"", ""mt"")"),"F'każijiet b'medju maqsum kif jitwassal")</f>
        <v>F'każijiet b'medju maqsum kif jitwassal</v>
      </c>
    </row>
    <row r="11496" ht="15.75" customHeight="1">
      <c r="A11496" s="2" t="s">
        <v>11496</v>
      </c>
      <c r="B11496" s="2" t="str">
        <f>IFERROR(__xludf.DUMMYFUNCTION("GOOGLETRANSLATE(A11496, ""en"", ""mt"")"),"Gwerra tal-Vjetnam")</f>
        <v>Gwerra tal-Vjetnam</v>
      </c>
    </row>
    <row r="11497" ht="15.75" customHeight="1">
      <c r="A11497" s="2" t="s">
        <v>11497</v>
      </c>
      <c r="B11497" s="2" t="str">
        <f>IFERROR(__xludf.DUMMYFUNCTION("GOOGLETRANSLATE(A11497, ""en"", ""mt"")"),"Ortodossija Kattolika")</f>
        <v>Ortodossija Kattolika</v>
      </c>
    </row>
    <row r="11498" ht="15.75" customHeight="1">
      <c r="A11498" s="2" t="s">
        <v>11498</v>
      </c>
      <c r="B11498" s="2" t="str">
        <f>IFERROR(__xludf.DUMMYFUNCTION("GOOGLETRANSLATE(A11498, ""en"", ""mt"")"),"membrana doppja")</f>
        <v>membrana doppja</v>
      </c>
    </row>
    <row r="11499" ht="15.75" customHeight="1">
      <c r="A11499" s="2" t="s">
        <v>11499</v>
      </c>
      <c r="B11499" s="2" t="str">
        <f>IFERROR(__xludf.DUMMYFUNCTION("GOOGLETRANSLATE(A11499, ""en"", ""mt"")"),"Meta għamlet il-y. pestis jilħqu l-Ingilterra?")</f>
        <v>Meta għamlet il-y. pestis jilħqu l-Ingilterra?</v>
      </c>
    </row>
    <row r="11500" ht="15.75" customHeight="1">
      <c r="A11500" s="2" t="s">
        <v>11500</v>
      </c>
      <c r="B11500" s="2" t="str">
        <f>IFERROR(__xludf.DUMMYFUNCTION("GOOGLETRANSLATE(A11500, ""en"", ""mt"")"),"bħala pjaga")</f>
        <v>bħala pjaga</v>
      </c>
    </row>
    <row r="11501" ht="15.75" customHeight="1">
      <c r="A11501" s="2" t="s">
        <v>11501</v>
      </c>
      <c r="B11501" s="2" t="str">
        <f>IFERROR(__xludf.DUMMYFUNCTION("GOOGLETRANSLATE(A11501, ""en"", ""mt"")"),"Thomas")</f>
        <v>Thomas</v>
      </c>
    </row>
    <row r="11502" ht="15.75" customHeight="1">
      <c r="A11502" s="2" t="s">
        <v>11502</v>
      </c>
      <c r="B11502" s="2" t="str">
        <f>IFERROR(__xludf.DUMMYFUNCTION("GOOGLETRANSLATE(A11502, ""en"", ""mt"")"),"Il-Konferenza tal-Knisja")</f>
        <v>Il-Konferenza tal-Knisja</v>
      </c>
    </row>
    <row r="11503" ht="15.75" customHeight="1">
      <c r="A11503" s="2" t="s">
        <v>11503</v>
      </c>
      <c r="B11503" s="2" t="str">
        <f>IFERROR(__xludf.DUMMYFUNCTION("GOOGLETRANSLATE(A11503, ""en"", ""mt"")"),"X'kien jintroduċi fil-Baħar l-Iswed?")</f>
        <v>X'kien jintroduċi fil-Baħar l-Iswed?</v>
      </c>
    </row>
    <row r="11504" ht="15.75" customHeight="1">
      <c r="A11504" s="2" t="s">
        <v>11504</v>
      </c>
      <c r="B11504" s="2" t="str">
        <f>IFERROR(__xludf.DUMMYFUNCTION("GOOGLETRANSLATE(A11504, ""en"", ""mt"")"),"Liema oqsma tal-Ewropa tat-Tramuntana pprattikaw dawk ir-reliġjonijiet?")</f>
        <v>Liema oqsma tal-Ewropa tat-Tramuntana pprattikaw dawk ir-reliġjonijiet?</v>
      </c>
    </row>
    <row r="11505" ht="15.75" customHeight="1">
      <c r="A11505" s="2" t="s">
        <v>11505</v>
      </c>
      <c r="B11505" s="2" t="str">
        <f>IFERROR(__xludf.DUMMYFUNCTION("GOOGLETRANSLATE(A11505, ""en"", ""mt"")"),"Jacob van Braam bħala interpretu; Christopher Gist, survejter tal-kumpanija li jaħdem fiż-żona; u ftit Mingo mmexxija minn Tanaghrisson")</f>
        <v>Jacob van Braam bħala interpretu; Christopher Gist, survejter tal-kumpanija li jaħdem fiż-żona; u ftit Mingo mmexxija minn Tanaghrisson</v>
      </c>
    </row>
    <row r="11506" ht="15.75" customHeight="1">
      <c r="A11506" s="2" t="s">
        <v>11506</v>
      </c>
      <c r="B11506" s="2" t="str">
        <f>IFERROR(__xludf.DUMMYFUNCTION("GOOGLETRANSLATE(A11506, ""en"", ""mt"")"),"immunoglobulini u riċetturi taċ-ċelloli T")</f>
        <v>immunoglobulini u riċetturi taċ-ċelloli T</v>
      </c>
    </row>
    <row r="11507" ht="15.75" customHeight="1">
      <c r="A11507" s="2" t="s">
        <v>11507</v>
      </c>
      <c r="B11507" s="2" t="str">
        <f>IFERROR(__xludf.DUMMYFUNCTION("GOOGLETRANSLATE(A11507, ""en"", ""mt"")"),"għall-biża 'ta' ħajjithom")</f>
        <v>għall-biża 'ta' ħajjithom</v>
      </c>
    </row>
    <row r="11508" ht="15.75" customHeight="1">
      <c r="A11508" s="2" t="s">
        <v>11508</v>
      </c>
      <c r="B11508" s="2" t="str">
        <f>IFERROR(__xludf.DUMMYFUNCTION("GOOGLETRANSLATE(A11508, ""en"", ""mt"")"),"Magni tal-fwar jista 'jingħad li kienu l-forza li tiċċaqlaq wara r-rivoluzzjoni industrijali u rat makkinarju ta' sewqan ta 'użu kummerċjali mifrux f'fabbriki, imtieħen u minjieri; Stazzjonijiet ta 'l-ippumpjar li jħaddmu; u jimbotta apparat tat-trasport "&amp;"bħal lokomottivi tal-ferrovija, vapuri, dgħajjes tal-fwar u vetturi tat-triq. L-użu tagħhom fl-agrikoltura wassal għal żieda fl-art disponibbli għall-kultivazzjoni. F'ħin jew ieħor hemm tratturi tar-razzett li jaħdmu bil-fwar, muturi (mingħajr ħafna suċċe"&amp;"ss) u anke karozzi bħala l-Steamer Stanley.")</f>
        <v>Magni tal-fwar jista 'jingħad li kienu l-forza li tiċċaqlaq wara r-rivoluzzjoni industrijali u rat makkinarju ta' sewqan ta 'użu kummerċjali mifrux f'fabbriki, imtieħen u minjieri; Stazzjonijiet ta 'l-ippumpjar li jħaddmu; u jimbotta apparat tat-trasport bħal lokomottivi tal-ferrovija, vapuri, dgħajjes tal-fwar u vetturi tat-triq. L-użu tagħhom fl-agrikoltura wassal għal żieda fl-art disponibbli għall-kultivazzjoni. F'ħin jew ieħor hemm tratturi tar-razzett li jaħdmu bil-fwar, muturi (mingħajr ħafna suċċess) u anke karozzi bħala l-Steamer Stanley.</v>
      </c>
    </row>
    <row r="11509" ht="15.75" customHeight="1">
      <c r="A11509" s="2" t="s">
        <v>11509</v>
      </c>
      <c r="B11509" s="2" t="str">
        <f>IFERROR(__xludf.DUMMYFUNCTION("GOOGLETRANSLATE(A11509, ""en"", ""mt"")"),"Meta lagħbu t-tieni serje ta 'Torchwood?")</f>
        <v>Meta lagħbu t-tieni serje ta 'Torchwood?</v>
      </c>
    </row>
    <row r="11510" ht="15.75" customHeight="1">
      <c r="A11510" s="2" t="s">
        <v>11510</v>
      </c>
      <c r="B11510" s="2" t="str">
        <f>IFERROR(__xludf.DUMMYFUNCTION("GOOGLETRANSLATE(A11510, ""en"", ""mt"")"),"L-individwu")</f>
        <v>L-individwu</v>
      </c>
    </row>
    <row r="11511" ht="15.75" customHeight="1">
      <c r="A11511" s="2" t="s">
        <v>11511</v>
      </c>
      <c r="B11511" s="2" t="str">
        <f>IFERROR(__xludf.DUMMYFUNCTION("GOOGLETRANSLATE(A11511, ""en"", ""mt"")"),"plejers tal-futbol internazzjonali")</f>
        <v>plejers tal-futbol internazzjonali</v>
      </c>
    </row>
    <row r="11512" ht="15.75" customHeight="1">
      <c r="A11512" s="2" t="s">
        <v>11512</v>
      </c>
      <c r="B11512" s="2" t="str">
        <f>IFERROR(__xludf.DUMMYFUNCTION("GOOGLETRANSLATE(A11512, ""en"", ""mt"")"),"Landgrave ta 'Hesse")</f>
        <v>Landgrave ta 'Hesse</v>
      </c>
    </row>
    <row r="11513" ht="15.75" customHeight="1">
      <c r="A11513" s="2" t="s">
        <v>11513</v>
      </c>
      <c r="B11513" s="2" t="str">
        <f>IFERROR(__xludf.DUMMYFUNCTION("GOOGLETRANSLATE(A11513, ""en"", ""mt"")"),"Min hu elett fil-bidu ta 'kull terminu?")</f>
        <v>Min hu elett fil-bidu ta 'kull terminu?</v>
      </c>
    </row>
    <row r="11514" ht="15.75" customHeight="1">
      <c r="A11514" s="2" t="s">
        <v>11514</v>
      </c>
      <c r="B11514" s="2" t="str">
        <f>IFERROR(__xludf.DUMMYFUNCTION("GOOGLETRANSLATE(A11514, ""en"", ""mt"")"),"Cydippids Combs huma kkontrollati minn xiex?")</f>
        <v>Cydippids Combs huma kkontrollati minn xiex?</v>
      </c>
    </row>
    <row r="11515" ht="15.75" customHeight="1">
      <c r="A11515" s="2" t="s">
        <v>11515</v>
      </c>
      <c r="B11515" s="2" t="str">
        <f>IFERROR(__xludf.DUMMYFUNCTION("GOOGLETRANSLATE(A11515, ""en"", ""mt"")"),"Meta rrifjutaw id-dikjarazzjonijiet ta 'Luther Luterani dwar il-Lhud?")</f>
        <v>Meta rrifjutaw id-dikjarazzjonijiet ta 'Luther Luterani dwar il-Lhud?</v>
      </c>
    </row>
    <row r="11516" ht="15.75" customHeight="1">
      <c r="A11516" s="2" t="s">
        <v>11516</v>
      </c>
      <c r="B11516" s="2" t="str">
        <f>IFERROR(__xludf.DUMMYFUNCTION("GOOGLETRANSLATE(A11516, ""en"", ""mt"")"),"Fejn hu ż-Z-Ring?")</f>
        <v>Fejn hu ż-Z-Ring?</v>
      </c>
    </row>
    <row r="11517" ht="15.75" customHeight="1">
      <c r="A11517" s="2" t="s">
        <v>11517</v>
      </c>
      <c r="B11517" s="2" t="str">
        <f>IFERROR(__xludf.DUMMYFUNCTION("GOOGLETRANSLATE(A11517, ""en"", ""mt"")"),"Bejn wieħed u ieħor kemm hemm oġġetti fil-ġbir tal-kostumi tal-V &amp; A?")</f>
        <v>Bejn wieħed u ieħor kemm hemm oġġetti fil-ġbir tal-kostumi tal-V &amp; A?</v>
      </c>
    </row>
    <row r="11518" ht="15.75" customHeight="1">
      <c r="A11518" s="2" t="s">
        <v>11518</v>
      </c>
      <c r="B11518" s="2" t="str">
        <f>IFERROR(__xludf.DUMMYFUNCTION("GOOGLETRANSLATE(A11518, ""en"", ""mt"")"),"Avveniment ewlieni")</f>
        <v>Avveniment ewlieni</v>
      </c>
    </row>
    <row r="11519" ht="15.75" customHeight="1">
      <c r="A11519" s="2" t="s">
        <v>11519</v>
      </c>
      <c r="B11519" s="2" t="str">
        <f>IFERROR(__xludf.DUMMYFUNCTION("GOOGLETRANSLATE(A11519, ""en"", ""mt"")"),"Kif huma msejħa dawk minn Jacksonville?")</f>
        <v>Kif huma msejħa dawk minn Jacksonville?</v>
      </c>
    </row>
    <row r="11520" ht="15.75" customHeight="1">
      <c r="A11520" s="2" t="s">
        <v>11520</v>
      </c>
      <c r="B11520" s="2" t="str">
        <f>IFERROR(__xludf.DUMMYFUNCTION("GOOGLETRANSLATE(A11520, ""en"", ""mt"")"),"f'April 1887")</f>
        <v>f'April 1887</v>
      </c>
    </row>
    <row r="11521" ht="15.75" customHeight="1">
      <c r="A11521" s="2" t="s">
        <v>11521</v>
      </c>
      <c r="B11521" s="2" t="str">
        <f>IFERROR(__xludf.DUMMYFUNCTION("GOOGLETRANSLATE(A11521, ""en"", ""mt"")"),"waħda li tappoġġja Th1")</f>
        <v>waħda li tappoġġja Th1</v>
      </c>
    </row>
    <row r="11522" ht="15.75" customHeight="1">
      <c r="A11522" s="2" t="s">
        <v>11522</v>
      </c>
      <c r="B11522" s="2" t="str">
        <f>IFERROR(__xludf.DUMMYFUNCTION("GOOGLETRANSLATE(A11522, ""en"", ""mt"")"),"5 sa 15-il sena")</f>
        <v>5 sa 15-il sena</v>
      </c>
    </row>
    <row r="11523" ht="15.75" customHeight="1">
      <c r="A11523" s="2" t="s">
        <v>11523</v>
      </c>
      <c r="B11523" s="2" t="str">
        <f>IFERROR(__xludf.DUMMYFUNCTION("GOOGLETRANSLATE(A11523, ""en"", ""mt"")"),"Fejn għamlu Charles de Gaulle u l-Operazzjonijiet tal-Ġirja Franċiża b'xejn matul it-Tieni Gwerra Dinjija?")</f>
        <v>Fejn għamlu Charles de Gaulle u l-Operazzjonijiet tal-Ġirja Franċiża b'xejn matul it-Tieni Gwerra Dinjija?</v>
      </c>
    </row>
    <row r="11524" ht="15.75" customHeight="1">
      <c r="A11524" s="2" t="s">
        <v>11524</v>
      </c>
      <c r="B11524" s="2" t="str">
        <f>IFERROR(__xludf.DUMMYFUNCTION("GOOGLETRANSLATE(A11524, ""en"", ""mt"")"),"24 ta ’Settembru 2007")</f>
        <v>24 ta ’Settembru 2007</v>
      </c>
    </row>
    <row r="11525" ht="15.75" customHeight="1">
      <c r="A11525" s="2" t="s">
        <v>11525</v>
      </c>
      <c r="B11525" s="2" t="str">
        <f>IFERROR(__xludf.DUMMYFUNCTION("GOOGLETRANSLATE(A11525, ""en"", ""mt"")"),"Organu Aboral")</f>
        <v>Organu Aboral</v>
      </c>
    </row>
    <row r="11526" ht="15.75" customHeight="1">
      <c r="A11526" s="2" t="s">
        <v>11526</v>
      </c>
      <c r="B11526" s="2" t="str">
        <f>IFERROR(__xludf.DUMMYFUNCTION("GOOGLETRANSLATE(A11526, ""en"", ""mt"")"),"ribelli / oppożizzjoni xellugija / komunista / nazzjonalista")</f>
        <v>ribelli / oppożizzjoni xellugija / komunista / nazzjonalista</v>
      </c>
    </row>
    <row r="11527" ht="15.75" customHeight="1">
      <c r="A11527" s="2" t="s">
        <v>11527</v>
      </c>
      <c r="B11527" s="2" t="str">
        <f>IFERROR(__xludf.DUMMYFUNCTION("GOOGLETRANSLATE(A11527, ""en"", ""mt"")"),"Il-Kunsill Reġjonali ta 'Strathclyde Ex-Diskussjoni tal-Kamra fi Glasgow")</f>
        <v>Il-Kunsill Reġjonali ta 'Strathclyde Ex-Diskussjoni tal-Kamra fi Glasgow</v>
      </c>
    </row>
    <row r="11528" ht="15.75" customHeight="1">
      <c r="A11528" s="2" t="s">
        <v>11528</v>
      </c>
      <c r="B11528" s="2" t="str">
        <f>IFERROR(__xludf.DUMMYFUNCTION("GOOGLETRANSLATE(A11528, ""en"", ""mt"")"),"Fit-8 ta 'Frar 2007, BSKYB ħabbret l-intenzjoni tagħha li tissostitwixxi t-tliet kanali terrestri diġitali free-to-air tagħha b'erba' kanali ta 'abbonament. Ġie propost li dawn il-kanali joffru firxa ta 'kontenut mill-portafoll tal-BSKYB inkluż l-Isport ("&amp;"inkluż il-futbol Ingliż Premier League), films, divertiment u aħbarijiet. It-tħabbira waslet jum wara li Setanta Sports ikkonfermat li se tniedi f'Marzu bħala servizz ta 'abbonament fuq il-pjattaforma diġitali terrestri, u fl-istess jum li s-servizzi ta' "&amp;"NTL reġgħu marbuta bħala Virgin Media. Madankollu, is-sorsi tal-industrija jemmnu li BSKYB se jkun imġiegħel jippjana li jirtira l-kanali tiegħu minn Freeview u jibdilhom b'kanali ta 'abbonament, minħabba dħul possibbli għar-reklamar mitluf.")</f>
        <v>Fit-8 ta 'Frar 2007, BSKYB ħabbret l-intenzjoni tagħha li tissostitwixxi t-tliet kanali terrestri diġitali free-to-air tagħha b'erba' kanali ta 'abbonament. Ġie propost li dawn il-kanali joffru firxa ta 'kontenut mill-portafoll tal-BSKYB inkluż l-Isport (inkluż il-futbol Ingliż Premier League), films, divertiment u aħbarijiet. It-tħabbira waslet jum wara li Setanta Sports ikkonfermat li se tniedi f'Marzu bħala servizz ta 'abbonament fuq il-pjattaforma diġitali terrestri, u fl-istess jum li s-servizzi ta' NTL reġgħu marbuta bħala Virgin Media. Madankollu, is-sorsi tal-industrija jemmnu li BSKYB se jkun imġiegħel jippjana li jirtira l-kanali tiegħu minn Freeview u jibdilhom b'kanali ta 'abbonament, minħabba dħul possibbli għar-reklamar mitluf.</v>
      </c>
    </row>
    <row r="11529" ht="15.75" customHeight="1">
      <c r="A11529" s="2" t="s">
        <v>11529</v>
      </c>
      <c r="B11529" s="2" t="str">
        <f>IFERROR(__xludf.DUMMYFUNCTION("GOOGLETRANSLATE(A11529, ""en"", ""mt"")"),"Liema forza manjetika u elettrika taġixxi fuq ħlas?")</f>
        <v>Liema forza manjetika u elettrika taġixxi fuq ħlas?</v>
      </c>
    </row>
    <row r="11530" ht="15.75" customHeight="1">
      <c r="A11530" s="2" t="s">
        <v>11530</v>
      </c>
      <c r="B11530" s="2" t="str">
        <f>IFERROR(__xludf.DUMMYFUNCTION("GOOGLETRANSLATE(A11530, ""en"", ""mt"")"),"Liema miżura ta 'problema tal-komputazzjoni tiddefinixxi b'mod wiesa' d-diffikultà inerenti tas-soluzzjoni?")</f>
        <v>Liema miżura ta 'problema tal-komputazzjoni tiddefinixxi b'mod wiesa' d-diffikultà inerenti tas-soluzzjoni?</v>
      </c>
    </row>
    <row r="11531" ht="15.75" customHeight="1">
      <c r="A11531" s="2" t="s">
        <v>11531</v>
      </c>
      <c r="B11531" s="2" t="str">
        <f>IFERROR(__xludf.DUMMYFUNCTION("GOOGLETRANSLATE(A11531, ""en"", ""mt"")"),"Martu Katharina")</f>
        <v>Martu Katharina</v>
      </c>
    </row>
    <row r="11532" ht="15.75" customHeight="1">
      <c r="A11532" s="2" t="s">
        <v>11532</v>
      </c>
      <c r="B11532" s="2" t="str">
        <f>IFERROR(__xludf.DUMMYFUNCTION("GOOGLETRANSLATE(A11532, ""en"", ""mt"")"),"aktar diffiċli")</f>
        <v>aktar diffiċli</v>
      </c>
    </row>
    <row r="11533" ht="15.75" customHeight="1">
      <c r="A11533" s="2" t="s">
        <v>11533</v>
      </c>
      <c r="B11533" s="2" t="str">
        <f>IFERROR(__xludf.DUMMYFUNCTION("GOOGLETRANSLATE(A11533, ""en"", ""mt"")"),"Min hu soġġett għall-verifika?")</f>
        <v>Min hu soġġett għall-verifika?</v>
      </c>
    </row>
    <row r="11534" ht="15.75" customHeight="1">
      <c r="A11534" s="2" t="s">
        <v>11534</v>
      </c>
      <c r="B11534" s="2" t="str">
        <f>IFERROR(__xludf.DUMMYFUNCTION("GOOGLETRANSLATE(A11534, ""en"", ""mt"")"),"X'inhuma l-komponenti tat-terapija bil-mediċina?")</f>
        <v>X'inhuma l-komponenti tat-terapija bil-mediċina?</v>
      </c>
    </row>
    <row r="11535" ht="15.75" customHeight="1">
      <c r="A11535" s="2" t="s">
        <v>11535</v>
      </c>
      <c r="B11535" s="2" t="str">
        <f>IFERROR(__xludf.DUMMYFUNCTION("GOOGLETRANSLATE(A11535, ""en"", ""mt"")"),"Hekk kif Jamukha u Temüjin injoraw fil-ħbiberija tagħhom, kull wieħed beda jikkonsolida l-poter, u malajr saru rivali. Jamukha appoġġa l-aristokrazija tradizzjonali Mongoljana, filwaqt li Temüjin segwa metodu meritokratiku, u ġibed firxa ta 'segwaċi ta' k"&amp;"lassi usa ', għalkemm baxxa. Minħabba t-telfa preċedenti tiegħu tal-Merkits, u proklamazzjoni mix-Shaman Kokochu li s-sema blu etern warrbu d-dinja għal Temüjin, Temüjin beda jitla 'għall-poter. Fl-1186, Temüjin ġie elett Khan tal-Mongoli. Madankollu, Jam"&amp;"ukha, mhedded mit-tlugħ mgħaġġel ta 'Temüjin, malajr mar biex iwaqqaf l-ambizzjonijiet ta' Temüjin. Fl-1187, huwa nieda attakk kontra l-eks ħabib tiegħu ma 'armata ta' tletin elf truppa. Temüjin bil-għaġla ġabar flimkien is-segwaċi tiegħu biex jiddefendu "&amp;"kontra l-attakk, iżda kien imsawwat b'mod deċiżiv fil-battalja ta 'Dalan Balzhut. JAMUKHA horrified lin-nies bil-kbir u għamel ħsara lill-immaġni tiegħu billi jagħli sebgħin magħluq maskili ħajjin fil-pastard, jaljena ħafna mis-segwaċi potenzjali tiegħu u"&amp;" joħroġ simpatija għal Temüjin. Toghrul, bħala l-patrun ta 'Temüjin, kien eżiljat għall-Qara Khitai. Il-ħajja ta 'Temüjin għall-għaxar snin li ġejjin mhix ċara ħafna, peress li r-rekords storiċi huma l-aktar siekta f'dak il-perjodu.")</f>
        <v>Hekk kif Jamukha u Temüjin injoraw fil-ħbiberija tagħhom, kull wieħed beda jikkonsolida l-poter, u malajr saru rivali. Jamukha appoġġa l-aristokrazija tradizzjonali Mongoljana, filwaqt li Temüjin segwa metodu meritokratiku, u ġibed firxa ta 'segwaċi ta' klassi usa ', għalkemm baxxa. Minħabba t-telfa preċedenti tiegħu tal-Merkits, u proklamazzjoni mix-Shaman Kokochu li s-sema blu etern warrbu d-dinja għal Temüjin, Temüjin beda jitla 'għall-poter. Fl-1186, Temüjin ġie elett Khan tal-Mongoli. Madankollu, Jamukha, mhedded mit-tlugħ mgħaġġel ta 'Temüjin, malajr mar biex iwaqqaf l-ambizzjonijiet ta' Temüjin. Fl-1187, huwa nieda attakk kontra l-eks ħabib tiegħu ma 'armata ta' tletin elf truppa. Temüjin bil-għaġla ġabar flimkien is-segwaċi tiegħu biex jiddefendu kontra l-attakk, iżda kien imsawwat b'mod deċiżiv fil-battalja ta 'Dalan Balzhut. JAMUKHA horrified lin-nies bil-kbir u għamel ħsara lill-immaġni tiegħu billi jagħli sebgħin magħluq maskili ħajjin fil-pastard, jaljena ħafna mis-segwaċi potenzjali tiegħu u joħroġ simpatija għal Temüjin. Toghrul, bħala l-patrun ta 'Temüjin, kien eżiljat għall-Qara Khitai. Il-ħajja ta 'Temüjin għall-għaxar snin li ġejjin mhix ċara ħafna, peress li r-rekords storiċi huma l-aktar siekta f'dak il-perjodu.</v>
      </c>
    </row>
    <row r="11536" ht="15.75" customHeight="1">
      <c r="A11536" s="2" t="s">
        <v>11536</v>
      </c>
      <c r="B11536" s="2" t="str">
        <f>IFERROR(__xludf.DUMMYFUNCTION("GOOGLETRANSLATE(A11536, ""en"", ""mt"")"),"kwalunkwe numru naturali n&gt; 3")</f>
        <v>kwalunkwe numru naturali n&gt; 3</v>
      </c>
    </row>
    <row r="11537" ht="15.75" customHeight="1">
      <c r="A11537" s="2" t="s">
        <v>11537</v>
      </c>
      <c r="B11537" s="2" t="str">
        <f>IFERROR(__xludf.DUMMYFUNCTION("GOOGLETRANSLATE(A11537, ""en"", ""mt"")"),"żewġ terzi")</f>
        <v>żewġ terzi</v>
      </c>
    </row>
    <row r="11538" ht="15.75" customHeight="1">
      <c r="A11538" s="2" t="s">
        <v>11538</v>
      </c>
      <c r="B11538" s="2" t="str">
        <f>IFERROR(__xludf.DUMMYFUNCTION("GOOGLETRANSLATE(A11538, ""en"", ""mt"")"),"X'inhuma ċ-ċelloli tal-ġilda li jistgħu jiġu trasformati f'tumuri magħrufa bħala?")</f>
        <v>X'inhuma ċ-ċelloli tal-ġilda li jistgħu jiġu trasformati f'tumuri magħrufa bħala?</v>
      </c>
    </row>
    <row r="11539" ht="15.75" customHeight="1">
      <c r="A11539" s="2" t="s">
        <v>11539</v>
      </c>
      <c r="B11539" s="2" t="str">
        <f>IFERROR(__xludf.DUMMYFUNCTION("GOOGLETRANSLATE(A11539, ""en"", ""mt"")"),"fi Franza")</f>
        <v>fi Franza</v>
      </c>
    </row>
    <row r="11540" ht="15.75" customHeight="1">
      <c r="A11540" s="2" t="s">
        <v>11540</v>
      </c>
      <c r="B11540" s="2" t="str">
        <f>IFERROR(__xludf.DUMMYFUNCTION("GOOGLETRANSLATE(A11540, ""en"", ""mt"")"),"Sorveljanza immuni")</f>
        <v>Sorveljanza immuni</v>
      </c>
    </row>
    <row r="11541" ht="15.75" customHeight="1">
      <c r="A11541" s="2" t="s">
        <v>11541</v>
      </c>
      <c r="B11541" s="2" t="str">
        <f>IFERROR(__xludf.DUMMYFUNCTION("GOOGLETRANSLATE(A11541, ""en"", ""mt"")"),"X'karattru manjetiku għandu triplet o2?")</f>
        <v>X'karattru manjetiku għandu triplet o2?</v>
      </c>
    </row>
    <row r="11542" ht="15.75" customHeight="1">
      <c r="A11542" s="2" t="s">
        <v>11542</v>
      </c>
      <c r="B11542" s="2" t="str">
        <f>IFERROR(__xludf.DUMMYFUNCTION("GOOGLETRANSLATE(A11542, ""en"", ""mt"")"),"Nullifikazzjoni")</f>
        <v>Nullifikazzjoni</v>
      </c>
    </row>
    <row r="11543" ht="15.75" customHeight="1">
      <c r="A11543" s="2" t="s">
        <v>11543</v>
      </c>
      <c r="B11543" s="2" t="str">
        <f>IFERROR(__xludf.DUMMYFUNCTION("GOOGLETRANSLATE(A11543, ""en"", ""mt"")"),"Minn fejn oriġina l-Mewt l-Iswed?")</f>
        <v>Minn fejn oriġina l-Mewt l-Iswed?</v>
      </c>
    </row>
    <row r="11544" ht="15.75" customHeight="1">
      <c r="A11544" s="2" t="s">
        <v>11544</v>
      </c>
      <c r="B11544" s="2" t="str">
        <f>IFERROR(__xludf.DUMMYFUNCTION("GOOGLETRANSLATE(A11544, ""en"", ""mt"")"),"l-eżistenza tal-kloroplast mitluf")</f>
        <v>l-eżistenza tal-kloroplast mitluf</v>
      </c>
    </row>
    <row r="11545" ht="15.75" customHeight="1">
      <c r="A11545" s="2" t="s">
        <v>11545</v>
      </c>
      <c r="B11545" s="2" t="str">
        <f>IFERROR(__xludf.DUMMYFUNCTION("GOOGLETRANSLATE(A11545, ""en"", ""mt"")"),"32,463")</f>
        <v>32,463</v>
      </c>
    </row>
    <row r="11546" ht="15.75" customHeight="1">
      <c r="A11546" s="2" t="s">
        <v>11546</v>
      </c>
      <c r="B11546" s="2" t="str">
        <f>IFERROR(__xludf.DUMMYFUNCTION("GOOGLETRANSLATE(A11546, ""en"", ""mt"")"),"Kemm hemm acres il-kopertura tal-V &amp; A?")</f>
        <v>Kemm hemm acres il-kopertura tal-V &amp; A?</v>
      </c>
    </row>
    <row r="11547" ht="15.75" customHeight="1">
      <c r="A11547" s="2" t="s">
        <v>11547</v>
      </c>
      <c r="B11547" s="2" t="str">
        <f>IFERROR(__xludf.DUMMYFUNCTION("GOOGLETRANSLATE(A11547, ""en"", ""mt"")"),"Peter Howell")</f>
        <v>Peter Howell</v>
      </c>
    </row>
    <row r="11548" ht="15.75" customHeight="1">
      <c r="A11548" s="2" t="s">
        <v>11548</v>
      </c>
      <c r="B11548" s="2" t="str">
        <f>IFERROR(__xludf.DUMMYFUNCTION("GOOGLETRANSLATE(A11548, ""en"", ""mt"")"),"munita fil-coffer")</f>
        <v>munita fil-coffer</v>
      </c>
    </row>
    <row r="11549" ht="15.75" customHeight="1">
      <c r="A11549" s="2" t="s">
        <v>11549</v>
      </c>
      <c r="B11549" s="2" t="str">
        <f>IFERROR(__xludf.DUMMYFUNCTION("GOOGLETRANSLATE(A11549, ""en"", ""mt"")"),"&gt; 500 da")</f>
        <v>&gt; 500 da</v>
      </c>
    </row>
    <row r="11550" ht="15.75" customHeight="1">
      <c r="A11550" s="2" t="s">
        <v>11550</v>
      </c>
      <c r="B11550" s="2" t="str">
        <f>IFERROR(__xludf.DUMMYFUNCTION("GOOGLETRANSLATE(A11550, ""en"", ""mt"")"),"F'dawn l-aħħar snin il-karatteristika li korrelata ħafna mas-saħħa f'pajjiżi żviluppati hija l-inugwaljanza fid-dħul. Il-ħolqien ta 'indiċi ta' ""problemi tas-saħħa u soċjali"" minn disa 'fatturi, l-awturi Richard Wilkinson u Kate Pickett sabu problemi ta"&amp;"s-saħħa u soċjali ""aktar komuni f'pajjiżi b'inugwaljanzi ta' dħul ikbar"", u aktar komuni fost l-istati fl-Istati Uniti b'inugwaljanzi ta 'dħul akbar. Studji oħra kkonfermaw din ir-relazzjoni. L-indiċi tal-UNICEF ta '""benesseri tat-tfal f'pajjiżi sinjur"&amp;"i"", li jistudja 40 indikatur fi 22 pajjiż, jikkorrelata ma' ugwaljanza akbar iżda mhux dħul per capita.")</f>
        <v>F'dawn l-aħħar snin il-karatteristika li korrelata ħafna mas-saħħa f'pajjiżi żviluppati hija l-inugwaljanza fid-dħul. Il-ħolqien ta 'indiċi ta' "problemi tas-saħħa u soċjali" minn disa 'fatturi, l-awturi Richard Wilkinson u Kate Pickett sabu problemi tas-saħħa u soċjali "aktar komuni f'pajjiżi b'inugwaljanzi ta' dħul ikbar", u aktar komuni fost l-istati fl-Istati Uniti b'inugwaljanzi ta 'dħul akbar. Studji oħra kkonfermaw din ir-relazzjoni. L-indiċi tal-UNICEF ta '"benesseri tat-tfal f'pajjiżi sinjuri", li jistudja 40 indikatur fi 22 pajjiż, jikkorrelata ma' ugwaljanza akbar iżda mhux dħul per capita.</v>
      </c>
    </row>
    <row r="11551" ht="15.75" customHeight="1">
      <c r="A11551" s="2" t="s">
        <v>11551</v>
      </c>
      <c r="B11551" s="2" t="str">
        <f>IFERROR(__xludf.DUMMYFUNCTION("GOOGLETRANSLATE(A11551, ""en"", ""mt"")"),"X'inhu l-isem tal-programm ta 'trattament residenzjali li tmexxi l-università?")</f>
        <v>X'inhu l-isem tal-programm ta 'trattament residenzjali li tmexxi l-università?</v>
      </c>
    </row>
    <row r="11552" ht="15.75" customHeight="1">
      <c r="A11552" s="2" t="s">
        <v>11552</v>
      </c>
      <c r="B11552" s="2" t="str">
        <f>IFERROR(__xludf.DUMMYFUNCTION("GOOGLETRANSLATE(A11552, ""en"", ""mt"")"),"1939")</f>
        <v>1939</v>
      </c>
    </row>
    <row r="11553" ht="15.75" customHeight="1">
      <c r="A11553" s="2" t="s">
        <v>11553</v>
      </c>
      <c r="B11553" s="2" t="str">
        <f>IFERROR(__xludf.DUMMYFUNCTION("GOOGLETRANSLATE(A11553, ""en"", ""mt"")"),"Prostaglandini")</f>
        <v>Prostaglandini</v>
      </c>
    </row>
    <row r="11554" ht="15.75" customHeight="1">
      <c r="A11554" s="2" t="s">
        <v>11554</v>
      </c>
      <c r="B11554" s="2" t="str">
        <f>IFERROR(__xludf.DUMMYFUNCTION("GOOGLETRANSLATE(A11554, ""en"", ""mt"")"),"Sas-snin sebgħin")</f>
        <v>Sas-snin sebgħin</v>
      </c>
    </row>
    <row r="11555" ht="15.75" customHeight="1">
      <c r="A11555" s="2" t="s">
        <v>11555</v>
      </c>
      <c r="B11555" s="2" t="str">
        <f>IFERROR(__xludf.DUMMYFUNCTION("GOOGLETRANSLATE(A11555, ""en"", ""mt"")"),"Kodiċi taihō")</f>
        <v>Kodiċi taihō</v>
      </c>
    </row>
    <row r="11556" ht="15.75" customHeight="1">
      <c r="A11556" s="2" t="s">
        <v>11556</v>
      </c>
      <c r="B11556" s="2" t="str">
        <f>IFERROR(__xludf.DUMMYFUNCTION("GOOGLETRANSLATE(A11556, ""en"", ""mt"")"),"Kif Luther ikkonvinċiet lill-Arċisqof Albrecht biex iwaqqaf il-bejgħ ta 'indulġenzi?")</f>
        <v>Kif Luther ikkonvinċiet lill-Arċisqof Albrecht biex iwaqqaf il-bejgħ ta 'indulġenzi?</v>
      </c>
    </row>
    <row r="11557" ht="15.75" customHeight="1">
      <c r="A11557" s="2" t="s">
        <v>11557</v>
      </c>
      <c r="B11557" s="2" t="str">
        <f>IFERROR(__xludf.DUMMYFUNCTION("GOOGLETRANSLATE(A11557, ""en"", ""mt"")"),"Prinċipji Ġenerali tal-Liġi tal-Unjoni Ewropea")</f>
        <v>Prinċipji Ġenerali tal-Liġi tal-Unjoni Ewropea</v>
      </c>
    </row>
    <row r="11558" ht="15.75" customHeight="1">
      <c r="A11558" s="2" t="s">
        <v>11558</v>
      </c>
      <c r="B11558" s="2" t="str">
        <f>IFERROR(__xludf.DUMMYFUNCTION("GOOGLETRANSLATE(A11558, ""en"", ""mt"")"),"tiffaċilita t-tagħlim tal-istudenti")</f>
        <v>tiffaċilita t-tagħlim tal-istudenti</v>
      </c>
    </row>
    <row r="11559" ht="15.75" customHeight="1">
      <c r="A11559" s="2" t="s">
        <v>11559</v>
      </c>
      <c r="B11559" s="2" t="str">
        <f>IFERROR(__xludf.DUMMYFUNCTION("GOOGLETRANSLATE(A11559, ""en"", ""mt"")"),"l-oċeani tad-dinja")</f>
        <v>l-oċeani tad-dinja</v>
      </c>
    </row>
    <row r="11560" ht="15.75" customHeight="1">
      <c r="A11560" s="2" t="s">
        <v>11560</v>
      </c>
      <c r="B11560" s="2" t="str">
        <f>IFERROR(__xludf.DUMMYFUNCTION("GOOGLETRANSLATE(A11560, ""en"", ""mt"")"),"50 anniversarju speċjali")</f>
        <v>50 anniversarju speċjali</v>
      </c>
    </row>
    <row r="11561" ht="15.75" customHeight="1">
      <c r="A11561" s="2" t="s">
        <v>11561</v>
      </c>
      <c r="B11561" s="2" t="str">
        <f>IFERROR(__xludf.DUMMYFUNCTION("GOOGLETRANSLATE(A11561, ""en"", ""mt"")"),"Kontijiet tat-TV Sky")</f>
        <v>Kontijiet tat-TV Sky</v>
      </c>
    </row>
    <row r="11562" ht="15.75" customHeight="1">
      <c r="A11562" s="2" t="s">
        <v>11562</v>
      </c>
      <c r="B11562" s="2" t="str">
        <f>IFERROR(__xludf.DUMMYFUNCTION("GOOGLETRANSLATE(A11562, ""en"", ""mt"")"),"Aktar tard il-kroniki tal-mewt ta 'Genghis Khan jimplikaw prinċipessa minn liema imperu fil-mewt tiegħu?")</f>
        <v>Aktar tard il-kroniki tal-mewt ta 'Genghis Khan jimplikaw prinċipessa minn liema imperu fil-mewt tiegħu?</v>
      </c>
    </row>
    <row r="11563" ht="15.75" customHeight="1">
      <c r="A11563" s="2" t="s">
        <v>11563</v>
      </c>
      <c r="B11563" s="2" t="str">
        <f>IFERROR(__xludf.DUMMYFUNCTION("GOOGLETRANSLATE(A11563, ""en"", ""mt"")"),"Liema nazzjonalità hija Hoesung Lee?")</f>
        <v>Liema nazzjonalità hija Hoesung Lee?</v>
      </c>
    </row>
    <row r="11564" ht="15.75" customHeight="1">
      <c r="A11564" s="2" t="s">
        <v>11564</v>
      </c>
      <c r="B11564" s="2" t="str">
        <f>IFERROR(__xludf.DUMMYFUNCTION("GOOGLETRANSLATE(A11564, ""en"", ""mt"")"),"100-150 speċi")</f>
        <v>100-150 speċi</v>
      </c>
    </row>
    <row r="11565" ht="15.75" customHeight="1">
      <c r="A11565" s="2" t="s">
        <v>11565</v>
      </c>
      <c r="B11565" s="2" t="str">
        <f>IFERROR(__xludf.DUMMYFUNCTION("GOOGLETRANSLATE(A11565, ""en"", ""mt"")"),"extra-kurrikulari")</f>
        <v>extra-kurrikulari</v>
      </c>
    </row>
    <row r="11566" ht="15.75" customHeight="1">
      <c r="A11566" s="2" t="s">
        <v>11566</v>
      </c>
      <c r="B11566" s="2" t="str">
        <f>IFERROR(__xludf.DUMMYFUNCTION("GOOGLETRANSLATE(A11566, ""en"", ""mt"")"),"Joseph Swan")</f>
        <v>Joseph Swan</v>
      </c>
    </row>
    <row r="11567" ht="15.75" customHeight="1">
      <c r="A11567" s="2" t="s">
        <v>11567</v>
      </c>
      <c r="B11567" s="2" t="str">
        <f>IFERROR(__xludf.DUMMYFUNCTION("GOOGLETRANSLATE(A11567, ""en"", ""mt"")"),"id-dot")</f>
        <v>id-dot</v>
      </c>
    </row>
    <row r="11568" ht="15.75" customHeight="1">
      <c r="A11568" s="2" t="s">
        <v>11568</v>
      </c>
      <c r="B11568" s="2" t="str">
        <f>IFERROR(__xludf.DUMMYFUNCTION("GOOGLETRANSLATE(A11568, ""en"", ""mt"")"),"Kemm minjieri mietu fit-tifqigħa tat-tifojde tal-1854?")</f>
        <v>Kemm minjieri mietu fit-tifqigħa tat-tifojde tal-1854?</v>
      </c>
    </row>
    <row r="11569" ht="15.75" customHeight="1">
      <c r="A11569" s="2" t="s">
        <v>11569</v>
      </c>
      <c r="B11569" s="2" t="str">
        <f>IFERROR(__xludf.DUMMYFUNCTION("GOOGLETRANSLATE(A11569, ""en"", ""mt"")"),"Maġġoranza Parlamentari")</f>
        <v>Maġġoranza Parlamentari</v>
      </c>
    </row>
    <row r="11570" ht="15.75" customHeight="1">
      <c r="A11570" s="2" t="s">
        <v>11570</v>
      </c>
      <c r="B11570" s="2" t="str">
        <f>IFERROR(__xludf.DUMMYFUNCTION("GOOGLETRANSLATE(A11570, ""en"", ""mt"")"),"Liema reliġjon ippreferiet Kublai?")</f>
        <v>Liema reliġjon ippreferiet Kublai?</v>
      </c>
    </row>
    <row r="11571" ht="15.75" customHeight="1">
      <c r="A11571" s="2" t="s">
        <v>11571</v>
      </c>
      <c r="B11571" s="2" t="str">
        <f>IFERROR(__xludf.DUMMYFUNCTION("GOOGLETRANSLATE(A11571, ""en"", ""mt"")"),"Strument finanzjarju li jista 'jintuża f'numru kbir ta' negozjanti u wkoll ippermetta lid-detenturi tal-kard iduru bilanċ")</f>
        <v>Strument finanzjarju li jista 'jintuża f'numru kbir ta' negozjanti u wkoll ippermetta lid-detenturi tal-kard iduru bilanċ</v>
      </c>
    </row>
    <row r="11572" ht="15.75" customHeight="1">
      <c r="A11572" s="2" t="s">
        <v>11572</v>
      </c>
      <c r="B11572" s="2" t="str">
        <f>IFERROR(__xludf.DUMMYFUNCTION("GOOGLETRANSLATE(A11572, ""en"", ""mt"")"),"X'se jkunu jistgħu jbassru x-xebbiet billi jżommu l-kuruni tagħhom fil-vistula?")</f>
        <v>X'se jkunu jistgħu jbassru x-xebbiet billi jżommu l-kuruni tagħhom fil-vistula?</v>
      </c>
    </row>
    <row r="11573" ht="15.75" customHeight="1">
      <c r="A11573" s="2" t="s">
        <v>11573</v>
      </c>
      <c r="B11573" s="2" t="str">
        <f>IFERROR(__xludf.DUMMYFUNCTION("GOOGLETRANSLATE(A11573, ""en"", ""mt"")"),"X'inhi l-espressjoni ta 'Alla tar-rieda eterna, skond Luther?")</f>
        <v>X'inhi l-espressjoni ta 'Alla tar-rieda eterna, skond Luther?</v>
      </c>
    </row>
    <row r="11574" ht="15.75" customHeight="1">
      <c r="A11574" s="2" t="s">
        <v>11574</v>
      </c>
      <c r="B11574" s="2" t="str">
        <f>IFERROR(__xludf.DUMMYFUNCTION("GOOGLETRANSLATE(A11574, ""en"", ""mt"")"),"X'inhu maħruġ ladarba l-kostruzzjoni tkun kompluta u għaddiet spezzjoni finali?")</f>
        <v>X'inhu maħruġ ladarba l-kostruzzjoni tkun kompluta u għaddiet spezzjoni finali?</v>
      </c>
    </row>
    <row r="11575" ht="15.75" customHeight="1">
      <c r="A11575" s="2" t="s">
        <v>11575</v>
      </c>
      <c r="B11575" s="2" t="str">
        <f>IFERROR(__xludf.DUMMYFUNCTION("GOOGLETRANSLATE(A11575, ""en"", ""mt"")"),"L-intervalli tan-numru ewlieni bejn il-emerġenzi jagħmluha diffiċli ħafna għall-predaturi li jevolvu li jistgħu jispeċjalizzaw bħala predaturi fuq magicicadas")</f>
        <v>L-intervalli tan-numru ewlieni bejn il-emerġenzi jagħmluha diffiċli ħafna għall-predaturi li jevolvu li jistgħu jispeċjalizzaw bħala predaturi fuq magicicadas</v>
      </c>
    </row>
    <row r="11576" ht="15.75" customHeight="1">
      <c r="A11576" s="2" t="s">
        <v>11576</v>
      </c>
      <c r="B11576" s="2" t="str">
        <f>IFERROR(__xludf.DUMMYFUNCTION("GOOGLETRANSLATE(A11576, ""en"", ""mt"")"),"Ġeografija immaġinattiva")</f>
        <v>Ġeografija immaġinattiva</v>
      </c>
    </row>
    <row r="11577" ht="15.75" customHeight="1">
      <c r="A11577" s="2" t="s">
        <v>11577</v>
      </c>
      <c r="B11577" s="2" t="str">
        <f>IFERROR(__xludf.DUMMYFUNCTION("GOOGLETRANSLATE(A11577, ""en"", ""mt"")"),"Fl-1542, Luther qara traduzzjoni bil-Latin tal-Koran. Huwa kompla jipproduċi diversi fuljetti kritiċi fuq l-Iżlam, li huwa sejjaħ ""Mohammedanism"" jew ""it-Turk"". Għalkemm Luther ra l-fidi Musulmana bħala għodda tax-xitan, huwa kien indifferenti għall-p"&amp;"rattika tiegħu: ""Ħalli t-Turk jemmen u jgħix kif sejjer, hekk kif wieħed iħalli l-papat u l-insara foloz oħra jgħixu."" Huwa oppona li tipprojbixxi l-pubblikazzjoni tal-Koran, li riedha tkun esposta għall-iskrutinju.")</f>
        <v>Fl-1542, Luther qara traduzzjoni bil-Latin tal-Koran. Huwa kompla jipproduċi diversi fuljetti kritiċi fuq l-Iżlam, li huwa sejjaħ "Mohammedanism" jew "it-Turk". Għalkemm Luther ra l-fidi Musulmana bħala għodda tax-xitan, huwa kien indifferenti għall-prattika tiegħu: "Ħalli t-Turk jemmen u jgħix kif sejjer, hekk kif wieħed iħalli l-papat u l-insara foloz oħra jgħixu." Huwa oppona li tipprojbixxi l-pubblikazzjoni tal-Koran, li riedha tkun esposta għall-iskrutinju.</v>
      </c>
    </row>
    <row r="11578" ht="15.75" customHeight="1">
      <c r="A11578" s="2" t="s">
        <v>11578</v>
      </c>
      <c r="B11578" s="2" t="str">
        <f>IFERROR(__xludf.DUMMYFUNCTION("GOOGLETRANSLATE(A11578, ""en"", ""mt"")"),"Min spiss jilgħab ir-raba 'tabib fil-parodji tal-kummiedja?")</f>
        <v>Min spiss jilgħab ir-raba 'tabib fil-parodji tal-kummiedja?</v>
      </c>
    </row>
    <row r="11579" ht="15.75" customHeight="1">
      <c r="A11579" s="2" t="s">
        <v>11579</v>
      </c>
      <c r="B11579" s="2" t="str">
        <f>IFERROR(__xludf.DUMMYFUNCTION("GOOGLETRANSLATE(A11579, ""en"", ""mt"")"),"Pspace")</f>
        <v>Pspace</v>
      </c>
    </row>
    <row r="11580" ht="15.75" customHeight="1">
      <c r="A11580" s="2" t="s">
        <v>11580</v>
      </c>
      <c r="B11580" s="2" t="str">
        <f>IFERROR(__xludf.DUMMYFUNCTION("GOOGLETRANSLATE(A11580, ""en"", ""mt"")"),"Kemm partijiet għandhom il-konsiderazzjoni ta 'kont fl-istadju 3?")</f>
        <v>Kemm partijiet għandhom il-konsiderazzjoni ta 'kont fl-istadju 3?</v>
      </c>
    </row>
    <row r="11581" ht="15.75" customHeight="1">
      <c r="A11581" s="2" t="s">
        <v>11581</v>
      </c>
      <c r="B11581" s="2" t="str">
        <f>IFERROR(__xludf.DUMMYFUNCTION("GOOGLETRANSLATE(A11581, ""en"", ""mt"")"),"Universali")</f>
        <v>Universali</v>
      </c>
    </row>
    <row r="11582" ht="15.75" customHeight="1">
      <c r="A11582" s="2" t="s">
        <v>11582</v>
      </c>
      <c r="B11582" s="2" t="str">
        <f>IFERROR(__xludf.DUMMYFUNCTION("GOOGLETRANSLATE(A11582, ""en"", ""mt"")"),"Liema post tan-NASA wasal l-aħħar għall-idea tal-LOR?")</f>
        <v>Liema post tan-NASA wasal l-aħħar għall-idea tal-LOR?</v>
      </c>
    </row>
    <row r="11583" ht="15.75" customHeight="1">
      <c r="A11583" s="2" t="s">
        <v>11583</v>
      </c>
      <c r="B11583" s="2" t="str">
        <f>IFERROR(__xludf.DUMMYFUNCTION("GOOGLETRANSLATE(A11583, ""en"", ""mt"")"),"20–18")</f>
        <v>20–18</v>
      </c>
    </row>
    <row r="11584" ht="15.75" customHeight="1">
      <c r="A11584" s="2" t="s">
        <v>11584</v>
      </c>
      <c r="B11584" s="2" t="str">
        <f>IFERROR(__xludf.DUMMYFUNCTION("GOOGLETRANSLATE(A11584, ""en"", ""mt"")"),"Is-suċċessjoni ta 'Genghis Khan kienet diġà suġġett sinifikanti matul is-snin ta' wara tar-renju tiegħu, hekk kif wasal fix-xjuħija. Id-diskussjoni fit-tul tal-paternità dwar l-eqdem tifel ta 'Genghis Jochi kienet partikolarment kontenzjuża minħabba l-anz"&amp;"janità ta' Jochi fost l-aħwa. Skond il-kontijiet storiċi tradizzjonali, il-kwistjoni fuq il-paternità ta 'Jochi ġiet imfissra bl-iktar mod qawwi minn Chagatai. Fl-istorja sigrieta tal-Mongoli, eżatt qabel l-invażjoni tal-Imperu Khwarezmid minn Genghis Kha"&amp;"n, Chagatai ddikjara quddiem missieru u aħwa li hu qatt ma jaċċetta lil Jochi bħala s-suċċessur ta 'Genghis Khan. Bi tweġiba għal din it-tensjoni, u possibbilment għal raġunijiet oħra, Ögedei ġie maħtur bħala suċċessur.")</f>
        <v>Is-suċċessjoni ta 'Genghis Khan kienet diġà suġġett sinifikanti matul is-snin ta' wara tar-renju tiegħu, hekk kif wasal fix-xjuħija. Id-diskussjoni fit-tul tal-paternità dwar l-eqdem tifel ta 'Genghis Jochi kienet partikolarment kontenzjuża minħabba l-anzjanità ta' Jochi fost l-aħwa. Skond il-kontijiet storiċi tradizzjonali, il-kwistjoni fuq il-paternità ta 'Jochi ġiet imfissra bl-iktar mod qawwi minn Chagatai. Fl-istorja sigrieta tal-Mongoli, eżatt qabel l-invażjoni tal-Imperu Khwarezmid minn Genghis Khan, Chagatai ddikjara quddiem missieru u aħwa li hu qatt ma jaċċetta lil Jochi bħala s-suċċessur ta 'Genghis Khan. Bi tweġiba għal din it-tensjoni, u possibbilment għal raġunijiet oħra, Ögedei ġie maħtur bħala suċċessur.</v>
      </c>
    </row>
    <row r="11585" ht="15.75" customHeight="1">
      <c r="A11585" s="2" t="s">
        <v>11585</v>
      </c>
      <c r="B11585" s="2" t="str">
        <f>IFERROR(__xludf.DUMMYFUNCTION("GOOGLETRANSLATE(A11585, ""en"", ""mt"")"),"Triq Collingwood,")</f>
        <v>Triq Collingwood,</v>
      </c>
    </row>
    <row r="11586" ht="15.75" customHeight="1">
      <c r="A11586" s="2" t="s">
        <v>11586</v>
      </c>
      <c r="B11586" s="2" t="str">
        <f>IFERROR(__xludf.DUMMYFUNCTION("GOOGLETRANSLATE(A11586, ""en"", ""mt"")"),"X'kien l-isem tal-kanzunetta relatata mat-Tabib Min rilaxxat fl-1988?")</f>
        <v>X'kien l-isem tal-kanzunetta relatata mat-Tabib Min rilaxxat fl-1988?</v>
      </c>
    </row>
    <row r="11587" ht="15.75" customHeight="1">
      <c r="A11587" s="2" t="s">
        <v>11587</v>
      </c>
      <c r="B11587" s="2" t="str">
        <f>IFERROR(__xludf.DUMMYFUNCTION("GOOGLETRANSLATE(A11587, ""en"", ""mt"")"),"Ma 'xiex tmur l-inugwaljanza għolja?")</f>
        <v>Ma 'xiex tmur l-inugwaljanza għolja?</v>
      </c>
    </row>
    <row r="11588" ht="15.75" customHeight="1">
      <c r="A11588" s="2" t="s">
        <v>11588</v>
      </c>
      <c r="B11588" s="2" t="str">
        <f>IFERROR(__xludf.DUMMYFUNCTION("GOOGLETRANSLATE(A11588, ""en"", ""mt"")"),"l-awtorità aħħarija tal-istati membri, l-impenn fattwali tagħha għad-drittijiet tal-bniedem, u r-rieda demokratika tal-poplu")</f>
        <v>l-awtorità aħħarija tal-istati membri, l-impenn fattwali tagħha għad-drittijiet tal-bniedem, u r-rieda demokratika tal-poplu</v>
      </c>
    </row>
    <row r="11589" ht="15.75" customHeight="1">
      <c r="A11589" s="2" t="s">
        <v>11589</v>
      </c>
      <c r="B11589" s="2" t="str">
        <f>IFERROR(__xludf.DUMMYFUNCTION("GOOGLETRANSLATE(A11589, ""en"", ""mt"")"),"Lt Col Paul von Lettow-Vorbeck")</f>
        <v>Lt Col Paul von Lettow-Vorbeck</v>
      </c>
    </row>
    <row r="11590" ht="15.75" customHeight="1">
      <c r="A11590" s="2" t="s">
        <v>11590</v>
      </c>
      <c r="B11590" s="2" t="str">
        <f>IFERROR(__xludf.DUMMYFUNCTION("GOOGLETRANSLATE(A11590, ""en"", ""mt"")"),"145")</f>
        <v>145</v>
      </c>
    </row>
    <row r="11591" ht="15.75" customHeight="1">
      <c r="A11591" s="2" t="s">
        <v>11591</v>
      </c>
      <c r="B11591" s="2" t="str">
        <f>IFERROR(__xludf.DUMMYFUNCTION("GOOGLETRANSLATE(A11591, ""en"", ""mt"")"),"Il-laqgħa tal-Assemblea Ġenerali tal-Knisja")</f>
        <v>Il-laqgħa tal-Assemblea Ġenerali tal-Knisja</v>
      </c>
    </row>
    <row r="11592" ht="15.75" customHeight="1">
      <c r="A11592" s="2" t="s">
        <v>11592</v>
      </c>
      <c r="B11592" s="2" t="str">
        <f>IFERROR(__xludf.DUMMYFUNCTION("GOOGLETRANSLATE(A11592, ""en"", ""mt"")"),"61%")</f>
        <v>61%</v>
      </c>
    </row>
    <row r="11593" ht="15.75" customHeight="1">
      <c r="A11593" s="2" t="s">
        <v>11593</v>
      </c>
      <c r="B11593" s="2" t="str">
        <f>IFERROR(__xludf.DUMMYFUNCTION("GOOGLETRANSLATE(A11593, ""en"", ""mt"")"),"l-effetti tagħhom fuq il-moviment tal-ġisem")</f>
        <v>l-effetti tagħhom fuq il-moviment tal-ġisem</v>
      </c>
    </row>
    <row r="11594" ht="15.75" customHeight="1">
      <c r="A11594" s="2" t="s">
        <v>11594</v>
      </c>
      <c r="B11594" s="2" t="str">
        <f>IFERROR(__xludf.DUMMYFUNCTION("GOOGLETRANSLATE(A11594, ""en"", ""mt"")"),"Kemm tunnellata ta 'trab huma minfuħa mis-Saħara kull sena?")</f>
        <v>Kemm tunnellata ta 'trab huma minfuħa mis-Saħara kull sena?</v>
      </c>
    </row>
    <row r="11595" ht="15.75" customHeight="1">
      <c r="A11595" s="2" t="s">
        <v>11595</v>
      </c>
      <c r="B11595" s="2" t="str">
        <f>IFERROR(__xludf.DUMMYFUNCTION("GOOGLETRANSLATE(A11595, ""en"", ""mt"")"),"X'irwol għandu bħalissa John Elway fil-franchise Broncos?")</f>
        <v>X'irwol għandu bħalissa John Elway fil-franchise Broncos?</v>
      </c>
    </row>
    <row r="11596" ht="15.75" customHeight="1">
      <c r="A11596" s="2" t="s">
        <v>11596</v>
      </c>
      <c r="B11596" s="2" t="str">
        <f>IFERROR(__xludf.DUMMYFUNCTION("GOOGLETRANSLATE(A11596, ""en"", ""mt"")"),"US $ 10 fil-Ġimgħa")</f>
        <v>US $ 10 fil-Ġimgħa</v>
      </c>
    </row>
    <row r="11597" ht="15.75" customHeight="1">
      <c r="A11597" s="2" t="s">
        <v>11597</v>
      </c>
      <c r="B11597" s="2" t="str">
        <f>IFERROR(__xludf.DUMMYFUNCTION("GOOGLETRANSLATE(A11597, ""en"", ""mt"")"),"Min irrifjuta li jaġixxi sakemm Loudoun approva l-pjanijiet?")</f>
        <v>Min irrifjuta li jaġixxi sakemm Loudoun approva l-pjanijiet?</v>
      </c>
    </row>
    <row r="11598" ht="15.75" customHeight="1">
      <c r="A11598" s="2" t="s">
        <v>11598</v>
      </c>
      <c r="B11598" s="2" t="str">
        <f>IFERROR(__xludf.DUMMYFUNCTION("GOOGLETRANSLATE(A11598, ""en"", ""mt"")"),"Liema sena miet Tesla?")</f>
        <v>Liema sena miet Tesla?</v>
      </c>
    </row>
    <row r="11599" ht="15.75" customHeight="1">
      <c r="A11599" s="2" t="s">
        <v>11599</v>
      </c>
      <c r="B11599" s="2" t="str">
        <f>IFERROR(__xludf.DUMMYFUNCTION("GOOGLETRANSLATE(A11599, ""en"", ""mt"")"),"Antibonding")</f>
        <v>Antibonding</v>
      </c>
    </row>
    <row r="11600" ht="15.75" customHeight="1">
      <c r="A11600" s="2" t="s">
        <v>11600</v>
      </c>
      <c r="B11600" s="2" t="str">
        <f>IFERROR(__xludf.DUMMYFUNCTION("GOOGLETRANSLATE(A11600, ""en"", ""mt"")"),"Ix-Xitwa tal-1973–74")</f>
        <v>Ix-Xitwa tal-1973–74</v>
      </c>
    </row>
    <row r="11601" ht="15.75" customHeight="1">
      <c r="A11601" s="2" t="s">
        <v>11601</v>
      </c>
      <c r="B11601" s="2" t="str">
        <f>IFERROR(__xludf.DUMMYFUNCTION("GOOGLETRANSLATE(A11601, ""en"", ""mt"")"),"480i")</f>
        <v>480i</v>
      </c>
    </row>
    <row r="11602" ht="15.75" customHeight="1">
      <c r="A11602" s="2" t="s">
        <v>11602</v>
      </c>
      <c r="B11602" s="2" t="str">
        <f>IFERROR(__xludf.DUMMYFUNCTION("GOOGLETRANSLATE(A11602, ""en"", ""mt"")"),"X'inhuma tliet eżempji ta 'klassijiet ta' kumplessità assoċjati mad-definizzjonijiet stabbiliti minn magni tat-Turing probabilistiċi?")</f>
        <v>X'inhuma tliet eżempji ta 'klassijiet ta' kumplessità assoċjati mad-definizzjonijiet stabbiliti minn magni tat-Turing probabilistiċi?</v>
      </c>
    </row>
    <row r="11603" ht="15.75" customHeight="1">
      <c r="A11603" s="2" t="s">
        <v>11603</v>
      </c>
      <c r="B11603" s="2" t="str">
        <f>IFERROR(__xludf.DUMMYFUNCTION("GOOGLETRANSLATE(A11603, ""en"", ""mt"")"),"Kemm rikostruzzjonijiet medjevali ta 'perjodu sħun koprew 1,000+ sena?")</f>
        <v>Kemm rikostruzzjonijiet medjevali ta 'perjodu sħun koprew 1,000+ sena?</v>
      </c>
    </row>
    <row r="11604" ht="15.75" customHeight="1">
      <c r="A11604" s="2" t="s">
        <v>11604</v>
      </c>
      <c r="B11604" s="2" t="str">
        <f>IFERROR(__xludf.DUMMYFUNCTION("GOOGLETRANSLATE(A11604, ""en"", ""mt"")"),"Bil-bosta l-iktar xogħol famuż ta 'l-arti Norman huwa t-tapizzerija ta' Bayeux, li mhix tapizzerija imma xogħol ta 'rakkmu. Ġie kkummissjonat minn Odo, l-Isqof ta 'Bayeux u l-ewwel Earl ta' Kent, li jimpjegaw indiġeni minn Kent li tgħallmu fit-tradizzjoni"&amp;"jiet Nordiċi importati fin-nofs tas-seklu ta 'qabel mill-Vikingi Daniżi.")</f>
        <v>Bil-bosta l-iktar xogħol famuż ta 'l-arti Norman huwa t-tapizzerija ta' Bayeux, li mhix tapizzerija imma xogħol ta 'rakkmu. Ġie kkummissjonat minn Odo, l-Isqof ta 'Bayeux u l-ewwel Earl ta' Kent, li jimpjegaw indiġeni minn Kent li tgħallmu fit-tradizzjonijiet Nordiċi importati fin-nofs tas-seklu ta 'qabel mill-Vikingi Daniżi.</v>
      </c>
    </row>
    <row r="11605" ht="15.75" customHeight="1">
      <c r="A11605" s="2" t="s">
        <v>11605</v>
      </c>
      <c r="B11605" s="2" t="str">
        <f>IFERROR(__xludf.DUMMYFUNCTION("GOOGLETRANSLATE(A11605, ""en"", ""mt"")"),"Min rebaħ is-Super Bowl MVP?")</f>
        <v>Min rebaħ is-Super Bowl MVP?</v>
      </c>
    </row>
    <row r="11606" ht="15.75" customHeight="1">
      <c r="A11606" s="2" t="s">
        <v>11606</v>
      </c>
      <c r="B11606" s="2" t="str">
        <f>IFERROR(__xludf.DUMMYFUNCTION("GOOGLETRANSLATE(A11606, ""en"", ""mt"")"),"Punent mill-Alter Rhein")</f>
        <v>Punent mill-Alter Rhein</v>
      </c>
    </row>
    <row r="11607" ht="15.75" customHeight="1">
      <c r="A11607" s="2" t="s">
        <v>11607</v>
      </c>
      <c r="B11607" s="2" t="str">
        <f>IFERROR(__xludf.DUMMYFUNCTION("GOOGLETRANSLATE(A11607, ""en"", ""mt"")"),"Netwerk tat-tilakoid")</f>
        <v>Netwerk tat-tilakoid</v>
      </c>
    </row>
    <row r="11608" ht="15.75" customHeight="1">
      <c r="A11608" s="2" t="s">
        <v>11608</v>
      </c>
      <c r="B11608" s="2" t="str">
        <f>IFERROR(__xludf.DUMMYFUNCTION("GOOGLETRANSLATE(A11608, ""en"", ""mt"")"),"Massakru ta 'Jum San Bartolomew")</f>
        <v>Massakru ta 'Jum San Bartolomew</v>
      </c>
    </row>
    <row r="11609" ht="15.75" customHeight="1">
      <c r="A11609" s="2" t="s">
        <v>11609</v>
      </c>
      <c r="B11609" s="2" t="str">
        <f>IFERROR(__xludf.DUMMYFUNCTION("GOOGLETRANSLATE(A11609, ""en"", ""mt"")"),"Arja")</f>
        <v>Arja</v>
      </c>
    </row>
    <row r="11610" ht="15.75" customHeight="1">
      <c r="A11610" s="2" t="s">
        <v>11610</v>
      </c>
      <c r="B11610" s="2" t="str">
        <f>IFERROR(__xludf.DUMMYFUNCTION("GOOGLETRANSLATE(A11610, ""en"", ""mt"")"),"Liema episodju ta 'Star Trek għandu ħaqq lil Doctor Who?")</f>
        <v>Liema episodju ta 'Star Trek għandu ħaqq lil Doctor Who?</v>
      </c>
    </row>
    <row r="11611" ht="15.75" customHeight="1">
      <c r="A11611" s="2" t="s">
        <v>11611</v>
      </c>
      <c r="B11611" s="2" t="str">
        <f>IFERROR(__xludf.DUMMYFUNCTION("GOOGLETRANSLATE(A11611, ""en"", ""mt"")"),"L-awtur Sloven-Amerikan Louis Adamic")</f>
        <v>L-awtur Sloven-Amerikan Louis Adamic</v>
      </c>
    </row>
    <row r="11612" ht="15.75" customHeight="1">
      <c r="A11612" s="2" t="s">
        <v>11612</v>
      </c>
      <c r="B11612" s="2" t="str">
        <f>IFERROR(__xludf.DUMMYFUNCTION("GOOGLETRANSLATE(A11612, ""en"", ""mt"")"),"Baħar iswed")</f>
        <v>Baħar iswed</v>
      </c>
    </row>
    <row r="11613" ht="15.75" customHeight="1">
      <c r="A11613" s="2" t="s">
        <v>11613</v>
      </c>
      <c r="B11613" s="2" t="str">
        <f>IFERROR(__xludf.DUMMYFUNCTION("GOOGLETRANSLATE(A11613, ""en"", ""mt"")"),"swali")</f>
        <v>swali</v>
      </c>
    </row>
    <row r="11614" ht="15.75" customHeight="1">
      <c r="A11614" s="2" t="s">
        <v>11614</v>
      </c>
      <c r="B11614" s="2" t="str">
        <f>IFERROR(__xludf.DUMMYFUNCTION("GOOGLETRANSLATE(A11614, ""en"", ""mt"")"),"Santa Clara, California.")</f>
        <v>Santa Clara, California.</v>
      </c>
    </row>
    <row r="11615" ht="15.75" customHeight="1">
      <c r="A11615" s="2" t="s">
        <v>11615</v>
      </c>
      <c r="B11615" s="2" t="str">
        <f>IFERROR(__xludf.DUMMYFUNCTION("GOOGLETRANSLATE(A11615, ""en"", ""mt"")"),"X'inhu l-bilanċ għal rinforz pożittiv?")</f>
        <v>X'inhu l-bilanċ għal rinforz pożittiv?</v>
      </c>
    </row>
    <row r="11616" ht="15.75" customHeight="1">
      <c r="A11616" s="2" t="s">
        <v>11616</v>
      </c>
      <c r="B11616" s="2" t="str">
        <f>IFERROR(__xludf.DUMMYFUNCTION("GOOGLETRANSLATE(A11616, ""en"", ""mt"")"),"Gwerra tal-Kurrenti")</f>
        <v>Gwerra tal-Kurrenti</v>
      </c>
    </row>
    <row r="11617" ht="15.75" customHeight="1">
      <c r="A11617" s="2" t="s">
        <v>11617</v>
      </c>
      <c r="B11617" s="2" t="str">
        <f>IFERROR(__xludf.DUMMYFUNCTION("GOOGLETRANSLATE(A11617, ""en"", ""mt"")"),"10%")</f>
        <v>10%</v>
      </c>
    </row>
    <row r="11618" ht="15.75" customHeight="1">
      <c r="A11618" s="2" t="s">
        <v>11618</v>
      </c>
      <c r="B11618" s="2" t="str">
        <f>IFERROR(__xludf.DUMMYFUNCTION("GOOGLETRANSLATE(A11618, ""en"", ""mt"")"),"Meta l-irkupru bejn id-distakk li jwessa 'bejn iċ-ċittadini l-aktar sinjuri u l-kumplament tan-nazzjon bil-mod?")</f>
        <v>Meta l-irkupru bejn id-distakk li jwessa 'bejn iċ-ċittadini l-aktar sinjuri u l-kumplament tan-nazzjon bil-mod?</v>
      </c>
    </row>
    <row r="11619" ht="15.75" customHeight="1">
      <c r="A11619" s="2" t="s">
        <v>11619</v>
      </c>
      <c r="B11619" s="2" t="str">
        <f>IFERROR(__xludf.DUMMYFUNCTION("GOOGLETRANSLATE(A11619, ""en"", ""mt"")"),"F'liema każ il-Qorti tal-Ġustizzja ddikjarat li r-rifjut li jammetti avukat fil-bar Belġjan għax ma kellux wirt Belġjan ma setax ikun ġustifikat?")</f>
        <v>F'liema każ il-Qorti tal-Ġustizzja ddikjarat li r-rifjut li jammetti avukat fil-bar Belġjan għax ma kellux wirt Belġjan ma setax ikun ġustifikat?</v>
      </c>
    </row>
    <row r="11620" ht="15.75" customHeight="1">
      <c r="A11620" s="2" t="s">
        <v>11620</v>
      </c>
      <c r="B11620" s="2" t="str">
        <f>IFERROR(__xludf.DUMMYFUNCTION("GOOGLETRANSLATE(A11620, ""en"", ""mt"")"),"F'liema sena Tesla wriet is-sistema kurrenti alternattiva tiegħu?")</f>
        <v>F'liema sena Tesla wriet is-sistema kurrenti alternattiva tiegħu?</v>
      </c>
    </row>
    <row r="11621" ht="15.75" customHeight="1">
      <c r="A11621" s="2" t="s">
        <v>11621</v>
      </c>
      <c r="B11621" s="2" t="str">
        <f>IFERROR(__xludf.DUMMYFUNCTION("GOOGLETRANSLATE(A11621, ""en"", ""mt"")"),"Liema artiklu tal-Grundgesetz jagħti d-dritt li jagħmel skejjel privati?")</f>
        <v>Liema artiklu tal-Grundgesetz jagħti d-dritt li jagħmel skejjel privati?</v>
      </c>
    </row>
    <row r="11622" ht="15.75" customHeight="1">
      <c r="A11622" s="2" t="s">
        <v>11622</v>
      </c>
      <c r="B11622" s="2" t="str">
        <f>IFERROR(__xludf.DUMMYFUNCTION("GOOGLETRANSLATE(A11622, ""en"", ""mt"")"),"Min ħa t-triq tal-vjolenza?")</f>
        <v>Min ħa t-triq tal-vjolenza?</v>
      </c>
    </row>
    <row r="11623" ht="15.75" customHeight="1">
      <c r="A11623" s="2" t="s">
        <v>11623</v>
      </c>
      <c r="B11623" s="2" t="str">
        <f>IFERROR(__xludf.DUMMYFUNCTION("GOOGLETRANSLATE(A11623, ""en"", ""mt"")"),"Membrana doppja mitokondrijali")</f>
        <v>Membrana doppja mitokondrijali</v>
      </c>
    </row>
    <row r="11624" ht="15.75" customHeight="1">
      <c r="A11624" s="2" t="s">
        <v>11624</v>
      </c>
      <c r="B11624" s="2" t="str">
        <f>IFERROR(__xludf.DUMMYFUNCTION("GOOGLETRANSLATE(A11624, ""en"", ""mt"")"),"X'kien l-ewwel soluzzjoni rreġistrata f'liema saret Newcastle?")</f>
        <v>X'kien l-ewwel soluzzjoni rreġistrata f'liema saret Newcastle?</v>
      </c>
    </row>
    <row r="11625" ht="15.75" customHeight="1">
      <c r="A11625" s="2" t="s">
        <v>11625</v>
      </c>
      <c r="B11625" s="2" t="str">
        <f>IFERROR(__xludf.DUMMYFUNCTION("GOOGLETRANSLATE(A11625, ""en"", ""mt"")"),"bijostratigrafiċi")</f>
        <v>bijostratigrafiċi</v>
      </c>
    </row>
    <row r="11626" ht="15.75" customHeight="1">
      <c r="A11626" s="2" t="s">
        <v>11626</v>
      </c>
      <c r="B11626" s="2" t="str">
        <f>IFERROR(__xludf.DUMMYFUNCTION("GOOGLETRANSLATE(A11626, ""en"", ""mt"")"),"Algoritmu speċifiku li juri t (n) jirrappreżenta liema miżura tal-kumplessità tal-ħin?")</f>
        <v>Algoritmu speċifiku li juri t (n) jirrappreżenta liema miżura tal-kumplessità tal-ħin?</v>
      </c>
    </row>
    <row r="11627" ht="15.75" customHeight="1">
      <c r="A11627" s="2" t="s">
        <v>11627</v>
      </c>
      <c r="B11627" s="2" t="str">
        <f>IFERROR(__xludf.DUMMYFUNCTION("GOOGLETRANSLATE(A11627, ""en"", ""mt"")"),"ċitosol")</f>
        <v>ċitosol</v>
      </c>
    </row>
    <row r="11628" ht="15.75" customHeight="1">
      <c r="A11628" s="2" t="s">
        <v>11628</v>
      </c>
      <c r="B11628" s="2" t="str">
        <f>IFERROR(__xludf.DUMMYFUNCTION("GOOGLETRANSLATE(A11628, ""en"", ""mt"")"),"temperaturi")</f>
        <v>temperaturi</v>
      </c>
    </row>
    <row r="11629" ht="15.75" customHeight="1">
      <c r="A11629" s="2" t="s">
        <v>11629</v>
      </c>
      <c r="B11629" s="2" t="str">
        <f>IFERROR(__xludf.DUMMYFUNCTION("GOOGLETRANSLATE(A11629, ""en"", ""mt"")"),"Newton kien l-għażla numru wieħed li fiha l-abbozz?")</f>
        <v>Newton kien l-għażla numru wieħed li fiha l-abbozz?</v>
      </c>
    </row>
    <row r="11630" ht="15.75" customHeight="1">
      <c r="A11630" s="2" t="s">
        <v>11630</v>
      </c>
      <c r="B11630" s="2" t="str">
        <f>IFERROR(__xludf.DUMMYFUNCTION("GOOGLETRANSLATE(A11630, ""en"", ""mt"")"),"tgħaddi nixxiegħa ta 'arja nadifa u niexfa minn sodda waħda ta' par ta 'passaġġi molekulari identiċi taż-żeoliti")</f>
        <v>tgħaddi nixxiegħa ta 'arja nadifa u niexfa minn sodda waħda ta' par ta 'passaġġi molekulari identiċi taż-żeoliti</v>
      </c>
    </row>
    <row r="11631" ht="15.75" customHeight="1">
      <c r="A11631" s="2" t="s">
        <v>11631</v>
      </c>
      <c r="B11631" s="2" t="str">
        <f>IFERROR(__xludf.DUMMYFUNCTION("GOOGLETRANSLATE(A11631, ""en"", ""mt"")"),"Fejn il-proporzjon ta 'djar maqsuma u kkonvertiti fl-2011 poġġa dan it-tip ta' abitazzjoni fil-parentesi kkodifikati bil-kulur?")</f>
        <v>Fejn il-proporzjon ta 'djar maqsuma u kkonvertiti fl-2011 poġġa dan it-tip ta' abitazzjoni fil-parentesi kkodifikati bil-kulur?</v>
      </c>
    </row>
    <row r="11632" ht="15.75" customHeight="1">
      <c r="A11632" s="2" t="s">
        <v>11632</v>
      </c>
      <c r="B11632" s="2" t="str">
        <f>IFERROR(__xludf.DUMMYFUNCTION("GOOGLETRANSLATE(A11632, ""en"", ""mt"")"),"Ftit truppi Ingliżi")</f>
        <v>Ftit truppi Ingliżi</v>
      </c>
    </row>
    <row r="11633" ht="15.75" customHeight="1">
      <c r="A11633" s="2" t="s">
        <v>11633</v>
      </c>
      <c r="B11633" s="2" t="str">
        <f>IFERROR(__xludf.DUMMYFUNCTION("GOOGLETRANSLATE(A11633, ""en"", ""mt"")"),"L-alka ħamra endosymbiont il-membrana taċ-ċellula oriġinali")</f>
        <v>L-alka ħamra endosymbiont il-membrana taċ-ċellula oriġinali</v>
      </c>
    </row>
    <row r="11634" ht="15.75" customHeight="1">
      <c r="A11634" s="2" t="s">
        <v>11634</v>
      </c>
      <c r="B11634" s="2" t="str">
        <f>IFERROR(__xludf.DUMMYFUNCTION("GOOGLETRANSLATE(A11634, ""en"", ""mt"")"),"Tamara de Lempicka kienet artist famuż imwieled f'Varsavja. Hija twieldet Maria Górska f'Varsavja lil ġenituri sinjuri u fl-1916 iżżewġet avukat Pollakk Tadeusz łempicki. Aħjar minn ħaddieħor hi rrappreżentat l-istil Art Deco fil-pittura u l-arti. Nathan "&amp;"Alterman, il-poeta Iżraeljan, twieled f'Varsavja, kif kien Moshe Vilenski, il-kompożitur, lyricist u pjanista Iżraeljan, li studja l-mużika fil-Konservatorju ta 'Varsavja. Varsavja kienet il-belt maħbuba ta ’Isaac Bashevis Singer, li huwa ddeskriva f’ħafn"&amp;"a mir-rumanzi tiegħu: Varsavja għadha kemm inqerdet. Ħadd qatt mhu se jara l-Varsavja li kont naf. Ħallini nikteb biss dwarha. Ħalli dan il-Varsavja ma tisparixxix għal dejjem, huwa kkummenta.")</f>
        <v>Tamara de Lempicka kienet artist famuż imwieled f'Varsavja. Hija twieldet Maria Górska f'Varsavja lil ġenituri sinjuri u fl-1916 iżżewġet avukat Pollakk Tadeusz łempicki. Aħjar minn ħaddieħor hi rrappreżentat l-istil Art Deco fil-pittura u l-arti. Nathan Alterman, il-poeta Iżraeljan, twieled f'Varsavja, kif kien Moshe Vilenski, il-kompożitur, lyricist u pjanista Iżraeljan, li studja l-mużika fil-Konservatorju ta 'Varsavja. Varsavja kienet il-belt maħbuba ta ’Isaac Bashevis Singer, li huwa ddeskriva f’ħafna mir-rumanzi tiegħu: Varsavja għadha kemm inqerdet. Ħadd qatt mhu se jara l-Varsavja li kont naf. Ħallini nikteb biss dwarha. Ħalli dan il-Varsavja ma tisparixxix għal dejjem, huwa kkummenta.</v>
      </c>
    </row>
    <row r="11635" ht="15.75" customHeight="1">
      <c r="A11635" s="2" t="s">
        <v>11635</v>
      </c>
      <c r="B11635" s="2" t="str">
        <f>IFERROR(__xludf.DUMMYFUNCTION("GOOGLETRANSLATE(A11635, ""en"", ""mt"")"),"Suite ta 'protokolli tan-netwerk maħluqa minn Digital Equipment Corporation")</f>
        <v>Suite ta 'protokolli tan-netwerk maħluqa minn Digital Equipment Corporation</v>
      </c>
    </row>
    <row r="11636" ht="15.75" customHeight="1">
      <c r="A11636" s="2" t="s">
        <v>11636</v>
      </c>
      <c r="B11636" s="2" t="str">
        <f>IFERROR(__xludf.DUMMYFUNCTION("GOOGLETRANSLATE(A11636, ""en"", ""mt"")"),"Madwar kemm hemm ħaġar prezzjuż fil-kollezzjoni ta 'Reverend Chauncy Hare Townshend lill-mużew?")</f>
        <v>Madwar kemm hemm ħaġar prezzjuż fil-kollezzjoni ta 'Reverend Chauncy Hare Townshend lill-mużew?</v>
      </c>
    </row>
    <row r="11637" ht="15.75" customHeight="1">
      <c r="A11637" s="2" t="s">
        <v>11637</v>
      </c>
      <c r="B11637" s="2" t="str">
        <f>IFERROR(__xludf.DUMMYFUNCTION("GOOGLETRANSLATE(A11637, ""en"", ""mt"")"),"Austpac kien netwerk pubbliku Awstraljan X.25 imħaddem minn Telstra")</f>
        <v>Austpac kien netwerk pubbliku Awstraljan X.25 imħaddem minn Telstra</v>
      </c>
    </row>
    <row r="11638" ht="15.75" customHeight="1">
      <c r="A11638" s="2" t="s">
        <v>11638</v>
      </c>
      <c r="B11638" s="2" t="str">
        <f>IFERROR(__xludf.DUMMYFUNCTION("GOOGLETRANSLATE(A11638, ""en"", ""mt"")"),"F'liema klassi ta 'kumplessità jeżistu problemi ta' problemi ta 'NP?")</f>
        <v>F'liema klassi ta 'kumplessità jeżistu problemi ta' problemi ta 'NP?</v>
      </c>
    </row>
    <row r="11639" ht="15.75" customHeight="1">
      <c r="A11639" s="2" t="s">
        <v>11639</v>
      </c>
      <c r="B11639" s="2" t="str">
        <f>IFERROR(__xludf.DUMMYFUNCTION("GOOGLETRANSLATE(A11639, ""en"", ""mt"")"),"Liema sena ntemmet it- ""TGIF"" ta 'ABC?")</f>
        <v>Liema sena ntemmet it- "TGIF" ta 'ABC?</v>
      </c>
    </row>
    <row r="11640" ht="15.75" customHeight="1">
      <c r="A11640" s="2" t="s">
        <v>11640</v>
      </c>
      <c r="B11640" s="2" t="str">
        <f>IFERROR(__xludf.DUMMYFUNCTION("GOOGLETRANSLATE(A11640, ""en"", ""mt"")"),"Sfida akbar għas-sistema legali li tippermetti li jittieħdu dawk id-deċiżjonijiet")</f>
        <v>Sfida akbar għas-sistema legali li tippermetti li jittieħdu dawk id-deċiżjonijiet</v>
      </c>
    </row>
    <row r="11641" ht="15.75" customHeight="1">
      <c r="A11641" s="2" t="s">
        <v>11641</v>
      </c>
      <c r="B11641" s="2" t="str">
        <f>IFERROR(__xludf.DUMMYFUNCTION("GOOGLETRANSLATE(A11641, ""en"", ""mt"")"),"L-ITV Tyne Tees kien ibbażat fi City Road għal aktar minn 40 sena wara t-tnedija tagħha f'Jannar 1959. Fl-2005 marret f'faċilità ġdida fuq il-Park tan-Negozju tal-Watermark ħdejn il-Metrocentre f'Gateshead. Id-daħla għal Studio 5 fil-Kumpless tat-Triq tal"&amp;"-Belt tat isimha għall-programm tat-televiżjoni tal-mużika tas-snin 1980, The Tube. Il-BBC North East u Cumbria tinsab fit-tramuntana tal-belt fi Triq Barrack, Lingwi Spital, f'bini magħruf, bħala r-riżultat tal-kulur tagħha, bħala l-Palazz Pink. Huwa min"&amp;"n hawn li l-korporazzjoni xandar il-Programm tal-Aħbarijiet Reġjonali tat-Televiżjoni North u l-istazzjon lokali tar-radju BBC Radio Newcastle.")</f>
        <v>L-ITV Tyne Tees kien ibbażat fi City Road għal aktar minn 40 sena wara t-tnedija tagħha f'Jannar 1959. Fl-2005 marret f'faċilità ġdida fuq il-Park tan-Negozju tal-Watermark ħdejn il-Metrocentre f'Gateshead. Id-daħla għal Studio 5 fil-Kumpless tat-Triq tal-Belt tat isimha għall-programm tat-televiżjoni tal-mużika tas-snin 1980, The Tube. Il-BBC North East u Cumbria tinsab fit-tramuntana tal-belt fi Triq Barrack, Lingwi Spital, f'bini magħruf, bħala r-riżultat tal-kulur tagħha, bħala l-Palazz Pink. Huwa minn hawn li l-korporazzjoni xandar il-Programm tal-Aħbarijiet Reġjonali tat-Televiżjoni North u l-istazzjon lokali tar-radju BBC Radio Newcastle.</v>
      </c>
    </row>
    <row r="11642" ht="15.75" customHeight="1">
      <c r="A11642" s="2" t="s">
        <v>11642</v>
      </c>
      <c r="B11642" s="2" t="str">
        <f>IFERROR(__xludf.DUMMYFUNCTION("GOOGLETRANSLATE(A11642, ""en"", ""mt"")"),"Kumpanija Brittanika tat-Telekomunikazzjoni")</f>
        <v>Kumpanija Brittanika tat-Telekomunikazzjoni</v>
      </c>
    </row>
    <row r="11643" ht="15.75" customHeight="1">
      <c r="A11643" s="2" t="s">
        <v>11643</v>
      </c>
      <c r="B11643" s="2" t="str">
        <f>IFERROR(__xludf.DUMMYFUNCTION("GOOGLETRANSLATE(A11643, ""en"", ""mt"")"),"diversi")</f>
        <v>diversi</v>
      </c>
    </row>
    <row r="11644" ht="15.75" customHeight="1">
      <c r="A11644" s="2" t="s">
        <v>11644</v>
      </c>
      <c r="B11644" s="2" t="str">
        <f>IFERROR(__xludf.DUMMYFUNCTION("GOOGLETRANSLATE(A11644, ""en"", ""mt"")"),"Saltna ta ’Sqallija")</f>
        <v>Saltna ta ’Sqallija</v>
      </c>
    </row>
    <row r="11645" ht="15.75" customHeight="1">
      <c r="A11645" s="2" t="s">
        <v>11645</v>
      </c>
      <c r="B11645" s="2" t="str">
        <f>IFERROR(__xludf.DUMMYFUNCTION("GOOGLETRANSLATE(A11645, ""en"", ""mt"")"),"tip ta 'turbina")</f>
        <v>tip ta 'turbina</v>
      </c>
    </row>
    <row r="11646" ht="15.75" customHeight="1">
      <c r="A11646" s="2" t="s">
        <v>11646</v>
      </c>
      <c r="B11646" s="2" t="str">
        <f>IFERROR(__xludf.DUMMYFUNCTION("GOOGLETRANSLATE(A11646, ""en"", ""mt"")"),"taljoli mobbli")</f>
        <v>taljoli mobbli</v>
      </c>
    </row>
    <row r="11647" ht="15.75" customHeight="1">
      <c r="A11647" s="2" t="s">
        <v>11647</v>
      </c>
      <c r="B11647" s="2" t="str">
        <f>IFERROR(__xludf.DUMMYFUNCTION("GOOGLETRANSLATE(A11647, ""en"", ""mt"")"),"Michelangelo (skultura)")</f>
        <v>Michelangelo (skultura)</v>
      </c>
    </row>
    <row r="11648" ht="15.75" customHeight="1">
      <c r="A11648" s="2" t="s">
        <v>11648</v>
      </c>
      <c r="B11648" s="2" t="str">
        <f>IFERROR(__xludf.DUMMYFUNCTION("GOOGLETRANSLATE(A11648, ""en"", ""mt"")"),"B'liema kelma ġiet deskritta s-soċjabbiltà ta 'Tesla?")</f>
        <v>B'liema kelma ġiet deskritta s-soċjabbiltà ta 'Tesla?</v>
      </c>
    </row>
    <row r="11649" ht="15.75" customHeight="1">
      <c r="A11649" s="2" t="s">
        <v>11649</v>
      </c>
      <c r="B11649" s="2" t="str">
        <f>IFERROR(__xludf.DUMMYFUNCTION("GOOGLETRANSLATE(A11649, ""en"", ""mt"")"),"Ir-rekord uffiċjali ta 'temperatura għolja għal Fresno huwa 115 ° F (46.1 ° C), imwaqqaf fit-8 ta' Lulju, 1905, filwaqt li r-rekord uffiċjali baxx huwa 17 ° F (−8 ° C), issettjat fis-6 ta 'Jannar, 1913. Għal 100 ° F (37.8 ° C) +, 90 ° F (32.2 ° C) +, u t-"&amp;"temperaturi tal-iffriżar huma l-1 ta 'Ġunju sat-13 ta' Settembru, 26 ta 'April sad-9 ta' Ottubru, u l-10 ta 'Diċembru sat-28 ta' Jannar, rispettivament, u l-ebda iffriżar ma seħħ Bejn fl-istaġun 1983/1984. Ix-xita annwali kienet tvarja minn 23.57 pulzier "&amp;"(598.7 mm) fis- “sena tax-xita” minn Lulju 1982 sa Ġunju 1983 sa 4.43 pulzieri (112.5 mm) minn Lulju 1933 sa Ġunju 1934. L-iktar xita f’xahar kienet 9.54 pulzieri (242.3 mm (242.3 mm ) f'Novembru 1885 u l-iktar xita f'24 siegħa 3.55 pulzier (90.2 mm) fit-"&amp;"18 ta 'Novembru, 1885. Il-preċipitazzjoni li tista' titkejjel taqa 'fuq medja ta '48 jum kull sena. Il-borra hija rarità; L-itqal borra fl-ajruport kienet ta ’2.2 pulzieri (0.06 m) fil-21 ta’ Jannar, 1962.")</f>
        <v>Ir-rekord uffiċjali ta 'temperatura għolja għal Fresno huwa 115 ° F (46.1 ° C), imwaqqaf fit-8 ta' Lulju, 1905, filwaqt li r-rekord uffiċjali baxx huwa 17 ° F (−8 ° C), issettjat fis-6 ta 'Jannar, 1913. Għal 100 ° F (37.8 ° C) +, 90 ° F (32.2 ° C) +, u t-temperaturi tal-iffriżar huma l-1 ta 'Ġunju sat-13 ta' Settembru, 26 ta 'April sad-9 ta' Ottubru, u l-10 ta 'Diċembru sat-28 ta' Jannar, rispettivament, u l-ebda iffriżar ma seħħ Bejn fl-istaġun 1983/1984. Ix-xita annwali kienet tvarja minn 23.57 pulzier (598.7 mm) fis- “sena tax-xita” minn Lulju 1982 sa Ġunju 1983 sa 4.43 pulzieri (112.5 mm) minn Lulju 1933 sa Ġunju 1934. L-iktar xita f’xahar kienet 9.54 pulzieri (242.3 mm (242.3 mm ) f'Novembru 1885 u l-iktar xita f'24 siegħa 3.55 pulzier (90.2 mm) fit-18 ta 'Novembru, 1885. Il-preċipitazzjoni li tista' titkejjel taqa 'fuq medja ta '48 jum kull sena. Il-borra hija rarità; L-itqal borra fl-ajruport kienet ta ’2.2 pulzieri (0.06 m) fil-21 ta’ Jannar, 1962.</v>
      </c>
    </row>
    <row r="11650" ht="15.75" customHeight="1">
      <c r="A11650" s="2" t="s">
        <v>11650</v>
      </c>
      <c r="B11650" s="2" t="str">
        <f>IFERROR(__xludf.DUMMYFUNCTION("GOOGLETRANSLATE(A11650, ""en"", ""mt"")"),"Għax-xandira Kanadiża, Christopher Eccleston irreġistra introduzzjonijiet speċjali tal-vidjow għal kull episodju (inkluża mistoqsija trivia bħala parti minn konkors tat-telespettatur) u siltiet mid-dokumentarju Kunfidenzjali tad-Doctor Who ntlagħbu fuq il"&amp;"-krediti tal-għeluq; Għax-xandir ta '""The Christmas Invasion"" fis-26 ta' Diċembru 2005, Billie Piper irreġistra introduzzjoni ta 'vidjow speċjali. CBC beda jxandar is-serje tnejn fid-9 ta ’Ottubru 2006 fl-20: 00 E / P (20:30 fi Newfoundland u Labrador),"&amp;" ftit wara l-ewwel daqqa ta’ ras ta ’CFL fuq ir-Radd il-ġurnata fil-biċċa l-kbira tal-pajjiż. [Ċitazzjoni meħtieġa]")</f>
        <v>Għax-xandira Kanadiża, Christopher Eccleston irreġistra introduzzjonijiet speċjali tal-vidjow għal kull episodju (inkluża mistoqsija trivia bħala parti minn konkors tat-telespettatur) u siltiet mid-dokumentarju Kunfidenzjali tad-Doctor Who ntlagħbu fuq il-krediti tal-għeluq; Għax-xandir ta '"The Christmas Invasion" fis-26 ta' Diċembru 2005, Billie Piper irreġistra introduzzjoni ta 'vidjow speċjali. CBC beda jxandar is-serje tnejn fid-9 ta ’Ottubru 2006 fl-20: 00 E / P (20:30 fi Newfoundland u Labrador), ftit wara l-ewwel daqqa ta’ ras ta ’CFL fuq ir-Radd il-ġurnata fil-biċċa l-kbira tal-pajjiż. [Ċitazzjoni meħtieġa]</v>
      </c>
    </row>
    <row r="11651" ht="15.75" customHeight="1">
      <c r="A11651" s="2" t="s">
        <v>11651</v>
      </c>
      <c r="B11651" s="2" t="str">
        <f>IFERROR(__xludf.DUMMYFUNCTION("GOOGLETRANSLATE(A11651, ""en"", ""mt"")"),"Fejn stabbilixxew l-ewwel kolonisti Huguenot?")</f>
        <v>Fejn stabbilixxew l-ewwel kolonisti Huguenot?</v>
      </c>
    </row>
    <row r="11652" ht="15.75" customHeight="1">
      <c r="A11652" s="2" t="s">
        <v>11652</v>
      </c>
      <c r="B11652" s="2" t="str">
        <f>IFERROR(__xludf.DUMMYFUNCTION("GOOGLETRANSLATE(A11652, ""en"", ""mt"")"),"Bejn wieħed u ieħor kemm oġġetti jinkludu l-ġabra tal-ġojjelli tal-V &amp; A?")</f>
        <v>Bejn wieħed u ieħor kemm oġġetti jinkludu l-ġabra tal-ġojjelli tal-V &amp; A?</v>
      </c>
    </row>
    <row r="11653" ht="15.75" customHeight="1">
      <c r="A11653" s="2" t="s">
        <v>11653</v>
      </c>
      <c r="B11653" s="2" t="str">
        <f>IFERROR(__xludf.DUMMYFUNCTION("GOOGLETRANSLATE(A11653, ""en"", ""mt"")"),"X'kien is-sors tar-Renu fl-aħħar era tas-silġ?")</f>
        <v>X'kien is-sors tar-Renu fl-aħħar era tas-silġ?</v>
      </c>
    </row>
    <row r="11654" ht="15.75" customHeight="1">
      <c r="A11654" s="2" t="s">
        <v>11654</v>
      </c>
      <c r="B11654" s="2" t="str">
        <f>IFERROR(__xludf.DUMMYFUNCTION("GOOGLETRANSLATE(A11654, ""en"", ""mt"")"),"Liema filosofiji jwaqqfu l-mediċina Ċiniża?")</f>
        <v>Liema filosofiji jwaqqfu l-mediċina Ċiniża?</v>
      </c>
    </row>
    <row r="11655" ht="15.75" customHeight="1">
      <c r="A11655" s="2" t="s">
        <v>11655</v>
      </c>
      <c r="B11655" s="2" t="str">
        <f>IFERROR(__xludf.DUMMYFUNCTION("GOOGLETRANSLATE(A11655, ""en"", ""mt"")"),"7000 sena")</f>
        <v>7000 sena</v>
      </c>
    </row>
    <row r="11656" ht="15.75" customHeight="1">
      <c r="A11656" s="2" t="s">
        <v>11656</v>
      </c>
      <c r="B11656" s="2" t="str">
        <f>IFERROR(__xludf.DUMMYFUNCTION("GOOGLETRANSLATE(A11656, ""en"", ""mt"")"),"X'tip ta 'strumenti mużikali ġab il-wan fiċ-Ċina?")</f>
        <v>X'tip ta 'strumenti mużikali ġab il-wan fiċ-Ċina?</v>
      </c>
    </row>
    <row r="11657" ht="15.75" customHeight="1">
      <c r="A11657" s="2" t="s">
        <v>11657</v>
      </c>
      <c r="B11657" s="2" t="str">
        <f>IFERROR(__xludf.DUMMYFUNCTION("GOOGLETRANSLATE(A11657, ""en"", ""mt"")"),"qawwa solari")</f>
        <v>qawwa solari</v>
      </c>
    </row>
    <row r="11658" ht="15.75" customHeight="1">
      <c r="A11658" s="2" t="s">
        <v>11658</v>
      </c>
      <c r="B11658" s="2" t="str">
        <f>IFERROR(__xludf.DUMMYFUNCTION("GOOGLETRANSLATE(A11658, ""en"", ""mt"")"),"Għaliex il-firien jistgħu ma jkunux responsabbli għall-pesta?")</f>
        <v>Għaliex il-firien jistgħu ma jkunux responsabbli għall-pesta?</v>
      </c>
    </row>
    <row r="11659" ht="15.75" customHeight="1">
      <c r="A11659" s="2" t="s">
        <v>11659</v>
      </c>
      <c r="B11659" s="2" t="str">
        <f>IFERROR(__xludf.DUMMYFUNCTION("GOOGLETRANSLATE(A11659, ""en"", ""mt"")"),"Liema attur għamel il-lingwa tas-sinjali għall-innu nazzjonali fis-Superbowl 50?")</f>
        <v>Liema attur għamel il-lingwa tas-sinjali għall-innu nazzjonali fis-Superbowl 50?</v>
      </c>
    </row>
    <row r="11660" ht="15.75" customHeight="1">
      <c r="A11660" s="2" t="s">
        <v>11660</v>
      </c>
      <c r="B11660" s="2" t="str">
        <f>IFERROR(__xludf.DUMMYFUNCTION("GOOGLETRANSLATE(A11660, ""en"", ""mt"")"),"Xi tuża Ctenophore biex taqbad il-priża?")</f>
        <v>Xi tuża Ctenophore biex taqbad il-priża?</v>
      </c>
    </row>
    <row r="11661" ht="15.75" customHeight="1">
      <c r="A11661" s="2" t="s">
        <v>11661</v>
      </c>
      <c r="B11661" s="2" t="str">
        <f>IFERROR(__xludf.DUMMYFUNCTION("GOOGLETRANSLATE(A11661, ""en"", ""mt"")"),"Min inħatar is-suċċessur ta 'Genghis Khan?")</f>
        <v>Min inħatar is-suċċessur ta 'Genghis Khan?</v>
      </c>
    </row>
    <row r="11662" ht="15.75" customHeight="1">
      <c r="A11662" s="2" t="s">
        <v>11662</v>
      </c>
      <c r="B11662" s="2" t="str">
        <f>IFERROR(__xludf.DUMMYFUNCTION("GOOGLETRANSLATE(A11662, ""en"", ""mt"")"),"Il-ġeoloġi jużaw numru ta 'metodi ta' immudellar fuq il-post, tal-laboratorju u numeriċi biex jiddeċifraw l-istorja tad-dinja u jifhmu l-proċessi li jseħħu fuq u ġewwa d-Dinja. Fl-investigazzjonijiet ġeoloġiċi tipiċi, il-ġeoloġi jużaw informazzjoni primar"&amp;"ja relatata mal-petroloġija (l-istudju tal-blat), l-istratigrafija (l-istudju tas-saffi sedimentarji), u l-ġeoloġija strutturali (l-istudju tal-pożizzjonijiet tal-unitajiet tal-blat u d-deformazzjoni tagħhom). F’ħafna każijiet, il-ġeoloġi jistudjaw ukoll "&amp;"ħamrija moderna, xmajjar, pajsaġġi, u glaċieri; Investiga l-ħajja tal-passat u attwali u l-mogħdijiet bijokokimiċi, u uża metodi ġeofiżiċi biex tinvestiga l-wiċċ.")</f>
        <v>Il-ġeoloġi jużaw numru ta 'metodi ta' immudellar fuq il-post, tal-laboratorju u numeriċi biex jiddeċifraw l-istorja tad-dinja u jifhmu l-proċessi li jseħħu fuq u ġewwa d-Dinja. Fl-investigazzjonijiet ġeoloġiċi tipiċi, il-ġeoloġi jużaw informazzjoni primarja relatata mal-petroloġija (l-istudju tal-blat), l-istratigrafija (l-istudju tas-saffi sedimentarji), u l-ġeoloġija strutturali (l-istudju tal-pożizzjonijiet tal-unitajiet tal-blat u d-deformazzjoni tagħhom). F’ħafna każijiet, il-ġeoloġi jistudjaw ukoll ħamrija moderna, xmajjar, pajsaġġi, u glaċieri; Investiga l-ħajja tal-passat u attwali u l-mogħdijiet bijokokimiċi, u uża metodi ġeofiżiċi biex tinvestiga l-wiċċ.</v>
      </c>
    </row>
    <row r="11663" ht="15.75" customHeight="1">
      <c r="A11663" s="2" t="s">
        <v>11663</v>
      </c>
      <c r="B11663" s="2" t="str">
        <f>IFERROR(__xludf.DUMMYFUNCTION("GOOGLETRANSLATE(A11663, ""en"", ""mt"")"),"Hemm 13-il riżerva naturali f'Varsavja - fost oħrajn, Bielany Forest, Kabaty Woods, Lag Czerniaków. Madwar 15-il kilometru (9 mili) minn Varsavja, l-ambjent tax-Xmara Vistula jinbidel b'mod impressjonanti u għandu ekosistema perfettament ippreservata, b'a"&amp;"bitat ta 'annimali li jinkludi l-lontra, il-kastur u mijiet ta' speċi ta 'għasafar. Hemm ukoll diversi lagi f'Varsavja - l-aktar il-lagi ta 'Oxbow, bħall-Lag Czerniaków, il-lagi fil-parks łazienki jew wilanów, Lag Kamionek. Hemm ħafna lagi żgħar fil-parks"&amp;", iżda ftit biss huma permanenti - il-maġġoranza huma mbattla qabel ix-xitwa biex jitnaddfuhom minn pjanti u sedimenti.")</f>
        <v>Hemm 13-il riżerva naturali f'Varsavja - fost oħrajn, Bielany Forest, Kabaty Woods, Lag Czerniaków. Madwar 15-il kilometru (9 mili) minn Varsavja, l-ambjent tax-Xmara Vistula jinbidel b'mod impressjonanti u għandu ekosistema perfettament ippreservata, b'abitat ta 'annimali li jinkludi l-lontra, il-kastur u mijiet ta' speċi ta 'għasafar. Hemm ukoll diversi lagi f'Varsavja - l-aktar il-lagi ta 'Oxbow, bħall-Lag Czerniaków, il-lagi fil-parks łazienki jew wilanów, Lag Kamionek. Hemm ħafna lagi żgħar fil-parks, iżda ftit biss huma permanenti - il-maġġoranza huma mbattla qabel ix-xitwa biex jitnaddfuhom minn pjanti u sedimenti.</v>
      </c>
    </row>
    <row r="11664" ht="15.75" customHeight="1">
      <c r="A11664" s="2" t="s">
        <v>11664</v>
      </c>
      <c r="B11664" s="2" t="str">
        <f>IFERROR(__xludf.DUMMYFUNCTION("GOOGLETRANSLATE(A11664, ""en"", ""mt"")"),"Ma 'min mexxa l-President Kibaki?")</f>
        <v>Ma 'min mexxa l-President Kibaki?</v>
      </c>
    </row>
    <row r="11665" ht="15.75" customHeight="1">
      <c r="A11665" s="2" t="s">
        <v>11665</v>
      </c>
      <c r="B11665" s="2" t="str">
        <f>IFERROR(__xludf.DUMMYFUNCTION("GOOGLETRANSLATE(A11665, ""en"", ""mt"")"),"15-il kilometru")</f>
        <v>15-il kilometru</v>
      </c>
    </row>
    <row r="11666" ht="15.75" customHeight="1">
      <c r="A11666" s="2" t="s">
        <v>11666</v>
      </c>
      <c r="B11666" s="2" t="str">
        <f>IFERROR(__xludf.DUMMYFUNCTION("GOOGLETRANSLATE(A11666, ""en"", ""mt"")"),"Meta kienet il-Konfederazzjoni tar-Renu?")</f>
        <v>Meta kienet il-Konfederazzjoni tar-Renu?</v>
      </c>
    </row>
    <row r="11667" ht="15.75" customHeight="1">
      <c r="A11667" s="2" t="s">
        <v>11667</v>
      </c>
      <c r="B11667" s="2" t="str">
        <f>IFERROR(__xludf.DUMMYFUNCTION("GOOGLETRANSLATE(A11667, ""en"", ""mt"")"),"Min ordna lil Loudoun biex jattakka lil Louisbourg?")</f>
        <v>Min ordna lil Loudoun biex jattakka lil Louisbourg?</v>
      </c>
    </row>
    <row r="11668" ht="15.75" customHeight="1">
      <c r="A11668" s="2" t="s">
        <v>11668</v>
      </c>
      <c r="B11668" s="2" t="str">
        <f>IFERROR(__xludf.DUMMYFUNCTION("GOOGLETRANSLATE(A11668, ""en"", ""mt"")"),"Min kien influwenzat minn Tesla waqt l-iskola?")</f>
        <v>Min kien influwenzat minn Tesla waqt l-iskola?</v>
      </c>
    </row>
    <row r="11669" ht="15.75" customHeight="1">
      <c r="A11669" s="2" t="s">
        <v>11669</v>
      </c>
      <c r="B11669" s="2" t="str">
        <f>IFERROR(__xludf.DUMMYFUNCTION("GOOGLETRANSLATE(A11669, ""en"", ""mt"")"),"fini tar-riċerka")</f>
        <v>fini tar-riċerka</v>
      </c>
    </row>
    <row r="11670" ht="15.75" customHeight="1">
      <c r="A11670" s="2" t="s">
        <v>11670</v>
      </c>
      <c r="B11670" s="2" t="str">
        <f>IFERROR(__xludf.DUMMYFUNCTION("GOOGLETRANSLATE(A11670, ""en"", ""mt"")"),"molekuli awto u mhux awto")</f>
        <v>molekuli awto u mhux awto</v>
      </c>
    </row>
    <row r="11671" ht="15.75" customHeight="1">
      <c r="A11671" s="2" t="s">
        <v>11671</v>
      </c>
      <c r="B11671" s="2" t="str">
        <f>IFERROR(__xludf.DUMMYFUNCTION("GOOGLETRANSLATE(A11671, ""en"", ""mt"")"),"Aktar bħal larva vera")</f>
        <v>Aktar bħal larva vera</v>
      </c>
    </row>
    <row r="11672" ht="15.75" customHeight="1">
      <c r="A11672" s="2" t="s">
        <v>11672</v>
      </c>
      <c r="B11672" s="2" t="str">
        <f>IFERROR(__xludf.DUMMYFUNCTION("GOOGLETRANSLATE(A11672, ""en"", ""mt"")"),"Liema grupp Luther ried jifhem ix-xogħlijiet tiegħu?")</f>
        <v>Liema grupp Luther ried jifhem ix-xogħlijiet tiegħu?</v>
      </c>
    </row>
    <row r="11673" ht="15.75" customHeight="1">
      <c r="A11673" s="2" t="s">
        <v>11673</v>
      </c>
      <c r="B11673" s="2" t="str">
        <f>IFERROR(__xludf.DUMMYFUNCTION("GOOGLETRANSLATE(A11673, ""en"", ""mt"")"),"Fejn il-fergħat ta 'Waal u Nederrijn-Lek jitneħħew?")</f>
        <v>Fejn il-fergħat ta 'Waal u Nederrijn-Lek jitneħħew?</v>
      </c>
    </row>
    <row r="11674" ht="15.75" customHeight="1">
      <c r="A11674" s="2" t="s">
        <v>11674</v>
      </c>
      <c r="B11674" s="2" t="str">
        <f>IFERROR(__xludf.DUMMYFUNCTION("GOOGLETRANSLATE(A11674, ""en"", ""mt"")"),"1969")</f>
        <v>1969</v>
      </c>
    </row>
    <row r="11675" ht="15.75" customHeight="1">
      <c r="A11675" s="2" t="s">
        <v>11675</v>
      </c>
      <c r="B11675" s="2" t="str">
        <f>IFERROR(__xludf.DUMMYFUNCTION("GOOGLETRANSLATE(A11675, ""en"", ""mt"")"),"Chéngjísī Hán,")</f>
        <v>Chéngjísī Hán,</v>
      </c>
    </row>
    <row r="11676" ht="15.75" customHeight="1">
      <c r="A11676" s="2" t="s">
        <v>11676</v>
      </c>
      <c r="B11676" s="2" t="str">
        <f>IFERROR(__xludf.DUMMYFUNCTION("GOOGLETRANSLATE(A11676, ""en"", ""mt"")"),"Liema żona fil-Kanada moderna rċeviet immigranti Huguenot?")</f>
        <v>Liema żona fil-Kanada moderna rċeviet immigranti Huguenot?</v>
      </c>
    </row>
    <row r="11677" ht="15.75" customHeight="1">
      <c r="A11677" s="2" t="s">
        <v>11677</v>
      </c>
      <c r="B11677" s="2" t="str">
        <f>IFERROR(__xludf.DUMMYFUNCTION("GOOGLETRANSLATE(A11677, ""en"", ""mt"")"),"1264")</f>
        <v>1264</v>
      </c>
    </row>
    <row r="11678" ht="15.75" customHeight="1">
      <c r="A11678" s="2" t="s">
        <v>11678</v>
      </c>
      <c r="B11678" s="2" t="str">
        <f>IFERROR(__xludf.DUMMYFUNCTION("GOOGLETRANSLATE(A11678, ""en"", ""mt"")"),"Wara li Washington kien irritorna lejn Williamsburg, Dinwiddie ordnatlu biex imexxi forza akbar biex jgħin lil Trent fix-xogħol tiegħu. Waqt li kienet fi triqthom, Washington saret taf bl-irtir ta ’Trent. Peress li Tanaghrisson kien wiegħed l-appoġġ lill-"&amp;"Ingliżi, Washington kompla lejn Fort Duquesne u ltaqa 'mal-mexxej tal-Mingo. It-tagħlim ta 'partit tal-iscouting Franċiż fiż-żona, Washington, ma' Tanaghrisson u l-partit tiegħu, sorpriż lill-Kanadiżi fit-28 ta 'Mejju f'dak li sar magħruf bħala l-Battalja"&amp;" ta' Jumonville Glen. Huma qatlu ħafna mill-Kanadiżi, inkluż l-uffiċjal kmandant tagħhom, Joseph Coulon de Jumonville, li r-ras tiegħu kien rappurtat li nfetaħ minn Tanaghrisson ma 'Tomahawk. L-istoriku Fred Anderson jissuġġerixxi li Tanaghrisson kien qed"&amp;" jaġixxi biex jikseb l-appoġġ tal-Ingliżi u jerġa 'jikseb l-awtorità fuq in-nies tiegħu stess. Huma kienu inklinati li jappoġġjaw lill-Franċiżi, li magħhom kellhom relazzjonijiet ta 'kummerċ fit-tul. Wieħed mill-irġiel ta 'Tanaghrisson qal lil Contrecoeur"&amp;" li Jumonville kien inqatel minn British Musket Fire.")</f>
        <v>Wara li Washington kien irritorna lejn Williamsburg, Dinwiddie ordnatlu biex imexxi forza akbar biex jgħin lil Trent fix-xogħol tiegħu. Waqt li kienet fi triqthom, Washington saret taf bl-irtir ta ’Trent. Peress li Tanaghrisson kien wiegħed l-appoġġ lill-Ingliżi, Washington kompla lejn Fort Duquesne u ltaqa 'mal-mexxej tal-Mingo. It-tagħlim ta 'partit tal-iscouting Franċiż fiż-żona, Washington, ma' Tanaghrisson u l-partit tiegħu, sorpriż lill-Kanadiżi fit-28 ta 'Mejju f'dak li sar magħruf bħala l-Battalja ta' Jumonville Glen. Huma qatlu ħafna mill-Kanadiżi, inkluż l-uffiċjal kmandant tagħhom, Joseph Coulon de Jumonville, li r-ras tiegħu kien rappurtat li nfetaħ minn Tanaghrisson ma 'Tomahawk. L-istoriku Fred Anderson jissuġġerixxi li Tanaghrisson kien qed jaġixxi biex jikseb l-appoġġ tal-Ingliżi u jerġa 'jikseb l-awtorità fuq in-nies tiegħu stess. Huma kienu inklinati li jappoġġjaw lill-Franċiżi, li magħhom kellhom relazzjonijiet ta 'kummerċ fit-tul. Wieħed mill-irġiel ta 'Tanaghrisson qal lil Contrecoeur li Jumonville kien inqatel minn British Musket Fire.</v>
      </c>
    </row>
    <row r="11679" ht="15.75" customHeight="1">
      <c r="A11679" s="2" t="s">
        <v>11679</v>
      </c>
      <c r="B11679" s="2" t="str">
        <f>IFERROR(__xludf.DUMMYFUNCTION("GOOGLETRANSLATE(A11679, ""en"", ""mt"")"),"Alex Haley")</f>
        <v>Alex Haley</v>
      </c>
    </row>
    <row r="11680" ht="15.75" customHeight="1">
      <c r="A11680" s="2" t="s">
        <v>11680</v>
      </c>
      <c r="B11680" s="2" t="str">
        <f>IFERROR(__xludf.DUMMYFUNCTION("GOOGLETRANSLATE(A11680, ""en"", ""mt"")"),"Min iddisinja l-ġnien għal-librerija tal-università?")</f>
        <v>Min iddisinja l-ġnien għal-librerija tal-università?</v>
      </c>
    </row>
    <row r="11681" ht="15.75" customHeight="1">
      <c r="A11681" s="2" t="s">
        <v>11681</v>
      </c>
      <c r="B11681" s="2" t="str">
        <f>IFERROR(__xludf.DUMMYFUNCTION("GOOGLETRANSLATE(A11681, ""en"", ""mt"")"),"F'liema direzzjoni kardinali minn Los Angeles huwa San Diego?")</f>
        <v>F'liema direzzjoni kardinali minn Los Angeles huwa San Diego?</v>
      </c>
    </row>
    <row r="11682" ht="15.75" customHeight="1">
      <c r="A11682" s="2" t="s">
        <v>11682</v>
      </c>
      <c r="B11682" s="2" t="str">
        <f>IFERROR(__xludf.DUMMYFUNCTION("GOOGLETRANSLATE(A11682, ""en"", ""mt"")"),"X’tolqot il-mekkanika ta ’Newton?")</f>
        <v>X’tolqot il-mekkanika ta ’Newton?</v>
      </c>
    </row>
    <row r="11683" ht="15.75" customHeight="1">
      <c r="A11683" s="2" t="s">
        <v>11683</v>
      </c>
      <c r="B11683" s="2" t="str">
        <f>IFERROR(__xludf.DUMMYFUNCTION("GOOGLETRANSLATE(A11683, ""en"", ""mt"")"),"ctDNA, jew cpDNA")</f>
        <v>ctDNA, jew cpDNA</v>
      </c>
    </row>
    <row r="11684" ht="15.75" customHeight="1">
      <c r="A11684" s="2" t="s">
        <v>11684</v>
      </c>
      <c r="B11684" s="2" t="str">
        <f>IFERROR(__xludf.DUMMYFUNCTION("GOOGLETRANSLATE(A11684, ""en"", ""mt"")"),"Kmieni fis-seklu 11")</f>
        <v>Kmieni fis-seklu 11</v>
      </c>
    </row>
    <row r="11685" ht="15.75" customHeight="1">
      <c r="A11685" s="2" t="s">
        <v>11685</v>
      </c>
      <c r="B11685" s="2" t="str">
        <f>IFERROR(__xludf.DUMMYFUNCTION("GOOGLETRANSLATE(A11685, ""en"", ""mt"")"),"Financier J. P. Morgan")</f>
        <v>Financier J. P. Morgan</v>
      </c>
    </row>
    <row r="11686" ht="15.75" customHeight="1">
      <c r="A11686" s="2" t="s">
        <v>11686</v>
      </c>
      <c r="B11686" s="2" t="str">
        <f>IFERROR(__xludf.DUMMYFUNCTION("GOOGLETRANSLATE(A11686, ""en"", ""mt"")"),"bijomolekuli")</f>
        <v>bijomolekuli</v>
      </c>
    </row>
    <row r="11687" ht="15.75" customHeight="1">
      <c r="A11687" s="2" t="s">
        <v>11687</v>
      </c>
      <c r="B11687" s="2" t="str">
        <f>IFERROR(__xludf.DUMMYFUNCTION("GOOGLETRANSLATE(A11687, ""en"", ""mt"")"),"Liema nies x'aktarx jużaw kliem bħal ""Howay"" u ""Hadaway""?")</f>
        <v>Liema nies x'aktarx jużaw kliem bħal "Howay" u "Hadaway"?</v>
      </c>
    </row>
    <row r="11688" ht="15.75" customHeight="1">
      <c r="A11688" s="2" t="s">
        <v>11688</v>
      </c>
      <c r="B11688" s="2" t="str">
        <f>IFERROR(__xludf.DUMMYFUNCTION("GOOGLETRANSLATE(A11688, ""en"", ""mt"")"),"154")</f>
        <v>154</v>
      </c>
    </row>
    <row r="11689" ht="15.75" customHeight="1">
      <c r="A11689" s="2" t="s">
        <v>11689</v>
      </c>
      <c r="B11689" s="2" t="str">
        <f>IFERROR(__xludf.DUMMYFUNCTION("GOOGLETRANSLATE(A11689, ""en"", ""mt"")"),"Fejn tista 'tidher is-sekwenza sedimentarja kollha tal-Grand Canyon f'inqas mit-tul ta' metru?")</f>
        <v>Fejn tista 'tidher is-sekwenza sedimentarja kollha tal-Grand Canyon f'inqas mit-tul ta' metru?</v>
      </c>
    </row>
    <row r="11690" ht="15.75" customHeight="1">
      <c r="A11690" s="2" t="s">
        <v>11690</v>
      </c>
      <c r="B11690" s="2" t="str">
        <f>IFERROR(__xludf.DUMMYFUNCTION("GOOGLETRANSLATE(A11690, ""en"", ""mt"")"),"Il-liwja fuq ir-Renu tmur mill-punent għal liema direzzjoni?")</f>
        <v>Il-liwja fuq ir-Renu tmur mill-punent għal liema direzzjoni?</v>
      </c>
    </row>
    <row r="11691" ht="15.75" customHeight="1">
      <c r="A11691" s="2" t="s">
        <v>11691</v>
      </c>
      <c r="B11691" s="2" t="str">
        <f>IFERROR(__xludf.DUMMYFUNCTION("GOOGLETRANSLATE(A11691, ""en"", ""mt"")"),"L-Ewwel Gwerra Dinjija.")</f>
        <v>L-Ewwel Gwerra Dinjija.</v>
      </c>
    </row>
    <row r="11692" ht="15.75" customHeight="1">
      <c r="A11692" s="2" t="s">
        <v>11692</v>
      </c>
      <c r="B11692" s="2" t="str">
        <f>IFERROR(__xludf.DUMMYFUNCTION("GOOGLETRANSLATE(A11692, ""en"", ""mt"")"),"F'liema sena l-Norman invada fil-Bajja ta 'Bannow?")</f>
        <v>F'liema sena l-Norman invada fil-Bajja ta 'Bannow?</v>
      </c>
    </row>
    <row r="11693" ht="15.75" customHeight="1">
      <c r="A11693" s="2" t="s">
        <v>11693</v>
      </c>
      <c r="B11693" s="2" t="str">
        <f>IFERROR(__xludf.DUMMYFUNCTION("GOOGLETRANSLATE(A11693, ""en"", ""mt"")"),"John Wesley u Charles Wesley")</f>
        <v>John Wesley u Charles Wesley</v>
      </c>
    </row>
    <row r="11694" ht="15.75" customHeight="1">
      <c r="A11694" s="2" t="s">
        <v>11694</v>
      </c>
      <c r="B11694" s="2" t="str">
        <f>IFERROR(__xludf.DUMMYFUNCTION("GOOGLETRANSLATE(A11694, ""en"", ""mt"")"),"il-linja ta '50 tarzna")</f>
        <v>il-linja ta '50 tarzna</v>
      </c>
    </row>
    <row r="11695" ht="15.75" customHeight="1">
      <c r="A11695" s="2" t="s">
        <v>11695</v>
      </c>
      <c r="B11695" s="2" t="str">
        <f>IFERROR(__xludf.DUMMYFUNCTION("GOOGLETRANSLATE(A11695, ""en"", ""mt"")"),"L-USGS")</f>
        <v>L-USGS</v>
      </c>
    </row>
    <row r="11696" ht="15.75" customHeight="1">
      <c r="A11696" s="2" t="s">
        <v>11696</v>
      </c>
      <c r="B11696" s="2" t="str">
        <f>IFERROR(__xludf.DUMMYFUNCTION("GOOGLETRANSLATE(A11696, ""en"", ""mt"")"),"5½")</f>
        <v>5½</v>
      </c>
    </row>
    <row r="11697" ht="15.75" customHeight="1">
      <c r="A11697" s="2" t="s">
        <v>11697</v>
      </c>
      <c r="B11697" s="2" t="str">
        <f>IFERROR(__xludf.DUMMYFUNCTION("GOOGLETRANSLATE(A11697, ""en"", ""mt"")"),"sentenza")</f>
        <v>sentenza</v>
      </c>
    </row>
    <row r="11698" ht="15.75" customHeight="1">
      <c r="A11698" s="2" t="s">
        <v>11698</v>
      </c>
      <c r="B11698" s="2" t="str">
        <f>IFERROR(__xludf.DUMMYFUNCTION("GOOGLETRANSLATE(A11698, ""en"", ""mt"")"),"Sa liema punt Fermat ikkonferma l-validità tan-numri Fermat?")</f>
        <v>Sa liema punt Fermat ikkonferma l-validità tan-numri Fermat?</v>
      </c>
    </row>
    <row r="11699" ht="15.75" customHeight="1">
      <c r="A11699" s="2" t="s">
        <v>11699</v>
      </c>
      <c r="B11699" s="2" t="str">
        <f>IFERROR(__xludf.DUMMYFUNCTION("GOOGLETRANSLATE(A11699, ""en"", ""mt"")"),"billi tagħmel ħsara apposta lis-sistema fotosintetika tagħhom")</f>
        <v>billi tagħmel ħsara apposta lis-sistema fotosintetika tagħhom</v>
      </c>
    </row>
    <row r="11700" ht="15.75" customHeight="1">
      <c r="A11700" s="2" t="s">
        <v>11700</v>
      </c>
      <c r="B11700" s="2" t="str">
        <f>IFERROR(__xludf.DUMMYFUNCTION("GOOGLETRANSLATE(A11700, ""en"", ""mt"")"),"okkorrenza")</f>
        <v>okkorrenza</v>
      </c>
    </row>
    <row r="11701" ht="15.75" customHeight="1">
      <c r="A11701" s="2" t="s">
        <v>11701</v>
      </c>
      <c r="B11701" s="2" t="str">
        <f>IFERROR(__xludf.DUMMYFUNCTION("GOOGLETRANSLATE(A11701, ""en"", ""mt"")"),"Kittieba li l-karti tagħhom huma fil-librerija huma diversi daqs Charles Dickens u Beatrix Potter. Manuskritti mdawlin fil-librerija li jmorru mis-sekli 12 sa 16 jinkludu: is-Salter Eadwine [ċitazzjoni meħtieġa], Canterbury; Ktieb tal-but ta 'sigħat, Reim"&amp;"s; Missal mill-Abbey Irjali ta ’San Denis, Pariġi; Il-Ktieb tas-Sigħat Simon Marmion, Bruges; 1524 charter imdawwal minn Lucas Horenbout, Londra; Il-manuskritt Armagnac tal-prova u r-riabilitazzjoni ta 'Joan of Arc, Rouen. Ukoll il-perjodu Vittorjan huwa "&amp;"rrappreżentat minn William Morris.")</f>
        <v>Kittieba li l-karti tagħhom huma fil-librerija huma diversi daqs Charles Dickens u Beatrix Potter. Manuskritti mdawlin fil-librerija li jmorru mis-sekli 12 sa 16 jinkludu: is-Salter Eadwine [ċitazzjoni meħtieġa], Canterbury; Ktieb tal-but ta 'sigħat, Reims; Missal mill-Abbey Irjali ta ’San Denis, Pariġi; Il-Ktieb tas-Sigħat Simon Marmion, Bruges; 1524 charter imdawwal minn Lucas Horenbout, Londra; Il-manuskritt Armagnac tal-prova u r-riabilitazzjoni ta 'Joan of Arc, Rouen. Ukoll il-perjodu Vittorjan huwa rrappreżentat minn William Morris.</v>
      </c>
    </row>
    <row r="11702" ht="15.75" customHeight="1">
      <c r="A11702" s="2" t="s">
        <v>11702</v>
      </c>
      <c r="B11702" s="2" t="str">
        <f>IFERROR(__xludf.DUMMYFUNCTION("GOOGLETRANSLATE(A11702, ""en"", ""mt"")"),"Is-sieq tal-arblu")</f>
        <v>Is-sieq tal-arblu</v>
      </c>
    </row>
    <row r="11703" ht="15.75" customHeight="1">
      <c r="A11703" s="2" t="s">
        <v>11703</v>
      </c>
      <c r="B11703" s="2" t="str">
        <f>IFERROR(__xludf.DUMMYFUNCTION("GOOGLETRANSLATE(A11703, ""en"", ""mt"")"),"Rhine")</f>
        <v>Rhine</v>
      </c>
    </row>
    <row r="11704" ht="15.75" customHeight="1">
      <c r="A11704" s="2" t="s">
        <v>11704</v>
      </c>
      <c r="B11704" s="2" t="str">
        <f>IFERROR(__xludf.DUMMYFUNCTION("GOOGLETRANSLATE(A11704, ""en"", ""mt"")"),"Liema żona fl-Afrika t'Isfel aċċettat kolonisti Huguenot?")</f>
        <v>Liema żona fl-Afrika t'Isfel aċċettat kolonisti Huguenot?</v>
      </c>
    </row>
    <row r="11705" ht="15.75" customHeight="1">
      <c r="A11705" s="2" t="s">
        <v>11705</v>
      </c>
      <c r="B11705" s="2" t="str">
        <f>IFERROR(__xludf.DUMMYFUNCTION("GOOGLETRANSLATE(A11705, ""en"", ""mt"")"),"Uffiċċju taċ-Ċensiment tal-Istati Uniti")</f>
        <v>Uffiċċju taċ-Ċensiment tal-Istati Uniti</v>
      </c>
    </row>
    <row r="11706" ht="15.75" customHeight="1">
      <c r="A11706" s="2" t="s">
        <v>11706</v>
      </c>
      <c r="B11706" s="2" t="str">
        <f>IFERROR(__xludf.DUMMYFUNCTION("GOOGLETRANSLATE(A11706, ""en"", ""mt"")"),"kienet forma ta 'antrax")</f>
        <v>kienet forma ta 'antrax</v>
      </c>
    </row>
    <row r="11707" ht="15.75" customHeight="1">
      <c r="A11707" s="2" t="s">
        <v>11707</v>
      </c>
      <c r="B11707" s="2" t="str">
        <f>IFERROR(__xludf.DUMMYFUNCTION("GOOGLETRANSLATE(A11707, ""en"", ""mt"")"),"Toħloq memorja immunoloġika")</f>
        <v>Toħloq memorja immunoloġika</v>
      </c>
    </row>
    <row r="11708" ht="15.75" customHeight="1">
      <c r="A11708" s="2" t="s">
        <v>11708</v>
      </c>
      <c r="B11708" s="2" t="str">
        <f>IFERROR(__xludf.DUMMYFUNCTION("GOOGLETRANSLATE(A11708, ""en"", ""mt"")"),"Kemm-il btieħi totali kisbu Denver?")</f>
        <v>Kemm-il btieħi totali kisbu Denver?</v>
      </c>
    </row>
    <row r="11709" ht="15.75" customHeight="1">
      <c r="A11709" s="2" t="s">
        <v>11709</v>
      </c>
      <c r="B11709" s="2" t="str">
        <f>IFERROR(__xludf.DUMMYFUNCTION("GOOGLETRANSLATE(A11709, ""en"", ""mt"")"),"Field Stagg")</f>
        <v>Field Stagg</v>
      </c>
    </row>
    <row r="11710" ht="15.75" customHeight="1">
      <c r="A11710" s="2" t="s">
        <v>11710</v>
      </c>
      <c r="B11710" s="2" t="str">
        <f>IFERROR(__xludf.DUMMYFUNCTION("GOOGLETRANSLATE(A11710, ""en"", ""mt"")"),"X'tagħmel id-disparità tal-ġid tagħmel l-ekonomija aktar suxxettibbli għal?")</f>
        <v>X'tagħmel id-disparità tal-ġid tagħmel l-ekonomija aktar suxxettibbli għal?</v>
      </c>
    </row>
    <row r="11711" ht="15.75" customHeight="1">
      <c r="A11711" s="2" t="s">
        <v>11711</v>
      </c>
      <c r="B11711" s="2" t="str">
        <f>IFERROR(__xludf.DUMMYFUNCTION("GOOGLETRANSLATE(A11711, ""en"", ""mt"")"),"Minkejja n-nuqqas ta ’qbil fuq l-Ewkaristija, il-Colloquy ta’ Marburg witta t-triq għall-iffirmar fl-1530 tal-Qrar ta ’Augsburg, u għall-formazzjoni tal-Lega Schmalkaldika s-sena ta’ wara billi twassal lil Nobles Protestanti bħal John of Sassony, Philip o"&amp;"f Hesse, u George , Margrave ta 'Brandenburg-Ansbach. Il-bliet Żvizzeri, madankollu, ma ffirmawx dawn il-ftehimiet.")</f>
        <v>Minkejja n-nuqqas ta ’qbil fuq l-Ewkaristija, il-Colloquy ta’ Marburg witta t-triq għall-iffirmar fl-1530 tal-Qrar ta ’Augsburg, u għall-formazzjoni tal-Lega Schmalkaldika s-sena ta’ wara billi twassal lil Nobles Protestanti bħal John of Sassony, Philip of Hesse, u George , Margrave ta 'Brandenburg-Ansbach. Il-bliet Żvizzeri, madankollu, ma ffirmawx dawn il-ftehimiet.</v>
      </c>
    </row>
    <row r="11712" ht="15.75" customHeight="1">
      <c r="A11712" s="2" t="s">
        <v>11712</v>
      </c>
      <c r="B11712" s="2" t="str">
        <f>IFERROR(__xludf.DUMMYFUNCTION("GOOGLETRANSLATE(A11712, ""en"", ""mt"")"),"arkitettura tal-manjerista")</f>
        <v>arkitettura tal-manjerista</v>
      </c>
    </row>
    <row r="11713" ht="15.75" customHeight="1">
      <c r="A11713" s="2" t="s">
        <v>11713</v>
      </c>
      <c r="B11713" s="2" t="str">
        <f>IFERROR(__xludf.DUMMYFUNCTION("GOOGLETRANSLATE(A11713, ""en"", ""mt"")"),"Gradjent tal-potenzjal")</f>
        <v>Gradjent tal-potenzjal</v>
      </c>
    </row>
    <row r="11714" ht="15.75" customHeight="1">
      <c r="A11714" s="2" t="s">
        <v>11714</v>
      </c>
      <c r="B11714" s="2" t="str">
        <f>IFERROR(__xludf.DUMMYFUNCTION("GOOGLETRANSLATE(A11714, ""en"", ""mt"")"),"Infermiera")</f>
        <v>Infermiera</v>
      </c>
    </row>
    <row r="11715" ht="15.75" customHeight="1">
      <c r="A11715" s="2" t="s">
        <v>11715</v>
      </c>
      <c r="B11715" s="2" t="str">
        <f>IFERROR(__xludf.DUMMYFUNCTION("GOOGLETRANSLATE(A11715, ""en"", ""mt"")"),"L-azzjoni tat-tlaħliħ ta 'dak li jkeċċi l-patoġeni mill-għajnejn?")</f>
        <v>L-azzjoni tat-tlaħliħ ta 'dak li jkeċċi l-patoġeni mill-għajnejn?</v>
      </c>
    </row>
    <row r="11716" ht="15.75" customHeight="1">
      <c r="A11716" s="2" t="s">
        <v>11716</v>
      </c>
      <c r="B11716" s="2" t="str">
        <f>IFERROR(__xludf.DUMMYFUNCTION("GOOGLETRANSLATE(A11716, ""en"", ""mt"")"),"tistenna l-mewt ta 'eretiku")</f>
        <v>tistenna l-mewt ta 'eretiku</v>
      </c>
    </row>
    <row r="11717" ht="15.75" customHeight="1">
      <c r="A11717" s="2" t="s">
        <v>11717</v>
      </c>
      <c r="B11717" s="2" t="str">
        <f>IFERROR(__xludf.DUMMYFUNCTION("GOOGLETRANSLATE(A11717, ""en"", ""mt"")"),"Artikolu 294 TFEU")</f>
        <v>Artikolu 294 TFEU</v>
      </c>
    </row>
    <row r="11718" ht="15.75" customHeight="1">
      <c r="A11718" s="2" t="s">
        <v>11718</v>
      </c>
      <c r="B11718" s="2" t="str">
        <f>IFERROR(__xludf.DUMMYFUNCTION("GOOGLETRANSLATE(A11718, ""en"", ""mt"")"),"Frank Burnet")</f>
        <v>Frank Burnet</v>
      </c>
    </row>
    <row r="11719" ht="15.75" customHeight="1">
      <c r="A11719" s="2" t="s">
        <v>11719</v>
      </c>
      <c r="B11719" s="2" t="str">
        <f>IFERROR(__xludf.DUMMYFUNCTION("GOOGLETRANSLATE(A11719, ""en"", ""mt"")"),"sistema magħluqa")</f>
        <v>sistema magħluqa</v>
      </c>
    </row>
    <row r="11720" ht="15.75" customHeight="1">
      <c r="A11720" s="2" t="s">
        <v>11720</v>
      </c>
      <c r="B11720" s="2" t="str">
        <f>IFERROR(__xludf.DUMMYFUNCTION("GOOGLETRANSLATE(A11720, ""en"", ""mt"")"),"X'kien ir-rwol tal-għalliem waqt li t-tifel kien magħhom?")</f>
        <v>X'kien ir-rwol tal-għalliem waqt li t-tifel kien magħhom?</v>
      </c>
    </row>
    <row r="11721" ht="15.75" customHeight="1">
      <c r="A11721" s="2" t="s">
        <v>11721</v>
      </c>
      <c r="B11721" s="2" t="str">
        <f>IFERROR(__xludf.DUMMYFUNCTION("GOOGLETRANSLATE(A11721, ""en"", ""mt"")"),"Għaliex Franza għażlet li tagħti l-artijiet kontinentali?")</f>
        <v>Għaliex Franza għażlet li tagħti l-artijiet kontinentali?</v>
      </c>
    </row>
    <row r="11722" ht="15.75" customHeight="1">
      <c r="A11722" s="2" t="s">
        <v>11722</v>
      </c>
      <c r="B11722" s="2" t="str">
        <f>IFERROR(__xludf.DUMMYFUNCTION("GOOGLETRANSLATE(A11722, ""en"", ""mt"")"),"1.7 biljun sena ilu")</f>
        <v>1.7 biljun sena ilu</v>
      </c>
    </row>
    <row r="11723" ht="15.75" customHeight="1">
      <c r="A11723" s="2" t="s">
        <v>11723</v>
      </c>
      <c r="B11723" s="2" t="str">
        <f>IFERROR(__xludf.DUMMYFUNCTION("GOOGLETRANSLATE(A11723, ""en"", ""mt"")"),"Doctor Who u s-saħta tal-mewt fatali")</f>
        <v>Doctor Who u s-saħta tal-mewt fatali</v>
      </c>
    </row>
    <row r="11724" ht="15.75" customHeight="1">
      <c r="A11724" s="2" t="s">
        <v>11724</v>
      </c>
      <c r="B11724" s="2" t="str">
        <f>IFERROR(__xludf.DUMMYFUNCTION("GOOGLETRANSLATE(A11724, ""en"", ""mt"")"),"X'għandhom il-kloroplasti fiċ-ċelloli tal-mesofilla jaħżnu d-dijossidu tal-karbonju?")</f>
        <v>X'għandhom il-kloroplasti fiċ-ċelloli tal-mesofilla jaħżnu d-dijossidu tal-karbonju?</v>
      </c>
    </row>
    <row r="11725" ht="15.75" customHeight="1">
      <c r="A11725" s="2" t="s">
        <v>11725</v>
      </c>
      <c r="B11725" s="2" t="str">
        <f>IFERROR(__xludf.DUMMYFUNCTION("GOOGLETRANSLATE(A11725, ""en"", ""mt"")"),"Pan-Iżlamiżmu Sunni")</f>
        <v>Pan-Iżlamiżmu Sunni</v>
      </c>
    </row>
    <row r="11726" ht="15.75" customHeight="1">
      <c r="A11726" s="2" t="s">
        <v>11726</v>
      </c>
      <c r="B11726" s="2" t="str">
        <f>IFERROR(__xludf.DUMMYFUNCTION("GOOGLETRANSLATE(A11726, ""en"", ""mt"")"),"€ 25,000 fis-sena")</f>
        <v>€ 25,000 fis-sena</v>
      </c>
    </row>
    <row r="11727" ht="15.75" customHeight="1">
      <c r="A11727" s="2" t="s">
        <v>11727</v>
      </c>
      <c r="B11727" s="2" t="str">
        <f>IFERROR(__xludf.DUMMYFUNCTION("GOOGLETRANSLATE(A11727, ""en"", ""mt"")"),"Min ġie ppremjat bil-bini tas-CSM?")</f>
        <v>Min ġie ppremjat bil-bini tas-CSM?</v>
      </c>
    </row>
    <row r="11728" ht="15.75" customHeight="1">
      <c r="A11728" s="2" t="s">
        <v>11728</v>
      </c>
      <c r="B11728" s="2" t="str">
        <f>IFERROR(__xludf.DUMMYFUNCTION("GOOGLETRANSLATE(A11728, ""en"", ""mt"")"),"Xi jfisser meta l-muniti jitħallew biex ""jitilgħu?""")</f>
        <v>Xi jfisser meta l-muniti jitħallew biex "jitilgħu?"</v>
      </c>
    </row>
    <row r="11729" ht="15.75" customHeight="1">
      <c r="A11729" s="2" t="s">
        <v>11729</v>
      </c>
      <c r="B11729" s="2" t="str">
        <f>IFERROR(__xludf.DUMMYFUNCTION("GOOGLETRANSLATE(A11729, ""en"", ""mt"")"),"Musulmani Konservattivi")</f>
        <v>Musulmani Konservattivi</v>
      </c>
    </row>
    <row r="11730" ht="15.75" customHeight="1">
      <c r="A11730" s="2" t="s">
        <v>11730</v>
      </c>
      <c r="B11730" s="2" t="str">
        <f>IFERROR(__xludf.DUMMYFUNCTION("GOOGLETRANSLATE(A11730, ""en"", ""mt"")"),"Wara l-ftuħ mill-ġdid, fejn se jkunu jinsabu l-biċċiet tal-arti wara r-restawr?")</f>
        <v>Wara l-ftuħ mill-ġdid, fejn se jkunu jinsabu l-biċċiet tal-arti wara r-restawr?</v>
      </c>
    </row>
    <row r="11731" ht="15.75" customHeight="1">
      <c r="A11731" s="2" t="s">
        <v>11731</v>
      </c>
      <c r="B11731" s="2" t="str">
        <f>IFERROR(__xludf.DUMMYFUNCTION("GOOGLETRANSLATE(A11731, ""en"", ""mt"")"),"Kemm Biegħ Disney fil-Eurosport fl-2000?")</f>
        <v>Kemm Biegħ Disney fil-Eurosport fl-2000?</v>
      </c>
    </row>
    <row r="11732" ht="15.75" customHeight="1">
      <c r="A11732" s="2" t="s">
        <v>11732</v>
      </c>
      <c r="B11732" s="2" t="str">
        <f>IFERROR(__xludf.DUMMYFUNCTION("GOOGLETRANSLATE(A11732, ""en"", ""mt"")"),"kaskata katalitika")</f>
        <v>kaskata katalitika</v>
      </c>
    </row>
    <row r="11733" ht="15.75" customHeight="1">
      <c r="A11733" s="2" t="s">
        <v>11733</v>
      </c>
      <c r="B11733" s="2" t="str">
        <f>IFERROR(__xludf.DUMMYFUNCTION("GOOGLETRANSLATE(A11733, ""en"", ""mt"")"),"ingħata lill-Protestanti ugwaljanza mal-Kattoliċi")</f>
        <v>ingħata lill-Protestanti ugwaljanza mal-Kattoliċi</v>
      </c>
    </row>
    <row r="11734" ht="15.75" customHeight="1">
      <c r="A11734" s="2" t="s">
        <v>11734</v>
      </c>
      <c r="B11734" s="2" t="str">
        <f>IFERROR(__xludf.DUMMYFUNCTION("GOOGLETRANSLATE(A11734, ""en"", ""mt"")"),"konflitti interni")</f>
        <v>konflitti interni</v>
      </c>
    </row>
    <row r="11735" ht="15.75" customHeight="1">
      <c r="A11735" s="2" t="s">
        <v>11735</v>
      </c>
      <c r="B11735" s="2" t="str">
        <f>IFERROR(__xludf.DUMMYFUNCTION("GOOGLETRANSLATE(A11735, ""en"", ""mt"")"),"Mayow")</f>
        <v>Mayow</v>
      </c>
    </row>
    <row r="11736" ht="15.75" customHeight="1">
      <c r="A11736" s="2" t="s">
        <v>11736</v>
      </c>
      <c r="B11736" s="2" t="str">
        <f>IFERROR(__xludf.DUMMYFUNCTION("GOOGLETRANSLATE(A11736, ""en"", ""mt"")"),"Minn liema materjal huwa magħmul il-Becket Casket?")</f>
        <v>Minn liema materjal huwa magħmul il-Becket Casket?</v>
      </c>
    </row>
    <row r="11737" ht="15.75" customHeight="1">
      <c r="A11737" s="2" t="s">
        <v>11737</v>
      </c>
      <c r="B11737" s="2" t="str">
        <f>IFERROR(__xludf.DUMMYFUNCTION("GOOGLETRANSLATE(A11737, ""en"", ""mt"")"),"abbuż ta 'pożizzjoni dominanti")</f>
        <v>abbuż ta 'pożizzjoni dominanti</v>
      </c>
    </row>
    <row r="11738" ht="15.75" customHeight="1">
      <c r="A11738" s="2" t="s">
        <v>11738</v>
      </c>
      <c r="B11738" s="2" t="str">
        <f>IFERROR(__xludf.DUMMYFUNCTION("GOOGLETRANSLATE(A11738, ""en"", ""mt"")"),"Taħt dawl intens")</f>
        <v>Taħt dawl intens</v>
      </c>
    </row>
    <row r="11739" ht="15.75" customHeight="1">
      <c r="A11739" s="2" t="s">
        <v>11739</v>
      </c>
      <c r="B11739" s="2" t="str">
        <f>IFERROR(__xludf.DUMMYFUNCTION("GOOGLETRANSLATE(A11739, ""en"", ""mt"")"),"Proġetti ewlenin ta 'informazzjoni nazzjonali u internazzjonali tal-pazjenti")</f>
        <v>Proġetti ewlenin ta 'informazzjoni nazzjonali u internazzjonali tal-pazjenti</v>
      </c>
    </row>
    <row r="11740" ht="15.75" customHeight="1">
      <c r="A11740" s="2" t="s">
        <v>11740</v>
      </c>
      <c r="B11740" s="2" t="str">
        <f>IFERROR(__xludf.DUMMYFUNCTION("GOOGLETRANSLATE(A11740, ""en"", ""mt"")"),"Uża l-proċeduri bħala forum")</f>
        <v>Uża l-proċeduri bħala forum</v>
      </c>
    </row>
    <row r="11741" ht="15.75" customHeight="1">
      <c r="A11741" s="2" t="s">
        <v>11741</v>
      </c>
      <c r="B11741" s="2" t="str">
        <f>IFERROR(__xludf.DUMMYFUNCTION("GOOGLETRANSLATE(A11741, ""en"", ""mt"")"),"Ma tkompliex")</f>
        <v>Ma tkompliex</v>
      </c>
    </row>
    <row r="11742" ht="15.75" customHeight="1">
      <c r="A11742" s="2" t="s">
        <v>11742</v>
      </c>
      <c r="B11742" s="2" t="str">
        <f>IFERROR(__xludf.DUMMYFUNCTION("GOOGLETRANSLATE(A11742, ""en"", ""mt"")"),"X'tagħmel ir-retikolu periferali tal-kloroplast?")</f>
        <v>X'tagħmel ir-retikolu periferali tal-kloroplast?</v>
      </c>
    </row>
    <row r="11743" ht="15.75" customHeight="1">
      <c r="A11743" s="2" t="s">
        <v>11743</v>
      </c>
      <c r="B11743" s="2" t="str">
        <f>IFERROR(__xludf.DUMMYFUNCTION("GOOGLETRANSLATE(A11743, ""en"", ""mt"")"),"bits tal-metall")</f>
        <v>bits tal-metall</v>
      </c>
    </row>
    <row r="11744" ht="15.75" customHeight="1">
      <c r="A11744" s="2" t="s">
        <v>11744</v>
      </c>
      <c r="B11744" s="2" t="str">
        <f>IFERROR(__xludf.DUMMYFUNCTION("GOOGLETRANSLATE(A11744, ""en"", ""mt"")"),"Lil min irrifjuta lil Toghrul li jagħti lil bintu fiż-żwieġ, jirrabja lil Temüjin?")</f>
        <v>Lil min irrifjuta lil Toghrul li jagħti lil bintu fiż-żwieġ, jirrabja lil Temüjin?</v>
      </c>
    </row>
    <row r="11745" ht="15.75" customHeight="1">
      <c r="A11745" s="2" t="s">
        <v>11745</v>
      </c>
      <c r="B11745" s="2" t="str">
        <f>IFERROR(__xludf.DUMMYFUNCTION("GOOGLETRANSLATE(A11745, ""en"", ""mt"")"),"Ġurnaliżmu")</f>
        <v>Ġurnaliżmu</v>
      </c>
    </row>
    <row r="11746" ht="15.75" customHeight="1">
      <c r="A11746" s="2" t="s">
        <v>11746</v>
      </c>
      <c r="B11746" s="2" t="str">
        <f>IFERROR(__xludf.DUMMYFUNCTION("GOOGLETRANSLATE(A11746, ""en"", ""mt"")"),"Artikolu 5")</f>
        <v>Artikolu 5</v>
      </c>
    </row>
    <row r="11747" ht="15.75" customHeight="1">
      <c r="A11747" s="2" t="s">
        <v>11747</v>
      </c>
      <c r="B11747" s="2" t="str">
        <f>IFERROR(__xludf.DUMMYFUNCTION("GOOGLETRANSLATE(A11747, ""en"", ""mt"")"),"id-disgħinijiet")</f>
        <v>id-disgħinijiet</v>
      </c>
    </row>
    <row r="11748" ht="15.75" customHeight="1">
      <c r="A11748" s="2" t="s">
        <v>11748</v>
      </c>
      <c r="B11748" s="2" t="str">
        <f>IFERROR(__xludf.DUMMYFUNCTION("GOOGLETRANSLATE(A11748, ""en"", ""mt"")"),"X’kien qed jittama li jistimula bit-toe squishing?")</f>
        <v>X’kien qed jittama li jistimula bit-toe squishing?</v>
      </c>
    </row>
    <row r="11749" ht="15.75" customHeight="1">
      <c r="A11749" s="2" t="s">
        <v>11749</v>
      </c>
      <c r="B11749" s="2" t="str">
        <f>IFERROR(__xludf.DUMMYFUNCTION("GOOGLETRANSLATE(A11749, ""en"", ""mt"")"),"Prattiki u eżamijiet governattivi Confucian")</f>
        <v>Prattiki u eżamijiet governattivi Confucian</v>
      </c>
    </row>
    <row r="11750" ht="15.75" customHeight="1">
      <c r="A11750" s="2" t="s">
        <v>11750</v>
      </c>
      <c r="B11750" s="2" t="str">
        <f>IFERROR(__xludf.DUMMYFUNCTION("GOOGLETRANSLATE(A11750, ""en"", ""mt"")"),"ogħla")</f>
        <v>ogħla</v>
      </c>
    </row>
    <row r="11751" ht="15.75" customHeight="1">
      <c r="A11751" s="2" t="s">
        <v>11751</v>
      </c>
      <c r="B11751" s="2" t="str">
        <f>IFERROR(__xludf.DUMMYFUNCTION("GOOGLETRANSLATE(A11751, ""en"", ""mt"")"),"Elisabeth Sladen")</f>
        <v>Elisabeth Sladen</v>
      </c>
    </row>
    <row r="11752" ht="15.75" customHeight="1">
      <c r="A11752" s="2" t="s">
        <v>11752</v>
      </c>
      <c r="B11752" s="2" t="str">
        <f>IFERROR(__xludf.DUMMYFUNCTION("GOOGLETRANSLATE(A11752, ""en"", ""mt"")"),"Xi jemmnu xi riċerkaturi li huwa l-ewwel phylum tal-annimali li qed jiddevja?")</f>
        <v>Xi jemmnu xi riċerkaturi li huwa l-ewwel phylum tal-annimali li qed jiddevja?</v>
      </c>
    </row>
    <row r="11753" ht="15.75" customHeight="1">
      <c r="A11753" s="2" t="s">
        <v>11753</v>
      </c>
      <c r="B11753" s="2" t="str">
        <f>IFERROR(__xludf.DUMMYFUNCTION("GOOGLETRANSLATE(A11753, ""en"", ""mt"")"),"Bliet Reġjonali")</f>
        <v>Bliet Reġjonali</v>
      </c>
    </row>
    <row r="11754" ht="15.75" customHeight="1">
      <c r="A11754" s="2" t="s">
        <v>11754</v>
      </c>
      <c r="B11754" s="2" t="str">
        <f>IFERROR(__xludf.DUMMYFUNCTION("GOOGLETRANSLATE(A11754, ""en"", ""mt"")"),"Flimkien ma 'l-għoti ta' min wettaq ""id-deżerti biss"" tiegħu, il-kisba tal-kontroll tal-kriminalità permezz ta 'inkapaċità u deterrenza hija għan ewlieni ta' piena kriminali. Brownlee jargumenta, ""li ddaħħal id-deterrenza fil-livell ta 'ġustifikazzjoni"&amp;" tnaqqas mill-impenn tal-liġi fi djalogu morali ma' min wettaq ir-reat bħala persuna razzjonali minħabba li tiffoka l-attenzjoni fuq it-theddida ta 'kastig u mhux ir-raġunijiet morali biex issegwi din il-liġi."" Leonard Hubert Hoffmann jikteb, ""Meta jidd"&amp;"eċiedi jekk jimponix kastig jew le, l-iktar konsiderazzjoni importanti tkun jekk tagħmilx iktar ħsara milli ġid. Dan ifisser li l-Objettur m'għandux dritt li ma jiġix ikkastigat. Hija kwistjoni għall-Istat (inklużi l-imħallfin) biex tiddeċiedi għal raġuni"&amp;"jiet utilitarji jekk jagħmlux hekk jew le. """)</f>
        <v>Flimkien ma 'l-għoti ta' min wettaq "id-deżerti biss" tiegħu, il-kisba tal-kontroll tal-kriminalità permezz ta 'inkapaċità u deterrenza hija għan ewlieni ta' piena kriminali. Brownlee jargumenta, "li ddaħħal id-deterrenza fil-livell ta 'ġustifikazzjoni tnaqqas mill-impenn tal-liġi fi djalogu morali ma' min wettaq ir-reat bħala persuna razzjonali minħabba li tiffoka l-attenzjoni fuq it-theddida ta 'kastig u mhux ir-raġunijiet morali biex issegwi din il-liġi." Leonard Hubert Hoffmann jikteb, "Meta jiddeċiedi jekk jimponix kastig jew le, l-iktar konsiderazzjoni importanti tkun jekk tagħmilx iktar ħsara milli ġid. Dan ifisser li l-Objettur m'għandux dritt li ma jiġix ikkastigat. Hija kwistjoni għall-Istat (inklużi l-imħallfin) biex tiddeċiedi għal raġunijiet utilitarji jekk jagħmlux hekk jew le. "</v>
      </c>
    </row>
    <row r="11755" ht="15.75" customHeight="1">
      <c r="A11755" s="2" t="s">
        <v>11755</v>
      </c>
      <c r="B11755" s="2" t="str">
        <f>IFERROR(__xludf.DUMMYFUNCTION("GOOGLETRANSLATE(A11755, ""en"", ""mt"")"),"Dawn il-kloroplasti, li jistgħu jiġu rintraċċati direttament għal antenat ċjanobatteriku, huma magħrufa bħala plastidi primarji (""plastid"" f'dan il-kuntest ifisser kważi l-istess ħaġa bħall-kloroplast). Il-kloroplasti primarji kollha jappartjenu għal wi"&amp;"eħed minn tliet nisel tal-kloroplast - in-nisel tal-kloroplast tal-glaukofit, ir-rodofite, jew in-nisel tal-kloroplast tal-alka ħamra, jew il-kloroplastida, jew il-kloroplast aħdar. It-tieni tnejn huma l-akbar, u n-nisel tal-kloroplast aħdar huwa dak li f"&amp;"ih il-pjanti tal-art.")</f>
        <v>Dawn il-kloroplasti, li jistgħu jiġu rintraċċati direttament għal antenat ċjanobatteriku, huma magħrufa bħala plastidi primarji ("plastid" f'dan il-kuntest ifisser kważi l-istess ħaġa bħall-kloroplast). Il-kloroplasti primarji kollha jappartjenu għal wieħed minn tliet nisel tal-kloroplast - in-nisel tal-kloroplast tal-glaukofit, ir-rodofite, jew in-nisel tal-kloroplast tal-alka ħamra, jew il-kloroplastida, jew il-kloroplast aħdar. It-tieni tnejn huma l-akbar, u n-nisel tal-kloroplast aħdar huwa dak li fih il-pjanti tal-art.</v>
      </c>
    </row>
    <row r="11756" ht="15.75" customHeight="1">
      <c r="A11756" s="2" t="s">
        <v>11756</v>
      </c>
      <c r="B11756" s="2" t="str">
        <f>IFERROR(__xludf.DUMMYFUNCTION("GOOGLETRANSLATE(A11756, ""en"", ""mt"")"),"ċertu numru ta 'salarji tal-għalliema jitħallsu mill-istat")</f>
        <v>ċertu numru ta 'salarji tal-għalliema jitħallsu mill-istat</v>
      </c>
    </row>
    <row r="11757" ht="15.75" customHeight="1">
      <c r="A11757" s="2" t="s">
        <v>11757</v>
      </c>
      <c r="B11757" s="2" t="str">
        <f>IFERROR(__xludf.DUMMYFUNCTION("GOOGLETRANSLATE(A11757, ""en"", ""mt"")"),"pontijiet ġodda u mkabbra, servizz tax-shuttle u / jew tram")</f>
        <v>pontijiet ġodda u mkabbra, servizz tax-shuttle u / jew tram</v>
      </c>
    </row>
    <row r="11758" ht="15.75" customHeight="1">
      <c r="A11758" s="2" t="s">
        <v>11758</v>
      </c>
      <c r="B11758" s="2" t="str">
        <f>IFERROR(__xludf.DUMMYFUNCTION("GOOGLETRANSLATE(A11758, ""en"", ""mt"")"),"Trunnion")</f>
        <v>Trunnion</v>
      </c>
    </row>
    <row r="11759" ht="15.75" customHeight="1">
      <c r="A11759" s="2" t="s">
        <v>11759</v>
      </c>
      <c r="B11759" s="2" t="str">
        <f>IFERROR(__xludf.DUMMYFUNCTION("GOOGLETRANSLATE(A11759, ""en"", ""mt"")"),"3:00 a.m.")</f>
        <v>3:00 a.m.</v>
      </c>
    </row>
    <row r="11760" ht="15.75" customHeight="1">
      <c r="A11760" s="2" t="s">
        <v>11760</v>
      </c>
      <c r="B11760" s="2" t="str">
        <f>IFERROR(__xludf.DUMMYFUNCTION("GOOGLETRANSLATE(A11760, ""en"", ""mt"")"),"Il-Passi tad-Dar Harambee ta 'Nairobi")</f>
        <v>Il-Passi tad-Dar Harambee ta 'Nairobi</v>
      </c>
    </row>
    <row r="11761" ht="15.75" customHeight="1">
      <c r="A11761" s="2" t="s">
        <v>11761</v>
      </c>
      <c r="B11761" s="2" t="str">
        <f>IFERROR(__xludf.DUMMYFUNCTION("GOOGLETRANSLATE(A11761, ""en"", ""mt"")"),"Il-Kenja rebħet diversi midalji waqt l-Olimpjadi ta ’Beijing, sitt deheb, erba’ fidda u erba ’bronż, li għamlu l-iktar nazzjon ta’ suċċess tal-Afrika fl-Olimpjadi tal-2008. Atleti ġodda kisbu l-attenzjoni, bħal Pamela Jelimo, il-medalista tad-deheb tan-ni"&amp;"sa 800m li marru 'l quddiem biex jirbħu l-jackpot tal-IAAF Golden League, u Samuel Wanjiru li rebaħ il-maratona tal-irġiel. Iċ-champion tal-Logħob Olimpiku u tal-Commonwealth irtirat Kipchoge Keino għen biex joħroġ fid-dinastija distanza kontinwa tal-Kenj"&amp;"a fis-snin sebgħin u kien segwit mill-korda spettakolari taċ-champion tal-Commonwealth Henry Rono ta 'wirjiet rekord dinjija. Dan l-aħħar, kien hemm kontroversja fiċ-ċrieki tal-atletika Kenjana, bid-defection ta 'numru ta' atleti Kenjani biex jirrappreżen"&amp;"taw pajjiżi oħra, prinċipalment il-Baħrejn u l-Qatar. Il-Ministeru tal-Isport tal-Kenja pprova jwaqqaf id-difetti, iżda huma komplew xorta waħda, b'Bernard Lagat l-aktar reċenti, billi għażlu li jirrappreżentaw l-Istati Uniti. Ħafna minn dawn id-difetti j"&amp;"seħħu minħabba fatturi ekonomiċi jew finanzjarji. Xi runners elite Kenjani li ma jistgħux jikkwalifikaw għat-tim nazzjonali qawwi ta 'pajjiżhom isibuha aktar faċli biex jikkwalifikaw billi jmexxu għal pajjiżi oħra. [Ċitazzjoni meħtieġa]")</f>
        <v>Il-Kenja rebħet diversi midalji waqt l-Olimpjadi ta ’Beijing, sitt deheb, erba’ fidda u erba ’bronż, li għamlu l-iktar nazzjon ta’ suċċess tal-Afrika fl-Olimpjadi tal-2008. Atleti ġodda kisbu l-attenzjoni, bħal Pamela Jelimo, il-medalista tad-deheb tan-nisa 800m li marru 'l quddiem biex jirbħu l-jackpot tal-IAAF Golden League, u Samuel Wanjiru li rebaħ il-maratona tal-irġiel. Iċ-champion tal-Logħob Olimpiku u tal-Commonwealth irtirat Kipchoge Keino għen biex joħroġ fid-dinastija distanza kontinwa tal-Kenja fis-snin sebgħin u kien segwit mill-korda spettakolari taċ-champion tal-Commonwealth Henry Rono ta 'wirjiet rekord dinjija. Dan l-aħħar, kien hemm kontroversja fiċ-ċrieki tal-atletika Kenjana, bid-defection ta 'numru ta' atleti Kenjani biex jirrappreżentaw pajjiżi oħra, prinċipalment il-Baħrejn u l-Qatar. Il-Ministeru tal-Isport tal-Kenja pprova jwaqqaf id-difetti, iżda huma komplew xorta waħda, b'Bernard Lagat l-aktar reċenti, billi għażlu li jirrappreżentaw l-Istati Uniti. Ħafna minn dawn id-difetti jseħħu minħabba fatturi ekonomiċi jew finanzjarji. Xi runners elite Kenjani li ma jistgħux jikkwalifikaw għat-tim nazzjonali qawwi ta 'pajjiżhom isibuha aktar faċli biex jikkwalifikaw billi jmexxu għal pajjiżi oħra. [Ċitazzjoni meħtieġa]</v>
      </c>
    </row>
    <row r="11762" ht="15.75" customHeight="1">
      <c r="A11762" s="2" t="s">
        <v>11762</v>
      </c>
      <c r="B11762" s="2" t="str">
        <f>IFERROR(__xludf.DUMMYFUNCTION("GOOGLETRANSLATE(A11762, ""en"", ""mt"")"),"Iż-żewġ membrani tal-kloroplast kif iqabblu mal-membrani doppji oriġinali ta 'Cyanobacterium?")</f>
        <v>Iż-żewġ membrani tal-kloroplast kif iqabblu mal-membrani doppji oriġinali ta 'Cyanobacterium?</v>
      </c>
    </row>
    <row r="11763" ht="15.75" customHeight="1">
      <c r="A11763" s="2" t="s">
        <v>11763</v>
      </c>
      <c r="B11763" s="2" t="str">
        <f>IFERROR(__xludf.DUMMYFUNCTION("GOOGLETRANSLATE(A11763, ""en"", ""mt"")"),"X'inhu terminu ieħor għall-immuntar tal-pern?")</f>
        <v>X'inhu terminu ieħor għall-immuntar tal-pern?</v>
      </c>
    </row>
    <row r="11764" ht="15.75" customHeight="1">
      <c r="A11764" s="2" t="s">
        <v>11764</v>
      </c>
      <c r="B11764" s="2" t="str">
        <f>IFERROR(__xludf.DUMMYFUNCTION("GOOGLETRANSLATE(A11764, ""en"", ""mt"")"),"A ""Unità")</f>
        <v>A "Unità</v>
      </c>
    </row>
    <row r="11765" ht="15.75" customHeight="1">
      <c r="A11765" s="2" t="s">
        <v>11765</v>
      </c>
      <c r="B11765" s="2" t="str">
        <f>IFERROR(__xludf.DUMMYFUNCTION("GOOGLETRANSLATE(A11765, ""en"", ""mt"")"),"Spanja")</f>
        <v>Spanja</v>
      </c>
    </row>
    <row r="11766" ht="15.75" customHeight="1">
      <c r="A11766" s="2" t="s">
        <v>11766</v>
      </c>
      <c r="B11766" s="2" t="str">
        <f>IFERROR(__xludf.DUMMYFUNCTION("GOOGLETRANSLATE(A11766, ""en"", ""mt"")"),"""L-Istat Iżlamiku"", li qabel kien magħruf bħala ""l-Istat Iżlamiku ta 'l-Iraq u l-Levant"" u qabel dak bħala ""l-Istat Iżlamiku ta' l-Iraq"", (u sejjaħ l-akronimu Daesh mill-ħafna detractors tiegħu), huwa estremista jihadist Wahhabi / Salafi Grupp milit"&amp;"anti li huwa mmexxi minn u prinċipalment magħmul minn Għarab Sunni mill-Iraq u s-Sirja. Fl-2014, il-grupp ipproklama lilu nnifsu kalifat, b'awtorità reliġjuża, politika u militari matul il-Musulmani kollha mad-dinja kollha. Minn Marzu 2015 [aġġornament], "&amp;"kellu kontroll fuq territorju okkupat minn għaxar miljun persuna fl-Iraq u s-Sirja, u għandu kontroll nominali fuq żoni żgħar tal-Libja, in-Niġerja u l-Afganistan. (Filwaqt li stat deskritt minnu nnifsu, huwa nieqes mir-rikonoxximent internazzjonali.) Il-"&amp;"grupp jopera wkoll jew għandu affiljati f'partijiet oħra tad-dinja, inklużi l-Afrika ta 'Fuq u l-Asja t'Isfel.")</f>
        <v>"L-Istat Iżlamiku", li qabel kien magħruf bħala "l-Istat Iżlamiku ta 'l-Iraq u l-Levant" u qabel dak bħala "l-Istat Iżlamiku ta' l-Iraq", (u sejjaħ l-akronimu Daesh mill-ħafna detractors tiegħu), huwa estremista jihadist Wahhabi / Salafi Grupp militanti li huwa mmexxi minn u prinċipalment magħmul minn Għarab Sunni mill-Iraq u s-Sirja. Fl-2014, il-grupp ipproklama lilu nnifsu kalifat, b'awtorità reliġjuża, politika u militari matul il-Musulmani kollha mad-dinja kollha. Minn Marzu 2015 [aġġornament], kellu kontroll fuq territorju okkupat minn għaxar miljun persuna fl-Iraq u s-Sirja, u għandu kontroll nominali fuq żoni żgħar tal-Libja, in-Niġerja u l-Afganistan. (Filwaqt li stat deskritt minnu nnifsu, huwa nieqes mir-rikonoxximent internazzjonali.) Il-grupp jopera wkoll jew għandu affiljati f'partijiet oħra tad-dinja, inklużi l-Afrika ta 'Fuq u l-Asja t'Isfel.</v>
      </c>
    </row>
    <row r="11767" ht="15.75" customHeight="1">
      <c r="A11767" s="2" t="s">
        <v>11767</v>
      </c>
      <c r="B11767" s="2" t="str">
        <f>IFERROR(__xludf.DUMMYFUNCTION("GOOGLETRANSLATE(A11767, ""en"", ""mt"")"),"Temecula u Murrieta")</f>
        <v>Temecula u Murrieta</v>
      </c>
    </row>
    <row r="11768" ht="15.75" customHeight="1">
      <c r="A11768" s="2" t="s">
        <v>11768</v>
      </c>
      <c r="B11768" s="2" t="str">
        <f>IFERROR(__xludf.DUMMYFUNCTION("GOOGLETRANSLATE(A11768, ""en"", ""mt"")"),"UCLA")</f>
        <v>UCLA</v>
      </c>
    </row>
    <row r="11769" ht="15.75" customHeight="1">
      <c r="A11769" s="2" t="s">
        <v>11769</v>
      </c>
      <c r="B11769" s="2" t="str">
        <f>IFERROR(__xludf.DUMMYFUNCTION("GOOGLETRANSLATE(A11769, ""en"", ""mt"")"),"X'inhi l-adozzjoni proto-Ġermanika ta 'l-isem Gaulish tar-Renu?")</f>
        <v>X'inhi l-adozzjoni proto-Ġermanika ta 'l-isem Gaulish tar-Renu?</v>
      </c>
    </row>
    <row r="11770" ht="15.75" customHeight="1">
      <c r="A11770" s="2" t="s">
        <v>11770</v>
      </c>
      <c r="B11770" s="2" t="str">
        <f>IFERROR(__xludf.DUMMYFUNCTION("GOOGLETRANSLATE(A11770, ""en"", ""mt"")"),"Doctor Who huwa programm televiżiv tax-xjenza-fittizja Brittaniku prodott mill-BBC mill-1963. Il-programm juri l-avventuri tat-Tabib, A Time Lord - Alien umanojdi li jivvjaġġaw fl-ispazju u l-ħin. Huwa jesplora l-univers fit-TARDIS tiegħu, vapur spazjali "&amp;"li jivvjaġġa fil-ħin sensjenti. Il-parti ta ’barra tagħha tidher bħala kaxxa tal-pulizija B-Brittanika blu, li kienet vista komuni fil-Gran Brittanja fl-1963 meta s-serje xxandret għall-ewwel darba. Akkumpanjat minn kumpanji, it-tabib jiġġieled varjetà ta"&amp;" 'foes, waqt li jaħdem biex isalva ċiviltajiet u jgħin lin-nies fil-bżonn.")</f>
        <v>Doctor Who huwa programm televiżiv tax-xjenza-fittizja Brittaniku prodott mill-BBC mill-1963. Il-programm juri l-avventuri tat-Tabib, A Time Lord - Alien umanojdi li jivvjaġġaw fl-ispazju u l-ħin. Huwa jesplora l-univers fit-TARDIS tiegħu, vapur spazjali li jivvjaġġa fil-ħin sensjenti. Il-parti ta ’barra tagħha tidher bħala kaxxa tal-pulizija B-Brittanika blu, li kienet vista komuni fil-Gran Brittanja fl-1963 meta s-serje xxandret għall-ewwel darba. Akkumpanjat minn kumpanji, it-tabib jiġġieled varjetà ta 'foes, waqt li jaħdem biex isalva ċiviltajiet u jgħin lin-nies fil-bżonn.</v>
      </c>
    </row>
    <row r="11771" ht="15.75" customHeight="1">
      <c r="A11771" s="2" t="s">
        <v>11771</v>
      </c>
      <c r="B11771" s="2" t="str">
        <f>IFERROR(__xludf.DUMMYFUNCTION("GOOGLETRANSLATE(A11771, ""en"", ""mt"")"),"Dublin")</f>
        <v>Dublin</v>
      </c>
    </row>
    <row r="11772" ht="15.75" customHeight="1">
      <c r="A11772" s="2" t="s">
        <v>11772</v>
      </c>
      <c r="B11772" s="2" t="str">
        <f>IFERROR(__xludf.DUMMYFUNCTION("GOOGLETRANSLATE(A11772, ""en"", ""mt"")"),"Id-diżubbidjenti ċivili joqogħdu mill-vjolenza jingħad ukoll biex jgħinu jippreservaw it-tolleranza tas-soċjetà tad-diżubbidjenza ċivili")</f>
        <v>Id-diżubbidjenti ċivili joqogħdu mill-vjolenza jingħad ukoll biex jgħinu jippreservaw it-tolleranza tas-soċjetà tad-diżubbidjenza ċivili</v>
      </c>
    </row>
    <row r="11773" ht="15.75" customHeight="1">
      <c r="A11773" s="2" t="s">
        <v>11773</v>
      </c>
      <c r="B11773" s="2" t="str">
        <f>IFERROR(__xludf.DUMMYFUNCTION("GOOGLETRANSLATE(A11773, ""en"", ""mt"")"),"Kienu ċ-ċentri ta 'profitt")</f>
        <v>Kienu ċ-ċentri ta 'profitt</v>
      </c>
    </row>
    <row r="11774" ht="15.75" customHeight="1">
      <c r="A11774" s="2" t="s">
        <v>11774</v>
      </c>
      <c r="B11774" s="2" t="str">
        <f>IFERROR(__xludf.DUMMYFUNCTION("GOOGLETRANSLATE(A11774, ""en"", ""mt"")"),"Skond it-tnaqqis tal-ħin polinomjali, il-kwadri jistgħu fl-aħħar jitnaqqsu loġikament għal xiex?")</f>
        <v>Skond it-tnaqqis tal-ħin polinomjali, il-kwadri jistgħu fl-aħħar jitnaqqsu loġikament għal xiex?</v>
      </c>
    </row>
    <row r="11775" ht="15.75" customHeight="1">
      <c r="A11775" s="2" t="s">
        <v>11775</v>
      </c>
      <c r="B11775" s="2" t="str">
        <f>IFERROR(__xludf.DUMMYFUNCTION("GOOGLETRANSLATE(A11775, ""en"", ""mt"")"),"Xi jfisser il-konnessjoni differenti ta 'kaxxi tas-sema Q?")</f>
        <v>Xi jfisser il-konnessjoni differenti ta 'kaxxi tas-sema Q?</v>
      </c>
    </row>
    <row r="11776" ht="15.75" customHeight="1">
      <c r="A11776" s="2" t="s">
        <v>11776</v>
      </c>
      <c r="B11776" s="2" t="str">
        <f>IFERROR(__xludf.DUMMYFUNCTION("GOOGLETRANSLATE(A11776, ""en"", ""mt"")"),"issir kompletament imnaqqsa")</f>
        <v>issir kompletament imnaqqsa</v>
      </c>
    </row>
    <row r="11777" ht="15.75" customHeight="1">
      <c r="A11777" s="2" t="s">
        <v>11777</v>
      </c>
      <c r="B11777" s="2" t="str">
        <f>IFERROR(__xludf.DUMMYFUNCTION("GOOGLETRANSLATE(A11777, ""en"", ""mt"")"),"il-proġett tal-fabbrika")</f>
        <v>il-proġett tal-fabbrika</v>
      </c>
    </row>
    <row r="11778" ht="15.75" customHeight="1">
      <c r="A11778" s="2" t="s">
        <v>11778</v>
      </c>
      <c r="B11778" s="2" t="str">
        <f>IFERROR(__xludf.DUMMYFUNCTION("GOOGLETRANSLATE(A11778, ""en"", ""mt"")"),"Magna tat-Turing")</f>
        <v>Magna tat-Turing</v>
      </c>
    </row>
    <row r="11779" ht="15.75" customHeight="1">
      <c r="A11779" s="2" t="s">
        <v>11779</v>
      </c>
      <c r="B11779" s="2" t="str">
        <f>IFERROR(__xludf.DUMMYFUNCTION("GOOGLETRANSLATE(A11779, ""en"", ""mt"")"),"Lista kompluta ta 'primes sa hija magħrufa")</f>
        <v>Lista kompluta ta 'primes sa hija magħrufa</v>
      </c>
    </row>
    <row r="11780" ht="15.75" customHeight="1">
      <c r="A11780" s="2" t="s">
        <v>11780</v>
      </c>
      <c r="B11780" s="2" t="str">
        <f>IFERROR(__xludf.DUMMYFUNCTION("GOOGLETRANSLATE(A11780, ""en"", ""mt"")"),"Iffirmar tat-Trattat ta 'Pariġi fl-10 ta' Frar 1763")</f>
        <v>Iffirmar tat-Trattat ta 'Pariġi fl-10 ta' Frar 1763</v>
      </c>
    </row>
    <row r="11781" ht="15.75" customHeight="1">
      <c r="A11781" s="2" t="s">
        <v>11781</v>
      </c>
      <c r="B11781" s="2" t="str">
        <f>IFERROR(__xludf.DUMMYFUNCTION("GOOGLETRANSLATE(A11781, ""en"", ""mt"")"),"77")</f>
        <v>77</v>
      </c>
    </row>
    <row r="11782" ht="15.75" customHeight="1">
      <c r="A11782" s="2" t="s">
        <v>11782</v>
      </c>
      <c r="B11782" s="2" t="str">
        <f>IFERROR(__xludf.DUMMYFUNCTION("GOOGLETRANSLATE(A11782, ""en"", ""mt"")"),"Ħalli l-awtrija ta 'l-Istati Uniti ta' 'New World' li kellha tkun ikkaratterizzata minn ordni ġeografika")</f>
        <v>Ħalli l-awtrija ta 'l-Istati Uniti ta' 'New World' li kellha tkun ikkaratterizzata minn ordni ġeografika</v>
      </c>
    </row>
    <row r="11783" ht="15.75" customHeight="1">
      <c r="A11783" s="2" t="s">
        <v>11783</v>
      </c>
      <c r="B11783" s="2" t="str">
        <f>IFERROR(__xludf.DUMMYFUNCTION("GOOGLETRANSLATE(A11783, ""en"", ""mt"")"),"Liema reġjuni għandhom klimi moderati?")</f>
        <v>Liema reġjuni għandhom klimi moderati?</v>
      </c>
    </row>
    <row r="11784" ht="15.75" customHeight="1">
      <c r="A11784" s="2" t="s">
        <v>11784</v>
      </c>
      <c r="B11784" s="2" t="str">
        <f>IFERROR(__xludf.DUMMYFUNCTION("GOOGLETRANSLATE(A11784, ""en"", ""mt"")"),"X'inhi barriera mekkanika fl-insetti li tipproteġi l-insett?")</f>
        <v>X'inhi barriera mekkanika fl-insetti li tipproteġi l-insett?</v>
      </c>
    </row>
    <row r="11785" ht="15.75" customHeight="1">
      <c r="A11785" s="2" t="s">
        <v>11785</v>
      </c>
      <c r="B11785" s="2" t="str">
        <f>IFERROR(__xludf.DUMMYFUNCTION("GOOGLETRANSLATE(A11785, ""en"", ""mt"")"),"Glukokortikojdi")</f>
        <v>Glukokortikojdi</v>
      </c>
    </row>
    <row r="11786" ht="15.75" customHeight="1">
      <c r="A11786" s="2" t="s">
        <v>11786</v>
      </c>
      <c r="B11786" s="2" t="str">
        <f>IFERROR(__xludf.DUMMYFUNCTION("GOOGLETRANSLATE(A11786, ""en"", ""mt"")"),"2015")</f>
        <v>2015</v>
      </c>
    </row>
    <row r="11787" ht="15.75" customHeight="1">
      <c r="A11787" s="2" t="s">
        <v>11787</v>
      </c>
      <c r="B11787" s="2" t="str">
        <f>IFERROR(__xludf.DUMMYFUNCTION("GOOGLETRANSLATE(A11787, ""en"", ""mt"")"),"voluminuż")</f>
        <v>voluminuż</v>
      </c>
    </row>
    <row r="11788" ht="15.75" customHeight="1">
      <c r="A11788" s="2" t="s">
        <v>11788</v>
      </c>
      <c r="B11788" s="2" t="str">
        <f>IFERROR(__xludf.DUMMYFUNCTION("GOOGLETRANSLATE(A11788, ""en"", ""mt"")"),"Min irkupra l-istrixxa tal-ballun?")</f>
        <v>Min irkupra l-istrixxa tal-ballun?</v>
      </c>
    </row>
    <row r="11789" ht="15.75" customHeight="1">
      <c r="A11789" s="2" t="s">
        <v>11789</v>
      </c>
      <c r="B11789" s="2" t="str">
        <f>IFERROR(__xludf.DUMMYFUNCTION("GOOGLETRANSLATE(A11789, ""en"", ""mt"")"),"5,000")</f>
        <v>5,000</v>
      </c>
    </row>
    <row r="11790" ht="15.75" customHeight="1">
      <c r="A11790" s="2" t="s">
        <v>11790</v>
      </c>
      <c r="B11790" s="2" t="str">
        <f>IFERROR(__xludf.DUMMYFUNCTION("GOOGLETRANSLATE(A11790, ""en"", ""mt"")"),"Luther's 1524 Creedal Innu ""Wir Glauben Kollha Einen Gott"" (""Aħna lkoll nemmnu f'Alla Veru wieħed"") hija konfessjoni ta 'fidi bi tliet stanza li tipprefigura l-1529 ta' Luther 1529 Spjegazzjoni ta 'tliet partijiet tal-Appostli ""Kreditu fil-Katekiżmu "&amp;"Żgħir. L-innu ta 'Luther, adattat u estiż minn innu Ġermaniż ta' Creeda, kiseb użu mifrux fil-liturġiji tal-Luterani vernakolari kmieni fl-1525. Innu Luterani tas-seklu sittax inkludew ukoll ""Wir Glauben kollha"" fost l-innijiet kateketiċi, għalkemm l-in"&amp;"nu tas-seklu 18-il L-innu bħala trinitarju aktar milli kateketiku, u l-Luterani tas-seklu 20 rarament jużaw l-innu minħabba d-diffikultà perċepita ta 'l-intonazzjoni tiegħu.")</f>
        <v>Luther's 1524 Creedal Innu "Wir Glauben Kollha Einen Gott" ("Aħna lkoll nemmnu f'Alla Veru wieħed") hija konfessjoni ta 'fidi bi tliet stanza li tipprefigura l-1529 ta' Luther 1529 Spjegazzjoni ta 'tliet partijiet tal-Appostli "Kreditu fil-Katekiżmu Żgħir. L-innu ta 'Luther, adattat u estiż minn innu Ġermaniż ta' Creeda, kiseb użu mifrux fil-liturġiji tal-Luterani vernakolari kmieni fl-1525. Innu Luterani tas-seklu sittax inkludew ukoll "Wir Glauben kollha" fost l-innijiet kateketiċi, għalkemm l-innu tas-seklu 18-il L-innu bħala trinitarju aktar milli kateketiku, u l-Luterani tas-seklu 20 rarament jużaw l-innu minħabba d-diffikultà perċepita ta 'l-intonazzjoni tiegħu.</v>
      </c>
    </row>
    <row r="11791" ht="15.75" customHeight="1">
      <c r="A11791" s="2" t="s">
        <v>11791</v>
      </c>
      <c r="B11791" s="2" t="str">
        <f>IFERROR(__xludf.DUMMYFUNCTION("GOOGLETRANSLATE(A11791, ""en"", ""mt"")"),"Li tgħaqqad il-pakkett tal-isem modern li jaqleb")</f>
        <v>Li tgħaqqad il-pakkett tal-isem modern li jaqleb</v>
      </c>
    </row>
    <row r="11792" ht="15.75" customHeight="1">
      <c r="A11792" s="2" t="s">
        <v>11792</v>
      </c>
      <c r="B11792" s="2" t="str">
        <f>IFERROR(__xludf.DUMMYFUNCTION("GOOGLETRANSLATE(A11792, ""en"", ""mt"")"),"X'jiġri meta s-sistema immuni inqas attiva min-normal?")</f>
        <v>X'jiġri meta s-sistema immuni inqas attiva min-normal?</v>
      </c>
    </row>
    <row r="11793" ht="15.75" customHeight="1">
      <c r="A11793" s="2" t="s">
        <v>11793</v>
      </c>
      <c r="B11793" s="2" t="str">
        <f>IFERROR(__xludf.DUMMYFUNCTION("GOOGLETRANSLATE(A11793, ""en"", ""mt"")"),"F'liema aspetti tal-ħajja l-Iżlamiżmu jfittex biex jintegra ruħu?")</f>
        <v>F'liema aspetti tal-ħajja l-Iżlamiżmu jfittex biex jintegra ruħu?</v>
      </c>
    </row>
    <row r="11794" ht="15.75" customHeight="1">
      <c r="A11794" s="2" t="s">
        <v>11794</v>
      </c>
      <c r="B11794" s="2" t="str">
        <f>IFERROR(__xludf.DUMMYFUNCTION("GOOGLETRANSLATE(A11794, ""en"", ""mt"")"),"Bħala riżultat, kloroplasti fiċ-ċelloli tal-mesofilla C4 u ċelloli tal-għant tal-qatta 'huma speċjalizzati għal kull stadju tal-fotosintesi. Fiċ-ċelloli tal-mesofilla, il-kloroplasti huma speċjalizzati għar-reazzjonijiet ħfief, u għalhekk m'għandhomx rubi"&amp;"sco, u għandhom grana u thylakoids normali, li huma jużaw biex jagħmlu ATP u NADPH, kif ukoll ossiġenu. Huma jaħżnu s-CO2 f'kompost b'erba 'karbonju, u huwa għalhekk li l-proċess jissejjaħ C4 fotosintesi. Il-kompost b'erba 'karbonju mbagħad jiġi ttrasport"&amp;"at lejn il-kloroplasti tal-għant tal-qatta', fejn jinżel CO2 u jerġa 'lura għall-mesofilla. Kloroplasti tal-għant tal-qatta 'ma jwettqux ir-reazzjonijiet tad-dawl, li jipprevjenu l-ossiġnu milli jibni fihom u jfixkel l-attività ta' Rubisco. Minħabba dan, "&amp;"huma nieqsa mit-tilakoids organizzati fi munzelli tal-grana - għalkemm il-kloroplasti tal-għant tal-qatta 'għad għandhom tilakoids li jżommu f'wiċċ l-ilma fl-istoma fejn għadhom iwettqu fluss ta' elettroni ċikliċi, metodu mmexxi mid-dawl ta 'sintetizza AT"&amp;"P biex iħaddem iċ-ċiklu ta' Calvin mingħajr ma jiġġenera ossiġnu - Huma nieqsa mill-fotosistema II, u għandhom biss il-fotosistema I - l-uniku kumpless tal-proteini meħtieġ għall-fluss tal-elettroni ċikliċi. Minħabba li x-xogħol ta 'kloroplasti tal-għant "&amp;"tal-qatta' huwa li jwettaq iċ-ċiklu ta 'Calvin u jagħmel iz-zokkor, ħafna drabi jkun fihom ħbub kbar tal-lamtu.")</f>
        <v>Bħala riżultat, kloroplasti fiċ-ċelloli tal-mesofilla C4 u ċelloli tal-għant tal-qatta 'huma speċjalizzati għal kull stadju tal-fotosintesi. Fiċ-ċelloli tal-mesofilla, il-kloroplasti huma speċjalizzati għar-reazzjonijiet ħfief, u għalhekk m'għandhomx rubisco, u għandhom grana u thylakoids normali, li huma jużaw biex jagħmlu ATP u NADPH, kif ukoll ossiġenu. Huma jaħżnu s-CO2 f'kompost b'erba 'karbonju, u huwa għalhekk li l-proċess jissejjaħ C4 fotosintesi. Il-kompost b'erba 'karbonju mbagħad jiġi ttrasportat lejn il-kloroplasti tal-għant tal-qatta', fejn jinżel CO2 u jerġa 'lura għall-mesofilla. Kloroplasti tal-għant tal-qatta 'ma jwettqux ir-reazzjonijiet tad-dawl, li jipprevjenu l-ossiġnu milli jibni fihom u jfixkel l-attività ta' Rubisco. Minħabba dan, huma nieqsa mit-tilakoids organizzati fi munzelli tal-grana - għalkemm il-kloroplasti tal-għant tal-qatta 'għad għandhom tilakoids li jżommu f'wiċċ l-ilma fl-istoma fejn għadhom iwettqu fluss ta' elettroni ċikliċi, metodu mmexxi mid-dawl ta 'sintetizza ATP biex iħaddem iċ-ċiklu ta' Calvin mingħajr ma jiġġenera ossiġnu - Huma nieqsa mill-fotosistema II, u għandhom biss il-fotosistema I - l-uniku kumpless tal-proteini meħtieġ għall-fluss tal-elettroni ċikliċi. Minħabba li x-xogħol ta 'kloroplasti tal-għant tal-qatta' huwa li jwettaq iċ-ċiklu ta 'Calvin u jagħmel iz-zokkor, ħafna drabi jkun fihom ħbub kbar tal-lamtu.</v>
      </c>
    </row>
    <row r="11795" ht="15.75" customHeight="1">
      <c r="A11795" s="2" t="s">
        <v>11795</v>
      </c>
      <c r="B11795" s="2" t="str">
        <f>IFERROR(__xludf.DUMMYFUNCTION("GOOGLETRANSLATE(A11795, ""en"", ""mt"")"),"Il-metodu LOR kellu l-vantaġġ li jippermetti li l-vettura spazjali Lander tintuża bħala ""dgħajsa tas-salvataġġ"" f'każ ta 'falliment tal-vapur tal-kmand. Xi dokumenti juru li din it-teorija ġiet diskussa qabel u wara li ntgħażel il-metodu. Studju tal-MSC"&amp;" tal-1964 ikkonkluda, ""L-LM [bħala d-dgħajsa tas-salvataġġ] ... finalment twaqqa ', għax ma jista' jiġi identifikat l-ebda falliment raġonevoli tas-CSM li jipprojbixxi l-użu tal-SPS."" Ironikament, biss falliment bħal dan ġara fuq Apollo 13 meta splużjon"&amp;"i ta 'tank ta' ossiġnu ħalliet il-vapur tal-kmand mingħajr enerġija elettrika. Il-modulu Lunar ipprovda propulsjoni, enerġija elettrika u appoġġ għall-ħajja biex l-ekwipaġġ jidħol fid-dar mingħajr periklu.")</f>
        <v>Il-metodu LOR kellu l-vantaġġ li jippermetti li l-vettura spazjali Lander tintuża bħala "dgħajsa tas-salvataġġ" f'każ ta 'falliment tal-vapur tal-kmand. Xi dokumenti juru li din it-teorija ġiet diskussa qabel u wara li ntgħażel il-metodu. Studju tal-MSC tal-1964 ikkonkluda, "L-LM [bħala d-dgħajsa tas-salvataġġ] ... finalment twaqqa ', għax ma jista' jiġi identifikat l-ebda falliment raġonevoli tas-CSM li jipprojbixxi l-użu tal-SPS." Ironikament, biss falliment bħal dan ġara fuq Apollo 13 meta splużjoni ta 'tank ta' ossiġnu ħalliet il-vapur tal-kmand mingħajr enerġija elettrika. Il-modulu Lunar ipprovda propulsjoni, enerġija elettrika u appoġġ għall-ħajja biex l-ekwipaġġ jidħol fid-dar mingħajr periklu.</v>
      </c>
    </row>
    <row r="11796" ht="15.75" customHeight="1">
      <c r="A11796" s="2" t="s">
        <v>11796</v>
      </c>
      <c r="B11796" s="2" t="str">
        <f>IFERROR(__xludf.DUMMYFUNCTION("GOOGLETRANSLATE(A11796, ""en"", ""mt"")"),"B'differenza mill-konferma u l-professjoni tal-fidi, x'inhu sagrament fl-UMC?")</f>
        <v>B'differenza mill-konferma u l-professjoni tal-fidi, x'inhu sagrament fl-UMC?</v>
      </c>
    </row>
    <row r="11797" ht="15.75" customHeight="1">
      <c r="A11797" s="2" t="s">
        <v>11797</v>
      </c>
      <c r="B11797" s="2" t="str">
        <f>IFERROR(__xludf.DUMMYFUNCTION("GOOGLETRANSLATE(A11797, ""en"", ""mt"")"),"Wara li d-Dornbirner Ach ġie ddevjat, minn fejn joħroġ ir-Rhine issa?")</f>
        <v>Wara li d-Dornbirner Ach ġie ddevjat, minn fejn joħroġ ir-Rhine issa?</v>
      </c>
    </row>
    <row r="11798" ht="15.75" customHeight="1">
      <c r="A11798" s="2" t="s">
        <v>11798</v>
      </c>
      <c r="B11798" s="2" t="str">
        <f>IFERROR(__xludf.DUMMYFUNCTION("GOOGLETRANSLATE(A11798, ""en"", ""mt"")"),"Mejju sa Settembru")</f>
        <v>Mejju sa Settembru</v>
      </c>
    </row>
    <row r="11799" ht="15.75" customHeight="1">
      <c r="A11799" s="2" t="s">
        <v>11799</v>
      </c>
      <c r="B11799" s="2" t="str">
        <f>IFERROR(__xludf.DUMMYFUNCTION("GOOGLETRANSLATE(A11799, ""en"", ""mt"")"),"452.8 ft")</f>
        <v>452.8 ft</v>
      </c>
    </row>
    <row r="11800" ht="15.75" customHeight="1">
      <c r="A11800" s="2" t="s">
        <v>11800</v>
      </c>
      <c r="B11800" s="2" t="str">
        <f>IFERROR(__xludf.DUMMYFUNCTION("GOOGLETRANSLATE(A11800, ""en"", ""mt"")"),"Kemm mill-art agrikola tar-Rabat tikber il-ħuxlief?")</f>
        <v>Kemm mill-art agrikola tar-Rabat tikber il-ħuxlief?</v>
      </c>
    </row>
    <row r="11801" ht="15.75" customHeight="1">
      <c r="A11801" s="2" t="s">
        <v>11801</v>
      </c>
      <c r="B11801" s="2" t="str">
        <f>IFERROR(__xludf.DUMMYFUNCTION("GOOGLETRANSLATE(A11801, ""en"", ""mt"")"),"Fittex fil-kollezzjonijiet")</f>
        <v>Fittex fil-kollezzjonijiet</v>
      </c>
    </row>
    <row r="11802" ht="15.75" customHeight="1">
      <c r="A11802" s="2" t="s">
        <v>11802</v>
      </c>
      <c r="B11802" s="2" t="str">
        <f>IFERROR(__xludf.DUMMYFUNCTION("GOOGLETRANSLATE(A11802, ""en"", ""mt"")"),"It-Torri tal-Bank of America qabel kien magħruf bħala?")</f>
        <v>It-Torri tal-Bank of America qabel kien magħruf bħala?</v>
      </c>
    </row>
    <row r="11803" ht="15.75" customHeight="1">
      <c r="A11803" s="2" t="s">
        <v>11803</v>
      </c>
      <c r="B11803" s="2" t="str">
        <f>IFERROR(__xludf.DUMMYFUNCTION("GOOGLETRANSLATE(A11803, ""en"", ""mt"")"),"Opportunitajiet ta 'xogħol eċċellenti")</f>
        <v>Opportunitajiet ta 'xogħol eċċellenti</v>
      </c>
    </row>
    <row r="11804" ht="15.75" customHeight="1">
      <c r="A11804" s="2" t="s">
        <v>11804</v>
      </c>
      <c r="B11804" s="2" t="str">
        <f>IFERROR(__xludf.DUMMYFUNCTION("GOOGLETRANSLATE(A11804, ""en"", ""mt"")"),"Liema regoli għandha ssegwi l-IPCC?")</f>
        <v>Liema regoli għandha ssegwi l-IPCC?</v>
      </c>
    </row>
    <row r="11805" ht="15.75" customHeight="1">
      <c r="A11805" s="2" t="s">
        <v>11805</v>
      </c>
      <c r="B11805" s="2" t="str">
        <f>IFERROR(__xludf.DUMMYFUNCTION("GOOGLETRANSLATE(A11805, ""en"", ""mt"")"),"Iċ-ċelloli T Delta Gamma jaqsmu l-karatteristiċi ta 'liema tipi oħra ta' ċelloli T?")</f>
        <v>Iċ-ċelloli T Delta Gamma jaqsmu l-karatteristiċi ta 'liema tipi oħra ta' ċelloli T?</v>
      </c>
    </row>
    <row r="11806" ht="15.75" customHeight="1">
      <c r="A11806" s="2" t="s">
        <v>11806</v>
      </c>
      <c r="B11806" s="2" t="str">
        <f>IFERROR(__xludf.DUMMYFUNCTION("GOOGLETRANSLATE(A11806, ""en"", ""mt"")"),"Istitut Nazzjonali Brażiljan tar-Riċerka tal-Amażonja")</f>
        <v>Istitut Nazzjonali Brażiljan tar-Riċerka tal-Amażonja</v>
      </c>
    </row>
    <row r="11807" ht="15.75" customHeight="1">
      <c r="A11807" s="2" t="s">
        <v>11807</v>
      </c>
      <c r="B11807" s="2" t="str">
        <f>IFERROR(__xludf.DUMMYFUNCTION("GOOGLETRANSLATE(A11807, ""en"", ""mt"")"),"Kemm diviżjonijiet huma meħtieġa biex jivverifikaw il-primalità tan-numru 37?")</f>
        <v>Kemm diviżjonijiet huma meħtieġa biex jivverifikaw il-primalità tan-numru 37?</v>
      </c>
    </row>
    <row r="11808" ht="15.75" customHeight="1">
      <c r="A11808" s="2" t="s">
        <v>11808</v>
      </c>
      <c r="B11808" s="2" t="str">
        <f>IFERROR(__xludf.DUMMYFUNCTION("GOOGLETRANSLATE(A11808, ""en"", ""mt"")"),"Ktieb tad-Dixxiplina")</f>
        <v>Ktieb tad-Dixxiplina</v>
      </c>
    </row>
    <row r="11809" ht="15.75" customHeight="1">
      <c r="A11809" s="2" t="s">
        <v>11809</v>
      </c>
      <c r="B11809" s="2" t="str">
        <f>IFERROR(__xludf.DUMMYFUNCTION("GOOGLETRANSLATE(A11809, ""en"", ""mt"")"),"Jean Auguste Dominique Ingres,")</f>
        <v>Jean Auguste Dominique Ingres,</v>
      </c>
    </row>
    <row r="11810" ht="15.75" customHeight="1">
      <c r="A11810" s="2" t="s">
        <v>11810</v>
      </c>
      <c r="B11810" s="2" t="str">
        <f>IFERROR(__xludf.DUMMYFUNCTION("GOOGLETRANSLATE(A11810, ""en"", ""mt"")"),"Khasar")</f>
        <v>Khasar</v>
      </c>
    </row>
    <row r="11811" ht="15.75" customHeight="1">
      <c r="A11811" s="2" t="s">
        <v>11811</v>
      </c>
      <c r="B11811" s="2" t="str">
        <f>IFERROR(__xludf.DUMMYFUNCTION("GOOGLETRANSLATE(A11811, ""en"", ""mt"")"),"imqassam")</f>
        <v>imqassam</v>
      </c>
    </row>
    <row r="11812" ht="15.75" customHeight="1">
      <c r="A11812" s="2" t="s">
        <v>11812</v>
      </c>
      <c r="B11812" s="2" t="str">
        <f>IFERROR(__xludf.DUMMYFUNCTION("GOOGLETRANSLATE(A11812, ""en"", ""mt"")"),"X'jaħżen ATP?")</f>
        <v>X'jaħżen ATP?</v>
      </c>
    </row>
    <row r="11813" ht="15.75" customHeight="1">
      <c r="A11813" s="2" t="s">
        <v>11813</v>
      </c>
      <c r="B11813" s="2" t="str">
        <f>IFERROR(__xludf.DUMMYFUNCTION("GOOGLETRANSLATE(A11813, ""en"", ""mt"")"),"it-tul kollu tal-lag")</f>
        <v>it-tul kollu tal-lag</v>
      </c>
    </row>
    <row r="11814" ht="15.75" customHeight="1">
      <c r="A11814" s="2" t="s">
        <v>11814</v>
      </c>
      <c r="B11814" s="2" t="str">
        <f>IFERROR(__xludf.DUMMYFUNCTION("GOOGLETRANSLATE(A11814, ""en"", ""mt"")"),"X'jistgħu jsiru Proplastids?")</f>
        <v>X'jistgħu jsiru Proplastids?</v>
      </c>
    </row>
    <row r="11815" ht="15.75" customHeight="1">
      <c r="A11815" s="2" t="s">
        <v>11815</v>
      </c>
      <c r="B11815" s="2" t="str">
        <f>IFERROR(__xludf.DUMMYFUNCTION("GOOGLETRANSLATE(A11815, ""en"", ""mt"")"),"LE")</f>
        <v>LE</v>
      </c>
    </row>
    <row r="11816" ht="15.75" customHeight="1">
      <c r="A11816" s="2" t="s">
        <v>11816</v>
      </c>
      <c r="B11816" s="2" t="str">
        <f>IFERROR(__xludf.DUMMYFUNCTION("GOOGLETRANSLATE(A11816, ""en"", ""mt"")"),"Miċ-ċensiment tal-2000, kien hemm 427,652 persuna, 140,079 djar, u 97,915 familja li joqogħdu fil-belt. Id-densità tal-popolazzjoni kienet ta ’4,097.9 persuna kull mil kwadru (1,582.2 / km²). Kien hemm 149,025 unità tad-djar b'densità medja ta '1,427.9 mi"&amp;"l kwadru (3,698 km2). L-għamla razzjali tal-belt kienet 50.2% bajda, 8.4% iswed jew Afrikan Amerikan, 1.6% Native American, 11.2% Asjatiċi (madwar terz minnhom huwa hmong), 0.1% Pacific Islander, 23.4% minn razez oħra, u 5.2% minn żewġ tiġrijiet jew aktar"&amp;". Hispanic jew Latino ta 'kwalunkwe razza kienu 39.9% tal-popolazzjoni.")</f>
        <v>Miċ-ċensiment tal-2000, kien hemm 427,652 persuna, 140,079 djar, u 97,915 familja li joqogħdu fil-belt. Id-densità tal-popolazzjoni kienet ta ’4,097.9 persuna kull mil kwadru (1,582.2 / km²). Kien hemm 149,025 unità tad-djar b'densità medja ta '1,427.9 mil kwadru (3,698 km2). L-għamla razzjali tal-belt kienet 50.2% bajda, 8.4% iswed jew Afrikan Amerikan, 1.6% Native American, 11.2% Asjatiċi (madwar terz minnhom huwa hmong), 0.1% Pacific Islander, 23.4% minn razez oħra, u 5.2% minn żewġ tiġrijiet jew aktar. Hispanic jew Latino ta 'kwalunkwe razza kienu 39.9% tal-popolazzjoni.</v>
      </c>
    </row>
    <row r="11817" ht="15.75" customHeight="1">
      <c r="A11817" s="2" t="s">
        <v>11817</v>
      </c>
      <c r="B11817" s="2" t="str">
        <f>IFERROR(__xludf.DUMMYFUNCTION("GOOGLETRANSLATE(A11817, ""en"", ""mt"")"),"Dipartiment tal-Kelma u l-Immaġni")</f>
        <v>Dipartiment tal-Kelma u l-Immaġni</v>
      </c>
    </row>
    <row r="11818" ht="15.75" customHeight="1">
      <c r="A11818" s="2" t="s">
        <v>11818</v>
      </c>
      <c r="B11818" s="2" t="str">
        <f>IFERROR(__xludf.DUMMYFUNCTION("GOOGLETRANSLATE(A11818, ""en"", ""mt"")"),"Skond l-ipoteżi ta 'Riemann, iż-żero kollha tal-funzjoni ζ għandhom parti reali daqs 1/2 ħlief għal liema valuri ta' S?")</f>
        <v>Skond l-ipoteżi ta 'Riemann, iż-żero kollha tal-funzjoni ζ għandhom parti reali daqs 1/2 ħlief għal liema valuri ta' S?</v>
      </c>
    </row>
    <row r="11819" ht="15.75" customHeight="1">
      <c r="A11819" s="2" t="s">
        <v>11819</v>
      </c>
      <c r="B11819" s="2" t="str">
        <f>IFERROR(__xludf.DUMMYFUNCTION("GOOGLETRANSLATE(A11819, ""en"", ""mt"")"),"Von Miller")</f>
        <v>Von Miller</v>
      </c>
    </row>
    <row r="11820" ht="15.75" customHeight="1">
      <c r="A11820" s="2" t="s">
        <v>11820</v>
      </c>
      <c r="B11820" s="2" t="str">
        <f>IFERROR(__xludf.DUMMYFUNCTION("GOOGLETRANSLATE(A11820, ""en"", ""mt"")"),"Il-Kostituzzjoni Kolonjali tal-1855")</f>
        <v>Il-Kostituzzjoni Kolonjali tal-1855</v>
      </c>
    </row>
    <row r="11821" ht="15.75" customHeight="1">
      <c r="A11821" s="2" t="s">
        <v>11821</v>
      </c>
      <c r="B11821" s="2" t="str">
        <f>IFERROR(__xludf.DUMMYFUNCTION("GOOGLETRANSLATE(A11821, ""en"", ""mt"")"),"6 piedi 2 pulzieri")</f>
        <v>6 piedi 2 pulzieri</v>
      </c>
    </row>
    <row r="11822" ht="15.75" customHeight="1">
      <c r="A11822" s="2" t="s">
        <v>11822</v>
      </c>
      <c r="B11822" s="2" t="str">
        <f>IFERROR(__xludf.DUMMYFUNCTION("GOOGLETRANSLATE(A11822, ""en"", ""mt"")"),"Ħares lejn kemm il-possibbiltajiet li twaqqaf it-tieni università fil-Kenja kif ukoll ir-riforma tas-sistema edukattiva kollha")</f>
        <v>Ħares lejn kemm il-possibbiltajiet li twaqqaf it-tieni università fil-Kenja kif ukoll ir-riforma tas-sistema edukattiva kollha</v>
      </c>
    </row>
    <row r="11823" ht="15.75" customHeight="1">
      <c r="A11823" s="2" t="s">
        <v>11823</v>
      </c>
      <c r="B11823" s="2" t="str">
        <f>IFERROR(__xludf.DUMMYFUNCTION("GOOGLETRANSLATE(A11823, ""en"", ""mt"")"),"X’għamel l-Istat Iżlamiku fl-2014?")</f>
        <v>X’għamel l-Istat Iżlamiku fl-2014?</v>
      </c>
    </row>
    <row r="11824" ht="15.75" customHeight="1">
      <c r="A11824" s="2" t="s">
        <v>11824</v>
      </c>
      <c r="B11824" s="2" t="str">
        <f>IFERROR(__xludf.DUMMYFUNCTION("GOOGLETRANSLATE(A11824, ""en"", ""mt"")"),"Kif għexu l-poplu Kikuyu?")</f>
        <v>Kif għexu l-poplu Kikuyu?</v>
      </c>
    </row>
    <row r="11825" ht="15.75" customHeight="1">
      <c r="A11825" s="2" t="s">
        <v>11825</v>
      </c>
      <c r="B11825" s="2" t="str">
        <f>IFERROR(__xludf.DUMMYFUNCTION("GOOGLETRANSLATE(A11825, ""en"", ""mt"")"),"Klijent ieħor jista 'jisma' dwar il-mediċini li jieħdu")</f>
        <v>Klijent ieħor jista 'jisma' dwar il-mediċini li jieħdu</v>
      </c>
    </row>
    <row r="11826" ht="15.75" customHeight="1">
      <c r="A11826" s="2" t="s">
        <v>11826</v>
      </c>
      <c r="B11826" s="2" t="str">
        <f>IFERROR(__xludf.DUMMYFUNCTION("GOOGLETRANSLATE(A11826, ""en"", ""mt"")"),"Min kunċettalizza l-pistun?")</f>
        <v>Min kunċettalizza l-pistun?</v>
      </c>
    </row>
    <row r="11827" ht="15.75" customHeight="1">
      <c r="A11827" s="2" t="s">
        <v>11827</v>
      </c>
      <c r="B11827" s="2" t="str">
        <f>IFERROR(__xludf.DUMMYFUNCTION("GOOGLETRANSLATE(A11827, ""en"", ""mt"")"),"Liema plejer ta 'Broncos interċetta lil Newton fuq is-sett ta' downs li jmiss tal-Panthers?")</f>
        <v>Liema plejer ta 'Broncos interċetta lil Newton fuq is-sett ta' downs li jmiss tal-Panthers?</v>
      </c>
    </row>
    <row r="11828" ht="15.75" customHeight="1">
      <c r="A11828" s="2" t="s">
        <v>11828</v>
      </c>
      <c r="B11828" s="2" t="str">
        <f>IFERROR(__xludf.DUMMYFUNCTION("GOOGLETRANSLATE(A11828, ""en"", ""mt"")"),"Kieku kellek tieħu ferrovija lejn il-punent jew in-nofsinhar barra mill-belt ta 'Fresno, liema ferrovija tieħu?")</f>
        <v>Kieku kellek tieħu ferrovija lejn il-punent jew in-nofsinhar barra mill-belt ta 'Fresno, liema ferrovija tieħu?</v>
      </c>
    </row>
    <row r="11829" ht="15.75" customHeight="1">
      <c r="A11829" s="2" t="s">
        <v>11829</v>
      </c>
      <c r="B11829" s="2" t="str">
        <f>IFERROR(__xludf.DUMMYFUNCTION("GOOGLETRANSLATE(A11829, ""en"", ""mt"")"),"Qorti Imperjali Pre-Heian")</f>
        <v>Qorti Imperjali Pre-Heian</v>
      </c>
    </row>
    <row r="11830" ht="15.75" customHeight="1">
      <c r="A11830" s="2" t="s">
        <v>11830</v>
      </c>
      <c r="B11830" s="2" t="str">
        <f>IFERROR(__xludf.DUMMYFUNCTION("GOOGLETRANSLATE(A11830, ""en"", ""mt"")"),"Magazin SFX")</f>
        <v>Magazin SFX</v>
      </c>
    </row>
    <row r="11831" ht="15.75" customHeight="1">
      <c r="A11831" s="2" t="s">
        <v>11831</v>
      </c>
      <c r="B11831" s="2" t="str">
        <f>IFERROR(__xludf.DUMMYFUNCTION("GOOGLETRANSLATE(A11831, ""en"", ""mt"")"),"Kemm timijiet tal-NFL temmew l-istaġun regolari b'telf wieħed?")</f>
        <v>Kemm timijiet tal-NFL temmew l-istaġun regolari b'telf wieħed?</v>
      </c>
    </row>
    <row r="11832" ht="15.75" customHeight="1">
      <c r="A11832" s="2" t="s">
        <v>11832</v>
      </c>
      <c r="B11832" s="2" t="str">
        <f>IFERROR(__xludf.DUMMYFUNCTION("GOOGLETRANSLATE(A11832, ""en"", ""mt"")"),"Votanti barra l-limiti tal-belt")</f>
        <v>Votanti barra l-limiti tal-belt</v>
      </c>
    </row>
    <row r="11833" ht="15.75" customHeight="1">
      <c r="A11833" s="2" t="s">
        <v>11833</v>
      </c>
      <c r="B11833" s="2" t="str">
        <f>IFERROR(__xludf.DUMMYFUNCTION("GOOGLETRANSLATE(A11833, ""en"", ""mt"")"),"Barro sab li hemm ftit relazzjoni bejn l-inugwaljanza tad-dħul u r-rati ta 'xiex?")</f>
        <v>Barro sab li hemm ftit relazzjoni bejn l-inugwaljanza tad-dħul u r-rati ta 'xiex?</v>
      </c>
    </row>
    <row r="11834" ht="15.75" customHeight="1">
      <c r="A11834" s="2" t="s">
        <v>11834</v>
      </c>
      <c r="B11834" s="2" t="str">
        <f>IFERROR(__xludf.DUMMYFUNCTION("GOOGLETRANSLATE(A11834, ""en"", ""mt"")"),"Demaryius Thomas")</f>
        <v>Demaryius Thomas</v>
      </c>
    </row>
    <row r="11835" ht="15.75" customHeight="1">
      <c r="A11835" s="2" t="s">
        <v>11835</v>
      </c>
      <c r="B11835" s="2" t="str">
        <f>IFERROR(__xludf.DUMMYFUNCTION("GOOGLETRANSLATE(A11835, ""en"", ""mt"")"),"Kemm kellu Manning fil-bidu tal-istaġun 2015?")</f>
        <v>Kemm kellu Manning fil-bidu tal-istaġun 2015?</v>
      </c>
    </row>
    <row r="11836" ht="15.75" customHeight="1">
      <c r="A11836" s="2" t="s">
        <v>11836</v>
      </c>
      <c r="B11836" s="2" t="str">
        <f>IFERROR(__xludf.DUMMYFUNCTION("GOOGLETRANSLATE(A11836, ""en"", ""mt"")"),"Cyclades")</f>
        <v>Cyclades</v>
      </c>
    </row>
    <row r="11837" ht="15.75" customHeight="1">
      <c r="A11837" s="2" t="s">
        <v>11837</v>
      </c>
      <c r="B11837" s="2" t="str">
        <f>IFERROR(__xludf.DUMMYFUNCTION("GOOGLETRANSLATE(A11837, ""en"", ""mt"")"),"ABC-Dumont")</f>
        <v>ABC-Dumont</v>
      </c>
    </row>
    <row r="11838" ht="15.75" customHeight="1">
      <c r="A11838" s="2" t="s">
        <v>11838</v>
      </c>
      <c r="B11838" s="2" t="str">
        <f>IFERROR(__xludf.DUMMYFUNCTION("GOOGLETRANSLATE(A11838, ""en"", ""mt"")"),"Kemm mill-ħalib tal-Awstralja huwa prodott fir-Rabat?")</f>
        <v>Kemm mill-ħalib tal-Awstralja huwa prodott fir-Rabat?</v>
      </c>
    </row>
    <row r="11839" ht="15.75" customHeight="1">
      <c r="A11839" s="2" t="s">
        <v>11839</v>
      </c>
      <c r="B11839" s="2" t="str">
        <f>IFERROR(__xludf.DUMMYFUNCTION("GOOGLETRANSLATE(A11839, ""en"", ""mt"")"),"37 ° 9 '58.23 """)</f>
        <v>37 ° 9 '58.23 "</v>
      </c>
    </row>
    <row r="11840" ht="15.75" customHeight="1">
      <c r="A11840" s="2" t="s">
        <v>11840</v>
      </c>
      <c r="B11840" s="2" t="str">
        <f>IFERROR(__xludf.DUMMYFUNCTION("GOOGLETRANSLATE(A11840, ""en"", ""mt"")"),"Min ħoloq id-dinja wiesgħa ta 'l-isports ta' ABC?")</f>
        <v>Min ħoloq id-dinja wiesgħa ta 'l-isports ta' ABC?</v>
      </c>
    </row>
    <row r="11841" ht="15.75" customHeight="1">
      <c r="A11841" s="2" t="s">
        <v>11841</v>
      </c>
      <c r="B11841" s="2" t="str">
        <f>IFERROR(__xludf.DUMMYFUNCTION("GOOGLETRANSLATE(A11841, ""en"", ""mt"")"),"Tfixkil fl-irqad jista 'jwassal għal żieda f'liema kundizzjonijiet kroniċi?")</f>
        <v>Tfixkil fl-irqad jista 'jwassal għal żieda f'liema kundizzjonijiet kroniċi?</v>
      </c>
    </row>
    <row r="11842" ht="15.75" customHeight="1">
      <c r="A11842" s="2" t="s">
        <v>11842</v>
      </c>
      <c r="B11842" s="2" t="str">
        <f>IFERROR(__xludf.DUMMYFUNCTION("GOOGLETRANSLATE(A11842, ""en"", ""mt"")"),"Meta x-xita tipikament taqa 'f'Jacksonville?")</f>
        <v>Meta x-xita tipikament taqa 'f'Jacksonville?</v>
      </c>
    </row>
    <row r="11843" ht="15.75" customHeight="1">
      <c r="A11843" s="2" t="s">
        <v>11843</v>
      </c>
      <c r="B11843" s="2" t="str">
        <f>IFERROR(__xludf.DUMMYFUNCTION("GOOGLETRANSLATE(A11843, ""en"", ""mt"")"),"Kemm timijiet jistgħu jiftaħar b'rekord ta '15 -1 staġun regolari?")</f>
        <v>Kemm timijiet jistgħu jiftaħar b'rekord ta '15 -1 staġun regolari?</v>
      </c>
    </row>
    <row r="11844" ht="15.75" customHeight="1">
      <c r="A11844" s="2" t="s">
        <v>11844</v>
      </c>
      <c r="B11844" s="2" t="str">
        <f>IFERROR(__xludf.DUMMYFUNCTION("GOOGLETRANSLATE(A11844, ""en"", ""mt"")"),"Jamukha, u l-protettur tiegħu, Toghrul Khan")</f>
        <v>Jamukha, u l-protettur tiegħu, Toghrul Khan</v>
      </c>
    </row>
    <row r="11845" ht="15.75" customHeight="1">
      <c r="A11845" s="2" t="s">
        <v>11845</v>
      </c>
      <c r="B11845" s="2" t="str">
        <f>IFERROR(__xludf.DUMMYFUNCTION("GOOGLETRANSLATE(A11845, ""en"", ""mt"")"),"1206")</f>
        <v>1206</v>
      </c>
    </row>
    <row r="11846" ht="15.75" customHeight="1">
      <c r="A11846" s="2" t="s">
        <v>11846</v>
      </c>
      <c r="B11846" s="2" t="str">
        <f>IFERROR(__xludf.DUMMYFUNCTION("GOOGLETRANSLATE(A11846, ""en"", ""mt"")"),"Skond Ellen Churchill Semple liema tip ta 'klima kien meħtieġ biex il-bnedmin isiru kompletament umani?")</f>
        <v>Skond Ellen Churchill Semple liema tip ta 'klima kien meħtieġ biex il-bnedmin isiru kompletament umani?</v>
      </c>
    </row>
    <row r="11847" ht="15.75" customHeight="1">
      <c r="A11847" s="2" t="s">
        <v>11847</v>
      </c>
      <c r="B11847" s="2" t="str">
        <f>IFERROR(__xludf.DUMMYFUNCTION("GOOGLETRANSLATE(A11847, ""en"", ""mt"")"),"X'kien l-ewwel punt tar-riforma?")</f>
        <v>X'kien l-ewwel punt tar-riforma?</v>
      </c>
    </row>
    <row r="11848" ht="15.75" customHeight="1">
      <c r="A11848" s="2" t="s">
        <v>11848</v>
      </c>
      <c r="B11848" s="2" t="str">
        <f>IFERROR(__xludf.DUMMYFUNCTION("GOOGLETRANSLATE(A11848, ""en"", ""mt"")"),"20th Century Fox, Lionsgate, Paramount Pictures, Universal Studios u Walt Disney Studios ħallsu għal karrijiet tal-films biex jixxandru matul is-Super Bowl. Fox ħallas għal Deadpool, X-Men: Apokalipsi, Jum l-Indipendenza: Resurgence u Eddie l-Ajkla, Lions"&amp;"gate ħallas għall-allat tal-Eġittu, Paramount imħallas għall-adolexxenti tal-fkieren Ninja Mutanti: barra mid-dellijiet u 10 Cloverfield Lane, Universal ħallas għall-ħajja sigrieta ta 'annimali domestiċi u l-karru tad-debutt għal Jason Bourne u Disney ħal"&amp;"lsu għal Captain America: Civil War, The Jungle Book u Alice permezz tal-Ħarsa tal-Ħarsa. [Ċitazzjoni meħtieġa]")</f>
        <v>20th Century Fox, Lionsgate, Paramount Pictures, Universal Studios u Walt Disney Studios ħallsu għal karrijiet tal-films biex jixxandru matul is-Super Bowl. Fox ħallas għal Deadpool, X-Men: Apokalipsi, Jum l-Indipendenza: Resurgence u Eddie l-Ajkla, Lionsgate ħallas għall-allat tal-Eġittu, Paramount imħallas għall-adolexxenti tal-fkieren Ninja Mutanti: barra mid-dellijiet u 10 Cloverfield Lane, Universal ħallas għall-ħajja sigrieta ta 'annimali domestiċi u l-karru tad-debutt għal Jason Bourne u Disney ħallsu għal Captain America: Civil War, The Jungle Book u Alice permezz tal-Ħarsa tal-Ħarsa. [Ċitazzjoni meħtieġa]</v>
      </c>
    </row>
    <row r="11849" ht="15.75" customHeight="1">
      <c r="A11849" s="2" t="s">
        <v>11849</v>
      </c>
      <c r="B11849" s="2" t="str">
        <f>IFERROR(__xludf.DUMMYFUNCTION("GOOGLETRANSLATE(A11849, ""en"", ""mt"")"),"Il-cestida (""annimali taċ-ċinturin"") huma annimali planktoniċi b'forma ta 'żigarella, bil-ħalq u l-organu aboral allinjat fin-nofs tat-truf opposti taż-żigarella. Hemm par ta 'rewwix tal-moxt tul kull tarf aboral, u t-tentilla ħarġu minn kanal tul it-ta"&amp;"rf orali, li jxerrdu lura madwar il-biċċa l-kbira tal-wiċċ tal-ġisem li jixbah il-ġwienaħ. Iċ-ċestidi jistgħu jgħumu billi jegħlbu ġisimhom kif ukoll permezz tas-swat tal-moxt tal-moxt tagħhom. Hemm żewġ speċi magħrufa, b'distribuzzjoni mad-dinja kollha f"&amp;"'ilmijiet sħan u sħan: cestum veneris (""Venere"" girdle "") hija fost l-ikbar ctenophores - sa 1.5 metri (4.9 ft) twila, u tista 'tissolva bil-mod jew pjuttost malajr malajr jew malajr malajr malajr malajr malajr malajr malajr malajr - Velamen parallelum"&amp;", li huwa tipikament inqas minn 20 ċentimetru (0.66 ft) twil, jista 'jiċċaqlaq ħafna aktar malajr f'dak li ġie deskritt bħala ""moviment ta' darting"".")</f>
        <v>Il-cestida ("annimali taċ-ċinturin") huma annimali planktoniċi b'forma ta 'żigarella, bil-ħalq u l-organu aboral allinjat fin-nofs tat-truf opposti taż-żigarella. Hemm par ta 'rewwix tal-moxt tul kull tarf aboral, u t-tentilla ħarġu minn kanal tul it-tarf orali, li jxerrdu lura madwar il-biċċa l-kbira tal-wiċċ tal-ġisem li jixbah il-ġwienaħ. Iċ-ċestidi jistgħu jgħumu billi jegħlbu ġisimhom kif ukoll permezz tas-swat tal-moxt tal-moxt tagħhom. Hemm żewġ speċi magħrufa, b'distribuzzjoni mad-dinja kollha f'ilmijiet sħan u sħan: cestum veneris ("Venere" girdle ") hija fost l-ikbar ctenophores - sa 1.5 metri (4.9 ft) twila, u tista 'tissolva bil-mod jew pjuttost malajr malajr jew malajr malajr malajr malajr malajr malajr malajr malajr - Velamen parallelum, li huwa tipikament inqas minn 20 ċentimetru (0.66 ft) twil, jista 'jiċċaqlaq ħafna aktar malajr f'dak li ġie deskritt bħala "moviment ta' darting".</v>
      </c>
    </row>
    <row r="11850" ht="15.75" customHeight="1">
      <c r="A11850" s="2" t="s">
        <v>11850</v>
      </c>
      <c r="B11850" s="2" t="str">
        <f>IFERROR(__xludf.DUMMYFUNCTION("GOOGLETRANSLATE(A11850, ""en"", ""mt"")"),"Distrett tat-Torri")</f>
        <v>Distrett tat-Torri</v>
      </c>
    </row>
    <row r="11851" ht="15.75" customHeight="1">
      <c r="A11851" s="2" t="s">
        <v>11851</v>
      </c>
      <c r="B11851" s="2" t="str">
        <f>IFERROR(__xludf.DUMMYFUNCTION("GOOGLETRANSLATE(A11851, ""en"", ""mt"")"),"mewġ lonġitudinali")</f>
        <v>mewġ lonġitudinali</v>
      </c>
    </row>
    <row r="11852" ht="15.75" customHeight="1">
      <c r="A11852" s="2" t="s">
        <v>11852</v>
      </c>
      <c r="B11852" s="2" t="str">
        <f>IFERROR(__xludf.DUMMYFUNCTION("GOOGLETRANSLATE(A11852, ""en"", ""mt"")"),"Rhind")</f>
        <v>Rhind</v>
      </c>
    </row>
    <row r="11853" ht="15.75" customHeight="1">
      <c r="A11853" s="2" t="s">
        <v>11853</v>
      </c>
      <c r="B11853" s="2" t="str">
        <f>IFERROR(__xludf.DUMMYFUNCTION("GOOGLETRANSLATE(A11853, ""en"", ""mt"")"),"Forzi mhux konservattivi għajr frizzjoni")</f>
        <v>Forzi mhux konservattivi għajr frizzjoni</v>
      </c>
    </row>
    <row r="11854" ht="15.75" customHeight="1">
      <c r="A11854" s="2" t="s">
        <v>11854</v>
      </c>
      <c r="B11854" s="2" t="str">
        <f>IFERROR(__xludf.DUMMYFUNCTION("GOOGLETRANSLATE(A11854, ""en"", ""mt"")"),"Iċ-Ċina tat-Tramuntana")</f>
        <v>Iċ-Ċina tat-Tramuntana</v>
      </c>
    </row>
    <row r="11855" ht="15.75" customHeight="1">
      <c r="A11855" s="2" t="s">
        <v>11855</v>
      </c>
      <c r="B11855" s="2" t="str">
        <f>IFERROR(__xludf.DUMMYFUNCTION("GOOGLETRANSLATE(A11855, ""en"", ""mt"")"),"Il-Kenja wriet depożiti ta 'żejt f'Turkana u l-vijabbiltà kummerċjali kienet għadha kemm ġiet skoperta. Tullow Oil jistma li r-riservi taż-żejt tal-Kenja għandhom madwar 10 biljun barmil. L-esplorazzjoni għadha tkompli tiddetermina jekk hemmx aktar riżerv"&amp;"i. Il-Kenja bħalissa timporta r-rekwiżiti kollha mhux raffinati tal-pitrolju. Il-Kenja, l-akbar ekonomija tal-Afrika tal-Lvant, m'għandha l-ebda riżervi strateġiċi u tiddependi biss fuq ir-riżervi taż-żejt ta '21 jum tal-kummerċjanti taż-żejt meħtieġa taħ"&amp;"t ir-regolamenti tal-industrija. Il-pitrolju jammonta għal 20% sa 25% tal-kont nazzjonali tal-importazzjoni.")</f>
        <v>Il-Kenja wriet depożiti ta 'żejt f'Turkana u l-vijabbiltà kummerċjali kienet għadha kemm ġiet skoperta. Tullow Oil jistma li r-riservi taż-żejt tal-Kenja għandhom madwar 10 biljun barmil. L-esplorazzjoni għadha tkompli tiddetermina jekk hemmx aktar riżervi. Il-Kenja bħalissa timporta r-rekwiżiti kollha mhux raffinati tal-pitrolju. Il-Kenja, l-akbar ekonomija tal-Afrika tal-Lvant, m'għandha l-ebda riżervi strateġiċi u tiddependi biss fuq ir-riżervi taż-żejt ta '21 jum tal-kummerċjanti taż-żejt meħtieġa taħt ir-regolamenti tal-industrija. Il-pitrolju jammonta għal 20% sa 25% tal-kont nazzjonali tal-importazzjoni.</v>
      </c>
    </row>
    <row r="11856" ht="15.75" customHeight="1">
      <c r="A11856" s="2" t="s">
        <v>11856</v>
      </c>
      <c r="B11856" s="2" t="str">
        <f>IFERROR(__xludf.DUMMYFUNCTION("GOOGLETRANSLATE(A11856, ""en"", ""mt"")"),"X'inhu użat minn ċerti gruppi sinjuri biex jiksbu politiki ta 'benefiċċju finanzjarju għalihom?")</f>
        <v>X'inhu użat minn ċerti gruppi sinjuri biex jiksbu politiki ta 'benefiċċju finanzjarju għalihom?</v>
      </c>
    </row>
    <row r="11857" ht="15.75" customHeight="1">
      <c r="A11857" s="2" t="s">
        <v>11857</v>
      </c>
      <c r="B11857" s="2" t="str">
        <f>IFERROR(__xludf.DUMMYFUNCTION("GOOGLETRANSLATE(A11857, ""en"", ""mt"")"),"Amherst")</f>
        <v>Amherst</v>
      </c>
    </row>
    <row r="11858" ht="15.75" customHeight="1">
      <c r="A11858" s="2" t="s">
        <v>11858</v>
      </c>
      <c r="B11858" s="2" t="str">
        <f>IFERROR(__xludf.DUMMYFUNCTION("GOOGLETRANSLATE(A11858, ""en"", ""mt"")"),"F'liema sena Tesla marret f'Budapest?")</f>
        <v>F'liema sena Tesla marret f'Budapest?</v>
      </c>
    </row>
    <row r="11859" ht="15.75" customHeight="1">
      <c r="A11859" s="2" t="s">
        <v>11859</v>
      </c>
      <c r="B11859" s="2" t="str">
        <f>IFERROR(__xludf.DUMMYFUNCTION("GOOGLETRANSLATE(A11859, ""en"", ""mt"")"),"Riverside")</f>
        <v>Riverside</v>
      </c>
    </row>
    <row r="11860" ht="15.75" customHeight="1">
      <c r="A11860" s="2" t="s">
        <v>11860</v>
      </c>
      <c r="B11860" s="2" t="str">
        <f>IFERROR(__xludf.DUMMYFUNCTION("GOOGLETRANSLATE(A11860, ""en"", ""mt"")"),"X'xogħol kellu missier Tesla fil-Gospika?")</f>
        <v>X'xogħol kellu missier Tesla fil-Gospika?</v>
      </c>
    </row>
    <row r="11861" ht="15.75" customHeight="1">
      <c r="A11861" s="2" t="s">
        <v>11861</v>
      </c>
      <c r="B11861" s="2" t="str">
        <f>IFERROR(__xludf.DUMMYFUNCTION("GOOGLETRANSLATE(A11861, ""en"", ""mt"")"),"numru ta 'stadji")</f>
        <v>numru ta 'stadji</v>
      </c>
    </row>
    <row r="11862" ht="15.75" customHeight="1">
      <c r="A11862" s="2" t="s">
        <v>11862</v>
      </c>
      <c r="B11862" s="2" t="str">
        <f>IFERROR(__xludf.DUMMYFUNCTION("GOOGLETRANSLATE(A11862, ""en"", ""mt"")"),"Liema huma s-suċċessuri ta 'Genghis Khan ma setgħux ikunu suċċessur minħabba l-età tiegħu?")</f>
        <v>Liema huma s-suċċessuri ta 'Genghis Khan ma setgħux ikunu suċċessur minħabba l-età tiegħu?</v>
      </c>
    </row>
    <row r="11863" ht="15.75" customHeight="1">
      <c r="A11863" s="2" t="s">
        <v>11863</v>
      </c>
      <c r="B11863" s="2" t="str">
        <f>IFERROR(__xludf.DUMMYFUNCTION("GOOGLETRANSLATE(A11863, ""en"", ""mt"")"),"Il-Knisja Kattolika fir-reġjun")</f>
        <v>Il-Knisja Kattolika fir-reġjun</v>
      </c>
    </row>
    <row r="11864" ht="15.75" customHeight="1">
      <c r="A11864" s="2" t="s">
        <v>11864</v>
      </c>
      <c r="B11864" s="2" t="str">
        <f>IFERROR(__xludf.DUMMYFUNCTION("GOOGLETRANSLATE(A11864, ""en"", ""mt"")"),"X'inhu mnaqqas bl-użu ta 'trasformazzjoni tal-plastid għall-modifika tal-ġeni?")</f>
        <v>X'inhu mnaqqas bl-użu ta 'trasformazzjoni tal-plastid għall-modifika tal-ġeni?</v>
      </c>
    </row>
    <row r="11865" ht="15.75" customHeight="1">
      <c r="A11865" s="2" t="s">
        <v>11865</v>
      </c>
      <c r="B11865" s="2" t="str">
        <f>IFERROR(__xludf.DUMMYFUNCTION("GOOGLETRANSLATE(A11865, ""en"", ""mt"")"),"It-tejps setgħu jiġu rrestawrati u pproċessati mingħajr ma jeqirdu l-leġittimità storika jew xi aspetti tat-tejps jitilfu l-leġittimità?")</f>
        <v>It-tejps setgħu jiġu rrestawrati u pproċessati mingħajr ma jeqirdu l-leġittimità storika jew xi aspetti tat-tejps jitilfu l-leġittimità?</v>
      </c>
    </row>
    <row r="11866" ht="15.75" customHeight="1">
      <c r="A11866" s="2" t="s">
        <v>11866</v>
      </c>
      <c r="B11866" s="2" t="str">
        <f>IFERROR(__xludf.DUMMYFUNCTION("GOOGLETRANSLATE(A11866, ""en"", ""mt"")"),"Jamboree Business Parks jappartjeni għal liema ċentru tan-negozju?")</f>
        <v>Jamboree Business Parks jappartjeni għal liema ċentru tan-negozju?</v>
      </c>
    </row>
    <row r="11867" ht="15.75" customHeight="1">
      <c r="A11867" s="2" t="s">
        <v>11867</v>
      </c>
      <c r="B11867" s="2" t="str">
        <f>IFERROR(__xludf.DUMMYFUNCTION("GOOGLETRANSLATE(A11867, ""en"", ""mt"")"),"Liema faxxa hija kkunsidrata minn ħafna bħala l-ewwel grupp tal-metall iswed?")</f>
        <v>Liema faxxa hija kkunsidrata minn ħafna bħala l-ewwel grupp tal-metall iswed?</v>
      </c>
    </row>
    <row r="11868" ht="15.75" customHeight="1">
      <c r="A11868" s="2" t="s">
        <v>11868</v>
      </c>
      <c r="B11868" s="2" t="str">
        <f>IFERROR(__xludf.DUMMYFUNCTION("GOOGLETRANSLATE(A11868, ""en"", ""mt"")"),"Min intitolat is-Super Bowl 50 Halftime Show?")</f>
        <v>Min intitolat is-Super Bowl 50 Halftime Show?</v>
      </c>
    </row>
    <row r="11869" ht="15.75" customHeight="1">
      <c r="A11869" s="2" t="s">
        <v>11869</v>
      </c>
      <c r="B11869" s="2" t="str">
        <f>IFERROR(__xludf.DUMMYFUNCTION("GOOGLETRANSLATE(A11869, ""en"", ""mt"")"),"80%")</f>
        <v>80%</v>
      </c>
    </row>
    <row r="11870" ht="15.75" customHeight="1">
      <c r="A11870" s="2" t="s">
        <v>11870</v>
      </c>
      <c r="B11870" s="2" t="str">
        <f>IFERROR(__xludf.DUMMYFUNCTION("GOOGLETRANSLATE(A11870, ""en"", ""mt"")"),"Minn 7500 yr ilu, sitwazzjoni kienet teżisti sitwazzjoni bil-marea u l-kurrenti, simili ħafna għall-preżent. Ir-rati ta 'żieda fil-livell tal-baħar naqsu s'issa, li s-sedimentazzjoni naturali mill-proċessi tar-Renu u tal-Kosta flimkien, tista' tikkumpensa"&amp;" t-trasgressjoni mill-baħar; Fl-aħħar 7000 sena, il-linja tal-kosta kienet bejn wieħed u ieħor fl-istess post. Fil-Baħar tan-Nofsinhar tat-Tramuntana, minħabba sussidju tettoniku kontinwu, il-livell tal-baħar għadu qed jiżdied, bir-rata ta 'madwar 1-3 cm "&amp;"(0.39–1.18 in) kull seklu (1 metru jew 39 pulzier fl-aħħar 3000 sena).")</f>
        <v>Minn 7500 yr ilu, sitwazzjoni kienet teżisti sitwazzjoni bil-marea u l-kurrenti, simili ħafna għall-preżent. Ir-rati ta 'żieda fil-livell tal-baħar naqsu s'issa, li s-sedimentazzjoni naturali mill-proċessi tar-Renu u tal-Kosta flimkien, tista' tikkumpensa t-trasgressjoni mill-baħar; Fl-aħħar 7000 sena, il-linja tal-kosta kienet bejn wieħed u ieħor fl-istess post. Fil-Baħar tan-Nofsinhar tat-Tramuntana, minħabba sussidju tettoniku kontinwu, il-livell tal-baħar għadu qed jiżdied, bir-rata ta 'madwar 1-3 cm (0.39–1.18 in) kull seklu (1 metru jew 39 pulzier fl-aħħar 3000 sena).</v>
      </c>
    </row>
    <row r="11871" ht="15.75" customHeight="1">
      <c r="A11871" s="2" t="s">
        <v>11871</v>
      </c>
      <c r="B11871" s="2" t="str">
        <f>IFERROR(__xludf.DUMMYFUNCTION("GOOGLETRANSLATE(A11871, ""en"", ""mt"")"),"Kontroll tal-isfond u evalwazzjoni psikjatrika")</f>
        <v>Kontroll tal-isfond u evalwazzjoni psikjatrika</v>
      </c>
    </row>
    <row r="11872" ht="15.75" customHeight="1">
      <c r="A11872" s="2" t="s">
        <v>11872</v>
      </c>
      <c r="B11872" s="2" t="str">
        <f>IFERROR(__xludf.DUMMYFUNCTION("GOOGLETRANSLATE(A11872, ""en"", ""mt"")"),"il-ħtieġa għal alleanzi")</f>
        <v>il-ħtieġa għal alleanzi</v>
      </c>
    </row>
    <row r="11873" ht="15.75" customHeight="1">
      <c r="A11873" s="2" t="s">
        <v>11873</v>
      </c>
      <c r="B11873" s="2" t="str">
        <f>IFERROR(__xludf.DUMMYFUNCTION("GOOGLETRANSLATE(A11873, ""en"", ""mt"")"),"William Smith")</f>
        <v>William Smith</v>
      </c>
    </row>
    <row r="11874" ht="15.75" customHeight="1">
      <c r="A11874" s="2" t="s">
        <v>11874</v>
      </c>
      <c r="B11874" s="2" t="str">
        <f>IFERROR(__xludf.DUMMYFUNCTION("GOOGLETRANSLATE(A11874, ""en"", ""mt"")"),"X'kien l-għadd totali ta 'privattivi li kellha Tesla?")</f>
        <v>X'kien l-għadd totali ta 'privattivi li kellha Tesla?</v>
      </c>
    </row>
    <row r="11875" ht="15.75" customHeight="1">
      <c r="A11875" s="2" t="s">
        <v>11875</v>
      </c>
      <c r="B11875" s="2" t="str">
        <f>IFERROR(__xludf.DUMMYFUNCTION("GOOGLETRANSLATE(A11875, ""en"", ""mt"")"),"Westwood One")</f>
        <v>Westwood One</v>
      </c>
    </row>
    <row r="11876" ht="15.75" customHeight="1">
      <c r="A11876" s="2" t="s">
        <v>11876</v>
      </c>
      <c r="B11876" s="2" t="str">
        <f>IFERROR(__xludf.DUMMYFUNCTION("GOOGLETRANSLATE(A11876, ""en"", ""mt"")"),"Upper Danubju")</f>
        <v>Upper Danubju</v>
      </c>
    </row>
    <row r="11877" ht="15.75" customHeight="1">
      <c r="A11877" s="2" t="s">
        <v>11877</v>
      </c>
      <c r="B11877" s="2" t="str">
        <f>IFERROR(__xludf.DUMMYFUNCTION("GOOGLETRANSLATE(A11877, ""en"", ""mt"")"),"45–60 nanometri madwar")</f>
        <v>45–60 nanometri madwar</v>
      </c>
    </row>
    <row r="11878" ht="15.75" customHeight="1">
      <c r="A11878" s="2" t="s">
        <v>11878</v>
      </c>
      <c r="B11878" s="2" t="str">
        <f>IFERROR(__xludf.DUMMYFUNCTION("GOOGLETRANSLATE(A11878, ""en"", ""mt"")"),"Liema app użaw it-telespettaturi biex jaraw il-logħba fuq is-smartphones tagħhom?")</f>
        <v>Liema app użaw it-telespettaturi biex jaraw il-logħba fuq is-smartphones tagħhom?</v>
      </c>
    </row>
    <row r="11879" ht="15.75" customHeight="1">
      <c r="A11879" s="2" t="s">
        <v>11879</v>
      </c>
      <c r="B11879" s="2" t="str">
        <f>IFERROR(__xludf.DUMMYFUNCTION("GOOGLETRANSLATE(A11879, ""en"", ""mt"")"),"X'inhu l-isem tas-servizz ta 'streaming ta' ESPN li huwa analogu biex tara ABC?")</f>
        <v>X'inhu l-isem tas-servizz ta 'streaming ta' ESPN li huwa analogu biex tara ABC?</v>
      </c>
    </row>
    <row r="11880" ht="15.75" customHeight="1">
      <c r="A11880" s="2" t="s">
        <v>11880</v>
      </c>
      <c r="B11880" s="2" t="str">
        <f>IFERROR(__xludf.DUMMYFUNCTION("GOOGLETRANSLATE(A11880, ""en"", ""mt"")"),"Min hu l-president tal-IPCC?")</f>
        <v>Min hu l-president tal-IPCC?</v>
      </c>
    </row>
    <row r="11881" ht="15.75" customHeight="1">
      <c r="A11881" s="2" t="s">
        <v>11881</v>
      </c>
      <c r="B11881" s="2" t="str">
        <f>IFERROR(__xludf.DUMMYFUNCTION("GOOGLETRANSLATE(A11881, ""en"", ""mt"")"),"Liema proteina tipproduċi Staphylococcus aureus biex tagħmel l-antikorpi ineffettivi?")</f>
        <v>Liema proteina tipproduċi Staphylococcus aureus biex tagħmel l-antikorpi ineffettivi?</v>
      </c>
    </row>
    <row r="11882" ht="15.75" customHeight="1">
      <c r="A11882" s="2" t="s">
        <v>11882</v>
      </c>
      <c r="B11882" s="2" t="str">
        <f>IFERROR(__xludf.DUMMYFUNCTION("GOOGLETRANSLATE(A11882, ""en"", ""mt"")"),"teknoloġija")</f>
        <v>teknoloġija</v>
      </c>
    </row>
    <row r="11883" ht="15.75" customHeight="1">
      <c r="A11883" s="2" t="s">
        <v>11883</v>
      </c>
      <c r="B11883" s="2" t="str">
        <f>IFERROR(__xludf.DUMMYFUNCTION("GOOGLETRANSLATE(A11883, ""en"", ""mt"")"),"Liema virus Walter Reed skopra?")</f>
        <v>Liema virus Walter Reed skopra?</v>
      </c>
    </row>
    <row r="11884" ht="15.75" customHeight="1">
      <c r="A11884" s="2" t="s">
        <v>11884</v>
      </c>
      <c r="B11884" s="2" t="str">
        <f>IFERROR(__xludf.DUMMYFUNCTION("GOOGLETRANSLATE(A11884, ""en"", ""mt"")"),"L-influwenza tal-Indja tista 'tidher f'liema arti reliġjużi oġġetti mit-Tajlandja, Burma u l-Kambodja?")</f>
        <v>L-influwenza tal-Indja tista 'tidher f'liema arti reliġjużi oġġetti mit-Tajlandja, Burma u l-Kambodja?</v>
      </c>
    </row>
    <row r="11885" ht="15.75" customHeight="1">
      <c r="A11885" s="2" t="s">
        <v>11885</v>
      </c>
      <c r="B11885" s="2" t="str">
        <f>IFERROR(__xludf.DUMMYFUNCTION("GOOGLETRANSLATE(A11885, ""en"", ""mt"")"),"Doctor Who ġie satirizzat u spoofed f’ħafna okkażjonijiet minn kummidjanti fosthom Spike Milligan (A Dalek jinvadi l-kamra tal-banju tiegħu - Milligan, Naked, hurls sponża tas-sapun fiha) u Lenny Henry. Jon Culshaw spiss jimponi r-raba 'tabib fis-serje BB"&amp;"C Dead Ringers. Doctor Who Fandom ġie wkoll imqabbad fuq programmi bħal Saturday Night Live, The Chaser's War on Everyth -")</f>
        <v>Doctor Who ġie satirizzat u spoofed f’ħafna okkażjonijiet minn kummidjanti fosthom Spike Milligan (A Dalek jinvadi l-kamra tal-banju tiegħu - Milligan, Naked, hurls sponża tas-sapun fiha) u Lenny Henry. Jon Culshaw spiss jimponi r-raba 'tabib fis-serje BBC Dead Ringers. Doctor Who Fandom ġie wkoll imqabbad fuq programmi bħal Saturday Night Live, The Chaser's War on Everyth -</v>
      </c>
    </row>
    <row r="11886" ht="15.75" customHeight="1">
      <c r="A11886" s="2" t="s">
        <v>11886</v>
      </c>
      <c r="B11886" s="2" t="str">
        <f>IFERROR(__xludf.DUMMYFUNCTION("GOOGLETRANSLATE(A11886, ""en"", ""mt"")"),"Sal-1998, il-VBNs kibru biex jgħaqqdu aktar minn 100 università u istituzzjonijiet ta 'riċerka u inġinerija permezz ta '12 -il punt nazzjonali ta' preżenza ma 'DS-3")</f>
        <v>Sal-1998, il-VBNs kibru biex jgħaqqdu aktar minn 100 università u istituzzjonijiet ta 'riċerka u inġinerija permezz ta '12 -il punt nazzjonali ta' preżenza ma 'DS-3</v>
      </c>
    </row>
    <row r="11887" ht="15.75" customHeight="1">
      <c r="A11887" s="2" t="s">
        <v>11887</v>
      </c>
      <c r="B11887" s="2" t="str">
        <f>IFERROR(__xludf.DUMMYFUNCTION("GOOGLETRANSLATE(A11887, ""en"", ""mt"")"),"Lupus eritematos")</f>
        <v>Lupus eritematos</v>
      </c>
    </row>
    <row r="11888" ht="15.75" customHeight="1">
      <c r="A11888" s="2" t="s">
        <v>11888</v>
      </c>
      <c r="B11888" s="2" t="str">
        <f>IFERROR(__xludf.DUMMYFUNCTION("GOOGLETRANSLATE(A11888, ""en"", ""mt"")"),"Sistema ta 'Tesla Polyphase")</f>
        <v>Sistema ta 'Tesla Polyphase</v>
      </c>
    </row>
    <row r="11889" ht="15.75" customHeight="1">
      <c r="A11889" s="2" t="s">
        <v>11889</v>
      </c>
      <c r="B11889" s="2" t="str">
        <f>IFERROR(__xludf.DUMMYFUNCTION("GOOGLETRANSLATE(A11889, ""en"", ""mt"")"),"L-annimali tal-kaċċa ""Big Five"" ta 'l-Afrika, jiġifieri l-iljun, leopard, buflu, rinocerju, u iljunfant, jistgħu jinstabu fil-Kenja u b'mod partikolari fil-Masai Mara. Popolazzjoni sinifikanti ta 'annimali selvaġġi oħra, rettili u għasafar tista' tinsta"&amp;"b fil-parks nazzjonali u fir-riservi tal-logħob fil-pajjiż. Il-migrazzjoni annwali tal-annimali sseħħ bejn Ġunju u Settembru b'miljuni ta 'annimali li jieħdu sehem, u jattiraw turiżmu barrani siewi. Żewġ miljun wildebeest jemigraw distanza ta '2,900 kilom"&amp;"etru (1,802 mi) mis-Serengeti fit-Tanzanija ġirien sal-Masai Mara fil-Kenja, b'mod kostanti lejn il-lemin, ifittxu provvisti ta' ikel u ilma. Din il-migrazzjoni Serengeti tal-Wildebeest hija spettaklu kurjuż elenkat fost l-10 għeġubijiet naturali tal-Afri"&amp;"ka.")</f>
        <v>L-annimali tal-kaċċa "Big Five" ta 'l-Afrika, jiġifieri l-iljun, leopard, buflu, rinocerju, u iljunfant, jistgħu jinstabu fil-Kenja u b'mod partikolari fil-Masai Mara. Popolazzjoni sinifikanti ta 'annimali selvaġġi oħra, rettili u għasafar tista' tinstab fil-parks nazzjonali u fir-riservi tal-logħob fil-pajjiż. Il-migrazzjoni annwali tal-annimali sseħħ bejn Ġunju u Settembru b'miljuni ta 'annimali li jieħdu sehem, u jattiraw turiżmu barrani siewi. Żewġ miljun wildebeest jemigraw distanza ta '2,900 kilometru (1,802 mi) mis-Serengeti fit-Tanzanija ġirien sal-Masai Mara fil-Kenja, b'mod kostanti lejn il-lemin, ifittxu provvisti ta' ikel u ilma. Din il-migrazzjoni Serengeti tal-Wildebeest hija spettaklu kurjuż elenkat fost l-10 għeġubijiet naturali tal-Afrika.</v>
      </c>
    </row>
    <row r="11890" ht="15.75" customHeight="1">
      <c r="A11890" s="2" t="s">
        <v>11890</v>
      </c>
      <c r="B11890" s="2" t="str">
        <f>IFERROR(__xludf.DUMMYFUNCTION("GOOGLETRANSLATE(A11890, ""en"", ""mt"")"),"Dukes")</f>
        <v>Dukes</v>
      </c>
    </row>
    <row r="11891" ht="15.75" customHeight="1">
      <c r="A11891" s="2" t="s">
        <v>11891</v>
      </c>
      <c r="B11891" s="2" t="str">
        <f>IFERROR(__xludf.DUMMYFUNCTION("GOOGLETRANSLATE(A11891, ""en"", ""mt"")"),"Kif jiġu vverifikati għalliema u mhux għalliema eżistenti?")</f>
        <v>Kif jiġu vverifikati għalliema u mhux għalliema eżistenti?</v>
      </c>
    </row>
    <row r="11892" ht="15.75" customHeight="1">
      <c r="A11892" s="2" t="s">
        <v>11892</v>
      </c>
      <c r="B11892" s="2" t="str">
        <f>IFERROR(__xludf.DUMMYFUNCTION("GOOGLETRANSLATE(A11892, ""en"", ""mt"")"),"Terra preta (art sewda)")</f>
        <v>Terra preta (art sewda)</v>
      </c>
    </row>
    <row r="11893" ht="15.75" customHeight="1">
      <c r="A11893" s="2" t="s">
        <v>11893</v>
      </c>
      <c r="B11893" s="2" t="str">
        <f>IFERROR(__xludf.DUMMYFUNCTION("GOOGLETRANSLATE(A11893, ""en"", ""mt"")"),"Parks lussużi u ġonna rjali")</f>
        <v>Parks lussużi u ġonna rjali</v>
      </c>
    </row>
    <row r="11894" ht="15.75" customHeight="1">
      <c r="A11894" s="2" t="s">
        <v>11894</v>
      </c>
      <c r="B11894" s="2" t="str">
        <f>IFERROR(__xludf.DUMMYFUNCTION("GOOGLETRANSLATE(A11894, ""en"", ""mt"")"),"1349")</f>
        <v>1349</v>
      </c>
    </row>
    <row r="11895" ht="15.75" customHeight="1">
      <c r="A11895" s="2" t="s">
        <v>11895</v>
      </c>
      <c r="B11895" s="2" t="str">
        <f>IFERROR(__xludf.DUMMYFUNCTION("GOOGLETRANSLATE(A11895, ""en"", ""mt"")"),"Min talab lil Luther biex jirritorna l-belt?")</f>
        <v>Min talab lil Luther biex jirritorna l-belt?</v>
      </c>
    </row>
    <row r="11896" ht="15.75" customHeight="1">
      <c r="A11896" s="2" t="s">
        <v>11896</v>
      </c>
      <c r="B11896" s="2" t="str">
        <f>IFERROR(__xludf.DUMMYFUNCTION("GOOGLETRANSLATE(A11896, ""en"", ""mt"")"),"Xi jfisser l-Għaxar Kmandamenti mill-Insara?")</f>
        <v>Xi jfisser l-Għaxar Kmandamenti mill-Insara?</v>
      </c>
    </row>
    <row r="11897" ht="15.75" customHeight="1">
      <c r="A11897" s="2" t="s">
        <v>11897</v>
      </c>
      <c r="B11897" s="2" t="str">
        <f>IFERROR(__xludf.DUMMYFUNCTION("GOOGLETRANSLATE(A11897, ""en"", ""mt"")"),"Il-liġijiet ta 'Newton u l-mekkanika Newtonjana b'mod ġenerali ġew żviluppati l-ewwel biex jiddeskrivu kif il-forzi jaffettwaw partiċelli ta' punt idealizzati aktar milli oġġetti tridimensjonali. Madankollu, fil-ħajja reali, il-materja estendiet l-istrutt"&amp;"ura u l-forzi li jaġixxu fuq parti waħda ta 'oġġett jistgħu jaffettwaw partijiet oħra ta' oġġett. Għal sitwazzjonijiet fejn il-kannizzata li żżomm flimkien l-atomi f'oġġett tkun kapaċi tiċċirkola, tikkuntratta, jew tibdel b'xi mod ieħor il-forma, it-teori"&amp;"ji tal-mekkanika kontinwa jiddeskrivu l-mod kif il-forzi jaffettwaw il-materjal. Pereżempju, fi fluwidi estiżi, id-differenzi fil-pressjoni jirriżultaw fil-forzi li jkunu diretti tul il-gradjenti tal-pressjoni kif ġej:")</f>
        <v>Il-liġijiet ta 'Newton u l-mekkanika Newtonjana b'mod ġenerali ġew żviluppati l-ewwel biex jiddeskrivu kif il-forzi jaffettwaw partiċelli ta' punt idealizzati aktar milli oġġetti tridimensjonali. Madankollu, fil-ħajja reali, il-materja estendiet l-istruttura u l-forzi li jaġixxu fuq parti waħda ta 'oġġett jistgħu jaffettwaw partijiet oħra ta' oġġett. Għal sitwazzjonijiet fejn il-kannizzata li żżomm flimkien l-atomi f'oġġett tkun kapaċi tiċċirkola, tikkuntratta, jew tibdel b'xi mod ieħor il-forma, it-teoriji tal-mekkanika kontinwa jiddeskrivu l-mod kif il-forzi jaffettwaw il-materjal. Pereżempju, fi fluwidi estiżi, id-differenzi fil-pressjoni jirriżultaw fil-forzi li jkunu diretti tul il-gradjenti tal-pressjoni kif ġej:</v>
      </c>
    </row>
    <row r="11898" ht="15.75" customHeight="1">
      <c r="A11898" s="2" t="s">
        <v>11898</v>
      </c>
      <c r="B11898" s="2" t="str">
        <f>IFERROR(__xludf.DUMMYFUNCTION("GOOGLETRANSLATE(A11898, ""en"", ""mt"")"),"Min ħa l-kontroll ta 'Qara Khitai wara li ħarab mill-imperu Mongoljan ta' Temüjin?")</f>
        <v>Min ħa l-kontroll ta 'Qara Khitai wara li ħarab mill-imperu Mongoljan ta' Temüjin?</v>
      </c>
    </row>
    <row r="11899" ht="15.75" customHeight="1">
      <c r="A11899" s="2" t="s">
        <v>11899</v>
      </c>
      <c r="B11899" s="2" t="str">
        <f>IFERROR(__xludf.DUMMYFUNCTION("GOOGLETRANSLATE(A11899, ""en"", ""mt"")"),"F'liema sena miet Tesla?")</f>
        <v>F'liema sena miet Tesla?</v>
      </c>
    </row>
    <row r="11900" ht="15.75" customHeight="1">
      <c r="A11900" s="2" t="s">
        <v>11900</v>
      </c>
      <c r="B11900" s="2" t="str">
        <f>IFERROR(__xludf.DUMMYFUNCTION("GOOGLETRANSLATE(A11900, ""en"", ""mt"")"),"Sitt ħarġiet ta 'soundtrack ġew rilaxxati mill-2005. L-ewwel binarji dehru mill-ewwel żewġ serje, it-tieni u t-tielet mużika dehru mit-tielet u r-raba' serje rispettivament. Ir-raba 'ġie rilaxxat fl-4 ta' Ottubru 2010 bħala edizzjoni speċjali b'żewġ diska"&amp;" u kien fih mużika mill-ispeċjalitajiet 2008-2010 (it-tabib li jmiss sa tmiem il-ħin Parti 2). Is-soundtrack għas-Serje 5 ġiet rilaxxata fit-8 ta 'Novembru 2010. Fi Frar 2011, soundtrack ġiet rilaxxata għall-2010 tal-Milied Speċjali: ""A Christmas Carol"""&amp;", u f'Diċembru 2011 ġiet rilaxxata s-soundtrack għas-serje 6, it-tnejn minn Silva Screen Records.")</f>
        <v>Sitt ħarġiet ta 'soundtrack ġew rilaxxati mill-2005. L-ewwel binarji dehru mill-ewwel żewġ serje, it-tieni u t-tielet mużika dehru mit-tielet u r-raba' serje rispettivament. Ir-raba 'ġie rilaxxat fl-4 ta' Ottubru 2010 bħala edizzjoni speċjali b'żewġ diska u kien fih mużika mill-ispeċjalitajiet 2008-2010 (it-tabib li jmiss sa tmiem il-ħin Parti 2). Is-soundtrack għas-Serje 5 ġiet rilaxxata fit-8 ta 'Novembru 2010. Fi Frar 2011, soundtrack ġiet rilaxxata għall-2010 tal-Milied Speċjali: "A Christmas Carol", u f'Diċembru 2011 ġiet rilaxxata s-soundtrack għas-serje 6, it-tnejn minn Silva Screen Records.</v>
      </c>
    </row>
    <row r="11901" ht="15.75" customHeight="1">
      <c r="A11901" s="2" t="s">
        <v>11901</v>
      </c>
      <c r="B11901" s="2" t="str">
        <f>IFERROR(__xludf.DUMMYFUNCTION("GOOGLETRANSLATE(A11901, ""en"", ""mt"")"),"25 fil-mija")</f>
        <v>25 fil-mija</v>
      </c>
    </row>
    <row r="11902" ht="15.75" customHeight="1">
      <c r="A11902" s="2" t="s">
        <v>11902</v>
      </c>
      <c r="B11902" s="2" t="str">
        <f>IFERROR(__xludf.DUMMYFUNCTION("GOOGLETRANSLATE(A11902, ""en"", ""mt"")"),"Dublin, Cork, Youghal u Waterford")</f>
        <v>Dublin, Cork, Youghal u Waterford</v>
      </c>
    </row>
    <row r="11903" ht="15.75" customHeight="1">
      <c r="A11903" s="2" t="s">
        <v>11903</v>
      </c>
      <c r="B11903" s="2" t="str">
        <f>IFERROR(__xludf.DUMMYFUNCTION("GOOGLETRANSLATE(A11903, ""en"", ""mt"")"),"Liema xejra żżid il-kompożizzjoni organika tal-kapital fuq medda twila ta 'żmien?")</f>
        <v>Liema xejra żżid il-kompożizzjoni organika tal-kapital fuq medda twila ta 'żmien?</v>
      </c>
    </row>
    <row r="11904" ht="15.75" customHeight="1">
      <c r="A11904" s="2" t="s">
        <v>11904</v>
      </c>
      <c r="B11904" s="2" t="str">
        <f>IFERROR(__xludf.DUMMYFUNCTION("GOOGLETRANSLATE(A11904, ""en"", ""mt"")"),"Diversi gruppi alleati")</f>
        <v>Diversi gruppi alleati</v>
      </c>
    </row>
    <row r="11905" ht="15.75" customHeight="1">
      <c r="A11905" s="2" t="s">
        <v>11905</v>
      </c>
      <c r="B11905" s="2" t="str">
        <f>IFERROR(__xludf.DUMMYFUNCTION("GOOGLETRANSLATE(A11905, ""en"", ""mt"")"),"Tugh Temur")</f>
        <v>Tugh Temur</v>
      </c>
    </row>
    <row r="11906" ht="15.75" customHeight="1">
      <c r="A11906" s="2" t="s">
        <v>11906</v>
      </c>
      <c r="B11906" s="2" t="str">
        <f>IFERROR(__xludf.DUMMYFUNCTION("GOOGLETRANSLATE(A11906, ""en"", ""mt"")"),"Fl-1935, f'intervista annwali ta 'ċelebrazzjoni ta' għeluq snin, Tesla ħabbret metodu ta 'trasmissjoni ta' enerġija mekkanika b'telf minimu fuq kwalunkwe distanza terrestri, mezz ġdid relatat ta 'komunikazzjoni, u metodu ta' determinazzjoni preċiża tal-lo"&amp;"k ta 'depożiti minerali taħt l-art.")</f>
        <v>Fl-1935, f'intervista annwali ta 'ċelebrazzjoni ta' għeluq snin, Tesla ħabbret metodu ta 'trasmissjoni ta' enerġija mekkanika b'telf minimu fuq kwalunkwe distanza terrestri, mezz ġdid relatat ta 'komunikazzjoni, u metodu ta' determinazzjoni preċiża tal-lok ta 'depożiti minerali taħt l-art.</v>
      </c>
    </row>
    <row r="11907" ht="15.75" customHeight="1">
      <c r="A11907" s="2" t="s">
        <v>11907</v>
      </c>
      <c r="B11907" s="2" t="str">
        <f>IFERROR(__xludf.DUMMYFUNCTION("GOOGLETRANSLATE(A11907, ""en"", ""mt"")"),"X'inhu simili għal-litteriżmu li għalliem jgħallem?")</f>
        <v>X'inhu simili għal-litteriżmu li għalliem jgħallem?</v>
      </c>
    </row>
    <row r="11908" ht="15.75" customHeight="1">
      <c r="A11908" s="2" t="s">
        <v>11908</v>
      </c>
      <c r="B11908" s="2" t="str">
        <f>IFERROR(__xludf.DUMMYFUNCTION("GOOGLETRANSLATE(A11908, ""en"", ""mt"")"),"Ligand CD40")</f>
        <v>Ligand CD40</v>
      </c>
    </row>
    <row r="11909" ht="15.75" customHeight="1">
      <c r="A11909" s="2" t="s">
        <v>11909</v>
      </c>
      <c r="B11909" s="2" t="str">
        <f>IFERROR(__xludf.DUMMYFUNCTION("GOOGLETRANSLATE(A11909, ""en"", ""mt"")"),"Liema parti mill-kloroplasti tal-kriptofiti hija simili għal Chlorarachniophytes?")</f>
        <v>Liema parti mill-kloroplasti tal-kriptofiti hija simili għal Chlorarachniophytes?</v>
      </c>
    </row>
    <row r="11910" ht="15.75" customHeight="1">
      <c r="A11910" s="2" t="s">
        <v>11910</v>
      </c>
      <c r="B11910" s="2" t="str">
        <f>IFERROR(__xludf.DUMMYFUNCTION("GOOGLETRANSLATE(A11910, ""en"", ""mt"")"),"Il-Katekiżmu")</f>
        <v>Il-Katekiżmu</v>
      </c>
    </row>
    <row r="11911" ht="15.75" customHeight="1">
      <c r="A11911" s="2" t="s">
        <v>11911</v>
      </c>
      <c r="B11911" s="2" t="str">
        <f>IFERROR(__xludf.DUMMYFUNCTION("GOOGLETRANSLATE(A11911, ""en"", ""mt"")"),"X'inhu l-proċess li bih is-sistema immuni adatta hija evadata mill-qbid ta 'epitopi mhux essenzjali msejħa?")</f>
        <v>X'inhu l-proċess li bih is-sistema immuni adatta hija evadata mill-qbid ta 'epitopi mhux essenzjali msejħa?</v>
      </c>
    </row>
    <row r="11912" ht="15.75" customHeight="1">
      <c r="A11912" s="2" t="s">
        <v>11912</v>
      </c>
      <c r="B11912" s="2" t="str">
        <f>IFERROR(__xludf.DUMMYFUNCTION("GOOGLETRANSLATE(A11912, ""en"", ""mt"")"),"Screenings ta 'kull ġimgħa tal-episodji klassiċi kollha disponibbli")</f>
        <v>Screenings ta 'kull ġimgħa tal-episodji klassiċi kollha disponibbli</v>
      </c>
    </row>
    <row r="11913" ht="15.75" customHeight="1">
      <c r="A11913" s="2" t="s">
        <v>11913</v>
      </c>
      <c r="B11913" s="2" t="str">
        <f>IFERROR(__xludf.DUMMYFUNCTION("GOOGLETRANSLATE(A11913, ""en"", ""mt"")"),"Għaliex Toghun Temur ċaħad Toghtogha?")</f>
        <v>Għaliex Toghun Temur ċaħad Toghtogha?</v>
      </c>
    </row>
    <row r="11914" ht="15.75" customHeight="1">
      <c r="A11914" s="2" t="s">
        <v>11914</v>
      </c>
      <c r="B11914" s="2" t="str">
        <f>IFERROR(__xludf.DUMMYFUNCTION("GOOGLETRANSLATE(A11914, ""en"", ""mt"")"),"X'kien il-katalist li ħoloq interess akbar fir-riżorsi rinnovabbli?")</f>
        <v>X'kien il-katalist li ħoloq interess akbar fir-riżorsi rinnovabbli?</v>
      </c>
    </row>
    <row r="11915" ht="15.75" customHeight="1">
      <c r="A11915" s="2" t="s">
        <v>11915</v>
      </c>
      <c r="B11915" s="2" t="str">
        <f>IFERROR(__xludf.DUMMYFUNCTION("GOOGLETRANSLATE(A11915, ""en"", ""mt"")"),"tlieta.")</f>
        <v>tlieta.</v>
      </c>
    </row>
    <row r="11916" ht="15.75" customHeight="1">
      <c r="A11916" s="2" t="s">
        <v>11916</v>
      </c>
      <c r="B11916" s="2" t="str">
        <f>IFERROR(__xludf.DUMMYFUNCTION("GOOGLETRANSLATE(A11916, ""en"", ""mt"")"),"Denver")</f>
        <v>Denver</v>
      </c>
    </row>
    <row r="11917" ht="15.75" customHeight="1">
      <c r="A11917" s="2" t="s">
        <v>11917</v>
      </c>
      <c r="B11917" s="2" t="str">
        <f>IFERROR(__xludf.DUMMYFUNCTION("GOOGLETRANSLATE(A11917, ""en"", ""mt"")"),"Liema stipendju jirreġistraw l-istudenti fil-korsijiet ta 'prijorità?")</f>
        <v>Liema stipendju jirreġistraw l-istudenti fil-korsijiet ta 'prijorità?</v>
      </c>
    </row>
    <row r="11918" ht="15.75" customHeight="1">
      <c r="A11918" s="2" t="s">
        <v>11918</v>
      </c>
      <c r="B11918" s="2" t="str">
        <f>IFERROR(__xludf.DUMMYFUNCTION("GOOGLETRANSLATE(A11918, ""en"", ""mt"")"),"Upper Rhine Graben")</f>
        <v>Upper Rhine Graben</v>
      </c>
    </row>
    <row r="11919" ht="15.75" customHeight="1">
      <c r="A11919" s="2" t="s">
        <v>11919</v>
      </c>
      <c r="B11919" s="2" t="str">
        <f>IFERROR(__xludf.DUMMYFUNCTION("GOOGLETRANSLATE(A11919, ""en"", ""mt"")"),"NP-Complete")</f>
        <v>NP-Complete</v>
      </c>
    </row>
    <row r="11920" ht="15.75" customHeight="1">
      <c r="A11920" s="2" t="s">
        <v>11920</v>
      </c>
      <c r="B11920" s="2" t="str">
        <f>IFERROR(__xludf.DUMMYFUNCTION("GOOGLETRANSLATE(A11920, ""en"", ""mt"")"),"1237")</f>
        <v>1237</v>
      </c>
    </row>
    <row r="11921" ht="15.75" customHeight="1">
      <c r="A11921" s="2" t="s">
        <v>11921</v>
      </c>
      <c r="B11921" s="2" t="str">
        <f>IFERROR(__xludf.DUMMYFUNCTION("GOOGLETRANSLATE(A11921, ""en"", ""mt"")"),"WMO")</f>
        <v>WMO</v>
      </c>
    </row>
    <row r="11922" ht="15.75" customHeight="1">
      <c r="A11922" s="2" t="s">
        <v>11922</v>
      </c>
      <c r="B11922" s="2" t="str">
        <f>IFERROR(__xludf.DUMMYFUNCTION("GOOGLETRANSLATE(A11922, ""en"", ""mt"")"),"Old Rhine Bridge")</f>
        <v>Old Rhine Bridge</v>
      </c>
    </row>
    <row r="11923" ht="15.75" customHeight="1">
      <c r="A11923" s="2" t="s">
        <v>11923</v>
      </c>
      <c r="B11923" s="2" t="str">
        <f>IFERROR(__xludf.DUMMYFUNCTION("GOOGLETRANSLATE(A11923, ""en"", ""mt"")"),"Dak li jinkludi termini ta 'pressjoni meta tikkalkula żona fil-volum?")</f>
        <v>Dak li jinkludi termini ta 'pressjoni meta tikkalkula żona fil-volum?</v>
      </c>
    </row>
    <row r="11924" ht="15.75" customHeight="1">
      <c r="A11924" s="2" t="s">
        <v>11924</v>
      </c>
      <c r="B11924" s="2" t="str">
        <f>IFERROR(__xludf.DUMMYFUNCTION("GOOGLETRANSLATE(A11924, ""en"", ""mt"")"),"Min ikkritika l-kont tas-sigurtà?")</f>
        <v>Min ikkritika l-kont tas-sigurtà?</v>
      </c>
    </row>
    <row r="11925" ht="15.75" customHeight="1">
      <c r="A11925" s="2" t="s">
        <v>11925</v>
      </c>
      <c r="B11925" s="2" t="str">
        <f>IFERROR(__xludf.DUMMYFUNCTION("GOOGLETRANSLATE(A11925, ""en"", ""mt"")"),"Memorja attiva fit-tul hija akkwistata wara infezzjoni bl-attivazzjoni taċ-ċelloli B u T. L-immunità attiva tista 'wkoll tiġi ġġenerata artifiċjalment, permezz tat-tilqima. Il-prinċipju wara t-tilqima (imsejjaħ ukoll immunizzazzjoni) huwa li jintroduċi an"&amp;"tiġen minn patoġen sabiex jistimula s-sistema immunitarja u jiżviluppa immunità speċifika kontra dak il-patoġen partikolari mingħajr ma jikkawża marda assoċjata ma 'dak l-organiżmu. Din l-induzzjoni deliberata ta 'rispons immuni hija suċċess minħabba li t"&amp;"isfrutta l-ispeċifiċità naturali tas-sistema immunitarja, kif ukoll l-induċibilità tagħha. Bil-marda infettiva li fadal waħda mill-kawżi ewlenin tal-mewt fil-popolazzjoni umana, it-tilqima tirrappreżenta l-iktar manipulazzjoni effettiva tas-sistema immuni"&amp;" li żviluppa l-umanità.")</f>
        <v>Memorja attiva fit-tul hija akkwistata wara infezzjoni bl-attivazzjoni taċ-ċelloli B u T. L-immunità attiva tista 'wkoll tiġi ġġenerata artifiċjalment, permezz tat-tilqima. Il-prinċipju wara t-tilqima (imsejjaħ ukoll immunizzazzjoni) huwa li jintroduċi antiġen minn patoġen sabiex jistimula s-sistema immunitarja u jiżviluppa immunità speċifika kontra dak il-patoġen partikolari mingħajr ma jikkawża marda assoċjata ma 'dak l-organiżmu. Din l-induzzjoni deliberata ta 'rispons immuni hija suċċess minħabba li tisfrutta l-ispeċifiċità naturali tas-sistema immunitarja, kif ukoll l-induċibilità tagħha. Bil-marda infettiva li fadal waħda mill-kawżi ewlenin tal-mewt fil-popolazzjoni umana, it-tilqima tirrappreżenta l-iktar manipulazzjoni effettiva tas-sistema immuni li żviluppa l-umanità.</v>
      </c>
    </row>
    <row r="11926" ht="15.75" customHeight="1">
      <c r="A11926" s="2" t="s">
        <v>11926</v>
      </c>
      <c r="B11926" s="2" t="str">
        <f>IFERROR(__xludf.DUMMYFUNCTION("GOOGLETRANSLATE(A11926, ""en"", ""mt"")"),"Wara liema mudell ta 'tagħlim ogħla ġie ddisinjat l-iskola?")</f>
        <v>Wara liema mudell ta 'tagħlim ogħla ġie ddisinjat l-iskola?</v>
      </c>
    </row>
    <row r="11927" ht="15.75" customHeight="1">
      <c r="A11927" s="2" t="s">
        <v>11927</v>
      </c>
      <c r="B11927" s="2" t="str">
        <f>IFERROR(__xludf.DUMMYFUNCTION("GOOGLETRANSLATE(A11927, ""en"", ""mt"")"),"Meta l-forzi huma mill-preżenza ta 'oġġetti differnet, liema liġi tagħti simetrija?")</f>
        <v>Meta l-forzi huma mill-preżenza ta 'oġġetti differnet, liema liġi tagħti simetrija?</v>
      </c>
    </row>
    <row r="11928" ht="15.75" customHeight="1">
      <c r="A11928" s="2" t="s">
        <v>11928</v>
      </c>
      <c r="B11928" s="2" t="str">
        <f>IFERROR(__xludf.DUMMYFUNCTION("GOOGLETRANSLATE(A11928, ""en"", ""mt"")"),"8 ta 'Frar, 1974")</f>
        <v>8 ta 'Frar, 1974</v>
      </c>
    </row>
    <row r="11929" ht="15.75" customHeight="1">
      <c r="A11929" s="2" t="s">
        <v>11929</v>
      </c>
      <c r="B11929" s="2" t="str">
        <f>IFERROR(__xludf.DUMMYFUNCTION("GOOGLETRANSLATE(A11929, ""en"", ""mt"")"),"Min Kublai għamel il-ħakkiem tal-Korea?")</f>
        <v>Min Kublai għamel il-ħakkiem tal-Korea?</v>
      </c>
    </row>
    <row r="11930" ht="15.75" customHeight="1">
      <c r="A11930" s="2" t="s">
        <v>11930</v>
      </c>
      <c r="B11930" s="2" t="str">
        <f>IFERROR(__xludf.DUMMYFUNCTION("GOOGLETRANSLATE(A11930, ""en"", ""mt"")"),"il-kontribut kulturali tiegħu")</f>
        <v>il-kontribut kulturali tiegħu</v>
      </c>
    </row>
    <row r="11931" ht="15.75" customHeight="1">
      <c r="A11931" s="2" t="s">
        <v>11931</v>
      </c>
      <c r="B11931" s="2" t="str">
        <f>IFERROR(__xludf.DUMMYFUNCTION("GOOGLETRANSLATE(A11931, ""en"", ""mt"")"),"aktar ugwaljanza")</f>
        <v>aktar ugwaljanza</v>
      </c>
    </row>
    <row r="11932" ht="15.75" customHeight="1">
      <c r="A11932" s="2" t="s">
        <v>11932</v>
      </c>
      <c r="B11932" s="2" t="str">
        <f>IFERROR(__xludf.DUMMYFUNCTION("GOOGLETRANSLATE(A11932, ""en"", ""mt"")"),"L-ekonomija neoklassika ta 'fehmiet inugwaljanzi fid-distribuzzjoni tad-dħul bħala li jirriżultaw minn differenzi fil-valur miżjud mix-xogħol, il-kapital u l-art. Fi ħdan id-distribuzzjoni tad-dħul tax-xogħol hija dovuta għal differenzi fil-valur miżjud m"&amp;"inn klassifikazzjonijiet differenti tal-ħaddiema. F'din il-perspettiva, il-pagi u l-profitti huma ddeterminati mill-valur miżjud marġinali ta 'kull attur ekonomiku (ħaddiem, kapitalist / sid tan-negozju, sid). Għalhekk, f'ekonomija tas-suq, l-inugwaljanza"&amp;" hija riflessjoni tad-distakk fil-produttività bejn professjonijiet imħallsa ħafna u professjonijiet b'paga baxxa.")</f>
        <v>L-ekonomija neoklassika ta 'fehmiet inugwaljanzi fid-distribuzzjoni tad-dħul bħala li jirriżultaw minn differenzi fil-valur miżjud mix-xogħol, il-kapital u l-art. Fi ħdan id-distribuzzjoni tad-dħul tax-xogħol hija dovuta għal differenzi fil-valur miżjud minn klassifikazzjonijiet differenti tal-ħaddiema. F'din il-perspettiva, il-pagi u l-profitti huma ddeterminati mill-valur miżjud marġinali ta 'kull attur ekonomiku (ħaddiem, kapitalist / sid tan-negozju, sid). Għalhekk, f'ekonomija tas-suq, l-inugwaljanza hija riflessjoni tad-distakk fil-produttività bejn professjonijiet imħallsa ħafna u professjonijiet b'paga baxxa.</v>
      </c>
    </row>
    <row r="11933" ht="15.75" customHeight="1">
      <c r="A11933" s="2" t="s">
        <v>11933</v>
      </c>
      <c r="B11933" s="2" t="str">
        <f>IFERROR(__xludf.DUMMYFUNCTION("GOOGLETRANSLATE(A11933, ""en"", ""mt"")"),"Il-viċinat popolari magħruf bħala d-Distrett tat-Torri huwa ċċentrat madwar it-Teatru Storiku tat-Torri, li huwa inkluż fil-lista nazzjonali tal-postijiet storiċi. It-teatru nbena fl-1939 u jinsab fi Olive and Wishon Avenues fil-qalba tad-Distrett tat-Tor"&amp;"ri. (L-isem tat-teatru jirreferi għal torri tal-ilma tal-monument magħruf, li fil-fatt jinsab f'żona oħra fil-viċin). Il-viċinat tad-Distrett tat-Torri jinsab eżatt fit-tramuntana tad-downtown Fresno kif suppost, u nofs mil fin-nofsinhar tal-Kulleġġ tal-B"&amp;"elt ta 'Fresno. Għalkemm il-viċinat kien magħruf bħala żona residenzjali minn qabel, l-istabbilimenti kummerċjali bikrija tad-distrett tat-Torri bdew bi ħwienet u servizzi żgħar li ħarġu fiż-żona ftit wara t-Tieni Gwerra Dinjija. Il-karattru ta 'negozji l"&amp;"okali żgħar fil-biċċa l-kbira jibqa' llum. Sa ċertu punt, in-negozji tad-Distrett tat-Torri ġew żviluppati minħabba l-viċinanza tal-Iskola Normali Fresno oriġinali (aktar tard imsejħa California State University fi Fresno). Fl-1916 il-kulleġġ mar joqgħod "&amp;"għal dak li issa huwa s-sit ta 'Fresno City College nofs mil fit-tramuntana tad-distrett tat-torri.")</f>
        <v>Il-viċinat popolari magħruf bħala d-Distrett tat-Torri huwa ċċentrat madwar it-Teatru Storiku tat-Torri, li huwa inkluż fil-lista nazzjonali tal-postijiet storiċi. It-teatru nbena fl-1939 u jinsab fi Olive and Wishon Avenues fil-qalba tad-Distrett tat-Torri. (L-isem tat-teatru jirreferi għal torri tal-ilma tal-monument magħruf, li fil-fatt jinsab f'żona oħra fil-viċin). Il-viċinat tad-Distrett tat-Torri jinsab eżatt fit-tramuntana tad-downtown Fresno kif suppost, u nofs mil fin-nofsinhar tal-Kulleġġ tal-Belt ta 'Fresno. Għalkemm il-viċinat kien magħruf bħala żona residenzjali minn qabel, l-istabbilimenti kummerċjali bikrija tad-distrett tat-Torri bdew bi ħwienet u servizzi żgħar li ħarġu fiż-żona ftit wara t-Tieni Gwerra Dinjija. Il-karattru ta 'negozji lokali żgħar fil-biċċa l-kbira jibqa' llum. Sa ċertu punt, in-negozji tad-Distrett tat-Torri ġew żviluppati minħabba l-viċinanza tal-Iskola Normali Fresno oriġinali (aktar tard imsejħa California State University fi Fresno). Fl-1916 il-kulleġġ mar joqgħod għal dak li issa huwa s-sit ta 'Fresno City College nofs mil fit-tramuntana tad-distrett tat-torri.</v>
      </c>
    </row>
    <row r="11934" ht="15.75" customHeight="1">
      <c r="A11934" s="2" t="s">
        <v>11934</v>
      </c>
      <c r="B11934" s="2" t="str">
        <f>IFERROR(__xludf.DUMMYFUNCTION("GOOGLETRANSLATE(A11934, ""en"", ""mt"")"),"Kemm inqas il-fwar uża l-magna Corliss meta mqabbel mal-magna Watt?")</f>
        <v>Kemm inqas il-fwar uża l-magna Corliss meta mqabbel mal-magna Watt?</v>
      </c>
    </row>
    <row r="11935" ht="15.75" customHeight="1">
      <c r="A11935" s="2" t="s">
        <v>11935</v>
      </c>
      <c r="B11935" s="2" t="str">
        <f>IFERROR(__xludf.DUMMYFUNCTION("GOOGLETRANSLATE(A11935, ""en"", ""mt"")"),"Weston")</f>
        <v>Weston</v>
      </c>
    </row>
    <row r="11936" ht="15.75" customHeight="1">
      <c r="A11936" s="2" t="s">
        <v>11936</v>
      </c>
      <c r="B11936" s="2" t="str">
        <f>IFERROR(__xludf.DUMMYFUNCTION("GOOGLETRANSLATE(A11936, ""en"", ""mt"")"),"Il-Pittsburgh Steelers")</f>
        <v>Il-Pittsburgh Steelers</v>
      </c>
    </row>
    <row r="11937" ht="15.75" customHeight="1">
      <c r="A11937" s="2" t="s">
        <v>11937</v>
      </c>
      <c r="B11937" s="2" t="str">
        <f>IFERROR(__xludf.DUMMYFUNCTION("GOOGLETRANSLATE(A11937, ""en"", ""mt"")"),"Min kien il-President u l-Kap Eżekuttiv ta 'Disney fl-2002?")</f>
        <v>Min kien il-President u l-Kap Eżekuttiv ta 'Disney fl-2002?</v>
      </c>
    </row>
    <row r="11938" ht="15.75" customHeight="1">
      <c r="A11938" s="2" t="s">
        <v>11938</v>
      </c>
      <c r="B11938" s="2" t="str">
        <f>IFERROR(__xludf.DUMMYFUNCTION("GOOGLETRANSLATE(A11938, ""en"", ""mt"")"),"għan-netwerks nazzjonali")</f>
        <v>għan-netwerks nazzjonali</v>
      </c>
    </row>
    <row r="11939" ht="15.75" customHeight="1">
      <c r="A11939" s="2" t="s">
        <v>11939</v>
      </c>
      <c r="B11939" s="2" t="str">
        <f>IFERROR(__xludf.DUMMYFUNCTION("GOOGLETRANSLATE(A11939, ""en"", ""mt"")"),"X'inhi l-ispiża tipika annwali għal skola privata Irlandiża?")</f>
        <v>X'inhi l-ispiża tipika annwali għal skola privata Irlandiża?</v>
      </c>
    </row>
    <row r="11940" ht="15.75" customHeight="1">
      <c r="A11940" s="2" t="s">
        <v>11940</v>
      </c>
      <c r="B11940" s="2" t="str">
        <f>IFERROR(__xludf.DUMMYFUNCTION("GOOGLETRANSLATE(A11940, ""en"", ""mt"")"),"Ir-rwol pożittiv tiegħu huwa sottovalutat")</f>
        <v>Ir-rwol pożittiv tiegħu huwa sottovalutat</v>
      </c>
    </row>
    <row r="11941" ht="15.75" customHeight="1">
      <c r="A11941" s="2" t="s">
        <v>11941</v>
      </c>
      <c r="B11941" s="2" t="str">
        <f>IFERROR(__xludf.DUMMYFUNCTION("GOOGLETRANSLATE(A11941, ""en"", ""mt"")"),"Liema kulturi kienu parti mill-amministrazzjoni ta 'Kublai?")</f>
        <v>Liema kulturi kienu parti mill-amministrazzjoni ta 'Kublai?</v>
      </c>
    </row>
    <row r="11942" ht="15.75" customHeight="1">
      <c r="A11942" s="2" t="s">
        <v>11942</v>
      </c>
      <c r="B11942" s="2" t="str">
        <f>IFERROR(__xludf.DUMMYFUNCTION("GOOGLETRANSLATE(A11942, ""en"", ""mt"")"),"Ir-rwol ewlieni tal-kloroplasti huwa li tmexxi fotosintesi, fejn il-klorofilla tal-pigment fotosintetiku taqbad l-enerġija mix-xemx u tikkonvertiha u taħżenha fil-molekuli tal-ħażna tal-enerġija ATP u NADPH waqt li tillibera l-ossiġnu mill-ilma. Imbagħad "&amp;"jużaw l-ATP u l-NADPH biex jagħmlu molekuli organiċi mid-dijossidu tal-karbonju fi proċess magħruf bħala ċ-ċiklu ta 'Calvin. Il-kloroplasti jwettqu numru ta 'funzjonijiet oħra, inklużi s-sinteżi tal-aċidu xaħmi, ħafna sinteżi ta' aċidu amminiku, u r-rispo"&amp;"ns immuni fil-pjanti. In-numru ta 'kloroplasti għal kull ċellula jvarja minn 1 f'alka sa 100 f'impjanti bħal Arabidopsis u qamħ.")</f>
        <v>Ir-rwol ewlieni tal-kloroplasti huwa li tmexxi fotosintesi, fejn il-klorofilla tal-pigment fotosintetiku taqbad l-enerġija mix-xemx u tikkonvertiha u taħżenha fil-molekuli tal-ħażna tal-enerġija ATP u NADPH waqt li tillibera l-ossiġnu mill-ilma. Imbagħad jużaw l-ATP u l-NADPH biex jagħmlu molekuli organiċi mid-dijossidu tal-karbonju fi proċess magħruf bħala ċ-ċiklu ta 'Calvin. Il-kloroplasti jwettqu numru ta 'funzjonijiet oħra, inklużi s-sinteżi tal-aċidu xaħmi, ħafna sinteżi ta' aċidu amminiku, u r-rispons immuni fil-pjanti. In-numru ta 'kloroplasti għal kull ċellula jvarja minn 1 f'alka sa 100 f'impjanti bħal Arabidopsis u qamħ.</v>
      </c>
    </row>
    <row r="11943" ht="15.75" customHeight="1">
      <c r="A11943" s="2" t="s">
        <v>11943</v>
      </c>
      <c r="B11943" s="2" t="str">
        <f>IFERROR(__xludf.DUMMYFUNCTION("GOOGLETRANSLATE(A11943, ""en"", ""mt"")"),"bla wajers")</f>
        <v>bla wajers</v>
      </c>
    </row>
    <row r="11944" ht="15.75" customHeight="1">
      <c r="A11944" s="2" t="s">
        <v>11944</v>
      </c>
      <c r="B11944" s="2" t="str">
        <f>IFERROR(__xludf.DUMMYFUNCTION("GOOGLETRANSLATE(A11944, ""en"", ""mt"")"),"Gamal Abdul Nasser")</f>
        <v>Gamal Abdul Nasser</v>
      </c>
    </row>
    <row r="11945" ht="15.75" customHeight="1">
      <c r="A11945" s="2" t="s">
        <v>11945</v>
      </c>
      <c r="B11945" s="2" t="str">
        <f>IFERROR(__xludf.DUMMYFUNCTION("GOOGLETRANSLATE(A11945, ""en"", ""mt"")"),"kmieni fl-1960s")</f>
        <v>kmieni fl-1960s</v>
      </c>
    </row>
    <row r="11946" ht="15.75" customHeight="1">
      <c r="A11946" s="2" t="s">
        <v>11946</v>
      </c>
      <c r="B11946" s="2" t="str">
        <f>IFERROR(__xludf.DUMMYFUNCTION("GOOGLETRANSLATE(A11946, ""en"", ""mt"")"),"Min iddisinja s-servizz tal-pranzu ta 'Möllendorff?")</f>
        <v>Min iddisinja s-servizz tal-pranzu ta 'Möllendorff?</v>
      </c>
    </row>
    <row r="11947" ht="15.75" customHeight="1">
      <c r="A11947" s="2" t="s">
        <v>11947</v>
      </c>
      <c r="B11947" s="2" t="str">
        <f>IFERROR(__xludf.DUMMYFUNCTION("GOOGLETRANSLATE(A11947, ""en"", ""mt"")"),"Serje tar-Roti Warner Bros. Rigali")</f>
        <v>Serje tar-Roti Warner Bros. Rigali</v>
      </c>
    </row>
    <row r="11948" ht="15.75" customHeight="1">
      <c r="A11948" s="2" t="s">
        <v>11948</v>
      </c>
      <c r="B11948" s="2" t="str">
        <f>IFERROR(__xludf.DUMMYFUNCTION("GOOGLETRANSLATE(A11948, ""en"", ""mt"")"),"X'inhu l-proċess li żżid l-istruttura ma 'proprjetà immobbli jew kostruzzjoni ta' bini?")</f>
        <v>X'inhu l-proċess li żżid l-istruttura ma 'proprjetà immobbli jew kostruzzjoni ta' bini?</v>
      </c>
    </row>
    <row r="11949" ht="15.75" customHeight="1">
      <c r="A11949" s="2" t="s">
        <v>11949</v>
      </c>
      <c r="B11949" s="2" t="str">
        <f>IFERROR(__xludf.DUMMYFUNCTION("GOOGLETRANSLATE(A11949, ""en"", ""mt"")"),"Liema lingwa l-Qorti tal-Ġustizzja aċċettat li kienet meħtieġa tgħallem f'kulleġġ ta 'Dublin fil-Ministru għall-Edukazzjoni Groner vs?")</f>
        <v>Liema lingwa l-Qorti tal-Ġustizzja aċċettat li kienet meħtieġa tgħallem f'kulleġġ ta 'Dublin fil-Ministru għall-Edukazzjoni Groner vs?</v>
      </c>
    </row>
    <row r="11950" ht="15.75" customHeight="1">
      <c r="A11950" s="2" t="s">
        <v>11950</v>
      </c>
      <c r="B11950" s="2" t="str">
        <f>IFERROR(__xludf.DUMMYFUNCTION("GOOGLETRANSLATE(A11950, ""en"", ""mt"")"),"tnejn jew aktar")</f>
        <v>tnejn jew aktar</v>
      </c>
    </row>
    <row r="11951" ht="15.75" customHeight="1">
      <c r="A11951" s="2" t="s">
        <v>11951</v>
      </c>
      <c r="B11951" s="2" t="str">
        <f>IFERROR(__xludf.DUMMYFUNCTION("GOOGLETRANSLATE(A11951, ""en"", ""mt"")"),"Typhus, ġidri u infezzjonijiet respiratorji")</f>
        <v>Typhus, ġidri u infezzjonijiet respiratorji</v>
      </c>
    </row>
    <row r="11952" ht="15.75" customHeight="1">
      <c r="A11952" s="2" t="s">
        <v>11952</v>
      </c>
      <c r="B11952" s="2" t="str">
        <f>IFERROR(__xludf.DUMMYFUNCTION("GOOGLETRANSLATE(A11952, ""en"", ""mt"")"),"Kuntratt ta '""Disinn Ibni""")</f>
        <v>Kuntratt ta '"Disinn Ibni"</v>
      </c>
    </row>
    <row r="11953" ht="15.75" customHeight="1">
      <c r="A11953" s="2" t="s">
        <v>11953</v>
      </c>
      <c r="B11953" s="2" t="str">
        <f>IFERROR(__xludf.DUMMYFUNCTION("GOOGLETRANSLATE(A11953, ""en"", ""mt"")"),"biex jikseb l-appoġġ tal-Ingliżi u jerġa 'jikseb l-awtorità fuq in-nies tiegħu stess")</f>
        <v>biex jikseb l-appoġġ tal-Ingliżi u jerġa 'jikseb l-awtorità fuq in-nies tiegħu stess</v>
      </c>
    </row>
    <row r="11954" ht="15.75" customHeight="1">
      <c r="A11954" s="2" t="s">
        <v>11954</v>
      </c>
      <c r="B11954" s="2" t="str">
        <f>IFERROR(__xludf.DUMMYFUNCTION("GOOGLETRANSLATE(A11954, ""en"", ""mt"")"),"Liema apparati ġew ikkreditati bħala l-forza li tiċċaqlaq tar-rivoluzzjoni industrijali?")</f>
        <v>Liema apparati ġew ikkreditati bħala l-forza li tiċċaqlaq tar-rivoluzzjoni industrijali?</v>
      </c>
    </row>
    <row r="11955" ht="15.75" customHeight="1">
      <c r="A11955" s="2" t="s">
        <v>11955</v>
      </c>
      <c r="B11955" s="2" t="str">
        <f>IFERROR(__xludf.DUMMYFUNCTION("GOOGLETRANSLATE(A11955, ""en"", ""mt"")"),"L-istennija tal-ħajja hija inqas")</f>
        <v>L-istennija tal-ħajja hija inqas</v>
      </c>
    </row>
    <row r="11956" ht="15.75" customHeight="1">
      <c r="A11956" s="2" t="s">
        <v>11956</v>
      </c>
      <c r="B11956" s="2" t="str">
        <f>IFERROR(__xludf.DUMMYFUNCTION("GOOGLETRANSLATE(A11956, ""en"", ""mt"")"),"Nuqqas ta 'fehim tar-ramifikazzjonijiet legali,")</f>
        <v>Nuqqas ta 'fehim tar-ramifikazzjonijiet legali,</v>
      </c>
    </row>
    <row r="11957" ht="15.75" customHeight="1">
      <c r="A11957" s="2" t="s">
        <v>11957</v>
      </c>
      <c r="B11957" s="2" t="str">
        <f>IFERROR(__xludf.DUMMYFUNCTION("GOOGLETRANSLATE(A11957, ""en"", ""mt"")"),"Liema vettura spazjali użaw is-Sovjetiċi biex jibagħtu annimali fl-ispazju u madwar l-orbita tal-qamar?")</f>
        <v>Liema vettura spazjali użaw is-Sovjetiċi biex jibagħtu annimali fl-ispazju u madwar l-orbita tal-qamar?</v>
      </c>
    </row>
    <row r="11958" ht="15.75" customHeight="1">
      <c r="A11958" s="2" t="s">
        <v>11958</v>
      </c>
      <c r="B11958" s="2" t="str">
        <f>IFERROR(__xludf.DUMMYFUNCTION("GOOGLETRANSLATE(A11958, ""en"", ""mt"")"),"Tul il-Wied tax-Xmara San Lawrenz")</f>
        <v>Tul il-Wied tax-Xmara San Lawrenz</v>
      </c>
    </row>
    <row r="11959" ht="15.75" customHeight="1">
      <c r="A11959" s="2" t="s">
        <v>11959</v>
      </c>
      <c r="B11959" s="2" t="str">
        <f>IFERROR(__xludf.DUMMYFUNCTION("GOOGLETRANSLATE(A11959, ""en"", ""mt"")"),"Oppożizzjoni għad-deċiżjonijiet ta 'aġenziji mhux governattivi bħal trade unions, banek, u universitajiet privati")</f>
        <v>Oppożizzjoni għad-deċiżjonijiet ta 'aġenziji mhux governattivi bħal trade unions, banek, u universitajiet privati</v>
      </c>
    </row>
    <row r="11960" ht="15.75" customHeight="1">
      <c r="A11960" s="2" t="s">
        <v>11960</v>
      </c>
      <c r="B11960" s="2" t="str">
        <f>IFERROR(__xludf.DUMMYFUNCTION("GOOGLETRANSLATE(A11960, ""en"", ""mt"")"),"ATL, NUT jew NASUWT")</f>
        <v>ATL, NUT jew NASUWT</v>
      </c>
    </row>
    <row r="11961" ht="15.75" customHeight="1">
      <c r="A11961" s="2" t="s">
        <v>11961</v>
      </c>
      <c r="B11961" s="2" t="str">
        <f>IFERROR(__xludf.DUMMYFUNCTION("GOOGLETRANSLATE(A11961, ""en"", ""mt"")"),"Zorro")</f>
        <v>Zorro</v>
      </c>
    </row>
    <row r="11962" ht="15.75" customHeight="1">
      <c r="A11962" s="2" t="s">
        <v>11962</v>
      </c>
      <c r="B11962" s="2" t="str">
        <f>IFERROR(__xludf.DUMMYFUNCTION("GOOGLETRANSLATE(A11962, ""en"", ""mt"")"),"Liema parti mill-karriera ta 'Luther kienet waħda mill-iktar produttivi tiegħu?")</f>
        <v>Liema parti mill-karriera ta 'Luther kienet waħda mill-iktar produttivi tiegħu?</v>
      </c>
    </row>
    <row r="11963" ht="15.75" customHeight="1">
      <c r="A11963" s="2" t="s">
        <v>11963</v>
      </c>
      <c r="B11963" s="2" t="str">
        <f>IFERROR(__xludf.DUMMYFUNCTION("GOOGLETRANSLATE(A11963, ""en"", ""mt"")"),"Tesla")</f>
        <v>Tesla</v>
      </c>
    </row>
    <row r="11964" ht="15.75" customHeight="1">
      <c r="A11964" s="2" t="s">
        <v>11964</v>
      </c>
      <c r="B11964" s="2" t="str">
        <f>IFERROR(__xludf.DUMMYFUNCTION("GOOGLETRANSLATE(A11964, ""en"", ""mt"")"),"Biex tlesti l-kostruzzjoni ta 'Wardenclyffe.")</f>
        <v>Biex tlesti l-kostruzzjoni ta 'Wardenclyffe.</v>
      </c>
    </row>
    <row r="11965" ht="15.75" customHeight="1">
      <c r="A11965" s="2" t="s">
        <v>11965</v>
      </c>
      <c r="B11965" s="2" t="str">
        <f>IFERROR(__xludf.DUMMYFUNCTION("GOOGLETRANSLATE(A11965, ""en"", ""mt"")"),"B'liema rata l-Kontea ta 'Orange qed tiżviluppa ċ-ċentri tan-negozju tagħha?")</f>
        <v>B'liema rata l-Kontea ta 'Orange qed tiżviluppa ċ-ċentri tan-negozju tagħha?</v>
      </c>
    </row>
    <row r="11966" ht="15.75" customHeight="1">
      <c r="A11966" s="2" t="s">
        <v>11966</v>
      </c>
      <c r="B11966" s="2" t="str">
        <f>IFERROR(__xludf.DUMMYFUNCTION("GOOGLETRANSLATE(A11966, ""en"", ""mt"")"),"Liema mexxej ta 'Khitan iddefetta lill-Mongoli?")</f>
        <v>Liema mexxej ta 'Khitan iddefetta lill-Mongoli?</v>
      </c>
    </row>
    <row r="11967" ht="15.75" customHeight="1">
      <c r="A11967" s="2" t="s">
        <v>11967</v>
      </c>
      <c r="B11967" s="2" t="str">
        <f>IFERROR(__xludf.DUMMYFUNCTION("GOOGLETRANSLATE(A11967, ""en"", ""mt"")"),"Jekk wieħed jassumi l-kompitu li jinterpreta t-trattati, u jaċċellera l-integrazzjoni ekonomika u politika")</f>
        <v>Jekk wieħed jassumi l-kompitu li jinterpreta t-trattati, u jaċċellera l-integrazzjoni ekonomika u politika</v>
      </c>
    </row>
    <row r="11968" ht="15.75" customHeight="1">
      <c r="A11968" s="2" t="s">
        <v>11968</v>
      </c>
      <c r="B11968" s="2" t="str">
        <f>IFERROR(__xludf.DUMMYFUNCTION("GOOGLETRANSLATE(A11968, ""en"", ""mt"")"),"Il-leġiżlazzjoni tista 'tiġi mblukkata b'maġġoranza fil-Parlament, minoranza fil-kunsill, u maġġoranza fil-kummissjoni")</f>
        <v>Il-leġiżlazzjoni tista 'tiġi mblukkata b'maġġoranza fil-Parlament, minoranza fil-kunsill, u maġġoranza fil-kummissjoni</v>
      </c>
    </row>
    <row r="11969" ht="15.75" customHeight="1">
      <c r="A11969" s="2" t="s">
        <v>11969</v>
      </c>
      <c r="B11969" s="2" t="str">
        <f>IFERROR(__xludf.DUMMYFUNCTION("GOOGLETRANSLATE(A11969, ""en"", ""mt"")"),"Luther wasal biex jifhem il-ġustifikazzjoni bħala kompletament ix-xogħol ta 'Alla. Dan it-tagħlim minn Luther kien espress b'mod ċar fil-pubblikazzjoni 1525 tiegħu fuq il-jasar tat-testment, li nkiteb b'reazzjoni għal fuq ir-rieda ħielsa minn Desiderius E"&amp;"rasmus (1524). Luther ibbaża l-pożizzjoni tiegħu fuq il-predestinazzjoni fuq l-Epistola ta ’San Pawl lejn l-Efesin 2: 8-10. Kontra t-tagħlim tal-ġurnata tiegħu li l-atti ġusti ta ’dawk li jemmnu jitwettqu f’kooperazzjoni ma’ Alla, Luther kiteb li l-Kristj"&amp;"ani jirċievu tali tjieba kompletament minn barra nfushom; Din it-tjieba mhux biss ġejja minn Kristu imma fil-fatt hija t-tjieba ta ’Kristu, imputata lill-insara (aktar milli infużi fihom) permezz tal-fidi. ""Huwa għalhekk li l-fidi waħedha tagħmel lil xi "&amp;"ħadd ġust u tissodisfa l-liġi,"" kiteb. ""Il-fidi hija dik li ġġib l-Ispirtu s-Santu permezz tal-merti ta 'Kristu."" Il-fidi, għal Luther, kienet rigal minn Alla; L-esperjenza li tkun iġġustifikat mill-fidi kienet ""daqslikieku kont twelidt mill-ġdid."" I"&amp;"d-dħul tiegħu fil-ġenna, xejn inqas, kien skoperta dwar ""it-tjieba ta 'Alla"" - skoperta li ""l-persuna ġusta"" li l-Bibbja titkellem (bħal fir-Rumani 1:17) tgħix bil-fidi. Huwa spjega l-kunċett tiegħu ta '""ġustifikazzjoni"" fl-artikoli ta' Smalcald:")</f>
        <v>Luther wasal biex jifhem il-ġustifikazzjoni bħala kompletament ix-xogħol ta 'Alla. Dan it-tagħlim minn Luther kien espress b'mod ċar fil-pubblikazzjoni 1525 tiegħu fuq il-jasar tat-testment, li nkiteb b'reazzjoni għal fuq ir-rieda ħielsa minn Desiderius Erasmus (1524). Luther ibbaża l-pożizzjoni tiegħu fuq il-predestinazzjoni fuq l-Epistola ta ’San Pawl lejn l-Efesin 2: 8-10. Kontra t-tagħlim tal-ġurnata tiegħu li l-atti ġusti ta ’dawk li jemmnu jitwettqu f’kooperazzjoni ma’ Alla, Luther kiteb li l-Kristjani jirċievu tali tjieba kompletament minn barra nfushom; Din it-tjieba mhux biss ġejja minn Kristu imma fil-fatt hija t-tjieba ta ’Kristu, imputata lill-insara (aktar milli infużi fihom) permezz tal-fidi. "Huwa għalhekk li l-fidi waħedha tagħmel lil xi ħadd ġust u tissodisfa l-liġi," kiteb. "Il-fidi hija dik li ġġib l-Ispirtu s-Santu permezz tal-merti ta 'Kristu." Il-fidi, għal Luther, kienet rigal minn Alla; L-esperjenza li tkun iġġustifikat mill-fidi kienet "daqslikieku kont twelidt mill-ġdid." Id-dħul tiegħu fil-ġenna, xejn inqas, kien skoperta dwar "it-tjieba ta 'Alla" - skoperta li "l-persuna ġusta" li l-Bibbja titkellem (bħal fir-Rumani 1:17) tgħix bil-fidi. Huwa spjega l-kunċett tiegħu ta '"ġustifikazzjoni" fl-artikoli ta' Smalcald:</v>
      </c>
    </row>
    <row r="11970" ht="15.75" customHeight="1">
      <c r="A11970" s="2" t="s">
        <v>11970</v>
      </c>
      <c r="B11970" s="2" t="str">
        <f>IFERROR(__xludf.DUMMYFUNCTION("GOOGLETRANSLATE(A11970, ""en"", ""mt"")"),"Des Moines College, Kalamazoo College, Butler University, u Stetson University")</f>
        <v>Des Moines College, Kalamazoo College, Butler University, u Stetson University</v>
      </c>
    </row>
    <row r="11971" ht="15.75" customHeight="1">
      <c r="A11971" s="2" t="s">
        <v>11971</v>
      </c>
      <c r="B11971" s="2" t="str">
        <f>IFERROR(__xludf.DUMMYFUNCTION("GOOGLETRANSLATE(A11971, ""en"", ""mt"")"),"Isaac Newton")</f>
        <v>Isaac Newton</v>
      </c>
    </row>
    <row r="11972" ht="15.75" customHeight="1">
      <c r="A11972" s="2" t="s">
        <v>11972</v>
      </c>
      <c r="B11972" s="2" t="str">
        <f>IFERROR(__xludf.DUMMYFUNCTION("GOOGLETRANSLATE(A11972, ""en"", ""mt"")"),"Hemm tmien ringieli ta 'pettnijiet li jimxu minn ħdejn il-ħalq sat-tarf oppost, u huma spazjati b'mod uniformi mal-ġisem. Il- ""Combs"" jegħlbu f'ritmu metakronali pjuttost bħal dak ta 'mewġa Messikana. Minn kull balancer fl-istatocyst, kanal ciliary jisp"&amp;"iċċa taħt il-koppla u mbagħad jinqasam biex jgħaqqad ma 'żewġ ringieli tal-moxt li jmissu magħhom, u f'xi speċi jimxu fit-triq kollha tul ir-ringieli tal-moxt. Dan jifforma sistema mekkanika għat-trasmissjoni tar-ritmu ta 'taħbit mill-pettnijiet lill-bila"&amp;"nċjaturi, permezz ta' disturbi fl-ilma maħluqa miċ-ċili.")</f>
        <v>Hemm tmien ringieli ta 'pettnijiet li jimxu minn ħdejn il-ħalq sat-tarf oppost, u huma spazjati b'mod uniformi mal-ġisem. Il- "Combs" jegħlbu f'ritmu metakronali pjuttost bħal dak ta 'mewġa Messikana. Minn kull balancer fl-istatocyst, kanal ciliary jispiċċa taħt il-koppla u mbagħad jinqasam biex jgħaqqad ma 'żewġ ringieli tal-moxt li jmissu magħhom, u f'xi speċi jimxu fit-triq kollha tul ir-ringieli tal-moxt. Dan jifforma sistema mekkanika għat-trasmissjoni tar-ritmu ta 'taħbit mill-pettnijiet lill-bilanċjaturi, permezz ta' disturbi fl-ilma maħluqa miċ-ċili.</v>
      </c>
    </row>
    <row r="11973" ht="15.75" customHeight="1">
      <c r="A11973" s="2" t="s">
        <v>11973</v>
      </c>
      <c r="B11973" s="2" t="str">
        <f>IFERROR(__xludf.DUMMYFUNCTION("GOOGLETRANSLATE(A11973, ""en"", ""mt"")"),"Fejn reġgħet lura Tesla fl-1873?")</f>
        <v>Fejn reġgħet lura Tesla fl-1873?</v>
      </c>
    </row>
    <row r="11974" ht="15.75" customHeight="1">
      <c r="A11974" s="2" t="s">
        <v>11974</v>
      </c>
      <c r="B11974" s="2" t="str">
        <f>IFERROR(__xludf.DUMMYFUNCTION("GOOGLETRANSLATE(A11974, ""en"", ""mt"")"),"L-Iran għen liema tip ta 'gruppi fl-Iraq?")</f>
        <v>L-Iran għen liema tip ta 'gruppi fl-Iraq?</v>
      </c>
    </row>
    <row r="11975" ht="15.75" customHeight="1">
      <c r="A11975" s="2" t="s">
        <v>11975</v>
      </c>
      <c r="B11975" s="2" t="str">
        <f>IFERROR(__xludf.DUMMYFUNCTION("GOOGLETRANSLATE(A11975, ""en"", ""mt"")"),"infanterija")</f>
        <v>infanterija</v>
      </c>
    </row>
    <row r="11976" ht="15.75" customHeight="1">
      <c r="A11976" s="2" t="s">
        <v>11976</v>
      </c>
      <c r="B11976" s="2" t="str">
        <f>IFERROR(__xludf.DUMMYFUNCTION("GOOGLETRANSLATE(A11976, ""en"", ""mt"")"),"Istitut Edukattiv tal-Iskozja")</f>
        <v>Istitut Edukattiv tal-Iskozja</v>
      </c>
    </row>
    <row r="11977" ht="15.75" customHeight="1">
      <c r="A11977" s="2" t="s">
        <v>11977</v>
      </c>
      <c r="B11977" s="2" t="str">
        <f>IFERROR(__xludf.DUMMYFUNCTION("GOOGLETRANSLATE(A11977, ""en"", ""mt"")"),"lejliet il-Milied")</f>
        <v>lejliet il-Milied</v>
      </c>
    </row>
    <row r="11978" ht="15.75" customHeight="1">
      <c r="A11978" s="2" t="s">
        <v>11978</v>
      </c>
      <c r="B11978" s="2" t="str">
        <f>IFERROR(__xludf.DUMMYFUNCTION("GOOGLETRANSLATE(A11978, ""en"", ""mt"")"),"Liema persuni ma tħallewx joqgħodu fi Franza l-ġdida?")</f>
        <v>Liema persuni ma tħallewx joqgħodu fi Franza l-ġdida?</v>
      </c>
    </row>
    <row r="11979" ht="15.75" customHeight="1">
      <c r="A11979" s="2" t="s">
        <v>11979</v>
      </c>
      <c r="B11979" s="2" t="str">
        <f>IFERROR(__xludf.DUMMYFUNCTION("GOOGLETRANSLATE(A11979, ""en"", ""mt"")"),"żgħir")</f>
        <v>żgħir</v>
      </c>
    </row>
    <row r="11980" ht="15.75" customHeight="1">
      <c r="A11980" s="2" t="s">
        <v>11980</v>
      </c>
      <c r="B11980" s="2" t="str">
        <f>IFERROR(__xludf.DUMMYFUNCTION("GOOGLETRANSLATE(A11980, ""en"", ""mt"")"),"Fl-2010")</f>
        <v>Fl-2010</v>
      </c>
    </row>
    <row r="11981" ht="15.75" customHeight="1">
      <c r="A11981" s="2" t="s">
        <v>11981</v>
      </c>
      <c r="B11981" s="2" t="str">
        <f>IFERROR(__xludf.DUMMYFUNCTION("GOOGLETRANSLATE(A11981, ""en"", ""mt"")"),"Madwar 850")</f>
        <v>Madwar 850</v>
      </c>
    </row>
    <row r="11982" ht="15.75" customHeight="1">
      <c r="A11982" s="2" t="s">
        <v>11982</v>
      </c>
      <c r="B11982" s="2" t="str">
        <f>IFERROR(__xludf.DUMMYFUNCTION("GOOGLETRANSLATE(A11982, ""en"", ""mt"")"),"Min ma jiħux pożizzjoni dwar il-kanoniċità ta 'Doctor Who Stories minn Media oħra?")</f>
        <v>Min ma jiħux pożizzjoni dwar il-kanoniċità ta 'Doctor Who Stories minn Media oħra?</v>
      </c>
    </row>
    <row r="11983" ht="15.75" customHeight="1">
      <c r="A11983" s="2" t="s">
        <v>11983</v>
      </c>
      <c r="B11983" s="2" t="str">
        <f>IFERROR(__xludf.DUMMYFUNCTION("GOOGLETRANSLATE(A11983, ""en"", ""mt"")"),"Arranġament ġdid tat-tema, għal darb'oħra minn Gold, ġie introdott fl-episodju speċjali tal-Milied tal-2007, ""Vjaġġ tad-Damned""; Id-deheb irritorna bħala kompożitur għas-serje tal-2010. Huwa kien responsabbli għal verżjoni ġdida tat-tema li kienet irrap"&amp;"purtata li kellha riċeviment ostili minn xi telespettaturi. Fl-2011, l-intonazzjoni tat-tema kienet miktuba fuq in-numru 228 tal-istazzjon tar-radju Classic FM's Hall of Fame, stħarriġ ta 'gosti tal-mużika klassika. Verżjoni riveduta tal-arranġament tal-2"&amp;"010 tad-Deheb kellha d-debutt tagħha fuq it-titli tal-ftuħ tal-2012 tal-Milied speċjali ""The Snowmen"", u saret reviżjoni oħra tal-arranġament għall-50 anniversarju speċjali ""The Day of the Doctor"" f'Novembru 2013. [[ ċitazzjoni meħtieġa]")</f>
        <v>Arranġament ġdid tat-tema, għal darb'oħra minn Gold, ġie introdott fl-episodju speċjali tal-Milied tal-2007, "Vjaġġ tad-Damned"; Id-deheb irritorna bħala kompożitur għas-serje tal-2010. Huwa kien responsabbli għal verżjoni ġdida tat-tema li kienet irrappurtata li kellha riċeviment ostili minn xi telespettaturi. Fl-2011, l-intonazzjoni tat-tema kienet miktuba fuq in-numru 228 tal-istazzjon tar-radju Classic FM's Hall of Fame, stħarriġ ta 'gosti tal-mużika klassika. Verżjoni riveduta tal-arranġament tal-2010 tad-Deheb kellha d-debutt tagħha fuq it-titli tal-ftuħ tal-2012 tal-Milied speċjali "The Snowmen", u saret reviżjoni oħra tal-arranġament għall-50 anniversarju speċjali "The Day of the Doctor" f'Novembru 2013. [[ ċitazzjoni meħtieġa]</v>
      </c>
    </row>
    <row r="11984" ht="15.75" customHeight="1">
      <c r="A11984" s="2" t="s">
        <v>11984</v>
      </c>
      <c r="B11984" s="2" t="str">
        <f>IFERROR(__xludf.DUMMYFUNCTION("GOOGLETRANSLATE(A11984, ""en"", ""mt"")"),"Il-Maroons jikkompetu fid-Diviżjoni III tal-NCAA bħala membri tal-Assoċjazzjoni tal-Atletika tal-Università (UAA). L-università kienet membru fundatur tal-Big Ten Conference u pparteċipat fil-basketball tal-irġiel u l-futbol tal-irġiel tad-Diviżjoni I tal"&amp;"-NCAA u kienet parteċipant regolari fil-kampjonat tal-basketball tal-irġiel. Fl-1935, l-Università ta ’Chicago laħqet il-ħelu sittax. Fl-1935, il-plejer tal-futbol ta 'Chicago Maroons Jay Berwanger sar l-ewwel rebbieħ tat-Trofew Heisman. Madankollu, l-uni"&amp;"versità għażlet li tirtira mill-konferenza fl-1946 wara li l-President tal-Università Robert Maynard Hutchins de-enfasizza l-atletika tal-varsity fl-1939 u waqqa 'l-futbol. (Fl-1969, Chicago reġgħet daħlet il-futbol bħala tim tad-Diviżjoni III, u terġa 't"&amp;"ilgħab il-logħob tad-dar tagħha fil-Field Stagg il-ġdid.)")</f>
        <v>Il-Maroons jikkompetu fid-Diviżjoni III tal-NCAA bħala membri tal-Assoċjazzjoni tal-Atletika tal-Università (UAA). L-università kienet membru fundatur tal-Big Ten Conference u pparteċipat fil-basketball tal-irġiel u l-futbol tal-irġiel tad-Diviżjoni I tal-NCAA u kienet parteċipant regolari fil-kampjonat tal-basketball tal-irġiel. Fl-1935, l-Università ta ’Chicago laħqet il-ħelu sittax. Fl-1935, il-plejer tal-futbol ta 'Chicago Maroons Jay Berwanger sar l-ewwel rebbieħ tat-Trofew Heisman. Madankollu, l-università għażlet li tirtira mill-konferenza fl-1946 wara li l-President tal-Università Robert Maynard Hutchins de-enfasizza l-atletika tal-varsity fl-1939 u waqqa 'l-futbol. (Fl-1969, Chicago reġgħet daħlet il-futbol bħala tim tad-Diviżjoni III, u terġa 'tilgħab il-logħob tad-dar tagħha fil-Field Stagg il-ġdid.)</v>
      </c>
    </row>
    <row r="11985" ht="15.75" customHeight="1">
      <c r="A11985" s="2" t="s">
        <v>11985</v>
      </c>
      <c r="B11985" s="2" t="str">
        <f>IFERROR(__xludf.DUMMYFUNCTION("GOOGLETRANSLATE(A11985, ""en"", ""mt"")"),"X'għandha t-tendenza li żżid il-pagi f'qasam jew pożizzjoni tax-xogħol?")</f>
        <v>X'għandha t-tendenza li żżid il-pagi f'qasam jew pożizzjoni tax-xogħol?</v>
      </c>
    </row>
    <row r="11986" ht="15.75" customHeight="1">
      <c r="A11986" s="2" t="s">
        <v>11986</v>
      </c>
      <c r="B11986" s="2" t="str">
        <f>IFERROR(__xludf.DUMMYFUNCTION("GOOGLETRANSLATE(A11986, ""en"", ""mt"")"),"tagħti")</f>
        <v>tagħti</v>
      </c>
    </row>
    <row r="11987" ht="15.75" customHeight="1">
      <c r="A11987" s="2" t="s">
        <v>11987</v>
      </c>
      <c r="B11987" s="2" t="str">
        <f>IFERROR(__xludf.DUMMYFUNCTION("GOOGLETRANSLATE(A11987, ""en"", ""mt"")"),"Newcomen")</f>
        <v>Newcomen</v>
      </c>
    </row>
    <row r="11988" ht="15.75" customHeight="1">
      <c r="A11988" s="2" t="s">
        <v>11988</v>
      </c>
      <c r="B11988" s="2" t="str">
        <f>IFERROR(__xludf.DUMMYFUNCTION("GOOGLETRANSLATE(A11988, ""en"", ""mt"")"),"servizz lill-ġar")</f>
        <v>servizz lill-ġar</v>
      </c>
    </row>
    <row r="11989" ht="15.75" customHeight="1">
      <c r="A11989" s="2" t="s">
        <v>11989</v>
      </c>
      <c r="B11989" s="2" t="str">
        <f>IFERROR(__xludf.DUMMYFUNCTION("GOOGLETRANSLATE(A11989, ""en"", ""mt"")"),"Kumplessi tal-proteini relattivament kbar")</f>
        <v>Kumplessi tal-proteini relattivament kbar</v>
      </c>
    </row>
    <row r="11990" ht="15.75" customHeight="1">
      <c r="A11990" s="2" t="s">
        <v>11990</v>
      </c>
      <c r="B11990" s="2" t="str">
        <f>IFERROR(__xludf.DUMMYFUNCTION("GOOGLETRANSLATE(A11990, ""en"", ""mt"")"),"Kemm inbidlet it-temperatura tal-arja tal-wiċċ medja globali fl-aħħar seklu?")</f>
        <v>Kemm inbidlet it-temperatura tal-arja tal-wiċċ medja globali fl-aħħar seklu?</v>
      </c>
    </row>
    <row r="11991" ht="15.75" customHeight="1">
      <c r="A11991" s="2" t="s">
        <v>11991</v>
      </c>
      <c r="B11991" s="2" t="str">
        <f>IFERROR(__xludf.DUMMYFUNCTION("GOOGLETRANSLATE(A11991, ""en"", ""mt"")"),"permess ta 'okkupazzjoni")</f>
        <v>permess ta 'okkupazzjoni</v>
      </c>
    </row>
    <row r="11992" ht="15.75" customHeight="1">
      <c r="A11992" s="2" t="s">
        <v>11992</v>
      </c>
      <c r="B11992" s="2" t="str">
        <f>IFERROR(__xludf.DUMMYFUNCTION("GOOGLETRANSLATE(A11992, ""en"", ""mt"")"),"Kemm-il btieħi kisbu l-interċettazzjoni meta l-ballun ġie mwarrab minn Manning?")</f>
        <v>Kemm-il btieħi kisbu l-interċettazzjoni meta l-ballun ġie mwarrab minn Manning?</v>
      </c>
    </row>
    <row r="11993" ht="15.75" customHeight="1">
      <c r="A11993" s="2" t="s">
        <v>11993</v>
      </c>
      <c r="B11993" s="2" t="str">
        <f>IFERROR(__xludf.DUMMYFUNCTION("GOOGLETRANSLATE(A11993, ""en"", ""mt"")"),"X'tip ta 'moviment hija l-Fratellanza Musulmana?")</f>
        <v>X'tip ta 'moviment hija l-Fratellanza Musulmana?</v>
      </c>
    </row>
    <row r="11994" ht="15.75" customHeight="1">
      <c r="A11994" s="2" t="s">
        <v>11994</v>
      </c>
      <c r="B11994" s="2" t="str">
        <f>IFERROR(__xludf.DUMMYFUNCTION("GOOGLETRANSLATE(A11994, ""en"", ""mt"")"),"Liema għargħar kellu impatt fuq il-meuse?")</f>
        <v>Liema għargħar kellu impatt fuq il-meuse?</v>
      </c>
    </row>
    <row r="11995" ht="15.75" customHeight="1">
      <c r="A11995" s="2" t="s">
        <v>11995</v>
      </c>
      <c r="B11995" s="2" t="str">
        <f>IFERROR(__xludf.DUMMYFUNCTION("GOOGLETRANSLATE(A11995, ""en"", ""mt"")"),"kompletament simboliku")</f>
        <v>kompletament simboliku</v>
      </c>
    </row>
    <row r="11996" ht="15.75" customHeight="1">
      <c r="A11996" s="2" t="s">
        <v>11996</v>
      </c>
      <c r="B11996" s="2" t="str">
        <f>IFERROR(__xludf.DUMMYFUNCTION("GOOGLETRANSLATE(A11996, ""en"", ""mt"")"),"Meta tikkunsidra problemi tal-komputazzjoni, problema ta 'problema hija sekwenza fuq alfabett. Normalment, l-alfabett jittieħed bħala l-alfabett binarju (i.e., is-sett {0,1}), u għalhekk il-kordi huma bitstrings. Bħal f'kompjuter tad-dinja reali, oġġetti "&amp;"matematiċi minbarra l-bitstrings għandhom ikunu kodifikati b'mod xieraq. Pereżempju, numri interi jistgħu jiġu rrappreżentati f'notazzjoni binarja, u l-graffs jistgħu jiġu kkodifikati direttament permezz tal-matriċi ta 'aġġustanza tagħhom, jew billi jikko"&amp;"difikaw il-listi ta' aġġustanza tagħhom b'mod binarju.")</f>
        <v>Meta tikkunsidra problemi tal-komputazzjoni, problema ta 'problema hija sekwenza fuq alfabett. Normalment, l-alfabett jittieħed bħala l-alfabett binarju (i.e., is-sett {0,1}), u għalhekk il-kordi huma bitstrings. Bħal f'kompjuter tad-dinja reali, oġġetti matematiċi minbarra l-bitstrings għandhom ikunu kodifikati b'mod xieraq. Pereżempju, numri interi jistgħu jiġu rrappreżentati f'notazzjoni binarja, u l-graffs jistgħu jiġu kkodifikati direttament permezz tal-matriċi ta 'aġġustanza tagħhom, jew billi jikkodifikaw il-listi ta' aġġustanza tagħhom b'mod binarju.</v>
      </c>
    </row>
    <row r="11997" ht="15.75" customHeight="1">
      <c r="A11997" s="2" t="s">
        <v>11997</v>
      </c>
      <c r="B11997" s="2" t="str">
        <f>IFERROR(__xludf.DUMMYFUNCTION("GOOGLETRANSLATE(A11997, ""en"", ""mt"")"),"1966")</f>
        <v>1966</v>
      </c>
    </row>
    <row r="11998" ht="15.75" customHeight="1">
      <c r="A11998" s="2" t="s">
        <v>11998</v>
      </c>
      <c r="B11998" s="2" t="str">
        <f>IFERROR(__xludf.DUMMYFUNCTION("GOOGLETRANSLATE(A11998, ""en"", ""mt"")"),"L-immaġni tat-Tardis saret marbuta sew mal-ispettaklu fil-kuxjenza tal-pubbliku; Il-kittieb tal-BBC Anthony Coburn, li kien jgħix fil-lokalità ta ’Herne Bay, Kent, kien wieħed mill-persuni li ħasbu l-idea ta’ kaxxa tal-pulizija bħala magna tal-ħin. Fl-199"&amp;"6, il-BBC applikat għal trade mark biex tuża d-disinn tal-kaxxa tal-pulizija blu Tardis fil-merchandising assoċjata ma 'Doctor Who. Fl-1998, l-Awtorità tal-Pulizija Metropolitana ressqet oġġezzjoni għat-talba tat-trade mark; Iżda fl-2002, l-Uffiċċju tal-P"&amp;"rivattivi ddeċieda favur il-BBC.")</f>
        <v>L-immaġni tat-Tardis saret marbuta sew mal-ispettaklu fil-kuxjenza tal-pubbliku; Il-kittieb tal-BBC Anthony Coburn, li kien jgħix fil-lokalità ta ’Herne Bay, Kent, kien wieħed mill-persuni li ħasbu l-idea ta’ kaxxa tal-pulizija bħala magna tal-ħin. Fl-1996, il-BBC applikat għal trade mark biex tuża d-disinn tal-kaxxa tal-pulizija blu Tardis fil-merchandising assoċjata ma 'Doctor Who. Fl-1998, l-Awtorità tal-Pulizija Metropolitana ressqet oġġezzjoni għat-talba tat-trade mark; Iżda fl-2002, l-Uffiċċju tal-Privattivi ddeċieda favur il-BBC.</v>
      </c>
    </row>
    <row r="11999" ht="15.75" customHeight="1">
      <c r="A11999" s="2" t="s">
        <v>11999</v>
      </c>
      <c r="B11999" s="2" t="str">
        <f>IFERROR(__xludf.DUMMYFUNCTION("GOOGLETRANSLATE(A11999, ""en"", ""mt"")"),"Min ingħata l-istatus stmat ta 'MVP għal Super Bowl 50?")</f>
        <v>Min ingħata l-istatus stmat ta 'MVP għal Super Bowl 50?</v>
      </c>
    </row>
    <row r="12000" ht="15.75" customHeight="1">
      <c r="A12000" s="2" t="s">
        <v>12000</v>
      </c>
      <c r="B12000" s="2" t="str">
        <f>IFERROR(__xludf.DUMMYFUNCTION("GOOGLETRANSLATE(A12000, ""en"", ""mt"")"),"X'kienet is-sinifikat tar-rebħa Ingliża?")</f>
        <v>X'kienet is-sinifikat tar-rebħa Ingliża?</v>
      </c>
    </row>
    <row r="12001" ht="15.75" customHeight="1">
      <c r="A12001" s="2" t="s">
        <v>12001</v>
      </c>
      <c r="B12001" s="2" t="str">
        <f>IFERROR(__xludf.DUMMYFUNCTION("GOOGLETRANSLATE(A12001, ""en"", ""mt"")"),"Kontra dak li jilgħab l-ossiġnu reattiv fid-difiża tal-pjanti?")</f>
        <v>Kontra dak li jilgħab l-ossiġnu reattiv fid-difiża tal-pjanti?</v>
      </c>
    </row>
    <row r="12002" ht="15.75" customHeight="1">
      <c r="A12002" s="2" t="s">
        <v>12002</v>
      </c>
      <c r="B12002" s="2" t="str">
        <f>IFERROR(__xludf.DUMMYFUNCTION("GOOGLETRANSLATE(A12002, ""en"", ""mt"")"),"Fl-1785 James Hutton ippreżenta liema dokument lis-Soċjetà Irjali ta 'Edinburgh?")</f>
        <v>Fl-1785 James Hutton ippreżenta liema dokument lis-Soċjetà Irjali ta 'Edinburgh?</v>
      </c>
    </row>
    <row r="12003" ht="15.75" customHeight="1">
      <c r="A12003" s="2" t="s">
        <v>12003</v>
      </c>
      <c r="B12003" s="2" t="str">
        <f>IFERROR(__xludf.DUMMYFUNCTION("GOOGLETRANSLATE(A12003, ""en"", ""mt"")"),"Chuck Howley")</f>
        <v>Chuck Howley</v>
      </c>
    </row>
    <row r="12004" ht="15.75" customHeight="1">
      <c r="A12004" s="2" t="s">
        <v>12004</v>
      </c>
      <c r="B12004" s="2" t="str">
        <f>IFERROR(__xludf.DUMMYFUNCTION("GOOGLETRANSLATE(A12004, ""en"", ""mt"")"),"Mhux konservattiv")</f>
        <v>Mhux konservattiv</v>
      </c>
    </row>
    <row r="12005" ht="15.75" customHeight="1">
      <c r="A12005" s="2" t="s">
        <v>12005</v>
      </c>
      <c r="B12005" s="2" t="str">
        <f>IFERROR(__xludf.DUMMYFUNCTION("GOOGLETRANSLATE(A12005, ""en"", ""mt"")"),"X'kien il-partit ta 'ħidma presidenzjali fit-tieni università kkummissjonat biex jagħmel?")</f>
        <v>X'kien il-partit ta 'ħidma presidenzjali fit-tieni università kkummissjonat biex jagħmel?</v>
      </c>
    </row>
    <row r="12006" ht="15.75" customHeight="1">
      <c r="A12006" s="2" t="s">
        <v>12006</v>
      </c>
      <c r="B12006" s="2" t="str">
        <f>IFERROR(__xludf.DUMMYFUNCTION("GOOGLETRANSLATE(A12006, ""en"", ""mt"")"),"Liema kumpanija laħqet ftehim biex tgħaddi wkoll l-affiljati ABC tagħha?")</f>
        <v>Liema kumpanija laħqet ftehim biex tgħaddi wkoll l-affiljati ABC tagħha?</v>
      </c>
    </row>
    <row r="12007" ht="15.75" customHeight="1">
      <c r="A12007" s="2" t="s">
        <v>12007</v>
      </c>
      <c r="B12007" s="2" t="str">
        <f>IFERROR(__xludf.DUMMYFUNCTION("GOOGLETRANSLATE(A12007, ""en"", ""mt"")"),"miżmuma jegħleb sekulari jew li kienu introduċew jew ippromwovu ideat u prattiki tal-Punent / barranin fis-soċjetajiet Iżlamiċi")</f>
        <v>miżmuma jegħleb sekulari jew li kienu introduċew jew ippromwovu ideat u prattiki tal-Punent / barranin fis-soċjetajiet Iżlamiċi</v>
      </c>
    </row>
    <row r="12008" ht="15.75" customHeight="1">
      <c r="A12008" s="2" t="s">
        <v>12008</v>
      </c>
      <c r="B12008" s="2" t="str">
        <f>IFERROR(__xludf.DUMMYFUNCTION("GOOGLETRANSLATE(A12008, ""en"", ""mt"")"),"Liema missjoni fl-aħħar Schmitt żbarka fuq il-qamar?")</f>
        <v>Liema missjoni fl-aħħar Schmitt żbarka fuq il-qamar?</v>
      </c>
    </row>
    <row r="12009" ht="15.75" customHeight="1">
      <c r="A12009" s="2" t="s">
        <v>12009</v>
      </c>
      <c r="B12009" s="2" t="str">
        <f>IFERROR(__xludf.DUMMYFUNCTION("GOOGLETRANSLATE(A12009, ""en"", ""mt"")"),"Il-Knisja Parrokkjali ta ’St Andrew hija")</f>
        <v>Il-Knisja Parrokkjali ta ’St Andrew hija</v>
      </c>
    </row>
    <row r="12010" ht="15.75" customHeight="1">
      <c r="A12010" s="2" t="s">
        <v>12010</v>
      </c>
      <c r="B12010" s="2" t="str">
        <f>IFERROR(__xludf.DUMMYFUNCTION("GOOGLETRANSLATE(A12010, ""en"", ""mt"")"),"qawwi")</f>
        <v>qawwi</v>
      </c>
    </row>
    <row r="12011" ht="15.75" customHeight="1">
      <c r="A12011" s="2" t="s">
        <v>12011</v>
      </c>
      <c r="B12011" s="2" t="str">
        <f>IFERROR(__xludf.DUMMYFUNCTION("GOOGLETRANSLATE(A12011, ""en"", ""mt"")"),"il-biċċiera tiegħu")</f>
        <v>il-biċċiera tiegħu</v>
      </c>
    </row>
    <row r="12012" ht="15.75" customHeight="1">
      <c r="A12012" s="2" t="s">
        <v>12012</v>
      </c>
      <c r="B12012" s="2" t="str">
        <f>IFERROR(__xludf.DUMMYFUNCTION("GOOGLETRANSLATE(A12012, ""en"", ""mt"")"),"Ctenophora huma inqas kumplessi minn liema phylum ieħor?")</f>
        <v>Ctenophora huma inqas kumplessi minn liema phylum ieħor?</v>
      </c>
    </row>
    <row r="12013" ht="15.75" customHeight="1">
      <c r="A12013" s="2" t="s">
        <v>12013</v>
      </c>
      <c r="B12013" s="2" t="str">
        <f>IFERROR(__xludf.DUMMYFUNCTION("GOOGLETRANSLATE(A12013, ""en"", ""mt"")"),"Count Ludwig von Nassau-Saarbrücken")</f>
        <v>Count Ludwig von Nassau-Saarbrücken</v>
      </c>
    </row>
    <row r="12014" ht="15.75" customHeight="1">
      <c r="A12014" s="2" t="s">
        <v>12014</v>
      </c>
      <c r="B12014" s="2" t="str">
        <f>IFERROR(__xludf.DUMMYFUNCTION("GOOGLETRANSLATE(A12014, ""en"", ""mt"")"),"Meta kienet Operation Market Garden?")</f>
        <v>Meta kienet Operation Market Garden?</v>
      </c>
    </row>
    <row r="12015" ht="15.75" customHeight="1">
      <c r="A12015" s="2" t="s">
        <v>12015</v>
      </c>
      <c r="B12015" s="2" t="str">
        <f>IFERROR(__xludf.DUMMYFUNCTION("GOOGLETRANSLATE(A12015, ""en"", ""mt"")"),"seklu tmintax,")</f>
        <v>seklu tmintax,</v>
      </c>
    </row>
    <row r="12016" ht="15.75" customHeight="1">
      <c r="A12016" s="2" t="s">
        <v>12016</v>
      </c>
      <c r="B12016" s="2" t="str">
        <f>IFERROR(__xludf.DUMMYFUNCTION("GOOGLETRANSLATE(A12016, ""en"", ""mt"")"),"Meta kienet il-kriżi tar-Rhine?")</f>
        <v>Meta kienet il-kriżi tar-Rhine?</v>
      </c>
    </row>
    <row r="12017" ht="15.75" customHeight="1">
      <c r="A12017" s="2" t="s">
        <v>12017</v>
      </c>
      <c r="B12017" s="2" t="str">
        <f>IFERROR(__xludf.DUMMYFUNCTION("GOOGLETRANSLATE(A12017, ""en"", ""mt"")"),"Fejn baqgħu truppi Amerikani stazzjonati wara t-telfa ta 'Saddam?")</f>
        <v>Fejn baqgħu truppi Amerikani stazzjonati wara t-telfa ta 'Saddam?</v>
      </c>
    </row>
    <row r="12018" ht="15.75" customHeight="1">
      <c r="A12018" s="2" t="s">
        <v>12018</v>
      </c>
      <c r="B12018" s="2" t="str">
        <f>IFERROR(__xludf.DUMMYFUNCTION("GOOGLETRANSLATE(A12018, ""en"", ""mt"")"),"Viking")</f>
        <v>Viking</v>
      </c>
    </row>
    <row r="12019" ht="15.75" customHeight="1">
      <c r="A12019" s="2" t="s">
        <v>12019</v>
      </c>
      <c r="B12019" s="2" t="str">
        <f>IFERROR(__xludf.DUMMYFUNCTION("GOOGLETRANSLATE(A12019, ""en"", ""mt"")"),"1948")</f>
        <v>1948</v>
      </c>
    </row>
    <row r="12020" ht="15.75" customHeight="1">
      <c r="A12020" s="2" t="s">
        <v>12020</v>
      </c>
      <c r="B12020" s="2" t="str">
        <f>IFERROR(__xludf.DUMMYFUNCTION("GOOGLETRANSLATE(A12020, ""en"", ""mt"")"),"Susan Foreman")</f>
        <v>Susan Foreman</v>
      </c>
    </row>
    <row r="12021" ht="15.75" customHeight="1">
      <c r="A12021" s="2" t="s">
        <v>12021</v>
      </c>
      <c r="B12021" s="2" t="str">
        <f>IFERROR(__xludf.DUMMYFUNCTION("GOOGLETRANSLATE(A12021, ""en"", ""mt"")"),"primes li huma uniċi sa l-ordni")</f>
        <v>primes li huma uniċi sa l-ordni</v>
      </c>
    </row>
    <row r="12022" ht="15.75" customHeight="1">
      <c r="A12022" s="2" t="s">
        <v>12022</v>
      </c>
      <c r="B12022" s="2" t="str">
        <f>IFERROR(__xludf.DUMMYFUNCTION("GOOGLETRANSLATE(A12022, ""en"", ""mt"")"),"Untersee")</f>
        <v>Untersee</v>
      </c>
    </row>
    <row r="12023" ht="15.75" customHeight="1">
      <c r="A12023" s="2" t="s">
        <v>12023</v>
      </c>
      <c r="B12023" s="2" t="str">
        <f>IFERROR(__xludf.DUMMYFUNCTION("GOOGLETRANSLATE(A12023, ""en"", ""mt"")"),"In-Netwerk tax-Xjenza tal-Kompjuter")</f>
        <v>In-Netwerk tax-Xjenza tal-Kompjuter</v>
      </c>
    </row>
    <row r="12024" ht="15.75" customHeight="1">
      <c r="A12024" s="2" t="s">
        <v>12024</v>
      </c>
      <c r="B12024" s="2" t="str">
        <f>IFERROR(__xludf.DUMMYFUNCTION("GOOGLETRANSLATE(A12024, ""en"", ""mt"")"),"cuticle tax-xama '")</f>
        <v>cuticle tax-xama '</v>
      </c>
    </row>
    <row r="12025" ht="15.75" customHeight="1">
      <c r="A12025" s="2" t="s">
        <v>12025</v>
      </c>
      <c r="B12025" s="2" t="str">
        <f>IFERROR(__xludf.DUMMYFUNCTION("GOOGLETRANSLATE(A12025, ""en"", ""mt"")"),"Ottubru 1948")</f>
        <v>Ottubru 1948</v>
      </c>
    </row>
    <row r="12026" ht="15.75" customHeight="1">
      <c r="A12026" s="2" t="s">
        <v>12026</v>
      </c>
      <c r="B12026" s="2" t="str">
        <f>IFERROR(__xludf.DUMMYFUNCTION("GOOGLETRANSLATE(A12026, ""en"", ""mt"")"),"Matul is-sekli, il-kosta tal-Kenja lagħbet ospitanti għal ħafna negozjanti u esploraturi. Fost il-bliet li jillinjaw il-kosta tal-Kenja hemm il-belt ta 'Malindi. Huwa baqa 'soluzzjoni importanti tas-Swaħili mis-seklu 14 u darba kkontesta lil Mombasa għad-"&amp;"dominanza fir-reġjun tal-Lagi l-Kbar Afrikani. Malindi tradizzjonalment kien belt tal-port ta 'ħbiberija għal poteri barranin. Fl-1414, in-negozjant Ċiniż u l-esploratur Zheng li jirrappreżenta d-dinastija Ming żar il-kosta tal-Afrika tal-Lvant f'wieħed m"&amp;"ill-aħħar ""vjaġġi tat-teżor"" tiegħu. L-awtoritajiet ta 'Malindi laqgħu l-esploratur Portugiż Vasco da Gama fl-1498.")</f>
        <v>Matul is-sekli, il-kosta tal-Kenja lagħbet ospitanti għal ħafna negozjanti u esploraturi. Fost il-bliet li jillinjaw il-kosta tal-Kenja hemm il-belt ta 'Malindi. Huwa baqa 'soluzzjoni importanti tas-Swaħili mis-seklu 14 u darba kkontesta lil Mombasa għad-dominanza fir-reġjun tal-Lagi l-Kbar Afrikani. Malindi tradizzjonalment kien belt tal-port ta 'ħbiberija għal poteri barranin. Fl-1414, in-negozjant Ċiniż u l-esploratur Zheng li jirrappreżenta d-dinastija Ming żar il-kosta tal-Afrika tal-Lvant f'wieħed mill-aħħar "vjaġġi tat-teżor" tiegħu. L-awtoritajiet ta 'Malindi laqgħu l-esploratur Portugiż Vasco da Gama fl-1498.</v>
      </c>
    </row>
    <row r="12027" ht="15.75" customHeight="1">
      <c r="A12027" s="2" t="s">
        <v>12027</v>
      </c>
      <c r="B12027" s="2" t="str">
        <f>IFERROR(__xludf.DUMMYFUNCTION("GOOGLETRANSLATE(A12027, ""en"", ""mt"")"),"""Ċaħda tal-kapaċità""")</f>
        <v>"Ċaħda tal-kapaċità"</v>
      </c>
    </row>
    <row r="12028" ht="15.75" customHeight="1">
      <c r="A12028" s="2" t="s">
        <v>12028</v>
      </c>
      <c r="B12028" s="2" t="str">
        <f>IFERROR(__xludf.DUMMYFUNCTION("GOOGLETRANSLATE(A12028, ""en"", ""mt"")"),"X'tip ta 'destinazzjoni hija ż-żona madwar il-monument ta' Gray?")</f>
        <v>X'tip ta 'destinazzjoni hija ż-żona madwar il-monument ta' Gray?</v>
      </c>
    </row>
    <row r="12029" ht="15.75" customHeight="1">
      <c r="A12029" s="2" t="s">
        <v>12029</v>
      </c>
      <c r="B12029" s="2" t="str">
        <f>IFERROR(__xludf.DUMMYFUNCTION("GOOGLETRANSLATE(A12029, ""en"", ""mt"")"),"Tnaqqis fil-prezz tax-xogħol tas-sengħa")</f>
        <v>Tnaqqis fil-prezz tax-xogħol tas-sengħa</v>
      </c>
    </row>
    <row r="12030" ht="15.75" customHeight="1">
      <c r="A12030" s="2" t="s">
        <v>12030</v>
      </c>
      <c r="B12030" s="2" t="str">
        <f>IFERROR(__xludf.DUMMYFUNCTION("GOOGLETRANSLATE(A12030, ""en"", ""mt"")"),"Tissottometti l-inċertezza assoċjata mal-mudelli tal-klima")</f>
        <v>Tissottometti l-inċertezza assoċjata mal-mudelli tal-klima</v>
      </c>
    </row>
    <row r="12031" ht="15.75" customHeight="1">
      <c r="A12031" s="2" t="s">
        <v>12031</v>
      </c>
      <c r="B12031" s="2" t="str">
        <f>IFERROR(__xludf.DUMMYFUNCTION("GOOGLETRANSLATE(A12031, ""en"", ""mt"")"),"ir-rata tat-taxxa")</f>
        <v>ir-rata tat-taxxa</v>
      </c>
    </row>
    <row r="12032" ht="15.75" customHeight="1">
      <c r="A12032" s="2" t="s">
        <v>12032</v>
      </c>
      <c r="B12032" s="2" t="str">
        <f>IFERROR(__xludf.DUMMYFUNCTION("GOOGLETRANSLATE(A12032, ""en"", ""mt"")"),"Fis-6 ta ’Novembru 1915, rapport tal-aġenzija tal-aħbarijiet ta’ Reuters minn Londra kellu l-Premju Nobel fil-Fiżika tal-1915 mogħti lil Thomas Edison u Nikola Tesla; Madankollu, fil-15 ta 'Novembru, storja ta' Reuters minn Stokkolma ddikjarat il-premju l"&amp;"i kienet qed tingħata lil Sir William Henry Bragg u William Lawrence Bragg ""għas-servizzi tagħhom fl-analiżi tal-istruttura tal-kristall permezz ta 'raġġi X."": 245 kien hemm Xnigħat mhux sostanzjati fil-ħin li Tesla u / jew Edison kienu rrifjutaw il-pre"&amp;"mju. ; riċevitur jista 'jirrifjuta biss Premju Nobel wara li jkun ħabbar rebbieħ.:245")</f>
        <v>Fis-6 ta ’Novembru 1915, rapport tal-aġenzija tal-aħbarijiet ta’ Reuters minn Londra kellu l-Premju Nobel fil-Fiżika tal-1915 mogħti lil Thomas Edison u Nikola Tesla; Madankollu, fil-15 ta 'Novembru, storja ta' Reuters minn Stokkolma ddikjarat il-premju li kienet qed tingħata lil Sir William Henry Bragg u William Lawrence Bragg "għas-servizzi tagħhom fl-analiżi tal-istruttura tal-kristall permezz ta 'raġġi X.": 245 kien hemm Xnigħat mhux sostanzjati fil-ħin li Tesla u / jew Edison kienu rrifjutaw il-premju. ; riċevitur jista 'jirrifjuta biss Premju Nobel wara li jkun ħabbar rebbieħ.:245</v>
      </c>
    </row>
    <row r="12033" ht="15.75" customHeight="1">
      <c r="A12033" s="2" t="s">
        <v>12033</v>
      </c>
      <c r="B12033" s="2" t="str">
        <f>IFERROR(__xludf.DUMMYFUNCTION("GOOGLETRANSLATE(A12033, ""en"", ""mt"")"),"razzjonar")</f>
        <v>razzjonar</v>
      </c>
    </row>
    <row r="12034" ht="15.75" customHeight="1">
      <c r="A12034" s="2" t="s">
        <v>12034</v>
      </c>
      <c r="B12034" s="2" t="str">
        <f>IFERROR(__xludf.DUMMYFUNCTION("GOOGLETRANSLATE(A12034, ""en"", ""mt"")"),"Battalja Navali tar-Restigouche")</f>
        <v>Battalja Navali tar-Restigouche</v>
      </c>
    </row>
    <row r="12035" ht="15.75" customHeight="1">
      <c r="A12035" s="2" t="s">
        <v>12035</v>
      </c>
      <c r="B12035" s="2" t="str">
        <f>IFERROR(__xludf.DUMMYFUNCTION("GOOGLETRANSLATE(A12035, ""en"", ""mt"")"),"X'inhu meħtieġ biex tippakkja l-elettroni densament flimkien?")</f>
        <v>X'inhu meħtieġ biex tippakkja l-elettroni densament flimkien?</v>
      </c>
    </row>
    <row r="12036" ht="15.75" customHeight="1">
      <c r="A12036" s="2" t="s">
        <v>12036</v>
      </c>
      <c r="B12036" s="2" t="str">
        <f>IFERROR(__xludf.DUMMYFUNCTION("GOOGLETRANSLATE(A12036, ""en"", ""mt"")"),"$ 5 miljun fi flus kontanti")</f>
        <v>$ 5 miljun fi flus kontanti</v>
      </c>
    </row>
    <row r="12037" ht="15.75" customHeight="1">
      <c r="A12037" s="2" t="s">
        <v>12037</v>
      </c>
      <c r="B12037" s="2" t="str">
        <f>IFERROR(__xludf.DUMMYFUNCTION("GOOGLETRANSLATE(A12037, ""en"", ""mt"")"),"Liema sena d-Denver Broncos żgura titlu ta 'Super Bowl għat-tielet darba?")</f>
        <v>Liema sena d-Denver Broncos żgura titlu ta 'Super Bowl għat-tielet darba?</v>
      </c>
    </row>
    <row r="12038" ht="15.75" customHeight="1">
      <c r="A12038" s="2" t="s">
        <v>12038</v>
      </c>
      <c r="B12038" s="2" t="str">
        <f>IFERROR(__xludf.DUMMYFUNCTION("GOOGLETRANSLATE(A12038, ""en"", ""mt"")"),"Acura")</f>
        <v>Acura</v>
      </c>
    </row>
    <row r="12039" ht="15.75" customHeight="1">
      <c r="A12039" s="2" t="s">
        <v>12039</v>
      </c>
      <c r="B12039" s="2" t="str">
        <f>IFERROR(__xludf.DUMMYFUNCTION("GOOGLETRANSLATE(A12039, ""en"", ""mt"")"),"Liema film famuż tar-Raba 'Vaganza ta' Lulju ħallas Fox biex jirreklama segwiment ta 'matul is-Super Bowl?")</f>
        <v>Liema film famuż tar-Raba 'Vaganza ta' Lulju ħallas Fox biex jirreklama segwiment ta 'matul is-Super Bowl?</v>
      </c>
    </row>
    <row r="12040" ht="15.75" customHeight="1">
      <c r="A12040" s="2" t="s">
        <v>12040</v>
      </c>
      <c r="B12040" s="2" t="str">
        <f>IFERROR(__xludf.DUMMYFUNCTION("GOOGLETRANSLATE(A12040, ""en"", ""mt"")"),"malajr u deċiżiv")</f>
        <v>malajr u deċiżiv</v>
      </c>
    </row>
    <row r="12041" ht="15.75" customHeight="1">
      <c r="A12041" s="2" t="s">
        <v>12041</v>
      </c>
      <c r="B12041" s="2" t="str">
        <f>IFERROR(__xludf.DUMMYFUNCTION("GOOGLETRANSLATE(A12041, ""en"", ""mt"")"),"ugwaljanza akbar iżda mhux dħul per capita")</f>
        <v>ugwaljanza akbar iżda mhux dħul per capita</v>
      </c>
    </row>
    <row r="12042" ht="15.75" customHeight="1">
      <c r="A12042" s="2" t="s">
        <v>12042</v>
      </c>
      <c r="B12042" s="2" t="str">
        <f>IFERROR(__xludf.DUMMYFUNCTION("GOOGLETRANSLATE(A12042, ""en"", ""mt"")"),"Min jgħix m'għadux bħala medja minn Griegi u New Zealanders?")</f>
        <v>Min jgħix m'għadux bħala medja minn Griegi u New Zealanders?</v>
      </c>
    </row>
    <row r="12043" ht="15.75" customHeight="1">
      <c r="A12043" s="2" t="s">
        <v>12043</v>
      </c>
      <c r="B12043" s="2" t="str">
        <f>IFERROR(__xludf.DUMMYFUNCTION("GOOGLETRANSLATE(A12043, ""en"", ""mt"")"),"madwar darbtejn aktar")</f>
        <v>madwar darbtejn aktar</v>
      </c>
    </row>
    <row r="12044" ht="15.75" customHeight="1">
      <c r="A12044" s="2" t="s">
        <v>12044</v>
      </c>
      <c r="B12044" s="2" t="str">
        <f>IFERROR(__xludf.DUMMYFUNCTION("GOOGLETRANSLATE(A12044, ""en"", ""mt"")"),"Minn liema kienu materjali li ħallew ftit residwu maħsub?")</f>
        <v>Minn liema kienu materjali li ħallew ftit residwu maħsub?</v>
      </c>
    </row>
    <row r="12045" ht="15.75" customHeight="1">
      <c r="A12045" s="2" t="s">
        <v>12045</v>
      </c>
      <c r="B12045" s="2" t="str">
        <f>IFERROR(__xludf.DUMMYFUNCTION("GOOGLETRANSLATE(A12045, ""en"", ""mt"")"),"Carolina")</f>
        <v>Carolina</v>
      </c>
    </row>
    <row r="12046" ht="15.75" customHeight="1">
      <c r="A12046" s="2" t="s">
        <v>12046</v>
      </c>
      <c r="B12046" s="2" t="str">
        <f>IFERROR(__xludf.DUMMYFUNCTION("GOOGLETRANSLATE(A12046, ""en"", ""mt"")"),"Min kien il-kantant maskili li mar bħala mistieden speċjali matul Super Bowl 50?")</f>
        <v>Min kien il-kantant maskili li mar bħala mistieden speċjali matul Super Bowl 50?</v>
      </c>
    </row>
    <row r="12047" ht="15.75" customHeight="1">
      <c r="A12047" s="2" t="s">
        <v>12047</v>
      </c>
      <c r="B12047" s="2" t="str">
        <f>IFERROR(__xludf.DUMMYFUNCTION("GOOGLETRANSLATE(A12047, ""en"", ""mt"")"),"Meta japplikaw it-trattati ddikjarati?")</f>
        <v>Meta japplikaw it-trattati ddikjarati?</v>
      </c>
    </row>
    <row r="12048" ht="15.75" customHeight="1">
      <c r="A12048" s="2" t="s">
        <v>12048</v>
      </c>
      <c r="B12048" s="2" t="str">
        <f>IFERROR(__xludf.DUMMYFUNCTION("GOOGLETRANSLATE(A12048, ""en"", ""mt"")"),"kolonji")</f>
        <v>kolonji</v>
      </c>
    </row>
    <row r="12049" ht="15.75" customHeight="1">
      <c r="A12049" s="2" t="s">
        <v>12049</v>
      </c>
      <c r="B12049" s="2" t="str">
        <f>IFERROR(__xludf.DUMMYFUNCTION("GOOGLETRANSLATE(A12049, ""en"", ""mt"")"),"Seamans")</f>
        <v>Seamans</v>
      </c>
    </row>
    <row r="12050" ht="15.75" customHeight="1">
      <c r="A12050" s="2" t="s">
        <v>12050</v>
      </c>
      <c r="B12050" s="2" t="str">
        <f>IFERROR(__xludf.DUMMYFUNCTION("GOOGLETRANSLATE(A12050, ""en"", ""mt"")"),"X'jieklu l-beroids?")</f>
        <v>X'jieklu l-beroids?</v>
      </c>
    </row>
    <row r="12051" ht="15.75" customHeight="1">
      <c r="A12051" s="2" t="s">
        <v>12051</v>
      </c>
      <c r="B12051" s="2" t="str">
        <f>IFERROR(__xludf.DUMMYFUNCTION("GOOGLETRANSLATE(A12051, ""en"", ""mt"")"),"il-periklu")</f>
        <v>il-periklu</v>
      </c>
    </row>
    <row r="12052" ht="15.75" customHeight="1">
      <c r="A12052" s="2" t="s">
        <v>12052</v>
      </c>
      <c r="B12052" s="2" t="str">
        <f>IFERROR(__xludf.DUMMYFUNCTION("GOOGLETRANSLATE(A12052, ""en"", ""mt"")"),"In-Nofsinhar ta ’California tikkonsisti f’waħda mill-kollezzjonijiet l-aktar varjati ta’ pajsaġġi ta ’ekosistema ġeoloġika, topografika u naturali f’diversità li taqbeż reġjuni ewlenin oħra fl-istat u fil-pajjiż. Ir-reġjun jifrex mill-gżejjer tal-Oċean Pa"&amp;"ċifiku, xtut, bajjiet, u pjanuri kostali, permezz tal-meded trasversali u peninsulari bil-qċaċet tagħhom, fil-widien interni kbar u żgħar, għad-deżerti vasti ta 'California.")</f>
        <v>In-Nofsinhar ta ’California tikkonsisti f’waħda mill-kollezzjonijiet l-aktar varjati ta’ pajsaġġi ta ’ekosistema ġeoloġika, topografika u naturali f’diversità li taqbeż reġjuni ewlenin oħra fl-istat u fil-pajjiż. Ir-reġjun jifrex mill-gżejjer tal-Oċean Paċifiku, xtut, bajjiet, u pjanuri kostali, permezz tal-meded trasversali u peninsulari bil-qċaċet tagħhom, fil-widien interni kbar u żgħar, għad-deżerti vasti ta 'California.</v>
      </c>
    </row>
    <row r="12053" ht="15.75" customHeight="1">
      <c r="A12053" s="2" t="s">
        <v>12053</v>
      </c>
      <c r="B12053" s="2" t="str">
        <f>IFERROR(__xludf.DUMMYFUNCTION("GOOGLETRANSLATE(A12053, ""en"", ""mt"")"),"X'għandhom l-aktar tliet persuni sinjuri fid-dinja li għandhom aktar mill-inqas 48 nazzjon flimkien?")</f>
        <v>X'għandhom l-aktar tliet persuni sinjuri fid-dinja li għandhom aktar mill-inqas 48 nazzjon flimkien?</v>
      </c>
    </row>
    <row r="12054" ht="15.75" customHeight="1">
      <c r="A12054" s="2" t="s">
        <v>12054</v>
      </c>
      <c r="B12054" s="2" t="str">
        <f>IFERROR(__xludf.DUMMYFUNCTION("GOOGLETRANSLATE(A12054, ""en"", ""mt"")"),"Għal liema żewġ reliġjonijiet Tesla esprimiet ir-rispett?")</f>
        <v>Għal liema żewġ reliġjonijiet Tesla esprimiet ir-rispett?</v>
      </c>
    </row>
    <row r="12055" ht="15.75" customHeight="1">
      <c r="A12055" s="2" t="s">
        <v>12055</v>
      </c>
      <c r="B12055" s="2" t="str">
        <f>IFERROR(__xludf.DUMMYFUNCTION("GOOGLETRANSLATE(A12055, ""en"", ""mt"")"),"Billi tistimula t-tkabbir tal-produzzjoni taż-żerriegħa lokali u n-netwerks agro-negozjanti għad-distribuzzjoni u l-kummerċjalizzazzjoni")</f>
        <v>Billi tistimula t-tkabbir tal-produzzjoni taż-żerriegħa lokali u n-netwerks agro-negozjanti għad-distribuzzjoni u l-kummerċjalizzazzjoni</v>
      </c>
    </row>
    <row r="12056" ht="15.75" customHeight="1">
      <c r="A12056" s="2" t="s">
        <v>12056</v>
      </c>
      <c r="B12056" s="2" t="str">
        <f>IFERROR(__xludf.DUMMYFUNCTION("GOOGLETRANSLATE(A12056, ""en"", ""mt"")"),"Assimilazzjoni")</f>
        <v>Assimilazzjoni</v>
      </c>
    </row>
    <row r="12057" ht="15.75" customHeight="1">
      <c r="A12057" s="2" t="s">
        <v>12057</v>
      </c>
      <c r="B12057" s="2" t="str">
        <f>IFERROR(__xludf.DUMMYFUNCTION("GOOGLETRANSLATE(A12057, ""en"", ""mt"")"),"Il-gżejjer tal-Ħawajja huma magħmula kważi għal kollox?")</f>
        <v>Il-gżejjer tal-Ħawajja huma magħmula kważi għal kollox?</v>
      </c>
    </row>
    <row r="12058" ht="15.75" customHeight="1">
      <c r="A12058" s="2" t="s">
        <v>12058</v>
      </c>
      <c r="B12058" s="2" t="str">
        <f>IFERROR(__xludf.DUMMYFUNCTION("GOOGLETRANSLATE(A12058, ""en"", ""mt"")"),"Tesla tinqatel permezz ta 'xogħol żejjed")</f>
        <v>Tesla tinqatel permezz ta 'xogħol żejjed</v>
      </c>
    </row>
    <row r="12059" ht="15.75" customHeight="1">
      <c r="A12059" s="2" t="s">
        <v>12059</v>
      </c>
      <c r="B12059" s="2" t="str">
        <f>IFERROR(__xludf.DUMMYFUNCTION("GOOGLETRANSLATE(A12059, ""en"", ""mt"")"),"Kemm drogi approvati mill-FDA fl-2013 kienu drogi speċjalizzati?")</f>
        <v>Kemm drogi approvati mill-FDA fl-2013 kienu drogi speċjalizzati?</v>
      </c>
    </row>
    <row r="12060" ht="15.75" customHeight="1">
      <c r="A12060" s="2" t="s">
        <v>12060</v>
      </c>
      <c r="B12060" s="2" t="str">
        <f>IFERROR(__xludf.DUMMYFUNCTION("GOOGLETRANSLATE(A12060, ""en"", ""mt"")"),"Għerf, kompassjoni, ġustizzja u integrità")</f>
        <v>Għerf, kompassjoni, ġustizzja u integrità</v>
      </c>
    </row>
    <row r="12061" ht="15.75" customHeight="1">
      <c r="A12061" s="2" t="s">
        <v>12061</v>
      </c>
      <c r="B12061" s="2" t="str">
        <f>IFERROR(__xludf.DUMMYFUNCTION("GOOGLETRANSLATE(A12061, ""en"", ""mt"")"),"Porzjon żgħir tal-popolazzjoni jgħix dħul mill-proprjetà mhux mistħoqq")</f>
        <v>Porzjon żgħir tal-popolazzjoni jgħix dħul mill-proprjetà mhux mistħoqq</v>
      </c>
    </row>
    <row r="12062" ht="15.75" customHeight="1">
      <c r="A12062" s="2" t="s">
        <v>12062</v>
      </c>
      <c r="B12062" s="2" t="str">
        <f>IFERROR(__xludf.DUMMYFUNCTION("GOOGLETRANSLATE(A12062, ""en"", ""mt"")"),"Pittsburgh Steelers")</f>
        <v>Pittsburgh Steelers</v>
      </c>
    </row>
    <row r="12063" ht="15.75" customHeight="1">
      <c r="A12063" s="2" t="s">
        <v>12063</v>
      </c>
      <c r="B12063" s="2" t="str">
        <f>IFERROR(__xludf.DUMMYFUNCTION("GOOGLETRANSLATE(A12063, ""en"", ""mt"")"),"Liema batterji jgħixu ġewwa kapsula protettiva li sservi biex tevita l-lisi taċ-ċellula?")</f>
        <v>Liema batterji jgħixu ġewwa kapsula protettiva li sservi biex tevita l-lisi taċ-ċellula?</v>
      </c>
    </row>
    <row r="12064" ht="15.75" customHeight="1">
      <c r="A12064" s="2" t="s">
        <v>12064</v>
      </c>
      <c r="B12064" s="2" t="str">
        <f>IFERROR(__xludf.DUMMYFUNCTION("GOOGLETRANSLATE(A12064, ""en"", ""mt"")"),"Is-Sindku ta ’Varsavja jissejjaħ President. Ġeneralment, fil-Polonja, is-sindki ta 'bliet ikbar huma msejħa presidenti - i.e. bliet bħal dawn, li għandhom aktar minn 100,000 persuna jew dawn, fejn diġà kien president qabel l-1990. L-ewwel president ta' Va"&amp;"rsavja kien Jan Andrzej Menich (1695-1696). Bejn l-1975 u l-1990 il-presidenti ta 'Varsavja kienu fl-istess ħin il-Voivode ta' Varsavja. Mill-1990 il-President ta ’Varsavja kien ġie elett mill-Kunsill tal-Belt. Fis-snin tal-1994–1999 is-sindku tad-distret"&amp;"t taċ-ċentru awtomatikament ġie nominat bħala l-President ta 'Varsavja: is-Sindku ta' Centrum ġie elett mill-Kunsill Distrettwali taċ-Ċentru u l-Kunsill ġie elett biss mir-residenti taċ-Ċentru. Mill-2002 il-President ta ’Varsavja huwa elett miċ-ċittadini "&amp;"kollha ta’ Varsavja.")</f>
        <v>Is-Sindku ta ’Varsavja jissejjaħ President. Ġeneralment, fil-Polonja, is-sindki ta 'bliet ikbar huma msejħa presidenti - i.e. bliet bħal dawn, li għandhom aktar minn 100,000 persuna jew dawn, fejn diġà kien president qabel l-1990. L-ewwel president ta' Varsavja kien Jan Andrzej Menich (1695-1696). Bejn l-1975 u l-1990 il-presidenti ta 'Varsavja kienu fl-istess ħin il-Voivode ta' Varsavja. Mill-1990 il-President ta ’Varsavja kien ġie elett mill-Kunsill tal-Belt. Fis-snin tal-1994–1999 is-sindku tad-distrett taċ-ċentru awtomatikament ġie nominat bħala l-President ta 'Varsavja: is-Sindku ta' Centrum ġie elett mill-Kunsill Distrettwali taċ-Ċentru u l-Kunsill ġie elett biss mir-residenti taċ-Ċentru. Mill-2002 il-President ta ’Varsavja huwa elett miċ-ċittadini kollha ta’ Varsavja.</v>
      </c>
    </row>
    <row r="12065" ht="15.75" customHeight="1">
      <c r="A12065" s="2" t="s">
        <v>12065</v>
      </c>
      <c r="B12065" s="2" t="str">
        <f>IFERROR(__xludf.DUMMYFUNCTION("GOOGLETRANSLATE(A12065, ""en"", ""mt"")"),"ġwienaħ u sieq miksura")</f>
        <v>ġwienaħ u sieq miksura</v>
      </c>
    </row>
    <row r="12066" ht="15.75" customHeight="1">
      <c r="A12066" s="2" t="s">
        <v>12066</v>
      </c>
      <c r="B12066" s="2" t="str">
        <f>IFERROR(__xludf.DUMMYFUNCTION("GOOGLETRANSLATE(A12066, ""en"", ""mt"")"),"Uża l-proċeduri bħala forum biex tinforma lill-ġurija u lill-pubbliku dwar iċ-ċirkostanzi politiċi li jdawru l-każ")</f>
        <v>Uża l-proċeduri bħala forum biex tinforma lill-ġurija u lill-pubbliku dwar iċ-ċirkostanzi politiċi li jdawru l-każ</v>
      </c>
    </row>
    <row r="12067" ht="15.75" customHeight="1">
      <c r="A12067" s="2" t="s">
        <v>12067</v>
      </c>
      <c r="B12067" s="2" t="str">
        <f>IFERROR(__xludf.DUMMYFUNCTION("GOOGLETRANSLATE(A12067, ""en"", ""mt"")"),"17,786,419")</f>
        <v>17,786,419</v>
      </c>
    </row>
    <row r="12068" ht="15.75" customHeight="1">
      <c r="A12068" s="2" t="s">
        <v>12068</v>
      </c>
      <c r="B12068" s="2" t="str">
        <f>IFERROR(__xludf.DUMMYFUNCTION("GOOGLETRANSLATE(A12068, ""en"", ""mt"")"),"kolera")</f>
        <v>kolera</v>
      </c>
    </row>
    <row r="12069" ht="15.75" customHeight="1">
      <c r="A12069" s="2" t="s">
        <v>12069</v>
      </c>
      <c r="B12069" s="2" t="str">
        <f>IFERROR(__xludf.DUMMYFUNCTION("GOOGLETRANSLATE(A12069, ""en"", ""mt"")"),"Fejn kienet il-post tar-rivoluzzjoni tal-warda tal-2003?")</f>
        <v>Fejn kienet il-post tar-rivoluzzjoni tal-warda tal-2003?</v>
      </c>
    </row>
    <row r="12070" ht="15.75" customHeight="1">
      <c r="A12070" s="2" t="s">
        <v>12070</v>
      </c>
      <c r="B12070" s="2" t="str">
        <f>IFERROR(__xludf.DUMMYFUNCTION("GOOGLETRANSLATE(A12070, ""en"", ""mt"")"),"Evidenza għal liema tipi ta 'strutturi nstabu fl-2003?")</f>
        <v>Evidenza għal liema tipi ta 'strutturi nstabu fl-2003?</v>
      </c>
    </row>
    <row r="12071" ht="15.75" customHeight="1">
      <c r="A12071" s="2" t="s">
        <v>12071</v>
      </c>
      <c r="B12071" s="2" t="str">
        <f>IFERROR(__xludf.DUMMYFUNCTION("GOOGLETRANSLATE(A12071, ""en"", ""mt"")"),"X'inhu l-affiljat ABC li jservi Lima, Ohio?")</f>
        <v>X'inhu l-affiljat ABC li jservi Lima, Ohio?</v>
      </c>
    </row>
    <row r="12072" ht="15.75" customHeight="1">
      <c r="A12072" s="2" t="s">
        <v>12072</v>
      </c>
      <c r="B12072" s="2" t="str">
        <f>IFERROR(__xludf.DUMMYFUNCTION("GOOGLETRANSLATE(A12072, ""en"", ""mt"")"),"Apologie ""ta 'William is-Silent")</f>
        <v>Apologie "ta 'William is-Silent</v>
      </c>
    </row>
    <row r="12073" ht="15.75" customHeight="1">
      <c r="A12073" s="2" t="s">
        <v>12073</v>
      </c>
      <c r="B12073" s="2" t="str">
        <f>IFERROR(__xludf.DUMMYFUNCTION("GOOGLETRANSLATE(A12073, ""en"", ""mt"")"),"Liema difensur tal-panther kien imsejjaħ biex iżomm it-tielet l-isfel?")</f>
        <v>Liema difensur tal-panther kien imsejjaħ biex iżomm it-tielet l-isfel?</v>
      </c>
    </row>
    <row r="12074" ht="15.75" customHeight="1">
      <c r="A12074" s="2" t="s">
        <v>12074</v>
      </c>
      <c r="B12074" s="2" t="str">
        <f>IFERROR(__xludf.DUMMYFUNCTION("GOOGLETRANSLATE(A12074, ""en"", ""mt"")"),"protezzjoni u integra l-membri tagħha fit-tribù tiegħu stess.")</f>
        <v>protezzjoni u integra l-membri tagħha fit-tribù tiegħu stess.</v>
      </c>
    </row>
    <row r="12075" ht="15.75" customHeight="1">
      <c r="A12075" s="2" t="s">
        <v>12075</v>
      </c>
      <c r="B12075" s="2" t="str">
        <f>IFERROR(__xludf.DUMMYFUNCTION("GOOGLETRANSLATE(A12075, ""en"", ""mt"")"),"X'tip ta 'edukazzjoni hija skola tad-dar?")</f>
        <v>X'tip ta 'edukazzjoni hija skola tad-dar?</v>
      </c>
    </row>
    <row r="12076" ht="15.75" customHeight="1">
      <c r="A12076" s="2" t="s">
        <v>12076</v>
      </c>
      <c r="B12076" s="2" t="str">
        <f>IFERROR(__xludf.DUMMYFUNCTION("GOOGLETRANSLATE(A12076, ""en"", ""mt"")"),"Waħda mill-eqdem rappreżentazzjonijiet ta 'diżubbidjenza ċivili hija fil-logħob ta' Sophocles Antigone, li fih Antigone, waħda mill-bniet ta 'l-ex King of Tebes, Edipus, tikkontesta lil Creon, ir-re attwali ta' Thebes, li qed tipprova twaqqafha milli tagħ"&amp;"ti lil ħuha Polynices dfin xieraq. Hija tagħti diskors li jħawwad li fih tgħidlu li hi trid tobdi l-kuxjenza tagħha aktar milli l-liġi umana. Hija ma tibżax xejn mill-mewt li huwa jheddedha (u eventwalment imexxi), imma tibża 'minn kif il-kuxjenza tagħha "&amp;"se titħassarha jekk ma tagħmilx dan.")</f>
        <v>Waħda mill-eqdem rappreżentazzjonijiet ta 'diżubbidjenza ċivili hija fil-logħob ta' Sophocles Antigone, li fih Antigone, waħda mill-bniet ta 'l-ex King of Tebes, Edipus, tikkontesta lil Creon, ir-re attwali ta' Thebes, li qed tipprova twaqqafha milli tagħti lil ħuha Polynices dfin xieraq. Hija tagħti diskors li jħawwad li fih tgħidlu li hi trid tobdi l-kuxjenza tagħha aktar milli l-liġi umana. Hija ma tibżax xejn mill-mewt li huwa jheddedha (u eventwalment imexxi), imma tibża 'minn kif il-kuxjenza tagħha se titħassarha jekk ma tagħmilx dan.</v>
      </c>
    </row>
    <row r="12077" ht="15.75" customHeight="1">
      <c r="A12077" s="2" t="s">
        <v>12077</v>
      </c>
      <c r="B12077" s="2" t="str">
        <f>IFERROR(__xludf.DUMMYFUNCTION("GOOGLETRANSLATE(A12077, ""en"", ""mt"")"),"711.988")</f>
        <v>711.988</v>
      </c>
    </row>
    <row r="12078" ht="15.75" customHeight="1">
      <c r="A12078" s="2" t="s">
        <v>12078</v>
      </c>
      <c r="B12078" s="2" t="str">
        <f>IFERROR(__xludf.DUMMYFUNCTION("GOOGLETRANSLATE(A12078, ""en"", ""mt"")"),"Konverżjoni Lhudija fuq skala kbira")</f>
        <v>Konverżjoni Lhudija fuq skala kbira</v>
      </c>
    </row>
    <row r="12079" ht="15.75" customHeight="1">
      <c r="A12079" s="2" t="s">
        <v>12079</v>
      </c>
      <c r="B12079" s="2" t="str">
        <f>IFERROR(__xludf.DUMMYFUNCTION("GOOGLETRANSLATE(A12079, ""en"", ""mt"")"),"Kumitati tal-Abbozzi Privati")</f>
        <v>Kumitati tal-Abbozzi Privati</v>
      </c>
    </row>
    <row r="12080" ht="15.75" customHeight="1">
      <c r="A12080" s="2" t="s">
        <v>12080</v>
      </c>
      <c r="B12080" s="2" t="str">
        <f>IFERROR(__xludf.DUMMYFUNCTION("GOOGLETRANSLATE(A12080, ""en"", ""mt"")"),"Liema skeda ta 'żmien titwessa' aktar fir-raba 'skala?")</f>
        <v>Liema skeda ta 'żmien titwessa' aktar fir-raba 'skala?</v>
      </c>
    </row>
    <row r="12081" ht="15.75" customHeight="1">
      <c r="A12081" s="2" t="s">
        <v>12081</v>
      </c>
      <c r="B12081" s="2" t="str">
        <f>IFERROR(__xludf.DUMMYFUNCTION("GOOGLETRANSLATE(A12081, ""en"", ""mt"")"),"Liema Distrett ta 'Varsavja għażel il-president bejn l-1994 u l-1999?")</f>
        <v>Liema Distrett ta 'Varsavja għażel il-president bejn l-1994 u l-1999?</v>
      </c>
    </row>
    <row r="12082" ht="15.75" customHeight="1">
      <c r="A12082" s="2" t="s">
        <v>12082</v>
      </c>
      <c r="B12082" s="2" t="str">
        <f>IFERROR(__xludf.DUMMYFUNCTION("GOOGLETRANSLATE(A12082, ""en"", ""mt"")"),"Liema grupp xtara Ċipru wara l-konkwista Norman?")</f>
        <v>Liema grupp xtara Ċipru wara l-konkwista Norman?</v>
      </c>
    </row>
    <row r="12083" ht="15.75" customHeight="1">
      <c r="A12083" s="2" t="s">
        <v>12083</v>
      </c>
      <c r="B12083" s="2" t="str">
        <f>IFERROR(__xludf.DUMMYFUNCTION("GOOGLETRANSLATE(A12083, ""en"", ""mt"")"),"X'jista 'juża għalliem biex jgħin lill-istudenti jitgħallmu?")</f>
        <v>X'jista 'juża għalliem biex jgħin lill-istudenti jitgħallmu?</v>
      </c>
    </row>
    <row r="12084" ht="15.75" customHeight="1">
      <c r="A12084" s="2" t="s">
        <v>12084</v>
      </c>
      <c r="B12084" s="2" t="str">
        <f>IFERROR(__xludf.DUMMYFUNCTION("GOOGLETRANSLATE(A12084, ""en"", ""mt"")"),"Tylakoid spirali")</f>
        <v>Tylakoid spirali</v>
      </c>
    </row>
    <row r="12085" ht="15.75" customHeight="1">
      <c r="A12085" s="2" t="s">
        <v>12085</v>
      </c>
      <c r="B12085" s="2" t="str">
        <f>IFERROR(__xludf.DUMMYFUNCTION("GOOGLETRANSLATE(A12085, ""en"", ""mt"")"),"l-1950s")</f>
        <v>l-1950s</v>
      </c>
    </row>
    <row r="12086" ht="15.75" customHeight="1">
      <c r="A12086" s="2" t="s">
        <v>12086</v>
      </c>
      <c r="B12086" s="2" t="str">
        <f>IFERROR(__xludf.DUMMYFUNCTION("GOOGLETRANSLATE(A12086, ""en"", ""mt"")"),"1080i HD")</f>
        <v>1080i HD</v>
      </c>
    </row>
    <row r="12087" ht="15.75" customHeight="1">
      <c r="A12087" s="2" t="s">
        <v>12087</v>
      </c>
      <c r="B12087" s="2" t="str">
        <f>IFERROR(__xludf.DUMMYFUNCTION("GOOGLETRANSLATE(A12087, ""en"", ""mt"")"),"Kemm hemm interċezzjonijiet tal-istaġun tal-2015 id-difiża tal-Panthers?")</f>
        <v>Kemm hemm interċezzjonijiet tal-istaġun tal-2015 id-difiża tal-Panthers?</v>
      </c>
    </row>
    <row r="12088" ht="15.75" customHeight="1">
      <c r="A12088" s="2" t="s">
        <v>12088</v>
      </c>
      <c r="B12088" s="2" t="str">
        <f>IFERROR(__xludf.DUMMYFUNCTION("GOOGLETRANSLATE(A12088, ""en"", ""mt"")"),"200 ta 'Marzu")</f>
        <v>200 ta 'Marzu</v>
      </c>
    </row>
    <row r="12089" ht="15.75" customHeight="1">
      <c r="A12089" s="2" t="s">
        <v>12089</v>
      </c>
      <c r="B12089" s="2" t="str">
        <f>IFERROR(__xludf.DUMMYFUNCTION("GOOGLETRANSLATE(A12089, ""en"", ""mt"")"),"kabina li tiffjamma u materjali tal-libsa spazjali.")</f>
        <v>kabina li tiffjamma u materjali tal-libsa spazjali.</v>
      </c>
    </row>
    <row r="12090" ht="15.75" customHeight="1">
      <c r="A12090" s="2" t="s">
        <v>12090</v>
      </c>
      <c r="B12090" s="2" t="str">
        <f>IFERROR(__xludf.DUMMYFUNCTION("GOOGLETRANSLATE(A12090, ""en"", ""mt"")"),"Park łazienki")</f>
        <v>Park łazienki</v>
      </c>
    </row>
    <row r="12091" ht="15.75" customHeight="1">
      <c r="A12091" s="2" t="s">
        <v>12091</v>
      </c>
      <c r="B12091" s="2" t="str">
        <f>IFERROR(__xludf.DUMMYFUNCTION("GOOGLETRANSLATE(A12091, ""en"", ""mt"")"),"Jacob van Braam")</f>
        <v>Jacob van Braam</v>
      </c>
    </row>
    <row r="12092" ht="15.75" customHeight="1">
      <c r="A12092" s="2" t="s">
        <v>12092</v>
      </c>
      <c r="B12092" s="2" t="str">
        <f>IFERROR(__xludf.DUMMYFUNCTION("GOOGLETRANSLATE(A12092, ""en"", ""mt"")"),"Kull meta ltaqa 'ma' negozjanti Ingliżi jew negozji tal-pil, Céloron għarrafhom bit-talbiet Franċiżi fit-territorju u qalilhom biex jitilqu")</f>
        <v>Kull meta ltaqa 'ma' negozjanti Ingliżi jew negozji tal-pil, Céloron għarrafhom bit-talbiet Franċiżi fit-territorju u qalilhom biex jitilqu</v>
      </c>
    </row>
    <row r="12093" ht="15.75" customHeight="1">
      <c r="A12093" s="2" t="s">
        <v>12093</v>
      </c>
      <c r="B12093" s="2" t="str">
        <f>IFERROR(__xludf.DUMMYFUNCTION("GOOGLETRANSLATE(A12093, ""en"", ""mt"")"),"iterattivament")</f>
        <v>iterattivament</v>
      </c>
    </row>
    <row r="12094" ht="15.75" customHeight="1">
      <c r="A12094" s="2" t="s">
        <v>12094</v>
      </c>
      <c r="B12094" s="2" t="str">
        <f>IFERROR(__xludf.DUMMYFUNCTION("GOOGLETRANSLATE(A12094, ""en"", ""mt"")"),"Stadtholder William III ta 'Orange")</f>
        <v>Stadtholder William III ta 'Orange</v>
      </c>
    </row>
    <row r="12095" ht="15.75" customHeight="1">
      <c r="A12095" s="2" t="s">
        <v>12095</v>
      </c>
      <c r="B12095" s="2" t="str">
        <f>IFERROR(__xludf.DUMMYFUNCTION("GOOGLETRANSLATE(A12095, ""en"", ""mt"")"),"Politiċi tal-oppożizzjoni, gruppi tad-drittijiet tal-bniedem, u disa 'pajjiżi tal-Punent")</f>
        <v>Politiċi tal-oppożizzjoni, gruppi tad-drittijiet tal-bniedem, u disa 'pajjiżi tal-Punent</v>
      </c>
    </row>
    <row r="12096" ht="15.75" customHeight="1">
      <c r="A12096" s="2" t="s">
        <v>12096</v>
      </c>
      <c r="B12096" s="2" t="str">
        <f>IFERROR(__xludf.DUMMYFUNCTION("GOOGLETRANSLATE(A12096, ""en"", ""mt"")"),"X’kienu jemmnu li l-għalliema ta ’Tesla kien qed jagħmel waqt l-iskola?")</f>
        <v>X’kienu jemmnu li l-għalliema ta ’Tesla kien qed jagħmel waqt l-iskola?</v>
      </c>
    </row>
    <row r="12097" ht="15.75" customHeight="1">
      <c r="A12097" s="2" t="s">
        <v>12097</v>
      </c>
      <c r="B12097" s="2" t="str">
        <f>IFERROR(__xludf.DUMMYFUNCTION("GOOGLETRANSLATE(A12097, ""en"", ""mt"")"),"Iddikjarat il-Ġappun pajjiż ""mhux ħbieb""")</f>
        <v>Iddikjarat il-Ġappun pajjiż "mhux ħbieb"</v>
      </c>
    </row>
    <row r="12098" ht="15.75" customHeight="1">
      <c r="A12098" s="2" t="s">
        <v>12098</v>
      </c>
      <c r="B12098" s="2" t="str">
        <f>IFERROR(__xludf.DUMMYFUNCTION("GOOGLETRANSLATE(A12098, ""en"", ""mt"")"),"Sal-bidu tas-snin 1980, l-industrija kienet sors ewlieni ta 'tniġġis tal-ilma. Għalkemm ħafna pjanti u fabbriki jistgħu jinstabu tul ir-Renu fl-Isvizzera, huwa tul ir-Renu t'isfel li l-biċċa l-kbira tagħhom huma kkonċentrati, hekk kif ix-xmara tgħaddi mil"&amp;"l-ibliet il-kbar ta 'Cologne, Düsseldorf u Duisburg. Duisburg huwa d-dar tal-ikbar port intern tal-Ewropa u jiffunzjona bħala hub għall-portijiet tal-baħar ta 'Rotterdam, Antwerp u Amsterdam. Ir-RUHR, li tgħaqqad ir-Rhine f'Duisburg, illum hija xmara nadi"&amp;"fa, grazzi għal taħlita ta 'kontrolli ambjentali aktar stretti, tranżizzjoni minn industrija tqila għal industrija ħafifa u miżuri ta' tindif, bħalma huma r-riforestazzjoni ta 'gagazza u l-kampijiet. Ir-RUHR bħalissa tipprovdi lir-reġjun bl-ilma tax-xorb."&amp;" Jikkontribwixxi 70 m3 / s (2,500 cu ft / s) għar-Rhine. Xmajjar oħra fiż-żona tar-Ruhr, fuq kollox, l-Emscher, għadhom għandhom grad konsiderevoli ta 'tniġġis.")</f>
        <v>Sal-bidu tas-snin 1980, l-industrija kienet sors ewlieni ta 'tniġġis tal-ilma. Għalkemm ħafna pjanti u fabbriki jistgħu jinstabu tul ir-Renu fl-Isvizzera, huwa tul ir-Renu t'isfel li l-biċċa l-kbira tagħhom huma kkonċentrati, hekk kif ix-xmara tgħaddi mill-ibliet il-kbar ta 'Cologne, Düsseldorf u Duisburg. Duisburg huwa d-dar tal-ikbar port intern tal-Ewropa u jiffunzjona bħala hub għall-portijiet tal-baħar ta 'Rotterdam, Antwerp u Amsterdam. Ir-RUHR, li tgħaqqad ir-Rhine f'Duisburg, illum hija xmara nadifa, grazzi għal taħlita ta 'kontrolli ambjentali aktar stretti, tranżizzjoni minn industrija tqila għal industrija ħafifa u miżuri ta' tindif, bħalma huma r-riforestazzjoni ta 'gagazza u l-kampijiet. Ir-RUHR bħalissa tipprovdi lir-reġjun bl-ilma tax-xorb. Jikkontribwixxi 70 m3 / s (2,500 cu ft / s) għar-Rhine. Xmajjar oħra fiż-żona tar-Ruhr, fuq kollox, l-Emscher, għadhom għandhom grad konsiderevoli ta 'tniġġis.</v>
      </c>
    </row>
    <row r="12099" ht="15.75" customHeight="1">
      <c r="A12099" s="2" t="s">
        <v>12099</v>
      </c>
      <c r="B12099" s="2" t="str">
        <f>IFERROR(__xludf.DUMMYFUNCTION("GOOGLETRANSLATE(A12099, ""en"", ""mt"")"),"Estates tal-Imperu Ruman Qaddis")</f>
        <v>Estates tal-Imperu Ruman Qaddis</v>
      </c>
    </row>
    <row r="12100" ht="15.75" customHeight="1">
      <c r="A12100" s="2" t="s">
        <v>12100</v>
      </c>
      <c r="B12100" s="2" t="str">
        <f>IFERROR(__xludf.DUMMYFUNCTION("GOOGLETRANSLATE(A12100, ""en"", ""mt"")"),"pjattaforma bis-satellita")</f>
        <v>pjattaforma bis-satellita</v>
      </c>
    </row>
    <row r="12101" ht="15.75" customHeight="1">
      <c r="A12101" s="2" t="s">
        <v>12101</v>
      </c>
      <c r="B12101" s="2" t="str">
        <f>IFERROR(__xludf.DUMMYFUNCTION("GOOGLETRANSLATE(A12101, ""en"", ""mt"")"),"B'liema proċess tista 'tiġi ġġenerata l-immunità attiva b'mod artifiċjali?")</f>
        <v>B'liema proċess tista 'tiġi ġġenerata l-immunità attiva b'mod artifiċjali?</v>
      </c>
    </row>
    <row r="12102" ht="15.75" customHeight="1">
      <c r="A12102" s="2" t="s">
        <v>12102</v>
      </c>
      <c r="B12102" s="2" t="str">
        <f>IFERROR(__xludf.DUMMYFUNCTION("GOOGLETRANSLATE(A12102, ""en"", ""mt"")"),"X'għandu jaħdem l-apparat ta 'Tesla mill-ħruġ ta'?")</f>
        <v>X'għandu jaħdem l-apparat ta 'Tesla mill-ħruġ ta'?</v>
      </c>
    </row>
    <row r="12103" ht="15.75" customHeight="1">
      <c r="A12103" s="2" t="s">
        <v>12103</v>
      </c>
      <c r="B12103" s="2" t="str">
        <f>IFERROR(__xludf.DUMMYFUNCTION("GOOGLETRANSLATE(A12103, ""en"", ""mt"")"),"Meta mietu l-erba 'kalifi ġustament iggwidati?")</f>
        <v>Meta mietu l-erba 'kalifi ġustament iggwidati?</v>
      </c>
    </row>
    <row r="12104" ht="15.75" customHeight="1">
      <c r="A12104" s="2" t="s">
        <v>12104</v>
      </c>
      <c r="B12104" s="2" t="str">
        <f>IFERROR(__xludf.DUMMYFUNCTION("GOOGLETRANSLATE(A12104, ""en"", ""mt"")"),"Li tipprova li xi waħda minn dawn il-klassijiet hija inugwali")</f>
        <v>Li tipprova li xi waħda minn dawn il-klassijiet hija inugwali</v>
      </c>
    </row>
    <row r="12105" ht="15.75" customHeight="1">
      <c r="A12105" s="2" t="s">
        <v>12105</v>
      </c>
      <c r="B12105" s="2" t="str">
        <f>IFERROR(__xludf.DUMMYFUNCTION("GOOGLETRANSLATE(A12105, ""en"", ""mt"")"),"Novembru 1979")</f>
        <v>Novembru 1979</v>
      </c>
    </row>
    <row r="12106" ht="15.75" customHeight="1">
      <c r="A12106" s="2" t="s">
        <v>12106</v>
      </c>
      <c r="B12106" s="2" t="str">
        <f>IFERROR(__xludf.DUMMYFUNCTION("GOOGLETRANSLATE(A12106, ""en"", ""mt"")"),"F'liema serje ġie introdott mill-ġdid il-kaptan?")</f>
        <v>F'liema serje ġie introdott mill-ġdid il-kaptan?</v>
      </c>
    </row>
    <row r="12107" ht="15.75" customHeight="1">
      <c r="A12107" s="2" t="s">
        <v>12107</v>
      </c>
      <c r="B12107" s="2" t="str">
        <f>IFERROR(__xludf.DUMMYFUNCTION("GOOGLETRANSLATE(A12107, ""en"", ""mt"")"),"eċċentrika,")</f>
        <v>eċċentrika,</v>
      </c>
    </row>
    <row r="12108" ht="15.75" customHeight="1">
      <c r="A12108" s="2" t="s">
        <v>12108</v>
      </c>
      <c r="B12108" s="2" t="str">
        <f>IFERROR(__xludf.DUMMYFUNCTION("GOOGLETRANSLATE(A12108, ""en"", ""mt"")"),"X'kien DataNet 1")</f>
        <v>X'kien DataNet 1</v>
      </c>
    </row>
    <row r="12109" ht="15.75" customHeight="1">
      <c r="A12109" s="2" t="s">
        <v>12109</v>
      </c>
      <c r="B12109" s="2" t="str">
        <f>IFERROR(__xludf.DUMMYFUNCTION("GOOGLETRANSLATE(A12109, ""en"", ""mt"")"),"Bejn wieħed u ieħor kemm pitturi jinkludu l-kollezzjonijiet tal-mużew ta 'l-arti tal-Asja t'Isfel u tax-Xlokk?")</f>
        <v>Bejn wieħed u ieħor kemm pitturi jinkludu l-kollezzjonijiet tal-mużew ta 'l-arti tal-Asja t'Isfel u tax-Xlokk?</v>
      </c>
    </row>
    <row r="12110" ht="15.75" customHeight="1">
      <c r="A12110" s="2" t="s">
        <v>12110</v>
      </c>
      <c r="B12110" s="2" t="str">
        <f>IFERROR(__xludf.DUMMYFUNCTION("GOOGLETRANSLATE(A12110, ""en"", ""mt"")"),"Kif jissejjaħ ir-reġjun li huwa l-ikbar konurbazzjoni tar-Renu?")</f>
        <v>Kif jissejjaħ ir-reġjun li huwa l-ikbar konurbazzjoni tar-Renu?</v>
      </c>
    </row>
    <row r="12111" ht="15.75" customHeight="1">
      <c r="A12111" s="2" t="s">
        <v>12111</v>
      </c>
      <c r="B12111" s="2" t="str">
        <f>IFERROR(__xludf.DUMMYFUNCTION("GOOGLETRANSLATE(A12111, ""en"", ""mt"")"),"Għalkemm il-Kenja hija l-iktar pajjiż żviluppat industrijali fir-reġjun tal-Lagi l-Kbar Afrikani, il-manifattura għadha biss 14% tal-PDG. L-attività industrijali, ikkonċentrata madwar l-akbar tliet ċentri urbani, Nairobi, Mombasa u Kisumu, hija ddominata "&amp;"minn industriji li jipproċessaw l-ikel bħal tħin tal-qamħ, produzzjoni tal-birra, u tfarrik tal-kannamieli, u l-fabbrikazzjoni ta 'oġġetti għall-konsumatur, e.g., vetturi minn kits. Hemm industrija tal-produzzjoni tas-siment. [Ċitazzjoni meħtieġa] Il-Kenj"&amp;"a għandha raffinerija taż-żejt li tipproċessa l-pitrolju mhux raffinat fi prodotti tal-pitrolju, l-aktar għas-suq domestiku. Barra minn hekk, settur informali sostanzjali u li qed jespandi komunement imsejjaħ Jua Kali jinvolvi manifattura fuq skala żgħira"&amp;" ta 'oġġetti tad-dar, partijiet ta' vetturi bil-mutur, u għodda ta 'l-irziezet. [Ċitazzjoni meħtieġa]")</f>
        <v>Għalkemm il-Kenja hija l-iktar pajjiż żviluppat industrijali fir-reġjun tal-Lagi l-Kbar Afrikani, il-manifattura għadha biss 14% tal-PDG. L-attività industrijali, ikkonċentrata madwar l-akbar tliet ċentri urbani, Nairobi, Mombasa u Kisumu, hija ddominata minn industriji li jipproċessaw l-ikel bħal tħin tal-qamħ, produzzjoni tal-birra, u tfarrik tal-kannamieli, u l-fabbrikazzjoni ta 'oġġetti għall-konsumatur, e.g., vetturi minn kits. Hemm industrija tal-produzzjoni tas-siment. [Ċitazzjoni meħtieġa] Il-Kenja għandha raffinerija taż-żejt li tipproċessa l-pitrolju mhux raffinat fi prodotti tal-pitrolju, l-aktar għas-suq domestiku. Barra minn hekk, settur informali sostanzjali u li qed jespandi komunement imsejjaħ Jua Kali jinvolvi manifattura fuq skala żgħira ta 'oġġetti tad-dar, partijiet ta' vetturi bil-mutur, u għodda ta 'l-irziezet. [Ċitazzjoni meħtieġa]</v>
      </c>
    </row>
    <row r="12112" ht="15.75" customHeight="1">
      <c r="A12112" s="2" t="s">
        <v>12112</v>
      </c>
      <c r="B12112" s="2" t="str">
        <f>IFERROR(__xludf.DUMMYFUNCTION("GOOGLETRANSLATE(A12112, ""en"", ""mt"")"),"X'kien l-isem tal-ħabs infami Ġermaniż ta 'Gestapo?")</f>
        <v>X'kien l-isem tal-ħabs infami Ġermaniż ta 'Gestapo?</v>
      </c>
    </row>
    <row r="12113" ht="15.75" customHeight="1">
      <c r="A12113" s="2" t="s">
        <v>12113</v>
      </c>
      <c r="B12113" s="2" t="str">
        <f>IFERROR(__xludf.DUMMYFUNCTION("GOOGLETRANSLATE(A12113, ""en"", ""mt"")"),"Meta l-aħħar lott ta 'studenti li segwew is-sistema preċedenti jġorru?")</f>
        <v>Meta l-aħħar lott ta 'studenti li segwew is-sistema preċedenti jġorru?</v>
      </c>
    </row>
    <row r="12114" ht="15.75" customHeight="1">
      <c r="A12114" s="2" t="s">
        <v>12114</v>
      </c>
      <c r="B12114" s="2" t="str">
        <f>IFERROR(__xludf.DUMMYFUNCTION("GOOGLETRANSLATE(A12114, ""en"", ""mt"")"),"$ 170 biljun")</f>
        <v>$ 170 biljun</v>
      </c>
    </row>
    <row r="12115" ht="15.75" customHeight="1">
      <c r="A12115" s="2" t="s">
        <v>12115</v>
      </c>
      <c r="B12115" s="2" t="str">
        <f>IFERROR(__xludf.DUMMYFUNCTION("GOOGLETRANSLATE(A12115, ""en"", ""mt"")"),"ġlieda kontra l-kavallieri")</f>
        <v>ġlieda kontra l-kavallieri</v>
      </c>
    </row>
    <row r="12116" ht="15.75" customHeight="1">
      <c r="A12116" s="2" t="s">
        <v>12116</v>
      </c>
      <c r="B12116" s="2" t="str">
        <f>IFERROR(__xludf.DUMMYFUNCTION("GOOGLETRANSLATE(A12116, ""en"", ""mt"")"),"Kif qabbel ir-rapport tal-IPCC tal-2001 mar-realtà fuq il-livelli tat-temperatura?")</f>
        <v>Kif qabbel ir-rapport tal-IPCC tal-2001 mar-realtà fuq il-livelli tat-temperatura?</v>
      </c>
    </row>
    <row r="12117" ht="15.75" customHeight="1">
      <c r="A12117" s="2" t="s">
        <v>12117</v>
      </c>
      <c r="B12117" s="2" t="str">
        <f>IFERROR(__xludf.DUMMYFUNCTION("GOOGLETRANSLATE(A12117, ""en"", ""mt"")"),"1702 u 1709")</f>
        <v>1702 u 1709</v>
      </c>
    </row>
    <row r="12118" ht="15.75" customHeight="1">
      <c r="A12118" s="2" t="s">
        <v>12118</v>
      </c>
      <c r="B12118" s="2" t="str">
        <f>IFERROR(__xludf.DUMMYFUNCTION("GOOGLETRANSLATE(A12118, ""en"", ""mt"")"),"Liema sena l-Qaddisin laqtu rekord ta '13 -0?")</f>
        <v>Liema sena l-Qaddisin laqtu rekord ta '13 -0?</v>
      </c>
    </row>
    <row r="12119" ht="15.75" customHeight="1">
      <c r="A12119" s="2" t="s">
        <v>12119</v>
      </c>
      <c r="B12119" s="2" t="str">
        <f>IFERROR(__xludf.DUMMYFUNCTION("GOOGLETRANSLATE(A12119, ""en"", ""mt"")"),"X'inhuma tumuri tal-kanċer tal-ġilda magħrufa bħala?")</f>
        <v>X'inhuma tumuri tal-kanċer tal-ġilda magħrufa bħala?</v>
      </c>
    </row>
    <row r="12120" ht="15.75" customHeight="1">
      <c r="A12120" s="2" t="s">
        <v>12120</v>
      </c>
      <c r="B12120" s="2" t="str">
        <f>IFERROR(__xludf.DUMMYFUNCTION("GOOGLETRANSLATE(A12120, ""en"", ""mt"")"),"7–4–2–3")</f>
        <v>7–4–2–3</v>
      </c>
    </row>
    <row r="12121" ht="15.75" customHeight="1">
      <c r="A12121" s="2" t="s">
        <v>12121</v>
      </c>
      <c r="B12121" s="2" t="str">
        <f>IFERROR(__xludf.DUMMYFUNCTION("GOOGLETRANSLATE(A12121, ""en"", ""mt"")"),"Liema episodju Doctor Who rebaħ il-Premju Hugo fl-2010?")</f>
        <v>Liema episodju Doctor Who rebaħ il-Premju Hugo fl-2010?</v>
      </c>
    </row>
    <row r="12122" ht="15.75" customHeight="1">
      <c r="A12122" s="2" t="s">
        <v>12122</v>
      </c>
      <c r="B12122" s="2" t="str">
        <f>IFERROR(__xludf.DUMMYFUNCTION("GOOGLETRANSLATE(A12122, ""en"", ""mt"")"),"L-Arċisqof Albrecht ta ’Mainz u Magdeburg")</f>
        <v>L-Arċisqof Albrecht ta ’Mainz u Magdeburg</v>
      </c>
    </row>
    <row r="12123" ht="15.75" customHeight="1">
      <c r="A12123" s="2" t="s">
        <v>12123</v>
      </c>
      <c r="B12123" s="2" t="str">
        <f>IFERROR(__xludf.DUMMYFUNCTION("GOOGLETRANSLATE(A12123, ""en"", ""mt"")"),"Roentgen Rays")</f>
        <v>Roentgen Rays</v>
      </c>
    </row>
    <row r="12124" ht="15.75" customHeight="1">
      <c r="A12124" s="2" t="s">
        <v>12124</v>
      </c>
      <c r="B12124" s="2" t="str">
        <f>IFERROR(__xludf.DUMMYFUNCTION("GOOGLETRANSLATE(A12124, ""en"", ""mt"")"),"Liema lag jgħaqqad ir-Renu mal-Lag Constance?")</f>
        <v>Liema lag jgħaqqad ir-Renu mal-Lag Constance?</v>
      </c>
    </row>
    <row r="12125" ht="15.75" customHeight="1">
      <c r="A12125" s="2" t="s">
        <v>12125</v>
      </c>
      <c r="B12125" s="2" t="str">
        <f>IFERROR(__xludf.DUMMYFUNCTION("GOOGLETRANSLATE(A12125, ""en"", ""mt"")"),"Skema ta 'aċċess multipli")</f>
        <v>Skema ta 'aċċess multipli</v>
      </c>
    </row>
    <row r="12126" ht="15.75" customHeight="1">
      <c r="A12126" s="2" t="s">
        <v>12126</v>
      </c>
      <c r="B12126" s="2" t="str">
        <f>IFERROR(__xludf.DUMMYFUNCTION("GOOGLETRANSLATE(A12126, ""en"", ""mt"")"),"Dokumenti Xjentifiċi u Riżultati Dokumentati Indipendentement minn Korpi Xjentifiċi oħra")</f>
        <v>Dokumenti Xjentifiċi u Riżultati Dokumentati Indipendentement minn Korpi Xjentifiċi oħra</v>
      </c>
    </row>
    <row r="12127" ht="15.75" customHeight="1">
      <c r="A12127" s="2" t="s">
        <v>12127</v>
      </c>
      <c r="B12127" s="2" t="str">
        <f>IFERROR(__xludf.DUMMYFUNCTION("GOOGLETRANSLATE(A12127, ""en"", ""mt"")"),"Ir-Repubblika tal-Kenja hija msejħa wara l-Muntanja Kenja. L-oriġini tal-isem Kenja mhix ċara, imma forsi marbuta mal-kliem Kikuyu, Embu u Kamba Kirinyaga, Kirenyaa u Kiinyaa li jfissru ""l-post ta 'mistrieħ ta' Alla"" fit-tliet lingwi kollha. Jekk iva, a"&amp;"llura l-Ingliżi jistgħu ma jkunux daqstant imdgħajfa ('Keenya'), kif miktuba ħażin. Eruzzjonijiet vulkaniċi preistoriċi tal-Muntanja Kenja (issa estinta) setgħu rriżultaw fl-assoċjazzjoni tagħha mad-divinità u l-ħolqien fost il-gruppi etniċi Bantu Indiġen"&amp;"i, li huma l-abitanti indiġeni ta 'l-art agrikola li tdawwar il-Muntanja Kenja. [Riċerka oriġinali?]")</f>
        <v>Ir-Repubblika tal-Kenja hija msejħa wara l-Muntanja Kenja. L-oriġini tal-isem Kenja mhix ċara, imma forsi marbuta mal-kliem Kikuyu, Embu u Kamba Kirinyaga, Kirenyaa u Kiinyaa li jfissru "l-post ta 'mistrieħ ta' Alla" fit-tliet lingwi kollha. Jekk iva, allura l-Ingliżi jistgħu ma jkunux daqstant imdgħajfa ('Keenya'), kif miktuba ħażin. Eruzzjonijiet vulkaniċi preistoriċi tal-Muntanja Kenja (issa estinta) setgħu rriżultaw fl-assoċjazzjoni tagħha mad-divinità u l-ħolqien fost il-gruppi etniċi Bantu Indiġeni, li huma l-abitanti indiġeni ta 'l-art agrikola li tdawwar il-Muntanja Kenja. [Riċerka oriġinali?]</v>
      </c>
    </row>
    <row r="12128" ht="15.75" customHeight="1">
      <c r="A12128" s="2" t="s">
        <v>12128</v>
      </c>
      <c r="B12128" s="2" t="str">
        <f>IFERROR(__xludf.DUMMYFUNCTION("GOOGLETRANSLATE(A12128, ""en"", ""mt"")"),"6,000 kilometru kwadru")</f>
        <v>6,000 kilometru kwadru</v>
      </c>
    </row>
    <row r="12129" ht="15.75" customHeight="1">
      <c r="A12129" s="2" t="s">
        <v>12129</v>
      </c>
      <c r="B12129" s="2" t="str">
        <f>IFERROR(__xludf.DUMMYFUNCTION("GOOGLETRANSLATE(A12129, ""en"", ""mt"")"),"Xi jfisser kastig korporali li jikkawża student?")</f>
        <v>Xi jfisser kastig korporali li jikkawża student?</v>
      </c>
    </row>
    <row r="12130" ht="15.75" customHeight="1">
      <c r="A12130" s="2" t="s">
        <v>12130</v>
      </c>
      <c r="B12130" s="2" t="str">
        <f>IFERROR(__xludf.DUMMYFUNCTION("GOOGLETRANSLATE(A12130, ""en"", ""mt"")"),"Highlands fertili")</f>
        <v>Highlands fertili</v>
      </c>
    </row>
    <row r="12131" ht="15.75" customHeight="1">
      <c r="A12131" s="2" t="s">
        <v>12131</v>
      </c>
      <c r="B12131" s="2" t="str">
        <f>IFERROR(__xludf.DUMMYFUNCTION("GOOGLETRANSLATE(A12131, ""en"", ""mt"")"),"""Roentgen Rays"" jew ""X-Rays""")</f>
        <v>"Roentgen Rays" jew "X-Rays"</v>
      </c>
    </row>
    <row r="12132" ht="15.75" customHeight="1">
      <c r="A12132" s="2" t="s">
        <v>12132</v>
      </c>
      <c r="B12132" s="2" t="str">
        <f>IFERROR(__xludf.DUMMYFUNCTION("GOOGLETRANSLATE(A12132, ""en"", ""mt"")"),"Liema Viċi Konslu tal-Afrika t'Isfel L-istudenti ta 'Harvard imblukkaw id-diskors ta'?")</f>
        <v>Liema Viċi Konslu tal-Afrika t'Isfel L-istudenti ta 'Harvard imblukkaw id-diskors ta'?</v>
      </c>
    </row>
    <row r="12133" ht="15.75" customHeight="1">
      <c r="A12133" s="2" t="s">
        <v>12133</v>
      </c>
      <c r="B12133" s="2" t="str">
        <f>IFERROR(__xludf.DUMMYFUNCTION("GOOGLETRANSLATE(A12133, ""en"", ""mt"")"),"Min influwenza Bismark minbarra l-ġirien tiegħu?")</f>
        <v>Min influwenza Bismark minbarra l-ġirien tiegħu?</v>
      </c>
    </row>
    <row r="12134" ht="15.75" customHeight="1">
      <c r="A12134" s="2" t="s">
        <v>12134</v>
      </c>
      <c r="B12134" s="2" t="str">
        <f>IFERROR(__xludf.DUMMYFUNCTION("GOOGLETRANSLATE(A12134, ""en"", ""mt"")"),"Kemm hemm acres totali Woodward Park?")</f>
        <v>Kemm hemm acres totali Woodward Park?</v>
      </c>
    </row>
    <row r="12135" ht="15.75" customHeight="1">
      <c r="A12135" s="2" t="s">
        <v>12135</v>
      </c>
      <c r="B12135" s="2" t="str">
        <f>IFERROR(__xludf.DUMMYFUNCTION("GOOGLETRANSLATE(A12135, ""en"", ""mt"")"),"Minħabba l-korpi artab u ġelatinużi tagħhom, iċ-ċtenofori huma estremament rari daqs il-fossili, u l-fossili li ġew interpretati bħala ctenophores instabu biss f'Lagerstätten, postijiet fejn l-ambjent kien eċċezzjonalment adattat għall-preservazzjoni ta '"&amp;"tessut artab. Sa nofs is-snin disgħin ġew magħrufa biss żewġ kampjuni tajbin biżżejjed għall-analiżi, iż-żewġ membri tal-Grupp tal-Kuruna, mill-perjodu bikri tad-Devonian (Emsian). Tliet speċi putattivi addizzjonali nstabu fil-Burgess Shale u blat Kanadiż"&amp;"i oħra ta 'età simili, madwar 505 miljun sena ilu fil-perjodu ta' Mid-Cambrian. It-tlieta apparentement ma kellhomx tentakli iżda kellhom bejn 24 u 80 ringiela tal-moxt, ferm iktar mit-8 tipiċi ta 'speċi ħajjin. Jidher ukoll li kellhom strutturi interni s"&amp;"imili għall-organi b'differenza minn kull ħaġa misjuba f'ċtenofori ħajjin. Waħda mill-ispeċi fossili l-ewwel irrappurtata fl-1996 kellha ħalq kbir, apparentement imdawwar minn tarf mitwi li seta 'kien muskolari. L-evidenza miċ-Ċina sena wara tissuġġerixxi"&amp;" li tali ctenophores kienu mifruxa fil-Cambrian, imma forsi differenti ħafna mill-ispeċi moderna - pereżempju r-rewwijiet tal-moxt tal-fossili kienu mmuntati fuq paletti prominenti. L-eoandromeda ta 'Ediacaran tista' tirrapreżenta b'mod putattiv ġelatina.")</f>
        <v>Minħabba l-korpi artab u ġelatinużi tagħhom, iċ-ċtenofori huma estremament rari daqs il-fossili, u l-fossili li ġew interpretati bħala ctenophores instabu biss f'Lagerstätten, postijiet fejn l-ambjent kien eċċezzjonalment adattat għall-preservazzjoni ta 'tessut artab. Sa nofs is-snin disgħin ġew magħrufa biss żewġ kampjuni tajbin biżżejjed għall-analiżi, iż-żewġ membri tal-Grupp tal-Kuruna, mill-perjodu bikri tad-Devonian (Emsian). Tliet speċi putattivi addizzjonali nstabu fil-Burgess Shale u blat Kanadiżi oħra ta 'età simili, madwar 505 miljun sena ilu fil-perjodu ta' Mid-Cambrian. It-tlieta apparentement ma kellhomx tentakli iżda kellhom bejn 24 u 80 ringiela tal-moxt, ferm iktar mit-8 tipiċi ta 'speċi ħajjin. Jidher ukoll li kellhom strutturi interni simili għall-organi b'differenza minn kull ħaġa misjuba f'ċtenofori ħajjin. Waħda mill-ispeċi fossili l-ewwel irrappurtata fl-1996 kellha ħalq kbir, apparentement imdawwar minn tarf mitwi li seta 'kien muskolari. L-evidenza miċ-Ċina sena wara tissuġġerixxi li tali ctenophores kienu mifruxa fil-Cambrian, imma forsi differenti ħafna mill-ispeċi moderna - pereżempju r-rewwijiet tal-moxt tal-fossili kienu mmuntati fuq paletti prominenti. L-eoandromeda ta 'Ediacaran tista' tirrapreżenta b'mod putattiv ġelatina.</v>
      </c>
    </row>
    <row r="12136" ht="15.75" customHeight="1">
      <c r="A12136" s="2" t="s">
        <v>12136</v>
      </c>
      <c r="B12136" s="2" t="str">
        <f>IFERROR(__xludf.DUMMYFUNCTION("GOOGLETRANSLATE(A12136, ""en"", ""mt"")"),"Biex tqassam il-kloroplasti sabiex ikunu jistgħu jieħdu kenn wara xulxin jew jinfirxu")</f>
        <v>Biex tqassam il-kloroplasti sabiex ikunu jistgħu jieħdu kenn wara xulxin jew jinfirxu</v>
      </c>
    </row>
    <row r="12137" ht="15.75" customHeight="1">
      <c r="A12137" s="2" t="s">
        <v>12137</v>
      </c>
      <c r="B12137" s="2" t="str">
        <f>IFERROR(__xludf.DUMMYFUNCTION("GOOGLETRANSLATE(A12137, ""en"", ""mt"")"),"Liema tweġiba tindika li algoritmu aċċetta sekwenza ta 'input?")</f>
        <v>Liema tweġiba tindika li algoritmu aċċetta sekwenza ta 'input?</v>
      </c>
    </row>
    <row r="12138" ht="15.75" customHeight="1">
      <c r="A12138" s="2" t="s">
        <v>12138</v>
      </c>
      <c r="B12138" s="2" t="str">
        <f>IFERROR(__xludf.DUMMYFUNCTION("GOOGLETRANSLATE(A12138, ""en"", ""mt"")"),"Id-Distrett ta ’Charleston Orange")</f>
        <v>Id-Distrett ta ’Charleston Orange</v>
      </c>
    </row>
    <row r="12139" ht="15.75" customHeight="1">
      <c r="A12139" s="2" t="s">
        <v>12139</v>
      </c>
      <c r="B12139" s="2" t="str">
        <f>IFERROR(__xludf.DUMMYFUNCTION("GOOGLETRANSLATE(A12139, ""en"", ""mt"")"),"Fl-Iskozja, kull min jixtieq jgħallem għandu jkun irreġistrat mal-Kunsill tat-Tagħlim Ġenerali għall-Iskozja (GTCs). It-tagħlim fl-Iskozja hija professjoni gradwata kollha u r-rotta normali għall-gradwati li jixtiequ jgħallmu hija li tlesti programm ta 'e"&amp;"dukazzjoni inizjali tal-għalliema (ITE) f'waħda mis-seba' universitajiet Skoċċiżi li joffru dawn il-korsijiet. Ladarba tlestiet b'suċċess, ""reġistrazzjoni proviżorja"" tingħata mill-GTCs li titqajjem għal status ta '""reġistrazzjoni sħiħa"" wara sena jek"&amp;"k ikun hemm biżżejjed evidenza biex turi li l-istandard ""għar-reġistrazzjoni sħiħa"" ġie sodisfatt.")</f>
        <v>Fl-Iskozja, kull min jixtieq jgħallem għandu jkun irreġistrat mal-Kunsill tat-Tagħlim Ġenerali għall-Iskozja (GTCs). It-tagħlim fl-Iskozja hija professjoni gradwata kollha u r-rotta normali għall-gradwati li jixtiequ jgħallmu hija li tlesti programm ta 'edukazzjoni inizjali tal-għalliema (ITE) f'waħda mis-seba' universitajiet Skoċċiżi li joffru dawn il-korsijiet. Ladarba tlestiet b'suċċess, "reġistrazzjoni proviżorja" tingħata mill-GTCs li titqajjem għal status ta '"reġistrazzjoni sħiħa" wara sena jekk ikun hemm biżżejjed evidenza biex turi li l-istandard "għar-reġistrazzjoni sħiħa" ġie sodisfatt.</v>
      </c>
    </row>
    <row r="12140" ht="15.75" customHeight="1">
      <c r="A12140" s="2" t="s">
        <v>12140</v>
      </c>
      <c r="B12140" s="2" t="str">
        <f>IFERROR(__xludf.DUMMYFUNCTION("GOOGLETRANSLATE(A12140, ""en"", ""mt"")"),"Dsatax")</f>
        <v>Dsatax</v>
      </c>
    </row>
    <row r="12141" ht="15.75" customHeight="1">
      <c r="A12141" s="2" t="s">
        <v>12141</v>
      </c>
      <c r="B12141" s="2" t="str">
        <f>IFERROR(__xludf.DUMMYFUNCTION("GOOGLETRANSLATE(A12141, ""en"", ""mt"")"),"X'kienet il-kapitali ta 'Khwarezmia qabel l-invażjoni tal-Mongol?")</f>
        <v>X'kienet il-kapitali ta 'Khwarezmia qabel l-invażjoni tal-Mongol?</v>
      </c>
    </row>
    <row r="12142" ht="15.75" customHeight="1">
      <c r="A12142" s="2" t="s">
        <v>12142</v>
      </c>
      <c r="B12142" s="2" t="str">
        <f>IFERROR(__xludf.DUMMYFUNCTION("GOOGLETRANSLATE(A12142, ""en"", ""mt"")"),"Kemm speċi ta 'ctenophora ġew ivvalidati?")</f>
        <v>Kemm speċi ta 'ctenophora ġew ivvalidati?</v>
      </c>
    </row>
    <row r="12143" ht="15.75" customHeight="1">
      <c r="A12143" s="2" t="s">
        <v>12143</v>
      </c>
      <c r="B12143" s="2" t="str">
        <f>IFERROR(__xludf.DUMMYFUNCTION("GOOGLETRANSLATE(A12143, ""en"", ""mt"")"),"Professjonali")</f>
        <v>Professjonali</v>
      </c>
    </row>
    <row r="12144" ht="15.75" customHeight="1">
      <c r="A12144" s="2" t="s">
        <v>12144</v>
      </c>
      <c r="B12144" s="2" t="str">
        <f>IFERROR(__xludf.DUMMYFUNCTION("GOOGLETRANSLATE(A12144, ""en"", ""mt"")"),"Minn fejn il-biċċa l-kbira tal-għalliema jiksbu l-kredenzjali tagħhom?")</f>
        <v>Minn fejn il-biċċa l-kbira tal-għalliema jiksbu l-kredenzjali tagħhom?</v>
      </c>
    </row>
    <row r="12145" ht="15.75" customHeight="1">
      <c r="A12145" s="2" t="s">
        <v>12145</v>
      </c>
      <c r="B12145" s="2" t="str">
        <f>IFERROR(__xludf.DUMMYFUNCTION("GOOGLETRANSLATE(A12145, ""en"", ""mt"")"),"Il-kulleġġi tal-għalliema jiċċertifikaw, jirregolaw u jinfurzaw dak għall-għalliema?")</f>
        <v>Il-kulleġġi tal-għalliema jiċċertifikaw, jirregolaw u jinfurzaw dak għall-għalliema?</v>
      </c>
    </row>
    <row r="12146" ht="15.75" customHeight="1">
      <c r="A12146" s="2" t="s">
        <v>12146</v>
      </c>
      <c r="B12146" s="2" t="str">
        <f>IFERROR(__xludf.DUMMYFUNCTION("GOOGLETRANSLATE(A12146, ""en"", ""mt"")"),"Alumni notevoli fil-qasam tal-gvern u tal-politika jinkludu l-fundatur tal-komunità moderna li torganizza lil Saul Alinsky, konsulent tal-kampanja Obama u l-aqwa konsulent politiku għall-President Bill Clinton David Axelrod, l-Avukat Ġenerali u l-Imħallef"&amp;" Federali Robert Bork, l-Avukat Ġenerali Ramsey Clark, l-aġent ta 'projbizzjoni Eliot Ness , Ġustizzja tal-Qorti Suprema John Paul Stevens, Prim Ministru tal-Kanada William Lyon Mackenzie King, il-11-il Prim Ministru tal-Polonja Marek Belka, il-Gvernatur "&amp;"tal-Bank tal-Ġappun Masaaki Shirakawa, l-ewwel senatur Afrikan-Amerikan mara Carol Moseley Braun, Senatur tal-Istati Uniti mill-Vermont u l-kandidat presidenzjali Demokratiku tal-2016 Bernie Sanders, u l-eks President tal-Bank Dinji Paul Wolfowitz.")</f>
        <v>Alumni notevoli fil-qasam tal-gvern u tal-politika jinkludu l-fundatur tal-komunità moderna li torganizza lil Saul Alinsky, konsulent tal-kampanja Obama u l-aqwa konsulent politiku għall-President Bill Clinton David Axelrod, l-Avukat Ġenerali u l-Imħallef Federali Robert Bork, l-Avukat Ġenerali Ramsey Clark, l-aġent ta 'projbizzjoni Eliot Ness , Ġustizzja tal-Qorti Suprema John Paul Stevens, Prim Ministru tal-Kanada William Lyon Mackenzie King, il-11-il Prim Ministru tal-Polonja Marek Belka, il-Gvernatur tal-Bank tal-Ġappun Masaaki Shirakawa, l-ewwel senatur Afrikan-Amerikan mara Carol Moseley Braun, Senatur tal-Istati Uniti mill-Vermont u l-kandidat presidenzjali Demokratiku tal-2016 Bernie Sanders, u l-eks President tal-Bank Dinji Paul Wolfowitz.</v>
      </c>
    </row>
    <row r="12147" ht="15.75" customHeight="1">
      <c r="A12147" s="2" t="s">
        <v>12147</v>
      </c>
      <c r="B12147" s="2" t="str">
        <f>IFERROR(__xludf.DUMMYFUNCTION("GOOGLETRANSLATE(A12147, ""en"", ""mt"")"),"5 miljun persuna")</f>
        <v>5 miljun persuna</v>
      </c>
    </row>
    <row r="12148" ht="15.75" customHeight="1">
      <c r="A12148" s="2" t="s">
        <v>12148</v>
      </c>
      <c r="B12148" s="2" t="str">
        <f>IFERROR(__xludf.DUMMYFUNCTION("GOOGLETRANSLATE(A12148, ""en"", ""mt"")"),"L-esperimenti ta 'Colorado kienu ħejjew Tesla għall-istabbiliment tal-faċilità tat-telekomunikazzjoni bla fili trans-Atlantiċi magħrufa bħala Wardenclyffe qrib Shoreham, Long Island.")</f>
        <v>L-esperimenti ta 'Colorado kienu ħejjew Tesla għall-istabbiliment tal-faċilità tat-telekomunikazzjoni bla fili trans-Atlantiċi magħrufa bħala Wardenclyffe qrib Shoreham, Long Island.</v>
      </c>
    </row>
    <row r="12149" ht="15.75" customHeight="1">
      <c r="A12149" s="2" t="s">
        <v>12149</v>
      </c>
      <c r="B12149" s="2" t="str">
        <f>IFERROR(__xludf.DUMMYFUNCTION("GOOGLETRANSLATE(A12149, ""en"", ""mt"")"),"xi hornworts u alka")</f>
        <v>xi hornworts u alka</v>
      </c>
    </row>
    <row r="12150" ht="15.75" customHeight="1">
      <c r="A12150" s="2" t="s">
        <v>12150</v>
      </c>
      <c r="B12150" s="2" t="str">
        <f>IFERROR(__xludf.DUMMYFUNCTION("GOOGLETRANSLATE(A12150, ""en"", ""mt"")"),"Karawett")</f>
        <v>Karawett</v>
      </c>
    </row>
    <row r="12151" ht="15.75" customHeight="1">
      <c r="A12151" s="2" t="s">
        <v>12151</v>
      </c>
      <c r="B12151" s="2" t="str">
        <f>IFERROR(__xludf.DUMMYFUNCTION("GOOGLETRANSLATE(A12151, ""en"", ""mt"")"),"Immunità umoristika kontra immunità medjata miċ-ċelloli")</f>
        <v>Immunità umoristika kontra immunità medjata miċ-ċelloli</v>
      </c>
    </row>
    <row r="12152" ht="15.75" customHeight="1">
      <c r="A12152" s="2" t="s">
        <v>12152</v>
      </c>
      <c r="B12152" s="2" t="str">
        <f>IFERROR(__xludf.DUMMYFUNCTION("GOOGLETRANSLATE(A12152, ""en"", ""mt"")"),"1573")</f>
        <v>1573</v>
      </c>
    </row>
    <row r="12153" ht="15.75" customHeight="1">
      <c r="A12153" s="2" t="s">
        <v>12153</v>
      </c>
      <c r="B12153" s="2" t="str">
        <f>IFERROR(__xludf.DUMMYFUNCTION("GOOGLETRANSLATE(A12153, ""en"", ""mt"")"),"X'waqfet kwistjoni importanti fl-identità nazzjonali Skoċċiża għal ħafna snin?")</f>
        <v>X'waqfet kwistjoni importanti fl-identità nazzjonali Skoċċiża għal ħafna snin?</v>
      </c>
    </row>
    <row r="12154" ht="15.75" customHeight="1">
      <c r="A12154" s="2" t="s">
        <v>12154</v>
      </c>
      <c r="B12154" s="2" t="str">
        <f>IFERROR(__xludf.DUMMYFUNCTION("GOOGLETRANSLATE(A12154, ""en"", ""mt"")"),"X’ingħaqad mal-Pirinej?")</f>
        <v>X’ingħaqad mal-Pirinej?</v>
      </c>
    </row>
    <row r="12155" ht="15.75" customHeight="1">
      <c r="A12155" s="2" t="s">
        <v>12155</v>
      </c>
      <c r="B12155" s="2" t="str">
        <f>IFERROR(__xludf.DUMMYFUNCTION("GOOGLETRANSLATE(A12155, ""en"", ""mt"")"),"kulleġġi tal-għalliema")</f>
        <v>kulleġġi tal-għalliema</v>
      </c>
    </row>
    <row r="12156" ht="15.75" customHeight="1">
      <c r="A12156" s="2" t="s">
        <v>12156</v>
      </c>
      <c r="B12156" s="2" t="str">
        <f>IFERROR(__xludf.DUMMYFUNCTION("GOOGLETRANSLATE(A12156, ""en"", ""mt"")"),"Ċentru")</f>
        <v>Ċentru</v>
      </c>
    </row>
    <row r="12157" ht="15.75" customHeight="1">
      <c r="A12157" s="2" t="s">
        <v>12157</v>
      </c>
      <c r="B12157" s="2" t="str">
        <f>IFERROR(__xludf.DUMMYFUNCTION("GOOGLETRANSLATE(A12157, ""en"", ""mt"")"),"Meta tnediet Sky Digital?")</f>
        <v>Meta tnediet Sky Digital?</v>
      </c>
    </row>
    <row r="12158" ht="15.75" customHeight="1">
      <c r="A12158" s="2" t="s">
        <v>12158</v>
      </c>
      <c r="B12158" s="2" t="str">
        <f>IFERROR(__xludf.DUMMYFUNCTION("GOOGLETRANSLATE(A12158, ""en"", ""mt"")"),"X’kienu jemmnu li ż-żona u t-tradizzjoni ta ’Luther kienu ħatja?")</f>
        <v>X’kienu jemmnu li ż-żona u t-tradizzjoni ta ’Luther kienu ħatja?</v>
      </c>
    </row>
    <row r="12159" ht="15.75" customHeight="1">
      <c r="A12159" s="2" t="s">
        <v>12159</v>
      </c>
      <c r="B12159" s="2" t="str">
        <f>IFERROR(__xludf.DUMMYFUNCTION("GOOGLETRANSLATE(A12159, ""en"", ""mt"")"),"Liema kundanna kellhom ħafna Pollakki rigward kif ħasbu l-Varsovians infushom?")</f>
        <v>Liema kundanna kellhom ħafna Pollakki rigward kif ħasbu l-Varsovians infushom?</v>
      </c>
    </row>
    <row r="12160" ht="15.75" customHeight="1">
      <c r="A12160" s="2" t="s">
        <v>12160</v>
      </c>
      <c r="B12160" s="2" t="str">
        <f>IFERROR(__xludf.DUMMYFUNCTION("GOOGLETRANSLATE(A12160, ""en"", ""mt"")"),"stufi taċ-ċeramika")</f>
        <v>stufi taċ-ċeramika</v>
      </c>
    </row>
    <row r="12161" ht="15.75" customHeight="1">
      <c r="A12161" s="2" t="s">
        <v>12161</v>
      </c>
      <c r="B12161" s="2" t="str">
        <f>IFERROR(__xludf.DUMMYFUNCTION("GOOGLETRANSLATE(A12161, ""en"", ""mt"")"),"Immunoinformatika")</f>
        <v>Immunoinformatika</v>
      </c>
    </row>
    <row r="12162" ht="15.75" customHeight="1">
      <c r="A12162" s="2" t="s">
        <v>12162</v>
      </c>
      <c r="B12162" s="2" t="str">
        <f>IFERROR(__xludf.DUMMYFUNCTION("GOOGLETRANSLATE(A12162, ""en"", ""mt"")"),"Ibdel il-klorofilla ħadra")</f>
        <v>Ibdel il-klorofilla ħadra</v>
      </c>
    </row>
    <row r="12163" ht="15.75" customHeight="1">
      <c r="A12163" s="2" t="s">
        <v>12163</v>
      </c>
      <c r="B12163" s="2" t="str">
        <f>IFERROR(__xludf.DUMMYFUNCTION("GOOGLETRANSLATE(A12163, ""en"", ""mt"")"),"Kemm kellha fumbles sfurzati Von Miller matul il-logħba tas-Super Bowl 50?")</f>
        <v>Kemm kellha fumbles sfurzati Von Miller matul il-logħba tas-Super Bowl 50?</v>
      </c>
    </row>
    <row r="12164" ht="15.75" customHeight="1">
      <c r="A12164" s="2" t="s">
        <v>12164</v>
      </c>
      <c r="B12164" s="2" t="str">
        <f>IFERROR(__xludf.DUMMYFUNCTION("GOOGLETRANSLATE(A12164, ""en"", ""mt"")"),"X'inhuma żewġ klassijiet ta 'kumplessità bejn L u P?")</f>
        <v>X'inhuma żewġ klassijiet ta 'kumplessità bejn L u P?</v>
      </c>
    </row>
    <row r="12165" ht="15.75" customHeight="1">
      <c r="A12165" s="2" t="s">
        <v>12165</v>
      </c>
      <c r="B12165" s="2" t="str">
        <f>IFERROR(__xludf.DUMMYFUNCTION("GOOGLETRANSLATE(A12165, ""en"", ""mt"")"),"L-Ewwel AD tal-Millennju")</f>
        <v>L-Ewwel AD tal-Millennju</v>
      </c>
    </row>
    <row r="12166" ht="15.75" customHeight="1">
      <c r="A12166" s="2" t="s">
        <v>12166</v>
      </c>
      <c r="B12166" s="2" t="str">
        <f>IFERROR(__xludf.DUMMYFUNCTION("GOOGLETRANSLATE(A12166, ""en"", ""mt"")"),"Liema sena rritorna t-tabib li finalment irritorna għat-televiżjoni?")</f>
        <v>Liema sena rritorna t-tabib li finalment irritorna għat-televiżjoni?</v>
      </c>
    </row>
    <row r="12167" ht="15.75" customHeight="1">
      <c r="A12167" s="2" t="s">
        <v>12167</v>
      </c>
      <c r="B12167" s="2" t="str">
        <f>IFERROR(__xludf.DUMMYFUNCTION("GOOGLETRANSLATE(A12167, ""en"", ""mt"")"),"President Agnew")</f>
        <v>President Agnew</v>
      </c>
    </row>
    <row r="12168" ht="15.75" customHeight="1">
      <c r="A12168" s="2" t="s">
        <v>12168</v>
      </c>
      <c r="B12168" s="2" t="str">
        <f>IFERROR(__xludf.DUMMYFUNCTION("GOOGLETRANSLATE(A12168, ""en"", ""mt"")"),"sinjali mill-kloroplast li jirregolaw l-espressjoni tal-ġene fin-nukleu")</f>
        <v>sinjali mill-kloroplast li jirregolaw l-espressjoni tal-ġene fin-nukleu</v>
      </c>
    </row>
    <row r="12169" ht="15.75" customHeight="1">
      <c r="A12169" s="2" t="s">
        <v>12169</v>
      </c>
      <c r="B12169" s="2" t="str">
        <f>IFERROR(__xludf.DUMMYFUNCTION("GOOGLETRANSLATE(A12169, ""en"", ""mt"")"),"Prinċipju ta 'protesta mhux vjolenti")</f>
        <v>Prinċipju ta 'protesta mhux vjolenti</v>
      </c>
    </row>
    <row r="12170" ht="15.75" customHeight="1">
      <c r="A12170" s="2" t="s">
        <v>12170</v>
      </c>
      <c r="B12170" s="2" t="str">
        <f>IFERROR(__xludf.DUMMYFUNCTION("GOOGLETRANSLATE(A12170, ""en"", ""mt"")"),"L-Istati Uniti hija mħassba dwar il-konfront tal-Lvant Nofsani ma 'liema pajjiż ieħor?")</f>
        <v>L-Istati Uniti hija mħassba dwar il-konfront tal-Lvant Nofsani ma 'liema pajjiż ieħor?</v>
      </c>
    </row>
    <row r="12171" ht="15.75" customHeight="1">
      <c r="A12171" s="2" t="s">
        <v>12171</v>
      </c>
      <c r="B12171" s="2" t="str">
        <f>IFERROR(__xludf.DUMMYFUNCTION("GOOGLETRANSLATE(A12171, ""en"", ""mt"")"),"Il-Qorti tal-Ġustizzja tal-Unjoni Ewropea")</f>
        <v>Il-Qorti tal-Ġustizzja tal-Unjoni Ewropea</v>
      </c>
    </row>
    <row r="12172" ht="15.75" customHeight="1">
      <c r="A12172" s="2" t="s">
        <v>12172</v>
      </c>
      <c r="B12172" s="2" t="str">
        <f>IFERROR(__xludf.DUMMYFUNCTION("GOOGLETRANSLATE(A12172, ""en"", ""mt"")"),"Fejn kien jinsab il-grupp ta 'kompitu spazjali?")</f>
        <v>Fejn kien jinsab il-grupp ta 'kompitu spazjali?</v>
      </c>
    </row>
    <row r="12173" ht="15.75" customHeight="1">
      <c r="A12173" s="2" t="s">
        <v>12173</v>
      </c>
      <c r="B12173" s="2" t="str">
        <f>IFERROR(__xludf.DUMMYFUNCTION("GOOGLETRANSLATE(A12173, ""en"", ""mt"")"),"Sa wara t-tmiem tal-Gwerra tal-Messiku")</f>
        <v>Sa wara t-tmiem tal-Gwerra tal-Messiku</v>
      </c>
    </row>
    <row r="12174" ht="15.75" customHeight="1">
      <c r="A12174" s="2" t="s">
        <v>12174</v>
      </c>
      <c r="B12174" s="2" t="str">
        <f>IFERROR(__xludf.DUMMYFUNCTION("GOOGLETRANSLATE(A12174, ""en"", ""mt"")"),"L-istudenti kif jivvalutaw l-għalliema li jħossu li huma entużjasti?")</f>
        <v>L-istudenti kif jivvalutaw l-għalliema li jħossu li huma entużjasti?</v>
      </c>
    </row>
    <row r="12175" ht="15.75" customHeight="1">
      <c r="A12175" s="2" t="s">
        <v>12175</v>
      </c>
      <c r="B12175" s="2" t="str">
        <f>IFERROR(__xludf.DUMMYFUNCTION("GOOGLETRANSLATE(A12175, ""en"", ""mt"")"),"Il-magni tal-fwar bi pressjoni għolja kienu żgħar biżżejjed li jistgħu jintużaw f'liema applikazzjoni?")</f>
        <v>Il-magni tal-fwar bi pressjoni għolja kienu żgħar biżżejjed li jistgħu jintużaw f'liema applikazzjoni?</v>
      </c>
    </row>
    <row r="12176" ht="15.75" customHeight="1">
      <c r="A12176" s="2" t="s">
        <v>12176</v>
      </c>
      <c r="B12176" s="2" t="str">
        <f>IFERROR(__xludf.DUMMYFUNCTION("GOOGLETRANSLATE(A12176, ""en"", ""mt"")"),"108")</f>
        <v>108</v>
      </c>
    </row>
    <row r="12177" ht="15.75" customHeight="1">
      <c r="A12177" s="2" t="s">
        <v>12177</v>
      </c>
      <c r="B12177" s="2" t="str">
        <f>IFERROR(__xludf.DUMMYFUNCTION("GOOGLETRANSLATE(A12177, ""en"", ""mt"")"),"Liema żewġ xjenzati kienu proponenti tat-teorija umoristika tal-immunità?")</f>
        <v>Liema żewġ xjenzati kienu proponenti tat-teorija umoristika tal-immunità?</v>
      </c>
    </row>
    <row r="12178" ht="15.75" customHeight="1">
      <c r="A12178" s="2" t="s">
        <v>12178</v>
      </c>
      <c r="B12178" s="2" t="str">
        <f>IFERROR(__xludf.DUMMYFUNCTION("GOOGLETRANSLATE(A12178, ""en"", ""mt"")"),"Min ikkawża x-xoljiment tal-Imperu Ruman Qaddis?")</f>
        <v>Min ikkawża x-xoljiment tal-Imperu Ruman Qaddis?</v>
      </c>
    </row>
    <row r="12179" ht="15.75" customHeight="1">
      <c r="A12179" s="2" t="s">
        <v>12179</v>
      </c>
      <c r="B12179" s="2" t="str">
        <f>IFERROR(__xludf.DUMMYFUNCTION("GOOGLETRANSLATE(A12179, ""en"", ""mt"")"),"Luther iġġustifika l-oppożizzjoni tiegħu għar-ribelli għal tliet raġunijiet. L-ewwel, fl-għażla tal-vjolenza fuq sottomissjoni legali lill-gvern sekulari, huma kienu jinjoraw il-parir ta 'Kristu biex ""jirrendu lil Ċesari l-affarijiet li huma Caesar""; Sa"&amp;"n Pawl kien kiteb fl-epistola tiegħu lir-Rumani 13: 1-7 li l-awtoritajiet kollha huma maħtura minn Alla u għalhekk m'għandhomx jiġu rreżistiti. Din ir-referenza mill-Bibbja tifforma l-pedament għad-duttrina magħrufa bħala d-dritt divin tar-rejiet, jew, fi"&amp;"l-każ Ġermaniż, id-dritt divin tal-prinċpijiet. It-tieni, l-azzjonijiet vjolenti ta 'ribelli, serq u serq poġġew lill-bdiewa ""barra l-liġi ta' Alla u l-Imperu"", u għalhekk ħaqqhom ""mewt fil-ġisem u r-ruħ, jekk biss bħala awtostradi u qattiela."" Fl-aħħ"&amp;"arnett, Luther akkuża lir-ribelli bi dagħa talli sejħu lilhom infushom ""Ħutna Kristjana"" u wettqu l-atti midinba tagħhom taħt il-bandiera tal-Evanġelju.")</f>
        <v>Luther iġġustifika l-oppożizzjoni tiegħu għar-ribelli għal tliet raġunijiet. L-ewwel, fl-għażla tal-vjolenza fuq sottomissjoni legali lill-gvern sekulari, huma kienu jinjoraw il-parir ta 'Kristu biex "jirrendu lil Ċesari l-affarijiet li huma Caesar"; San Pawl kien kiteb fl-epistola tiegħu lir-Rumani 13: 1-7 li l-awtoritajiet kollha huma maħtura minn Alla u għalhekk m'għandhomx jiġu rreżistiti. Din ir-referenza mill-Bibbja tifforma l-pedament għad-duttrina magħrufa bħala d-dritt divin tar-rejiet, jew, fil-każ Ġermaniż, id-dritt divin tal-prinċpijiet. It-tieni, l-azzjonijiet vjolenti ta 'ribelli, serq u serq poġġew lill-bdiewa "barra l-liġi ta' Alla u l-Imperu", u għalhekk ħaqqhom "mewt fil-ġisem u r-ruħ, jekk biss bħala awtostradi u qattiela." Fl-aħħarnett, Luther akkuża lir-ribelli bi dagħa talli sejħu lilhom infushom "Ħutna Kristjana" u wettqu l-atti midinba tagħhom taħt il-bandiera tal-Evanġelju.</v>
      </c>
    </row>
    <row r="12180" ht="15.75" customHeight="1">
      <c r="A12180" s="2" t="s">
        <v>12180</v>
      </c>
      <c r="B12180" s="2" t="str">
        <f>IFERROR(__xludf.DUMMYFUNCTION("GOOGLETRANSLATE(A12180, ""en"", ""mt"")"),"New Holland")</f>
        <v>New Holland</v>
      </c>
    </row>
    <row r="12181" ht="15.75" customHeight="1">
      <c r="A12181" s="2" t="s">
        <v>12181</v>
      </c>
      <c r="B12181" s="2" t="str">
        <f>IFERROR(__xludf.DUMMYFUNCTION("GOOGLETRANSLATE(A12181, ""en"", ""mt"")"),"Toyota Hilux")</f>
        <v>Toyota Hilux</v>
      </c>
    </row>
    <row r="12182" ht="15.75" customHeight="1">
      <c r="A12182" s="2" t="s">
        <v>12182</v>
      </c>
      <c r="B12182" s="2" t="str">
        <f>IFERROR(__xludf.DUMMYFUNCTION("GOOGLETRANSLATE(A12182, ""en"", ""mt"")"),"cortisol u katekolamini")</f>
        <v>cortisol u katekolamini</v>
      </c>
    </row>
    <row r="12183" ht="15.75" customHeight="1">
      <c r="A12183" s="2" t="s">
        <v>12183</v>
      </c>
      <c r="B12183" s="2" t="str">
        <f>IFERROR(__xludf.DUMMYFUNCTION("GOOGLETRANSLATE(A12183, ""en"", ""mt"")"),"Skond it-teorema ta 'Wilson, liema fatt irid ikun diviżibbli minn n jekk xi numru sħiħ n&gt; 4 għandu jkun ikkunsidrat bħala kompost?")</f>
        <v>Skond it-teorema ta 'Wilson, liema fatt irid ikun diviżibbli minn n jekk xi numru sħiħ n&gt; 4 għandu jkun ikkunsidrat bħala kompost?</v>
      </c>
    </row>
    <row r="12184" ht="15.75" customHeight="1">
      <c r="A12184" s="2" t="s">
        <v>12184</v>
      </c>
      <c r="B12184" s="2" t="str">
        <f>IFERROR(__xludf.DUMMYFUNCTION("GOOGLETRANSLATE(A12184, ""en"", ""mt"")"),"Għal żmien twil, kien maħsub li l-foresta tropikali tal-Amażonja kienet biss ippopolata ftit, peress li kien impossibbli li ssostni popolazzjoni kbira permezz tal-agrikoltura minħabba l-ħamrija fqira. L-arkeologu Betty Meggers kienet proponent prominenti "&amp;"ta 'din l-idea, kif deskritt fil-ktieb tagħha Amazonia: Man and Culture in a Fals Paradise. Hija sostniet li densità ta 'popolazzjoni ta' 0.2 abitanti għal kull kilometru kwadru (0.52 / sq mi) hija l-massimu li jista 'jiġi sostnut fil-foresta tropikali pe"&amp;"rmezz tal-kaċċa, bl-agrikoltura meħtieġa biex tospita popolazzjoni akbar. Madankollu, sejbiet antropoloġiċi reċenti ssuġġerew li r-reġjun kien attwalment popolat densament. Xi 5 miljun persuna setgħu għexu fir-reġjun tal-Amażonja fl-1500 AD, maqsuma bejn "&amp;"insedjamenti kostali densi, bħal dak f'Marijó, u dawk li joqogħdu interni. Sal-1900 il-popolazzjoni kienet naqset għal 1 miljun u sal-bidu tas-snin 1980 kienet inqas minn 200,000.")</f>
        <v>Għal żmien twil, kien maħsub li l-foresta tropikali tal-Amażonja kienet biss ippopolata ftit, peress li kien impossibbli li ssostni popolazzjoni kbira permezz tal-agrikoltura minħabba l-ħamrija fqira. L-arkeologu Betty Meggers kienet proponent prominenti ta 'din l-idea, kif deskritt fil-ktieb tagħha Amazonia: Man and Culture in a Fals Paradise. Hija sostniet li densità ta 'popolazzjoni ta' 0.2 abitanti għal kull kilometru kwadru (0.52 / sq mi) hija l-massimu li jista 'jiġi sostnut fil-foresta tropikali permezz tal-kaċċa, bl-agrikoltura meħtieġa biex tospita popolazzjoni akbar. Madankollu, sejbiet antropoloġiċi reċenti ssuġġerew li r-reġjun kien attwalment popolat densament. Xi 5 miljun persuna setgħu għexu fir-reġjun tal-Amażonja fl-1500 AD, maqsuma bejn insedjamenti kostali densi, bħal dak f'Marijó, u dawk li joqogħdu interni. Sal-1900 il-popolazzjoni kienet naqset għal 1 miljun u sal-bidu tas-snin 1980 kienet inqas minn 200,000.</v>
      </c>
    </row>
    <row r="12185" ht="15.75" customHeight="1">
      <c r="A12185" s="2" t="s">
        <v>12185</v>
      </c>
      <c r="B12185" s="2" t="str">
        <f>IFERROR(__xludf.DUMMYFUNCTION("GOOGLETRANSLATE(A12185, ""en"", ""mt"")"),"Minn liema skala l-liberalizzazzjoni tal-kummerċ tbiddel l-inugwaljanza ekonomika?")</f>
        <v>Minn liema skala l-liberalizzazzjoni tal-kummerċ tbiddel l-inugwaljanza ekonomika?</v>
      </c>
    </row>
    <row r="12186" ht="15.75" customHeight="1">
      <c r="A12186" s="2" t="s">
        <v>12186</v>
      </c>
      <c r="B12186" s="2" t="str">
        <f>IFERROR(__xludf.DUMMYFUNCTION("GOOGLETRANSLATE(A12186, ""en"", ""mt"")"),"irġiel żgħażagħ li ma kinux iġġieldu")</f>
        <v>irġiel żgħażagħ li ma kinux iġġieldu</v>
      </c>
    </row>
    <row r="12187" ht="15.75" customHeight="1">
      <c r="A12187" s="2" t="s">
        <v>12187</v>
      </c>
      <c r="B12187" s="2" t="str">
        <f>IFERROR(__xludf.DUMMYFUNCTION("GOOGLETRANSLATE(A12187, ""en"", ""mt"")"),"X'qed tpoġġi struttura ġerarkika fis-seħħ?")</f>
        <v>X'qed tpoġġi struttura ġerarkika fis-seħħ?</v>
      </c>
    </row>
    <row r="12188" ht="15.75" customHeight="1">
      <c r="A12188" s="2" t="s">
        <v>12188</v>
      </c>
      <c r="B12188" s="2" t="str">
        <f>IFERROR(__xludf.DUMMYFUNCTION("GOOGLETRANSLATE(A12188, ""en"", ""mt"")"),"Għal liema kumpanija ħadmet is-Sinjura Foster?")</f>
        <v>Għal liema kumpanija ħadmet is-Sinjura Foster?</v>
      </c>
    </row>
    <row r="12189" ht="15.75" customHeight="1">
      <c r="A12189" s="2" t="s">
        <v>12189</v>
      </c>
      <c r="B12189" s="2" t="str">
        <f>IFERROR(__xludf.DUMMYFUNCTION("GOOGLETRANSLATE(A12189, ""en"", ""mt"")"),"F'liema rivista Tesla tkellmet dwar li tirrifletti l-elettriku barra mill-bwieq ta 'sottomarini?")</f>
        <v>F'liema rivista Tesla tkellmet dwar li tirrifletti l-elettriku barra mill-bwieq ta 'sottomarini?</v>
      </c>
    </row>
    <row r="12190" ht="15.75" customHeight="1">
      <c r="A12190" s="2" t="s">
        <v>12190</v>
      </c>
      <c r="B12190" s="2" t="str">
        <f>IFERROR(__xludf.DUMMYFUNCTION("GOOGLETRANSLATE(A12190, ""en"", ""mt"")"),"1705")</f>
        <v>1705</v>
      </c>
    </row>
    <row r="12191" ht="15.75" customHeight="1">
      <c r="A12191" s="2" t="s">
        <v>12191</v>
      </c>
      <c r="B12191" s="2" t="str">
        <f>IFERROR(__xludf.DUMMYFUNCTION("GOOGLETRANSLATE(A12191, ""en"", ""mt"")"),"Liema tip ta 'arkitettura ġie qabel Norman fl-Ingilterra?")</f>
        <v>Liema tip ta 'arkitettura ġie qabel Norman fl-Ingilterra?</v>
      </c>
    </row>
    <row r="12192" ht="15.75" customHeight="1">
      <c r="A12192" s="2" t="s">
        <v>12192</v>
      </c>
      <c r="B12192" s="2" t="str">
        <f>IFERROR(__xludf.DUMMYFUNCTION("GOOGLETRANSLATE(A12192, ""en"", ""mt"")"),"Hollywood")</f>
        <v>Hollywood</v>
      </c>
    </row>
    <row r="12193" ht="15.75" customHeight="1">
      <c r="A12193" s="2" t="s">
        <v>12193</v>
      </c>
      <c r="B12193" s="2" t="str">
        <f>IFERROR(__xludf.DUMMYFUNCTION("GOOGLETRANSLATE(A12193, ""en"", ""mt"")"),"Liema komunità ta 'Jacksonville hija magħrufa li għandha rabtiet kbar man-Navy?")</f>
        <v>Liema komunità ta 'Jacksonville hija magħrufa li għandha rabtiet kbar man-Navy?</v>
      </c>
    </row>
    <row r="12194" ht="15.75" customHeight="1">
      <c r="A12194" s="2" t="s">
        <v>12194</v>
      </c>
      <c r="B12194" s="2" t="str">
        <f>IFERROR(__xludf.DUMMYFUNCTION("GOOGLETRANSLATE(A12194, ""en"", ""mt"")"),"1805")</f>
        <v>1805</v>
      </c>
    </row>
    <row r="12195" ht="15.75" customHeight="1">
      <c r="A12195" s="2" t="s">
        <v>12195</v>
      </c>
      <c r="B12195" s="2" t="str">
        <f>IFERROR(__xludf.DUMMYFUNCTION("GOOGLETRANSLATE(A12195, ""en"", ""mt"")"),"Speċifiċità naturali tas-sistema immunitarja")</f>
        <v>Speċifiċità naturali tas-sistema immunitarja</v>
      </c>
    </row>
    <row r="12196" ht="15.75" customHeight="1">
      <c r="A12196" s="2" t="s">
        <v>12196</v>
      </c>
      <c r="B12196" s="2" t="str">
        <f>IFERROR(__xludf.DUMMYFUNCTION("GOOGLETRANSLATE(A12196, ""en"", ""mt"")"),"Dawn l-attakki rreżonjaw mal-Musulmani konservattivi u l-problema ma marrux bit-telfa ta 'Saddam, peress li t-truppi Amerikani baqgħu stazzjonati fir-renju, u kooperazzjoni de facto mal-proċess ta' paċi Palestinjan-Iżraeljan żviluppat. L-Arabja Sawdita pp"&amp;"ruvat tikkumpensa għat-telf tagħha ta 'prestiġju fost dawn il-gruppi billi rażżan dawk l-Iżlamisti domestiċi li attakkawha (bin Laden bħala eżempju ewlieni), u żżid l-għajnuna għal gruppi Iżlamiċi (madrassas Iżlamisti madwar id-dinja u anke għenet xi grup"&amp;"pi Iżlamiċi vjolenti) Dak ma kienx, iżda l-influwenza ta 'qabel il-gwerra tagħha f'isem il-moderazzjoni tnaqqset ħafna. Riżultat ta ’dan kien kampanja ta’ attakki fuq uffiċjali tal-gvern u turisti fl-Eġittu, gwerra ċivili mdemmi fl-Alġerija u l-attakki ta"&amp;" ’terrur ta’ Osama Bin Laden li qegħdin fil-qofol fl-attakk tad-9/11.")</f>
        <v>Dawn l-attakki rreżonjaw mal-Musulmani konservattivi u l-problema ma marrux bit-telfa ta 'Saddam, peress li t-truppi Amerikani baqgħu stazzjonati fir-renju, u kooperazzjoni de facto mal-proċess ta' paċi Palestinjan-Iżraeljan żviluppat. L-Arabja Sawdita ppruvat tikkumpensa għat-telf tagħha ta 'prestiġju fost dawn il-gruppi billi rażżan dawk l-Iżlamisti domestiċi li attakkawha (bin Laden bħala eżempju ewlieni), u żżid l-għajnuna għal gruppi Iżlamiċi (madrassas Iżlamisti madwar id-dinja u anke għenet xi gruppi Iżlamiċi vjolenti) Dak ma kienx, iżda l-influwenza ta 'qabel il-gwerra tagħha f'isem il-moderazzjoni tnaqqset ħafna. Riżultat ta ’dan kien kampanja ta’ attakki fuq uffiċjali tal-gvern u turisti fl-Eġittu, gwerra ċivili mdemmi fl-Alġerija u l-attakki ta ’terrur ta’ Osama Bin Laden li qegħdin fil-qofol fl-attakk tad-9/11.</v>
      </c>
    </row>
    <row r="12197" ht="15.75" customHeight="1">
      <c r="A12197" s="2" t="s">
        <v>12197</v>
      </c>
      <c r="B12197" s="2" t="str">
        <f>IFERROR(__xludf.DUMMYFUNCTION("GOOGLETRANSLATE(A12197, ""en"", ""mt"")"),"X'kienet id-data tal-ewwel episodju ta 'Doctor Who?")</f>
        <v>X'kienet id-data tal-ewwel episodju ta 'Doctor Who?</v>
      </c>
    </row>
    <row r="12198" ht="15.75" customHeight="1">
      <c r="A12198" s="2" t="s">
        <v>12198</v>
      </c>
      <c r="B12198" s="2" t="str">
        <f>IFERROR(__xludf.DUMMYFUNCTION("GOOGLETRANSLATE(A12198, ""en"", ""mt"")"),"Sistema Rift N - S")</f>
        <v>Sistema Rift N - S</v>
      </c>
    </row>
    <row r="12199" ht="15.75" customHeight="1">
      <c r="A12199" s="2" t="s">
        <v>12199</v>
      </c>
      <c r="B12199" s="2" t="str">
        <f>IFERROR(__xludf.DUMMYFUNCTION("GOOGLETRANSLATE(A12199, ""en"", ""mt"")"),"Liema film ħallas Lionsgate biex it-trejler jixxandar matul is-Super Bowl?")</f>
        <v>Liema film ħallas Lionsgate biex it-trejler jixxandar matul is-Super Bowl?</v>
      </c>
    </row>
    <row r="12200" ht="15.75" customHeight="1">
      <c r="A12200" s="2" t="s">
        <v>12200</v>
      </c>
      <c r="B12200" s="2" t="str">
        <f>IFERROR(__xludf.DUMMYFUNCTION("GOOGLETRANSLATE(A12200, ""en"", ""mt"")"),"Id-drittijiet fundamentali, bħal fid-drittijiet tal-bniedem, ġew rikonoxxuti l-ewwel mill-Qorti Ewropea tal-Ġustizzja fl-aħħar tas-snin 60 u d-drittijiet fundamentali issa huma meqjusa bħala parti integrali tal-prinċipji ġenerali tal-liġi tal-Unjoni Ewrop"&amp;"ea. Bħala tali il-Qorti Ewropea tal-Ġustizzja hija marbuta li tiġbed l-ispirazzjoni mit-tradizzjonijiet kostituzzjonali komuni għall-Istati Membri. Għalhekk, il-Qorti Ewropea tal-Ġustizzja ma tistax iżżomm miżuri li huma inkompatibbli mad-drittijiet funda"&amp;"mentali rikonoxxuti u protetti fil-Kostituzzjonijiet ta 'l-Istati Membri. Il-Qorti Ewropea tal-Ġustizzja sabet ukoll li ""trattati internazzjonali għall-protezzjoni tad-drittijiet tal-bniedem li fuqhom ikkollaboraw l-Istati Membri jew li huma firmatarji, "&amp;"jistgħu jipprovdu linji gwida li għandhom jiġu segwiti fil-qafas tal-liġi tal-komunità.""")</f>
        <v>Id-drittijiet fundamentali, bħal fid-drittijiet tal-bniedem, ġew rikonoxxuti l-ewwel mill-Qorti Ewropea tal-Ġustizzja fl-aħħar tas-snin 60 u d-drittijiet fundamentali issa huma meqjusa bħala parti integrali tal-prinċipji ġenerali tal-liġi tal-Unjoni Ewropea. Bħala tali il-Qorti Ewropea tal-Ġustizzja hija marbuta li tiġbed l-ispirazzjoni mit-tradizzjonijiet kostituzzjonali komuni għall-Istati Membri. Għalhekk, il-Qorti Ewropea tal-Ġustizzja ma tistax iżżomm miżuri li huma inkompatibbli mad-drittijiet fundamentali rikonoxxuti u protetti fil-Kostituzzjonijiet ta 'l-Istati Membri. Il-Qorti Ewropea tal-Ġustizzja sabet ukoll li "trattati internazzjonali għall-protezzjoni tad-drittijiet tal-bniedem li fuqhom ikkollaboraw l-Istati Membri jew li huma firmatarji, jistgħu jipprovdu linji gwida li għandhom jiġu segwiti fil-qafas tal-liġi tal-komunità."</v>
      </c>
    </row>
    <row r="12201" ht="15.75" customHeight="1">
      <c r="A12201" s="2" t="s">
        <v>12201</v>
      </c>
      <c r="B12201" s="2" t="str">
        <f>IFERROR(__xludf.DUMMYFUNCTION("GOOGLETRANSLATE(A12201, ""en"", ""mt"")"),"Kif tissejjaħ meta jkun hemm tentattiv attiv biex jitwaqqa 'gvern jew sistema ta' twemmin?")</f>
        <v>Kif tissejjaħ meta jkun hemm tentattiv attiv biex jitwaqqa 'gvern jew sistema ta' twemmin?</v>
      </c>
    </row>
    <row r="12202" ht="15.75" customHeight="1">
      <c r="A12202" s="2" t="s">
        <v>12202</v>
      </c>
      <c r="B12202" s="2" t="str">
        <f>IFERROR(__xludf.DUMMYFUNCTION("GOOGLETRANSLATE(A12202, ""en"", ""mt"")"),"Li tieħu xhieda minn xhieda hija waħda mill-kumitati?")</f>
        <v>Li tieħu xhieda minn xhieda hija waħda mill-kumitati?</v>
      </c>
    </row>
    <row r="12203" ht="15.75" customHeight="1">
      <c r="A12203" s="2" t="s">
        <v>12203</v>
      </c>
      <c r="B12203" s="2" t="str">
        <f>IFERROR(__xludf.DUMMYFUNCTION("GOOGLETRANSLATE(A12203, ""en"", ""mt"")"),"Art Kontinentali 1600-1800")</f>
        <v>Art Kontinentali 1600-1800</v>
      </c>
    </row>
    <row r="12204" ht="15.75" customHeight="1">
      <c r="A12204" s="2" t="s">
        <v>12204</v>
      </c>
      <c r="B12204" s="2" t="str">
        <f>IFERROR(__xludf.DUMMYFUNCTION("GOOGLETRANSLATE(A12204, ""en"", ""mt"")"),"Kemm siġġijiet għandhom partit politiku għandu jkun irrappreżentat fuq il-Bureau Parlamentari?")</f>
        <v>Kemm siġġijiet għandhom partit politiku għandu jkun irrappreżentat fuq il-Bureau Parlamentari?</v>
      </c>
    </row>
    <row r="12205" ht="15.75" customHeight="1">
      <c r="A12205" s="2" t="s">
        <v>12205</v>
      </c>
      <c r="B12205" s="2" t="str">
        <f>IFERROR(__xludf.DUMMYFUNCTION("GOOGLETRANSLATE(A12205, ""en"", ""mt"")"),"L-isferi kollha tal-ħajja")</f>
        <v>L-isferi kollha tal-ħajja</v>
      </c>
    </row>
    <row r="12206" ht="15.75" customHeight="1">
      <c r="A12206" s="2" t="s">
        <v>12206</v>
      </c>
      <c r="B12206" s="2" t="str">
        <f>IFERROR(__xludf.DUMMYFUNCTION("GOOGLETRANSLATE(A12206, ""en"", ""mt"")"),"Min lagħbu l-Panthers fil-logħba tal-kampjonat tad-diviżjoni tagħhom?")</f>
        <v>Min lagħbu l-Panthers fil-logħba tal-kampjonat tad-diviżjoni tagħhom?</v>
      </c>
    </row>
    <row r="12207" ht="15.75" customHeight="1">
      <c r="A12207" s="2" t="s">
        <v>12207</v>
      </c>
      <c r="B12207" s="2" t="str">
        <f>IFERROR(__xludf.DUMMYFUNCTION("GOOGLETRANSLATE(A12207, ""en"", ""mt"")"),"Min jista 'jkun fil-Kabinett Vittorjan?")</f>
        <v>Min jista 'jkun fil-Kabinett Vittorjan?</v>
      </c>
    </row>
    <row r="12208" ht="15.75" customHeight="1">
      <c r="A12208" s="2" t="s">
        <v>12208</v>
      </c>
      <c r="B12208" s="2" t="str">
        <f>IFERROR(__xludf.DUMMYFUNCTION("GOOGLETRANSLATE(A12208, ""en"", ""mt"")"),"M. Theo Kearney")</f>
        <v>M. Theo Kearney</v>
      </c>
    </row>
    <row r="12209" ht="15.75" customHeight="1">
      <c r="A12209" s="2" t="s">
        <v>12209</v>
      </c>
      <c r="B12209" s="2" t="str">
        <f>IFERROR(__xludf.DUMMYFUNCTION("GOOGLETRANSLATE(A12209, ""en"", ""mt"")"),"Qutb's")</f>
        <v>Qutb's</v>
      </c>
    </row>
    <row r="12210" ht="15.75" customHeight="1">
      <c r="A12210" s="2" t="s">
        <v>12210</v>
      </c>
      <c r="B12210" s="2" t="str">
        <f>IFERROR(__xludf.DUMMYFUNCTION("GOOGLETRANSLATE(A12210, ""en"", ""mt"")"),"Statokist")</f>
        <v>Statokist</v>
      </c>
    </row>
    <row r="12211" ht="15.75" customHeight="1">
      <c r="A12211" s="2" t="s">
        <v>12211</v>
      </c>
      <c r="B12211" s="2" t="str">
        <f>IFERROR(__xludf.DUMMYFUNCTION("GOOGLETRANSLATE(A12211, ""en"", ""mt"")"),"Levi's Stadium.")</f>
        <v>Levi's Stadium.</v>
      </c>
    </row>
    <row r="12212" ht="15.75" customHeight="1">
      <c r="A12212" s="2" t="s">
        <v>12212</v>
      </c>
      <c r="B12212" s="2" t="str">
        <f>IFERROR(__xludf.DUMMYFUNCTION("GOOGLETRANSLATE(A12212, ""en"", ""mt"")"),"Xi jfisser xi ħadd li jlesti l-programm inizjali tal-edukazzjoni tal-għalliema (ITE)?")</f>
        <v>Xi jfisser xi ħadd li jlesti l-programm inizjali tal-edukazzjoni tal-għalliema (ITE)?</v>
      </c>
    </row>
    <row r="12213" ht="15.75" customHeight="1">
      <c r="A12213" s="2" t="s">
        <v>12213</v>
      </c>
      <c r="B12213" s="2" t="str">
        <f>IFERROR(__xludf.DUMMYFUNCTION("GOOGLETRANSLATE(A12213, ""en"", ""mt"")"),"Is-sħana meħtieġa għat-togħlija tal-ilma u l-forniment tal-fwar tista 'tiġi derivata minn sorsi varji, l-iktar komunement minn ħruq ta' materjali kombustibbli b'forniment xieraq ta 'arja fi spazju magħluq (imsejjaħ kamra tal-kombustjoni varjament, firebox"&amp;"). F’xi każijiet is-sors tas-sħana huwa reattur nukleari, enerġija ġeotermali, enerġija solari jew sħana tal-iskart minn magna ta ’kombustjoni interna jew proċess industrijali. Fil-każ ta 'magni tal-fwar tal-mudell jew tal-ġugarell, is-sors tas-sħana jist"&amp;"a' jkun element ta 'tisħin elettriku.")</f>
        <v>Is-sħana meħtieġa għat-togħlija tal-ilma u l-forniment tal-fwar tista 'tiġi derivata minn sorsi varji, l-iktar komunement minn ħruq ta' materjali kombustibbli b'forniment xieraq ta 'arja fi spazju magħluq (imsejjaħ kamra tal-kombustjoni varjament, firebox). F’xi każijiet is-sors tas-sħana huwa reattur nukleari, enerġija ġeotermali, enerġija solari jew sħana tal-iskart minn magna ta ’kombustjoni interna jew proċess industrijali. Fil-każ ta 'magni tal-fwar tal-mudell jew tal-ġugarell, is-sors tas-sħana jista' jkun element ta 'tisħin elettriku.</v>
      </c>
    </row>
    <row r="12214" ht="15.75" customHeight="1">
      <c r="A12214" s="2" t="s">
        <v>12214</v>
      </c>
      <c r="B12214" s="2" t="str">
        <f>IFERROR(__xludf.DUMMYFUNCTION("GOOGLETRANSLATE(A12214, ""en"", ""mt"")"),"Għal min lagħab John Elway fis-Super Bowl XXXIII?")</f>
        <v>Għal min lagħab John Elway fis-Super Bowl XXXIII?</v>
      </c>
    </row>
    <row r="12215" ht="15.75" customHeight="1">
      <c r="A12215" s="2" t="s">
        <v>12215</v>
      </c>
      <c r="B12215" s="2" t="str">
        <f>IFERROR(__xludf.DUMMYFUNCTION("GOOGLETRANSLATE(A12215, ""en"", ""mt"")"),"Thomas Davis")</f>
        <v>Thomas Davis</v>
      </c>
    </row>
    <row r="12216" ht="15.75" customHeight="1">
      <c r="A12216" s="2" t="s">
        <v>12216</v>
      </c>
      <c r="B12216" s="2" t="str">
        <f>IFERROR(__xludf.DUMMYFUNCTION("GOOGLETRANSLATE(A12216, ""en"", ""mt"")"),"Bejn wieħed u ieħor kif il-kotba Alexander Dyce ingħata lill-mużew?")</f>
        <v>Bejn wieħed u ieħor kif il-kotba Alexander Dyce ingħata lill-mużew?</v>
      </c>
    </row>
    <row r="12217" ht="15.75" customHeight="1">
      <c r="A12217" s="2" t="s">
        <v>12217</v>
      </c>
      <c r="B12217" s="2" t="str">
        <f>IFERROR(__xludf.DUMMYFUNCTION("GOOGLETRANSLATE(A12217, ""en"", ""mt"")"),"Settembru 1944")</f>
        <v>Settembru 1944</v>
      </c>
    </row>
    <row r="12218" ht="15.75" customHeight="1">
      <c r="A12218" s="2" t="s">
        <v>12218</v>
      </c>
      <c r="B12218" s="2" t="str">
        <f>IFERROR(__xludf.DUMMYFUNCTION("GOOGLETRANSLATE(A12218, ""en"", ""mt"")"),"CBS ipprovda flussi diġitali tal-logħba permezz ta 'cbsports.com, u l-apps sportivi CBS fuq pilloli, Windows 10, Xbox One u plejers tal-midja diġitali oħra (bħal Chromecast u Roku). Minħabba l-esklussività tal-komunikazzjonijiet ta 'Verizon, l-istriming f"&amp;"uq smartphones ġie pprovdut biss lill-klijenti bla fili Verizon permezz tas-servizz mobbli NFL. Ix-xandira Spanjola Deportes ESPN saret disponibbli permezz ta ’Watchespn.")</f>
        <v>CBS ipprovda flussi diġitali tal-logħba permezz ta 'cbsports.com, u l-apps sportivi CBS fuq pilloli, Windows 10, Xbox One u plejers tal-midja diġitali oħra (bħal Chromecast u Roku). Minħabba l-esklussività tal-komunikazzjonijiet ta 'Verizon, l-istriming fuq smartphones ġie pprovdut biss lill-klijenti bla fili Verizon permezz tas-servizz mobbli NFL. Ix-xandira Spanjola Deportes ESPN saret disponibbli permezz ta ’Watchespn.</v>
      </c>
    </row>
    <row r="12219" ht="15.75" customHeight="1">
      <c r="A12219" s="2" t="s">
        <v>12219</v>
      </c>
      <c r="B12219" s="2" t="str">
        <f>IFERROR(__xludf.DUMMYFUNCTION("GOOGLETRANSLATE(A12219, ""en"", ""mt"")"),"Liema hija l-akbar belt li mhix konnessa ma 'awtostrada bejn l-istati?")</f>
        <v>Liema hija l-akbar belt li mhix konnessa ma 'awtostrada bejn l-istati?</v>
      </c>
    </row>
    <row r="12220" ht="15.75" customHeight="1">
      <c r="A12220" s="2" t="s">
        <v>12220</v>
      </c>
      <c r="B12220" s="2" t="str">
        <f>IFERROR(__xludf.DUMMYFUNCTION("GOOGLETRANSLATE(A12220, ""en"", ""mt"")"),"it-twaqqif ta 'kummissjoni ġdida u indipendenti u kontra l-korruzzjoni")</f>
        <v>it-twaqqif ta 'kummissjoni ġdida u indipendenti u kontra l-korruzzjoni</v>
      </c>
    </row>
    <row r="12221" ht="15.75" customHeight="1">
      <c r="A12221" s="2" t="s">
        <v>12221</v>
      </c>
      <c r="B12221" s="2" t="str">
        <f>IFERROR(__xludf.DUMMYFUNCTION("GOOGLETRANSLATE(A12221, ""en"", ""mt"")"),"X'jiġri l-beriods bħala snien?")</f>
        <v>X'jiġri l-beriods bħala snien?</v>
      </c>
    </row>
    <row r="12222" ht="15.75" customHeight="1">
      <c r="A12222" s="2" t="s">
        <v>12222</v>
      </c>
      <c r="B12222" s="2" t="str">
        <f>IFERROR(__xludf.DUMMYFUNCTION("GOOGLETRANSLATE(A12222, ""en"", ""mt"")"),"Westinghouse Electric")</f>
        <v>Westinghouse Electric</v>
      </c>
    </row>
    <row r="12223" ht="15.75" customHeight="1">
      <c r="A12223" s="2" t="s">
        <v>12223</v>
      </c>
      <c r="B12223" s="2" t="str">
        <f>IFERROR(__xludf.DUMMYFUNCTION("GOOGLETRANSLATE(A12223, ""en"", ""mt"")"),"ikkanċellat")</f>
        <v>ikkanċellat</v>
      </c>
    </row>
    <row r="12224" ht="15.75" customHeight="1">
      <c r="A12224" s="2" t="s">
        <v>12224</v>
      </c>
      <c r="B12224" s="2" t="str">
        <f>IFERROR(__xludf.DUMMYFUNCTION("GOOGLETRANSLATE(A12224, ""en"", ""mt"")"),"Minħabba t-tensjonijiet fuq l-iskjavitù u l-qawwa tal-isqfijiet fid-denominazzjoni")</f>
        <v>Minħabba t-tensjonijiet fuq l-iskjavitù u l-qawwa tal-isqfijiet fid-denominazzjoni</v>
      </c>
    </row>
    <row r="12225" ht="15.75" customHeight="1">
      <c r="A12225" s="2" t="s">
        <v>12225</v>
      </c>
      <c r="B12225" s="2" t="str">
        <f>IFERROR(__xludf.DUMMYFUNCTION("GOOGLETRANSLATE(A12225, ""en"", ""mt"")"),"L-iskejjel Vittorjani huma jew iffinanzjati pubblikament jew privatament. L-iskejjel pubbliċi, magħrufa wkoll bħala skejjel tal-istat jew tal-gvern, huma ffinanzjati u mmexxija direttament mid-Dipartiment tal-Edukazzjoni tar-Rabat. L-istudenti ma jħallsux"&amp;" miżati għat-tagħlim, iżda xi spejjeż żejda huma imposti. L-iskejjel privati ​​li jħallsu t-tariffi jinkludu skejjel parrokkjali mmexxija mill-Knisja Kattolika Rumana u skejjel indipendenti simili għal skejjel pubbliċi Ingliżi. L-iskejjel indipendenti hum"&amp;"a ġeneralment affiljati mal-knejjes Protestanti. Victoria għandha wkoll diversi skejjel privati ​​tal-Lhud u l-Iżlamiċi u l-iskejjel sekondarji. L-iskejjel privati ​​jirċievu wkoll xi fondi pubbliċi. L-iskejjel kollha għandhom jikkonformaw mal-istandards "&amp;"tal-kurrikulu tal-gvern. Barra minn hekk, Victoria għandha erba 'skejjel selettivi tal-gvern, Melbourne High School for Boys, Macrobertson Girls' High School for Girls, l-Iskejjel Koedukazzjonali John Monash Science School, Nossal High School u Suzanne Co"&amp;"ry High School, u l-Kulleġġ Vittorjan tal-Arts Sekondarja School - Studenti f'dawn l-iskejjel huma ammessi esklussivament abbażi ta 'test ta' dħul selettiv akkademiku.")</f>
        <v>L-iskejjel Vittorjani huma jew iffinanzjati pubblikament jew privatament. L-iskejjel pubbliċi, magħrufa wkoll bħala skejjel tal-istat jew tal-gvern, huma ffinanzjati u mmexxija direttament mid-Dipartiment tal-Edukazzjoni tar-Rabat. L-istudenti ma jħallsux miżati għat-tagħlim, iżda xi spejjeż żejda huma imposti. L-iskejjel privati ​​li jħallsu t-tariffi jinkludu skejjel parrokkjali mmexxija mill-Knisja Kattolika Rumana u skejjel indipendenti simili għal skejjel pubbliċi Ingliżi. L-iskejjel indipendenti huma ġeneralment affiljati mal-knejjes Protestanti. Victoria għandha wkoll diversi skejjel privati ​​tal-Lhud u l-Iżlamiċi u l-iskejjel sekondarji. L-iskejjel privati ​​jirċievu wkoll xi fondi pubbliċi. L-iskejjel kollha għandhom jikkonformaw mal-istandards tal-kurrikulu tal-gvern. Barra minn hekk, Victoria għandha erba 'skejjel selettivi tal-gvern, Melbourne High School for Boys, Macrobertson Girls' High School for Girls, l-Iskejjel Koedukazzjonali John Monash Science School, Nossal High School u Suzanne Cory High School, u l-Kulleġġ Vittorjan tal-Arts Sekondarja School - Studenti f'dawn l-iskejjel huma ammessi esklussivament abbażi ta 'test ta' dħul selettiv akkademiku.</v>
      </c>
    </row>
    <row r="12226" ht="15.75" customHeight="1">
      <c r="A12226" s="2" t="s">
        <v>12226</v>
      </c>
      <c r="B12226" s="2" t="str">
        <f>IFERROR(__xludf.DUMMYFUNCTION("GOOGLETRANSLATE(A12226, ""en"", ""mt"")"),"1300")</f>
        <v>1300</v>
      </c>
    </row>
    <row r="12227" ht="15.75" customHeight="1">
      <c r="A12227" s="2" t="s">
        <v>12227</v>
      </c>
      <c r="B12227" s="2" t="str">
        <f>IFERROR(__xludf.DUMMYFUNCTION("GOOGLETRANSLATE(A12227, ""en"", ""mt"")"),"Min jaġixxi bħala ħaddiem, paymaster, u tim tad-disinn għal proġett ta 'rinnovament?")</f>
        <v>Min jaġixxi bħala ħaddiem, paymaster, u tim tad-disinn għal proġett ta 'rinnovament?</v>
      </c>
    </row>
    <row r="12228" ht="15.75" customHeight="1">
      <c r="A12228" s="2" t="s">
        <v>12228</v>
      </c>
      <c r="B12228" s="2" t="str">
        <f>IFERROR(__xludf.DUMMYFUNCTION("GOOGLETRANSLATE(A12228, ""en"", ""mt"")"),"Xi għalliema u ġenituri favur")</f>
        <v>Xi għalliema u ġenituri favur</v>
      </c>
    </row>
    <row r="12229" ht="15.75" customHeight="1">
      <c r="A12229" s="2" t="s">
        <v>12229</v>
      </c>
      <c r="B12229" s="2" t="str">
        <f>IFERROR(__xludf.DUMMYFUNCTION("GOOGLETRANSLATE(A12229, ""en"", ""mt"")"),"Brick Red u Portland Stone")</f>
        <v>Brick Red u Portland Stone</v>
      </c>
    </row>
    <row r="12230" ht="15.75" customHeight="1">
      <c r="A12230" s="2" t="s">
        <v>12230</v>
      </c>
      <c r="B12230" s="2" t="str">
        <f>IFERROR(__xludf.DUMMYFUNCTION("GOOGLETRANSLATE(A12230, ""en"", ""mt"")"),"Sedimentazzjoni qawwija fid-Delta tar-Renu tal-Punent")</f>
        <v>Sedimentazzjoni qawwija fid-Delta tar-Renu tal-Punent</v>
      </c>
    </row>
    <row r="12231" ht="15.75" customHeight="1">
      <c r="A12231" s="2" t="s">
        <v>12231</v>
      </c>
      <c r="B12231" s="2" t="str">
        <f>IFERROR(__xludf.DUMMYFUNCTION("GOOGLETRANSLATE(A12231, ""en"", ""mt"")"),"X'inhu Anda?")</f>
        <v>X'inhu Anda?</v>
      </c>
    </row>
    <row r="12232" ht="15.75" customHeight="1">
      <c r="A12232" s="2" t="s">
        <v>12232</v>
      </c>
      <c r="B12232" s="2" t="str">
        <f>IFERROR(__xludf.DUMMYFUNCTION("GOOGLETRANSLATE(A12232, ""en"", ""mt"")"),"1928")</f>
        <v>1928</v>
      </c>
    </row>
    <row r="12233" ht="15.75" customHeight="1">
      <c r="A12233" s="2" t="s">
        <v>12233</v>
      </c>
      <c r="B12233" s="2" t="str">
        <f>IFERROR(__xludf.DUMMYFUNCTION("GOOGLETRANSLATE(A12233, ""en"", ""mt"")"),"Meta ġew inklużi r-regoli tal-kompetizzjoni fit-Trattat ta 'Ruma?")</f>
        <v>Meta ġew inklużi r-regoli tal-kompetizzjoni fit-Trattat ta 'Ruma?</v>
      </c>
    </row>
    <row r="12234" ht="15.75" customHeight="1">
      <c r="A12234" s="2" t="s">
        <v>12234</v>
      </c>
      <c r="B12234" s="2" t="str">
        <f>IFERROR(__xludf.DUMMYFUNCTION("GOOGLETRANSLATE(A12234, ""en"", ""mt"")"),"Temüjin-üge")</f>
        <v>Temüjin-üge</v>
      </c>
    </row>
    <row r="12235" ht="15.75" customHeight="1">
      <c r="A12235" s="2" t="s">
        <v>12235</v>
      </c>
      <c r="B12235" s="2" t="str">
        <f>IFERROR(__xludf.DUMMYFUNCTION("GOOGLETRANSLATE(A12235, ""en"", ""mt"")"),"Etajiet tas-silġ")</f>
        <v>Etajiet tas-silġ</v>
      </c>
    </row>
    <row r="12236" ht="15.75" customHeight="1">
      <c r="A12236" s="2" t="s">
        <v>12236</v>
      </c>
      <c r="B12236" s="2" t="str">
        <f>IFERROR(__xludf.DUMMYFUNCTION("GOOGLETRANSLATE(A12236, ""en"", ""mt"")"),"It-Trattat ta ’Ruma 1957 u t-Trattat Maastricht 1992")</f>
        <v>It-Trattat ta ’Ruma 1957 u t-Trattat Maastricht 1992</v>
      </c>
    </row>
    <row r="12237" ht="15.75" customHeight="1">
      <c r="A12237" s="2" t="s">
        <v>12237</v>
      </c>
      <c r="B12237" s="2" t="str">
        <f>IFERROR(__xludf.DUMMYFUNCTION("GOOGLETRANSLATE(A12237, ""en"", ""mt"")"),"2p - 1")</f>
        <v>2p - 1</v>
      </c>
    </row>
    <row r="12238" ht="15.75" customHeight="1">
      <c r="A12238" s="2" t="s">
        <v>12238</v>
      </c>
      <c r="B12238" s="2" t="str">
        <f>IFERROR(__xludf.DUMMYFUNCTION("GOOGLETRANSLATE(A12238, ""en"", ""mt"")"),"Liema spettaklu ġie vvutat l-iktar vjolenti mill-wirjiet tal-BBC fi stħarriġ tal-1972?")</f>
        <v>Liema spettaklu ġie vvutat l-iktar vjolenti mill-wirjiet tal-BBC fi stħarriġ tal-1972?</v>
      </c>
    </row>
    <row r="12239" ht="15.75" customHeight="1">
      <c r="A12239" s="2" t="s">
        <v>12239</v>
      </c>
      <c r="B12239" s="2" t="str">
        <f>IFERROR(__xludf.DUMMYFUNCTION("GOOGLETRANSLATE(A12239, ""en"", ""mt"")"),"Il-viċinat ta 'Sunnyside jinsab fuq in-naħa tax-Xlokk' il bogħod ta 'Fresno, imdawwar minn Vjal Chestnut lejn il-punent. It-toroq ewlenin tagħha huma Kings Canyon Avenue u Clovis Avenue. Għalkemm partijiet ta 'Sunnyside jinsabu fil-belt ta' Fresno, ħafna "&amp;"mill-viċinat hija ""gżira tal-kontea"" fil-Kontea ta 'Fresno. Żviluppat fil-biċċa l-kbira fis-snin 1950 sas-snin sebgħin, dan l-aħħar esperjenza żieda fil-kostruzzjoni tad-dar il-ġdida. Hija wkoll id-dar ta 'Sunnyside Country Club, li żżomm korsa tal-golf"&amp;" iddisinjata minn William P. Bell.")</f>
        <v>Il-viċinat ta 'Sunnyside jinsab fuq in-naħa tax-Xlokk' il bogħod ta 'Fresno, imdawwar minn Vjal Chestnut lejn il-punent. It-toroq ewlenin tagħha huma Kings Canyon Avenue u Clovis Avenue. Għalkemm partijiet ta 'Sunnyside jinsabu fil-belt ta' Fresno, ħafna mill-viċinat hija "gżira tal-kontea" fil-Kontea ta 'Fresno. Żviluppat fil-biċċa l-kbira fis-snin 1950 sas-snin sebgħin, dan l-aħħar esperjenza żieda fil-kostruzzjoni tad-dar il-ġdida. Hija wkoll id-dar ta 'Sunnyside Country Club, li żżomm korsa tal-golf iddisinjata minn William P. Bell.</v>
      </c>
    </row>
    <row r="12240" ht="15.75" customHeight="1">
      <c r="A12240" s="2" t="s">
        <v>12240</v>
      </c>
      <c r="B12240" s="2" t="str">
        <f>IFERROR(__xludf.DUMMYFUNCTION("GOOGLETRANSLATE(A12240, ""en"", ""mt"")"),"permezz ta ’kuntatt ma’ negozjanti Persjani")</f>
        <v>permezz ta ’kuntatt ma’ negozjanti Persjani</v>
      </c>
    </row>
    <row r="12241" ht="15.75" customHeight="1">
      <c r="A12241" s="2" t="s">
        <v>12241</v>
      </c>
      <c r="B12241" s="2" t="str">
        <f>IFERROR(__xludf.DUMMYFUNCTION("GOOGLETRANSLATE(A12241, ""en"", ""mt"")"),"Interkonnessjoni b'veloċità għolja")</f>
        <v>Interkonnessjoni b'veloċità għolja</v>
      </c>
    </row>
    <row r="12242" ht="15.75" customHeight="1">
      <c r="A12242" s="2" t="s">
        <v>12242</v>
      </c>
      <c r="B12242" s="2" t="str">
        <f>IFERROR(__xludf.DUMMYFUNCTION("GOOGLETRANSLATE(A12242, ""en"", ""mt"")"),"Kif miet l-aħħar kanzunetta tal-kanzunetta?")</f>
        <v>Kif miet l-aħħar kanzunetta tal-kanzunetta?</v>
      </c>
    </row>
    <row r="12243" ht="15.75" customHeight="1">
      <c r="A12243" s="2" t="s">
        <v>12243</v>
      </c>
      <c r="B12243" s="2" t="str">
        <f>IFERROR(__xludf.DUMMYFUNCTION("GOOGLETRANSLATE(A12243, ""en"", ""mt"")"),"Ma kienx sal-aħħar tas-snin 1950 li n-netwerk ABC sar konkorrent serju għal NBC u CBS, u dan kien fil-parti l-kbira minħabba l-firxa diversa ta 'programmazzjoni li laħqet l-aspettattivi tal-pubbliku, bħal Westerns u Detective Series. Minkejja żieda ta 'kw"&amp;"ażi 500% fid-dħul tar-reklamar bejn l-1953 u l-1958, in-netwerk kellu biss firxa nazzjonali ta' bejn 10% u 18% tal-popolazzjoni totali ta 'l-Istati Uniti, peress li xorta kellha relattivament inqas affiljati minn NBC u CBS. Fl-1957, il-President tal-ABC E"&amp;"ntertainment Ollie Treiz skopra li l-Variety Show Prodott lokalment kien ġibed klassifikazzjonijiet qawwija ħafna fis-suq ta 'Philadelphia fuq WFIL-TV; Treiz fl-aħħar innegozja ftehim biex jieħu l-ispettaklu Nazzjonali, taħt it-titlu rivedut American Band"&amp;"stand; L-ispettaklu malajr sar fenomenu soċjali billi ppreżenta talent mużikali ġdid u żfin għaż-żgħażagħ tal-Amerika u għen biex tagħmel stilla mill-ospitanti tagħha, Dick Clark.")</f>
        <v>Ma kienx sal-aħħar tas-snin 1950 li n-netwerk ABC sar konkorrent serju għal NBC u CBS, u dan kien fil-parti l-kbira minħabba l-firxa diversa ta 'programmazzjoni li laħqet l-aspettattivi tal-pubbliku, bħal Westerns u Detective Series. Minkejja żieda ta 'kważi 500% fid-dħul tar-reklamar bejn l-1953 u l-1958, in-netwerk kellu biss firxa nazzjonali ta' bejn 10% u 18% tal-popolazzjoni totali ta 'l-Istati Uniti, peress li xorta kellha relattivament inqas affiljati minn NBC u CBS. Fl-1957, il-President tal-ABC Entertainment Ollie Treiz skopra li l-Variety Show Prodott lokalment kien ġibed klassifikazzjonijiet qawwija ħafna fis-suq ta 'Philadelphia fuq WFIL-TV; Treiz fl-aħħar innegozja ftehim biex jieħu l-ispettaklu Nazzjonali, taħt it-titlu rivedut American Bandstand; L-ispettaklu malajr sar fenomenu soċjali billi ppreżenta talent mużikali ġdid u żfin għaż-żgħażagħ tal-Amerika u għen biex tagħmel stilla mill-ospitanti tagħha, Dick Clark.</v>
      </c>
    </row>
    <row r="12244" ht="15.75" customHeight="1">
      <c r="A12244" s="2" t="s">
        <v>12244</v>
      </c>
      <c r="B12244" s="2" t="str">
        <f>IFERROR(__xludf.DUMMYFUNCTION("GOOGLETRANSLATE(A12244, ""en"", ""mt"")"),"Kemm kien twil l-itwal tabib li l-Milied?")</f>
        <v>Kemm kien twil l-itwal tabib li l-Milied?</v>
      </c>
    </row>
    <row r="12245" ht="15.75" customHeight="1">
      <c r="A12245" s="2" t="s">
        <v>12245</v>
      </c>
      <c r="B12245" s="2" t="str">
        <f>IFERROR(__xludf.DUMMYFUNCTION("GOOGLETRANSLATE(A12245, ""en"", ""mt"")"),"F’liema għaxar snin ġie skopert il-baħar tal-baħar?")</f>
        <v>F’liema għaxar snin ġie skopert il-baħar tal-baħar?</v>
      </c>
    </row>
    <row r="12246" ht="15.75" customHeight="1">
      <c r="A12246" s="2" t="s">
        <v>12246</v>
      </c>
      <c r="B12246" s="2" t="str">
        <f>IFERROR(__xludf.DUMMYFUNCTION("GOOGLETRANSLATE(A12246, ""en"", ""mt"")"),"Ħaddiema fil-pajjiżi foqra")</f>
        <v>Ħaddiema fil-pajjiżi foqra</v>
      </c>
    </row>
    <row r="12247" ht="15.75" customHeight="1">
      <c r="A12247" s="2" t="s">
        <v>12247</v>
      </c>
      <c r="B12247" s="2" t="str">
        <f>IFERROR(__xludf.DUMMYFUNCTION("GOOGLETRANSLATE(A12247, ""en"", ""mt"")"),"Min żviluppa l-kunċett ta 'actinide?")</f>
        <v>Min żviluppa l-kunċett ta 'actinide?</v>
      </c>
    </row>
    <row r="12248" ht="15.75" customHeight="1">
      <c r="A12248" s="2" t="s">
        <v>12248</v>
      </c>
      <c r="B12248" s="2" t="str">
        <f>IFERROR(__xludf.DUMMYFUNCTION("GOOGLETRANSLATE(A12248, ""en"", ""mt"")"),"Liema servizz ieħor tat-TV diġitali ħa l-iktar post popolari ta 'Sky UK Limited?")</f>
        <v>Liema servizz ieħor tat-TV diġitali ħa l-iktar post popolari ta 'Sky UK Limited?</v>
      </c>
    </row>
    <row r="12249" ht="15.75" customHeight="1">
      <c r="A12249" s="2" t="s">
        <v>12249</v>
      </c>
      <c r="B12249" s="2" t="str">
        <f>IFERROR(__xludf.DUMMYFUNCTION("GOOGLETRANSLATE(A12249, ""en"", ""mt"")"),"Kif inbnew it-Tyneside Flats?")</f>
        <v>Kif inbnew it-Tyneside Flats?</v>
      </c>
    </row>
    <row r="12250" ht="15.75" customHeight="1">
      <c r="A12250" s="2" t="s">
        <v>12250</v>
      </c>
      <c r="B12250" s="2" t="str">
        <f>IFERROR(__xludf.DUMMYFUNCTION("GOOGLETRANSLATE(A12250, ""en"", ""mt"")"),"Super Bowl xxxviii")</f>
        <v>Super Bowl xxxviii</v>
      </c>
    </row>
    <row r="12251" ht="15.75" customHeight="1">
      <c r="A12251" s="2" t="s">
        <v>12251</v>
      </c>
      <c r="B12251" s="2" t="str">
        <f>IFERROR(__xludf.DUMMYFUNCTION("GOOGLETRANSLATE(A12251, ""en"", ""mt"")"),"X'inhu respibbli biex titħaffef jew tnaqqas ir-ritmu ta 'oġġett?")</f>
        <v>X'inhu respibbli biex titħaffef jew tnaqqas ir-ritmu ta 'oġġett?</v>
      </c>
    </row>
    <row r="12252" ht="15.75" customHeight="1">
      <c r="A12252" s="2" t="s">
        <v>12252</v>
      </c>
      <c r="B12252" s="2" t="str">
        <f>IFERROR(__xludf.DUMMYFUNCTION("GOOGLETRANSLATE(A12252, ""en"", ""mt"")"),"−12.6 ° C (9.3 ° F)")</f>
        <v>−12.6 ° C (9.3 ° F)</v>
      </c>
    </row>
    <row r="12253" ht="15.75" customHeight="1">
      <c r="A12253" s="2" t="s">
        <v>12253</v>
      </c>
      <c r="B12253" s="2" t="str">
        <f>IFERROR(__xludf.DUMMYFUNCTION("GOOGLETRANSLATE(A12253, ""en"", ""mt"")"),"qatt ma ġie rratifikat")</f>
        <v>qatt ma ġie rratifikat</v>
      </c>
    </row>
    <row r="12254" ht="15.75" customHeight="1">
      <c r="A12254" s="2" t="s">
        <v>12254</v>
      </c>
      <c r="B12254" s="2" t="str">
        <f>IFERROR(__xludf.DUMMYFUNCTION("GOOGLETRANSLATE(A12254, ""en"", ""mt"")"),"Kloroplast derivat mill-alka ħamra vestigjali")</f>
        <v>Kloroplast derivat mill-alka ħamra vestigjali</v>
      </c>
    </row>
    <row r="12255" ht="15.75" customHeight="1">
      <c r="A12255" s="2" t="s">
        <v>12255</v>
      </c>
      <c r="B12255" s="2" t="str">
        <f>IFERROR(__xludf.DUMMYFUNCTION("GOOGLETRANSLATE(A12255, ""en"", ""mt"")"),"illegali")</f>
        <v>illegali</v>
      </c>
    </row>
    <row r="12256" ht="15.75" customHeight="1">
      <c r="A12256" s="2" t="s">
        <v>12256</v>
      </c>
      <c r="B12256" s="2" t="str">
        <f>IFERROR(__xludf.DUMMYFUNCTION("GOOGLETRANSLATE(A12256, ""en"", ""mt"")"),"Liema belt moderna saret Khanbaliq?")</f>
        <v>Liema belt moderna saret Khanbaliq?</v>
      </c>
    </row>
    <row r="12257" ht="15.75" customHeight="1">
      <c r="A12257" s="2" t="s">
        <v>12257</v>
      </c>
      <c r="B12257" s="2" t="str">
        <f>IFERROR(__xludf.DUMMYFUNCTION("GOOGLETRANSLATE(A12257, ""en"", ""mt"")"),"Fi żminijiet moderni, dak li jingħad dwar id-diżubbidjenza ċivili?")</f>
        <v>Fi żminijiet moderni, dak li jingħad dwar id-diżubbidjenza ċivili?</v>
      </c>
    </row>
    <row r="12258" ht="15.75" customHeight="1">
      <c r="A12258" s="2" t="s">
        <v>12258</v>
      </c>
      <c r="B12258" s="2" t="str">
        <f>IFERROR(__xludf.DUMMYFUNCTION("GOOGLETRANSLATE(A12258, ""en"", ""mt"")"),"Jaqbad Niagara, Crown Point u Duquesne, huwa ppropona attakki fuq Fort Frontenac fuq ix-Xatt tat-Tramuntana tal-Lag Ontario")</f>
        <v>Jaqbad Niagara, Crown Point u Duquesne, huwa ppropona attakki fuq Fort Frontenac fuq ix-Xatt tat-Tramuntana tal-Lag Ontario</v>
      </c>
    </row>
    <row r="12259" ht="15.75" customHeight="1">
      <c r="A12259" s="2" t="s">
        <v>12259</v>
      </c>
      <c r="B12259" s="2" t="str">
        <f>IFERROR(__xludf.DUMMYFUNCTION("GOOGLETRANSLATE(A12259, ""en"", ""mt"")"),"Il-Pesta s-Sewda ħarbtu l-Ewropa għal tliet snin segwit minn liema pajjiż?")</f>
        <v>Il-Pesta s-Sewda ħarbtu l-Ewropa għal tliet snin segwit minn liema pajjiż?</v>
      </c>
    </row>
    <row r="12260" ht="15.75" customHeight="1">
      <c r="A12260" s="2" t="s">
        <v>12260</v>
      </c>
      <c r="B12260" s="2" t="str">
        <f>IFERROR(__xludf.DUMMYFUNCTION("GOOGLETRANSLATE(A12260, ""en"", ""mt"")"),"libertà reliġjuża")</f>
        <v>libertà reliġjuża</v>
      </c>
    </row>
    <row r="12261" ht="15.75" customHeight="1">
      <c r="A12261" s="2" t="s">
        <v>12261</v>
      </c>
      <c r="B12261" s="2" t="str">
        <f>IFERROR(__xludf.DUMMYFUNCTION("GOOGLETRANSLATE(A12261, ""en"", ""mt"")"),"Għażla tad-Droga, Doża, Rotta, Frekwenza, u Tul tat-Terapija")</f>
        <v>Għażla tad-Droga, Doża, Rotta, Frekwenza, u Tul tat-Terapija</v>
      </c>
    </row>
    <row r="12262" ht="15.75" customHeight="1">
      <c r="A12262" s="2" t="s">
        <v>12262</v>
      </c>
      <c r="B12262" s="2" t="str">
        <f>IFERROR(__xludf.DUMMYFUNCTION("GOOGLETRANSLATE(A12262, ""en"", ""mt"")"),"Min ta donazzjoni ta 'xogħlijiet ta' Rodin lill-V &amp; A?")</f>
        <v>Min ta donazzjoni ta 'xogħlijiet ta' Rodin lill-V &amp; A?</v>
      </c>
    </row>
    <row r="12263" ht="15.75" customHeight="1">
      <c r="A12263" s="2" t="s">
        <v>12263</v>
      </c>
      <c r="B12263" s="2" t="str">
        <f>IFERROR(__xludf.DUMMYFUNCTION("GOOGLETRANSLATE(A12263, ""en"", ""mt"")"),"X'inhu l-perjodu ta 'żmien ta' din l-istatistika?")</f>
        <v>X'inhu l-perjodu ta 'żmien ta' din l-istatistika?</v>
      </c>
    </row>
    <row r="12264" ht="15.75" customHeight="1">
      <c r="A12264" s="2" t="s">
        <v>12264</v>
      </c>
      <c r="B12264" s="2" t="str">
        <f>IFERROR(__xludf.DUMMYFUNCTION("GOOGLETRANSLATE(A12264, ""en"", ""mt"")"),"Fl-iskejjel privati, f'liema lingwa huma mgħallma l-klassijiet?")</f>
        <v>Fl-iskejjel privati, f'liema lingwa huma mgħallma l-klassijiet?</v>
      </c>
    </row>
    <row r="12265" ht="15.75" customHeight="1">
      <c r="A12265" s="2" t="s">
        <v>12265</v>
      </c>
      <c r="B12265" s="2" t="str">
        <f>IFERROR(__xludf.DUMMYFUNCTION("GOOGLETRANSLATE(A12265, ""en"", ""mt"")"),"元 朝")</f>
        <v>元 朝</v>
      </c>
    </row>
    <row r="12266" ht="15.75" customHeight="1">
      <c r="A12266" s="2" t="s">
        <v>12266</v>
      </c>
      <c r="B12266" s="2" t="str">
        <f>IFERROR(__xludf.DUMMYFUNCTION("GOOGLETRANSLATE(A12266, ""en"", ""mt"")")," X'inhu Internet2")</f>
        <v> X'inhu Internet2</v>
      </c>
    </row>
    <row r="12267" ht="15.75" customHeight="1">
      <c r="A12267" s="2" t="s">
        <v>12267</v>
      </c>
      <c r="B12267" s="2" t="str">
        <f>IFERROR(__xludf.DUMMYFUNCTION("GOOGLETRANSLATE(A12267, ""en"", ""mt"")"),"Verġni u tifel ta 'Carlo Crivelli)")</f>
        <v>Verġni u tifel ta 'Carlo Crivelli)</v>
      </c>
    </row>
    <row r="12268" ht="15.75" customHeight="1">
      <c r="A12268" s="2" t="s">
        <v>12268</v>
      </c>
      <c r="B12268" s="2" t="str">
        <f>IFERROR(__xludf.DUMMYFUNCTION("GOOGLETRANSLATE(A12268, ""en"", ""mt"")"),"Duarte Barbosa")</f>
        <v>Duarte Barbosa</v>
      </c>
    </row>
    <row r="12269" ht="15.75" customHeight="1">
      <c r="A12269" s="2" t="s">
        <v>12269</v>
      </c>
      <c r="B12269" s="2" t="str">
        <f>IFERROR(__xludf.DUMMYFUNCTION("GOOGLETRANSLATE(A12269, ""en"", ""mt"")"),"astronawt wieħed")</f>
        <v>astronawt wieħed</v>
      </c>
    </row>
    <row r="12270" ht="15.75" customHeight="1">
      <c r="A12270" s="2" t="s">
        <v>12270</v>
      </c>
      <c r="B12270" s="2" t="str">
        <f>IFERROR(__xludf.DUMMYFUNCTION("GOOGLETRANSLATE(A12270, ""en"", ""mt"")"),"gravità")</f>
        <v>gravità</v>
      </c>
    </row>
    <row r="12271" ht="15.75" customHeight="1">
      <c r="A12271" s="2" t="s">
        <v>12271</v>
      </c>
      <c r="B12271" s="2" t="str">
        <f>IFERROR(__xludf.DUMMYFUNCTION("GOOGLETRANSLATE(A12271, ""en"", ""mt"")"),"L-Amerika Ingliża u Franza l-ġdida")</f>
        <v>L-Amerika Ingliża u Franza l-ġdida</v>
      </c>
    </row>
    <row r="12272" ht="15.75" customHeight="1">
      <c r="A12272" s="2" t="s">
        <v>12272</v>
      </c>
      <c r="B12272" s="2" t="str">
        <f>IFERROR(__xludf.DUMMYFUNCTION("GOOGLETRANSLATE(A12272, ""en"", ""mt"")"),"It-tfittxija kbira tal-Internet Mersenne Prime, x’kien il-premju biex tinstab prim b’mill-inqas 10 miljun ċifra?")</f>
        <v>It-tfittxija kbira tal-Internet Mersenne Prime, x’kien il-premju biex tinstab prim b’mill-inqas 10 miljun ċifra?</v>
      </c>
    </row>
    <row r="12273" ht="15.75" customHeight="1">
      <c r="A12273" s="2" t="s">
        <v>12273</v>
      </c>
      <c r="B12273" s="2" t="str">
        <f>IFERROR(__xludf.DUMMYFUNCTION("GOOGLETRANSLATE(A12273, ""en"", ""mt"")"),"L-istudenti huma liberi li jagħżlu skola privata")</f>
        <v>L-istudenti huma liberi li jagħżlu skola privata</v>
      </c>
    </row>
    <row r="12274" ht="15.75" customHeight="1">
      <c r="A12274" s="2" t="s">
        <v>12274</v>
      </c>
      <c r="B12274" s="2" t="str">
        <f>IFERROR(__xludf.DUMMYFUNCTION("GOOGLETRANSLATE(A12274, ""en"", ""mt"")"),"Liema kunċett jispjega għaliex l-oġġetti jkomplu f'moviment kostanti?")</f>
        <v>Liema kunċett jispjega għaliex l-oġġetti jkomplu f'moviment kostanti?</v>
      </c>
    </row>
    <row r="12275" ht="15.75" customHeight="1">
      <c r="A12275" s="2" t="s">
        <v>12275</v>
      </c>
      <c r="B12275" s="2" t="str">
        <f>IFERROR(__xludf.DUMMYFUNCTION("GOOGLETRANSLATE(A12275, ""en"", ""mt"")"),"Min kien l-iktar plejer siewi għall-istaġun tal-NFL 2015?")</f>
        <v>Min kien l-iktar plejer siewi għall-istaġun tal-NFL 2015?</v>
      </c>
    </row>
    <row r="12276" ht="15.75" customHeight="1">
      <c r="A12276" s="2" t="s">
        <v>12276</v>
      </c>
      <c r="B12276" s="2" t="str">
        <f>IFERROR(__xludf.DUMMYFUNCTION("GOOGLETRANSLATE(A12276, ""en"", ""mt"")"),"X'inhu d-distakk ewlieni għall-urbanizzazzjoni kontinwa?")</f>
        <v>X'inhu d-distakk ewlieni għall-urbanizzazzjoni kontinwa?</v>
      </c>
    </row>
    <row r="12277" ht="15.75" customHeight="1">
      <c r="A12277" s="2" t="s">
        <v>12277</v>
      </c>
      <c r="B12277" s="2" t="str">
        <f>IFERROR(__xludf.DUMMYFUNCTION("GOOGLETRANSLATE(A12277, ""en"", ""mt"")"),"Liema emendi kostituzzjonali tal-istat jagħmlu referenza għall-gvern li jiffinanzja l-iskejjel reliġjużi?")</f>
        <v>Liema emendi kostituzzjonali tal-istat jagħmlu referenza għall-gvern li jiffinanzja l-iskejjel reliġjużi?</v>
      </c>
    </row>
    <row r="12278" ht="15.75" customHeight="1">
      <c r="A12278" s="2" t="s">
        <v>12278</v>
      </c>
      <c r="B12278" s="2" t="str">
        <f>IFERROR(__xludf.DUMMYFUNCTION("GOOGLETRANSLATE(A12278, ""en"", ""mt"")"),"Luther meta pproduċa verżjoni innulika tat-talb tal-Mulej?")</f>
        <v>Luther meta pproduċa verżjoni innulika tat-talb tal-Mulej?</v>
      </c>
    </row>
    <row r="12279" ht="15.75" customHeight="1">
      <c r="A12279" s="2" t="s">
        <v>12279</v>
      </c>
      <c r="B12279" s="2" t="str">
        <f>IFERROR(__xludf.DUMMYFUNCTION("GOOGLETRANSLATE(A12279, ""en"", ""mt"")"),"Għaliex l-elettriku AC kien qed jikseb popolarità?")</f>
        <v>Għaliex l-elettriku AC kien qed jikseb popolarità?</v>
      </c>
    </row>
    <row r="12280" ht="15.75" customHeight="1">
      <c r="A12280" s="2" t="s">
        <v>12280</v>
      </c>
      <c r="B12280" s="2" t="str">
        <f>IFERROR(__xludf.DUMMYFUNCTION("GOOGLETRANSLATE(A12280, ""en"", ""mt"")"),"ideat")</f>
        <v>ideat</v>
      </c>
    </row>
    <row r="12281" ht="15.75" customHeight="1">
      <c r="A12281" s="2" t="s">
        <v>12281</v>
      </c>
      <c r="B12281" s="2" t="str">
        <f>IFERROR(__xludf.DUMMYFUNCTION("GOOGLETRANSLATE(A12281, ""en"", ""mt"")"),"ħajt peptidoglycan bejn il-membrana doppja tagħhom")</f>
        <v>ħajt peptidoglycan bejn il-membrana doppja tagħhom</v>
      </c>
    </row>
    <row r="12282" ht="15.75" customHeight="1">
      <c r="A12282" s="2" t="s">
        <v>12282</v>
      </c>
      <c r="B12282" s="2" t="str">
        <f>IFERROR(__xludf.DUMMYFUNCTION("GOOGLETRANSLATE(A12282, ""en"", ""mt"")"),"Kull sentejn")</f>
        <v>Kull sentejn</v>
      </c>
    </row>
    <row r="12283" ht="15.75" customHeight="1">
      <c r="A12283" s="2" t="s">
        <v>12283</v>
      </c>
      <c r="B12283" s="2" t="str">
        <f>IFERROR(__xludf.DUMMYFUNCTION("GOOGLETRANSLATE(A12283, ""en"", ""mt"")"),"Kemm hemm minorenni akkademiċi b'kollox l-università?")</f>
        <v>Kemm hemm minorenni akkademiċi b'kollox l-università?</v>
      </c>
    </row>
    <row r="12284" ht="15.75" customHeight="1">
      <c r="A12284" s="2" t="s">
        <v>12284</v>
      </c>
      <c r="B12284" s="2" t="str">
        <f>IFERROR(__xludf.DUMMYFUNCTION("GOOGLETRANSLATE(A12284, ""en"", ""mt"")"),"tbaħħir")</f>
        <v>tbaħħir</v>
      </c>
    </row>
    <row r="12285" ht="15.75" customHeight="1">
      <c r="A12285" s="2" t="s">
        <v>12285</v>
      </c>
      <c r="B12285" s="2" t="str">
        <f>IFERROR(__xludf.DUMMYFUNCTION("GOOGLETRANSLATE(A12285, ""en"", ""mt"")"),"Min wettaq il-funeral għal Martin Luther?")</f>
        <v>Min wettaq il-funeral għal Martin Luther?</v>
      </c>
    </row>
    <row r="12286" ht="15.75" customHeight="1">
      <c r="A12286" s="2" t="s">
        <v>12286</v>
      </c>
      <c r="B12286" s="2" t="str">
        <f>IFERROR(__xludf.DUMMYFUNCTION("GOOGLETRANSLATE(A12286, ""en"", ""mt"")"),"X'inhi università oħra notevoli f'Varsavja wara l-Università ta 'Varsavja?")</f>
        <v>X'inhi università oħra notevoli f'Varsavja wara l-Università ta 'Varsavja?</v>
      </c>
    </row>
    <row r="12287" ht="15.75" customHeight="1">
      <c r="A12287" s="2" t="s">
        <v>12287</v>
      </c>
      <c r="B12287" s="2" t="str">
        <f>IFERROR(__xludf.DUMMYFUNCTION("GOOGLETRANSLATE(A12287, ""en"", ""mt"")"),"Min ġie elett president f'Novembru 1960?")</f>
        <v>Min ġie elett president f'Novembru 1960?</v>
      </c>
    </row>
    <row r="12288" ht="15.75" customHeight="1">
      <c r="A12288" s="2" t="s">
        <v>12288</v>
      </c>
      <c r="B12288" s="2" t="str">
        <f>IFERROR(__xludf.DUMMYFUNCTION("GOOGLETRANSLATE(A12288, ""en"", ""mt"")"),"Liema sigriet qabdu r-rabtiet tal-familja biex iżommu moħbi?")</f>
        <v>Liema sigriet qabdu r-rabtiet tal-familja biex iżommu moħbi?</v>
      </c>
    </row>
    <row r="12289" ht="15.75" customHeight="1">
      <c r="A12289" s="2" t="s">
        <v>12289</v>
      </c>
      <c r="B12289" s="2" t="str">
        <f>IFERROR(__xludf.DUMMYFUNCTION("GOOGLETRANSLATE(A12289, ""en"", ""mt"")"),"Liema artist ta 'nofs il-ħin li qabel kien intitolat Super Bowl XLVIII?")</f>
        <v>Liema artist ta 'nofs il-ħin li qabel kien intitolat Super Bowl XLVIII?</v>
      </c>
    </row>
    <row r="12290" ht="15.75" customHeight="1">
      <c r="A12290" s="2" t="s">
        <v>12290</v>
      </c>
      <c r="B12290" s="2" t="str">
        <f>IFERROR(__xludf.DUMMYFUNCTION("GOOGLETRANSLATE(A12290, ""en"", ""mt"")"),"Is-Super Bowl")</f>
        <v>Is-Super Bowl</v>
      </c>
    </row>
    <row r="12291" ht="15.75" customHeight="1">
      <c r="A12291" s="2" t="s">
        <v>12291</v>
      </c>
      <c r="B12291" s="2" t="str">
        <f>IFERROR(__xludf.DUMMYFUNCTION("GOOGLETRANSLATE(A12291, ""en"", ""mt"")"),"Kummissjoni v Italja l-Qorti tal-Ġustizzja")</f>
        <v>Kummissjoni v Italja l-Qorti tal-Ġustizzja</v>
      </c>
    </row>
    <row r="12292" ht="15.75" customHeight="1">
      <c r="A12292" s="2" t="s">
        <v>12292</v>
      </c>
      <c r="B12292" s="2" t="str">
        <f>IFERROR(__xludf.DUMMYFUNCTION("GOOGLETRANSLATE(A12292, ""en"", ""mt"")"),"sekondarja jew post-sekondarja")</f>
        <v>sekondarja jew post-sekondarja</v>
      </c>
    </row>
    <row r="12293" ht="15.75" customHeight="1">
      <c r="A12293" s="2" t="s">
        <v>12293</v>
      </c>
      <c r="B12293" s="2" t="str">
        <f>IFERROR(__xludf.DUMMYFUNCTION("GOOGLETRANSLATE(A12293, ""en"", ""mt"")"),"Kemm dam il-ġlied fi Gwerra ta 'Seba' Snin?")</f>
        <v>Kemm dam il-ġlied fi Gwerra ta 'Seba' Snin?</v>
      </c>
    </row>
    <row r="12294" ht="15.75" customHeight="1">
      <c r="A12294" s="2" t="s">
        <v>12294</v>
      </c>
      <c r="B12294" s="2" t="str">
        <f>IFERROR(__xludf.DUMMYFUNCTION("GOOGLETRANSLATE(A12294, ""en"", ""mt"")"),"Militant estremista")</f>
        <v>Militant estremista</v>
      </c>
    </row>
    <row r="12295" ht="15.75" customHeight="1">
      <c r="A12295" s="2" t="s">
        <v>12295</v>
      </c>
      <c r="B12295" s="2" t="str">
        <f>IFERROR(__xludf.DUMMYFUNCTION("GOOGLETRANSLATE(A12295, ""en"", ""mt"")"),"7.5%")</f>
        <v>7.5%</v>
      </c>
    </row>
    <row r="12296" ht="15.75" customHeight="1">
      <c r="A12296" s="2" t="s">
        <v>12296</v>
      </c>
      <c r="B12296" s="2" t="str">
        <f>IFERROR(__xludf.DUMMYFUNCTION("GOOGLETRANSLATE(A12296, ""en"", ""mt"")"),"Ix-Xmara Colorado")</f>
        <v>Ix-Xmara Colorado</v>
      </c>
    </row>
    <row r="12297" ht="15.75" customHeight="1">
      <c r="A12297" s="2" t="s">
        <v>12297</v>
      </c>
      <c r="B12297" s="2" t="str">
        <f>IFERROR(__xludf.DUMMYFUNCTION("GOOGLETRANSLATE(A12297, ""en"", ""mt"")"),"X’rekord fuq in-NASA fuq it-tejps arkivjati anzjani?")</f>
        <v>X’rekord fuq in-NASA fuq it-tejps arkivjati anzjani?</v>
      </c>
    </row>
    <row r="12298" ht="15.75" customHeight="1">
      <c r="A12298" s="2" t="s">
        <v>12298</v>
      </c>
      <c r="B12298" s="2" t="str">
        <f>IFERROR(__xludf.DUMMYFUNCTION("GOOGLETRANSLATE(A12298, ""en"", ""mt"")"),"X'inhu t-tieni livell ta 'diviżjoni territorjali fil-Polonja?")</f>
        <v>X'inhu t-tieni livell ta 'diviżjoni territorjali fil-Polonja?</v>
      </c>
    </row>
    <row r="12299" ht="15.75" customHeight="1">
      <c r="A12299" s="2" t="s">
        <v>12299</v>
      </c>
      <c r="B12299" s="2" t="str">
        <f>IFERROR(__xludf.DUMMYFUNCTION("GOOGLETRANSLATE(A12299, ""en"", ""mt"")"),"F'dan id-dijossiġnu, iż-żewġ atomi ta 'ossiġnu huma marbuta kimikament ma' xulxin. Il-bond jista 'jiġi deskritt b'mod varju abbażi ta' livell ta 'teorija, iżda huwa raġonevolment u sempliċement deskritt bħala rabta doppja kovalenti li tirriżulta mill-mili"&amp;" ta' orbitali molekulari ffurmati mill-orbitali atomiċi ta 'l-atomi ta' ossiġenu individwali, li l-mili tagħhom jirriżulta f'rabta Ordni ta 'tnejn. B'mod iktar speċifiku, il-bond doppju huwa r-riżultat ta 'enerġija sekwenzjali, baxxa għal għolja, jew Aufb"&amp;"au, mili ta' orbitali, u l-kanċellazzjoni li tirriżulta ta 'kontribuzzjonijiet mill-elettroni 2S, wara mili sekwenzjali tal-orbital σ u σ *; σ sovrappożizzjoni taż-żewġ orbitali atomiċi 2p li jinsabu tul l-assi molekulari O-O u l-koinċidenza π ta 'żewġ pa"&amp;"ri ta' orbitali 2P atomiċi perpendikulari mal-assi molekulari O-O, u mbagħad il-kanċellazzjoni tal-kontribuzzjonijiet mis-sitt tnejn mill-elettroni parzjali wara l-mili parzjali tagħhom wara l-mili parzjali tagħhom wara l-mili parzjali tagħhom ta 'l-inqas"&amp;" π u π * orbitali.")</f>
        <v>F'dan id-dijossiġnu, iż-żewġ atomi ta 'ossiġnu huma marbuta kimikament ma' xulxin. Il-bond jista 'jiġi deskritt b'mod varju abbażi ta' livell ta 'teorija, iżda huwa raġonevolment u sempliċement deskritt bħala rabta doppja kovalenti li tirriżulta mill-mili ta' orbitali molekulari ffurmati mill-orbitali atomiċi ta 'l-atomi ta' ossiġenu individwali, li l-mili tagħhom jirriżulta f'rabta Ordni ta 'tnejn. B'mod iktar speċifiku, il-bond doppju huwa r-riżultat ta 'enerġija sekwenzjali, baxxa għal għolja, jew Aufbau, mili ta' orbitali, u l-kanċellazzjoni li tirriżulta ta 'kontribuzzjonijiet mill-elettroni 2S, wara mili sekwenzjali tal-orbital σ u σ *; σ sovrappożizzjoni taż-żewġ orbitali atomiċi 2p li jinsabu tul l-assi molekulari O-O u l-koinċidenza π ta 'żewġ pari ta' orbitali 2P atomiċi perpendikulari mal-assi molekulari O-O, u mbagħad il-kanċellazzjoni tal-kontribuzzjonijiet mis-sitt tnejn mill-elettroni parzjali wara l-mili parzjali tagħhom wara l-mili parzjali tagħhom wara l-mili parzjali tagħhom ta 'l-inqas π u π * orbitali.</v>
      </c>
    </row>
    <row r="12300" ht="15.75" customHeight="1">
      <c r="A12300" s="2" t="s">
        <v>12300</v>
      </c>
      <c r="B12300" s="2" t="str">
        <f>IFERROR(__xludf.DUMMYFUNCTION("GOOGLETRANSLATE(A12300, ""en"", ""mt"")"),"Minbarra t-tagħlim fi ħdan il-familja, fejn inkella jsir it-tagħlim informali?")</f>
        <v>Minbarra t-tagħlim fi ħdan il-familja, fejn inkella jsir it-tagħlim informali?</v>
      </c>
    </row>
    <row r="12301" ht="15.75" customHeight="1">
      <c r="A12301" s="2" t="s">
        <v>12301</v>
      </c>
      <c r="B12301" s="2" t="str">
        <f>IFERROR(__xludf.DUMMYFUNCTION("GOOGLETRANSLATE(A12301, ""en"", ""mt"")"),"Kemm kienu skejjel Kattoliċi fir-Rabat?")</f>
        <v>Kemm kienu skejjel Kattoliċi fir-Rabat?</v>
      </c>
    </row>
    <row r="12302" ht="15.75" customHeight="1">
      <c r="A12302" s="2" t="s">
        <v>12302</v>
      </c>
      <c r="B12302" s="2" t="str">
        <f>IFERROR(__xludf.DUMMYFUNCTION("GOOGLETRANSLATE(A12302, ""en"", ""mt"")"),"It-terz l-ieħor tal-ilma jgħaddi minn ġol-Pannerdens Kanaal u jqassam mill-ġdid fl-IJSSEL u Nederrijn. Il-fergħa IJSSEL ġġorr disa 'mill-fluss tal-ilma tar-Rhine fit-tramuntana lejn l-ijsselmeer (ex-bajja), filwaqt li n-Nederrijn iġorr madwar żewġ disa' t"&amp;"ad-disa 'tal-fluss lejn il-punent tul rotta parallela mal-waal. Madankollu, f'Wijk Bij Duurstede, in-Nederrijn jibdel isimha u jsir il-lek. Jidher 'il bogħod lejn il-punent, biex jerġa' jerġa 'jmur ix-Xmara Noord lejn in-Nieuwe Maas u lejn il-Baħar tat-Tr"&amp;"amuntana.")</f>
        <v>It-terz l-ieħor tal-ilma jgħaddi minn ġol-Pannerdens Kanaal u jqassam mill-ġdid fl-IJSSEL u Nederrijn. Il-fergħa IJSSEL ġġorr disa 'mill-fluss tal-ilma tar-Rhine fit-tramuntana lejn l-ijsselmeer (ex-bajja), filwaqt li n-Nederrijn iġorr madwar żewġ disa' tad-disa 'tal-fluss lejn il-punent tul rotta parallela mal-waal. Madankollu, f'Wijk Bij Duurstede, in-Nederrijn jibdel isimha u jsir il-lek. Jidher 'il bogħod lejn il-punent, biex jerġa' jerġa 'jmur ix-Xmara Noord lejn in-Nieuwe Maas u lejn il-Baħar tat-Tramuntana.</v>
      </c>
    </row>
    <row r="12303" ht="15.75" customHeight="1">
      <c r="A12303" s="2" t="s">
        <v>12303</v>
      </c>
      <c r="B12303" s="2" t="str">
        <f>IFERROR(__xludf.DUMMYFUNCTION("GOOGLETRANSLATE(A12303, ""en"", ""mt"")"),"Woodblocks")</f>
        <v>Woodblocks</v>
      </c>
    </row>
    <row r="12304" ht="15.75" customHeight="1">
      <c r="A12304" s="2" t="s">
        <v>12304</v>
      </c>
      <c r="B12304" s="2" t="str">
        <f>IFERROR(__xludf.DUMMYFUNCTION("GOOGLETRANSLATE(A12304, ""en"", ""mt"")"),"L-anzjani b'konnessjoni sħiħa huma kull membru ta 'xiex?")</f>
        <v>L-anzjani b'konnessjoni sħiħa huma kull membru ta 'xiex?</v>
      </c>
    </row>
    <row r="12305" ht="15.75" customHeight="1">
      <c r="A12305" s="2" t="s">
        <v>12305</v>
      </c>
      <c r="B12305" s="2" t="str">
        <f>IFERROR(__xludf.DUMMYFUNCTION("GOOGLETRANSLATE(A12305, ""en"", ""mt"")"),"Ewropa")</f>
        <v>Ewropa</v>
      </c>
    </row>
    <row r="12306" ht="15.75" customHeight="1">
      <c r="A12306" s="2" t="s">
        <v>12306</v>
      </c>
      <c r="B12306" s="2" t="str">
        <f>IFERROR(__xludf.DUMMYFUNCTION("GOOGLETRANSLATE(A12306, ""en"", ""mt"")"),"Fejn jinsab il-Villaġġ tax-Xjenza?")</f>
        <v>Fejn jinsab il-Villaġġ tax-Xjenza?</v>
      </c>
    </row>
    <row r="12307" ht="15.75" customHeight="1">
      <c r="A12307" s="2" t="s">
        <v>12307</v>
      </c>
      <c r="B12307" s="2" t="str">
        <f>IFERROR(__xludf.DUMMYFUNCTION("GOOGLETRANSLATE(A12307, ""en"", ""mt"")"),"It-tradizzjoni medika Ċiniża tal-wan kellha ""erba 'skejjel kbar"" li l-wan wirt mid-dinastija Jin. L-erba 'skejjel kienu bbażati fuq l-istess fondazzjoni intellettwali, iżda favur l-approċċi teoretiċi differenti lejn il-mediċina. Taħt il-Mongoli, il-prat"&amp;"tika tal-mediċina Ċiniża nfirxet għal partijiet oħra tal-imperu. It-tobba Ċiniżi nġabru flimkien ma ’kampanji militari mill-Mongoli hekk kif espandew lejn il-Punent. Tekniki mediċi Ċiniżi bħal acupuncture, moxibustion, dijanjosi tal-polz, u diversi mediċi"&amp;"ni tal-ħxejjex u elixirs ġew trasmessi lejn il-punent lejn il-Lvant Nofsani u l-bqija tal-imperu. Saru diversi avvanzi mediċi fil-perjodu tal-wan. It-tabib Wei Yilin (1277-1347) ivvinta metodu ta 'sospensjoni għat-tnaqqis tal-ġonot diżlokati, li huwa wett"&amp;"aq bl-użu ta' anestetiċi. It-tabib Mongoljan Hu Sihui ddeskriva l-importanza ta 'dieta tajba fi trattat mediku 1330.")</f>
        <v>It-tradizzjoni medika Ċiniża tal-wan kellha "erba 'skejjel kbar" li l-wan wirt mid-dinastija Jin. L-erba 'skejjel kienu bbażati fuq l-istess fondazzjoni intellettwali, iżda favur l-approċċi teoretiċi differenti lejn il-mediċina. Taħt il-Mongoli, il-prattika tal-mediċina Ċiniża nfirxet għal partijiet oħra tal-imperu. It-tobba Ċiniżi nġabru flimkien ma ’kampanji militari mill-Mongoli hekk kif espandew lejn il-Punent. Tekniki mediċi Ċiniżi bħal acupuncture, moxibustion, dijanjosi tal-polz, u diversi mediċini tal-ħxejjex u elixirs ġew trasmessi lejn il-punent lejn il-Lvant Nofsani u l-bqija tal-imperu. Saru diversi avvanzi mediċi fil-perjodu tal-wan. It-tabib Wei Yilin (1277-1347) ivvinta metodu ta 'sospensjoni għat-tnaqqis tal-ġonot diżlokati, li huwa wettaq bl-użu ta' anestetiċi. It-tabib Mongoljan Hu Sihui ddeskriva l-importanza ta 'dieta tajba fi trattat mediku 1330.</v>
      </c>
    </row>
    <row r="12308" ht="15.75" customHeight="1">
      <c r="A12308" s="2" t="s">
        <v>12308</v>
      </c>
      <c r="B12308" s="2" t="str">
        <f>IFERROR(__xludf.DUMMYFUNCTION("GOOGLETRANSLATE(A12308, ""en"", ""mt"")"),"X'inhu l-isem tar-rinnovar attwali li s-sistema tkun għaddejja?")</f>
        <v>X'inhu l-isem tar-rinnovar attwali li s-sistema tkun għaddejja?</v>
      </c>
    </row>
    <row r="12309" ht="15.75" customHeight="1">
      <c r="A12309" s="2" t="s">
        <v>12309</v>
      </c>
      <c r="B12309" s="2" t="str">
        <f>IFERROR(__xludf.DUMMYFUNCTION("GOOGLETRANSLATE(A12309, ""en"", ""mt"")"),"James Clerk Maxwell")</f>
        <v>James Clerk Maxwell</v>
      </c>
    </row>
    <row r="12310" ht="15.75" customHeight="1">
      <c r="A12310" s="2" t="s">
        <v>12310</v>
      </c>
      <c r="B12310" s="2" t="str">
        <f>IFERROR(__xludf.DUMMYFUNCTION("GOOGLETRANSLATE(A12310, ""en"", ""mt"")"),"Kważi tliet mitt sena")</f>
        <v>Kważi tliet mitt sena</v>
      </c>
    </row>
    <row r="12311" ht="15.75" customHeight="1">
      <c r="A12311" s="2" t="s">
        <v>12311</v>
      </c>
      <c r="B12311" s="2" t="str">
        <f>IFERROR(__xludf.DUMMYFUNCTION("GOOGLETRANSLATE(A12311, ""en"", ""mt"")"),"Flimkien ma 'muturi elettriċi, liema sorsi ta' enerġija qabżu l-magni tal-fwar fis-seklu 20?")</f>
        <v>Flimkien ma 'muturi elettriċi, liema sorsi ta' enerġija qabżu l-magni tal-fwar fis-seklu 20?</v>
      </c>
    </row>
    <row r="12312" ht="15.75" customHeight="1">
      <c r="A12312" s="2" t="s">
        <v>12312</v>
      </c>
      <c r="B12312" s="2" t="str">
        <f>IFERROR(__xludf.DUMMYFUNCTION("GOOGLETRANSLATE(A12312, ""en"", ""mt"")"),"L-omm, li għaliha tista 'tirriżulta ħsara devastanti minn tqala mhux aċċettabbli")</f>
        <v>L-omm, li għaliha tista 'tirriżulta ħsara devastanti minn tqala mhux aċċettabbli</v>
      </c>
    </row>
    <row r="12313" ht="15.75" customHeight="1">
      <c r="A12313" s="2" t="s">
        <v>12313</v>
      </c>
      <c r="B12313" s="2" t="str">
        <f>IFERROR(__xludf.DUMMYFUNCTION("GOOGLETRANSLATE(A12313, ""en"", ""mt"")"),"Iżżid l-erja tal-wiċċ tal-kloroplast għal trasport inkroċjat")</f>
        <v>Iżżid l-erja tal-wiċċ tal-kloroplast għal trasport inkroċjat</v>
      </c>
    </row>
    <row r="12314" ht="15.75" customHeight="1">
      <c r="A12314" s="2" t="s">
        <v>12314</v>
      </c>
      <c r="B12314" s="2" t="str">
        <f>IFERROR(__xludf.DUMMYFUNCTION("GOOGLETRANSLATE(A12314, ""en"", ""mt"")"),"2008")</f>
        <v>2008</v>
      </c>
    </row>
    <row r="12315" ht="15.75" customHeight="1">
      <c r="A12315" s="2" t="s">
        <v>12315</v>
      </c>
      <c r="B12315" s="2" t="str">
        <f>IFERROR(__xludf.DUMMYFUNCTION("GOOGLETRANSLATE(A12315, ""en"", ""mt"")"),"Kif il-graffs huma kodifikati bħala kordi binarji")</f>
        <v>Kif il-graffs huma kodifikati bħala kordi binarji</v>
      </c>
    </row>
    <row r="12316" ht="15.75" customHeight="1">
      <c r="A12316" s="2" t="s">
        <v>12316</v>
      </c>
      <c r="B12316" s="2" t="str">
        <f>IFERROR(__xludf.DUMMYFUNCTION("GOOGLETRANSLATE(A12316, ""en"", ""mt"")"),"Marzu 1879")</f>
        <v>Marzu 1879</v>
      </c>
    </row>
    <row r="12317" ht="15.75" customHeight="1">
      <c r="A12317" s="2" t="s">
        <v>12317</v>
      </c>
      <c r="B12317" s="2" t="str">
        <f>IFERROR(__xludf.DUMMYFUNCTION("GOOGLETRANSLATE(A12317, ""en"", ""mt"")"),"Edward Teller")</f>
        <v>Edward Teller</v>
      </c>
    </row>
    <row r="12318" ht="15.75" customHeight="1">
      <c r="A12318" s="2" t="s">
        <v>12318</v>
      </c>
      <c r="B12318" s="2" t="str">
        <f>IFERROR(__xludf.DUMMYFUNCTION("GOOGLETRANSLATE(A12318, ""en"", ""mt"")"),"Bento de Moura l-Portugall")</f>
        <v>Bento de Moura l-Portugall</v>
      </c>
    </row>
    <row r="12319" ht="15.75" customHeight="1">
      <c r="A12319" s="2" t="s">
        <v>12319</v>
      </c>
      <c r="B12319" s="2" t="str">
        <f>IFERROR(__xludf.DUMMYFUNCTION("GOOGLETRANSLATE(A12319, ""en"", ""mt"")"),"Liema wasla tal-kultura fl-Iskozja hija taf bħala r- ""rivoluzzjoni Davidian""?")</f>
        <v>Liema wasla tal-kultura fl-Iskozja hija taf bħala r- "rivoluzzjoni Davidian"?</v>
      </c>
    </row>
    <row r="12320" ht="15.75" customHeight="1">
      <c r="A12320" s="2" t="s">
        <v>12320</v>
      </c>
      <c r="B12320" s="2" t="str">
        <f>IFERROR(__xludf.DUMMYFUNCTION("GOOGLETRANSLATE(A12320, ""en"", ""mt"")"),"Gass ossiġnu")</f>
        <v>Gass ossiġnu</v>
      </c>
    </row>
    <row r="12321" ht="15.75" customHeight="1">
      <c r="A12321" s="2" t="s">
        <v>12321</v>
      </c>
      <c r="B12321" s="2" t="str">
        <f>IFERROR(__xludf.DUMMYFUNCTION("GOOGLETRANSLATE(A12321, ""en"", ""mt"")"),"X'inhuma l-fagoċiti li jinsabu f'tessuti f'kuntatt ma 'l-ambjent estern imsejjaħ?")</f>
        <v>X'inhuma l-fagoċiti li jinsabu f'tessuti f'kuntatt ma 'l-ambjent estern imsejjaħ?</v>
      </c>
    </row>
    <row r="12322" ht="15.75" customHeight="1">
      <c r="A12322" s="2" t="s">
        <v>12322</v>
      </c>
      <c r="B12322" s="2" t="str">
        <f>IFERROR(__xludf.DUMMYFUNCTION("GOOGLETRANSLATE(A12322, ""en"", ""mt"")"),"Fejn Kublai bena l-qawwa tal-amministrazzjoni tiegħu?")</f>
        <v>Fejn Kublai bena l-qawwa tal-amministrazzjoni tiegħu?</v>
      </c>
    </row>
    <row r="12323" ht="15.75" customHeight="1">
      <c r="A12323" s="2" t="s">
        <v>12323</v>
      </c>
      <c r="B12323" s="2" t="str">
        <f>IFERROR(__xludf.DUMMYFUNCTION("GOOGLETRANSLATE(A12323, ""en"", ""mt"")"),"Il-gallerija ewlenija ġiet iddisinjata mill-ġdid fl-1994, il-balustrada tal-ħġieġ fuq it-taraġ u l-mezzanin huma x-xogħol ta 'Danny Lane, il-gallerija li tkopri l-ħġieġ kontemporanju miftuħa fl-2004 u l-fidda sagra u l-gallerija tal-ħġieġ imtebba' fl-2005"&amp;". F'din l-aħħar gallerija tal-ħġieġ imtebba muri flimkien ma 'oġġetti tal-fidda li jibdew fis-seklu 12 u jkomplu sal-preżent. Uħud mill-iktar ħġieġ imtebba 'pendenti, datat 1243-48 ġej mis-Sainte-Chapelle, huwa muri flimkien ma' eżempji oħra fil-galleriji"&amp;" l-ġodda medjevali u tar-Rinaxximent. Il-beaker importanti tal-ħġieġ tas-seklu 13 magħruf bħala x-xorti ta 'Edenhall huwa wkoll muri f'dawn il-galleriji. Eżempji ta 'ħġieġ imtebba Brittaniku huma murija fil-galleriji Ingliżi. Wieħed mill-aktar oġġetti spe"&amp;"ttakolari fil-kollezzjoni huwa l-linef minn Dale Chihuly fir-Rotunda fid-daħla ewlenija tal-mużew.")</f>
        <v>Il-gallerija ewlenija ġiet iddisinjata mill-ġdid fl-1994, il-balustrada tal-ħġieġ fuq it-taraġ u l-mezzanin huma x-xogħol ta 'Danny Lane, il-gallerija li tkopri l-ħġieġ kontemporanju miftuħa fl-2004 u l-fidda sagra u l-gallerija tal-ħġieġ imtebba' fl-2005. F'din l-aħħar gallerija tal-ħġieġ imtebba muri flimkien ma 'oġġetti tal-fidda li jibdew fis-seklu 12 u jkomplu sal-preżent. Uħud mill-iktar ħġieġ imtebba 'pendenti, datat 1243-48 ġej mis-Sainte-Chapelle, huwa muri flimkien ma' eżempji oħra fil-galleriji l-ġodda medjevali u tar-Rinaxximent. Il-beaker importanti tal-ħġieġ tas-seklu 13 magħruf bħala x-xorti ta 'Edenhall huwa wkoll muri f'dawn il-galleriji. Eżempji ta 'ħġieġ imtebba Brittaniku huma murija fil-galleriji Ingliżi. Wieħed mill-aktar oġġetti spettakolari fil-kollezzjoni huwa l-linef minn Dale Chihuly fir-Rotunda fid-daħla ewlenija tal-mużew.</v>
      </c>
    </row>
    <row r="12324" ht="15.75" customHeight="1">
      <c r="A12324" s="2" t="s">
        <v>12324</v>
      </c>
      <c r="B12324" s="2" t="str">
        <f>IFERROR(__xludf.DUMMYFUNCTION("GOOGLETRANSLATE(A12324, ""en"", ""mt"")"),"Evalwazzjoni tal-adegwatezza tat-terapija tal-mediċina")</f>
        <v>Evalwazzjoni tal-adegwatezza tat-terapija tal-mediċina</v>
      </c>
    </row>
    <row r="12325" ht="15.75" customHeight="1">
      <c r="A12325" s="2" t="s">
        <v>12325</v>
      </c>
      <c r="B12325" s="2" t="str">
        <f>IFERROR(__xludf.DUMMYFUNCTION("GOOGLETRANSLATE(A12325, ""en"", ""mt"")"),"manniista")</f>
        <v>manniista</v>
      </c>
    </row>
    <row r="12326" ht="15.75" customHeight="1">
      <c r="A12326" s="2" t="s">
        <v>12326</v>
      </c>
      <c r="B12326" s="2" t="str">
        <f>IFERROR(__xludf.DUMMYFUNCTION("GOOGLETRANSLATE(A12326, ""en"", ""mt"")"),"Meta kien komplut l-akkwist Spanjol tat-territorju ta 'Louisiana?")</f>
        <v>Meta kien komplut l-akkwist Spanjol tat-territorju ta 'Louisiana?</v>
      </c>
    </row>
    <row r="12327" ht="15.75" customHeight="1">
      <c r="A12327" s="2" t="s">
        <v>12327</v>
      </c>
      <c r="B12327" s="2" t="str">
        <f>IFERROR(__xludf.DUMMYFUNCTION("GOOGLETRANSLATE(A12327, ""en"", ""mt"")"),"Seaways DFDS Daniż")</f>
        <v>Seaways DFDS Daniż</v>
      </c>
    </row>
    <row r="12328" ht="15.75" customHeight="1">
      <c r="A12328" s="2" t="s">
        <v>12328</v>
      </c>
      <c r="B12328" s="2" t="str">
        <f>IFERROR(__xludf.DUMMYFUNCTION("GOOGLETRANSLATE(A12328, ""en"", ""mt"")"),"F'liema għexieren ta 'snin kien l-iktar attiv Dudley Simpson biex jikkontribwixxi għat-Tabib Min?")</f>
        <v>F'liema għexieren ta 'snin kien l-iktar attiv Dudley Simpson biex jikkontribwixxi għat-Tabib Min?</v>
      </c>
    </row>
    <row r="12329" ht="15.75" customHeight="1">
      <c r="A12329" s="2" t="s">
        <v>12329</v>
      </c>
      <c r="B12329" s="2" t="str">
        <f>IFERROR(__xludf.DUMMYFUNCTION("GOOGLETRANSLATE(A12329, ""en"", ""mt"")"),"Satelliti Pegasus,")</f>
        <v>Satelliti Pegasus,</v>
      </c>
    </row>
    <row r="12330" ht="15.75" customHeight="1">
      <c r="A12330" s="2" t="s">
        <v>12330</v>
      </c>
      <c r="B12330" s="2" t="str">
        <f>IFERROR(__xludf.DUMMYFUNCTION("GOOGLETRANSLATE(A12330, ""en"", ""mt"")"),"radjuattività")</f>
        <v>radjuattività</v>
      </c>
    </row>
    <row r="12331" ht="15.75" customHeight="1">
      <c r="A12331" s="2" t="s">
        <v>12331</v>
      </c>
      <c r="B12331" s="2" t="str">
        <f>IFERROR(__xludf.DUMMYFUNCTION("GOOGLETRANSLATE(A12331, ""en"", ""mt"")"),"Tank tal-ossiġnu likwidu sploda")</f>
        <v>Tank tal-ossiġnu likwidu sploda</v>
      </c>
    </row>
    <row r="12332" ht="15.75" customHeight="1">
      <c r="A12332" s="2" t="s">
        <v>12332</v>
      </c>
      <c r="B12332" s="2" t="str">
        <f>IFERROR(__xludf.DUMMYFUNCTION("GOOGLETRANSLATE(A12332, ""en"", ""mt"")"),"Iffinanzja l-esperimenti tiegħu ta 'Colorado Springs")</f>
        <v>Iffinanzja l-esperimenti tiegħu ta 'Colorado Springs</v>
      </c>
    </row>
    <row r="12333" ht="15.75" customHeight="1">
      <c r="A12333" s="2" t="s">
        <v>12333</v>
      </c>
      <c r="B12333" s="2" t="str">
        <f>IFERROR(__xludf.DUMMYFUNCTION("GOOGLETRANSLATE(A12333, ""en"", ""mt"")"),"Lampi elettriċi")</f>
        <v>Lampi elettriċi</v>
      </c>
    </row>
    <row r="12334" ht="15.75" customHeight="1">
      <c r="A12334" s="2" t="s">
        <v>12334</v>
      </c>
      <c r="B12334" s="2" t="str">
        <f>IFERROR(__xludf.DUMMYFUNCTION("GOOGLETRANSLATE(A12334, ""en"", ""mt"")"),"X’għamel Josel lill-Belt ta ’Strasburgu biex tipprojbixxi l-bejgħ ta’?")</f>
        <v>X’għamel Josel lill-Belt ta ’Strasburgu biex tipprojbixxi l-bejgħ ta’?</v>
      </c>
    </row>
    <row r="12335" ht="15.75" customHeight="1">
      <c r="A12335" s="2" t="s">
        <v>12335</v>
      </c>
      <c r="B12335" s="2" t="str">
        <f>IFERROR(__xludf.DUMMYFUNCTION("GOOGLETRANSLATE(A12335, ""en"", ""mt"")"),"Huwa joskura l-fatt li l-Indjani ġġieldu fuq iż-żewġ naħat tal-kunflitt")</f>
        <v>Huwa joskura l-fatt li l-Indjani ġġieldu fuq iż-żewġ naħat tal-kunflitt</v>
      </c>
    </row>
    <row r="12336" ht="15.75" customHeight="1">
      <c r="A12336" s="2" t="s">
        <v>12336</v>
      </c>
      <c r="B12336" s="2" t="str">
        <f>IFERROR(__xludf.DUMMYFUNCTION("GOOGLETRANSLATE(A12336, ""en"", ""mt"")"),"Ibdel it-tradizzjonijiet kulturali, drawwiet soċjali, twemmin reliġjuż, eċċ")</f>
        <v>Ibdel it-tradizzjonijiet kulturali, drawwiet soċjali, twemmin reliġjuż, eċċ</v>
      </c>
    </row>
    <row r="12337" ht="15.75" customHeight="1">
      <c r="A12337" s="2" t="s">
        <v>12337</v>
      </c>
      <c r="B12337" s="2" t="str">
        <f>IFERROR(__xludf.DUMMYFUNCTION("GOOGLETRANSLATE(A12337, ""en"", ""mt"")"),"$ 57,000")</f>
        <v>$ 57,000</v>
      </c>
    </row>
    <row r="12338" ht="15.75" customHeight="1">
      <c r="A12338" s="2" t="s">
        <v>12338</v>
      </c>
      <c r="B12338" s="2" t="str">
        <f>IFERROR(__xludf.DUMMYFUNCTION("GOOGLETRANSLATE(A12338, ""en"", ""mt"")"),"It-Taliban kienu nbidlu mill-eluf ta ’madrasahs il-moviment Deobandi stabbilit għal refuġjati Afgani fqar u appoġġjati minn gruppi governattivi u reliġjużi fil-Pakistan ġirien. It-Taliban kien differenti minn movimenti Iżlamisti oħra sal-punt fejn jistgħu"&amp;" jiġu deskritti aktar sewwa bħala fundamentalist Iżlamiku jew neofundamentalist, interessat li jxerred ""verżjoni idealizzata u sistematizzata tad-dwana tal-villaġġ tribali konservattiv"" taħt it-tikketta ta 'Sharia lejn pajjiż kollu. L-ideoloġija tagħhom"&amp;" ġiet deskritta wkoll bħala influwenzata mill-wahhabism, u l-ġiħadiżmu estremist tal-mistieden tagħhom Osama bin Laden.")</f>
        <v>It-Taliban kienu nbidlu mill-eluf ta ’madrasahs il-moviment Deobandi stabbilit għal refuġjati Afgani fqar u appoġġjati minn gruppi governattivi u reliġjużi fil-Pakistan ġirien. It-Taliban kien differenti minn movimenti Iżlamisti oħra sal-punt fejn jistgħu jiġu deskritti aktar sewwa bħala fundamentalist Iżlamiku jew neofundamentalist, interessat li jxerred "verżjoni idealizzata u sistematizzata tad-dwana tal-villaġġ tribali konservattiv" taħt it-tikketta ta 'Sharia lejn pajjiż kollu. L-ideoloġija tagħhom ġiet deskritta wkoll bħala influwenzata mill-wahhabism, u l-ġiħadiżmu estremist tal-mistieden tagħhom Osama bin Laden.</v>
      </c>
    </row>
    <row r="12339" ht="15.75" customHeight="1">
      <c r="A12339" s="2" t="s">
        <v>12339</v>
      </c>
      <c r="B12339" s="2" t="str">
        <f>IFERROR(__xludf.DUMMYFUNCTION("GOOGLETRANSLATE(A12339, ""en"", ""mt"")"),"Metodu ta 'rotta tolleranti għall-ħsarat u effiċjenti")</f>
        <v>Metodu ta 'rotta tolleranti għall-ħsarat u effiċjenti</v>
      </c>
    </row>
    <row r="12340" ht="15.75" customHeight="1">
      <c r="A12340" s="2" t="s">
        <v>12340</v>
      </c>
      <c r="B12340" s="2" t="str">
        <f>IFERROR(__xludf.DUMMYFUNCTION("GOOGLETRANSLATE(A12340, ""en"", ""mt"")"),"Rivoluzzjoni Dinjija")</f>
        <v>Rivoluzzjoni Dinjija</v>
      </c>
    </row>
    <row r="12341" ht="15.75" customHeight="1">
      <c r="A12341" s="2" t="s">
        <v>12341</v>
      </c>
      <c r="B12341" s="2" t="str">
        <f>IFERROR(__xludf.DUMMYFUNCTION("GOOGLETRANSLATE(A12341, ""en"", ""mt"")"),"Min mexxa l-Expedition Kolonjali Huguenot ta 'l-Amerika ta' Fuq?")</f>
        <v>Min mexxa l-Expedition Kolonjali Huguenot ta 'l-Amerika ta' Fuq?</v>
      </c>
    </row>
    <row r="12342" ht="15.75" customHeight="1">
      <c r="A12342" s="2" t="s">
        <v>12342</v>
      </c>
      <c r="B12342" s="2" t="str">
        <f>IFERROR(__xludf.DUMMYFUNCTION("GOOGLETRANSLATE(A12342, ""en"", ""mt"")"),"Għaliex Wesley kien imġiegħel jikser il-prattika standard u jordna tnejn mill-predikaturi lajċi tiegħu bħala presbyters?")</f>
        <v>Għaliex Wesley kien imġiegħel jikser il-prattika standard u jordna tnejn mill-predikaturi lajċi tiegħu bħala presbyters?</v>
      </c>
    </row>
    <row r="12343" ht="15.75" customHeight="1">
      <c r="A12343" s="2" t="s">
        <v>12343</v>
      </c>
      <c r="B12343" s="2" t="str">
        <f>IFERROR(__xludf.DUMMYFUNCTION("GOOGLETRANSLATE(A12343, ""en"", ""mt"")"),"Screenings tal-episodji klassiċi kollha disponibbli")</f>
        <v>Screenings tal-episodji klassiċi kollha disponibbli</v>
      </c>
    </row>
    <row r="12344" ht="15.75" customHeight="1">
      <c r="A12344" s="2" t="s">
        <v>12344</v>
      </c>
      <c r="B12344" s="2" t="str">
        <f>IFERROR(__xludf.DUMMYFUNCTION("GOOGLETRANSLATE(A12344, ""en"", ""mt"")"),"18 ta ’Lulju 2000")</f>
        <v>18 ta ’Lulju 2000</v>
      </c>
    </row>
    <row r="12345" ht="15.75" customHeight="1">
      <c r="A12345" s="2" t="s">
        <v>12345</v>
      </c>
      <c r="B12345" s="2" t="str">
        <f>IFERROR(__xludf.DUMMYFUNCTION("GOOGLETRANSLATE(A12345, ""en"", ""mt"")"),"Ċentru Ċiviku")</f>
        <v>Ċentru Ċiviku</v>
      </c>
    </row>
    <row r="12346" ht="15.75" customHeight="1">
      <c r="A12346" s="2" t="s">
        <v>12346</v>
      </c>
      <c r="B12346" s="2" t="str">
        <f>IFERROR(__xludf.DUMMYFUNCTION("GOOGLETRANSLATE(A12346, ""en"", ""mt"")"),"A ACL imqatta '")</f>
        <v>A ACL imqatta '</v>
      </c>
    </row>
    <row r="12347" ht="15.75" customHeight="1">
      <c r="A12347" s="2" t="s">
        <v>12347</v>
      </c>
      <c r="B12347" s="2" t="str">
        <f>IFERROR(__xludf.DUMMYFUNCTION("GOOGLETRANSLATE(A12347, ""en"", ""mt"")"),"Kien l-isem tas-serje Torchwood li kienet ibbażata l-aktar fl-Istati Uniti?")</f>
        <v>Kien l-isem tas-serje Torchwood li kienet ibbażata l-aktar fl-Istati Uniti?</v>
      </c>
    </row>
    <row r="12348" ht="15.75" customHeight="1">
      <c r="A12348" s="2" t="s">
        <v>12348</v>
      </c>
      <c r="B12348" s="2" t="str">
        <f>IFERROR(__xludf.DUMMYFUNCTION("GOOGLETRANSLATE(A12348, ""en"", ""mt"")"),"113")</f>
        <v>113</v>
      </c>
    </row>
    <row r="12349" ht="15.75" customHeight="1">
      <c r="A12349" s="2" t="s">
        <v>12349</v>
      </c>
      <c r="B12349" s="2" t="str">
        <f>IFERROR(__xludf.DUMMYFUNCTION("GOOGLETRANSLATE(A12349, ""en"", ""mt"")"),"Min ħa post Thomas Murphy wara l-akkwist ta 'Disney ta' ABC?")</f>
        <v>Min ħa post Thomas Murphy wara l-akkwist ta 'Disney ta' ABC?</v>
      </c>
    </row>
    <row r="12350" ht="15.75" customHeight="1">
      <c r="A12350" s="2" t="s">
        <v>12350</v>
      </c>
      <c r="B12350" s="2" t="str">
        <f>IFERROR(__xludf.DUMMYFUNCTION("GOOGLETRANSLATE(A12350, ""en"", ""mt"")"),"tard")</f>
        <v>tard</v>
      </c>
    </row>
    <row r="12351" ht="15.75" customHeight="1">
      <c r="A12351" s="2" t="s">
        <v>12351</v>
      </c>
      <c r="B12351" s="2" t="str">
        <f>IFERROR(__xludf.DUMMYFUNCTION("GOOGLETRANSLATE(A12351, ""en"", ""mt"")"),"Guo Shoujing")</f>
        <v>Guo Shoujing</v>
      </c>
    </row>
    <row r="12352" ht="15.75" customHeight="1">
      <c r="A12352" s="2" t="s">
        <v>12352</v>
      </c>
      <c r="B12352" s="2" t="str">
        <f>IFERROR(__xludf.DUMMYFUNCTION("GOOGLETRANSLATE(A12352, ""en"", ""mt"")"),"Istitut Franklin")</f>
        <v>Istitut Franklin</v>
      </c>
    </row>
    <row r="12353" ht="15.75" customHeight="1">
      <c r="A12353" s="2" t="s">
        <v>12353</v>
      </c>
      <c r="B12353" s="2" t="str">
        <f>IFERROR(__xludf.DUMMYFUNCTION("GOOGLETRANSLATE(A12353, ""en"", ""mt"")"),"Għaliex l-università eventwalment ħalliet il-konferenza?")</f>
        <v>Għaliex l-università eventwalment ħalliet il-konferenza?</v>
      </c>
    </row>
    <row r="12354" ht="15.75" customHeight="1">
      <c r="A12354" s="2" t="s">
        <v>12354</v>
      </c>
      <c r="B12354" s="2" t="str">
        <f>IFERROR(__xludf.DUMMYFUNCTION("GOOGLETRANSLATE(A12354, ""en"", ""mt"")"),"Liema artist li kellu influwenza kbira fuq il-qawmien mill-ġdid Gotiku huwa rrappreżentat fil-galleriji Ingliżi tal-V &amp; A?")</f>
        <v>Liema artist li kellu influwenza kbira fuq il-qawmien mill-ġdid Gotiku huwa rrappreżentat fil-galleriji Ingliżi tal-V &amp; A?</v>
      </c>
    </row>
    <row r="12355" ht="15.75" customHeight="1">
      <c r="A12355" s="2" t="s">
        <v>12355</v>
      </c>
      <c r="B12355" s="2" t="str">
        <f>IFERROR(__xludf.DUMMYFUNCTION("GOOGLETRANSLATE(A12355, ""en"", ""mt"")"),"skejjel vokazzjonali")</f>
        <v>skejjel vokazzjonali</v>
      </c>
    </row>
    <row r="12356" ht="15.75" customHeight="1">
      <c r="A12356" s="2" t="s">
        <v>12356</v>
      </c>
      <c r="B12356" s="2" t="str">
        <f>IFERROR(__xludf.DUMMYFUNCTION("GOOGLETRANSLATE(A12356, ""en"", ""mt"")"),"1,986 m")</f>
        <v>1,986 m</v>
      </c>
    </row>
    <row r="12357" ht="15.75" customHeight="1">
      <c r="A12357" s="2" t="s">
        <v>12357</v>
      </c>
      <c r="B12357" s="2" t="str">
        <f>IFERROR(__xludf.DUMMYFUNCTION("GOOGLETRANSLATE(A12357, ""en"", ""mt"")"),"Liema mara ħadet rwol ta 'tmexxija fl-imperu Mongoljan waqt li kienet qed tiġi determinata s-suċċessjoni?")</f>
        <v>Liema mara ħadet rwol ta 'tmexxija fl-imperu Mongoljan waqt li kienet qed tiġi determinata s-suċċessjoni?</v>
      </c>
    </row>
    <row r="12358" ht="15.75" customHeight="1">
      <c r="A12358" s="2" t="s">
        <v>12358</v>
      </c>
      <c r="B12358" s="2" t="str">
        <f>IFERROR(__xludf.DUMMYFUNCTION("GOOGLETRANSLATE(A12358, ""en"", ""mt"")"),"L-Organizzazzjoni Meteoroloġika Dinjija (WMO) u l-Programm tal-Ambjent tan-Nazzjonijiet Uniti (UNEP)")</f>
        <v>L-Organizzazzjoni Meteoroloġika Dinjija (WMO) u l-Programm tal-Ambjent tan-Nazzjonijiet Uniti (UNEP)</v>
      </c>
    </row>
    <row r="12359" ht="15.75" customHeight="1">
      <c r="A12359" s="2" t="s">
        <v>12359</v>
      </c>
      <c r="B12359" s="2" t="str">
        <f>IFERROR(__xludf.DUMMYFUNCTION("GOOGLETRANSLATE(A12359, ""en"", ""mt"")"),"L-ekwipaġġ ta 'Apollo 8 bagħat l-ewwel ritratti televiżivi ħajjin tad-Dinja u l-Qamar lura lejn id-Dinja, u qrajt mill-istorja tal-ħolqien fil-Ktieb tal-Ġenesi, Lejliet il-Milied, 1968. Stima kwart tal-popolazzjoni tad-dinja raw - jew live jew ittardjati "&amp;"- it-trasmissjoni ta ’Lejliet il-Milied matul id-disa’ orbita tal-qamar. Il-Missjoni u l-Milied ipprovdew tmiem ta ’ispirazzjoni għall-1968, li kienet sena mnikkta għall-Istati Uniti, immarkata mill-protesti tal-Gwerra tal-Vjetnam, irvellijiet tar-razza, "&amp;"u l-qtil tal-mexxej tad-drittijiet ċivili Martin Luther King, Jr., u s-Senatur Robert F. Kennedy -")</f>
        <v>L-ekwipaġġ ta 'Apollo 8 bagħat l-ewwel ritratti televiżivi ħajjin tad-Dinja u l-Qamar lura lejn id-Dinja, u qrajt mill-istorja tal-ħolqien fil-Ktieb tal-Ġenesi, Lejliet il-Milied, 1968. Stima kwart tal-popolazzjoni tad-dinja raw - jew live jew ittardjati - it-trasmissjoni ta ’Lejliet il-Milied matul id-disa’ orbita tal-qamar. Il-Missjoni u l-Milied ipprovdew tmiem ta ’ispirazzjoni għall-1968, li kienet sena mnikkta għall-Istati Uniti, immarkata mill-protesti tal-Gwerra tal-Vjetnam, irvellijiet tar-razza, u l-qtil tal-mexxej tad-drittijiet ċivili Martin Luther King, Jr., u s-Senatur Robert F. Kennedy -</v>
      </c>
    </row>
    <row r="12360" ht="15.75" customHeight="1">
      <c r="A12360" s="2" t="s">
        <v>12360</v>
      </c>
      <c r="B12360" s="2" t="str">
        <f>IFERROR(__xludf.DUMMYFUNCTION("GOOGLETRANSLATE(A12360, ""en"", ""mt"")"),"San Jose.")</f>
        <v>San Jose.</v>
      </c>
    </row>
    <row r="12361" ht="15.75" customHeight="1">
      <c r="A12361" s="2" t="s">
        <v>12361</v>
      </c>
      <c r="B12361" s="2" t="str">
        <f>IFERROR(__xludf.DUMMYFUNCTION("GOOGLETRANSLATE(A12361, ""en"", ""mt"")"),"Matul id-Dinastija tal-Kanzunetta tan-Nofsinhar id-dixxendent ta ’Confucius fi Qufu, id-Duka Yansheng Kong Duanyou ħarab lejn in-nofsinhar mal-kanzunetta Imperatur għal Quzhou, filwaqt li d-Dynasty Jin li għadu kif twaqqaf (1115-1234) fit-tramuntana ħatar"&amp;" it-tramuntana ta’ Kong Duanyou, ħu Duanyou Duancao li baqa ’fi Qufu bħala Duke Yansheng. Minn dak iż-żmien sad-dinastija Yuan, kien hemm żewġ Duka Yanshengs, darba fit-tramuntana ta ’Qufu u l-ieħor fin-nofsinhar ta’ Quzhou. Matul id-dinastija Yuan, l-Imp"&amp;"eratur Kublai Khan stieden lid-duka tan-Nofsinhar Yansheng Kong Zhu biex jirritorna lejn Qufu. Kong Zhu rrifjuta, u ċeda t-titlu, u għalhekk il-fergħa tat-tramuntana tal-familja żammet it-titlu ta ’Duke Yansheng. Il-fergħa tan-Nofsinhar xorta baqgħet fi Q"&amp;"uzhou fejn għexu sal-lum. Id-dixxendenti ta ’Confucius fi Quzhou waħdu n-numru 30,000. Matul id-dinastija Yuan, wieħed mid-dixxendenti ta ’Confucius mar miċ-Ċina għall-era ta’ Goryeo u stabbilixxa fergħa tal-familja hemmhekk wara li żżewweġ mara Koreana.")</f>
        <v>Matul id-Dinastija tal-Kanzunetta tan-Nofsinhar id-dixxendent ta ’Confucius fi Qufu, id-Duka Yansheng Kong Duanyou ħarab lejn in-nofsinhar mal-kanzunetta Imperatur għal Quzhou, filwaqt li d-Dynasty Jin li għadu kif twaqqaf (1115-1234) fit-tramuntana ħatar it-tramuntana ta’ Kong Duanyou, ħu Duanyou Duancao li baqa ’fi Qufu bħala Duke Yansheng. Minn dak iż-żmien sad-dinastija Yuan, kien hemm żewġ Duka Yanshengs, darba fit-tramuntana ta ’Qufu u l-ieħor fin-nofsinhar ta’ Quzhou. Matul id-dinastija Yuan, l-Imperatur Kublai Khan stieden lid-duka tan-Nofsinhar Yansheng Kong Zhu biex jirritorna lejn Qufu. Kong Zhu rrifjuta, u ċeda t-titlu, u għalhekk il-fergħa tat-tramuntana tal-familja żammet it-titlu ta ’Duke Yansheng. Il-fergħa tan-Nofsinhar xorta baqgħet fi Quzhou fejn għexu sal-lum. Id-dixxendenti ta ’Confucius fi Quzhou waħdu n-numru 30,000. Matul id-dinastija Yuan, wieħed mid-dixxendenti ta ’Confucius mar miċ-Ċina għall-era ta’ Goryeo u stabbilixxa fergħa tal-familja hemmhekk wara li żżewweġ mara Koreana.</v>
      </c>
    </row>
    <row r="12362" ht="15.75" customHeight="1">
      <c r="A12362" s="2" t="s">
        <v>12362</v>
      </c>
      <c r="B12362" s="2" t="str">
        <f>IFERROR(__xludf.DUMMYFUNCTION("GOOGLETRANSLATE(A12362, ""en"", ""mt"")"),"Meta l-liġi hija mira diretta tal-protesta, kif jissejjaħ dan?")</f>
        <v>Meta l-liġi hija mira diretta tal-protesta, kif jissejjaħ dan?</v>
      </c>
    </row>
    <row r="12363" ht="15.75" customHeight="1">
      <c r="A12363" s="2" t="s">
        <v>12363</v>
      </c>
      <c r="B12363" s="2" t="str">
        <f>IFERROR(__xludf.DUMMYFUNCTION("GOOGLETRANSLATE(A12363, ""en"", ""mt"")"),"kienu mewġ lonġitudinali")</f>
        <v>kienu mewġ lonġitudinali</v>
      </c>
    </row>
    <row r="12364" ht="15.75" customHeight="1">
      <c r="A12364" s="2" t="s">
        <v>12364</v>
      </c>
      <c r="B12364" s="2" t="str">
        <f>IFERROR(__xludf.DUMMYFUNCTION("GOOGLETRANSLATE(A12364, ""en"", ""mt"")"),"MHC I (Kumpless maġġuri ta 'Istokompatibilità)")</f>
        <v>MHC I (Kumpless maġġuri ta 'Istokompatibilità)</v>
      </c>
    </row>
    <row r="12365" ht="15.75" customHeight="1">
      <c r="A12365" s="2" t="s">
        <v>12365</v>
      </c>
      <c r="B12365" s="2" t="str">
        <f>IFERROR(__xludf.DUMMYFUNCTION("GOOGLETRANSLATE(A12365, ""en"", ""mt"")"),"effett tal-plaċebo")</f>
        <v>effett tal-plaċebo</v>
      </c>
    </row>
    <row r="12366" ht="15.75" customHeight="1">
      <c r="A12366" s="2" t="s">
        <v>12366</v>
      </c>
      <c r="B12366" s="2" t="str">
        <f>IFERROR(__xludf.DUMMYFUNCTION("GOOGLETRANSLATE(A12366, ""en"", ""mt"")"),"Kemm il-klijenti Sema UK limitati għandhom bħala xandar tat-TV bi ħlas mill-2015?")</f>
        <v>Kemm il-klijenti Sema UK limitati għandhom bħala xandar tat-TV bi ħlas mill-2015?</v>
      </c>
    </row>
    <row r="12367" ht="15.75" customHeight="1">
      <c r="A12367" s="2" t="s">
        <v>12367</v>
      </c>
      <c r="B12367" s="2" t="str">
        <f>IFERROR(__xludf.DUMMYFUNCTION("GOOGLETRANSLATE(A12367, ""en"", ""mt"")"),"Seklu 7")</f>
        <v>Seklu 7</v>
      </c>
    </row>
    <row r="12368" ht="15.75" customHeight="1">
      <c r="A12368" s="2" t="s">
        <v>12368</v>
      </c>
      <c r="B12368" s="2" t="str">
        <f>IFERROR(__xludf.DUMMYFUNCTION("GOOGLETRANSLATE(A12368, ""en"", ""mt"")"),"fetaħ il-bibien")</f>
        <v>fetaħ il-bibien</v>
      </c>
    </row>
    <row r="12369" ht="15.75" customHeight="1">
      <c r="A12369" s="2" t="s">
        <v>12369</v>
      </c>
      <c r="B12369" s="2" t="str">
        <f>IFERROR(__xludf.DUMMYFUNCTION("GOOGLETRANSLATE(A12369, ""en"", ""mt"")"),"fil-fatt")</f>
        <v>fil-fatt</v>
      </c>
    </row>
    <row r="12370" ht="15.75" customHeight="1">
      <c r="A12370" s="2" t="s">
        <v>12370</v>
      </c>
      <c r="B12370" s="2" t="str">
        <f>IFERROR(__xludf.DUMMYFUNCTION("GOOGLETRANSLATE(A12370, ""en"", ""mt"")"),"1854")</f>
        <v>1854</v>
      </c>
    </row>
    <row r="12371" ht="15.75" customHeight="1">
      <c r="A12371" s="2" t="s">
        <v>12371</v>
      </c>
      <c r="B12371" s="2" t="str">
        <f>IFERROR(__xludf.DUMMYFUNCTION("GOOGLETRANSLATE(A12371, ""en"", ""mt"")"),"Liema parti tas-sistema immunitarja tipproteġi l-moħħ?")</f>
        <v>Liema parti tas-sistema immunitarja tipproteġi l-moħħ?</v>
      </c>
    </row>
    <row r="12372" ht="15.75" customHeight="1">
      <c r="A12372" s="2" t="s">
        <v>12372</v>
      </c>
      <c r="B12372" s="2" t="str">
        <f>IFERROR(__xludf.DUMMYFUNCTION("GOOGLETRANSLATE(A12372, ""en"", ""mt"")"),"Minħabba li wieħed jista 'jinkludi b'mod arbitrarju ħafna każijiet ta' 1 fi kwalunkwe fatorizzazzjoni")</f>
        <v>Minħabba li wieħed jista 'jinkludi b'mod arbitrarju ħafna każijiet ta' 1 fi kwalunkwe fatorizzazzjoni</v>
      </c>
    </row>
    <row r="12373" ht="15.75" customHeight="1">
      <c r="A12373" s="2" t="s">
        <v>12373</v>
      </c>
      <c r="B12373" s="2" t="str">
        <f>IFERROR(__xludf.DUMMYFUNCTION("GOOGLETRANSLATE(A12373, ""en"", ""mt"")"),"Bejn Ġunju u Settembru")</f>
        <v>Bejn Ġunju u Settembru</v>
      </c>
    </row>
    <row r="12374" ht="15.75" customHeight="1">
      <c r="A12374" s="2" t="s">
        <v>12374</v>
      </c>
      <c r="B12374" s="2" t="str">
        <f>IFERROR(__xludf.DUMMYFUNCTION("GOOGLETRANSLATE(A12374, ""en"", ""mt"")"),"Fis-snin bikrin il-kulleġġ ħarreġ bosta ministri Puritani. [Ċitazzjoni meħtieġa] (pubblikazzjoni tal-1643 qalet li l-iskop tal-iskola kien ""li javvanza t-tagħlim u jipperpetwah għall-posterità, jibża 'li jħalli ministeru illitterat lill-knejjes meta l-mi"&amp;"nistri preżenti tagħna għandhom ikunu It-trab "".) Huwa offra kurrikulu klassiku fuq il-mudell tal-università Ingliża - ħafna mexxejja fil-kolonja attendew l-Università ta 'Cambridge - iżda konformi Puritaniżmu. Qatt ma kien affiljat ma 'xi denominazzjoni"&amp;" partikolari, iżda ħafna mill-ewwel gradwati tagħha komplew isiru kleru fil-knejjes kongregazzjonali u unitarji.")</f>
        <v>Fis-snin bikrin il-kulleġġ ħarreġ bosta ministri Puritani. [Ċitazzjoni meħtieġa] (pubblikazzjoni tal-1643 qalet li l-iskop tal-iskola kien "li javvanza t-tagħlim u jipperpetwah għall-posterità, jibża 'li jħalli ministeru illitterat lill-knejjes meta l-ministri preżenti tagħna għandhom ikunu It-trab ".) Huwa offra kurrikulu klassiku fuq il-mudell tal-università Ingliża - ħafna mexxejja fil-kolonja attendew l-Università ta 'Cambridge - iżda konformi Puritaniżmu. Qatt ma kien affiljat ma 'xi denominazzjoni partikolari, iżda ħafna mill-ewwel gradwati tagħha komplew isiru kleru fil-knejjes kongregazzjonali u unitarji.</v>
      </c>
    </row>
    <row r="12375" ht="15.75" customHeight="1">
      <c r="A12375" s="2" t="s">
        <v>12375</v>
      </c>
      <c r="B12375" s="2" t="str">
        <f>IFERROR(__xludf.DUMMYFUNCTION("GOOGLETRANSLATE(A12375, ""en"", ""mt"")"),"ħafna saru psewdogeni mhux funzjonali")</f>
        <v>ħafna saru psewdogeni mhux funzjonali</v>
      </c>
    </row>
    <row r="12376" ht="15.75" customHeight="1">
      <c r="A12376" s="2" t="s">
        <v>12376</v>
      </c>
      <c r="B12376" s="2" t="str">
        <f>IFERROR(__xludf.DUMMYFUNCTION("GOOGLETRANSLATE(A12376, ""en"", ""mt"")"),"kwistjonijiet")</f>
        <v>kwistjonijiet</v>
      </c>
    </row>
    <row r="12377" ht="15.75" customHeight="1">
      <c r="A12377" s="2" t="s">
        <v>12377</v>
      </c>
      <c r="B12377" s="2" t="str">
        <f>IFERROR(__xludf.DUMMYFUNCTION("GOOGLETRANSLATE(A12377, ""en"", ""mt"")"),"fagożomali")</f>
        <v>fagożomali</v>
      </c>
    </row>
    <row r="12378" ht="15.75" customHeight="1">
      <c r="A12378" s="2" t="s">
        <v>12378</v>
      </c>
      <c r="B12378" s="2" t="str">
        <f>IFERROR(__xludf.DUMMYFUNCTION("GOOGLETRANSLATE(A12378, ""en"", ""mt"")"),"rivoluzzjoni paċifika")</f>
        <v>rivoluzzjoni paċifika</v>
      </c>
    </row>
    <row r="12379" ht="15.75" customHeight="1">
      <c r="A12379" s="2" t="s">
        <v>12379</v>
      </c>
      <c r="B12379" s="2" t="str">
        <f>IFERROR(__xludf.DUMMYFUNCTION("GOOGLETRANSLATE(A12379, ""en"", ""mt"")"),"injorat it-twissija")</f>
        <v>injorat it-twissija</v>
      </c>
    </row>
    <row r="12380" ht="15.75" customHeight="1">
      <c r="A12380" s="2" t="s">
        <v>12380</v>
      </c>
      <c r="B12380" s="2" t="str">
        <f>IFERROR(__xludf.DUMMYFUNCTION("GOOGLETRANSLATE(A12380, ""en"", ""mt"")"),"Moor Town")</f>
        <v>Moor Town</v>
      </c>
    </row>
    <row r="12381" ht="15.75" customHeight="1">
      <c r="A12381" s="2" t="s">
        <v>12381</v>
      </c>
      <c r="B12381" s="2" t="str">
        <f>IFERROR(__xludf.DUMMYFUNCTION("GOOGLETRANSLATE(A12381, ""en"", ""mt"")"),"Metodu li jalloka minn qabel il-wisa 'tal-banda tan-netwerk iddedikat")</f>
        <v>Metodu li jalloka minn qabel il-wisa 'tal-banda tan-netwerk iddedikat</v>
      </c>
    </row>
    <row r="12382" ht="15.75" customHeight="1">
      <c r="A12382" s="2" t="s">
        <v>12382</v>
      </c>
      <c r="B12382" s="2" t="str">
        <f>IFERROR(__xludf.DUMMYFUNCTION("GOOGLETRANSLATE(A12382, ""en"", ""mt"")"),"kloroplast sitt membrani")</f>
        <v>kloroplast sitt membrani</v>
      </c>
    </row>
    <row r="12383" ht="15.75" customHeight="1">
      <c r="A12383" s="2" t="s">
        <v>12383</v>
      </c>
      <c r="B12383" s="2" t="str">
        <f>IFERROR(__xludf.DUMMYFUNCTION("GOOGLETRANSLATE(A12383, ""en"", ""mt"")"),"Huguenots ipprovda żewġ reġimenti ġodda")</f>
        <v>Huguenots ipprovda żewġ reġimenti ġodda</v>
      </c>
    </row>
    <row r="12384" ht="15.75" customHeight="1">
      <c r="A12384" s="2" t="s">
        <v>12384</v>
      </c>
      <c r="B12384" s="2" t="str">
        <f>IFERROR(__xludf.DUMMYFUNCTION("GOOGLETRANSLATE(A12384, ""en"", ""mt"")"),"L-ewwel xogħol ewlieni biex jikkontesta direttament it-teorija tal-pesta bubonika,")</f>
        <v>L-ewwel xogħol ewlieni biex jikkontesta direttament it-teorija tal-pesta bubonika,</v>
      </c>
    </row>
    <row r="12385" ht="15.75" customHeight="1">
      <c r="A12385" s="2" t="s">
        <v>12385</v>
      </c>
      <c r="B12385" s="2" t="str">
        <f>IFERROR(__xludf.DUMMYFUNCTION("GOOGLETRANSLATE(A12385, ""en"", ""mt"")"),"id-difiża tas-San Lawrenz")</f>
        <v>id-difiża tas-San Lawrenz</v>
      </c>
    </row>
    <row r="12386" ht="15.75" customHeight="1">
      <c r="A12386" s="2" t="s">
        <v>12386</v>
      </c>
      <c r="B12386" s="2" t="str">
        <f>IFERROR(__xludf.DUMMYFUNCTION("GOOGLETRANSLATE(A12386, ""en"", ""mt"")"),"X'inhi laqgħa annwali tal-uffiċjali kollha tal-knisja u xi membri interessati?")</f>
        <v>X'inhi laqgħa annwali tal-uffiċjali kollha tal-knisja u xi membri interessati?</v>
      </c>
    </row>
    <row r="12387" ht="15.75" customHeight="1">
      <c r="A12387" s="2" t="s">
        <v>12387</v>
      </c>
      <c r="B12387" s="2" t="str">
        <f>IFERROR(__xludf.DUMMYFUNCTION("GOOGLETRANSLATE(A12387, ""en"", ""mt"")"),"Meta ġiet iffirmata l-karta għal din il-knisja?")</f>
        <v>Meta ġiet iffirmata l-karta għal din il-knisja?</v>
      </c>
    </row>
    <row r="12388" ht="15.75" customHeight="1">
      <c r="A12388" s="2" t="s">
        <v>12388</v>
      </c>
      <c r="B12388" s="2" t="str">
        <f>IFERROR(__xludf.DUMMYFUNCTION("GOOGLETRANSLATE(A12388, ""en"", ""mt"")"),"0.2 abitanti")</f>
        <v>0.2 abitanti</v>
      </c>
    </row>
    <row r="12389" ht="15.75" customHeight="1">
      <c r="A12389" s="2" t="s">
        <v>12389</v>
      </c>
      <c r="B12389" s="2" t="str">
        <f>IFERROR(__xludf.DUMMYFUNCTION("GOOGLETRANSLATE(A12389, ""en"", ""mt"")"),"L-analiżi ta 'sezzjonijiet stratigrafiċi bħal qlub tat-tħaffir issir minn min?")</f>
        <v>L-analiżi ta 'sezzjonijiet stratigrafiċi bħal qlub tat-tħaffir issir minn min?</v>
      </c>
    </row>
    <row r="12390" ht="15.75" customHeight="1">
      <c r="A12390" s="2" t="s">
        <v>12390</v>
      </c>
      <c r="B12390" s="2" t="str">
        <f>IFERROR(__xludf.DUMMYFUNCTION("GOOGLETRANSLATE(A12390, ""en"", ""mt"")"),"ossidu")</f>
        <v>ossidu</v>
      </c>
    </row>
    <row r="12391" ht="15.75" customHeight="1">
      <c r="A12391" s="2" t="s">
        <v>12391</v>
      </c>
      <c r="B12391" s="2" t="str">
        <f>IFERROR(__xludf.DUMMYFUNCTION("GOOGLETRANSLATE(A12391, ""en"", ""mt"")"),"Il-pass ewlieni li jmiss seħħ meta James Watt żviluppa (1763-1775) verżjoni mtejba tal-magna ta ’Newcomen, b’kondensatur separat. Il-magni bikrija ta 'Boulton u Watt użaw nofs il-faħam daqs il-verżjoni mtejba ta' John Smeaton ta 'Newcomen. Il-magni bikrij"&amp;"a ta 'Newcomen u Watt kienu ""atmosferiċi"". Kienu mħaddma mill-pressjoni tal-arja li ġiegħlu pistun fil-vakwu parzjali ġġenerat mill-kondensazzjoni tal-fwar, minflok il-pressjoni tal-espansjoni tal-fwar. Iċ-ċilindri tal-magna kellhom ikunu kbar minħabba "&amp;"li l-unika forza li tista 'taġixxi fuqhom kienet dovuta għal pressjoni atmosferika.")</f>
        <v>Il-pass ewlieni li jmiss seħħ meta James Watt żviluppa (1763-1775) verżjoni mtejba tal-magna ta ’Newcomen, b’kondensatur separat. Il-magni bikrija ta 'Boulton u Watt użaw nofs il-faħam daqs il-verżjoni mtejba ta' John Smeaton ta 'Newcomen. Il-magni bikrija ta 'Newcomen u Watt kienu "atmosferiċi". Kienu mħaddma mill-pressjoni tal-arja li ġiegħlu pistun fil-vakwu parzjali ġġenerat mill-kondensazzjoni tal-fwar, minflok il-pressjoni tal-espansjoni tal-fwar. Iċ-ċilindri tal-magna kellhom ikunu kbar minħabba li l-unika forza li tista 'taġixxi fuqhom kienet dovuta għal pressjoni atmosferika.</v>
      </c>
    </row>
    <row r="12392" ht="15.75" customHeight="1">
      <c r="A12392" s="2" t="s">
        <v>12392</v>
      </c>
      <c r="B12392" s="2" t="str">
        <f>IFERROR(__xludf.DUMMYFUNCTION("GOOGLETRANSLATE(A12392, ""en"", ""mt"")"),"Fit-titlu tal-artiklu, x’taħseb li l-magna tispiċċa?")</f>
        <v>Fit-titlu tal-artiklu, x’taħseb li l-magna tispiċċa?</v>
      </c>
    </row>
    <row r="12393" ht="15.75" customHeight="1">
      <c r="A12393" s="2" t="s">
        <v>12393</v>
      </c>
      <c r="B12393" s="2" t="str">
        <f>IFERROR(__xludf.DUMMYFUNCTION("GOOGLETRANSLATE(A12393, ""en"", ""mt"")"),"Id-delta interna fil-bokka tar-Renu hija ma 'liema lag?")</f>
        <v>Id-delta interna fil-bokka tar-Renu hija ma 'liema lag?</v>
      </c>
    </row>
    <row r="12394" ht="15.75" customHeight="1">
      <c r="A12394" s="2" t="s">
        <v>12394</v>
      </c>
      <c r="B12394" s="2" t="str">
        <f>IFERROR(__xludf.DUMMYFUNCTION("GOOGLETRANSLATE(A12394, ""en"", ""mt"")"),"Liema Indjan famuż ħa motiv u poġġa lilu nnifsu fil-ħniena tal-qrati?")</f>
        <v>Liema Indjan famuż ħa motiv u poġġa lilu nnifsu fil-ħniena tal-qrati?</v>
      </c>
    </row>
    <row r="12395" ht="15.75" customHeight="1">
      <c r="A12395" s="2" t="s">
        <v>12395</v>
      </c>
      <c r="B12395" s="2" t="str">
        <f>IFERROR(__xludf.DUMMYFUNCTION("GOOGLETRANSLATE(A12395, ""en"", ""mt"")"),"biex tissottometti l-kastig preskritt mil-liġi")</f>
        <v>biex tissottometti l-kastig preskritt mil-liġi</v>
      </c>
    </row>
    <row r="12396" ht="15.75" customHeight="1">
      <c r="A12396" s="2" t="s">
        <v>12396</v>
      </c>
      <c r="B12396" s="2" t="str">
        <f>IFERROR(__xludf.DUMMYFUNCTION("GOOGLETRANSLATE(A12396, ""en"", ""mt"")"),"X'qed isiru molekuli instabbli ta '6 karbonju?")</f>
        <v>X'qed isiru molekuli instabbli ta '6 karbonju?</v>
      </c>
    </row>
    <row r="12397" ht="15.75" customHeight="1">
      <c r="A12397" s="2" t="s">
        <v>12397</v>
      </c>
      <c r="B12397" s="2" t="str">
        <f>IFERROR(__xludf.DUMMYFUNCTION("GOOGLETRANSLATE(A12397, ""en"", ""mt"")"),"Lag Balkhash,")</f>
        <v>Lag Balkhash,</v>
      </c>
    </row>
    <row r="12398" ht="15.75" customHeight="1">
      <c r="A12398" s="2" t="s">
        <v>12398</v>
      </c>
      <c r="B12398" s="2" t="str">
        <f>IFERROR(__xludf.DUMMYFUNCTION("GOOGLETRANSLATE(A12398, ""en"", ""mt"")"),"Liema triq jaħseb Nikolaus Pevsner huwa wieħed mill-ifjen fl-Ingilterra?")</f>
        <v>Liema triq jaħseb Nikolaus Pevsner huwa wieħed mill-ifjen fl-Ingilterra?</v>
      </c>
    </row>
    <row r="12399" ht="15.75" customHeight="1">
      <c r="A12399" s="2" t="s">
        <v>12399</v>
      </c>
      <c r="B12399" s="2" t="str">
        <f>IFERROR(__xludf.DUMMYFUNCTION("GOOGLETRANSLATE(A12399, ""en"", ""mt"")"),"Kemm Franċiż rebaħ Battalja ta 'Carillon?")</f>
        <v>Kemm Franċiż rebaħ Battalja ta 'Carillon?</v>
      </c>
    </row>
    <row r="12400" ht="15.75" customHeight="1">
      <c r="A12400" s="2" t="s">
        <v>12400</v>
      </c>
      <c r="B12400" s="2" t="str">
        <f>IFERROR(__xludf.DUMMYFUNCTION("GOOGLETRANSLATE(A12400, ""en"", ""mt"")"),"Kunjomijiet tal-Fruntiera Reiver")</f>
        <v>Kunjomijiet tal-Fruntiera Reiver</v>
      </c>
    </row>
    <row r="12401" ht="15.75" customHeight="1">
      <c r="A12401" s="2" t="s">
        <v>12401</v>
      </c>
      <c r="B12401" s="2" t="str">
        <f>IFERROR(__xludf.DUMMYFUNCTION("GOOGLETRANSLATE(A12401, ""en"", ""mt"")"),"Caldwell")</f>
        <v>Caldwell</v>
      </c>
    </row>
    <row r="12402" ht="15.75" customHeight="1">
      <c r="A12402" s="2" t="s">
        <v>12402</v>
      </c>
      <c r="B12402" s="2" t="str">
        <f>IFERROR(__xludf.DUMMYFUNCTION("GOOGLETRANSLATE(A12402, ""en"", ""mt"")"),"Kemm huwa Fresno minn Los Angeles?")</f>
        <v>Kemm huwa Fresno minn Los Angeles?</v>
      </c>
    </row>
    <row r="12403" ht="15.75" customHeight="1">
      <c r="A12403" s="2" t="s">
        <v>12403</v>
      </c>
      <c r="B12403" s="2" t="str">
        <f>IFERROR(__xludf.DUMMYFUNCTION("GOOGLETRANSLATE(A12403, ""en"", ""mt"")"),"paċi")</f>
        <v>paċi</v>
      </c>
    </row>
    <row r="12404" ht="15.75" customHeight="1">
      <c r="A12404" s="2" t="s">
        <v>12404</v>
      </c>
      <c r="B12404" s="2" t="str">
        <f>IFERROR(__xludf.DUMMYFUNCTION("GOOGLETRANSLATE(A12404, ""en"", ""mt"")"),"X’għatu Jim Gray?")</f>
        <v>X’għatu Jim Gray?</v>
      </c>
    </row>
    <row r="12405" ht="15.75" customHeight="1">
      <c r="A12405" s="2" t="s">
        <v>12405</v>
      </c>
      <c r="B12405" s="2" t="str">
        <f>IFERROR(__xludf.DUMMYFUNCTION("GOOGLETRANSLATE(A12405, ""en"", ""mt"")"),"X’kienu saru talbiet lill-Ingliżi?")</f>
        <v>X’kienu saru talbiet lill-Ingliżi?</v>
      </c>
    </row>
    <row r="12406" ht="15.75" customHeight="1">
      <c r="A12406" s="2" t="s">
        <v>12406</v>
      </c>
      <c r="B12406" s="2" t="str">
        <f>IFERROR(__xludf.DUMMYFUNCTION("GOOGLETRANSLATE(A12406, ""en"", ""mt"")"),"Meta nqasmet il-Konferenza Ġenerali tal-Knisja Episkopali Metodista f'żewġ konferenzi?")</f>
        <v>Meta nqasmet il-Konferenza Ġenerali tal-Knisja Episkopali Metodista f'żewġ konferenzi?</v>
      </c>
    </row>
    <row r="12407" ht="15.75" customHeight="1">
      <c r="A12407" s="2" t="s">
        <v>12407</v>
      </c>
      <c r="B12407" s="2" t="str">
        <f>IFERROR(__xludf.DUMMYFUNCTION("GOOGLETRANSLATE(A12407, ""en"", ""mt"")"),"Kemm għandu elettorati l-istat ta 'Victoria?")</f>
        <v>Kemm għandu elettorati l-istat ta 'Victoria?</v>
      </c>
    </row>
    <row r="12408" ht="15.75" customHeight="1">
      <c r="A12408" s="2" t="s">
        <v>12408</v>
      </c>
      <c r="B12408" s="2" t="str">
        <f>IFERROR(__xludf.DUMMYFUNCTION("GOOGLETRANSLATE(A12408, ""en"", ""mt"")"),"F'liema tul ta 'mewġa jagħmlu l-quċċata tal-meded spettrofotometriċi?")</f>
        <v>F'liema tul ta 'mewġa jagħmlu l-quċċata tal-meded spettrofotometriċi?</v>
      </c>
    </row>
    <row r="12409" ht="15.75" customHeight="1">
      <c r="A12409" s="2" t="s">
        <v>12409</v>
      </c>
      <c r="B12409" s="2" t="str">
        <f>IFERROR(__xludf.DUMMYFUNCTION("GOOGLETRANSLATE(A12409, ""en"", ""mt"")"),"Fejn kienet tinsab il-Kumpanija Edison Kontinentali?")</f>
        <v>Fejn kienet tinsab il-Kumpanija Edison Kontinentali?</v>
      </c>
    </row>
    <row r="12410" ht="15.75" customHeight="1">
      <c r="A12410" s="2" t="s">
        <v>12410</v>
      </c>
      <c r="B12410" s="2" t="str">
        <f>IFERROR(__xludf.DUMMYFUNCTION("GOOGLETRANSLATE(A12410, ""en"", ""mt"")"),"In-NASA kellha wkoll tagħmel il-fondi disponibbli")</f>
        <v>In-NASA kellha wkoll tagħmel il-fondi disponibbli</v>
      </c>
    </row>
    <row r="12411" ht="15.75" customHeight="1">
      <c r="A12411" s="2" t="s">
        <v>12411</v>
      </c>
      <c r="B12411" s="2" t="str">
        <f>IFERROR(__xludf.DUMMYFUNCTION("GOOGLETRANSLATE(A12411, ""en"", ""mt"")"),"Sa kemm il-Labour Lead Lain Gray żamm Lothian tal-Lvant?")</f>
        <v>Sa kemm il-Labour Lead Lain Gray żamm Lothian tal-Lvant?</v>
      </c>
    </row>
    <row r="12412" ht="15.75" customHeight="1">
      <c r="A12412" s="2" t="s">
        <v>12412</v>
      </c>
      <c r="B12412" s="2" t="str">
        <f>IFERROR(__xludf.DUMMYFUNCTION("GOOGLETRANSLATE(A12412, ""en"", ""mt"")"),"1993")</f>
        <v>1993</v>
      </c>
    </row>
    <row r="12413" ht="15.75" customHeight="1">
      <c r="A12413" s="2" t="s">
        <v>12413</v>
      </c>
      <c r="B12413" s="2" t="str">
        <f>IFERROR(__xludf.DUMMYFUNCTION("GOOGLETRANSLATE(A12413, ""en"", ""mt"")"),"L-ambizzjonijiet imperjalisti tal-Gran Brittanja jistgħu jidhru kmieni mis-seklu sittax. Fl-1599 il-Kumpanija Ingliża tal-Indja tal-Lvant ġiet stabbilita u ġiet mikrija mir-Reġina Eliżabetta fis-sena ta 'wara. Bl-istabbiliment ta 'karigi ta' kummerċ fl-In"&amp;"dja, l-Ingliżi setgħu jżommu saħħa relattivament għal oħrajn imperi bħall-Portugiż li diġà waqqaf postijiet kummerċjali fl-Indja. Fl-1767 l-attività politika kkawżat l-isfruttament tal-Kumpanija tal-Indja tal-Lvant li kkawżat it-tisħiħ tal-ekonomija lokal"&amp;"i, kważi ġab lill-kumpanija falluta.")</f>
        <v>L-ambizzjonijiet imperjalisti tal-Gran Brittanja jistgħu jidhru kmieni mis-seklu sittax. Fl-1599 il-Kumpanija Ingliża tal-Indja tal-Lvant ġiet stabbilita u ġiet mikrija mir-Reġina Eliżabetta fis-sena ta 'wara. Bl-istabbiliment ta 'karigi ta' kummerċ fl-Indja, l-Ingliżi setgħu jżommu saħħa relattivament għal oħrajn imperi bħall-Portugiż li diġà waqqaf postijiet kummerċjali fl-Indja. Fl-1767 l-attività politika kkawżat l-isfruttament tal-Kumpanija tal-Indja tal-Lvant li kkawżat it-tisħiħ tal-ekonomija lokali, kważi ġab lill-kumpanija falluta.</v>
      </c>
    </row>
    <row r="12414" ht="15.75" customHeight="1">
      <c r="A12414" s="2" t="s">
        <v>12414</v>
      </c>
      <c r="B12414" s="2" t="str">
        <f>IFERROR(__xludf.DUMMYFUNCTION("GOOGLETRANSLATE(A12414, ""en"", ""mt"")"),"Rigal tal-grazzja ta ’Alla")</f>
        <v>Rigal tal-grazzja ta ’Alla</v>
      </c>
    </row>
    <row r="12415" ht="15.75" customHeight="1">
      <c r="A12415" s="2" t="s">
        <v>12415</v>
      </c>
      <c r="B12415" s="2" t="str">
        <f>IFERROR(__xludf.DUMMYFUNCTION("GOOGLETRANSLATE(A12415, ""en"", ""mt"")"),"Meta l-Istati Uniti rtiraw mill-Bretton Woods?")</f>
        <v>Meta l-Istati Uniti rtiraw mill-Bretton Woods?</v>
      </c>
    </row>
    <row r="12416" ht="15.75" customHeight="1">
      <c r="A12416" s="2" t="s">
        <v>12416</v>
      </c>
      <c r="B12416" s="2" t="str">
        <f>IFERROR(__xludf.DUMMYFUNCTION("GOOGLETRANSLATE(A12416, ""en"", ""mt"")"),"Alter Rhein")</f>
        <v>Alter Rhein</v>
      </c>
    </row>
    <row r="12417" ht="15.75" customHeight="1">
      <c r="A12417" s="2" t="s">
        <v>12417</v>
      </c>
      <c r="B12417" s="2" t="str">
        <f>IFERROR(__xludf.DUMMYFUNCTION("GOOGLETRANSLATE(A12417, ""en"", ""mt"")"),"A Qara-Khitay (Khitan")</f>
        <v>A Qara-Khitay (Khitan</v>
      </c>
    </row>
    <row r="12418" ht="15.75" customHeight="1">
      <c r="A12418" s="2" t="s">
        <v>12418</v>
      </c>
      <c r="B12418" s="2" t="str">
        <f>IFERROR(__xludf.DUMMYFUNCTION("GOOGLETRANSLATE(A12418, ""en"", ""mt"")"),"Tim Allen")</f>
        <v>Tim Allen</v>
      </c>
    </row>
    <row r="12419" ht="15.75" customHeight="1">
      <c r="A12419" s="2" t="s">
        <v>12419</v>
      </c>
      <c r="B12419" s="2" t="str">
        <f>IFERROR(__xludf.DUMMYFUNCTION("GOOGLETRANSLATE(A12419, ""en"", ""mt"")"),"Meta ġiet żviluppata l-bażi għall-kapitolu soċjali?")</f>
        <v>Meta ġiet żviluppata l-bażi għall-kapitolu soċjali?</v>
      </c>
    </row>
    <row r="12420" ht="15.75" customHeight="1">
      <c r="A12420" s="2" t="s">
        <v>12420</v>
      </c>
      <c r="B12420" s="2" t="str">
        <f>IFERROR(__xludf.DUMMYFUNCTION("GOOGLETRANSLATE(A12420, ""en"", ""mt"")"),"skadut")</f>
        <v>skadut</v>
      </c>
    </row>
    <row r="12421" ht="15.75" customHeight="1">
      <c r="A12421" s="2" t="s">
        <v>12421</v>
      </c>
      <c r="B12421" s="2" t="str">
        <f>IFERROR(__xludf.DUMMYFUNCTION("GOOGLETRANSLATE(A12421, ""en"", ""mt"")"),"X'inhu eżempju ta 'problema intermedjata ta' NP mhux magħrufa li teżisti f'P jew NP-Complete?")</f>
        <v>X'inhu eżempju ta 'problema intermedjata ta' NP mhux magħrufa li teżisti f'P jew NP-Complete?</v>
      </c>
    </row>
    <row r="12422" ht="15.75" customHeight="1">
      <c r="A12422" s="2" t="s">
        <v>12422</v>
      </c>
      <c r="B12422" s="2" t="str">
        <f>IFERROR(__xludf.DUMMYFUNCTION("GOOGLETRANSLATE(A12422, ""en"", ""mt"")"),"skulturi, friezes u oqbra")</f>
        <v>skulturi, friezes u oqbra</v>
      </c>
    </row>
    <row r="12423" ht="15.75" customHeight="1">
      <c r="A12423" s="2" t="s">
        <v>12423</v>
      </c>
      <c r="B12423" s="2" t="str">
        <f>IFERROR(__xludf.DUMMYFUNCTION("GOOGLETRANSLATE(A12423, ""en"", ""mt"")"),"Dak li mexxa r-residenti għal akkomodazzjoni suburbana aktar kwieta?")</f>
        <v>Dak li mexxa r-residenti għal akkomodazzjoni suburbana aktar kwieta?</v>
      </c>
    </row>
    <row r="12424" ht="15.75" customHeight="1">
      <c r="A12424" s="2" t="s">
        <v>12424</v>
      </c>
      <c r="B12424" s="2" t="str">
        <f>IFERROR(__xludf.DUMMYFUNCTION("GOOGLETRANSLATE(A12424, ""en"", ""mt"")"),"Lil min ġie attribwit il-bibien tas-sala tal-belt ta 'Antwerp fil-kollezzjoni V &amp; A?")</f>
        <v>Lil min ġie attribwit il-bibien tas-sala tal-belt ta 'Antwerp fil-kollezzjoni V &amp; A?</v>
      </c>
    </row>
    <row r="12425" ht="15.75" customHeight="1">
      <c r="A12425" s="2" t="s">
        <v>12425</v>
      </c>
      <c r="B12425" s="2" t="str">
        <f>IFERROR(__xludf.DUMMYFUNCTION("GOOGLETRANSLATE(A12425, ""en"", ""mt"")"),"Liema monument ġiet staqsiet Tesla dwar fir-rigward tal-elettriku fl-1893?")</f>
        <v>Liema monument ġiet staqsiet Tesla dwar fir-rigward tal-elettriku fl-1893?</v>
      </c>
    </row>
    <row r="12426" ht="15.75" customHeight="1">
      <c r="A12426" s="2" t="s">
        <v>12426</v>
      </c>
      <c r="B12426" s="2" t="str">
        <f>IFERROR(__xludf.DUMMYFUNCTION("GOOGLETRANSLATE(A12426, ""en"", ""mt"")"),"L-eks kwartieri ġenerali tiegħu kienet il-WSE li tinsab fl-2000?")</f>
        <v>L-eks kwartieri ġenerali tiegħu kienet il-WSE li tinsab fl-2000?</v>
      </c>
    </row>
    <row r="12427" ht="15.75" customHeight="1">
      <c r="A12427" s="2" t="s">
        <v>12427</v>
      </c>
      <c r="B12427" s="2" t="str">
        <f>IFERROR(__xludf.DUMMYFUNCTION("GOOGLETRANSLATE(A12427, ""en"", ""mt"")"),"X'inhu t-tkabbir ekonomiku biżżejjed għall-progress?")</f>
        <v>X'inhu t-tkabbir ekonomiku biżżejjed għall-progress?</v>
      </c>
    </row>
    <row r="12428" ht="15.75" customHeight="1">
      <c r="A12428" s="2" t="s">
        <v>12428</v>
      </c>
      <c r="B12428" s="2" t="str">
        <f>IFERROR(__xludf.DUMMYFUNCTION("GOOGLETRANSLATE(A12428, ""en"", ""mt"")"),"Fuq liema tip ta 'dħul tiddependi l-maġġoranza l-kbira tal-popolazzjoni?")</f>
        <v>Fuq liema tip ta 'dħul tiddependi l-maġġoranza l-kbira tal-popolazzjoni?</v>
      </c>
    </row>
    <row r="12429" ht="15.75" customHeight="1">
      <c r="A12429" s="2" t="s">
        <v>12429</v>
      </c>
      <c r="B12429" s="2" t="str">
        <f>IFERROR(__xludf.DUMMYFUNCTION("GOOGLETRANSLATE(A12429, ""en"", ""mt"")"),"X'inhu l-mewt stmat għal persuni ċivili Pollakki?")</f>
        <v>X'inhu l-mewt stmat għal persuni ċivili Pollakki?</v>
      </c>
    </row>
    <row r="12430" ht="15.75" customHeight="1">
      <c r="A12430" s="2" t="s">
        <v>12430</v>
      </c>
      <c r="B12430" s="2" t="str">
        <f>IFERROR(__xludf.DUMMYFUNCTION("GOOGLETRANSLATE(A12430, ""en"", ""mt"")"),"X'inhu eżempju wieħed ta 'dominju ta' fatturizzazzjoni uniku?")</f>
        <v>X'inhu eżempju wieħed ta 'dominju ta' fatturizzazzjoni uniku?</v>
      </c>
    </row>
    <row r="12431" ht="15.75" customHeight="1">
      <c r="A12431" s="2" t="s">
        <v>12431</v>
      </c>
      <c r="B12431" s="2" t="str">
        <f>IFERROR(__xludf.DUMMYFUNCTION("GOOGLETRANSLATE(A12431, ""en"", ""mt"")"),"Jekk il-ħaddiem medju ta 'l-Istati Uniti kellu jlesti sena addizzjonali ta' skola, liema ammont ta 'tkabbir jiġi ġġenerat fuq 5 snin?")</f>
        <v>Jekk il-ħaddiem medju ta 'l-Istati Uniti kellu jlesti sena addizzjonali ta' skola, liema ammont ta 'tkabbir jiġi ġġenerat fuq 5 snin?</v>
      </c>
    </row>
    <row r="12432" ht="15.75" customHeight="1">
      <c r="A12432" s="2" t="s">
        <v>12432</v>
      </c>
      <c r="B12432" s="2" t="str">
        <f>IFERROR(__xludf.DUMMYFUNCTION("GOOGLETRANSLATE(A12432, ""en"", ""mt"")"),"Kemm għandhom membrani apikoplasti?")</f>
        <v>Kemm għandhom membrani apikoplasti?</v>
      </c>
    </row>
    <row r="12433" ht="15.75" customHeight="1">
      <c r="A12433" s="2" t="s">
        <v>12433</v>
      </c>
      <c r="B12433" s="2" t="str">
        <f>IFERROR(__xludf.DUMMYFUNCTION("GOOGLETRANSLATE(A12433, ""en"", ""mt"")"),"F’liema sena kien Doctor Who kklassifika t-tielet l-akbar wirja tas-snin 2000?")</f>
        <v>F’liema sena kien Doctor Who kklassifika t-tielet l-akbar wirja tas-snin 2000?</v>
      </c>
    </row>
    <row r="12434" ht="15.75" customHeight="1">
      <c r="A12434" s="2" t="s">
        <v>12434</v>
      </c>
      <c r="B12434" s="2" t="str">
        <f>IFERROR(__xludf.DUMMYFUNCTION("GOOGLETRANSLATE(A12434, ""en"", ""mt"")"),"Uighurs tar-Renju ta 'Qocho")</f>
        <v>Uighurs tar-Renju ta 'Qocho</v>
      </c>
    </row>
    <row r="12435" ht="15.75" customHeight="1">
      <c r="A12435" s="2" t="s">
        <v>12435</v>
      </c>
      <c r="B12435" s="2" t="str">
        <f>IFERROR(__xludf.DUMMYFUNCTION("GOOGLETRANSLATE(A12435, ""en"", ""mt"")"),"Relatività")</f>
        <v>Relatività</v>
      </c>
    </row>
    <row r="12436" ht="15.75" customHeight="1">
      <c r="A12436" s="2" t="s">
        <v>12436</v>
      </c>
      <c r="B12436" s="2" t="str">
        <f>IFERROR(__xludf.DUMMYFUNCTION("GOOGLETRANSLATE(A12436, ""en"", ""mt"")"),"faħam")</f>
        <v>faħam</v>
      </c>
    </row>
    <row r="12437" ht="15.75" customHeight="1">
      <c r="A12437" s="2" t="s">
        <v>12437</v>
      </c>
      <c r="B12437" s="2" t="str">
        <f>IFERROR(__xludf.DUMMYFUNCTION("GOOGLETRANSLATE(A12437, ""en"", ""mt"")"),"Kemm kienu episodji fil-pjan ewlieni ta 'Daleks?")</f>
        <v>Kemm kienu episodji fil-pjan ewlieni ta 'Daleks?</v>
      </c>
    </row>
    <row r="12438" ht="15.75" customHeight="1">
      <c r="A12438" s="2" t="s">
        <v>12438</v>
      </c>
      <c r="B12438" s="2" t="str">
        <f>IFERROR(__xludf.DUMMYFUNCTION("GOOGLETRANSLATE(A12438, ""en"", ""mt"")"),"X'inhu t-terminu għall-qbid tal-motivazzjoni espressa mill-għalliem?")</f>
        <v>X'inhu t-terminu għall-qbid tal-motivazzjoni espressa mill-għalliem?</v>
      </c>
    </row>
    <row r="12439" ht="15.75" customHeight="1">
      <c r="A12439" s="2" t="s">
        <v>12439</v>
      </c>
      <c r="B12439" s="2" t="str">
        <f>IFERROR(__xludf.DUMMYFUNCTION("GOOGLETRANSLATE(A12439, ""en"", ""mt"")"),"X'tip ta 'teatru jidhru l-kwartieri?")</f>
        <v>X'tip ta 'teatru jidhru l-kwartieri?</v>
      </c>
    </row>
    <row r="12440" ht="15.75" customHeight="1">
      <c r="A12440" s="2" t="s">
        <v>12440</v>
      </c>
      <c r="B12440" s="2" t="str">
        <f>IFERROR(__xludf.DUMMYFUNCTION("GOOGLETRANSLATE(A12440, ""en"", ""mt"")"),"muri li għandu soluzzjonijiet aktar effiċjenti")</f>
        <v>muri li għandu soluzzjonijiet aktar effiċjenti</v>
      </c>
    </row>
    <row r="12441" ht="15.75" customHeight="1">
      <c r="A12441" s="2" t="s">
        <v>12441</v>
      </c>
      <c r="B12441" s="2" t="str">
        <f>IFERROR(__xludf.DUMMYFUNCTION("GOOGLETRANSLATE(A12441, ""en"", ""mt"")"),"Min kien is-segretarju ta 'Tesla?")</f>
        <v>Min kien is-segretarju ta 'Tesla?</v>
      </c>
    </row>
    <row r="12442" ht="15.75" customHeight="1">
      <c r="A12442" s="2" t="s">
        <v>12442</v>
      </c>
      <c r="B12442" s="2" t="str">
        <f>IFERROR(__xludf.DUMMYFUNCTION("GOOGLETRANSLATE(A12442, ""en"", ""mt"")"),"Fejn Moncalm niżel biex jattakka, ħalla l-biċċa l-kbira mhux protett?")</f>
        <v>Fejn Moncalm niżel biex jattakka, ħalla l-biċċa l-kbira mhux protett?</v>
      </c>
    </row>
    <row r="12443" ht="15.75" customHeight="1">
      <c r="A12443" s="2" t="s">
        <v>12443</v>
      </c>
      <c r="B12443" s="2" t="str">
        <f>IFERROR(__xludf.DUMMYFUNCTION("GOOGLETRANSLATE(A12443, ""en"", ""mt"")"),"Steven Bochco")</f>
        <v>Steven Bochco</v>
      </c>
    </row>
    <row r="12444" ht="15.75" customHeight="1">
      <c r="A12444" s="2" t="s">
        <v>12444</v>
      </c>
      <c r="B12444" s="2" t="str">
        <f>IFERROR(__xludf.DUMMYFUNCTION("GOOGLETRANSLATE(A12444, ""en"", ""mt"")"),"X'inhu l-lag magħruf bħala li nħoloq miż-żieda tal-Muntanji Andes?")</f>
        <v>X'inhu l-lag magħruf bħala li nħoloq miż-żieda tal-Muntanji Andes?</v>
      </c>
    </row>
    <row r="12445" ht="15.75" customHeight="1">
      <c r="A12445" s="2" t="s">
        <v>12445</v>
      </c>
      <c r="B12445" s="2" t="str">
        <f>IFERROR(__xludf.DUMMYFUNCTION("GOOGLETRANSLATE(A12445, ""en"", ""mt"")"),"1752 Trattat ta 'Logstown")</f>
        <v>1752 Trattat ta 'Logstown</v>
      </c>
    </row>
    <row r="12446" ht="15.75" customHeight="1">
      <c r="A12446" s="2" t="s">
        <v>12446</v>
      </c>
      <c r="B12446" s="2" t="str">
        <f>IFERROR(__xludf.DUMMYFUNCTION("GOOGLETRANSLATE(A12446, ""en"", ""mt"")"),"Fort San Mateo")</f>
        <v>Fort San Mateo</v>
      </c>
    </row>
    <row r="12447" ht="15.75" customHeight="1">
      <c r="A12447" s="2" t="s">
        <v>12447</v>
      </c>
      <c r="B12447" s="2" t="str">
        <f>IFERROR(__xludf.DUMMYFUNCTION("GOOGLETRANSLATE(A12447, ""en"", ""mt"")"),"Liema avvanzi minbarra t-teknoloġija militari kisbet l-Ewropa?")</f>
        <v>Liema avvanzi minbarra t-teknoloġija militari kisbet l-Ewropa?</v>
      </c>
    </row>
    <row r="12448" ht="15.75" customHeight="1">
      <c r="A12448" s="2" t="s">
        <v>12448</v>
      </c>
      <c r="B12448" s="2" t="str">
        <f>IFERROR(__xludf.DUMMYFUNCTION("GOOGLETRANSLATE(A12448, ""en"", ""mt"")"),"Il-qbid ta 'warũhiũ itote (magħruf ukoll bħala ċ-Ċina ġenerali) fil-15 ta' Jannar 1954 u l-interrogazzjoni sussegwenti wasslet għal fehim aħjar tal-istruttura tal-kmand ta 'Mau Mau. L-Operazzjoni Anvil infetħet fl-24 ta 'April 1954, wara ġimgħat ta' ppjan"&amp;"ar mill-Armata bl-approvazzjoni tal-Kunsill tal-Gwerra. L-operazzjoni poġġiet b'mod effettiv lil Nairobi taħt assedju militari, u l-okkupanti ġew skrinjati u l-partitarji ta 'Mau Mau marru jgħixu f'kampijiet ta' detenzjoni. Il-gwardja tad-dar iffurmat il-"&amp;"qalba tal-istrateġija tal-gvern peress li kienet magħmula minn Afrikani lealiżi, mhux forzi barranin bħall-armata Ingliża u x-xkubetti Afrikani tar-Re. Sa tmiem l-emerġenza, il-gwardja tad-dar kienet qatlet 4,686 Mau Mau, li jammontaw għal 42% tal-ribelli"&amp;" totali. Il-qbid ta 'Dedan Kimathi fil-21 ta' Ottubru 1956 fi Nyeri fisser it-telfa aħħarija tal-Mau Mau u essenzjalment temm l-offensiva militari. Matul dan il-perjodu, seħħew bidliet governattivi sostanzjali fil-mandat tal-art. L-iktar importanti minn d"&amp;"awn kien il-pjan Swynnerton, li kien użat kemm biex jippremja l-lealiżi u jikkastiga lil Mau Mau.")</f>
        <v>Il-qbid ta 'warũhiũ itote (magħruf ukoll bħala ċ-Ċina ġenerali) fil-15 ta' Jannar 1954 u l-interrogazzjoni sussegwenti wasslet għal fehim aħjar tal-istruttura tal-kmand ta 'Mau Mau. L-Operazzjoni Anvil infetħet fl-24 ta 'April 1954, wara ġimgħat ta' ppjanar mill-Armata bl-approvazzjoni tal-Kunsill tal-Gwerra. L-operazzjoni poġġiet b'mod effettiv lil Nairobi taħt assedju militari, u l-okkupanti ġew skrinjati u l-partitarji ta 'Mau Mau marru jgħixu f'kampijiet ta' detenzjoni. Il-gwardja tad-dar iffurmat il-qalba tal-istrateġija tal-gvern peress li kienet magħmula minn Afrikani lealiżi, mhux forzi barranin bħall-armata Ingliża u x-xkubetti Afrikani tar-Re. Sa tmiem l-emerġenza, il-gwardja tad-dar kienet qatlet 4,686 Mau Mau, li jammontaw għal 42% tal-ribelli totali. Il-qbid ta 'Dedan Kimathi fil-21 ta' Ottubru 1956 fi Nyeri fisser it-telfa aħħarija tal-Mau Mau u essenzjalment temm l-offensiva militari. Matul dan il-perjodu, seħħew bidliet governattivi sostanzjali fil-mandat tal-art. L-iktar importanti minn dawn kien il-pjan Swynnerton, li kien użat kemm biex jippremja l-lealiżi u jikkastiga lil Mau Mau.</v>
      </c>
    </row>
    <row r="12449" ht="15.75" customHeight="1">
      <c r="A12449" s="2" t="s">
        <v>12449</v>
      </c>
      <c r="B12449" s="2" t="str">
        <f>IFERROR(__xludf.DUMMYFUNCTION("GOOGLETRANSLATE(A12449, ""en"", ""mt"")"),"Lbiċ")</f>
        <v>Lbiċ</v>
      </c>
    </row>
    <row r="12450" ht="15.75" customHeight="1">
      <c r="A12450" s="2" t="s">
        <v>12450</v>
      </c>
      <c r="B12450" s="2" t="str">
        <f>IFERROR(__xludf.DUMMYFUNCTION("GOOGLETRANSLATE(A12450, ""en"", ""mt"")"),"Il-5 Avenue Nar tal-Laboratorju ta 'Marzu 1895")</f>
        <v>Il-5 Avenue Nar tal-Laboratorju ta 'Marzu 1895</v>
      </c>
    </row>
    <row r="12451" ht="15.75" customHeight="1">
      <c r="A12451" s="2" t="s">
        <v>12451</v>
      </c>
      <c r="B12451" s="2" t="str">
        <f>IFERROR(__xludf.DUMMYFUNCTION("GOOGLETRANSLATE(A12451, ""en"", ""mt"")"),"Murray Gold")</f>
        <v>Murray Gold</v>
      </c>
    </row>
    <row r="12452" ht="15.75" customHeight="1">
      <c r="A12452" s="2" t="s">
        <v>12452</v>
      </c>
      <c r="B12452" s="2" t="str">
        <f>IFERROR(__xludf.DUMMYFUNCTION("GOOGLETRANSLATE(A12452, ""en"", ""mt"")"),"Dan in-netwerk influwenzat mudelli aktar tard ta '")</f>
        <v>Dan in-netwerk influwenzat mudelli aktar tard ta '</v>
      </c>
    </row>
    <row r="12453" ht="15.75" customHeight="1">
      <c r="A12453" s="2" t="s">
        <v>12453</v>
      </c>
      <c r="B12453" s="2" t="str">
        <f>IFERROR(__xludf.DUMMYFUNCTION("GOOGLETRANSLATE(A12453, ""en"", ""mt"")"),"il-Broncos")</f>
        <v>il-Broncos</v>
      </c>
    </row>
    <row r="12454" ht="15.75" customHeight="1">
      <c r="A12454" s="2" t="s">
        <v>12454</v>
      </c>
      <c r="B12454" s="2" t="str">
        <f>IFERROR(__xludf.DUMMYFUNCTION("GOOGLETRANSLATE(A12454, ""en"", ""mt"")"),"tippreżenta kunċert rock")</f>
        <v>tippreżenta kunċert rock</v>
      </c>
    </row>
    <row r="12455" ht="15.75" customHeight="1">
      <c r="A12455" s="2" t="s">
        <v>12455</v>
      </c>
      <c r="B12455" s="2" t="str">
        <f>IFERROR(__xludf.DUMMYFUNCTION("GOOGLETRANSLATE(A12455, ""en"", ""mt"")"),"ħati li ma għamel l-ebda ħażin")</f>
        <v>ħati li ma għamel l-ebda ħażin</v>
      </c>
    </row>
    <row r="12456" ht="15.75" customHeight="1">
      <c r="A12456" s="2" t="s">
        <v>12456</v>
      </c>
      <c r="B12456" s="2" t="str">
        <f>IFERROR(__xludf.DUMMYFUNCTION("GOOGLETRANSLATE(A12456, ""en"", ""mt"")"),"Fejn irid il-Ħamas jistabbilixxi stat Iżlamiku?")</f>
        <v>Fejn irid il-Ħamas jistabbilixxi stat Iżlamiku?</v>
      </c>
    </row>
    <row r="12457" ht="15.75" customHeight="1">
      <c r="A12457" s="2" t="s">
        <v>12457</v>
      </c>
      <c r="B12457" s="2" t="str">
        <f>IFERROR(__xludf.DUMMYFUNCTION("GOOGLETRANSLATE(A12457, ""en"", ""mt"")"),"ħafna poteri imperjali")</f>
        <v>ħafna poteri imperjali</v>
      </c>
    </row>
    <row r="12458" ht="15.75" customHeight="1">
      <c r="A12458" s="2" t="s">
        <v>12458</v>
      </c>
      <c r="B12458" s="2" t="str">
        <f>IFERROR(__xludf.DUMMYFUNCTION("GOOGLETRANSLATE(A12458, ""en"", ""mt"")"),"Xi qal Paul Rose li Luther żied mal-ħsieb Ġermaniż?")</f>
        <v>Xi qal Paul Rose li Luther żied mal-ħsieb Ġermaniż?</v>
      </c>
    </row>
    <row r="12459" ht="15.75" customHeight="1">
      <c r="A12459" s="2" t="s">
        <v>12459</v>
      </c>
      <c r="B12459" s="2" t="str">
        <f>IFERROR(__xludf.DUMMYFUNCTION("GOOGLETRANSLATE(A12459, ""en"", ""mt"")"),"Mombasa")</f>
        <v>Mombasa</v>
      </c>
    </row>
    <row r="12460" ht="15.75" customHeight="1">
      <c r="A12460" s="2" t="s">
        <v>12460</v>
      </c>
      <c r="B12460" s="2" t="str">
        <f>IFERROR(__xludf.DUMMYFUNCTION("GOOGLETRANSLATE(A12460, ""en"", ""mt"")"),"Lindau")</f>
        <v>Lindau</v>
      </c>
    </row>
    <row r="12461" ht="15.75" customHeight="1">
      <c r="A12461" s="2" t="s">
        <v>12461</v>
      </c>
      <c r="B12461" s="2" t="str">
        <f>IFERROR(__xludf.DUMMYFUNCTION("GOOGLETRANSLATE(A12461, ""en"", ""mt"")"),"Min mexxa attakk Mongoljan fuq id-dinastija tal-kanzunetta?")</f>
        <v>Min mexxa attakk Mongoljan fuq id-dinastija tal-kanzunetta?</v>
      </c>
    </row>
    <row r="12462" ht="15.75" customHeight="1">
      <c r="A12462" s="2" t="s">
        <v>12462</v>
      </c>
      <c r="B12462" s="2" t="str">
        <f>IFERROR(__xludf.DUMMYFUNCTION("GOOGLETRANSLATE(A12462, ""en"", ""mt"")"),"kritiku")</f>
        <v>kritiku</v>
      </c>
    </row>
    <row r="12463" ht="15.75" customHeight="1">
      <c r="A12463" s="2" t="s">
        <v>12463</v>
      </c>
      <c r="B12463" s="2" t="str">
        <f>IFERROR(__xludf.DUMMYFUNCTION("GOOGLETRANSLATE(A12463, ""en"", ""mt"")"),"Liema grad għall-iktar belt popolata fl-Unjoni Ewropea għandha Varsavja?")</f>
        <v>Liema grad għall-iktar belt popolata fl-Unjoni Ewropea għandha Varsavja?</v>
      </c>
    </row>
    <row r="12464" ht="15.75" customHeight="1">
      <c r="A12464" s="2" t="s">
        <v>12464</v>
      </c>
      <c r="B12464" s="2" t="str">
        <f>IFERROR(__xludf.DUMMYFUNCTION("GOOGLETRANSLATE(A12464, ""en"", ""mt"")"),"Xjenza u skoperta")</f>
        <v>Xjenza u skoperta</v>
      </c>
    </row>
    <row r="12465" ht="15.75" customHeight="1">
      <c r="A12465" s="2" t="s">
        <v>12465</v>
      </c>
      <c r="B12465" s="2" t="str">
        <f>IFERROR(__xludf.DUMMYFUNCTION("GOOGLETRANSLATE(A12465, ""en"", ""mt"")"),"Liema karattru fuq l-akkoppjar huwa fan ta 'tabib min?")</f>
        <v>Liema karattru fuq l-akkoppjar huwa fan ta 'tabib min?</v>
      </c>
    </row>
    <row r="12466" ht="15.75" customHeight="1">
      <c r="A12466" s="2" t="s">
        <v>12466</v>
      </c>
      <c r="B12466" s="2" t="str">
        <f>IFERROR(__xludf.DUMMYFUNCTION("GOOGLETRANSLATE(A12466, ""en"", ""mt"")"),"F'liema sena rċeviet il-Malasja l-indipendenza tagħha?")</f>
        <v>F'liema sena rċeviet il-Malasja l-indipendenza tagħha?</v>
      </c>
    </row>
    <row r="12467" ht="15.75" customHeight="1">
      <c r="A12467" s="2" t="s">
        <v>12467</v>
      </c>
      <c r="B12467" s="2" t="str">
        <f>IFERROR(__xludf.DUMMYFUNCTION("GOOGLETRANSLATE(A12467, ""en"", ""mt"")"),"Problema tal-funzjoni")</f>
        <v>Problema tal-funzjoni</v>
      </c>
    </row>
    <row r="12468" ht="15.75" customHeight="1">
      <c r="A12468" s="2" t="s">
        <v>12468</v>
      </c>
      <c r="B12468" s="2" t="str">
        <f>IFERROR(__xludf.DUMMYFUNCTION("GOOGLETRANSLATE(A12468, ""en"", ""mt"")"),"eventwalment aqsam id-dinja fi tnejn")</f>
        <v>eventwalment aqsam id-dinja fi tnejn</v>
      </c>
    </row>
    <row r="12469" ht="15.75" customHeight="1">
      <c r="A12469" s="2" t="s">
        <v>12469</v>
      </c>
      <c r="B12469" s="2" t="str">
        <f>IFERROR(__xludf.DUMMYFUNCTION("GOOGLETRANSLATE(A12469, ""en"", ""mt"")"),"Meta ċ-ċelloli B u ċ-ċelloli T huma attivati ​​u jibdew jirreplikaw, uħud mill-frieħ tagħhom isiru ċelloli tal-memorja b'ħajja twila. Matul il-ħajja ta 'annimal, dawn iċ-ċelloli tal-memorja jiftakru kull patoġen speċifiku li jiltaqa' magħhom u jistgħu jin"&amp;"tramaw rispons qawwi jekk il-patoġen jerġa 'jinstab. Dan huwa ""adattiv"" għaliex iseħħ matul il-ħajja ta 'individwu bħala adattament għall-infezzjoni ma' dak il-patoġen u jipprepara s-sistema immunitarja għal sfidi futuri. Memorja immunoloġika tista 'tku"&amp;"n fil-forma ta' memorja għal żmien qasir passiv jew memorja attiva fit-tul.")</f>
        <v>Meta ċ-ċelloli B u ċ-ċelloli T huma attivati ​​u jibdew jirreplikaw, uħud mill-frieħ tagħhom isiru ċelloli tal-memorja b'ħajja twila. Matul il-ħajja ta 'annimal, dawn iċ-ċelloli tal-memorja jiftakru kull patoġen speċifiku li jiltaqa' magħhom u jistgħu jintramaw rispons qawwi jekk il-patoġen jerġa 'jinstab. Dan huwa "adattiv" għaliex iseħħ matul il-ħajja ta 'individwu bħala adattament għall-infezzjoni ma' dak il-patoġen u jipprepara s-sistema immunitarja għal sfidi futuri. Memorja immunoloġika tista 'tkun fil-forma ta' memorja għal żmien qasir passiv jew memorja attiva fit-tul.</v>
      </c>
    </row>
    <row r="12470" ht="15.75" customHeight="1">
      <c r="A12470" s="2" t="s">
        <v>12470</v>
      </c>
      <c r="B12470" s="2" t="str">
        <f>IFERROR(__xludf.DUMMYFUNCTION("GOOGLETRANSLATE(A12470, ""en"", ""mt"")"),"X'tip ta 'motiv kultant jittieħed bħala att ta' diżubbidjenza?")</f>
        <v>X'tip ta 'motiv kultant jittieħed bħala att ta' diżubbidjenza?</v>
      </c>
    </row>
    <row r="12471" ht="15.75" customHeight="1">
      <c r="A12471" s="2" t="s">
        <v>12471</v>
      </c>
      <c r="B12471" s="2" t="str">
        <f>IFERROR(__xludf.DUMMYFUNCTION("GOOGLETRANSLATE(A12471, ""en"", ""mt"")"),"Wara dibattitu ġenerali dwar il-forma finali tal-abbozz")</f>
        <v>Wara dibattitu ġenerali dwar il-forma finali tal-abbozz</v>
      </c>
    </row>
    <row r="12472" ht="15.75" customHeight="1">
      <c r="A12472" s="2" t="s">
        <v>12472</v>
      </c>
      <c r="B12472" s="2" t="str">
        <f>IFERROR(__xludf.DUMMYFUNCTION("GOOGLETRANSLATE(A12472, ""en"", ""mt"")"),"L-ewwel kleru Metodist ġie ordnat minn John Wesley, saċerdot tal-Knisja tal-Ingilterra, minħabba l-kriżi kkawżata mir-Rivoluzzjoni Amerikana li iżolat lill-Metodisti fl-Istati mill-Knisja tal-Ingilterra u s-sagramenti tagħha. Illum, il-kleru jinkludi rġie"&amp;"l u nisa li huma ordnati mill-isqfijiet bħala anzjani u djakni u huma maħtura għal diversi ministeri. Anzjani fil-Knisja Metodista Magħquda itenerat u huma soġġetti għall-awtorità u l-ħatra tal-isqfijiet tagħhom. Ġeneralment iservu bħala ragħajja fil-kong"&amp;"regazzjonijiet lokali. Id-djakni jinsabu fil-ministeru tas-servizz u jistgħu jservu bħala mużiċisti, liturġisti, edukaturi, amministraturi tan-negozju, u numru ta 'oqsma oħra. Anzjani u djakni huma meħtieġa li jiksbu grad ta 'master (ġeneralment M.Div.), "&amp;"Jew grad ieħor ekwivalenti, qabel ma jikkummissjonaw u mbagħad fl-aħħar mill-aħħar ordinazzjoni. L-anzjani b'konnessjoni sħiħa huma kull membru tal-ordni tal-konferenza annwali tagħhom ta 'l-anzjani. Bl-istess mod kull djaknu b'konnessjoni sħiħa huwa memb"&amp;"ru tal-Ordni tal-Konferenza Annwali tagħhom tad-Djakni.")</f>
        <v>L-ewwel kleru Metodist ġie ordnat minn John Wesley, saċerdot tal-Knisja tal-Ingilterra, minħabba l-kriżi kkawżata mir-Rivoluzzjoni Amerikana li iżolat lill-Metodisti fl-Istati mill-Knisja tal-Ingilterra u s-sagramenti tagħha. Illum, il-kleru jinkludi rġiel u nisa li huma ordnati mill-isqfijiet bħala anzjani u djakni u huma maħtura għal diversi ministeri. Anzjani fil-Knisja Metodista Magħquda itenerat u huma soġġetti għall-awtorità u l-ħatra tal-isqfijiet tagħhom. Ġeneralment iservu bħala ragħajja fil-kongregazzjonijiet lokali. Id-djakni jinsabu fil-ministeru tas-servizz u jistgħu jservu bħala mużiċisti, liturġisti, edukaturi, amministraturi tan-negozju, u numru ta 'oqsma oħra. Anzjani u djakni huma meħtieġa li jiksbu grad ta 'master (ġeneralment M.Div.), Jew grad ieħor ekwivalenti, qabel ma jikkummissjonaw u mbagħad fl-aħħar mill-aħħar ordinazzjoni. L-anzjani b'konnessjoni sħiħa huma kull membru tal-ordni tal-konferenza annwali tagħhom ta 'l-anzjani. Bl-istess mod kull djaknu b'konnessjoni sħiħa huwa membru tal-Ordni tal-Konferenza Annwali tagħhom tad-Djakni.</v>
      </c>
    </row>
    <row r="12473" ht="15.75" customHeight="1">
      <c r="A12473" s="2" t="s">
        <v>12473</v>
      </c>
      <c r="B12473" s="2" t="str">
        <f>IFERROR(__xludf.DUMMYFUNCTION("GOOGLETRANSLATE(A12473, ""en"", ""mt"")"),"Fejn saret l-espożizzjoni?")</f>
        <v>Fejn saret l-espożizzjoni?</v>
      </c>
    </row>
    <row r="12474" ht="15.75" customHeight="1">
      <c r="A12474" s="2" t="s">
        <v>12474</v>
      </c>
      <c r="B12474" s="2" t="str">
        <f>IFERROR(__xludf.DUMMYFUNCTION("GOOGLETRANSLATE(A12474, ""en"", ""mt"")"),"Il-Jin")</f>
        <v>Il-Jin</v>
      </c>
    </row>
    <row r="12475" ht="15.75" customHeight="1">
      <c r="A12475" s="2" t="s">
        <v>12475</v>
      </c>
      <c r="B12475" s="2" t="str">
        <f>IFERROR(__xludf.DUMMYFUNCTION("GOOGLETRANSLATE(A12475, ""en"", ""mt"")"),"Ċiklu ta 'Calvin")</f>
        <v>Ċiklu ta 'Calvin</v>
      </c>
    </row>
    <row r="12476" ht="15.75" customHeight="1">
      <c r="A12476" s="2" t="s">
        <v>12476</v>
      </c>
      <c r="B12476" s="2" t="str">
        <f>IFERROR(__xludf.DUMMYFUNCTION("GOOGLETRANSLATE(A12476, ""en"", ""mt"")"),"Minn liema tul huma avvenimenti taċ-ċiklu tal-magna meta jintużaw l-aktar gerijiet tal-valv sempliċi?")</f>
        <v>Minn liema tul huma avvenimenti taċ-ċiklu tal-magna meta jintużaw l-aktar gerijiet tal-valv sempliċi?</v>
      </c>
    </row>
    <row r="12477" ht="15.75" customHeight="1">
      <c r="A12477" s="2" t="s">
        <v>12477</v>
      </c>
      <c r="B12477" s="2" t="str">
        <f>IFERROR(__xludf.DUMMYFUNCTION("GOOGLETRANSLATE(A12477, ""en"", ""mt"")"),"30 sa 50 elf abitant")</f>
        <v>30 sa 50 elf abitant</v>
      </c>
    </row>
    <row r="12478" ht="15.75" customHeight="1">
      <c r="A12478" s="2" t="s">
        <v>12478</v>
      </c>
      <c r="B12478" s="2" t="str">
        <f>IFERROR(__xludf.DUMMYFUNCTION("GOOGLETRANSLATE(A12478, ""en"", ""mt"")"),"Par ta 'tentakli li jġorru t-tentilla")</f>
        <v>Par ta 'tentakli li jġorru t-tentilla</v>
      </c>
    </row>
    <row r="12479" ht="15.75" customHeight="1">
      <c r="A12479" s="2" t="s">
        <v>12479</v>
      </c>
      <c r="B12479" s="2" t="str">
        <f>IFERROR(__xludf.DUMMYFUNCTION("GOOGLETRANSLATE(A12479, ""en"", ""mt"")"),"Kemm kumpaniji ġew elenkati fil-WSE f'Awwissu 2009?")</f>
        <v>Kemm kumpaniji ġew elenkati fil-WSE f'Awwissu 2009?</v>
      </c>
    </row>
    <row r="12480" ht="15.75" customHeight="1">
      <c r="A12480" s="2" t="s">
        <v>12480</v>
      </c>
      <c r="B12480" s="2" t="str">
        <f>IFERROR(__xludf.DUMMYFUNCTION("GOOGLETRANSLATE(A12480, ""en"", ""mt"")"),"Meta l-ISIL wiegħed lealtà ma 'al-Qaeda?")</f>
        <v>Meta l-ISIL wiegħed lealtà ma 'al-Qaeda?</v>
      </c>
    </row>
    <row r="12481" ht="15.75" customHeight="1">
      <c r="A12481" s="2" t="s">
        <v>12481</v>
      </c>
      <c r="B12481" s="2" t="str">
        <f>IFERROR(__xludf.DUMMYFUNCTION("GOOGLETRANSLATE(A12481, ""en"", ""mt"")"),"inċitament rewwixta interna fost il-partitarji ta 'Kuchlug")</f>
        <v>inċitament rewwixta interna fost il-partitarji ta 'Kuchlug</v>
      </c>
    </row>
    <row r="12482" ht="15.75" customHeight="1">
      <c r="A12482" s="2" t="s">
        <v>12482</v>
      </c>
      <c r="B12482" s="2" t="str">
        <f>IFERROR(__xludf.DUMMYFUNCTION("GOOGLETRANSLATE(A12482, ""en"", ""mt"")"),"Blackburne")</f>
        <v>Blackburne</v>
      </c>
    </row>
    <row r="12483" ht="15.75" customHeight="1">
      <c r="A12483" s="2" t="s">
        <v>12483</v>
      </c>
      <c r="B12483" s="2" t="str">
        <f>IFERROR(__xludf.DUMMYFUNCTION("GOOGLETRANSLATE(A12483, ""en"", ""mt"")"),"Little Hugos, jew dawk li jixtiequ Hugo.")</f>
        <v>Little Hugos, jew dawk li jixtiequ Hugo.</v>
      </c>
    </row>
    <row r="12484" ht="15.75" customHeight="1">
      <c r="A12484" s="2" t="s">
        <v>12484</v>
      </c>
      <c r="B12484" s="2" t="str">
        <f>IFERROR(__xludf.DUMMYFUNCTION("GOOGLETRANSLATE(A12484, ""en"", ""mt"")"),"Liema perċentwali ta 'edukazzjoni terzjarja Filippina sseħħ fi skejjel privati?")</f>
        <v>Liema perċentwali ta 'edukazzjoni terzjarja Filippina sseħħ fi skejjel privati?</v>
      </c>
    </row>
    <row r="12485" ht="15.75" customHeight="1">
      <c r="A12485" s="2" t="s">
        <v>12485</v>
      </c>
      <c r="B12485" s="2" t="str">
        <f>IFERROR(__xludf.DUMMYFUNCTION("GOOGLETRANSLATE(A12485, ""en"", ""mt"")"),"Dubbidjenza Ċivili Rivoluzzjonarja")</f>
        <v>Dubbidjenza Ċivili Rivoluzzjonarja</v>
      </c>
    </row>
    <row r="12486" ht="15.75" customHeight="1">
      <c r="A12486" s="2" t="s">
        <v>12486</v>
      </c>
      <c r="B12486" s="2" t="str">
        <f>IFERROR(__xludf.DUMMYFUNCTION("GOOGLETRANSLATE(A12486, ""en"", ""mt"")"),"kloroplast derivat mill-alka ħamra")</f>
        <v>kloroplast derivat mill-alka ħamra</v>
      </c>
    </row>
    <row r="12487" ht="15.75" customHeight="1">
      <c r="A12487" s="2" t="s">
        <v>12487</v>
      </c>
      <c r="B12487" s="2" t="str">
        <f>IFERROR(__xludf.DUMMYFUNCTION("GOOGLETRANSLATE(A12487, ""en"", ""mt"")"),"Old Rhine")</f>
        <v>Old Rhine</v>
      </c>
    </row>
    <row r="12488" ht="15.75" customHeight="1">
      <c r="A12488" s="2" t="s">
        <v>12488</v>
      </c>
      <c r="B12488" s="2" t="str">
        <f>IFERROR(__xludf.DUMMYFUNCTION("GOOGLETRANSLATE(A12488, ""en"", ""mt"")"),"β-defensins")</f>
        <v>β-defensins</v>
      </c>
    </row>
    <row r="12489" ht="15.75" customHeight="1">
      <c r="A12489" s="2" t="s">
        <v>12489</v>
      </c>
      <c r="B12489" s="2" t="str">
        <f>IFERROR(__xludf.DUMMYFUNCTION("GOOGLETRANSLATE(A12489, ""en"", ""mt"")"),"Paddle tal-injam magħmul apposta")</f>
        <v>Paddle tal-injam magħmul apposta</v>
      </c>
    </row>
    <row r="12490" ht="15.75" customHeight="1">
      <c r="A12490" s="2" t="s">
        <v>12490</v>
      </c>
      <c r="B12490" s="2" t="str">
        <f>IFERROR(__xludf.DUMMYFUNCTION("GOOGLETRANSLATE(A12490, ""en"", ""mt"")"),"Deheb")</f>
        <v>Deheb</v>
      </c>
    </row>
    <row r="12491" ht="15.75" customHeight="1">
      <c r="A12491" s="2" t="s">
        <v>12491</v>
      </c>
      <c r="B12491" s="2" t="str">
        <f>IFERROR(__xludf.DUMMYFUNCTION("GOOGLETRANSLATE(A12491, ""en"", ""mt"")"),"Lejn l-Atlantiku")</f>
        <v>Lejn l-Atlantiku</v>
      </c>
    </row>
    <row r="12492" ht="15.75" customHeight="1">
      <c r="A12492" s="2" t="s">
        <v>12492</v>
      </c>
      <c r="B12492" s="2" t="str">
        <f>IFERROR(__xludf.DUMMYFUNCTION("GOOGLETRANSLATE(A12492, ""en"", ""mt"")"),"qed jiġi abbozzat fl-armata Awstro-Ungeriża")</f>
        <v>qed jiġi abbozzat fl-armata Awstro-Ungeriża</v>
      </c>
    </row>
    <row r="12493" ht="15.75" customHeight="1">
      <c r="A12493" s="2" t="s">
        <v>12493</v>
      </c>
      <c r="B12493" s="2" t="str">
        <f>IFERROR(__xludf.DUMMYFUNCTION("GOOGLETRANSLATE(A12493, ""en"", ""mt"")"),"Matul liema ħin il-foresta tropikali mifruxa faxxa dejqa?")</f>
        <v>Matul liema ħin il-foresta tropikali mifruxa faxxa dejqa?</v>
      </c>
    </row>
    <row r="12494" ht="15.75" customHeight="1">
      <c r="A12494" s="2" t="s">
        <v>12494</v>
      </c>
      <c r="B12494" s="2" t="str">
        <f>IFERROR(__xludf.DUMMYFUNCTION("GOOGLETRANSLATE(A12494, ""en"", ""mt"")"),"""moxt"" u s-suffiss Grieg -φορος li jfisser ""li jġorr""")</f>
        <v>"moxt" u s-suffiss Grieg -φορος li jfisser "li jġorr"</v>
      </c>
    </row>
    <row r="12495" ht="15.75" customHeight="1">
      <c r="A12495" s="2" t="s">
        <v>12495</v>
      </c>
      <c r="B12495" s="2" t="str">
        <f>IFERROR(__xludf.DUMMYFUNCTION("GOOGLETRANSLATE(A12495, ""en"", ""mt"")"),"is-seklu 12")</f>
        <v>is-seklu 12</v>
      </c>
    </row>
    <row r="12496" ht="15.75" customHeight="1">
      <c r="A12496" s="2" t="s">
        <v>12496</v>
      </c>
      <c r="B12496" s="2" t="str">
        <f>IFERROR(__xludf.DUMMYFUNCTION("GOOGLETRANSLATE(A12496, ""en"", ""mt"")"),"Li tmur il-ħabs twettaq liema għan ta 'diżubbidjenza ċivili?")</f>
        <v>Li tmur il-ħabs twettaq liema għan ta 'diżubbidjenza ċivili?</v>
      </c>
    </row>
    <row r="12497" ht="15.75" customHeight="1">
      <c r="A12497" s="2" t="s">
        <v>12497</v>
      </c>
      <c r="B12497" s="2" t="str">
        <f>IFERROR(__xludf.DUMMYFUNCTION("GOOGLETRANSLATE(A12497, ""en"", ""mt"")"),"Mikroskopija elettronika")</f>
        <v>Mikroskopija elettronika</v>
      </c>
    </row>
    <row r="12498" ht="15.75" customHeight="1">
      <c r="A12498" s="2" t="s">
        <v>12498</v>
      </c>
      <c r="B12498" s="2" t="str">
        <f>IFERROR(__xludf.DUMMYFUNCTION("GOOGLETRANSLATE(A12498, ""en"", ""mt"")"),"Fil-mod ta 'produzzjoni purament kapitalist (i.e. fejn organizzazzjonijiet professjonali u tax-xogħol ma jistgħux jillimitaw in-numru ta' ħaddiema) il-pagi tal-ħaddiema mhux se jiġu kkontrollati minn dawn l-organizzazzjonijiet, jew minn min iħaddem, iżda "&amp;"pjuttost mis-suq. Il-pagi jaħdmu bl-istess mod bħall-prezzijiet għal kull ġid ieħor. Għalhekk, il-pagi jistgħu jitqiesu bħala funzjoni tal-prezz tas-suq tal-ħila. U għalhekk, l-inugwaljanza hija mmexxija minn dan il-prezz. Taħt il-liġi tal-provvista u d-d"&amp;"omanda, il-prezz tal-ħila huwa determinat minn tellieqa bejn id-domanda għall-ħaddiem tas-sengħa u l-provvista tal-ħaddiem tas-sengħa. ""Min-naħa l-oħra, is-swieq jistgħu wkoll jikkonċentraw il-ġid, jgħaddu l-ispejjeż ambjentali fuq is-soċjetà, u jabbużaw"&amp;" mill-ħaddiema u l-konsumaturi."" ""Is-swieq, waħedhom, anke meta huma stabbli, ħafna drabi jwasslu għal livelli għoljin ta 'inugwaljanza, riżultati li huma meqjusa b'mod wiesa' bħala inġusti."" Min iħaddem li joffri paga taħt is-suq se jsib li n-negozju "&amp;"tagħhom huwa kronikament sottovalutat. Il-kompetituri tagħhom se jieħdu vantaġġ mis-sitwazzjoni billi joffru paga ogħla l-aħjar ta 'xogħolhom. Għal negozjant li għandu l-motiv tal-profitt bħala l-interess ewlieni, hija proposta li titlef li toffri taħt je"&amp;"w 'il fuq mill-pagi tas-suq lill-ħaddiema.")</f>
        <v>Fil-mod ta 'produzzjoni purament kapitalist (i.e. fejn organizzazzjonijiet professjonali u tax-xogħol ma jistgħux jillimitaw in-numru ta' ħaddiema) il-pagi tal-ħaddiema mhux se jiġu kkontrollati minn dawn l-organizzazzjonijiet, jew minn min iħaddem, iżda pjuttost mis-suq. Il-pagi jaħdmu bl-istess mod bħall-prezzijiet għal kull ġid ieħor. Għalhekk, il-pagi jistgħu jitqiesu bħala funzjoni tal-prezz tas-suq tal-ħila. U għalhekk, l-inugwaljanza hija mmexxija minn dan il-prezz. Taħt il-liġi tal-provvista u d-domanda, il-prezz tal-ħila huwa determinat minn tellieqa bejn id-domanda għall-ħaddiem tas-sengħa u l-provvista tal-ħaddiem tas-sengħa. "Min-naħa l-oħra, is-swieq jistgħu wkoll jikkonċentraw il-ġid, jgħaddu l-ispejjeż ambjentali fuq is-soċjetà, u jabbużaw mill-ħaddiema u l-konsumaturi." "Is-swieq, waħedhom, anke meta huma stabbli, ħafna drabi jwasslu għal livelli għoljin ta 'inugwaljanza, riżultati li huma meqjusa b'mod wiesa' bħala inġusti." Min iħaddem li joffri paga taħt is-suq se jsib li n-negozju tagħhom huwa kronikament sottovalutat. Il-kompetituri tagħhom se jieħdu vantaġġ mis-sitwazzjoni billi joffru paga ogħla l-aħjar ta 'xogħolhom. Għal negozjant li għandu l-motiv tal-profitt bħala l-interess ewlieni, hija proposta li titlef li toffri taħt jew 'il fuq mill-pagi tas-suq lill-ħaddiema.</v>
      </c>
    </row>
    <row r="12499" ht="15.75" customHeight="1">
      <c r="A12499" s="2" t="s">
        <v>12499</v>
      </c>
      <c r="B12499" s="2" t="str">
        <f>IFERROR(__xludf.DUMMYFUNCTION("GOOGLETRANSLATE(A12499, ""en"", ""mt"")"),"Meta nġieb il-Borża ta 'Varsavja lura għall-ħajja?")</f>
        <v>Meta nġieb il-Borża ta 'Varsavja lura għall-ħajja?</v>
      </c>
    </row>
    <row r="12500" ht="15.75" customHeight="1">
      <c r="A12500" s="2" t="s">
        <v>12500</v>
      </c>
      <c r="B12500" s="2" t="str">
        <f>IFERROR(__xludf.DUMMYFUNCTION("GOOGLETRANSLATE(A12500, ""en"", ""mt"")"),"Fejn jinsab il-Harvard Stadium?")</f>
        <v>Fejn jinsab il-Harvard Stadium?</v>
      </c>
    </row>
    <row r="12501" ht="15.75" customHeight="1">
      <c r="A12501" s="2" t="s">
        <v>12501</v>
      </c>
      <c r="B12501" s="2" t="str">
        <f>IFERROR(__xludf.DUMMYFUNCTION("GOOGLETRANSLATE(A12501, ""en"", ""mt"")"),"Kif huma rranġati l-pirenojdi u t-thylakoids?")</f>
        <v>Kif huma rranġati l-pirenojdi u t-thylakoids?</v>
      </c>
    </row>
    <row r="12502" ht="15.75" customHeight="1">
      <c r="A12502" s="2" t="s">
        <v>12502</v>
      </c>
      <c r="B12502" s="2" t="str">
        <f>IFERROR(__xludf.DUMMYFUNCTION("GOOGLETRANSLATE(A12502, ""en"", ""mt"")"),"X'ġara lil Dane?")</f>
        <v>X'ġara lil Dane?</v>
      </c>
    </row>
    <row r="12503" ht="15.75" customHeight="1">
      <c r="A12503" s="2" t="s">
        <v>12503</v>
      </c>
      <c r="B12503" s="2" t="str">
        <f>IFERROR(__xludf.DUMMYFUNCTION("GOOGLETRANSLATE(A12503, ""en"", ""mt"")"),"Min kien il-kap tal-kumpanija?")</f>
        <v>Min kien il-kap tal-kumpanija?</v>
      </c>
    </row>
    <row r="12504" ht="15.75" customHeight="1">
      <c r="A12504" s="2" t="s">
        <v>12504</v>
      </c>
      <c r="B12504" s="2" t="str">
        <f>IFERROR(__xludf.DUMMYFUNCTION("GOOGLETRANSLATE(A12504, ""en"", ""mt"")"),"1.3 miljun")</f>
        <v>1.3 miljun</v>
      </c>
    </row>
    <row r="12505" ht="15.75" customHeight="1">
      <c r="A12505" s="2" t="s">
        <v>12505</v>
      </c>
      <c r="B12505" s="2" t="str">
        <f>IFERROR(__xludf.DUMMYFUNCTION("GOOGLETRANSLATE(A12505, ""en"", ""mt"")"),"Fejn tibda d-Delta fl-Olanda?")</f>
        <v>Fejn tibda d-Delta fl-Olanda?</v>
      </c>
    </row>
    <row r="12506" ht="15.75" customHeight="1">
      <c r="A12506" s="2" t="s">
        <v>12506</v>
      </c>
      <c r="B12506" s="2" t="str">
        <f>IFERROR(__xludf.DUMMYFUNCTION("GOOGLETRANSLATE(A12506, ""en"", ""mt"")"),"Liema aspett tal-ekonomija Genghis Khan sfrutta għall-ġbir tal-intelliġenza?")</f>
        <v>Liema aspett tal-ekonomija Genghis Khan sfrutta għall-ġbir tal-intelliġenza?</v>
      </c>
    </row>
    <row r="12507" ht="15.75" customHeight="1">
      <c r="A12507" s="2" t="s">
        <v>12507</v>
      </c>
      <c r="B12507" s="2" t="str">
        <f>IFERROR(__xludf.DUMMYFUNCTION("GOOGLETRANSLATE(A12507, ""en"", ""mt"")"),"Min identifika l-gravità bħala forza?")</f>
        <v>Min identifika l-gravità bħala forza?</v>
      </c>
    </row>
    <row r="12508" ht="15.75" customHeight="1">
      <c r="A12508" s="2" t="s">
        <v>12508</v>
      </c>
      <c r="B12508" s="2" t="str">
        <f>IFERROR(__xludf.DUMMYFUNCTION("GOOGLETRANSLATE(A12508, ""en"", ""mt"")"),"Liema teoremi huma responsabbli biex jiddeterminaw mistoqsijiet dwar ir-rekwiżiti tal-ħin u l-ispazju?")</f>
        <v>Liema teoremi huma responsabbli biex jiddeterminaw mistoqsijiet dwar ir-rekwiżiti tal-ħin u l-ispazju?</v>
      </c>
    </row>
    <row r="12509" ht="15.75" customHeight="1">
      <c r="A12509" s="2" t="s">
        <v>12509</v>
      </c>
      <c r="B12509" s="2" t="str">
        <f>IFERROR(__xludf.DUMMYFUNCTION("GOOGLETRANSLATE(A12509, ""en"", ""mt"")"),"X'kien il-PGD nominali totali ta 'Varsavja fl-2010?")</f>
        <v>X'kien il-PGD nominali totali ta 'Varsavja fl-2010?</v>
      </c>
    </row>
    <row r="12510" ht="15.75" customHeight="1">
      <c r="A12510" s="2" t="s">
        <v>12510</v>
      </c>
      <c r="B12510" s="2" t="str">
        <f>IFERROR(__xludf.DUMMYFUNCTION("GOOGLETRANSLATE(A12510, ""en"", ""mt"")"),"Fejn hi l-post tal-Kenja fuq l-iskala fl-2012?")</f>
        <v>Fejn hi l-post tal-Kenja fuq l-iskala fl-2012?</v>
      </c>
    </row>
    <row r="12511" ht="15.75" customHeight="1">
      <c r="A12511" s="2" t="s">
        <v>12511</v>
      </c>
      <c r="B12511" s="2" t="str">
        <f>IFERROR(__xludf.DUMMYFUNCTION("GOOGLETRANSLATE(A12511, ""en"", ""mt"")"),"X'għamel Thoreau lil ċifra pubblika li jagħmel it-taxman?")</f>
        <v>X'għamel Thoreau lil ċifra pubblika li jagħmel it-taxman?</v>
      </c>
    </row>
    <row r="12512" ht="15.75" customHeight="1">
      <c r="A12512" s="2" t="s">
        <v>12512</v>
      </c>
      <c r="B12512" s="2" t="str">
        <f>IFERROR(__xludf.DUMMYFUNCTION("GOOGLETRANSLATE(A12512, ""en"", ""mt"")"),"Liema antikorpi jinġarru mill-omm għal tarbija madwar il-plaċenta?")</f>
        <v>Liema antikorpi jinġarru mill-omm għal tarbija madwar il-plaċenta?</v>
      </c>
    </row>
    <row r="12513" ht="15.75" customHeight="1">
      <c r="A12513" s="2" t="s">
        <v>12513</v>
      </c>
      <c r="B12513" s="2" t="str">
        <f>IFERROR(__xludf.DUMMYFUNCTION("GOOGLETRANSLATE(A12513, ""en"", ""mt"")"),"X'inhi destinazzjoni ta 'strolling popolari għall-Varsovians?")</f>
        <v>X'inhi destinazzjoni ta 'strolling popolari għall-Varsovians?</v>
      </c>
    </row>
    <row r="12514" ht="15.75" customHeight="1">
      <c r="A12514" s="2" t="s">
        <v>12514</v>
      </c>
      <c r="B12514" s="2" t="str">
        <f>IFERROR(__xludf.DUMMYFUNCTION("GOOGLETRANSLATE(A12514, ""en"", ""mt"")"),"15 ° C.")</f>
        <v>15 ° C.</v>
      </c>
    </row>
    <row r="12515" ht="15.75" customHeight="1">
      <c r="A12515" s="2" t="s">
        <v>12515</v>
      </c>
      <c r="B12515" s="2" t="str">
        <f>IFERROR(__xludf.DUMMYFUNCTION("GOOGLETRANSLATE(A12515, ""en"", ""mt"")"),"Meta saret it-tħabbira għal-LOR wara li ġiet ittardjata?")</f>
        <v>Meta saret it-tħabbira għal-LOR wara li ġiet ittardjata?</v>
      </c>
    </row>
    <row r="12516" ht="15.75" customHeight="1">
      <c r="A12516" s="2" t="s">
        <v>12516</v>
      </c>
      <c r="B12516" s="2" t="str">
        <f>IFERROR(__xludf.DUMMYFUNCTION("GOOGLETRANSLATE(A12516, ""en"", ""mt"")"),"It-trattati japplikaw malli jidħlu fis-seħħ, sakemm ma jingħadx mod ieħor, u ġeneralment jiġu konklużi għal perjodu illimitat")</f>
        <v>It-trattati japplikaw malli jidħlu fis-seħħ, sakemm ma jingħadx mod ieħor, u ġeneralment jiġu konklużi għal perjodu illimitat</v>
      </c>
    </row>
    <row r="12517" ht="15.75" customHeight="1">
      <c r="A12517" s="2" t="s">
        <v>12517</v>
      </c>
      <c r="B12517" s="2" t="str">
        <f>IFERROR(__xludf.DUMMYFUNCTION("GOOGLETRANSLATE(A12517, ""en"", ""mt"")"),"Meta l-università ddeċidiet li tibda proġetti ta 'espansjoni ta' diversi miljun dollaru?")</f>
        <v>Meta l-università ddeċidiet li tibda proġetti ta 'espansjoni ta' diversi miljun dollaru?</v>
      </c>
    </row>
    <row r="12518" ht="15.75" customHeight="1">
      <c r="A12518" s="2" t="s">
        <v>12518</v>
      </c>
      <c r="B12518" s="2" t="str">
        <f>IFERROR(__xludf.DUMMYFUNCTION("GOOGLETRANSLATE(A12518, ""en"", ""mt"")"),"Liema Newcastle Road titlaq lejn il-punent lejn Carlisle?")</f>
        <v>Liema Newcastle Road titlaq lejn il-punent lejn Carlisle?</v>
      </c>
    </row>
    <row r="12519" ht="15.75" customHeight="1">
      <c r="A12519" s="2" t="s">
        <v>12519</v>
      </c>
      <c r="B12519" s="2" t="str">
        <f>IFERROR(__xludf.DUMMYFUNCTION("GOOGLETRANSLATE(A12519, ""en"", ""mt"")"),"Virginia")</f>
        <v>Virginia</v>
      </c>
    </row>
    <row r="12520" ht="15.75" customHeight="1">
      <c r="A12520" s="2" t="s">
        <v>12520</v>
      </c>
      <c r="B12520" s="2" t="str">
        <f>IFERROR(__xludf.DUMMYFUNCTION("GOOGLETRANSLATE(A12520, ""en"", ""mt"")"),"X'inhu terminu derogatorju għall-akkademji Kristjani li qamu wara d-desegregazzjoni tal-iskola?")</f>
        <v>X'inhu terminu derogatorju għall-akkademji Kristjani li qamu wara d-desegregazzjoni tal-iskola?</v>
      </c>
    </row>
    <row r="12521" ht="15.75" customHeight="1">
      <c r="A12521" s="2" t="s">
        <v>12521</v>
      </c>
      <c r="B12521" s="2" t="str">
        <f>IFERROR(__xludf.DUMMYFUNCTION("GOOGLETRANSLATE(A12521, ""en"", ""mt"")"),"rispettat ħafna")</f>
        <v>rispettat ħafna</v>
      </c>
    </row>
    <row r="12522" ht="15.75" customHeight="1">
      <c r="A12522" s="2" t="s">
        <v>12522</v>
      </c>
      <c r="B12522" s="2" t="str">
        <f>IFERROR(__xludf.DUMMYFUNCTION("GOOGLETRANSLATE(A12522, ""en"", ""mt"")"),"1516")</f>
        <v>1516</v>
      </c>
    </row>
    <row r="12523" ht="15.75" customHeight="1">
      <c r="A12523" s="2" t="s">
        <v>12523</v>
      </c>
      <c r="B12523" s="2" t="str">
        <f>IFERROR(__xludf.DUMMYFUNCTION("GOOGLETRANSLATE(A12523, ""en"", ""mt"")"),"maqtula f'inċident ta 'rkib taż-żwiemel")</f>
        <v>maqtula f'inċident ta 'rkib taż-żwiemel</v>
      </c>
    </row>
    <row r="12524" ht="15.75" customHeight="1">
      <c r="A12524" s="2" t="s">
        <v>12524</v>
      </c>
      <c r="B12524" s="2" t="str">
        <f>IFERROR(__xludf.DUMMYFUNCTION("GOOGLETRANSLATE(A12524, ""en"", ""mt"")"),"vot")</f>
        <v>vot</v>
      </c>
    </row>
    <row r="12525" ht="15.75" customHeight="1">
      <c r="A12525" s="2" t="s">
        <v>12525</v>
      </c>
      <c r="B12525" s="2" t="str">
        <f>IFERROR(__xludf.DUMMYFUNCTION("GOOGLETRANSLATE(A12525, ""en"", ""mt"")"),"X'ġara mill-biċċa l-kbira tax-xogħol ta 'Tesla minn dan iż-żmien?")</f>
        <v>X'ġara mill-biċċa l-kbira tax-xogħol ta 'Tesla minn dan iż-żmien?</v>
      </c>
    </row>
    <row r="12526" ht="15.75" customHeight="1">
      <c r="A12526" s="2" t="s">
        <v>12526</v>
      </c>
      <c r="B12526" s="2" t="str">
        <f>IFERROR(__xludf.DUMMYFUNCTION("GOOGLETRANSLATE(A12526, ""en"", ""mt"")"),"parti bikrija")</f>
        <v>parti bikrija</v>
      </c>
    </row>
    <row r="12527" ht="15.75" customHeight="1">
      <c r="A12527" s="2" t="s">
        <v>12527</v>
      </c>
      <c r="B12527" s="2" t="str">
        <f>IFERROR(__xludf.DUMMYFUNCTION("GOOGLETRANSLATE(A12527, ""en"", ""mt"")"),"Tnaqqas in-nar")</f>
        <v>Tnaqqas in-nar</v>
      </c>
    </row>
    <row r="12528" ht="15.75" customHeight="1">
      <c r="A12528" s="2" t="s">
        <v>12528</v>
      </c>
      <c r="B12528" s="2" t="str">
        <f>IFERROR(__xludf.DUMMYFUNCTION("GOOGLETRANSLATE(A12528, ""en"", ""mt"")"),"X’kontribwixxa għat-tniġġis tal-ilma fir-Renu?")</f>
        <v>X’kontribwixxa għat-tniġġis tal-ilma fir-Renu?</v>
      </c>
    </row>
    <row r="12529" ht="15.75" customHeight="1">
      <c r="A12529" s="2" t="s">
        <v>12529</v>
      </c>
      <c r="B12529" s="2" t="str">
        <f>IFERROR(__xludf.DUMMYFUNCTION("GOOGLETRANSLATE(A12529, ""en"", ""mt"")"),"X'kienet magħrufa bħala Disney-ABC International Television?")</f>
        <v>X'kienet magħrufa bħala Disney-ABC International Television?</v>
      </c>
    </row>
    <row r="12530" ht="15.75" customHeight="1">
      <c r="A12530" s="2" t="s">
        <v>12530</v>
      </c>
      <c r="B12530" s="2" t="str">
        <f>IFERROR(__xludf.DUMMYFUNCTION("GOOGLETRANSLATE(A12530, ""en"", ""mt"")"),"Liema rotta tal-kummerċ ingħaqdet ma 'Khwarezmia u l-imperu Mongol?")</f>
        <v>Liema rotta tal-kummerċ ingħaqdet ma 'Khwarezmia u l-imperu Mongol?</v>
      </c>
    </row>
    <row r="12531" ht="15.75" customHeight="1">
      <c r="A12531" s="2" t="s">
        <v>12531</v>
      </c>
      <c r="B12531" s="2" t="str">
        <f>IFERROR(__xludf.DUMMYFUNCTION("GOOGLETRANSLATE(A12531, ""en"", ""mt"")"),"X'tip ta 'gvern għandu l-Kenja?")</f>
        <v>X'tip ta 'gvern għandu l-Kenja?</v>
      </c>
    </row>
    <row r="12532" ht="15.75" customHeight="1">
      <c r="A12532" s="2" t="s">
        <v>12532</v>
      </c>
      <c r="B12532" s="2" t="str">
        <f>IFERROR(__xludf.DUMMYFUNCTION("GOOGLETRANSLATE(A12532, ""en"", ""mt"")"),"dak li kienet il-klima bħal miljuni ta 'snin ilu")</f>
        <v>dak li kienet il-klima bħal miljuni ta 'snin ilu</v>
      </c>
    </row>
    <row r="12533" ht="15.75" customHeight="1">
      <c r="A12533" s="2" t="s">
        <v>12533</v>
      </c>
      <c r="B12533" s="2" t="str">
        <f>IFERROR(__xludf.DUMMYFUNCTION("GOOGLETRANSLATE(A12533, ""en"", ""mt"")"),"X'inhu l-isem tal-fundatur tal-Bungie Inc. li huwa wkoll gradwat universitarju?")</f>
        <v>X'inhu l-isem tal-fundatur tal-Bungie Inc. li huwa wkoll gradwat universitarju?</v>
      </c>
    </row>
    <row r="12534" ht="15.75" customHeight="1">
      <c r="A12534" s="2" t="s">
        <v>12534</v>
      </c>
      <c r="B12534" s="2" t="str">
        <f>IFERROR(__xludf.DUMMYFUNCTION("GOOGLETRANSLATE(A12534, ""en"", ""mt"")"),"Direttivi")</f>
        <v>Direttivi</v>
      </c>
    </row>
    <row r="12535" ht="15.75" customHeight="1">
      <c r="A12535" s="2" t="s">
        <v>12535</v>
      </c>
      <c r="B12535" s="2" t="str">
        <f>IFERROR(__xludf.DUMMYFUNCTION("GOOGLETRANSLATE(A12535, ""en"", ""mt"")"),"X’kulle l-mużew mill-Royal College of Science?")</f>
        <v>X’kulle l-mużew mill-Royal College of Science?</v>
      </c>
    </row>
    <row r="12536" ht="15.75" customHeight="1">
      <c r="A12536" s="2" t="s">
        <v>12536</v>
      </c>
      <c r="B12536" s="2" t="str">
        <f>IFERROR(__xludf.DUMMYFUNCTION("GOOGLETRANSLATE(A12536, ""en"", ""mt"")"),"Ir-rwol tal-għalliem huwa spiss formali u kontinwu, imwettaq fi skola jew post ieħor ta 'edukazzjoni formali. F’ħafna pajjiżi, persuna li tixtieq issir għalliem għandha l-ewwel tikseb kwalifiki professjonali speċifikati jew kredenzjali minn università jew"&amp;" kulleġġ. Dawn il-kwalifiki professjonali jistgħu jinkludu l-istudju tal-pedagoġija, ix-xjenza tat-tagħlim. L-għalliema, bħal professjonisti oħra, jista 'jkollhom ikomplu l-edukazzjoni tagħhom wara li jikkwalifikaw, proċess magħruf bħala żvilupp professjo"&amp;"nali kontinwu. L-għalliema jistgħu jużaw pjan ta 'lezzjoni biex jiffaċilitaw it-tagħlim tal-istudenti, u jipprovdu kors ta' studju li jissejjaħ il-kurrikulu.")</f>
        <v>Ir-rwol tal-għalliem huwa spiss formali u kontinwu, imwettaq fi skola jew post ieħor ta 'edukazzjoni formali. F’ħafna pajjiżi, persuna li tixtieq issir għalliem għandha l-ewwel tikseb kwalifiki professjonali speċifikati jew kredenzjali minn università jew kulleġġ. Dawn il-kwalifiki professjonali jistgħu jinkludu l-istudju tal-pedagoġija, ix-xjenza tat-tagħlim. L-għalliema, bħal professjonisti oħra, jista 'jkollhom ikomplu l-edukazzjoni tagħhom wara li jikkwalifikaw, proċess magħruf bħala żvilupp professjonali kontinwu. L-għalliema jistgħu jużaw pjan ta 'lezzjoni biex jiffaċilitaw it-tagħlim tal-istudenti, u jipprovdu kors ta' studju li jissejjaħ il-kurrikulu.</v>
      </c>
    </row>
    <row r="12537" ht="15.75" customHeight="1">
      <c r="A12537" s="2" t="s">
        <v>12537</v>
      </c>
      <c r="B12537" s="2" t="str">
        <f>IFERROR(__xludf.DUMMYFUNCTION("GOOGLETRANSLATE(A12537, ""en"", ""mt"")"),"Karakorum")</f>
        <v>Karakorum</v>
      </c>
    </row>
    <row r="12538" ht="15.75" customHeight="1">
      <c r="A12538" s="2" t="s">
        <v>12538</v>
      </c>
      <c r="B12538" s="2" t="str">
        <f>IFERROR(__xludf.DUMMYFUNCTION("GOOGLETRANSLATE(A12538, ""en"", ""mt"")"),"Din il-projezzjoni ma ġietx inkluża fis-sommarju finali għal dawk li jfasslu l-politika. Minn dakinhar l-IPCC irrikonoxxa li d-data mhix korretta, filwaqt li afferma mill-ġdid li l-konklużjoni fis-sommarju finali kienet robusta. Huma esprimew dispjaċir għ"&amp;"al ""l-applikazzjoni ħażina ta 'proċeduri IPCC stabbiliti sew f'dan il-każ"". Id-data tal-2035 ġiet ikkwotata b'mod korrett mill-IPCC mir-rapport tal-WWF, li ħażin is-sors tiegħu stess, rapport tal-ICSI ""Varjazzjonijiet tal-borra u s-silġ fil-passat u fi"&amp;"l-preżent fuq skala globali u reġjonali"".")</f>
        <v>Din il-projezzjoni ma ġietx inkluża fis-sommarju finali għal dawk li jfasslu l-politika. Minn dakinhar l-IPCC irrikonoxxa li d-data mhix korretta, filwaqt li afferma mill-ġdid li l-konklużjoni fis-sommarju finali kienet robusta. Huma esprimew dispjaċir għal "l-applikazzjoni ħażina ta 'proċeduri IPCC stabbiliti sew f'dan il-każ". Id-data tal-2035 ġiet ikkwotata b'mod korrett mill-IPCC mir-rapport tal-WWF, li ħażin is-sors tiegħu stess, rapport tal-ICSI "Varjazzjonijiet tal-borra u s-silġ fil-passat u fil-preżent fuq skala globali u reġjonali".</v>
      </c>
    </row>
    <row r="12539" ht="15.75" customHeight="1">
      <c r="A12539" s="2" t="s">
        <v>12539</v>
      </c>
      <c r="B12539" s="2" t="str">
        <f>IFERROR(__xludf.DUMMYFUNCTION("GOOGLETRANSLATE(A12539, ""en"", ""mt"")"),"X'kien l-isem tan-nofs tal-Lvant tal-kolonja tal-1788?")</f>
        <v>X'kien l-isem tan-nofs tal-Lvant tal-kolonja tal-1788?</v>
      </c>
    </row>
    <row r="12540" ht="15.75" customHeight="1">
      <c r="A12540" s="2" t="s">
        <v>12540</v>
      </c>
      <c r="B12540" s="2" t="str">
        <f>IFERROR(__xludf.DUMMYFUNCTION("GOOGLETRANSLATE(A12540, ""en"", ""mt"")"),"12 ta ’Mejju 1705")</f>
        <v>12 ta ’Mejju 1705</v>
      </c>
    </row>
    <row r="12541" ht="15.75" customHeight="1">
      <c r="A12541" s="2" t="s">
        <v>12541</v>
      </c>
      <c r="B12541" s="2" t="str">
        <f>IFERROR(__xludf.DUMMYFUNCTION("GOOGLETRANSLATE(A12541, ""en"", ""mt"")"),"Kanal Ingliż")</f>
        <v>Kanal Ingliż</v>
      </c>
    </row>
    <row r="12542" ht="15.75" customHeight="1">
      <c r="A12542" s="2" t="s">
        <v>12542</v>
      </c>
      <c r="B12542" s="2" t="str">
        <f>IFERROR(__xludf.DUMMYFUNCTION("GOOGLETRANSLATE(A12542, ""en"", ""mt"")"),"il-piż tal-oġġett")</f>
        <v>il-piż tal-oġġett</v>
      </c>
    </row>
    <row r="12543" ht="15.75" customHeight="1">
      <c r="A12543" s="2" t="s">
        <v>12543</v>
      </c>
      <c r="B12543" s="2" t="str">
        <f>IFERROR(__xludf.DUMMYFUNCTION("GOOGLETRANSLATE(A12543, ""en"", ""mt"")"),"Tratturi tar-razzett")</f>
        <v>Tratturi tar-razzett</v>
      </c>
    </row>
    <row r="12544" ht="15.75" customHeight="1">
      <c r="A12544" s="2" t="s">
        <v>12544</v>
      </c>
      <c r="B12544" s="2" t="str">
        <f>IFERROR(__xludf.DUMMYFUNCTION("GOOGLETRANSLATE(A12544, ""en"", ""mt"")"),"vot maġġoranza sempliċi")</f>
        <v>vot maġġoranza sempliċi</v>
      </c>
    </row>
    <row r="12545" ht="15.75" customHeight="1">
      <c r="A12545" s="2" t="s">
        <v>12545</v>
      </c>
      <c r="B12545" s="2" t="str">
        <f>IFERROR(__xludf.DUMMYFUNCTION("GOOGLETRANSLATE(A12545, ""en"", ""mt"")"),"Xi tinħeba notazzjoni kbira?")</f>
        <v>Xi tinħeba notazzjoni kbira?</v>
      </c>
    </row>
    <row r="12546" ht="15.75" customHeight="1">
      <c r="A12546" s="2" t="s">
        <v>12546</v>
      </c>
      <c r="B12546" s="2" t="str">
        <f>IFERROR(__xludf.DUMMYFUNCTION("GOOGLETRANSLATE(A12546, ""en"", ""mt"")"),"Meta seħħet il-Costa V Enel?")</f>
        <v>Meta seħħet il-Costa V Enel?</v>
      </c>
    </row>
    <row r="12547" ht="15.75" customHeight="1">
      <c r="A12547" s="2" t="s">
        <v>12547</v>
      </c>
      <c r="B12547" s="2" t="str">
        <f>IFERROR(__xludf.DUMMYFUNCTION("GOOGLETRANSLATE(A12547, ""en"", ""mt"")"),"72 minuta")</f>
        <v>72 minuta</v>
      </c>
    </row>
    <row r="12548" ht="15.75" customHeight="1">
      <c r="A12548" s="2" t="s">
        <v>12548</v>
      </c>
      <c r="B12548" s="2" t="str">
        <f>IFERROR(__xludf.DUMMYFUNCTION("GOOGLETRANSLATE(A12548, ""en"", ""mt"")"),"Kemm mistednin attendew il-pranzu jiċċelebraw il-ftuħ tas-Suq Grainger?")</f>
        <v>Kemm mistednin attendew il-pranzu jiċċelebraw il-ftuħ tas-Suq Grainger?</v>
      </c>
    </row>
    <row r="12549" ht="15.75" customHeight="1">
      <c r="A12549" s="2" t="s">
        <v>12549</v>
      </c>
      <c r="B12549" s="2" t="str">
        <f>IFERROR(__xludf.DUMMYFUNCTION("GOOGLETRANSLATE(A12549, ""en"", ""mt"")"),"Xi pajjiżi Asjatiċi, Afrikani u Karibew")</f>
        <v>Xi pajjiżi Asjatiċi, Afrikani u Karibew</v>
      </c>
    </row>
    <row r="12550" ht="15.75" customHeight="1">
      <c r="A12550" s="2" t="s">
        <v>12550</v>
      </c>
      <c r="B12550" s="2" t="str">
        <f>IFERROR(__xludf.DUMMYFUNCTION("GOOGLETRANSLATE(A12550, ""en"", ""mt"")"),"il-bieb tad-deheb")</f>
        <v>il-bieb tad-deheb</v>
      </c>
    </row>
    <row r="12551" ht="15.75" customHeight="1">
      <c r="A12551" s="2" t="s">
        <v>12551</v>
      </c>
      <c r="B12551" s="2" t="str">
        <f>IFERROR(__xludf.DUMMYFUNCTION("GOOGLETRANSLATE(A12551, ""en"", ""mt"")"),"bejn")</f>
        <v>bejn</v>
      </c>
    </row>
    <row r="12552" ht="15.75" customHeight="1">
      <c r="A12552" s="2" t="s">
        <v>12552</v>
      </c>
      <c r="B12552" s="2" t="str">
        <f>IFERROR(__xludf.DUMMYFUNCTION("GOOGLETRANSLATE(A12552, ""en"", ""mt"")"),"Liema grupp armat waqqaf ir-rewwixta f'Ballarat?")</f>
        <v>Liema grupp armat waqqaf ir-rewwixta f'Ballarat?</v>
      </c>
    </row>
    <row r="12553" ht="15.75" customHeight="1">
      <c r="A12553" s="2" t="s">
        <v>12553</v>
      </c>
      <c r="B12553" s="2" t="str">
        <f>IFERROR(__xludf.DUMMYFUNCTION("GOOGLETRANSLATE(A12553, ""en"", ""mt"")"),"Sħubija ma 'komunikazzjonijiet ta' Livell 3 biex tniedi netwerk ġdid fjamant fuq livell nazzjonali")</f>
        <v>Sħubija ma 'komunikazzjonijiet ta' Livell 3 biex tniedi netwerk ġdid fjamant fuq livell nazzjonali</v>
      </c>
    </row>
    <row r="12554" ht="15.75" customHeight="1">
      <c r="A12554" s="2" t="s">
        <v>12554</v>
      </c>
      <c r="B12554" s="2" t="str">
        <f>IFERROR(__xludf.DUMMYFUNCTION("GOOGLETRANSLATE(A12554, ""en"", ""mt"")"),"Għal liema tip ta 'għajnuna għall-istudenti barra mill-belt hija magħrufa l-Fratellanza Musulmana?")</f>
        <v>Għal liema tip ta 'għajnuna għall-istudenti barra mill-belt hija magħrufa l-Fratellanza Musulmana?</v>
      </c>
    </row>
    <row r="12555" ht="15.75" customHeight="1">
      <c r="A12555" s="2" t="s">
        <v>12555</v>
      </c>
      <c r="B12555" s="2" t="str">
        <f>IFERROR(__xludf.DUMMYFUNCTION("GOOGLETRANSLATE(A12555, ""en"", ""mt"")"),"b’saħħtu,")</f>
        <v>b’saħħtu,</v>
      </c>
    </row>
    <row r="12556" ht="15.75" customHeight="1">
      <c r="A12556" s="2" t="s">
        <v>12556</v>
      </c>
      <c r="B12556" s="2" t="str">
        <f>IFERROR(__xludf.DUMMYFUNCTION("GOOGLETRANSLATE(A12556, ""en"", ""mt"")"),"John Simm")</f>
        <v>John Simm</v>
      </c>
    </row>
    <row r="12557" ht="15.75" customHeight="1">
      <c r="A12557" s="2" t="s">
        <v>12557</v>
      </c>
      <c r="B12557" s="2" t="str">
        <f>IFERROR(__xludf.DUMMYFUNCTION("GOOGLETRANSLATE(A12557, ""en"", ""mt"")"),"dik il-grazzja ta ’Alla li ssostni lil dawk li jemmnu fil-vjaġġ lejn il-perfezzjoni Nisranija")</f>
        <v>dik il-grazzja ta ’Alla li ssostni lil dawk li jemmnu fil-vjaġġ lejn il-perfezzjoni Nisranija</v>
      </c>
    </row>
    <row r="12558" ht="15.75" customHeight="1">
      <c r="A12558" s="2" t="s">
        <v>12558</v>
      </c>
      <c r="B12558" s="2" t="str">
        <f>IFERROR(__xludf.DUMMYFUNCTION("GOOGLETRANSLATE(A12558, ""en"", ""mt"")"),"X'kienet is-setta favorita ta 'Kublai tal-Buddiżmu Tibetan?")</f>
        <v>X'kienet is-setta favorita ta 'Kublai tal-Buddiżmu Tibetan?</v>
      </c>
    </row>
    <row r="12559" ht="15.75" customHeight="1">
      <c r="A12559" s="2" t="s">
        <v>12559</v>
      </c>
      <c r="B12559" s="2" t="str">
        <f>IFERROR(__xludf.DUMMYFUNCTION("GOOGLETRANSLATE(A12559, ""en"", ""mt"")"),"Minbarra l-problema tal-bejjiegħ li jivvjaġġa, x'inhu eżempju ieħor ta 'problema ta' funzjoni?")</f>
        <v>Minbarra l-problema tal-bejjiegħ li jivvjaġġa, x'inhu eżempju ieħor ta 'problema ta' funzjoni?</v>
      </c>
    </row>
    <row r="12560" ht="15.75" customHeight="1">
      <c r="A12560" s="2" t="s">
        <v>12560</v>
      </c>
      <c r="B12560" s="2" t="str">
        <f>IFERROR(__xludf.DUMMYFUNCTION("GOOGLETRANSLATE(A12560, ""en"", ""mt"")"),"9")</f>
        <v>9</v>
      </c>
    </row>
    <row r="12561" ht="15.75" customHeight="1">
      <c r="A12561" s="2" t="s">
        <v>12561</v>
      </c>
      <c r="B12561" s="2" t="str">
        <f>IFERROR(__xludf.DUMMYFUNCTION("GOOGLETRANSLATE(A12561, ""en"", ""mt"")"),"Ġew stabbiliti bosta pedamenti")</f>
        <v>Ġew stabbiliti bosta pedamenti</v>
      </c>
    </row>
    <row r="12562" ht="15.75" customHeight="1">
      <c r="A12562" s="2" t="s">
        <v>12562</v>
      </c>
      <c r="B12562" s="2" t="str">
        <f>IFERROR(__xludf.DUMMYFUNCTION("GOOGLETRANSLATE(A12562, ""en"", ""mt"")"),"""Titjira Abjad""")</f>
        <v>"Titjira Abjad"</v>
      </c>
    </row>
    <row r="12563" ht="15.75" customHeight="1">
      <c r="A12563" s="2" t="s">
        <v>12563</v>
      </c>
      <c r="B12563" s="2" t="str">
        <f>IFERROR(__xludf.DUMMYFUNCTION("GOOGLETRANSLATE(A12563, ""en"", ""mt"")"),"id-dinastija Liao")</f>
        <v>id-dinastija Liao</v>
      </c>
    </row>
    <row r="12564" ht="15.75" customHeight="1">
      <c r="A12564" s="2" t="s">
        <v>12564</v>
      </c>
      <c r="B12564" s="2" t="str">
        <f>IFERROR(__xludf.DUMMYFUNCTION("GOOGLETRANSLATE(A12564, ""en"", ""mt"")"),"X'dritt għandhom skejjel privati ​​li l-iskejjel pubbliċi m'għandhomx?")</f>
        <v>X'dritt għandhom skejjel privati ​​li l-iskejjel pubbliċi m'għandhomx?</v>
      </c>
    </row>
    <row r="12565" ht="15.75" customHeight="1">
      <c r="A12565" s="2" t="s">
        <v>12565</v>
      </c>
      <c r="B12565" s="2" t="str">
        <f>IFERROR(__xludf.DUMMYFUNCTION("GOOGLETRANSLATE(A12565, ""en"", ""mt"")"),"Fejn hi komuni l-fotofosforilazzjoni ċiklika?")</f>
        <v>Fejn hi komuni l-fotofosforilazzjoni ċiklika?</v>
      </c>
    </row>
    <row r="12566" ht="15.75" customHeight="1">
      <c r="A12566" s="2" t="s">
        <v>12566</v>
      </c>
      <c r="B12566" s="2" t="str">
        <f>IFERROR(__xludf.DUMMYFUNCTION("GOOGLETRANSLATE(A12566, ""en"", ""mt"")"),"Drogo")</f>
        <v>Drogo</v>
      </c>
    </row>
    <row r="12567" ht="15.75" customHeight="1">
      <c r="A12567" s="2" t="s">
        <v>12567</v>
      </c>
      <c r="B12567" s="2" t="str">
        <f>IFERROR(__xludf.DUMMYFUNCTION("GOOGLETRANSLATE(A12567, ""en"", ""mt"")"),"Praga")</f>
        <v>Praga</v>
      </c>
    </row>
    <row r="12568" ht="15.75" customHeight="1">
      <c r="A12568" s="2" t="s">
        <v>12568</v>
      </c>
      <c r="B12568" s="2" t="str">
        <f>IFERROR(__xludf.DUMMYFUNCTION("GOOGLETRANSLATE(A12568, ""en"", ""mt"")"),"Kif għamlu l-armati tal-Mongolja li joħorġu gruppi ta 'għedewwa mill-pożizzjonijiet difensivi tagħhom?")</f>
        <v>Kif għamlu l-armati tal-Mongolja li joħorġu gruppi ta 'għedewwa mill-pożizzjonijiet difensivi tagħhom?</v>
      </c>
    </row>
    <row r="12569" ht="15.75" customHeight="1">
      <c r="A12569" s="2" t="s">
        <v>12569</v>
      </c>
      <c r="B12569" s="2" t="str">
        <f>IFERROR(__xludf.DUMMYFUNCTION("GOOGLETRANSLATE(A12569, ""en"", ""mt"")"),"""Huwa ż-żejt tal-Iskozja""")</f>
        <v>"Huwa ż-żejt tal-Iskozja"</v>
      </c>
    </row>
    <row r="12570" ht="15.75" customHeight="1">
      <c r="A12570" s="2" t="s">
        <v>12570</v>
      </c>
      <c r="B12570" s="2" t="str">
        <f>IFERROR(__xludf.DUMMYFUNCTION("GOOGLETRANSLATE(A12570, ""en"", ""mt"")"),"mara")</f>
        <v>mara</v>
      </c>
    </row>
    <row r="12571" ht="15.75" customHeight="1">
      <c r="A12571" s="2" t="s">
        <v>12571</v>
      </c>
      <c r="B12571" s="2" t="str">
        <f>IFERROR(__xludf.DUMMYFUNCTION("GOOGLETRANSLATE(A12571, ""en"", ""mt"")"),"kumitati")</f>
        <v>kumitati</v>
      </c>
    </row>
    <row r="12572" ht="15.75" customHeight="1">
      <c r="A12572" s="2" t="s">
        <v>12572</v>
      </c>
      <c r="B12572" s="2" t="str">
        <f>IFERROR(__xludf.DUMMYFUNCTION("GOOGLETRANSLATE(A12572, ""en"", ""mt"")"),"il-marbut fuq il-kumplessità tat-tnaqqis")</f>
        <v>il-marbut fuq il-kumplessità tat-tnaqqis</v>
      </c>
    </row>
    <row r="12573" ht="15.75" customHeight="1">
      <c r="A12573" s="2" t="s">
        <v>12573</v>
      </c>
      <c r="B12573" s="2" t="str">
        <f>IFERROR(__xludf.DUMMYFUNCTION("GOOGLETRANSLATE(A12573, ""en"", ""mt"")"),"Kemm kellu Peyton Manning meta lagħab fis-Super Bowl 50?")</f>
        <v>Kemm kellu Peyton Manning meta lagħab fis-Super Bowl 50?</v>
      </c>
    </row>
    <row r="12574" ht="15.75" customHeight="1">
      <c r="A12574" s="2" t="s">
        <v>12574</v>
      </c>
      <c r="B12574" s="2" t="str">
        <f>IFERROR(__xludf.DUMMYFUNCTION("GOOGLETRANSLATE(A12574, ""en"", ""mt"")"),"Kemm hija twila s-sezzjoni tar-Rhine qrib Chur?")</f>
        <v>Kemm hija twila s-sezzjoni tar-Rhine qrib Chur?</v>
      </c>
    </row>
    <row r="12575" ht="15.75" customHeight="1">
      <c r="A12575" s="2" t="s">
        <v>12575</v>
      </c>
      <c r="B12575" s="2" t="str">
        <f>IFERROR(__xludf.DUMMYFUNCTION("GOOGLETRANSLATE(A12575, ""en"", ""mt"")"),"Il-kollezzjoni tal-Librerija V &amp; A ta 'manuskritti mdawla huma datati sa liema sekli?")</f>
        <v>Il-kollezzjoni tal-Librerija V &amp; A ta 'manuskritti mdawla huma datati sa liema sekli?</v>
      </c>
    </row>
    <row r="12576" ht="15.75" customHeight="1">
      <c r="A12576" s="2" t="s">
        <v>12576</v>
      </c>
      <c r="B12576" s="2" t="str">
        <f>IFERROR(__xludf.DUMMYFUNCTION("GOOGLETRANSLATE(A12576, ""en"", ""mt"")"),"6.7")</f>
        <v>6.7</v>
      </c>
    </row>
    <row r="12577" ht="15.75" customHeight="1">
      <c r="A12577" s="2" t="s">
        <v>12577</v>
      </c>
      <c r="B12577" s="2" t="str">
        <f>IFERROR(__xludf.DUMMYFUNCTION("GOOGLETRANSLATE(A12577, ""en"", ""mt"")"),"Fejn hi r-Renu?")</f>
        <v>Fejn hi r-Renu?</v>
      </c>
    </row>
    <row r="12578" ht="15.75" customHeight="1">
      <c r="A12578" s="2" t="s">
        <v>12578</v>
      </c>
      <c r="B12578" s="2" t="str">
        <f>IFERROR(__xludf.DUMMYFUNCTION("GOOGLETRANSLATE(A12578, ""en"", ""mt"")"),"konsulent")</f>
        <v>konsulent</v>
      </c>
    </row>
    <row r="12579" ht="15.75" customHeight="1">
      <c r="A12579" s="2" t="s">
        <v>12579</v>
      </c>
      <c r="B12579" s="2" t="str">
        <f>IFERROR(__xludf.DUMMYFUNCTION("GOOGLETRANSLATE(A12579, ""en"", ""mt"")"),"Pad 37")</f>
        <v>Pad 37</v>
      </c>
    </row>
    <row r="12580" ht="15.75" customHeight="1">
      <c r="A12580" s="2" t="s">
        <v>12580</v>
      </c>
      <c r="B12580" s="2" t="str">
        <f>IFERROR(__xludf.DUMMYFUNCTION("GOOGLETRANSLATE(A12580, ""en"", ""mt"")"),"Meta japplikaw it-trattati?")</f>
        <v>Meta japplikaw it-trattati?</v>
      </c>
    </row>
    <row r="12581" ht="15.75" customHeight="1">
      <c r="A12581" s="2" t="s">
        <v>12581</v>
      </c>
      <c r="B12581" s="2" t="str">
        <f>IFERROR(__xludf.DUMMYFUNCTION("GOOGLETRANSLATE(A12581, ""en"", ""mt"")"),"Awtorità tal-Istati Uniti ta '' New World '")</f>
        <v>Awtorità tal-Istati Uniti ta '' New World '</v>
      </c>
    </row>
    <row r="12582" ht="15.75" customHeight="1">
      <c r="A12582" s="2" t="s">
        <v>12582</v>
      </c>
      <c r="B12582" s="2" t="str">
        <f>IFERROR(__xludf.DUMMYFUNCTION("GOOGLETRANSLATE(A12582, ""en"", ""mt"")"),"It-tielet l-iktar abbundanti")</f>
        <v>It-tielet l-iktar abbundanti</v>
      </c>
    </row>
    <row r="12583" ht="15.75" customHeight="1">
      <c r="A12583" s="2" t="s">
        <v>12583</v>
      </c>
      <c r="B12583" s="2" t="str">
        <f>IFERROR(__xludf.DUMMYFUNCTION("GOOGLETRANSLATE(A12583, ""en"", ""mt"")"),"Lil min jirrappurtaw l-awturi ewlenin li jikkoordinaw?")</f>
        <v>Lil min jirrappurtaw l-awturi ewlenin li jikkoordinaw?</v>
      </c>
    </row>
    <row r="12584" ht="15.75" customHeight="1">
      <c r="A12584" s="2" t="s">
        <v>12584</v>
      </c>
      <c r="B12584" s="2" t="str">
        <f>IFERROR(__xludf.DUMMYFUNCTION("GOOGLETRANSLATE(A12584, ""en"", ""mt"")"),"Minn liema seklu ġie l-isem tar-Renu?")</f>
        <v>Minn liema seklu ġie l-isem tar-Renu?</v>
      </c>
    </row>
    <row r="12585" ht="15.75" customHeight="1">
      <c r="A12585" s="2" t="s">
        <v>12585</v>
      </c>
      <c r="B12585" s="2" t="str">
        <f>IFERROR(__xludf.DUMMYFUNCTION("GOOGLETRANSLATE(A12585, ""en"", ""mt"")"),"X'inhi r-rata ta 'mortalità tal-pesta bubonika moderna?")</f>
        <v>X'inhi r-rata ta 'mortalità tal-pesta bubonika moderna?</v>
      </c>
    </row>
    <row r="12586" ht="15.75" customHeight="1">
      <c r="A12586" s="2" t="s">
        <v>12586</v>
      </c>
      <c r="B12586" s="2" t="str">
        <f>IFERROR(__xludf.DUMMYFUNCTION("GOOGLETRANSLATE(A12586, ""en"", ""mt"")"),"darbtejn daqs")</f>
        <v>darbtejn daqs</v>
      </c>
    </row>
    <row r="12587" ht="15.75" customHeight="1">
      <c r="A12587" s="2" t="s">
        <v>12587</v>
      </c>
      <c r="B12587" s="2" t="str">
        <f>IFERROR(__xludf.DUMMYFUNCTION("GOOGLETRANSLATE(A12587, ""en"", ""mt"")"),"1064")</f>
        <v>1064</v>
      </c>
    </row>
    <row r="12588" ht="15.75" customHeight="1">
      <c r="A12588" s="2" t="s">
        <v>12588</v>
      </c>
      <c r="B12588" s="2" t="str">
        <f>IFERROR(__xludf.DUMMYFUNCTION("GOOGLETRANSLATE(A12588, ""en"", ""mt"")"),"Għalf l-ilma")</f>
        <v>Għalf l-ilma</v>
      </c>
    </row>
    <row r="12589" ht="15.75" customHeight="1">
      <c r="A12589" s="2" t="s">
        <v>12589</v>
      </c>
      <c r="B12589" s="2" t="str">
        <f>IFERROR(__xludf.DUMMYFUNCTION("GOOGLETRANSLATE(A12589, ""en"", ""mt"")"),"In-Nofsinhar ta ’California hija wkoll id-dar tal-Port ta’ Los Angeles, il-port kummerċjali l-aktar traffikuż tal-Istati Uniti; il-port li jmissu ma 'Long Beach, it-tieni port tal-kontejners tat-tieni l-Istati Uniti; u l-port ta 'San Diego.")</f>
        <v>In-Nofsinhar ta ’California hija wkoll id-dar tal-Port ta’ Los Angeles, il-port kummerċjali l-aktar traffikuż tal-Istati Uniti; il-port li jmissu ma 'Long Beach, it-tieni port tal-kontejners tat-tieni l-Istati Uniti; u l-port ta 'San Diego.</v>
      </c>
    </row>
    <row r="12590" ht="15.75" customHeight="1">
      <c r="A12590" s="2" t="s">
        <v>12590</v>
      </c>
      <c r="B12590" s="2" t="str">
        <f>IFERROR(__xludf.DUMMYFUNCTION("GOOGLETRANSLATE(A12590, ""en"", ""mt"")"),"separatament mit-tobba")</f>
        <v>separatament mit-tobba</v>
      </c>
    </row>
    <row r="12591" ht="15.75" customHeight="1">
      <c r="A12591" s="2" t="s">
        <v>12591</v>
      </c>
      <c r="B12591" s="2" t="str">
        <f>IFERROR(__xludf.DUMMYFUNCTION("GOOGLETRANSLATE(A12591, ""en"", ""mt"")"),"L-istudju sab ukoll li kien hemm żewġ clades li qabel kienu magħrufa iżda relatati (fergħat ġenetiċi) tal-ġenoma ta 'Y. pestis assoċjati ma' oqbra tal-massa medjevali. Dawn il-klades (li huma maħsuba li huma estinti) instabu li huma antenati għall-iżolati"&amp;" moderni tar-razez moderni ta ’Y. pestis Y. p. Orientalis u Y. p. Medevalis, li jissuġġerixxi li l-pesta setgħet daħlet fl-Ewropa f'żewġ mewġ. Stħarriġ ta 'Plague Pit jibqa' fi Franza u l-Ingilterra jindikaw li l-ewwel varjant daħal fl-Ewropa permezz tal-"&amp;"port ta 'Marsilja madwar Novembru 1347 u nfirex minn Franza matul is-sentejn li ġejjin, eventwalment jilħaq l-Ingilterra fir-rebbiegħa tal-1349, fejn infirex mill-pajjiż fi tlieta Epidemiji. L-istħarriġ tal-fossa tal-pesta li jibqa 'mill-belt Olandiża ta'"&amp;" Bergen Op Zoom wera l-ġenotip Y. pestis responsabbli għall-pandemija li jinfirex mill-pajjiżi baxxi mill-1350 kien differenti minn dak misjub fil-Gran Brittanja u Franza, li jimplika Bergen op zoom (u possibbilment partijiet oħra ta ' In-Nofsinhar tal-Pa"&amp;"jjiżi l-Baxxi) ma kienx infettat direttament mill-Ingilterra jew Franza fl-1349 u jissuġġerixxi t-tieni mewġa ta 'pesta, differenti minn dawk fil-Gran Brittanja u Franza, setgħet ġiet imwettqa lejn il-pajjiżi baxxi min-Norveġja, il-bliet Hanseatic jew sit"&amp;" ieħor.")</f>
        <v>L-istudju sab ukoll li kien hemm żewġ clades li qabel kienu magħrufa iżda relatati (fergħat ġenetiċi) tal-ġenoma ta 'Y. pestis assoċjati ma' oqbra tal-massa medjevali. Dawn il-klades (li huma maħsuba li huma estinti) instabu li huma antenati għall-iżolati moderni tar-razez moderni ta ’Y. pestis Y. p. Orientalis u Y. p. Medevalis, li jissuġġerixxi li l-pesta setgħet daħlet fl-Ewropa f'żewġ mewġ. Stħarriġ ta 'Plague Pit jibqa' fi Franza u l-Ingilterra jindikaw li l-ewwel varjant daħal fl-Ewropa permezz tal-port ta 'Marsilja madwar Novembru 1347 u nfirex minn Franza matul is-sentejn li ġejjin, eventwalment jilħaq l-Ingilterra fir-rebbiegħa tal-1349, fejn infirex mill-pajjiż fi tlieta Epidemiji. L-istħarriġ tal-fossa tal-pesta li jibqa 'mill-belt Olandiża ta' Bergen Op Zoom wera l-ġenotip Y. pestis responsabbli għall-pandemija li jinfirex mill-pajjiżi baxxi mill-1350 kien differenti minn dak misjub fil-Gran Brittanja u Franza, li jimplika Bergen op zoom (u possibbilment partijiet oħra ta ' In-Nofsinhar tal-Pajjiżi l-Baxxi) ma kienx infettat direttament mill-Ingilterra jew Franza fl-1349 u jissuġġerixxi t-tieni mewġa ta 'pesta, differenti minn dawk fil-Gran Brittanja u Franza, setgħet ġiet imwettqa lejn il-pajjiżi baxxi min-Norveġja, il-bliet Hanseatic jew sit ieħor.</v>
      </c>
    </row>
    <row r="12592" ht="15.75" customHeight="1">
      <c r="A12592" s="2" t="s">
        <v>12592</v>
      </c>
      <c r="B12592" s="2" t="str">
        <f>IFERROR(__xludf.DUMMYFUNCTION("GOOGLETRANSLATE(A12592, ""en"", ""mt"")"),"Inġinerija tal-Aħbarijiet-Record (ENR)")</f>
        <v>Inġinerija tal-Aħbarijiet-Record (ENR)</v>
      </c>
    </row>
    <row r="12593" ht="15.75" customHeight="1">
      <c r="A12593" s="2" t="s">
        <v>12593</v>
      </c>
      <c r="B12593" s="2" t="str">
        <f>IFERROR(__xludf.DUMMYFUNCTION("GOOGLETRANSLATE(A12593, ""en"", ""mt"")"),"X'kienu l-pjanijiet oriġinali ta 'missier Tesla għal Tesla?")</f>
        <v>X'kienu l-pjanijiet oriġinali ta 'missier Tesla għal Tesla?</v>
      </c>
    </row>
    <row r="12594" ht="15.75" customHeight="1">
      <c r="A12594" s="2" t="s">
        <v>12594</v>
      </c>
      <c r="B12594" s="2" t="str">
        <f>IFERROR(__xludf.DUMMYFUNCTION("GOOGLETRANSLATE(A12594, ""en"", ""mt"")"),"Min qal Luther li l-Kristjani m'għandhomx jitnaqqsu?")</f>
        <v>Min qal Luther li l-Kristjani m'għandhomx jitnaqqsu?</v>
      </c>
    </row>
    <row r="12595" ht="15.75" customHeight="1">
      <c r="A12595" s="2" t="s">
        <v>12595</v>
      </c>
      <c r="B12595" s="2" t="str">
        <f>IFERROR(__xludf.DUMMYFUNCTION("GOOGLETRANSLATE(A12595, ""en"", ""mt"")"),"innifsu")</f>
        <v>innifsu</v>
      </c>
    </row>
    <row r="12596" ht="15.75" customHeight="1">
      <c r="A12596" s="2" t="s">
        <v>12596</v>
      </c>
      <c r="B12596" s="2" t="str">
        <f>IFERROR(__xludf.DUMMYFUNCTION("GOOGLETRANSLATE(A12596, ""en"", ""mt"")"),"tlieta jew erbgħa")</f>
        <v>tlieta jew erbgħa</v>
      </c>
    </row>
    <row r="12597" ht="15.75" customHeight="1">
      <c r="A12597" s="2" t="s">
        <v>12597</v>
      </c>
      <c r="B12597" s="2" t="str">
        <f>IFERROR(__xludf.DUMMYFUNCTION("GOOGLETRANSLATE(A12597, ""en"", ""mt"")"),"raġġ tal-partikuli ċċarġjati")</f>
        <v>raġġ tal-partikuli ċċarġjati</v>
      </c>
    </row>
    <row r="12598" ht="15.75" customHeight="1">
      <c r="A12598" s="2" t="s">
        <v>12598</v>
      </c>
      <c r="B12598" s="2" t="str">
        <f>IFERROR(__xludf.DUMMYFUNCTION("GOOGLETRANSLATE(A12598, ""en"", ""mt"")"),"Skambju tat-Telefon ta 'Budapest")</f>
        <v>Skambju tat-Telefon ta 'Budapest</v>
      </c>
    </row>
    <row r="12599" ht="15.75" customHeight="1">
      <c r="A12599" s="2" t="s">
        <v>12599</v>
      </c>
      <c r="B12599" s="2" t="str">
        <f>IFERROR(__xludf.DUMMYFUNCTION("GOOGLETRANSLATE(A12599, ""en"", ""mt"")"),"23 sena")</f>
        <v>23 sena</v>
      </c>
    </row>
    <row r="12600" ht="15.75" customHeight="1">
      <c r="A12600" s="2" t="s">
        <v>12600</v>
      </c>
      <c r="B12600" s="2" t="str">
        <f>IFERROR(__xludf.DUMMYFUNCTION("GOOGLETRANSLATE(A12600, ""en"", ""mt"")"),"Kemm it-trab tas-Saħara huwa minfuħ u jaqa 'fuq il-Baħar tal-Karibew kull sena?")</f>
        <v>Kemm it-trab tas-Saħara huwa minfuħ u jaqa 'fuq il-Baħar tal-Karibew kull sena?</v>
      </c>
    </row>
    <row r="12601" ht="15.75" customHeight="1">
      <c r="A12601" s="2" t="s">
        <v>12601</v>
      </c>
      <c r="B12601" s="2" t="str">
        <f>IFERROR(__xludf.DUMMYFUNCTION("GOOGLETRANSLATE(A12601, ""en"", ""mt"")"),"X'kienet ir-reliġjon tal-istat mhux uffiċjali tal-wan?")</f>
        <v>X'kienet ir-reliġjon tal-istat mhux uffiċjali tal-wan?</v>
      </c>
    </row>
    <row r="12602" ht="15.75" customHeight="1">
      <c r="A12602" s="2" t="s">
        <v>12602</v>
      </c>
      <c r="B12602" s="2" t="str">
        <f>IFERROR(__xludf.DUMMYFUNCTION("GOOGLETRANSLATE(A12602, ""en"", ""mt"")"),"18-Karat miksija bid-deheb")</f>
        <v>18-Karat miksija bid-deheb</v>
      </c>
    </row>
    <row r="12603" ht="15.75" customHeight="1">
      <c r="A12603" s="2" t="s">
        <v>12603</v>
      </c>
      <c r="B12603" s="2" t="str">
        <f>IFERROR(__xludf.DUMMYFUNCTION("GOOGLETRANSLATE(A12603, ""en"", ""mt"")"),"aggressività")</f>
        <v>aggressività</v>
      </c>
    </row>
    <row r="12604" ht="15.75" customHeight="1">
      <c r="A12604" s="2" t="s">
        <v>12604</v>
      </c>
      <c r="B12604" s="2" t="str">
        <f>IFERROR(__xludf.DUMMYFUNCTION("GOOGLETRANSLATE(A12604, ""en"", ""mt"")"),"Jekk żewġ numri interi jiġu mmultiplikati u joħorġu valur, kif tissejjaħ din l-espressjoni?")</f>
        <v>Jekk żewġ numri interi jiġu mmultiplikati u joħorġu valur, kif tissejjaħ din l-espressjoni?</v>
      </c>
    </row>
    <row r="12605" ht="15.75" customHeight="1">
      <c r="A12605" s="2" t="s">
        <v>12605</v>
      </c>
      <c r="B12605" s="2" t="str">
        <f>IFERROR(__xludf.DUMMYFUNCTION("GOOGLETRANSLATE(A12605, ""en"", ""mt"")"),"Kemm tipproduċi Victoria fil-lanġas Awstraljani?")</f>
        <v>Kemm tipproduċi Victoria fil-lanġas Awstraljani?</v>
      </c>
    </row>
    <row r="12606" ht="15.75" customHeight="1">
      <c r="A12606" s="2" t="s">
        <v>12606</v>
      </c>
      <c r="B12606" s="2" t="str">
        <f>IFERROR(__xludf.DUMMYFUNCTION("GOOGLETRANSLATE(A12606, ""en"", ""mt"")"),"Liema skejjel ta 'skejjel preparatorji jħejju tfal Ingliżi biex jattendu?")</f>
        <v>Liema skejjel ta 'skejjel preparatorji jħejju tfal Ingliżi biex jattendu?</v>
      </c>
    </row>
    <row r="12607" ht="15.75" customHeight="1">
      <c r="A12607" s="2" t="s">
        <v>12607</v>
      </c>
      <c r="B12607" s="2" t="str">
        <f>IFERROR(__xludf.DUMMYFUNCTION("GOOGLETRANSLATE(A12607, ""en"", ""mt"")"),"X'inhu l-isem tat-tim Speedway ta 'Newcastle?")</f>
        <v>X'inhu l-isem tat-tim Speedway ta 'Newcastle?</v>
      </c>
    </row>
    <row r="12608" ht="15.75" customHeight="1">
      <c r="A12608" s="2" t="s">
        <v>12608</v>
      </c>
      <c r="B12608" s="2" t="str">
        <f>IFERROR(__xludf.DUMMYFUNCTION("GOOGLETRANSLATE(A12608, ""en"", ""mt"")"),"1169")</f>
        <v>1169</v>
      </c>
    </row>
    <row r="12609" ht="15.75" customHeight="1">
      <c r="A12609" s="2" t="s">
        <v>12609</v>
      </c>
      <c r="B12609" s="2" t="str">
        <f>IFERROR(__xludf.DUMMYFUNCTION("GOOGLETRANSLATE(A12609, ""en"", ""mt"")"),"Liema titli doppji żamm Frederick William?")</f>
        <v>Liema titli doppji żamm Frederick William?</v>
      </c>
    </row>
    <row r="12610" ht="15.75" customHeight="1">
      <c r="A12610" s="2" t="s">
        <v>12610</v>
      </c>
      <c r="B12610" s="2" t="str">
        <f>IFERROR(__xludf.DUMMYFUNCTION("GOOGLETRANSLATE(A12610, ""en"", ""mt"")"),"William Iron Arm")</f>
        <v>William Iron Arm</v>
      </c>
    </row>
    <row r="12611" ht="15.75" customHeight="1">
      <c r="A12611" s="2" t="s">
        <v>12611</v>
      </c>
      <c r="B12611" s="2" t="str">
        <f>IFERROR(__xludf.DUMMYFUNCTION("GOOGLETRANSLATE(A12611, ""en"", ""mt"")"),"Blokk ta 'Vjal End West li fih bini ta' aħbarijiet ABC ġie msejjaħ għal liema ankra ABC?")</f>
        <v>Blokk ta 'Vjal End West li fih bini ta' aħbarijiet ABC ġie msejjaħ għal liema ankra ABC?</v>
      </c>
    </row>
    <row r="12612" ht="15.75" customHeight="1">
      <c r="A12612" s="2" t="s">
        <v>12612</v>
      </c>
      <c r="B12612" s="2" t="str">
        <f>IFERROR(__xludf.DUMMYFUNCTION("GOOGLETRANSLATE(A12612, ""en"", ""mt"")"),"Kostruzzjoni residenzjali tista 'tiġġenera dak li mhux ippjanat bir-reqqa?")</f>
        <v>Kostruzzjoni residenzjali tista 'tiġġenera dak li mhux ippjanat bir-reqqa?</v>
      </c>
    </row>
    <row r="12613" ht="15.75" customHeight="1">
      <c r="A12613" s="2" t="s">
        <v>12613</v>
      </c>
      <c r="B12613" s="2" t="str">
        <f>IFERROR(__xludf.DUMMYFUNCTION("GOOGLETRANSLATE(A12613, ""en"", ""mt"")"),"Min ikkonferma l-iskoperta ta 'Watt dwar is-sħana moħbija?")</f>
        <v>Min ikkonferma l-iskoperta ta 'Watt dwar is-sħana moħbija?</v>
      </c>
    </row>
    <row r="12614" ht="15.75" customHeight="1">
      <c r="A12614" s="2" t="s">
        <v>12614</v>
      </c>
      <c r="B12614" s="2" t="str">
        <f>IFERROR(__xludf.DUMMYFUNCTION("GOOGLETRANSLATE(A12614, ""en"", ""mt"")"),"sitt snin")</f>
        <v>sitt snin</v>
      </c>
    </row>
    <row r="12615" ht="15.75" customHeight="1">
      <c r="A12615" s="2" t="s">
        <v>12615</v>
      </c>
      <c r="B12615" s="2" t="str">
        <f>IFERROR(__xludf.DUMMYFUNCTION("GOOGLETRANSLATE(A12615, ""en"", ""mt"")"),"ċivili")</f>
        <v>ċivili</v>
      </c>
    </row>
    <row r="12616" ht="15.75" customHeight="1">
      <c r="A12616" s="2" t="s">
        <v>12616</v>
      </c>
      <c r="B12616" s="2" t="str">
        <f>IFERROR(__xludf.DUMMYFUNCTION("GOOGLETRANSLATE(A12616, ""en"", ""mt"")"),"progressiv")</f>
        <v>progressiv</v>
      </c>
    </row>
    <row r="12617" ht="15.75" customHeight="1">
      <c r="A12617" s="2" t="s">
        <v>12617</v>
      </c>
      <c r="B12617" s="2" t="str">
        <f>IFERROR(__xludf.DUMMYFUNCTION("GOOGLETRANSLATE(A12617, ""en"", ""mt"")"),"L-ewwel Newton")</f>
        <v>L-ewwel Newton</v>
      </c>
    </row>
    <row r="12618" ht="15.75" customHeight="1">
      <c r="A12618" s="2" t="s">
        <v>12618</v>
      </c>
      <c r="B12618" s="2" t="str">
        <f>IFERROR(__xludf.DUMMYFUNCTION("GOOGLETRANSLATE(A12618, ""en"", ""mt"")"),"Parti vitali mill-ktajjen tal-ikel tal-baħar")</f>
        <v>Parti vitali mill-ktajjen tal-ikel tal-baħar</v>
      </c>
    </row>
    <row r="12619" ht="15.75" customHeight="1">
      <c r="A12619" s="2" t="s">
        <v>12619</v>
      </c>
      <c r="B12619" s="2" t="str">
        <f>IFERROR(__xludf.DUMMYFUNCTION("GOOGLETRANSLATE(A12619, ""en"", ""mt"")"),"unjoni sagramentali")</f>
        <v>unjoni sagramentali</v>
      </c>
    </row>
    <row r="12620" ht="15.75" customHeight="1">
      <c r="A12620" s="2" t="s">
        <v>12620</v>
      </c>
      <c r="B12620" s="2" t="str">
        <f>IFERROR(__xludf.DUMMYFUNCTION("GOOGLETRANSLATE(A12620, ""en"", ""mt"")"),"baqgħu ħajjin ħafna gwerer, kunflitti u invażjonijiet")</f>
        <v>baqgħu ħajjin ħafna gwerer, kunflitti u invażjonijiet</v>
      </c>
    </row>
    <row r="12621" ht="15.75" customHeight="1">
      <c r="A12621" s="2" t="s">
        <v>12621</v>
      </c>
      <c r="B12621" s="2" t="str">
        <f>IFERROR(__xludf.DUMMYFUNCTION("GOOGLETRANSLATE(A12621, ""en"", ""mt"")"),"Liema att jistabbilixxi t-terminu biex jiġġudika l-konfini tas-sanità li magħhom l-individwi li jixtiequ joqogħdu fuq l-SP għandhom jaderixxu?")</f>
        <v>Liema att jistabbilixxi t-terminu biex jiġġudika l-konfini tas-sanità li magħhom l-individwi li jixtiequ joqogħdu fuq l-SP għandhom jaderixxu?</v>
      </c>
    </row>
    <row r="12622" ht="15.75" customHeight="1">
      <c r="A12622" s="2" t="s">
        <v>12622</v>
      </c>
      <c r="B12622" s="2" t="str">
        <f>IFERROR(__xludf.DUMMYFUNCTION("GOOGLETRANSLATE(A12622, ""en"", ""mt"")"),"Kemm-il logħob tilfu l-Panthers fl-istaġun regolari qabel Super Bowl 50?")</f>
        <v>Kemm-il logħob tilfu l-Panthers fl-istaġun regolari qabel Super Bowl 50?</v>
      </c>
    </row>
    <row r="12623" ht="15.75" customHeight="1">
      <c r="A12623" s="2" t="s">
        <v>12623</v>
      </c>
      <c r="B12623" s="2" t="str">
        <f>IFERROR(__xludf.DUMMYFUNCTION("GOOGLETRANSLATE(A12623, ""en"", ""mt"")"),"Lokomottivi bil-fwar")</f>
        <v>Lokomottivi bil-fwar</v>
      </c>
    </row>
    <row r="12624" ht="15.75" customHeight="1">
      <c r="A12624" s="2" t="s">
        <v>12624</v>
      </c>
      <c r="B12624" s="2" t="str">
        <f>IFERROR(__xludf.DUMMYFUNCTION("GOOGLETRANSLATE(A12624, ""en"", ""mt"")"),"il-mudell tal-komputazzjoni")</f>
        <v>il-mudell tal-komputazzjoni</v>
      </c>
    </row>
    <row r="12625" ht="15.75" customHeight="1">
      <c r="A12625" s="2" t="s">
        <v>12625</v>
      </c>
      <c r="B12625" s="2" t="str">
        <f>IFERROR(__xludf.DUMMYFUNCTION("GOOGLETRANSLATE(A12625, ""en"", ""mt"")"),"Sistema tax-Xandir Mainichi")</f>
        <v>Sistema tax-Xandir Mainichi</v>
      </c>
    </row>
    <row r="12626" ht="15.75" customHeight="1">
      <c r="A12626" s="2" t="s">
        <v>12626</v>
      </c>
      <c r="B12626" s="2" t="str">
        <f>IFERROR(__xludf.DUMMYFUNCTION("GOOGLETRANSLATE(A12626, ""en"", ""mt"")"),"Kunsinna sekwenzjata ta 'dejta lill-host")</f>
        <v>Kunsinna sekwenzjata ta 'dejta lill-host</v>
      </c>
    </row>
    <row r="12627" ht="15.75" customHeight="1">
      <c r="A12627" s="2" t="s">
        <v>12627</v>
      </c>
      <c r="B12627" s="2" t="str">
        <f>IFERROR(__xludf.DUMMYFUNCTION("GOOGLETRANSLATE(A12627, ""en"", ""mt"")"),"medja ta ’182 miljun")</f>
        <v>medja ta ’182 miljun</v>
      </c>
    </row>
    <row r="12628" ht="15.75" customHeight="1">
      <c r="A12628" s="2" t="s">
        <v>12628</v>
      </c>
      <c r="B12628" s="2" t="str">
        <f>IFERROR(__xludf.DUMMYFUNCTION("GOOGLETRANSLATE(A12628, ""en"", ""mt"")"),"Luther kiteb ""aus tiefer mhux schrei ich zu dir"" (""Mill-fond ta 'gwaj i cry to you"") fl-1523 bħala verżjoni hymnic ta' Salm 130 u bagħatha bħala kampjun biex tħeġġeġ lill-kollegi evanġeliċi biex jiktbu l-innijiet tas-salm għall-użu fi Qima Ġermaniża. "&amp;"F'kollaborazzjoni ma 'Paul Speratus, dan u seba' innijiet oħra ġew ippubblikati f'The Achtliederbuch, l-ewwel innu Luteran. Fl-1524 Luther żviluppa l-parafrażi oriġinali tiegħu ta 'erba' stanza f'innu ta 'riforma ta' ħames stanza li żviluppa t-tema ta '"""&amp;"Grace waħdu"" b'mod aktar sħiħ. Minħabba li esprima d-duttrina ta 'riformazzjoni essenzjali, din il-verżjoni estiża ta' ""Aus Tiefer Not"" ġiet innominata bħala komponent regolari ta 'bosta liturġiji reġjonali tal-Luterani u kienet użata ħafna fil-funeral"&amp;", inkluż Luther's stess. Flimkien mal-verżjoni innu ta 'Erhart Hegenwalt ta' Salm 51, l-innu estiż ta 'Luther ġie adottat ukoll għall-użu mal-ħames parti tal-katekiżmu ta' Luther, li jikkonċerna l-konfessjoni.")</f>
        <v>Luther kiteb "aus tiefer mhux schrei ich zu dir" ("Mill-fond ta 'gwaj i cry to you") fl-1523 bħala verżjoni hymnic ta' Salm 130 u bagħatha bħala kampjun biex tħeġġeġ lill-kollegi evanġeliċi biex jiktbu l-innijiet tas-salm għall-użu fi Qima Ġermaniża. F'kollaborazzjoni ma 'Paul Speratus, dan u seba' innijiet oħra ġew ippubblikati f'The Achtliederbuch, l-ewwel innu Luteran. Fl-1524 Luther żviluppa l-parafrażi oriġinali tiegħu ta 'erba' stanza f'innu ta 'riforma ta' ħames stanza li żviluppa t-tema ta '"Grace waħdu" b'mod aktar sħiħ. Minħabba li esprima d-duttrina ta 'riformazzjoni essenzjali, din il-verżjoni estiża ta' "Aus Tiefer Not" ġiet innominata bħala komponent regolari ta 'bosta liturġiji reġjonali tal-Luterani u kienet użata ħafna fil-funeral, inkluż Luther's stess. Flimkien mal-verżjoni innu ta 'Erhart Hegenwalt ta' Salm 51, l-innu estiż ta 'Luther ġie adottat ukoll għall-użu mal-ħames parti tal-katekiżmu ta' Luther, li jikkonċerna l-konfessjoni.</v>
      </c>
    </row>
    <row r="12629" ht="15.75" customHeight="1">
      <c r="A12629" s="2" t="s">
        <v>12629</v>
      </c>
      <c r="B12629" s="2" t="str">
        <f>IFERROR(__xludf.DUMMYFUNCTION("GOOGLETRANSLATE(A12629, ""en"", ""mt"")"),"Liema replika ntużat għall-introduzzjonijiet tal-plejers?")</f>
        <v>Liema replika ntużat għall-introduzzjonijiet tal-plejers?</v>
      </c>
    </row>
    <row r="12630" ht="15.75" customHeight="1">
      <c r="A12630" s="2" t="s">
        <v>12630</v>
      </c>
      <c r="B12630" s="2" t="str">
        <f>IFERROR(__xludf.DUMMYFUNCTION("GOOGLETRANSLATE(A12630, ""en"", ""mt"")"),"Netwerk Pubbliku Awstraljan X.25")</f>
        <v>Netwerk Pubbliku Awstraljan X.25</v>
      </c>
    </row>
    <row r="12631" ht="15.75" customHeight="1">
      <c r="A12631" s="2" t="s">
        <v>12631</v>
      </c>
      <c r="B12631" s="2" t="str">
        <f>IFERROR(__xludf.DUMMYFUNCTION("GOOGLETRANSLATE(A12631, ""en"", ""mt"")"),"20 miljun sena ilu")</f>
        <v>20 miljun sena ilu</v>
      </c>
    </row>
    <row r="12632" ht="15.75" customHeight="1">
      <c r="A12632" s="2" t="s">
        <v>12632</v>
      </c>
      <c r="B12632" s="2" t="str">
        <f>IFERROR(__xludf.DUMMYFUNCTION("GOOGLETRANSLATE(A12632, ""en"", ""mt"")"),"Djoċli ta 'Carystus")</f>
        <v>Djoċli ta 'Carystus</v>
      </c>
    </row>
    <row r="12633" ht="15.75" customHeight="1">
      <c r="A12633" s="2" t="s">
        <v>12633</v>
      </c>
      <c r="B12633" s="2" t="str">
        <f>IFERROR(__xludf.DUMMYFUNCTION("GOOGLETRANSLATE(A12633, ""en"", ""mt"")"),"L-aċċess jista 'jkun permezz ta' terminal dial-up ma 'kuxxinett, jew, billi jgħaqqad nodu permanenti X.25 man-netwerk")</f>
        <v>L-aċċess jista 'jkun permezz ta' terminal dial-up ma 'kuxxinett, jew, billi jgħaqqad nodu permanenti X.25 man-netwerk</v>
      </c>
    </row>
    <row r="12634" ht="15.75" customHeight="1">
      <c r="A12634" s="2" t="s">
        <v>12634</v>
      </c>
      <c r="B12634" s="2" t="str">
        <f>IFERROR(__xludf.DUMMYFUNCTION("GOOGLETRANSLATE(A12634, ""en"", ""mt"")"),"X'tiftaħ ir-Reġina Eliżabetta II fi Newcastle fl-1981?")</f>
        <v>X'tiftaħ ir-Reġina Eliżabetta II fi Newcastle fl-1981?</v>
      </c>
    </row>
    <row r="12635" ht="15.75" customHeight="1">
      <c r="A12635" s="2" t="s">
        <v>12635</v>
      </c>
      <c r="B12635" s="2" t="str">
        <f>IFERROR(__xludf.DUMMYFUNCTION("GOOGLETRANSLATE(A12635, ""en"", ""mt"")"),"Min kien l-uffiċjal kap eżekuttiv meta beda s-servizz?")</f>
        <v>Min kien l-uffiċjal kap eżekuttiv meta beda s-servizz?</v>
      </c>
    </row>
    <row r="12636" ht="15.75" customHeight="1">
      <c r="A12636" s="2" t="s">
        <v>12636</v>
      </c>
      <c r="B12636" s="2" t="str">
        <f>IFERROR(__xludf.DUMMYFUNCTION("GOOGLETRANSLATE(A12636, ""en"", ""mt"")"),"Quasiturbine")</f>
        <v>Quasiturbine</v>
      </c>
    </row>
    <row r="12637" ht="15.75" customHeight="1">
      <c r="A12637" s="2" t="s">
        <v>12637</v>
      </c>
      <c r="B12637" s="2" t="str">
        <f>IFERROR(__xludf.DUMMYFUNCTION("GOOGLETRANSLATE(A12637, ""en"", ""mt"")"),"1804")</f>
        <v>1804</v>
      </c>
    </row>
    <row r="12638" ht="15.75" customHeight="1">
      <c r="A12638" s="2" t="s">
        <v>12638</v>
      </c>
      <c r="B12638" s="2" t="str">
        <f>IFERROR(__xludf.DUMMYFUNCTION("GOOGLETRANSLATE(A12638, ""en"", ""mt"")"),"Meta Zhu ppubblika 'Jade Mirror tal-Erba' Mhux magħrufa '?")</f>
        <v>Meta Zhu ppubblika 'Jade Mirror tal-Erba' Mhux magħrufa '?</v>
      </c>
    </row>
    <row r="12639" ht="15.75" customHeight="1">
      <c r="A12639" s="2" t="s">
        <v>12639</v>
      </c>
      <c r="B12639" s="2" t="str">
        <f>IFERROR(__xludf.DUMMYFUNCTION("GOOGLETRANSLATE(A12639, ""en"", ""mt"")"),"Fibrożi pulmonari permanenti")</f>
        <v>Fibrożi pulmonari permanenti</v>
      </c>
    </row>
    <row r="12640" ht="15.75" customHeight="1">
      <c r="A12640" s="2" t="s">
        <v>12640</v>
      </c>
      <c r="B12640" s="2" t="str">
        <f>IFERROR(__xludf.DUMMYFUNCTION("GOOGLETRANSLATE(A12640, ""en"", ""mt"")"),"Achtliederbuch")</f>
        <v>Achtliederbuch</v>
      </c>
    </row>
    <row r="12641" ht="15.75" customHeight="1">
      <c r="A12641" s="2" t="s">
        <v>12641</v>
      </c>
      <c r="B12641" s="2" t="str">
        <f>IFERROR(__xludf.DUMMYFUNCTION("GOOGLETRANSLATE(A12641, ""en"", ""mt"")"),"Dwar il-ħin tal-ewwel inżul fl-1969, ġie deċiż li tuża Saturn V eżistenti biex tniedi l-laboratorju orbitali SkyLab mibni minn qabel fuq l-art, li tissostitwixxi l-pjan oriġinali biex tibniha fl-orbita minn diversi tnedijiet ta 'Saturn IB; Dan elimina Apo"&amp;"llo 20. Il-baġit annwali tan-NASA beda wkoll jonqos fid-dawl tal-inżul ta 'suċċess, u n-NASA kellha wkoll tagħmel fondi disponibbli għall-iżvilupp tax-shuttle spazjali li jmiss. Sal-1971, ittieħdet ukoll id-deċiżjoni li tikkanċella wkoll il-Missjonijiet 1"&amp;"8 u 19. Iż-żewġ Saturn Vs mhux użati saru esebiti tal-mużew fiċ-Ċentru Spazjali John F. Kennedy fuq Merritt Island, Florida, George C. Marshall Space Centre fi Huntsville, Alabama, Michoud Assemblea Faċilità fi New Orleans, Louisiana, u Lyndon B. Johnson "&amp;"Space Centre fi Houston, Texas.")</f>
        <v>Dwar il-ħin tal-ewwel inżul fl-1969, ġie deċiż li tuża Saturn V eżistenti biex tniedi l-laboratorju orbitali SkyLab mibni minn qabel fuq l-art, li tissostitwixxi l-pjan oriġinali biex tibniha fl-orbita minn diversi tnedijiet ta 'Saturn IB; Dan elimina Apollo 20. Il-baġit annwali tan-NASA beda wkoll jonqos fid-dawl tal-inżul ta 'suċċess, u n-NASA kellha wkoll tagħmel fondi disponibbli għall-iżvilupp tax-shuttle spazjali li jmiss. Sal-1971, ittieħdet ukoll id-deċiżjoni li tikkanċella wkoll il-Missjonijiet 18 u 19. Iż-żewġ Saturn Vs mhux użati saru esebiti tal-mużew fiċ-Ċentru Spazjali John F. Kennedy fuq Merritt Island, Florida, George C. Marshall Space Centre fi Huntsville, Alabama, Michoud Assemblea Faċilità fi New Orleans, Louisiana, u Lyndon B. Johnson Space Centre fi Houston, Texas.</v>
      </c>
    </row>
    <row r="12642" ht="15.75" customHeight="1">
      <c r="A12642" s="2" t="s">
        <v>12642</v>
      </c>
      <c r="B12642" s="2" t="str">
        <f>IFERROR(__xludf.DUMMYFUNCTION("GOOGLETRANSLATE(A12642, ""en"", ""mt"")"),"l-isfruttament tal-assi u l-provvisti siewja tan-nazzjon li ġie maħkum")</f>
        <v>l-isfruttament tal-assi u l-provvisti siewja tan-nazzjon li ġie maħkum</v>
      </c>
    </row>
    <row r="12643" ht="15.75" customHeight="1">
      <c r="A12643" s="2" t="s">
        <v>12643</v>
      </c>
      <c r="B12643" s="2" t="str">
        <f>IFERROR(__xludf.DUMMYFUNCTION("GOOGLETRANSLATE(A12643, ""en"", ""mt"")"),"Sabiex tikkompeti ma 'CNN, ABC ipproponiet stazzjon ta' aħbarijiet ta '24 siegħa msejjaħ ABC Cable News, bil-pjanijiet li jniedi n-netwerk fl-1995; Madankollu, il-pjan fl-aħħar ikun imkabbar mill-immaniġġjar tal-kumpanija. ABC se jerġa 'jqajjem kunċett bħ"&amp;"al dan f'Lulju 2004 bit-tnedija ta' ABC News Now, stazzjon ta 'aħbarijiet ta' 24 siegħa mqassam għall-wiri fuq l-internet u telefowns ċellulari. Fid-29 ta 'Awwissu, 1994, ABC xtara Flint, Michigan affiljat WJRT-TV u WTVG f'Toledo, Ohio (li qabel kien affi"&amp;"ljat ma' ABC mill-1958 sal-1970) minn SJL Broadcast Management, b'dawn tal-aħħar qalbu għal ABC ladarba l-kuntratt tiegħu ma 'NBC skada Xahrejn wara li x-xiri ġie ffinalizzat fil-bidu tal-1995. Iż-żewġ stazzjonijiet ġew akkwistati bħala pjan ta 'kontinġen"&amp;"za fil-każ li s-CBS laħqet ftehim ta' affiljazzjoni ma 'WXYZ-TV (biex tissostitwixxi WJBK, li qalbu għal Fox bħala riżultat ta' dak il-ftehim ta 'affiljazzjoni tal-grupp ta' dak in-netwerk ma 'New World Communications) sabiex tippermetti lin-netwerk iżomm"&amp;" xi preżenza fuq l-ajru fis-suq ta' Detroit (il-Kumpanija E.W. Scripps u ABC jilħqu ftehim ta 'affiljazzjoni tal-grupp li jiġġedded ftehim ta' affiljazzjoni ma 'WXYZ u WEWS, u jaqleb erba' oħra Stazzjonijiet, inklużi tnejn li l-affiljazzjonijiet tal-volpi"&amp;" tagħhom ġew spostati mill-ftehim tad-Dinja l-Ġdida, man-netwerk).")</f>
        <v>Sabiex tikkompeti ma 'CNN, ABC ipproponiet stazzjon ta' aħbarijiet ta '24 siegħa msejjaħ ABC Cable News, bil-pjanijiet li jniedi n-netwerk fl-1995; Madankollu, il-pjan fl-aħħar ikun imkabbar mill-immaniġġjar tal-kumpanija. ABC se jerġa 'jqajjem kunċett bħal dan f'Lulju 2004 bit-tnedija ta' ABC News Now, stazzjon ta 'aħbarijiet ta' 24 siegħa mqassam għall-wiri fuq l-internet u telefowns ċellulari. Fid-29 ta 'Awwissu, 1994, ABC xtara Flint, Michigan affiljat WJRT-TV u WTVG f'Toledo, Ohio (li qabel kien affiljat ma' ABC mill-1958 sal-1970) minn SJL Broadcast Management, b'dawn tal-aħħar qalbu għal ABC ladarba l-kuntratt tiegħu ma 'NBC skada Xahrejn wara li x-xiri ġie ffinalizzat fil-bidu tal-1995. Iż-żewġ stazzjonijiet ġew akkwistati bħala pjan ta 'kontinġenza fil-każ li s-CBS laħqet ftehim ta' affiljazzjoni ma 'WXYZ-TV (biex tissostitwixxi WJBK, li qalbu għal Fox bħala riżultat ta' dak il-ftehim ta 'affiljazzjoni tal-grupp ta' dak in-netwerk ma 'New World Communications) sabiex tippermetti lin-netwerk iżomm xi preżenza fuq l-ajru fis-suq ta' Detroit (il-Kumpanija E.W. Scripps u ABC jilħqu ftehim ta 'affiljazzjoni tal-grupp li jiġġedded ftehim ta' affiljazzjoni ma 'WXYZ u WEWS, u jaqleb erba' oħra Stazzjonijiet, inklużi tnejn li l-affiljazzjonijiet tal-volpi tagħhom ġew spostati mill-ftehim tad-Dinja l-Ġdida, man-netwerk).</v>
      </c>
    </row>
    <row r="12644" ht="15.75" customHeight="1">
      <c r="A12644" s="2" t="s">
        <v>12644</v>
      </c>
      <c r="B12644" s="2" t="str">
        <f>IFERROR(__xludf.DUMMYFUNCTION("GOOGLETRANSLATE(A12644, ""en"", ""mt"")"),"Cobb, Shepley, Rutan u Coolidge, Holabird &amp; Roche, u ditti arkitettoniċi oħra")</f>
        <v>Cobb, Shepley, Rutan u Coolidge, Holabird &amp; Roche, u ditti arkitettoniċi oħra</v>
      </c>
    </row>
    <row r="12645" ht="15.75" customHeight="1">
      <c r="A12645" s="2" t="s">
        <v>12645</v>
      </c>
      <c r="B12645" s="2" t="str">
        <f>IFERROR(__xludf.DUMMYFUNCTION("GOOGLETRANSLATE(A12645, ""en"", ""mt"")"),"X'kien l-isem Ċiniż għas-Segretarjat Ċentrali?")</f>
        <v>X'kien l-isem Ċiniż għas-Segretarjat Ċentrali?</v>
      </c>
    </row>
    <row r="12646" ht="15.75" customHeight="1">
      <c r="A12646" s="2" t="s">
        <v>12646</v>
      </c>
      <c r="B12646" s="2" t="str">
        <f>IFERROR(__xludf.DUMMYFUNCTION("GOOGLETRANSLATE(A12646, ""en"", ""mt"")"),"Aktar fil-preżent il-prevalenza tad-diżubbidjenza ċivili daret u qalet li hi?")</f>
        <v>Aktar fil-preżent il-prevalenza tad-diżubbidjenza ċivili daret u qalet li hi?</v>
      </c>
    </row>
    <row r="12647" ht="15.75" customHeight="1">
      <c r="A12647" s="2" t="s">
        <v>12647</v>
      </c>
      <c r="B12647" s="2" t="str">
        <f>IFERROR(__xludf.DUMMYFUNCTION("GOOGLETRANSLATE(A12647, ""en"", ""mt"")"),"Smith u Jones")</f>
        <v>Smith u Jones</v>
      </c>
    </row>
    <row r="12648" ht="15.75" customHeight="1">
      <c r="A12648" s="2" t="s">
        <v>12648</v>
      </c>
      <c r="B12648" s="2" t="str">
        <f>IFERROR(__xludf.DUMMYFUNCTION("GOOGLETRANSLATE(A12648, ""en"", ""mt"")"),"Netwerk tal-kompjuter iffinanzjat mill-Fondazzjoni Nazzjonali tax-Xjenza tal-Istati Uniti (NSF)")</f>
        <v>Netwerk tal-kompjuter iffinanzjat mill-Fondazzjoni Nazzjonali tax-Xjenza tal-Istati Uniti (NSF)</v>
      </c>
    </row>
    <row r="12649" ht="15.75" customHeight="1">
      <c r="A12649" s="2" t="s">
        <v>12649</v>
      </c>
      <c r="B12649" s="2" t="str">
        <f>IFERROR(__xludf.DUMMYFUNCTION("GOOGLETRANSLATE(A12649, ""en"", ""mt"")"),"Fl-istess ħin huwa għamel tentattivi biex jgħin jikber ABC, Goldenson kien ilu jipprova minn nofs l-1953 biex jipprovdi kontenut għan-netwerk billi kkuntattja lill-konoxxenti antiki tiegħu f'Hollywood, li miegħu kien ħadem meta l-UPT kien sussidjarja ta '"&amp;"Paramount Pictures. L-għaqda ta 'ABC ma' UPT wasslet għall-ħolqien ta 'relazzjonijiet ma' l-istudjows ta 'produzzjoni ta' films ta 'Hollywood, li kisser kwarantina li kienet teżisti f'dak iż-żmien bejn il-film u t-televiżjoni, li l-aħħar li qabel kienet a"&amp;"ktar konnessa mar-radju. Il-produzzjonijiet ewlenin tal-ABC dak iż-żmien kienu l-Lone Ranger, ibbażat fuq il-programm tar-radju tal-istess titlu, u l-avventuri ta 'Ozzie u Harriet, li l-aħħar minnhom (fi 13-il staġun, li jmorru mill-1952 sal-1965) kellhom"&amp;" ir-rekord għall-itwal Il-kummiedja ta 'l-ewwel ħin fl-istorja tat-televiżjoni ta' l-Istati Uniti, sakemm inqabżet minn The Simpsons fl-2002.")</f>
        <v>Fl-istess ħin huwa għamel tentattivi biex jgħin jikber ABC, Goldenson kien ilu jipprova minn nofs l-1953 biex jipprovdi kontenut għan-netwerk billi kkuntattja lill-konoxxenti antiki tiegħu f'Hollywood, li miegħu kien ħadem meta l-UPT kien sussidjarja ta 'Paramount Pictures. L-għaqda ta 'ABC ma' UPT wasslet għall-ħolqien ta 'relazzjonijiet ma' l-istudjows ta 'produzzjoni ta' films ta 'Hollywood, li kisser kwarantina li kienet teżisti f'dak iż-żmien bejn il-film u t-televiżjoni, li l-aħħar li qabel kienet aktar konnessa mar-radju. Il-produzzjonijiet ewlenin tal-ABC dak iż-żmien kienu l-Lone Ranger, ibbażat fuq il-programm tar-radju tal-istess titlu, u l-avventuri ta 'Ozzie u Harriet, li l-aħħar minnhom (fi 13-il staġun, li jmorru mill-1952 sal-1965) kellhom ir-rekord għall-itwal Il-kummiedja ta 'l-ewwel ħin fl-istorja tat-televiżjoni ta' l-Istati Uniti, sakemm inqabżet minn The Simpsons fl-2002.</v>
      </c>
    </row>
    <row r="12650" ht="15.75" customHeight="1">
      <c r="A12650" s="2" t="s">
        <v>12650</v>
      </c>
      <c r="B12650" s="2" t="str">
        <f>IFERROR(__xludf.DUMMYFUNCTION("GOOGLETRANSLATE(A12650, ""en"", ""mt"")"),"Matul il-kunflitt Iżrael-Liban tal-2006")</f>
        <v>Matul il-kunflitt Iżrael-Liban tal-2006</v>
      </c>
    </row>
    <row r="12651" ht="15.75" customHeight="1">
      <c r="A12651" s="2" t="s">
        <v>12651</v>
      </c>
      <c r="B12651" s="2" t="str">
        <f>IFERROR(__xludf.DUMMYFUNCTION("GOOGLETRANSLATE(A12651, ""en"", ""mt"")"),"Għal xiex ġie arrestat Joseph Haas?")</f>
        <v>Għal xiex ġie arrestat Joseph Haas?</v>
      </c>
    </row>
    <row r="12652" ht="15.75" customHeight="1">
      <c r="A12652" s="2" t="s">
        <v>12652</v>
      </c>
      <c r="B12652" s="2" t="str">
        <f>IFERROR(__xludf.DUMMYFUNCTION("GOOGLETRANSLATE(A12652, ""en"", ""mt"")"),"31–24")</f>
        <v>31–24</v>
      </c>
    </row>
    <row r="12653" ht="15.75" customHeight="1">
      <c r="A12653" s="2" t="s">
        <v>12653</v>
      </c>
      <c r="B12653" s="2" t="str">
        <f>IFERROR(__xludf.DUMMYFUNCTION("GOOGLETRANSLATE(A12653, ""en"", ""mt"")"),"Kemm hemm skejjel iffinanzjati mill-LEA 11 sa 18-il skola fi Newcastle?")</f>
        <v>Kemm hemm skejjel iffinanzjati mill-LEA 11 sa 18-il skola fi Newcastle?</v>
      </c>
    </row>
    <row r="12654" ht="15.75" customHeight="1">
      <c r="A12654" s="2" t="s">
        <v>12654</v>
      </c>
      <c r="B12654" s="2" t="str">
        <f>IFERROR(__xludf.DUMMYFUNCTION("GOOGLETRANSLATE(A12654, ""en"", ""mt"")"),"ABC xtrat 20 acres ta 'art f'Hollwood fl-1949 li saret liema studio?")</f>
        <v>ABC xtrat 20 acres ta 'art f'Hollwood fl-1949 li saret liema studio?</v>
      </c>
    </row>
    <row r="12655" ht="15.75" customHeight="1">
      <c r="A12655" s="2" t="s">
        <v>12655</v>
      </c>
      <c r="B12655" s="2" t="str">
        <f>IFERROR(__xludf.DUMMYFUNCTION("GOOGLETRANSLATE(A12655, ""en"", ""mt"")"),"75% tal-forza tax-xogħol")</f>
        <v>75% tal-forza tax-xogħol</v>
      </c>
    </row>
    <row r="12656" ht="15.75" customHeight="1">
      <c r="A12656" s="2" t="s">
        <v>12656</v>
      </c>
      <c r="B12656" s="2" t="str">
        <f>IFERROR(__xludf.DUMMYFUNCTION("GOOGLETRANSLATE(A12656, ""en"", ""mt"")"),"720 pied")</f>
        <v>720 pied</v>
      </c>
    </row>
    <row r="12657" ht="15.75" customHeight="1">
      <c r="A12657" s="2" t="s">
        <v>12657</v>
      </c>
      <c r="B12657" s="2" t="str">
        <f>IFERROR(__xludf.DUMMYFUNCTION("GOOGLETRANSLATE(A12657, ""en"", ""mt"")"),"Kif bdew it-trattati tal-prinċipju li jiffurmaw l-Unjoni Ewropea?")</f>
        <v>Kif bdew it-trattati tal-prinċipju li jiffurmaw l-Unjoni Ewropea?</v>
      </c>
    </row>
    <row r="12658" ht="15.75" customHeight="1">
      <c r="A12658" s="2" t="s">
        <v>12658</v>
      </c>
      <c r="B12658" s="2" t="str">
        <f>IFERROR(__xludf.DUMMYFUNCTION("GOOGLETRANSLATE(A12658, ""en"", ""mt"")"),"Il-problema tal-isomorfiżmu graff")</f>
        <v>Il-problema tal-isomorfiżmu graff</v>
      </c>
    </row>
    <row r="12659" ht="15.75" customHeight="1">
      <c r="A12659" s="2" t="s">
        <v>12659</v>
      </c>
      <c r="B12659" s="2" t="str">
        <f>IFERROR(__xludf.DUMMYFUNCTION("GOOGLETRANSLATE(A12659, ""en"", ""mt"")"),"Għaliex iż-żejt beda jiġi pprezzat f'termini ta 'deheb?")</f>
        <v>Għaliex iż-żejt beda jiġi pprezzat f'termini ta 'deheb?</v>
      </c>
    </row>
    <row r="12660" ht="15.75" customHeight="1">
      <c r="A12660" s="2" t="s">
        <v>12660</v>
      </c>
      <c r="B12660" s="2" t="str">
        <f>IFERROR(__xludf.DUMMYFUNCTION("GOOGLETRANSLATE(A12660, ""en"", ""mt"")"),"konfrontazzjonali")</f>
        <v>konfrontazzjonali</v>
      </c>
    </row>
    <row r="12661" ht="15.75" customHeight="1">
      <c r="A12661" s="2" t="s">
        <v>12661</v>
      </c>
      <c r="B12661" s="2" t="str">
        <f>IFERROR(__xludf.DUMMYFUNCTION("GOOGLETRANSLATE(A12661, ""en"", ""mt"")"),"3 miljun")</f>
        <v>3 miljun</v>
      </c>
    </row>
    <row r="12662" ht="15.75" customHeight="1">
      <c r="A12662" s="2" t="s">
        <v>12662</v>
      </c>
      <c r="B12662" s="2" t="str">
        <f>IFERROR(__xludf.DUMMYFUNCTION("GOOGLETRANSLATE(A12662, ""en"", ""mt"")"),"Lag ta ’fuq")</f>
        <v>Lag ta ’fuq</v>
      </c>
    </row>
    <row r="12663" ht="15.75" customHeight="1">
      <c r="A12663" s="2" t="s">
        <v>12663</v>
      </c>
      <c r="B12663" s="2" t="str">
        <f>IFERROR(__xludf.DUMMYFUNCTION("GOOGLETRANSLATE(A12663, ""en"", ""mt"")"),"Jackpot tal-Lega tad-Deheb IAAF")</f>
        <v>Jackpot tal-Lega tad-Deheb IAAF</v>
      </c>
    </row>
    <row r="12664" ht="15.75" customHeight="1">
      <c r="A12664" s="2" t="s">
        <v>12664</v>
      </c>
      <c r="B12664" s="2" t="str">
        <f>IFERROR(__xludf.DUMMYFUNCTION("GOOGLETRANSLATE(A12664, ""en"", ""mt"")"),"Ilmijiet tal-baħar madwar id-dinja.")</f>
        <v>Ilmijiet tal-baħar madwar id-dinja.</v>
      </c>
    </row>
    <row r="12665" ht="15.75" customHeight="1">
      <c r="A12665" s="2" t="s">
        <v>12665</v>
      </c>
      <c r="B12665" s="2" t="str">
        <f>IFERROR(__xludf.DUMMYFUNCTION("GOOGLETRANSLATE(A12665, ""en"", ""mt"")"),"Ix-Xmara Deabolis")</f>
        <v>Ix-Xmara Deabolis</v>
      </c>
    </row>
    <row r="12666" ht="15.75" customHeight="1">
      <c r="A12666" s="2" t="s">
        <v>12666</v>
      </c>
      <c r="B12666" s="2" t="str">
        <f>IFERROR(__xludf.DUMMYFUNCTION("GOOGLETRANSLATE(A12666, ""en"", ""mt"")"),"konferenzi")</f>
        <v>konferenzi</v>
      </c>
    </row>
    <row r="12667" ht="15.75" customHeight="1">
      <c r="A12667" s="2" t="s">
        <v>12667</v>
      </c>
      <c r="B12667" s="2" t="str">
        <f>IFERROR(__xludf.DUMMYFUNCTION("GOOGLETRANSLATE(A12667, ""en"", ""mt"")"),"Pierre Bayle")</f>
        <v>Pierre Bayle</v>
      </c>
    </row>
    <row r="12668" ht="15.75" customHeight="1">
      <c r="A12668" s="2" t="s">
        <v>12668</v>
      </c>
      <c r="B12668" s="2" t="str">
        <f>IFERROR(__xludf.DUMMYFUNCTION("GOOGLETRANSLATE(A12668, ""en"", ""mt"")"),"F'liema data ġiet iddikjarata Victoria indipendenti minn New South Wales?")</f>
        <v>F'liema data ġiet iddikjarata Victoria indipendenti minn New South Wales?</v>
      </c>
    </row>
    <row r="12669" ht="15.75" customHeight="1">
      <c r="A12669" s="2" t="s">
        <v>12669</v>
      </c>
      <c r="B12669" s="2" t="str">
        <f>IFERROR(__xludf.DUMMYFUNCTION("GOOGLETRANSLATE(A12669, ""en"", ""mt"")"),"Min organizza s-siġar tal-Amażonja f'erba 'kategoriji?")</f>
        <v>Min organizza s-siġar tal-Amażonja f'erba 'kategoriji?</v>
      </c>
    </row>
    <row r="12670" ht="15.75" customHeight="1">
      <c r="A12670" s="2" t="s">
        <v>12670</v>
      </c>
      <c r="B12670" s="2" t="str">
        <f>IFERROR(__xludf.DUMMYFUNCTION("GOOGLETRANSLATE(A12670, ""en"", ""mt"")"),"Min ġeneralment huwa meqjus fuq l-istess livell bħal tobba, avukati, inġiniera, u accountants (chartered jew CPA)?")</f>
        <v>Min ġeneralment huwa meqjus fuq l-istess livell bħal tobba, avukati, inġiniera, u accountants (chartered jew CPA)?</v>
      </c>
    </row>
    <row r="12671" ht="15.75" customHeight="1">
      <c r="A12671" s="2" t="s">
        <v>12671</v>
      </c>
      <c r="B12671" s="2" t="str">
        <f>IFERROR(__xludf.DUMMYFUNCTION("GOOGLETRANSLATE(A12671, ""en"", ""mt"")"),"Skond it-teorija tal-konċentrazzjoni tal-ġid, liema vantaġġ għandhom is-sinjur fl-akkumulazzjoni ta 'ġid ġdid?")</f>
        <v>Skond it-teorija tal-konċentrazzjoni tal-ġid, liema vantaġġ għandhom is-sinjur fl-akkumulazzjoni ta 'ġid ġdid?</v>
      </c>
    </row>
    <row r="12672" ht="15.75" customHeight="1">
      <c r="A12672" s="2" t="s">
        <v>12672</v>
      </c>
      <c r="B12672" s="2" t="str">
        <f>IFERROR(__xludf.DUMMYFUNCTION("GOOGLETRANSLATE(A12672, ""en"", ""mt"")"),"Fejn għexu l-kolonizzaturi Ingliżi?")</f>
        <v>Fejn għexu l-kolonizzaturi Ingliżi?</v>
      </c>
    </row>
    <row r="12673" ht="15.75" customHeight="1">
      <c r="A12673" s="2" t="s">
        <v>12673</v>
      </c>
      <c r="B12673" s="2" t="str">
        <f>IFERROR(__xludf.DUMMYFUNCTION("GOOGLETRANSLATE(A12673, ""en"", ""mt"")"),"il-kisi tat-turbina")</f>
        <v>il-kisi tat-turbina</v>
      </c>
    </row>
    <row r="12674" ht="15.75" customHeight="1">
      <c r="A12674" s="2" t="s">
        <v>12674</v>
      </c>
      <c r="B12674" s="2" t="str">
        <f>IFERROR(__xludf.DUMMYFUNCTION("GOOGLETRANSLATE(A12674, ""en"", ""mt"")"),"Densità għolja")</f>
        <v>Densità għolja</v>
      </c>
    </row>
    <row r="12675" ht="15.75" customHeight="1">
      <c r="A12675" s="2" t="s">
        <v>12675</v>
      </c>
      <c r="B12675" s="2" t="str">
        <f>IFERROR(__xludf.DUMMYFUNCTION("GOOGLETRANSLATE(A12675, ""en"", ""mt"")"),"Fiċ-Ċina, din il-persuna dedotta li l-art kienet iffurmata mill-erożjoni tal-muntanji u mid-deposizzjoni tal-ħama, x’kien ismu?")</f>
        <v>Fiċ-Ċina, din il-persuna dedotta li l-art kienet iffurmata mill-erożjoni tal-muntanji u mid-deposizzjoni tal-ħama, x’kien ismu?</v>
      </c>
    </row>
    <row r="12676" ht="15.75" customHeight="1">
      <c r="A12676" s="2" t="s">
        <v>12676</v>
      </c>
      <c r="B12676" s="2" t="str">
        <f>IFERROR(__xludf.DUMMYFUNCTION("GOOGLETRANSLATE(A12676, ""en"", ""mt"")"),"Richard E. Grant")</f>
        <v>Richard E. Grant</v>
      </c>
    </row>
    <row r="12677" ht="15.75" customHeight="1">
      <c r="A12677" s="2" t="s">
        <v>12677</v>
      </c>
      <c r="B12677" s="2" t="str">
        <f>IFERROR(__xludf.DUMMYFUNCTION("GOOGLETRANSLATE(A12677, ""en"", ""mt"")"),"Tesla x’sejjaħ l-effetti elettriċi tiegħu fl-1893?")</f>
        <v>Tesla x’sejjaħ l-effetti elettriċi tiegħu fl-1893?</v>
      </c>
    </row>
    <row r="12678" ht="15.75" customHeight="1">
      <c r="A12678" s="2" t="s">
        <v>12678</v>
      </c>
      <c r="B12678" s="2" t="str">
        <f>IFERROR(__xludf.DUMMYFUNCTION("GOOGLETRANSLATE(A12678, ""en"", ""mt"")"),"Liema diffikultajiet kien qed ikollu Shirly?")</f>
        <v>Liema diffikultajiet kien qed ikollu Shirly?</v>
      </c>
    </row>
    <row r="12679" ht="15.75" customHeight="1">
      <c r="A12679" s="2" t="s">
        <v>12679</v>
      </c>
      <c r="B12679" s="2" t="str">
        <f>IFERROR(__xludf.DUMMYFUNCTION("GOOGLETRANSLATE(A12679, ""en"", ""mt"")"),"aċidu gastriku")</f>
        <v>aċidu gastriku</v>
      </c>
    </row>
    <row r="12680" ht="15.75" customHeight="1">
      <c r="A12680" s="2" t="s">
        <v>12680</v>
      </c>
      <c r="B12680" s="2" t="str">
        <f>IFERROR(__xludf.DUMMYFUNCTION("GOOGLETRANSLATE(A12680, ""en"", ""mt"")"),"Drogi ċitotossiċi")</f>
        <v>Drogi ċitotossiċi</v>
      </c>
    </row>
    <row r="12681" ht="15.75" customHeight="1">
      <c r="A12681" s="2" t="s">
        <v>12681</v>
      </c>
      <c r="B12681" s="2" t="str">
        <f>IFERROR(__xludf.DUMMYFUNCTION("GOOGLETRANSLATE(A12681, ""en"", ""mt"")"),"tul in-nofs")</f>
        <v>tul in-nofs</v>
      </c>
    </row>
    <row r="12682" ht="15.75" customHeight="1">
      <c r="A12682" s="2" t="s">
        <v>12682</v>
      </c>
      <c r="B12682" s="2" t="str">
        <f>IFERROR(__xludf.DUMMYFUNCTION("GOOGLETRANSLATE(A12682, ""en"", ""mt"")"),"874.3 mil kwadru")</f>
        <v>874.3 mil kwadru</v>
      </c>
    </row>
    <row r="12683" ht="15.75" customHeight="1">
      <c r="A12683" s="2" t="s">
        <v>12683</v>
      </c>
      <c r="B12683" s="2" t="str">
        <f>IFERROR(__xludf.DUMMYFUNCTION("GOOGLETRANSLATE(A12683, ""en"", ""mt"")"),"Università Santa Clara")</f>
        <v>Università Santa Clara</v>
      </c>
    </row>
    <row r="12684" ht="15.75" customHeight="1">
      <c r="A12684" s="2" t="s">
        <v>12684</v>
      </c>
      <c r="B12684" s="2" t="str">
        <f>IFERROR(__xludf.DUMMYFUNCTION("GOOGLETRANSLATE(A12684, ""en"", ""mt"")"),"Distrett ta 'Brompton tar-Royal Borough ta' Kensington u Chelsea")</f>
        <v>Distrett ta 'Brompton tar-Royal Borough ta' Kensington u Chelsea</v>
      </c>
    </row>
    <row r="12685" ht="15.75" customHeight="1">
      <c r="A12685" s="2" t="s">
        <v>12685</v>
      </c>
      <c r="B12685" s="2" t="str">
        <f>IFERROR(__xludf.DUMMYFUNCTION("GOOGLETRANSLATE(A12685, ""en"", ""mt"")"),"L-istrumenti mużikali tal-Punent ġew introdotti biex jarrikkixxu l-arti tal-ispettaklu Ċiniżi. Minn dan il-perjodu tmur il-konverżjoni għall-Iżlam, mill-Musulmani tal-Asja Ċentrali, ta 'numru dejjem jikber ta' Ċiniżi fil-majjistral u fil-Lbiċ. In-Nestorij"&amp;"iżmu u l-Kattoliċiżmu Ruman gawdew ukoll perjodu ta ’tolleranza. Il-Buddiżmu (speċjalment il-Buddiżmu Tibetan) iffjorixxa, għalkemm it-Taoiżmu ġarrab ċerti persekuzzjonijiet favur il-Buddiżmu mill-gvern tal-Yuan. Prattiki governattivi Confucian u eżamijie"&amp;"t ibbażati fuq il-klassiċi, li ma waqgħux fl-użu fit-tramuntana taċ-Ċina matul il-perjodu ta 'diżunità, reġgħu ġew imdaħħla mill-qorti tal-Yuan, probabbilment bit-tama li żżomm l-ordni fuq is-soċjetà Han. L-avvanzi ġew realizzati fl-oqsma tal-letteratura "&amp;"tal-ivvjaġġar, il-kartografija, il-ġeografija, u l-edukazzjoni xjentifika.")</f>
        <v>L-istrumenti mużikali tal-Punent ġew introdotti biex jarrikkixxu l-arti tal-ispettaklu Ċiniżi. Minn dan il-perjodu tmur il-konverżjoni għall-Iżlam, mill-Musulmani tal-Asja Ċentrali, ta 'numru dejjem jikber ta' Ċiniżi fil-majjistral u fil-Lbiċ. In-Nestorijiżmu u l-Kattoliċiżmu Ruman gawdew ukoll perjodu ta ’tolleranza. Il-Buddiżmu (speċjalment il-Buddiżmu Tibetan) iffjorixxa, għalkemm it-Taoiżmu ġarrab ċerti persekuzzjonijiet favur il-Buddiżmu mill-gvern tal-Yuan. Prattiki governattivi Confucian u eżamijiet ibbażati fuq il-klassiċi, li ma waqgħux fl-użu fit-tramuntana taċ-Ċina matul il-perjodu ta 'diżunità, reġgħu ġew imdaħħla mill-qorti tal-Yuan, probabbilment bit-tama li żżomm l-ordni fuq is-soċjetà Han. L-avvanzi ġew realizzati fl-oqsma tal-letteratura tal-ivvjaġġar, il-kartografija, il-ġeografija, u l-edukazzjoni xjentifika.</v>
      </c>
    </row>
    <row r="12686" ht="15.75" customHeight="1">
      <c r="A12686" s="2" t="s">
        <v>12686</v>
      </c>
      <c r="B12686" s="2" t="str">
        <f>IFERROR(__xludf.DUMMYFUNCTION("GOOGLETRANSLATE(A12686, ""en"", ""mt"")"),"molekuli awto")</f>
        <v>molekuli awto</v>
      </c>
    </row>
    <row r="12687" ht="15.75" customHeight="1">
      <c r="A12687" s="2" t="s">
        <v>12687</v>
      </c>
      <c r="B12687" s="2" t="str">
        <f>IFERROR(__xludf.DUMMYFUNCTION("GOOGLETRANSLATE(A12687, ""en"", ""mt"")"),"Issottometti l-kastig preskritt mil-liġi")</f>
        <v>Issottometti l-kastig preskritt mil-liġi</v>
      </c>
    </row>
    <row r="12688" ht="15.75" customHeight="1">
      <c r="A12688" s="2" t="s">
        <v>12688</v>
      </c>
      <c r="B12688" s="2" t="str">
        <f>IFERROR(__xludf.DUMMYFUNCTION("GOOGLETRANSLATE(A12688, ""en"", ""mt"")"),"X’għandu isimha għall-programm tat-televiżjoni tal-mużika tas-snin 1980 ""The Tube""?")</f>
        <v>X’għandu isimha għall-programm tat-televiżjoni tal-mużika tas-snin 1980 "The Tube"?</v>
      </c>
    </row>
    <row r="12689" ht="15.75" customHeight="1">
      <c r="A12689" s="2" t="s">
        <v>12689</v>
      </c>
      <c r="B12689" s="2" t="str">
        <f>IFERROR(__xludf.DUMMYFUNCTION("GOOGLETRANSLATE(A12689, ""en"", ""mt"")"),"arresta lil Luther")</f>
        <v>arresta lil Luther</v>
      </c>
    </row>
    <row r="12690" ht="15.75" customHeight="1">
      <c r="A12690" s="2" t="s">
        <v>12690</v>
      </c>
      <c r="B12690" s="2" t="str">
        <f>IFERROR(__xludf.DUMMYFUNCTION("GOOGLETRANSLATE(A12690, ""en"", ""mt"")"),"Aktar minn 2,")</f>
        <v>Aktar minn 2,</v>
      </c>
    </row>
    <row r="12691" ht="15.75" customHeight="1">
      <c r="A12691" s="2" t="s">
        <v>12691</v>
      </c>
      <c r="B12691" s="2" t="str">
        <f>IFERROR(__xludf.DUMMYFUNCTION("GOOGLETRANSLATE(A12691, ""en"", ""mt"")"),"Liema pożizzjoni kellha Tesla fl-Uffiċċju Ċentrali tat-Telegrafu?")</f>
        <v>Liema pożizzjoni kellha Tesla fl-Uffiċċju Ċentrali tat-Telegrafu?</v>
      </c>
    </row>
    <row r="12692" ht="15.75" customHeight="1">
      <c r="A12692" s="2" t="s">
        <v>12692</v>
      </c>
      <c r="B12692" s="2" t="str">
        <f>IFERROR(__xludf.DUMMYFUNCTION("GOOGLETRANSLATE(A12692, ""en"", ""mt"")"),"Liema żewġ qrati japplikaw il-liġi tal-Unjoni Ewropea?")</f>
        <v>Liema żewġ qrati japplikaw il-liġi tal-Unjoni Ewropea?</v>
      </c>
    </row>
    <row r="12693" ht="15.75" customHeight="1">
      <c r="A12693" s="2" t="s">
        <v>12693</v>
      </c>
      <c r="B12693" s="2" t="str">
        <f>IFERROR(__xludf.DUMMYFUNCTION("GOOGLETRANSLATE(A12693, ""en"", ""mt"")"),"""Semi-Legali""")</f>
        <v>"Semi-Legali"</v>
      </c>
    </row>
    <row r="12694" ht="15.75" customHeight="1">
      <c r="A12694" s="2" t="s">
        <v>12694</v>
      </c>
      <c r="B12694" s="2" t="str">
        <f>IFERROR(__xludf.DUMMYFUNCTION("GOOGLETRANSLATE(A12694, ""en"", ""mt"")"),"Staten Island")</f>
        <v>Staten Island</v>
      </c>
    </row>
    <row r="12695" ht="15.75" customHeight="1">
      <c r="A12695" s="2" t="s">
        <v>12695</v>
      </c>
      <c r="B12695" s="2" t="str">
        <f>IFERROR(__xludf.DUMMYFUNCTION("GOOGLETRANSLATE(A12695, ""en"", ""mt"")"),"Min hu magħruf bħala l-missier tal-Ferroviji tal-Fwar moderni?")</f>
        <v>Min hu magħruf bħala l-missier tal-Ferroviji tal-Fwar moderni?</v>
      </c>
    </row>
    <row r="12696" ht="15.75" customHeight="1">
      <c r="A12696" s="2" t="s">
        <v>12696</v>
      </c>
      <c r="B12696" s="2" t="str">
        <f>IFERROR(__xludf.DUMMYFUNCTION("GOOGLETRANSLATE(A12696, ""en"", ""mt"")"),"79 libreriji individwali")</f>
        <v>79 libreriji individwali</v>
      </c>
    </row>
    <row r="12697" ht="15.75" customHeight="1">
      <c r="A12697" s="2" t="s">
        <v>12697</v>
      </c>
      <c r="B12697" s="2" t="str">
        <f>IFERROR(__xludf.DUMMYFUNCTION("GOOGLETRANSLATE(A12697, ""en"", ""mt"")"),"Aktar minn $ 40 miljun")</f>
        <v>Aktar minn $ 40 miljun</v>
      </c>
    </row>
    <row r="12698" ht="15.75" customHeight="1">
      <c r="A12698" s="2" t="s">
        <v>12698</v>
      </c>
      <c r="B12698" s="2" t="str">
        <f>IFERROR(__xludf.DUMMYFUNCTION("GOOGLETRANSLATE(A12698, ""en"", ""mt"")"),"Min iddikjara li l-isem Black Death deher l-ewwel fl-1631?")</f>
        <v>Min iddikjara li l-isem Black Death deher l-ewwel fl-1631?</v>
      </c>
    </row>
    <row r="12699" ht="15.75" customHeight="1">
      <c r="A12699" s="2" t="s">
        <v>12699</v>
      </c>
      <c r="B12699" s="2" t="str">
        <f>IFERROR(__xludf.DUMMYFUNCTION("GOOGLETRANSLATE(A12699, ""en"", ""mt"")"),"Meta Zwilling u Karistadt saru attivi f'Wittenberg?")</f>
        <v>Meta Zwilling u Karistadt saru attivi f'Wittenberg?</v>
      </c>
    </row>
    <row r="12700" ht="15.75" customHeight="1">
      <c r="A12700" s="2" t="s">
        <v>12700</v>
      </c>
      <c r="B12700" s="2" t="str">
        <f>IFERROR(__xludf.DUMMYFUNCTION("GOOGLETRANSLATE(A12700, ""en"", ""mt"")"),"X'inhuma xi kultant preżenti fil-kuruna tal-firebox tal-bojler?")</f>
        <v>X'inhuma xi kultant preżenti fil-kuruna tal-firebox tal-bojler?</v>
      </c>
    </row>
    <row r="12701" ht="15.75" customHeight="1">
      <c r="A12701" s="2" t="s">
        <v>12701</v>
      </c>
      <c r="B12701" s="2" t="str">
        <f>IFERROR(__xludf.DUMMYFUNCTION("GOOGLETRANSLATE(A12701, ""en"", ""mt"")"),"Algoritmu")</f>
        <v>Algoritmu</v>
      </c>
    </row>
    <row r="12702" ht="15.75" customHeight="1">
      <c r="A12702" s="2" t="s">
        <v>12702</v>
      </c>
      <c r="B12702" s="2" t="str">
        <f>IFERROR(__xludf.DUMMYFUNCTION("GOOGLETRANSLATE(A12702, ""en"", ""mt"")"),"Akkademja tax-Xjenzi Pollakka")</f>
        <v>Akkademja tax-Xjenzi Pollakka</v>
      </c>
    </row>
    <row r="12703" ht="15.75" customHeight="1">
      <c r="A12703" s="2" t="s">
        <v>12703</v>
      </c>
      <c r="B12703" s="2" t="str">
        <f>IFERROR(__xludf.DUMMYFUNCTION("GOOGLETRANSLATE(A12703, ""en"", ""mt"")"),"Pieper")</f>
        <v>Pieper</v>
      </c>
    </row>
    <row r="12704" ht="15.75" customHeight="1">
      <c r="A12704" s="2" t="s">
        <v>12704</v>
      </c>
      <c r="B12704" s="2" t="str">
        <f>IFERROR(__xludf.DUMMYFUNCTION("GOOGLETRANSLATE(A12704, ""en"", ""mt"")"),"X'tip ta 'motivaturi huma kkunsidrati ikel u kenn?")</f>
        <v>X'tip ta 'motivaturi huma kkunsidrati ikel u kenn?</v>
      </c>
    </row>
    <row r="12705" ht="15.75" customHeight="1">
      <c r="A12705" s="2" t="s">
        <v>12705</v>
      </c>
      <c r="B12705" s="2" t="str">
        <f>IFERROR(__xludf.DUMMYFUNCTION("GOOGLETRANSLATE(A12705, ""en"", ""mt"")"),"Kemm stazzjonijiet kellhom Boston fl-1952?")</f>
        <v>Kemm stazzjonijiet kellhom Boston fl-1952?</v>
      </c>
    </row>
    <row r="12706" ht="15.75" customHeight="1">
      <c r="A12706" s="2" t="s">
        <v>12706</v>
      </c>
      <c r="B12706" s="2" t="str">
        <f>IFERROR(__xludf.DUMMYFUNCTION("GOOGLETRANSLATE(A12706, ""en"", ""mt"")"),"Liema kanal ippropona ABC biex jikkompeti mal-kumpanija tal-aħbarijiet tal-kejbil CNN?")</f>
        <v>Liema kanal ippropona ABC biex jikkompeti mal-kumpanija tal-aħbarijiet tal-kejbil CNN?</v>
      </c>
    </row>
    <row r="12707" ht="15.75" customHeight="1">
      <c r="A12707" s="2" t="s">
        <v>12707</v>
      </c>
      <c r="B12707" s="2" t="str">
        <f>IFERROR(__xludf.DUMMYFUNCTION("GOOGLETRANSLATE(A12707, ""en"", ""mt"")"),"ħoss każwali")</f>
        <v>ħoss każwali</v>
      </c>
    </row>
    <row r="12708" ht="15.75" customHeight="1">
      <c r="A12708" s="2" t="s">
        <v>12708</v>
      </c>
      <c r="B12708" s="2" t="str">
        <f>IFERROR(__xludf.DUMMYFUNCTION("GOOGLETRANSLATE(A12708, ""en"", ""mt"")"),"Il-kummentarju ta 'Luther dwar il-Ġenesi fih silta li tikkonkludi li ""r-ruħ ma torqodx (anima non sic dormit), iżda tqum (sed vigilat) u tesperjenza viżjonijiet"". Francis Blackburne fl-1765 argumenta li John Jortin qara ħażin dan u siltiet oħra minn Lut"&amp;"her, filwaqt li Gottfried Fritschel irrimarka fl-1867 li fil-fatt jirreferi għar-ruħ ta 'raġel ""f'din il-ħajja"" (Homo Enim f'Hac Vita) għajjien mix-xogħol ta' kuljum tiegħu (Defatigus Diurno Labore) li bil-lejl jidħol fil-bedchamber tiegħu (sub noctem i"&amp;"ntrat fil-cubiculum suum) u li l-irqad tiegħu huwa interrott mill-ħolm.")</f>
        <v>Il-kummentarju ta 'Luther dwar il-Ġenesi fih silta li tikkonkludi li "r-ruħ ma torqodx (anima non sic dormit), iżda tqum (sed vigilat) u tesperjenza viżjonijiet". Francis Blackburne fl-1765 argumenta li John Jortin qara ħażin dan u siltiet oħra minn Luther, filwaqt li Gottfried Fritschel irrimarka fl-1867 li fil-fatt jirreferi għar-ruħ ta 'raġel "f'din il-ħajja" (Homo Enim f'Hac Vita) għajjien mix-xogħol ta' kuljum tiegħu (Defatigus Diurno Labore) li bil-lejl jidħol fil-bedchamber tiegħu (sub noctem intrat fil-cubiculum suum) u li l-irqad tiegħu huwa interrott mill-ħolm.</v>
      </c>
    </row>
    <row r="12709" ht="15.75" customHeight="1">
      <c r="A12709" s="2" t="s">
        <v>12709</v>
      </c>
      <c r="B12709" s="2" t="str">
        <f>IFERROR(__xludf.DUMMYFUNCTION("GOOGLETRANSLATE(A12709, ""en"", ""mt"")"),"45")</f>
        <v>45</v>
      </c>
    </row>
    <row r="12710" ht="15.75" customHeight="1">
      <c r="A12710" s="2" t="s">
        <v>12710</v>
      </c>
      <c r="B12710" s="2" t="str">
        <f>IFERROR(__xludf.DUMMYFUNCTION("GOOGLETRANSLATE(A12710, ""en"", ""mt"")"),"Jekk l-għalliem jiffoka fuq iż-żamma tal-ordni, minn xiex jieħu ż-żmien?")</f>
        <v>Jekk l-għalliem jiffoka fuq iż-żamma tal-ordni, minn xiex jieħu ż-żmien?</v>
      </c>
    </row>
    <row r="12711" ht="15.75" customHeight="1">
      <c r="A12711" s="2" t="s">
        <v>12711</v>
      </c>
      <c r="B12711" s="2" t="str">
        <f>IFERROR(__xludf.DUMMYFUNCTION("GOOGLETRANSLATE(A12711, ""en"", ""mt"")"),"Sema +")</f>
        <v>Sema +</v>
      </c>
    </row>
    <row r="12712" ht="15.75" customHeight="1">
      <c r="A12712" s="2" t="s">
        <v>12712</v>
      </c>
      <c r="B12712" s="2" t="str">
        <f>IFERROR(__xludf.DUMMYFUNCTION("GOOGLETRANSLATE(A12712, ""en"", ""mt"")"),"jeqred iċ-ċiviltà")</f>
        <v>jeqred iċ-ċiviltà</v>
      </c>
    </row>
    <row r="12713" ht="15.75" customHeight="1">
      <c r="A12713" s="2" t="s">
        <v>12713</v>
      </c>
      <c r="B12713" s="2" t="str">
        <f>IFERROR(__xludf.DUMMYFUNCTION("GOOGLETRANSLATE(A12713, ""en"", ""mt"")"),"Kemm kumpaniji tax-xarabank jipprovdu servizz lill-Belt ta 'Newcastle?")</f>
        <v>Kemm kumpaniji tax-xarabank jipprovdu servizz lill-Belt ta 'Newcastle?</v>
      </c>
    </row>
    <row r="12714" ht="15.75" customHeight="1">
      <c r="A12714" s="2" t="s">
        <v>12714</v>
      </c>
      <c r="B12714" s="2" t="str">
        <f>IFERROR(__xludf.DUMMYFUNCTION("GOOGLETRANSLATE(A12714, ""en"", ""mt"")"),"WonJong")</f>
        <v>WonJong</v>
      </c>
    </row>
    <row r="12715" ht="15.75" customHeight="1">
      <c r="A12715" s="2" t="s">
        <v>12715</v>
      </c>
      <c r="B12715" s="2" t="str">
        <f>IFERROR(__xludf.DUMMYFUNCTION("GOOGLETRANSLATE(A12715, ""en"", ""mt"")"),"Għarbi")</f>
        <v>Għarbi</v>
      </c>
    </row>
    <row r="12716" ht="15.75" customHeight="1">
      <c r="A12716" s="2" t="s">
        <v>12716</v>
      </c>
      <c r="B12716" s="2" t="str">
        <f>IFERROR(__xludf.DUMMYFUNCTION("GOOGLETRANSLATE(A12716, ""en"", ""mt"")"),"Inugwaljanza fid-dħul")</f>
        <v>Inugwaljanza fid-dħul</v>
      </c>
    </row>
    <row r="12717" ht="15.75" customHeight="1">
      <c r="A12717" s="2" t="s">
        <v>12717</v>
      </c>
      <c r="B12717" s="2" t="str">
        <f>IFERROR(__xludf.DUMMYFUNCTION("GOOGLETRANSLATE(A12717, ""en"", ""mt"")"),"Nofs mil fil-majjistral tal-bitħa")</f>
        <v>Nofs mil fil-majjistral tal-bitħa</v>
      </c>
    </row>
    <row r="12718" ht="15.75" customHeight="1">
      <c r="A12718" s="2" t="s">
        <v>12718</v>
      </c>
      <c r="B12718" s="2" t="str">
        <f>IFERROR(__xludf.DUMMYFUNCTION("GOOGLETRANSLATE(A12718, ""en"", ""mt"")"),"X'għamel il-protokoll ta 'Kyoto?")</f>
        <v>X'għamel il-protokoll ta 'Kyoto?</v>
      </c>
    </row>
    <row r="12719" ht="15.75" customHeight="1">
      <c r="A12719" s="2" t="s">
        <v>12719</v>
      </c>
      <c r="B12719" s="2" t="str">
        <f>IFERROR(__xludf.DUMMYFUNCTION("GOOGLETRANSLATE(A12719, ""en"", ""mt"")"),"Liema srevice addizzjonali offra BSKYB minbarra vidjow fuq talba li huma ddikjaraw offruti ""sostanzjalment aktar valur""?")</f>
        <v>Liema srevice addizzjonali offra BSKYB minbarra vidjow fuq talba li huma ddikjaraw offruti "sostanzjalment aktar valur"?</v>
      </c>
    </row>
    <row r="12720" ht="15.75" customHeight="1">
      <c r="A12720" s="2" t="s">
        <v>12720</v>
      </c>
      <c r="B12720" s="2" t="str">
        <f>IFERROR(__xludf.DUMMYFUNCTION("GOOGLETRANSLATE(A12720, ""en"", ""mt"")"),"Kolonna li minnha l-Palazz Moorish u l-Kumpless tal-Fortizza fi Granada, Spanja, hija inkluża fil-kollezzjoni V &amp; A?")</f>
        <v>Kolonna li minnha l-Palazz Moorish u l-Kumpless tal-Fortizza fi Granada, Spanja, hija inkluża fil-kollezzjoni V &amp; A?</v>
      </c>
    </row>
    <row r="12721" ht="15.75" customHeight="1">
      <c r="A12721" s="2" t="s">
        <v>12721</v>
      </c>
      <c r="B12721" s="2" t="str">
        <f>IFERROR(__xludf.DUMMYFUNCTION("GOOGLETRANSLATE(A12721, ""en"", ""mt"")"),"ta 'sinifikat marġinali")</f>
        <v>ta 'sinifikat marġinali</v>
      </c>
    </row>
    <row r="12722" ht="15.75" customHeight="1">
      <c r="A12722" s="2" t="s">
        <v>12722</v>
      </c>
      <c r="B12722" s="2" t="str">
        <f>IFERROR(__xludf.DUMMYFUNCTION("GOOGLETRANSLATE(A12722, ""en"", ""mt"")"),"Algoritmu deterministiku")</f>
        <v>Algoritmu deterministiku</v>
      </c>
    </row>
    <row r="12723" ht="15.75" customHeight="1">
      <c r="A12723" s="2" t="s">
        <v>12723</v>
      </c>
      <c r="B12723" s="2" t="str">
        <f>IFERROR(__xludf.DUMMYFUNCTION("GOOGLETRANSLATE(A12723, ""en"", ""mt"")"),"Zeaxanthin oranġjo-aħmar")</f>
        <v>Zeaxanthin oranġjo-aħmar</v>
      </c>
    </row>
    <row r="12724" ht="15.75" customHeight="1">
      <c r="A12724" s="2" t="s">
        <v>12724</v>
      </c>
      <c r="B12724" s="2" t="str">
        <f>IFERROR(__xludf.DUMMYFUNCTION("GOOGLETRANSLATE(A12724, ""en"", ""mt"")"),"Fl-1973, Nixon issemma William E. Simon bħala l-ewwel amministratur tal-Uffiċċju Federali tal-Enerġija, organizzazzjoni għal żmien qasir maħluqa biex tikkoordina r-rispons għall-embargo. Simon alloka jiddikjara l-istess ammont ta 'żejt domestiku għall-197"&amp;"4 li kull wieħed kien ikkunsma fl-1972, li ħadem għal stati li l-popolazzjonijiet tagħhom ma kinux qed jiżdiedu. Fi stati oħra, il-linji fl-istazzjonijiet tal-petrol kienu komuni. L-Assoċjazzjoni Amerikana tal-Karozzi rrappurtat li fl-aħħar ġimgħa ta ’Fra"&amp;"r 1974, 20% tal-istazzjonijiet tal-petrol Amerikani ma kellhomx fjuwil.")</f>
        <v>Fl-1973, Nixon issemma William E. Simon bħala l-ewwel amministratur tal-Uffiċċju Federali tal-Enerġija, organizzazzjoni għal żmien qasir maħluqa biex tikkoordina r-rispons għall-embargo. Simon alloka jiddikjara l-istess ammont ta 'żejt domestiku għall-1974 li kull wieħed kien ikkunsma fl-1972, li ħadem għal stati li l-popolazzjonijiet tagħhom ma kinux qed jiżdiedu. Fi stati oħra, il-linji fl-istazzjonijiet tal-petrol kienu komuni. L-Assoċjazzjoni Amerikana tal-Karozzi rrappurtat li fl-aħħar ġimgħa ta ’Frar 1974, 20% tal-istazzjonijiet tal-petrol Amerikani ma kellhomx fjuwil.</v>
      </c>
    </row>
    <row r="12725" ht="15.75" customHeight="1">
      <c r="A12725" s="2" t="s">
        <v>12725</v>
      </c>
      <c r="B12725" s="2" t="str">
        <f>IFERROR(__xludf.DUMMYFUNCTION("GOOGLETRANSLATE(A12725, ""en"", ""mt"")"),"L-Orjentaliżmu, kif teorizzat minn Edward, jirreferi għal kif il-Punent żviluppa ġeografija immaġinattiva tal-Lvant. Din il-ġeografija immaġinattiva tiddependi fuq diskors essenzjali li jirrappreżenta la d-diversità u lanqas ir-realtà soċjali tal-Lvant. A"&amp;"nzi, billi essenzjalizza l-Lvant, dan id-diskors juża l-idea ta 'identitajiet ibbażati fuq il-post biex joħolqu differenza u distanza bejn ""aħna"" il-punent u ""minnhom"" il-lvant, jew ""hawn"" fil-punent u ""hemm"" fil-lvant. Din id-differenza kienet pa"&amp;"rtikolarment apparenti fix-xogħlijiet testwali u viżwali ta 'studji Ewropej bikrija ta' l-Orjent li pożizzjonaw il-Lvant bħala irrazzjonali u b'lura fl-oppożizzjoni għall-Punent razzjonali u progressiv. Id-definizzjoni tal-Lvant bħala viżjoni negattiva ta"&amp;"għha nnifisha, bħala inferjuri tagħha, mhux biss żiedet is-sens ta 'l-awto tal-Punent, iżda wkoll kienet mod kif tordna l-Lvant u tagħmilha magħrufa mill-Punent sabiex tkun tista' tkun iddominata u kkontrollata. Id-diskors ta 'l-Orjentaliżmu għalhekk serv"&amp;"a bħala ġustifikazzjoni ideoloġika ta' l-imperjalizmu bikri tal-Punent, peress li ffurma korp ta 'għarfien u ideat li jirrazzjonalizzaw il-kontroll soċjali, kulturali, politiku u ekonomiku ta' territorji oħra.")</f>
        <v>L-Orjentaliżmu, kif teorizzat minn Edward, jirreferi għal kif il-Punent żviluppa ġeografija immaġinattiva tal-Lvant. Din il-ġeografija immaġinattiva tiddependi fuq diskors essenzjali li jirrappreżenta la d-diversità u lanqas ir-realtà soċjali tal-Lvant. Anzi, billi essenzjalizza l-Lvant, dan id-diskors juża l-idea ta 'identitajiet ibbażati fuq il-post biex joħolqu differenza u distanza bejn "aħna" il-punent u "minnhom" il-lvant, jew "hawn" fil-punent u "hemm" fil-lvant. Din id-differenza kienet partikolarment apparenti fix-xogħlijiet testwali u viżwali ta 'studji Ewropej bikrija ta' l-Orjent li pożizzjonaw il-Lvant bħala irrazzjonali u b'lura fl-oppożizzjoni għall-Punent razzjonali u progressiv. Id-definizzjoni tal-Lvant bħala viżjoni negattiva tagħha nnifisha, bħala inferjuri tagħha, mhux biss żiedet is-sens ta 'l-awto tal-Punent, iżda wkoll kienet mod kif tordna l-Lvant u tagħmilha magħrufa mill-Punent sabiex tkun tista' tkun iddominata u kkontrollata. Id-diskors ta 'l-Orjentaliżmu għalhekk serva bħala ġustifikazzjoni ideoloġika ta' l-imperjalizmu bikri tal-Punent, peress li ffurma korp ta 'għarfien u ideat li jirrazzjonalizzaw il-kontroll soċjali, kulturali, politiku u ekonomiku ta' territorji oħra.</v>
      </c>
    </row>
    <row r="12726" ht="15.75" customHeight="1">
      <c r="A12726" s="2" t="s">
        <v>12726</v>
      </c>
      <c r="B12726" s="2" t="str">
        <f>IFERROR(__xludf.DUMMYFUNCTION("GOOGLETRANSLATE(A12726, ""en"", ""mt"")"),"Is-Sindku ta ’New York City Fiorello La Guardia")</f>
        <v>Is-Sindku ta ’New York City Fiorello La Guardia</v>
      </c>
    </row>
    <row r="12727" ht="15.75" customHeight="1">
      <c r="A12727" s="2" t="s">
        <v>12727</v>
      </c>
      <c r="B12727" s="2" t="str">
        <f>IFERROR(__xludf.DUMMYFUNCTION("GOOGLETRANSLATE(A12727, ""en"", ""mt"")"),"X'inhuma l-aġenti misjuba mis-sistema immunitarja msejħa?")</f>
        <v>X'inhuma l-aġenti misjuba mis-sistema immunitarja msejħa?</v>
      </c>
    </row>
    <row r="12728" ht="15.75" customHeight="1">
      <c r="A12728" s="2" t="s">
        <v>12728</v>
      </c>
      <c r="B12728" s="2" t="str">
        <f>IFERROR(__xludf.DUMMYFUNCTION("GOOGLETRANSLATE(A12728, ""en"", ""mt"")"),"Luke Kuechly")</f>
        <v>Luke Kuechly</v>
      </c>
    </row>
    <row r="12729" ht="15.75" customHeight="1">
      <c r="A12729" s="2" t="s">
        <v>12729</v>
      </c>
      <c r="B12729" s="2" t="str">
        <f>IFERROR(__xludf.DUMMYFUNCTION("GOOGLETRANSLATE(A12729, ""en"", ""mt"")"),"fi żminijiet moderni, issir kompletament imnaqqsa")</f>
        <v>fi żminijiet moderni, issir kompletament imnaqqsa</v>
      </c>
    </row>
    <row r="12730" ht="15.75" customHeight="1">
      <c r="A12730" s="2" t="s">
        <v>12730</v>
      </c>
      <c r="B12730" s="2" t="str">
        <f>IFERROR(__xludf.DUMMYFUNCTION("GOOGLETRANSLATE(A12730, ""en"", ""mt"")"),"Loyalkaspar")</f>
        <v>Loyalkaspar</v>
      </c>
    </row>
    <row r="12731" ht="15.75" customHeight="1">
      <c r="A12731" s="2" t="s">
        <v>12731</v>
      </c>
      <c r="B12731" s="2" t="str">
        <f>IFERROR(__xludf.DUMMYFUNCTION("GOOGLETRANSLATE(A12731, ""en"", ""mt"")"),"il-bidu tad-disgħinijiet")</f>
        <v>il-bidu tad-disgħinijiet</v>
      </c>
    </row>
    <row r="12732" ht="15.75" customHeight="1">
      <c r="A12732" s="2" t="s">
        <v>12732</v>
      </c>
      <c r="B12732" s="2" t="str">
        <f>IFERROR(__xludf.DUMMYFUNCTION("GOOGLETRANSLATE(A12732, ""en"", ""mt"")"),"mhux kriogeniku")</f>
        <v>mhux kriogeniku</v>
      </c>
    </row>
    <row r="12733" ht="15.75" customHeight="1">
      <c r="A12733" s="2" t="s">
        <v>12733</v>
      </c>
      <c r="B12733" s="2" t="str">
        <f>IFERROR(__xludf.DUMMYFUNCTION("GOOGLETRANSLATE(A12733, ""en"", ""mt"")"),"X'pożizzjoni tilgħab Brandon Marshall bħalissa?")</f>
        <v>X'pożizzjoni tilgħab Brandon Marshall bħalissa?</v>
      </c>
    </row>
    <row r="12734" ht="15.75" customHeight="1">
      <c r="A12734" s="2" t="s">
        <v>12734</v>
      </c>
      <c r="B12734" s="2" t="str">
        <f>IFERROR(__xludf.DUMMYFUNCTION("GOOGLETRANSLATE(A12734, ""en"", ""mt"")"),"Kif is-soċjetajiet ġeografiċi fl-Ewropa kif jappoġġjaw ċerti vjaġġaturi?")</f>
        <v>Kif is-soċjetajiet ġeografiċi fl-Ewropa kif jappoġġjaw ċerti vjaġġaturi?</v>
      </c>
    </row>
    <row r="12735" ht="15.75" customHeight="1">
      <c r="A12735" s="2" t="s">
        <v>12735</v>
      </c>
      <c r="B12735" s="2" t="str">
        <f>IFERROR(__xludf.DUMMYFUNCTION("GOOGLETRANSLATE(A12735, ""en"", ""mt"")"),"Mudelli matematiċi ta 'komputazzjoni")</f>
        <v>Mudelli matematiċi ta 'komputazzjoni</v>
      </c>
    </row>
    <row r="12736" ht="15.75" customHeight="1">
      <c r="A12736" s="2" t="s">
        <v>12736</v>
      </c>
      <c r="B12736" s="2" t="str">
        <f>IFERROR(__xludf.DUMMYFUNCTION("GOOGLETRANSLATE(A12736, ""en"", ""mt"")"),"Liema żona kien Kublai jipprova jaqbad billi jattakka lil Xiangyang?")</f>
        <v>Liema żona kien Kublai jipprova jaqbad billi jattakka lil Xiangyang?</v>
      </c>
    </row>
    <row r="12737" ht="15.75" customHeight="1">
      <c r="A12737" s="2" t="s">
        <v>12737</v>
      </c>
      <c r="B12737" s="2" t="str">
        <f>IFERROR(__xludf.DUMMYFUNCTION("GOOGLETRANSLATE(A12737, ""en"", ""mt"")"),"Kreep")</f>
        <v>Kreep</v>
      </c>
    </row>
    <row r="12738" ht="15.75" customHeight="1">
      <c r="A12738" s="2" t="s">
        <v>12738</v>
      </c>
      <c r="B12738" s="2" t="str">
        <f>IFERROR(__xludf.DUMMYFUNCTION("GOOGLETRANSLATE(A12738, ""en"", ""mt"")"),"bnedmin")</f>
        <v>bnedmin</v>
      </c>
    </row>
    <row r="12739" ht="15.75" customHeight="1">
      <c r="A12739" s="2" t="s">
        <v>12739</v>
      </c>
      <c r="B12739" s="2" t="str">
        <f>IFERROR(__xludf.DUMMYFUNCTION("GOOGLETRANSLATE(A12739, ""en"", ""mt"")"),"Bermuda 419")</f>
        <v>Bermuda 419</v>
      </c>
    </row>
    <row r="12740" ht="15.75" customHeight="1">
      <c r="A12740" s="2" t="s">
        <v>12740</v>
      </c>
      <c r="B12740" s="2" t="str">
        <f>IFERROR(__xludf.DUMMYFUNCTION("GOOGLETRANSLATE(A12740, ""en"", ""mt"")"),"Liema gwida tiddikjara li l-univeristy ta 'Chicago hija magħrufa għall-ammont ta' xogħol qawwi tagħhom u d-diffikultà akkademika tagħhom?")</f>
        <v>Liema gwida tiddikjara li l-univeristy ta 'Chicago hija magħrufa għall-ammont ta' xogħol qawwi tagħhom u d-diffikultà akkademika tagħhom?</v>
      </c>
    </row>
    <row r="12741" ht="15.75" customHeight="1">
      <c r="A12741" s="2" t="s">
        <v>12741</v>
      </c>
      <c r="B12741" s="2" t="str">
        <f>IFERROR(__xludf.DUMMYFUNCTION("GOOGLETRANSLATE(A12741, ""en"", ""mt"")"),"Liema belt, flimkien ma 'Hamilton, Wellington u Christchurch, hija waħda mill-ikbar fi New Zealand?")</f>
        <v>Liema belt, flimkien ma 'Hamilton, Wellington u Christchurch, hija waħda mill-ikbar fi New Zealand?</v>
      </c>
    </row>
    <row r="12742" ht="15.75" customHeight="1">
      <c r="A12742" s="2" t="s">
        <v>12742</v>
      </c>
      <c r="B12742" s="2" t="str">
        <f>IFERROR(__xludf.DUMMYFUNCTION("GOOGLETRANSLATE(A12742, ""en"", ""mt"")"),"18,000 regolari, milizja u alleati Amerikani Nattivi")</f>
        <v>18,000 regolari, milizja u alleati Amerikani Nattivi</v>
      </c>
    </row>
    <row r="12743" ht="15.75" customHeight="1">
      <c r="A12743" s="2" t="s">
        <v>12743</v>
      </c>
      <c r="B12743" s="2" t="str">
        <f>IFERROR(__xludf.DUMMYFUNCTION("GOOGLETRANSLATE(A12743, ""en"", ""mt"")"),"1997 Trattat ta 'Amsterdam")</f>
        <v>1997 Trattat ta 'Amsterdam</v>
      </c>
    </row>
    <row r="12744" ht="15.75" customHeight="1">
      <c r="A12744" s="2" t="s">
        <v>12744</v>
      </c>
      <c r="B12744" s="2" t="str">
        <f>IFERROR(__xludf.DUMMYFUNCTION("GOOGLETRANSLATE(A12744, ""en"", ""mt"")"),"X'inhu l-iktar tip importanti ta 'arti Norman ippreservata fil-knejjes?")</f>
        <v>X'inhu l-iktar tip importanti ta 'arti Norman ippreservata fil-knejjes?</v>
      </c>
    </row>
    <row r="12745" ht="15.75" customHeight="1">
      <c r="A12745" s="2" t="s">
        <v>12745</v>
      </c>
      <c r="B12745" s="2" t="str">
        <f>IFERROR(__xludf.DUMMYFUNCTION("GOOGLETRANSLATE(A12745, ""en"", ""mt"")"),"X'aktarx li sistema immunitarja adattattiva b'ħafna komponenti nibtet bl-ewwel vertebrati, peress li l-invertebrati ma jiġġenerawx limfoċiti jew rispons umoristiku bbażat fuq l-antikorpi. Bosta speċi, madankollu, jużaw mekkaniżmi li jidhru li huma prekurs"&amp;"uri ta 'dawn l-aspetti ta' l-immunità vertebra. Sistemi immuni jidhru anke fil-forom ta 'ħajja strutturalment l-iktar sempliċi, b'batterji jużaw mekkaniżmu ta' difiża uniku, imsejjaħ is-sistema ta 'modifika ta' restrizzjoni biex jipproteġu lilhom infushom"&amp;" minn patoġeni virali, imsejħa batterjofagi. Il-prokarioti għandhom ukoll immunità akkwistata, permezz ta 'sistema li tuża sekwenzi CRISPR biex iżżomm frammenti tal-ġenomi tal-fagi li ġew f'kuntatt magħhom fil-passat, li jippermettilhom jimblokkaw ir-repl"&amp;"ikazzjoni tal-virus permezz ta' forma ta 'interferenza RNA. Elementi offensivi tas-sistemi immuni huma preżenti wkoll fl-ewkarioti uniċellulari, iżda l-istudji tar-rwoli tagħhom fid-difiża huma ftit.")</f>
        <v>X'aktarx li sistema immunitarja adattattiva b'ħafna komponenti nibtet bl-ewwel vertebrati, peress li l-invertebrati ma jiġġenerawx limfoċiti jew rispons umoristiku bbażat fuq l-antikorpi. Bosta speċi, madankollu, jużaw mekkaniżmi li jidhru li huma prekursuri ta 'dawn l-aspetti ta' l-immunità vertebra. Sistemi immuni jidhru anke fil-forom ta 'ħajja strutturalment l-iktar sempliċi, b'batterji jużaw mekkaniżmu ta' difiża uniku, imsejjaħ is-sistema ta 'modifika ta' restrizzjoni biex jipproteġu lilhom infushom minn patoġeni virali, imsejħa batterjofagi. Il-prokarioti għandhom ukoll immunità akkwistata, permezz ta 'sistema li tuża sekwenzi CRISPR biex iżżomm frammenti tal-ġenomi tal-fagi li ġew f'kuntatt magħhom fil-passat, li jippermettilhom jimblokkaw ir-replikazzjoni tal-virus permezz ta' forma ta 'interferenza RNA. Elementi offensivi tas-sistemi immuni huma preżenti wkoll fl-ewkarioti uniċellulari, iżda l-istudji tar-rwoli tagħhom fid-difiża huma ftit.</v>
      </c>
    </row>
    <row r="12746" ht="15.75" customHeight="1">
      <c r="A12746" s="2" t="s">
        <v>12746</v>
      </c>
      <c r="B12746" s="2" t="str">
        <f>IFERROR(__xludf.DUMMYFUNCTION("GOOGLETRANSLATE(A12746, ""en"", ""mt"")"),"Xi jfisser 'plastid'?")</f>
        <v>Xi jfisser 'plastid'?</v>
      </c>
    </row>
    <row r="12747" ht="15.75" customHeight="1">
      <c r="A12747" s="2" t="s">
        <v>12747</v>
      </c>
      <c r="B12747" s="2" t="str">
        <f>IFERROR(__xludf.DUMMYFUNCTION("GOOGLETRANSLATE(A12747, ""en"", ""mt"")"),"spiritwalment jew simbolikament preżenti")</f>
        <v>spiritwalment jew simbolikament preżenti</v>
      </c>
    </row>
    <row r="12748" ht="15.75" customHeight="1">
      <c r="A12748" s="2" t="s">
        <v>12748</v>
      </c>
      <c r="B12748" s="2" t="str">
        <f>IFERROR(__xludf.DUMMYFUNCTION("GOOGLETRANSLATE(A12748, ""en"", ""mt"")"),"Kemm kienu fl-ispedizzjoni tal-Langlades?")</f>
        <v>Kemm kienu fl-ispedizzjoni tal-Langlades?</v>
      </c>
    </row>
    <row r="12749" ht="15.75" customHeight="1">
      <c r="A12749" s="2" t="s">
        <v>12749</v>
      </c>
      <c r="B12749" s="2" t="str">
        <f>IFERROR(__xludf.DUMMYFUNCTION("GOOGLETRANSLATE(A12749, ""en"", ""mt"")"),"Kemm kienu jeżistu ditti fl-2005?")</f>
        <v>Kemm kienu jeżistu ditti fl-2005?</v>
      </c>
    </row>
    <row r="12750" ht="15.75" customHeight="1">
      <c r="A12750" s="2" t="s">
        <v>12750</v>
      </c>
      <c r="B12750" s="2" t="str">
        <f>IFERROR(__xludf.DUMMYFUNCTION("GOOGLETRANSLATE(A12750, ""en"", ""mt"")"),"il-membrana tal-kloroplast ta 'ġewwa")</f>
        <v>il-membrana tal-kloroplast ta 'ġewwa</v>
      </c>
    </row>
    <row r="12751" ht="15.75" customHeight="1">
      <c r="A12751" s="2" t="s">
        <v>12751</v>
      </c>
      <c r="B12751" s="2" t="str">
        <f>IFERROR(__xludf.DUMMYFUNCTION("GOOGLETRANSLATE(A12751, ""en"", ""mt"")"),"Ollie Treiz")</f>
        <v>Ollie Treiz</v>
      </c>
    </row>
    <row r="12752" ht="15.75" customHeight="1">
      <c r="A12752" s="2" t="s">
        <v>12752</v>
      </c>
      <c r="B12752" s="2" t="str">
        <f>IFERROR(__xludf.DUMMYFUNCTION("GOOGLETRANSLATE(A12752, ""en"", ""mt"")"),"Conscription")</f>
        <v>Conscription</v>
      </c>
    </row>
    <row r="12753" ht="15.75" customHeight="1">
      <c r="A12753" s="2" t="s">
        <v>12753</v>
      </c>
      <c r="B12753" s="2" t="str">
        <f>IFERROR(__xludf.DUMMYFUNCTION("GOOGLETRANSLATE(A12753, ""en"", ""mt"")"),"Fil-kwart tal-ħarifa tal-2014, kemm studenti ffirmaw għall-iskejjel professjonali tal-università?")</f>
        <v>Fil-kwart tal-ħarifa tal-2014, kemm studenti ffirmaw għall-iskejjel professjonali tal-università?</v>
      </c>
    </row>
    <row r="12754" ht="15.75" customHeight="1">
      <c r="A12754" s="2" t="s">
        <v>12754</v>
      </c>
      <c r="B12754" s="2" t="str">
        <f>IFERROR(__xludf.DUMMYFUNCTION("GOOGLETRANSLATE(A12754, ""en"", ""mt"")"),"fuq il-web")</f>
        <v>fuq il-web</v>
      </c>
    </row>
    <row r="12755" ht="15.75" customHeight="1">
      <c r="A12755" s="2" t="s">
        <v>12755</v>
      </c>
      <c r="B12755" s="2" t="str">
        <f>IFERROR(__xludf.DUMMYFUNCTION("GOOGLETRANSLATE(A12755, ""en"", ""mt"")"),"Ġermaniż vernakolari")</f>
        <v>Ġermaniż vernakolari</v>
      </c>
    </row>
    <row r="12756" ht="15.75" customHeight="1">
      <c r="A12756" s="2" t="s">
        <v>12756</v>
      </c>
      <c r="B12756" s="2" t="str">
        <f>IFERROR(__xludf.DUMMYFUNCTION("GOOGLETRANSLATE(A12756, ""en"", ""mt"")"),"Liema nazzjonalità kienet Konstantin Mereschkowski?")</f>
        <v>Liema nazzjonalità kienet Konstantin Mereschkowski?</v>
      </c>
    </row>
    <row r="12757" ht="15.75" customHeight="1">
      <c r="A12757" s="2" t="s">
        <v>12757</v>
      </c>
      <c r="B12757" s="2" t="str">
        <f>IFERROR(__xludf.DUMMYFUNCTION("GOOGLETRANSLATE(A12757, ""en"", ""mt"")"),"X'inhi meqjusa bħala l-Knisja Omm tal-Metodiżmu Amerikan?")</f>
        <v>X'inhi meqjusa bħala l-Knisja Omm tal-Metodiżmu Amerikan?</v>
      </c>
    </row>
    <row r="12758" ht="15.75" customHeight="1">
      <c r="A12758" s="2" t="s">
        <v>12758</v>
      </c>
      <c r="B12758" s="2" t="str">
        <f>IFERROR(__xludf.DUMMYFUNCTION("GOOGLETRANSLATE(A12758, ""en"", ""mt"")"),"Marquis de Vaudreuil.")</f>
        <v>Marquis de Vaudreuil.</v>
      </c>
    </row>
    <row r="12759" ht="15.75" customHeight="1">
      <c r="A12759" s="2" t="s">
        <v>12759</v>
      </c>
      <c r="B12759" s="2" t="str">
        <f>IFERROR(__xludf.DUMMYFUNCTION("GOOGLETRANSLATE(A12759, ""en"", ""mt"")"),"F'liema ġurnata jseħħ ħin ta 'mistoqsija ġenerali?")</f>
        <v>F'liema ġurnata jseħħ ħin ta 'mistoqsija ġenerali?</v>
      </c>
    </row>
    <row r="12760" ht="15.75" customHeight="1">
      <c r="A12760" s="2" t="s">
        <v>12760</v>
      </c>
      <c r="B12760" s="2" t="str">
        <f>IFERROR(__xludf.DUMMYFUNCTION("GOOGLETRANSLATE(A12760, ""en"", ""mt"")"),"Apparat li jipproduċi r-raġġi X.")</f>
        <v>Apparat li jipproduċi r-raġġi X.</v>
      </c>
    </row>
    <row r="12761" ht="15.75" customHeight="1">
      <c r="A12761" s="2" t="s">
        <v>12761</v>
      </c>
      <c r="B12761" s="2" t="str">
        <f>IFERROR(__xludf.DUMMYFUNCTION("GOOGLETRANSLATE(A12761, ""en"", ""mt"")"),"kwantitajiet ta 'vettur")</f>
        <v>kwantitajiet ta 'vettur</v>
      </c>
    </row>
    <row r="12762" ht="15.75" customHeight="1">
      <c r="A12762" s="2" t="s">
        <v>12762</v>
      </c>
      <c r="B12762" s="2" t="str">
        <f>IFERROR(__xludf.DUMMYFUNCTION("GOOGLETRANSLATE(A12762, ""en"", ""mt"")"),"Liema programm tal-futbol ġie debutat minn ABC fl-1970?")</f>
        <v>Liema programm tal-futbol ġie debutat minn ABC fl-1970?</v>
      </c>
    </row>
    <row r="12763" ht="15.75" customHeight="1">
      <c r="A12763" s="2" t="s">
        <v>12763</v>
      </c>
      <c r="B12763" s="2" t="str">
        <f>IFERROR(__xludf.DUMMYFUNCTION("GOOGLETRANSLATE(A12763, ""en"", ""mt"")"),"Jaħbi wara (jew 'jaraw minn wara') is-sufan")</f>
        <v>Jaħbi wara (jew 'jaraw minn wara') is-sufan</v>
      </c>
    </row>
    <row r="12764" ht="15.75" customHeight="1">
      <c r="A12764" s="2" t="s">
        <v>12764</v>
      </c>
      <c r="B12764" s="2" t="str">
        <f>IFERROR(__xludf.DUMMYFUNCTION("GOOGLETRANSLATE(A12764, ""en"", ""mt"")"),"Min għandu r-rwol li jżomm il-gvern Skoċċiż?")</f>
        <v>Min għandu r-rwol li jżomm il-gvern Skoċċiż?</v>
      </c>
    </row>
    <row r="12765" ht="15.75" customHeight="1">
      <c r="A12765" s="2" t="s">
        <v>12765</v>
      </c>
      <c r="B12765" s="2" t="str">
        <f>IFERROR(__xludf.DUMMYFUNCTION("GOOGLETRANSLATE(A12765, ""en"", ""mt"")"),"Fid-definizzjoni bbażata fuq il-firxa tal-muntanji, f'liema reġjun jiġu inklużi l-porzjonijiet tad-deżert tal-Kontea ta 'North Los Angeles?")</f>
        <v>Fid-definizzjoni bbażata fuq il-firxa tal-muntanji, f'liema reġjun jiġu inklużi l-porzjonijiet tad-deżert tal-Kontea ta 'North Los Angeles?</v>
      </c>
    </row>
    <row r="12766" ht="15.75" customHeight="1">
      <c r="A12766" s="2" t="s">
        <v>12766</v>
      </c>
      <c r="B12766" s="2" t="str">
        <f>IFERROR(__xludf.DUMMYFUNCTION("GOOGLETRANSLATE(A12766, ""en"", ""mt"")"),"Min ippreżenta oġġezzjoni lill-BBC billi tuża l-Blue Police Box fil-merkanzija Doctor Who?")</f>
        <v>Min ippreżenta oġġezzjoni lill-BBC billi tuża l-Blue Police Box fil-merkanzija Doctor Who?</v>
      </c>
    </row>
    <row r="12767" ht="15.75" customHeight="1">
      <c r="A12767" s="2" t="s">
        <v>12767</v>
      </c>
      <c r="B12767" s="2" t="str">
        <f>IFERROR(__xludf.DUMMYFUNCTION("GOOGLETRANSLATE(A12767, ""en"", ""mt"")"),"tard fl-1870s")</f>
        <v>tard fl-1870s</v>
      </c>
    </row>
    <row r="12768" ht="15.75" customHeight="1">
      <c r="A12768" s="2" t="s">
        <v>12768</v>
      </c>
      <c r="B12768" s="2" t="str">
        <f>IFERROR(__xludf.DUMMYFUNCTION("GOOGLETRANSLATE(A12768, ""en"", ""mt"")"),"Il-kostruzzjoni tal-bini hija l-proċess li żżid struttura ma 'proprjetà immobbli jew kostruzzjoni ta' bini. Il-biċċa l-kbira tal-impjiegi tal-kostruzzjoni tal-bini huma rinnovazzjonijiet żgħar, bħal żieda ta 'kamra, jew rinnovazzjoni ta' kamra tal-banju. "&amp;"Ħafna drabi, is-sid tal-propjetà jaġixxi bħala ħaddiem, paymaster, u tim tad-disinn għall-proġett kollu. Għalkemm il-proġetti ta 'kostruzzjoni tal-bini tipikament jinkludu diversi elementi komuni, bħad-disinn, l-istima, l-istima u l-kunsiderazzjonijiet le"&amp;"gali, ħafna proġetti ta' daqsijiet varji jilħqu riżultati finali mhux mixtieqa, bħal kollass strutturali, overruns ta 'spejjeż, u / jew litigazzjoni. Għal din ir-raġuni, dawk b'esperjenza fil-qasam jagħmlu pjanijiet dettaljati u jżommu sorveljanza bir-req"&amp;"qa matul il-proġett biex jiżguraw riżultat pożittiv.")</f>
        <v>Il-kostruzzjoni tal-bini hija l-proċess li żżid struttura ma 'proprjetà immobbli jew kostruzzjoni ta' bini. Il-biċċa l-kbira tal-impjiegi tal-kostruzzjoni tal-bini huma rinnovazzjonijiet żgħar, bħal żieda ta 'kamra, jew rinnovazzjoni ta' kamra tal-banju. Ħafna drabi, is-sid tal-propjetà jaġixxi bħala ħaddiem, paymaster, u tim tad-disinn għall-proġett kollu. Għalkemm il-proġetti ta 'kostruzzjoni tal-bini tipikament jinkludu diversi elementi komuni, bħad-disinn, l-istima, l-istima u l-kunsiderazzjonijiet legali, ħafna proġetti ta' daqsijiet varji jilħqu riżultati finali mhux mixtieqa, bħal kollass strutturali, overruns ta 'spejjeż, u / jew litigazzjoni. Għal din ir-raġuni, dawk b'esperjenza fil-qasam jagħmlu pjanijiet dettaljati u jżommu sorveljanza bir-reqqa matul il-proġett biex jiżguraw riżultat pożittiv.</v>
      </c>
    </row>
    <row r="12769" ht="15.75" customHeight="1">
      <c r="A12769" s="2" t="s">
        <v>12769</v>
      </c>
      <c r="B12769" s="2" t="str">
        <f>IFERROR(__xludf.DUMMYFUNCTION("GOOGLETRANSLATE(A12769, ""en"", ""mt"")"),"Fil-każ Geven v Land Nordrhein-Westfalen, kemm sigħat kienet il-mara Olandiża inkwistjoni taħdem fil-Ġermanja?")</f>
        <v>Fil-każ Geven v Land Nordrhein-Westfalen, kemm sigħat kienet il-mara Olandiża inkwistjoni taħdem fil-Ġermanja?</v>
      </c>
    </row>
    <row r="12770" ht="15.75" customHeight="1">
      <c r="A12770" s="2" t="s">
        <v>12770</v>
      </c>
      <c r="B12770" s="2" t="str">
        <f>IFERROR(__xludf.DUMMYFUNCTION("GOOGLETRANSLATE(A12770, ""en"", ""mt"")"),"Liema pożizzjoni lagħab Newton matul Super Bowl 50?")</f>
        <v>Liema pożizzjoni lagħab Newton matul Super Bowl 50?</v>
      </c>
    </row>
    <row r="12771" ht="15.75" customHeight="1">
      <c r="A12771" s="2" t="s">
        <v>12771</v>
      </c>
      <c r="B12771" s="2" t="str">
        <f>IFERROR(__xludf.DUMMYFUNCTION("GOOGLETRANSLATE(A12771, ""en"", ""mt"")"),"1988")</f>
        <v>1988</v>
      </c>
    </row>
    <row r="12772" ht="15.75" customHeight="1">
      <c r="A12772" s="2" t="s">
        <v>12772</v>
      </c>
      <c r="B12772" s="2" t="str">
        <f>IFERROR(__xludf.DUMMYFUNCTION("GOOGLETRANSLATE(A12772, ""en"", ""mt"")"),"X'kien l-iskop ta 'csnet")</f>
        <v>X'kien l-iskop ta 'csnet</v>
      </c>
    </row>
    <row r="12773" ht="15.75" customHeight="1">
      <c r="A12773" s="2" t="s">
        <v>12773</v>
      </c>
      <c r="B12773" s="2" t="str">
        <f>IFERROR(__xludf.DUMMYFUNCTION("GOOGLETRANSLATE(A12773, ""en"", ""mt"")"),"In-Netwerk tax-Xjenza tal-Kompjuter (CSNET) kien netwerk tal-kompjuter iffinanzjat mill-Fondazzjoni Nazzjonali tax-Xjenza tal-Istati Uniti (NSF) li beda jopera fl-1981. L-iskop tagħha kien li jestendi l-benefiċċji tan-netwerking, għad-dipartimenti tax-xje"&amp;"nza tal-kompjuter f'istituzzjonijiet akkademiċi u ta 'riċerka li ma setgħux jiġu konnessi direttament għal arpanet, minħabba l-finanzjament jew il-limitazzjonijiet ta 'awtorizzazzjoni. Huwa kellu rwol sinifikanti fit-tixrid tal-għarfien dwar, u l-aċċess g"&amp;"ħan-netwerking nazzjonali u kien pass importanti fit-triq għall-iżvilupp tal-internet globali.")</f>
        <v>In-Netwerk tax-Xjenza tal-Kompjuter (CSNET) kien netwerk tal-kompjuter iffinanzjat mill-Fondazzjoni Nazzjonali tax-Xjenza tal-Istati Uniti (NSF) li beda jopera fl-1981. L-iskop tagħha kien li jestendi l-benefiċċji tan-netwerking, għad-dipartimenti tax-xjenza tal-kompjuter f'istituzzjonijiet akkademiċi u ta 'riċerka li ma setgħux jiġu konnessi direttament għal arpanet, minħabba l-finanzjament jew il-limitazzjonijiet ta 'awtorizzazzjoni. Huwa kellu rwol sinifikanti fit-tixrid tal-għarfien dwar, u l-aċċess għan-netwerking nazzjonali u kien pass importanti fit-triq għall-iżvilupp tal-internet globali.</v>
      </c>
    </row>
    <row r="12774" ht="15.75" customHeight="1">
      <c r="A12774" s="2" t="s">
        <v>12774</v>
      </c>
      <c r="B12774" s="2" t="str">
        <f>IFERROR(__xludf.DUMMYFUNCTION("GOOGLETRANSLATE(A12774, ""en"", ""mt"")"),"Fil-Kap tat-Tama t-Tajba")</f>
        <v>Fil-Kap tat-Tama t-Tajba</v>
      </c>
    </row>
    <row r="12775" ht="15.75" customHeight="1">
      <c r="A12775" s="2" t="s">
        <v>12775</v>
      </c>
      <c r="B12775" s="2" t="str">
        <f>IFERROR(__xludf.DUMMYFUNCTION("GOOGLETRANSLATE(A12775, ""en"", ""mt"")"),"Henry Young Darracott Scott")</f>
        <v>Henry Young Darracott Scott</v>
      </c>
    </row>
    <row r="12776" ht="15.75" customHeight="1">
      <c r="A12776" s="2" t="s">
        <v>12776</v>
      </c>
      <c r="B12776" s="2" t="str">
        <f>IFERROR(__xludf.DUMMYFUNCTION("GOOGLETRANSLATE(A12776, ""en"", ""mt"")"),"L-iskola privata fl-Istati Uniti ġiet diskussa minn edukaturi, leġislaturi u ġenituri, mill-bidu tal-edukazzjoni obbligatorja fil-Massachusetts fl-1852. Il-preċedent tal-Qorti Suprema jidher li jiffavorixxi l-għażla edukattiva, sakemm l-istati jistgħu jis"&amp;"tabbilixxu standards għat-twettiq edukattiv. Uħud mill-aktar ġurisprudenza tal-Qorti Suprema rilevanti dwar dan huwa kif ġej: Runyon v. McCrary, 427 U.S. 160 (1976); Wisconsin v. Yoder, 406 U.S. 205 (1972); Pierce v. Society of Sisters, 268 U.S. 510 (1925"&amp;"); Meyer v. Nebraska, 262 U.S. 390 (1923).")</f>
        <v>L-iskola privata fl-Istati Uniti ġiet diskussa minn edukaturi, leġislaturi u ġenituri, mill-bidu tal-edukazzjoni obbligatorja fil-Massachusetts fl-1852. Il-preċedent tal-Qorti Suprema jidher li jiffavorixxi l-għażla edukattiva, sakemm l-istati jistgħu jistabbilixxu standards għat-twettiq edukattiv. Uħud mill-aktar ġurisprudenza tal-Qorti Suprema rilevanti dwar dan huwa kif ġej: Runyon v. McCrary, 427 U.S. 160 (1976); Wisconsin v. Yoder, 406 U.S. 205 (1972); Pierce v. Society of Sisters, 268 U.S. 510 (1925); Meyer v. Nebraska, 262 U.S. 390 (1923).</v>
      </c>
    </row>
    <row r="12777" ht="15.75" customHeight="1">
      <c r="A12777" s="2" t="s">
        <v>12777</v>
      </c>
      <c r="B12777" s="2" t="str">
        <f>IFERROR(__xludf.DUMMYFUNCTION("GOOGLETRANSLATE(A12777, ""en"", ""mt"")"),"43 miljun tunnellata")</f>
        <v>43 miljun tunnellata</v>
      </c>
    </row>
    <row r="12778" ht="15.75" customHeight="1">
      <c r="A12778" s="2" t="s">
        <v>12778</v>
      </c>
      <c r="B12778" s="2" t="str">
        <f>IFERROR(__xludf.DUMMYFUNCTION("GOOGLETRANSLATE(A12778, ""en"", ""mt"")"),"Ipprojbixxa t-tkabbir tal-kafè, introduċa taxxa għarix, u l-art mingħajr art ingħataw inqas u inqas art bi skambju għal xogħolhom")</f>
        <v>Ipprojbixxa t-tkabbir tal-kafè, introduċa taxxa għarix, u l-art mingħajr art ingħataw inqas u inqas art bi skambju għal xogħolhom</v>
      </c>
    </row>
    <row r="12779" ht="15.75" customHeight="1">
      <c r="A12779" s="2" t="s">
        <v>12779</v>
      </c>
      <c r="B12779" s="2" t="str">
        <f>IFERROR(__xludf.DUMMYFUNCTION("GOOGLETRANSLATE(A12779, ""en"", ""mt"")"),"Tliet mija")</f>
        <v>Tliet mija</v>
      </c>
    </row>
    <row r="12780" ht="15.75" customHeight="1">
      <c r="A12780" s="2" t="s">
        <v>12780</v>
      </c>
      <c r="B12780" s="2" t="str">
        <f>IFERROR(__xludf.DUMMYFUNCTION("GOOGLETRANSLATE(A12780, ""en"", ""mt"")"),"Il-moħħ ta 'Morbius")</f>
        <v>Il-moħħ ta 'Morbius</v>
      </c>
    </row>
    <row r="12781" ht="15.75" customHeight="1">
      <c r="A12781" s="2" t="s">
        <v>12781</v>
      </c>
      <c r="B12781" s="2" t="str">
        <f>IFERROR(__xludf.DUMMYFUNCTION("GOOGLETRANSLATE(A12781, ""en"", ""mt"")"),"It-tejps restawrati kienu kapaċi jkollhom kulur miżjud magħhom biex itejbu l-istampa jew baqgħu suwed u bojod?")</f>
        <v>It-tejps restawrati kienu kapaċi jkollhom kulur miżjud magħhom biex itejbu l-istampa jew baqgħu suwed u bojod?</v>
      </c>
    </row>
    <row r="12782" ht="15.75" customHeight="1">
      <c r="A12782" s="2" t="s">
        <v>12782</v>
      </c>
      <c r="B12782" s="2" t="str">
        <f>IFERROR(__xludf.DUMMYFUNCTION("GOOGLETRANSLATE(A12782, ""en"", ""mt"")"),"Kemm kien jiswa biex tibni l-istadium ta 'Levi?")</f>
        <v>Kemm kien jiswa biex tibni l-istadium ta 'Levi?</v>
      </c>
    </row>
    <row r="12783" ht="15.75" customHeight="1">
      <c r="A12783" s="2" t="s">
        <v>12783</v>
      </c>
      <c r="B12783" s="2" t="str">
        <f>IFERROR(__xludf.DUMMYFUNCTION("GOOGLETRANSLATE(A12783, ""en"", ""mt"")"),"Matul is-snin 1980")</f>
        <v>Matul is-snin 1980</v>
      </c>
    </row>
    <row r="12784" ht="15.75" customHeight="1">
      <c r="A12784" s="2" t="s">
        <v>12784</v>
      </c>
      <c r="B12784" s="2" t="str">
        <f>IFERROR(__xludf.DUMMYFUNCTION("GOOGLETRANSLATE(A12784, ""en"", ""mt"")"),"Ostakli Fiżiċi")</f>
        <v>Ostakli Fiżiċi</v>
      </c>
    </row>
    <row r="12785" ht="15.75" customHeight="1">
      <c r="A12785" s="2" t="s">
        <v>12785</v>
      </c>
      <c r="B12785" s="2" t="str">
        <f>IFERROR(__xludf.DUMMYFUNCTION("GOOGLETRANSLATE(A12785, ""en"", ""mt"")"),"Fejn Tetzel qabeż it-tagħlim tiegħu?")</f>
        <v>Fejn Tetzel qabeż it-tagħlim tiegħu?</v>
      </c>
    </row>
    <row r="12786" ht="15.75" customHeight="1">
      <c r="A12786" s="2" t="s">
        <v>12786</v>
      </c>
      <c r="B12786" s="2" t="str">
        <f>IFERROR(__xludf.DUMMYFUNCTION("GOOGLETRANSLATE(A12786, ""en"", ""mt"")"),"It-Task Force tal-Etika Sesswali tal-Knisja Metodista Magħquda")</f>
        <v>It-Task Force tal-Etika Sesswali tal-Knisja Metodista Magħquda</v>
      </c>
    </row>
    <row r="12787" ht="15.75" customHeight="1">
      <c r="A12787" s="2" t="s">
        <v>12787</v>
      </c>
      <c r="B12787" s="2" t="str">
        <f>IFERROR(__xludf.DUMMYFUNCTION("GOOGLETRANSLATE(A12787, ""en"", ""mt"")"),"kunjardi orogeniċi")</f>
        <v>kunjardi orogeniċi</v>
      </c>
    </row>
    <row r="12788" ht="15.75" customHeight="1">
      <c r="A12788" s="2" t="s">
        <v>12788</v>
      </c>
      <c r="B12788" s="2" t="str">
        <f>IFERROR(__xludf.DUMMYFUNCTION("GOOGLETRANSLATE(A12788, ""en"", ""mt"")"),"24–10")</f>
        <v>24–10</v>
      </c>
    </row>
    <row r="12789" ht="15.75" customHeight="1">
      <c r="A12789" s="2" t="s">
        <v>12789</v>
      </c>
      <c r="B12789" s="2" t="str">
        <f>IFERROR(__xludf.DUMMYFUNCTION("GOOGLETRANSLATE(A12789, ""en"", ""mt"")"),"Nuqqas ta 'tejp manjetiku")</f>
        <v>Nuqqas ta 'tejp manjetiku</v>
      </c>
    </row>
    <row r="12790" ht="15.75" customHeight="1">
      <c r="A12790" s="2" t="s">
        <v>12790</v>
      </c>
      <c r="B12790" s="2" t="str">
        <f>IFERROR(__xludf.DUMMYFUNCTION("GOOGLETRANSLATE(A12790, ""en"", ""mt"")"),"Min adotta omm Temüjin biex jgħin biex jintegra t-tribujiet li hu ħakem?")</f>
        <v>Min adotta omm Temüjin biex jgħin biex jintegra t-tribujiet li hu ħakem?</v>
      </c>
    </row>
    <row r="12791" ht="15.75" customHeight="1">
      <c r="A12791" s="2" t="s">
        <v>12791</v>
      </c>
      <c r="B12791" s="2" t="str">
        <f>IFERROR(__xludf.DUMMYFUNCTION("GOOGLETRANSLATE(A12791, ""en"", ""mt"")"),"Kodiċi Yassa")</f>
        <v>Kodiċi Yassa</v>
      </c>
    </row>
    <row r="12792" ht="15.75" customHeight="1">
      <c r="A12792" s="2" t="s">
        <v>12792</v>
      </c>
      <c r="B12792" s="2" t="str">
        <f>IFERROR(__xludf.DUMMYFUNCTION("GOOGLETRANSLATE(A12792, ""en"", ""mt"")"),"Proporzjonalment man-numru ta 'voti riċevuti fit-tieni vot tal-votazzjoni bl-użu tal-metodu D'Hondt")</f>
        <v>Proporzjonalment man-numru ta 'voti riċevuti fit-tieni vot tal-votazzjoni bl-użu tal-metodu D'Hondt</v>
      </c>
    </row>
    <row r="12793" ht="15.75" customHeight="1">
      <c r="A12793" s="2" t="s">
        <v>12793</v>
      </c>
      <c r="B12793" s="2" t="str">
        <f>IFERROR(__xludf.DUMMYFUNCTION("GOOGLETRANSLATE(A12793, ""en"", ""mt"")"),"madwar 500")</f>
        <v>madwar 500</v>
      </c>
    </row>
    <row r="12794" ht="15.75" customHeight="1">
      <c r="A12794" s="2" t="s">
        <v>12794</v>
      </c>
      <c r="B12794" s="2" t="str">
        <f>IFERROR(__xludf.DUMMYFUNCTION("GOOGLETRANSLATE(A12794, ""en"", ""mt"")"),"X’qal Luther patrijiet u sorijiet dwar il-wegħdiet tagħhom?")</f>
        <v>X’qal Luther patrijiet u sorijiet dwar il-wegħdiet tagħhom?</v>
      </c>
    </row>
    <row r="12795" ht="15.75" customHeight="1">
      <c r="A12795" s="2" t="s">
        <v>12795</v>
      </c>
      <c r="B12795" s="2" t="str">
        <f>IFERROR(__xludf.DUMMYFUNCTION("GOOGLETRANSLATE(A12795, ""en"", ""mt"")"),"Gateshead")</f>
        <v>Gateshead</v>
      </c>
    </row>
    <row r="12796" ht="15.75" customHeight="1">
      <c r="A12796" s="2" t="s">
        <v>12796</v>
      </c>
      <c r="B12796" s="2" t="str">
        <f>IFERROR(__xludf.DUMMYFUNCTION("GOOGLETRANSLATE(A12796, ""en"", ""mt"")"),"Liema apparat teoretiku huwa attribwit lil Alan Turing?")</f>
        <v>Liema apparat teoretiku huwa attribwit lil Alan Turing?</v>
      </c>
    </row>
    <row r="12797" ht="15.75" customHeight="1">
      <c r="A12797" s="2" t="s">
        <v>12797</v>
      </c>
      <c r="B12797" s="2" t="str">
        <f>IFERROR(__xludf.DUMMYFUNCTION("GOOGLETRANSLATE(A12797, ""en"", ""mt"")"),"Dħul rilevanti aħjar")</f>
        <v>Dħul rilevanti aħjar</v>
      </c>
    </row>
    <row r="12798" ht="15.75" customHeight="1">
      <c r="A12798" s="2" t="s">
        <v>12798</v>
      </c>
      <c r="B12798" s="2" t="str">
        <f>IFERROR(__xludf.DUMMYFUNCTION("GOOGLETRANSLATE(A12798, ""en"", ""mt"")"),"L-iżvilupp tal-bajd fertilizzat huwa dirett, fi kliem ieħor m'hemm l-ebda forma ta 'larva distintiva, u l-minorenni tal-gruppi kollha ġeneralment jixbhu lill-adulti taċ-ċidippidi żgħar. Fil-ġeneru Beroe, il-minorenni, bħall-adulti, m'għandhomx tentakli u "&amp;"għant tat-tentaklu. Fil-biċċa l-kbira tal-ispeċi l-minorenni jiżviluppaw gradwalment il-forom tal-ġisem tal-ġenituri tagħhom. F’xi gruppi, bħalma huma l-platyctenids ċatti u fil-qiegħ, il-minorenni jġibu ruħhom aktar bħal larva vera, hekk kif jgħixu fost "&amp;"il-plankton u b’hekk jokkupaw niċċa ekoloġika differenti mill-ġenituri tagħhom u jilħqu l-forma adulta minn metamorfosi aktar radikali, wara Waqqa 'lejn il-qiegħ tal-baħar.")</f>
        <v>L-iżvilupp tal-bajd fertilizzat huwa dirett, fi kliem ieħor m'hemm l-ebda forma ta 'larva distintiva, u l-minorenni tal-gruppi kollha ġeneralment jixbhu lill-adulti taċ-ċidippidi żgħar. Fil-ġeneru Beroe, il-minorenni, bħall-adulti, m'għandhomx tentakli u għant tat-tentaklu. Fil-biċċa l-kbira tal-ispeċi l-minorenni jiżviluppaw gradwalment il-forom tal-ġisem tal-ġenituri tagħhom. F’xi gruppi, bħalma huma l-platyctenids ċatti u fil-qiegħ, il-minorenni jġibu ruħhom aktar bħal larva vera, hekk kif jgħixu fost il-plankton u b’hekk jokkupaw niċċa ekoloġika differenti mill-ġenituri tagħhom u jilħqu l-forma adulta minn metamorfosi aktar radikali, wara Waqqa 'lejn il-qiegħ tal-baħar.</v>
      </c>
    </row>
    <row r="12799" ht="15.75" customHeight="1">
      <c r="A12799" s="2" t="s">
        <v>12799</v>
      </c>
      <c r="B12799" s="2" t="str">
        <f>IFERROR(__xludf.DUMMYFUNCTION("GOOGLETRANSLATE(A12799, ""en"", ""mt"")"),"kondensatur")</f>
        <v>kondensatur</v>
      </c>
    </row>
    <row r="12800" ht="15.75" customHeight="1">
      <c r="A12800" s="2" t="s">
        <v>12800</v>
      </c>
      <c r="B12800" s="2" t="str">
        <f>IFERROR(__xludf.DUMMYFUNCTION("GOOGLETRANSLATE(A12800, ""en"", ""mt"")"),"Baħar Kaspjan")</f>
        <v>Baħar Kaspjan</v>
      </c>
    </row>
    <row r="12801" ht="15.75" customHeight="1">
      <c r="A12801" s="2" t="s">
        <v>12801</v>
      </c>
      <c r="B12801" s="2" t="str">
        <f>IFERROR(__xludf.DUMMYFUNCTION("GOOGLETRANSLATE(A12801, ""en"", ""mt"")"),"L-Hoppings, reputazzjoni l-akbar fiera tal-ivvjaġġar fl-Ewropa, isseħħ fuq Newcastle Town Moor kull Ġunju. L-avveniment għandu l-oriġini tiegħu fil-moviment tat-tempra matul il-bidu tas-snin 1880 u jikkoinċidi mal-ġimgħa tat-tellieqa annwali fil-High Gosf"&amp;"orth Park. Newcastle Community Green Festival, li jiddikjara li huwa l-ikbar festival ambjentali tal-komunità b'xejn tar-Renju Unit, iseħħ ukoll kull Ġunju, fil-Leazes Park. Iċ-ċiklun tal-blat tat-tramuntana, festival taċ-ċikliżmu, iseħħ fi ħdan, jew jibd"&amp;"a minn, Newcastle f'Ġunju. Il-Festival u l-Parata tat-Tramuntana tal-Pride isiru fil-Leazes Park u fil-komunità omosesswali tal-belt f'nofs Lulju. Il-Festival ta 'Ouseburn, festival ta' tmiem il-ġimgħa orjentat lejn il-familja ħdejn iċ-ċentru tal-belt, li"&amp;" jinkorpora ""jum ta 'gost tal-familja"" u ""jum tal-karnival"", sar fl-aħħar ta' Lulju.")</f>
        <v>L-Hoppings, reputazzjoni l-akbar fiera tal-ivvjaġġar fl-Ewropa, isseħħ fuq Newcastle Town Moor kull Ġunju. L-avveniment għandu l-oriġini tiegħu fil-moviment tat-tempra matul il-bidu tas-snin 1880 u jikkoinċidi mal-ġimgħa tat-tellieqa annwali fil-High Gosforth Park. Newcastle Community Green Festival, li jiddikjara li huwa l-ikbar festival ambjentali tal-komunità b'xejn tar-Renju Unit, iseħħ ukoll kull Ġunju, fil-Leazes Park. Iċ-ċiklun tal-blat tat-tramuntana, festival taċ-ċikliżmu, iseħħ fi ħdan, jew jibda minn, Newcastle f'Ġunju. Il-Festival u l-Parata tat-Tramuntana tal-Pride isiru fil-Leazes Park u fil-komunità omosesswali tal-belt f'nofs Lulju. Il-Festival ta 'Ouseburn, festival ta' tmiem il-ġimgħa orjentat lejn il-familja ħdejn iċ-ċentru tal-belt, li jinkorpora "jum ta 'gost tal-familja" u "jum tal-karnival", sar fl-aħħar ta' Lulju.</v>
      </c>
    </row>
    <row r="12802" ht="15.75" customHeight="1">
      <c r="A12802" s="2" t="s">
        <v>12802</v>
      </c>
      <c r="B12802" s="2" t="str">
        <f>IFERROR(__xludf.DUMMYFUNCTION("GOOGLETRANSLATE(A12802, ""en"", ""mt"")"),"Minn mill-inqas is-seklu 14")</f>
        <v>Minn mill-inqas is-seklu 14</v>
      </c>
    </row>
    <row r="12803" ht="15.75" customHeight="1">
      <c r="A12803" s="2" t="s">
        <v>12803</v>
      </c>
      <c r="B12803" s="2" t="str">
        <f>IFERROR(__xludf.DUMMYFUNCTION("GOOGLETRANSLATE(A12803, ""en"", ""mt"")"),"Kif wasal il-wan biex ikollu l-4 skejjel tal-mediċina?")</f>
        <v>Kif wasal il-wan biex ikollu l-4 skejjel tal-mediċina?</v>
      </c>
    </row>
    <row r="12804" ht="15.75" customHeight="1">
      <c r="A12804" s="2" t="s">
        <v>12804</v>
      </c>
      <c r="B12804" s="2" t="str">
        <f>IFERROR(__xludf.DUMMYFUNCTION("GOOGLETRANSLATE(A12804, ""en"", ""mt"")"),"Min interċetta pass Manning, u ta l-ballun lura lill-Panthers?")</f>
        <v>Min interċetta pass Manning, u ta l-ballun lura lill-Panthers?</v>
      </c>
    </row>
    <row r="12805" ht="15.75" customHeight="1">
      <c r="A12805" s="2" t="s">
        <v>12805</v>
      </c>
      <c r="B12805" s="2" t="str">
        <f>IFERROR(__xludf.DUMMYFUNCTION("GOOGLETRANSLATE(A12805, ""en"", ""mt"")"),"Brothers &amp; Sisters")</f>
        <v>Brothers &amp; Sisters</v>
      </c>
    </row>
    <row r="12806" ht="15.75" customHeight="1">
      <c r="A12806" s="2" t="s">
        <v>12806</v>
      </c>
      <c r="B12806" s="2" t="str">
        <f>IFERROR(__xludf.DUMMYFUNCTION("GOOGLETRANSLATE(A12806, ""en"", ""mt"")"),"is- ""Super Bowl tad-Deheb""")</f>
        <v>is- "Super Bowl tad-Deheb"</v>
      </c>
    </row>
    <row r="12807" ht="15.75" customHeight="1">
      <c r="A12807" s="2" t="s">
        <v>12807</v>
      </c>
      <c r="B12807" s="2" t="str">
        <f>IFERROR(__xludf.DUMMYFUNCTION("GOOGLETRANSLATE(A12807, ""en"", ""mt"")"),"Wieħed minn kull ħamsa")</f>
        <v>Wieħed minn kull ħamsa</v>
      </c>
    </row>
    <row r="12808" ht="15.75" customHeight="1">
      <c r="A12808" s="2" t="s">
        <v>12808</v>
      </c>
      <c r="B12808" s="2" t="str">
        <f>IFERROR(__xludf.DUMMYFUNCTION("GOOGLETRANSLATE(A12808, ""en"", ""mt"")"),"Problemi iebsa mill-NP")</f>
        <v>Problemi iebsa mill-NP</v>
      </c>
    </row>
    <row r="12809" ht="15.75" customHeight="1">
      <c r="A12809" s="2" t="s">
        <v>12809</v>
      </c>
      <c r="B12809" s="2" t="str">
        <f>IFERROR(__xludf.DUMMYFUNCTION("GOOGLETRANSLATE(A12809, ""en"", ""mt"")"),"Biljetti intelliġenti")</f>
        <v>Biljetti intelliġenti</v>
      </c>
    </row>
    <row r="12810" ht="15.75" customHeight="1">
      <c r="A12810" s="2" t="s">
        <v>12810</v>
      </c>
      <c r="B12810" s="2" t="str">
        <f>IFERROR(__xludf.DUMMYFUNCTION("GOOGLETRANSLATE(A12810, ""en"", ""mt"")"),"Xi jsostnu xi teoriji dwar id-diżubbidjenza ċivili?")</f>
        <v>Xi jsostnu xi teoriji dwar id-diżubbidjenza ċivili?</v>
      </c>
    </row>
    <row r="12811" ht="15.75" customHeight="1">
      <c r="A12811" s="2" t="s">
        <v>12811</v>
      </c>
      <c r="B12811" s="2" t="str">
        <f>IFERROR(__xludf.DUMMYFUNCTION("GOOGLETRANSLATE(A12811, ""en"", ""mt"")"),"Liema artist għandu biċċa xogħol artistiku tiegħu li jinsab fil-Mall Fulton?")</f>
        <v>Liema artist għandu biċċa xogħol artistiku tiegħu li jinsab fil-Mall Fulton?</v>
      </c>
    </row>
    <row r="12812" ht="15.75" customHeight="1">
      <c r="A12812" s="2" t="s">
        <v>12812</v>
      </c>
      <c r="B12812" s="2" t="str">
        <f>IFERROR(__xludf.DUMMYFUNCTION("GOOGLETRANSLATE(A12812, ""en"", ""mt"")"),"Bini tal-Parlament Skoċċiż")</f>
        <v>Bini tal-Parlament Skoċċiż</v>
      </c>
    </row>
    <row r="12813" ht="15.75" customHeight="1">
      <c r="A12813" s="2" t="s">
        <v>12813</v>
      </c>
      <c r="B12813" s="2" t="str">
        <f>IFERROR(__xludf.DUMMYFUNCTION("GOOGLETRANSLATE(A12813, ""en"", ""mt"")"),"B'liema proċess isir l-ossiġnu singlet fit-tropophere?")</f>
        <v>B'liema proċess isir l-ossiġnu singlet fit-tropophere?</v>
      </c>
    </row>
    <row r="12814" ht="15.75" customHeight="1">
      <c r="A12814" s="2" t="s">
        <v>12814</v>
      </c>
      <c r="B12814" s="2" t="str">
        <f>IFERROR(__xludf.DUMMYFUNCTION("GOOGLETRANSLATE(A12814, ""en"", ""mt"")"),"Qabel it-tluq ta 'Braddock")</f>
        <v>Qabel it-tluq ta 'Braddock</v>
      </c>
    </row>
    <row r="12815" ht="15.75" customHeight="1">
      <c r="A12815" s="2" t="s">
        <v>12815</v>
      </c>
      <c r="B12815" s="2" t="str">
        <f>IFERROR(__xludf.DUMMYFUNCTION("GOOGLETRANSLATE(A12815, ""en"", ""mt"")"),"Meta Robert Crispin tela 'kontra t-Torok?")</f>
        <v>Meta Robert Crispin tela 'kontra t-Torok?</v>
      </c>
    </row>
    <row r="12816" ht="15.75" customHeight="1">
      <c r="A12816" s="2" t="s">
        <v>12816</v>
      </c>
      <c r="B12816" s="2" t="str">
        <f>IFERROR(__xludf.DUMMYFUNCTION("GOOGLETRANSLATE(A12816, ""en"", ""mt"")"),"Halo")</f>
        <v>Halo</v>
      </c>
    </row>
    <row r="12817" ht="15.75" customHeight="1">
      <c r="A12817" s="2" t="s">
        <v>12817</v>
      </c>
      <c r="B12817" s="2" t="str">
        <f>IFERROR(__xludf.DUMMYFUNCTION("GOOGLETRANSLATE(A12817, ""en"", ""mt"")")," L-istabbiliment tal-Seamans ta 'kumitat ad-hoc immexxi mill-assistent tekniku speċjali tiegħu Nicholas E. Golovin f'Lulju 1961, biex jirrakkomanda vettura ta' tnedija li għandha tintuża fil-programm Apollo, kienet tirrappreżenta punt ta 'bidla fid-deċiżj"&amp;"oni tal-mod tal-missjoni tan-NASA. Dan il-kumitat irrikonoxxa li l-mod magħżul kien parti importanti mill-għażla tal-vettura tat-tnedija, u rrakkomandat favur modalità ibrida EOR-Lor. Il-konsiderazzjoni tagħha ta 'LOR - kif ukoll ix-xogħol bla waqfien ta'"&amp;" Houbolt - kellu rwol importanti fil-pubbliċità tal-fattibbiltà tal-approċċ. Fl-aħħar tal-1961 u l-bidu tal-1962, il-membri taċ-Ċentru tal-Vetturi spazjali bl-ekwipaġġ bdew jidħlu biex jappoġġjaw LOR, inkluż id-Deputat Direttur li għadu kif ġie mikri fl-U"&amp;"ffiċċju tat-Titjira Spazjali tal-Manned, Joseph Shea, li sar champion ta 'Lor. L-inġiniera fiċ-Ċentru tat-Titjira Spazjali Marshall (MSFC) ħadu aktar żmien biex isiru konvinti mill-merti tiegħu, iżda l-konverżjoni tagħhom ġiet imħabbra minn Wernher von Br"&amp;"aun waqt informazzjoni f'Ġunju 1962.")</f>
        <v> L-istabbiliment tal-Seamans ta 'kumitat ad-hoc immexxi mill-assistent tekniku speċjali tiegħu Nicholas E. Golovin f'Lulju 1961, biex jirrakkomanda vettura ta' tnedija li għandha tintuża fil-programm Apollo, kienet tirrappreżenta punt ta 'bidla fid-deċiżjoni tal-mod tal-missjoni tan-NASA. Dan il-kumitat irrikonoxxa li l-mod magħżul kien parti importanti mill-għażla tal-vettura tat-tnedija, u rrakkomandat favur modalità ibrida EOR-Lor. Il-konsiderazzjoni tagħha ta 'LOR - kif ukoll ix-xogħol bla waqfien ta' Houbolt - kellu rwol importanti fil-pubbliċità tal-fattibbiltà tal-approċċ. Fl-aħħar tal-1961 u l-bidu tal-1962, il-membri taċ-Ċentru tal-Vetturi spazjali bl-ekwipaġġ bdew jidħlu biex jappoġġjaw LOR, inkluż id-Deputat Direttur li għadu kif ġie mikri fl-Uffiċċju tat-Titjira Spazjali tal-Manned, Joseph Shea, li sar champion ta 'Lor. L-inġiniera fiċ-Ċentru tat-Titjira Spazjali Marshall (MSFC) ħadu aktar żmien biex isiru konvinti mill-merti tiegħu, iżda l-konverżjoni tagħhom ġiet imħabbra minn Wernher von Braun waqt informazzjoni f'Ġunju 1962.</v>
      </c>
    </row>
    <row r="12818" ht="15.75" customHeight="1">
      <c r="A12818" s="2" t="s">
        <v>12818</v>
      </c>
      <c r="B12818" s="2" t="str">
        <f>IFERROR(__xludf.DUMMYFUNCTION("GOOGLETRANSLATE(A12818, ""en"", ""mt"")"),"L-FBI ordna lill-kustodju tal-propjetà aljena biex jaħtaf l-affarijiet ta 'Tesla")</f>
        <v>L-FBI ordna lill-kustodju tal-propjetà aljena biex jaħtaf l-affarijiet ta 'Tesla</v>
      </c>
    </row>
    <row r="12819" ht="15.75" customHeight="1">
      <c r="A12819" s="2" t="s">
        <v>12819</v>
      </c>
      <c r="B12819" s="2" t="str">
        <f>IFERROR(__xludf.DUMMYFUNCTION("GOOGLETRANSLATE(A12819, ""en"", ""mt"")"),"Sussegwentement, Californios (mhux sodisfatti bit-taxxi u l-liġijiet tal-art inġusti) u s-southers favur l-iskjavitù fil- ""kontej tal-baqar"" popolati ħafif fin-Nofsinhar ta 'California li ppruvaw tliet darbiet fl-1850s biex jiksbu stat ta' stat separat "&amp;"jew territorjali separat mit-Tramuntana ta 'California. L-aħħar attentat, l-Att Pico tal-1859, ġie mgħoddi mil-Leġislatura tal-Istat ta ’Kalifornja u ffirmat mill-Gvernatur tal-Istat John B. Weller. Ġie approvat bil-kbir bi kważi 75% tal-votanti fit-terri"&amp;"torju propost ta 'Colorado. Dan it-territorju kellu jinkludi l-kontej kollha sal-Kontea ta 'Tulare ħafna dak iż-żmien ikbar (li kien jinkludi dak li issa huwa Kings, ħafna mill-Kern, u parti mill-kontej Inyo) u l-Kontea ta' San Luis Obispo. Il-proposta nt"&amp;"bagħtet lil Washington, D.C. ma 'avukat qawwi fis-Senatur Milton Latham. Madankollu, il-kriżi tas-seċessjoni wara l-elezzjoni ta 'Abraham Lincoln fl-1860 wasslet għall-proposta li qatt ma tasal għal vot.")</f>
        <v>Sussegwentement, Californios (mhux sodisfatti bit-taxxi u l-liġijiet tal-art inġusti) u s-southers favur l-iskjavitù fil- "kontej tal-baqar" popolati ħafif fin-Nofsinhar ta 'California li ppruvaw tliet darbiet fl-1850s biex jiksbu stat ta' stat separat jew territorjali separat mit-Tramuntana ta 'California. L-aħħar attentat, l-Att Pico tal-1859, ġie mgħoddi mil-Leġislatura tal-Istat ta ’Kalifornja u ffirmat mill-Gvernatur tal-Istat John B. Weller. Ġie approvat bil-kbir bi kważi 75% tal-votanti fit-territorju propost ta 'Colorado. Dan it-territorju kellu jinkludi l-kontej kollha sal-Kontea ta 'Tulare ħafna dak iż-żmien ikbar (li kien jinkludi dak li issa huwa Kings, ħafna mill-Kern, u parti mill-kontej Inyo) u l-Kontea ta' San Luis Obispo. Il-proposta ntbagħtet lil Washington, D.C. ma 'avukat qawwi fis-Senatur Milton Latham. Madankollu, il-kriżi tas-seċessjoni wara l-elezzjoni ta 'Abraham Lincoln fl-1860 wasslet għall-proposta li qatt ma tasal għal vot.</v>
      </c>
    </row>
    <row r="12820" ht="15.75" customHeight="1">
      <c r="A12820" s="2" t="s">
        <v>12820</v>
      </c>
      <c r="B12820" s="2" t="str">
        <f>IFERROR(__xludf.DUMMYFUNCTION("GOOGLETRANSLATE(A12820, ""en"", ""mt"")"),"X’użat Gou għall-Astronomija?")</f>
        <v>X’użat Gou għall-Astronomija?</v>
      </c>
    </row>
    <row r="12821" ht="15.75" customHeight="1">
      <c r="A12821" s="2" t="s">
        <v>12821</v>
      </c>
      <c r="B12821" s="2" t="str">
        <f>IFERROR(__xludf.DUMMYFUNCTION("GOOGLETRANSLATE(A12821, ""en"", ""mt"")"),"Isqfijiet tal-Knisja")</f>
        <v>Isqfijiet tal-Knisja</v>
      </c>
    </row>
    <row r="12822" ht="15.75" customHeight="1">
      <c r="A12822" s="2" t="s">
        <v>12822</v>
      </c>
      <c r="B12822" s="2" t="str">
        <f>IFERROR(__xludf.DUMMYFUNCTION("GOOGLETRANSLATE(A12822, ""en"", ""mt"")"),"Eventwalment, in-Normanni ingħaqdu man-nies tan-nies, u jgħaqqdu l-lingwi u t-tradizzjonijiet. Matul il-gwerra tal-mitt sena, l-aristokrazija Norman spiss identifikat ruħha bħala l-Ingliż. Il-lingwa Anglo-Norman saret distinta mil-lingwa Latina, xi ħaġa l"&amp;"i kienet is-suġġett ta 'xi umoriżmu minn Geoffrey Chaucer. Il-lingwa Anglo-Norman eventwalment ġiet assorbita fil-lingwa Anglo-Sassona tas-suġġetti tagħhom (ara l-Ingliż il-Qadim) u influwenzatha, tgħin (flimkien mal-lingwa Norveġja tal-kolonizzaturi Angl"&amp;"o-Norse preċedenti u l-Latin użati mill-Knisja) fil - Żvilupp tal-Ingliż Nofsani. Min-naħa tiegħu evolva fl-Ingliż modern.")</f>
        <v>Eventwalment, in-Normanni ingħaqdu man-nies tan-nies, u jgħaqqdu l-lingwi u t-tradizzjonijiet. Matul il-gwerra tal-mitt sena, l-aristokrazija Norman spiss identifikat ruħha bħala l-Ingliż. Il-lingwa Anglo-Norman saret distinta mil-lingwa Latina, xi ħaġa li kienet is-suġġett ta 'xi umoriżmu minn Geoffrey Chaucer. Il-lingwa Anglo-Norman eventwalment ġiet assorbita fil-lingwa Anglo-Sassona tas-suġġetti tagħhom (ara l-Ingliż il-Qadim) u influwenzatha, tgħin (flimkien mal-lingwa Norveġja tal-kolonizzaturi Anglo-Norse preċedenti u l-Latin użati mill-Knisja) fil - Żvilupp tal-Ingliż Nofsani. Min-naħa tiegħu evolva fl-Ingliż modern.</v>
      </c>
    </row>
    <row r="12823" ht="15.75" customHeight="1">
      <c r="A12823" s="2" t="s">
        <v>12823</v>
      </c>
      <c r="B12823" s="2" t="str">
        <f>IFERROR(__xludf.DUMMYFUNCTION("GOOGLETRANSLATE(A12823, ""en"", ""mt"")"),"biex sistema tiffunzjona")</f>
        <v>biex sistema tiffunzjona</v>
      </c>
    </row>
    <row r="12824" ht="15.75" customHeight="1">
      <c r="A12824" s="2" t="s">
        <v>12824</v>
      </c>
      <c r="B12824" s="2" t="str">
        <f>IFERROR(__xludf.DUMMYFUNCTION("GOOGLETRANSLATE(A12824, ""en"", ""mt"")"),"Sport uffiċjali tal-iskola")</f>
        <v>Sport uffiċjali tal-iskola</v>
      </c>
    </row>
    <row r="12825" ht="15.75" customHeight="1">
      <c r="A12825" s="2" t="s">
        <v>12825</v>
      </c>
      <c r="B12825" s="2" t="str">
        <f>IFERROR(__xludf.DUMMYFUNCTION("GOOGLETRANSLATE(A12825, ""en"", ""mt"")"),"494,665")</f>
        <v>494,665</v>
      </c>
    </row>
    <row r="12826" ht="15.75" customHeight="1">
      <c r="A12826" s="2" t="s">
        <v>12826</v>
      </c>
      <c r="B12826" s="2" t="str">
        <f>IFERROR(__xludf.DUMMYFUNCTION("GOOGLETRANSLATE(A12826, ""en"", ""mt"")"),"L-istudju tal-2012 wera lill-għalliema esperjenzaw aktar stress minn min?")</f>
        <v>L-istudju tal-2012 wera lill-għalliema esperjenzaw aktar stress minn min?</v>
      </c>
    </row>
    <row r="12827" ht="15.75" customHeight="1">
      <c r="A12827" s="2" t="s">
        <v>12827</v>
      </c>
      <c r="B12827" s="2" t="str">
        <f>IFERROR(__xludf.DUMMYFUNCTION("GOOGLETRANSLATE(A12827, ""en"", ""mt"")"),"L-Amerika t'Isfel Amerikana")</f>
        <v>L-Amerika t'Isfel Amerikana</v>
      </c>
    </row>
    <row r="12828" ht="15.75" customHeight="1">
      <c r="A12828" s="2" t="s">
        <v>12828</v>
      </c>
      <c r="B12828" s="2" t="str">
        <f>IFERROR(__xludf.DUMMYFUNCTION("GOOGLETRANSLATE(A12828, ""en"", ""mt"")"),"Min qatel Harold II?")</f>
        <v>Min qatel Harold II?</v>
      </c>
    </row>
    <row r="12829" ht="15.75" customHeight="1">
      <c r="A12829" s="2" t="s">
        <v>12829</v>
      </c>
      <c r="B12829" s="2" t="str">
        <f>IFERROR(__xludf.DUMMYFUNCTION("GOOGLETRANSLATE(A12829, ""en"", ""mt"")"),"Ohio Company of Virginia")</f>
        <v>Ohio Company of Virginia</v>
      </c>
    </row>
    <row r="12830" ht="15.75" customHeight="1">
      <c r="A12830" s="2" t="s">
        <v>12830</v>
      </c>
      <c r="B12830" s="2" t="str">
        <f>IFERROR(__xludf.DUMMYFUNCTION("GOOGLETRANSLATE(A12830, ""en"", ""mt"")"),"fihom muskolu strijat,")</f>
        <v>fihom muskolu strijat,</v>
      </c>
    </row>
    <row r="12831" ht="15.75" customHeight="1">
      <c r="A12831" s="2" t="s">
        <v>12831</v>
      </c>
      <c r="B12831" s="2" t="str">
        <f>IFERROR(__xludf.DUMMYFUNCTION("GOOGLETRANSLATE(A12831, ""en"", ""mt"")"),"Mesoglea")</f>
        <v>Mesoglea</v>
      </c>
    </row>
    <row r="12832" ht="15.75" customHeight="1">
      <c r="A12832" s="2" t="s">
        <v>12832</v>
      </c>
      <c r="B12832" s="2" t="str">
        <f>IFERROR(__xludf.DUMMYFUNCTION("GOOGLETRANSLATE(A12832, ""en"", ""mt"")"),"B")</f>
        <v>B</v>
      </c>
    </row>
    <row r="12833" ht="15.75" customHeight="1">
      <c r="A12833" s="2" t="s">
        <v>12833</v>
      </c>
      <c r="B12833" s="2" t="str">
        <f>IFERROR(__xludf.DUMMYFUNCTION("GOOGLETRANSLATE(A12833, ""en"", ""mt"")"),"1 / (1-P) n")</f>
        <v>1 / (1-P) n</v>
      </c>
    </row>
    <row r="12834" ht="15.75" customHeight="1">
      <c r="A12834" s="2" t="s">
        <v>12834</v>
      </c>
      <c r="B12834" s="2" t="str">
        <f>IFERROR(__xludf.DUMMYFUNCTION("GOOGLETRANSLATE(A12834, ""en"", ""mt"")"),"Il-Mesoglea")</f>
        <v>Il-Mesoglea</v>
      </c>
    </row>
    <row r="12835" ht="15.75" customHeight="1">
      <c r="A12835" s="2" t="s">
        <v>12835</v>
      </c>
      <c r="B12835" s="2" t="str">
        <f>IFERROR(__xludf.DUMMYFUNCTION("GOOGLETRANSLATE(A12835, ""en"", ""mt"")"),"Tesla tqajmet Kristjan Ortodoss. Aktar tard f'ħajtu, huwa ma jqisx lilu nnifsu bħala ""fidi fis-sens ortodoss"", u oppona l-fanatiżmu reliġjuż. Minkejja dan, huwa kellu rispett profond kemm għall-Buddiżmu kif ukoll għall-Kristjaneżmu.")</f>
        <v>Tesla tqajmet Kristjan Ortodoss. Aktar tard f'ħajtu, huwa ma jqisx lilu nnifsu bħala "fidi fis-sens ortodoss", u oppona l-fanatiżmu reliġjuż. Minkejja dan, huwa kellu rispett profond kemm għall-Buddiżmu kif ukoll għall-Kristjaneżmu.</v>
      </c>
    </row>
    <row r="12836" ht="15.75" customHeight="1">
      <c r="A12836" s="2" t="s">
        <v>12836</v>
      </c>
      <c r="B12836" s="2" t="str">
        <f>IFERROR(__xludf.DUMMYFUNCTION("GOOGLETRANSLATE(A12836, ""en"", ""mt"")"),"Minbarra 7 u 13, liema intervall ieħor tas-sena jagħmlu cicadas pupate?")</f>
        <v>Minbarra 7 u 13, liema intervall ieħor tas-sena jagħmlu cicadas pupate?</v>
      </c>
    </row>
    <row r="12837" ht="15.75" customHeight="1">
      <c r="A12837" s="2" t="s">
        <v>12837</v>
      </c>
      <c r="B12837" s="2" t="str">
        <f>IFERROR(__xludf.DUMMYFUNCTION("GOOGLETRANSLATE(A12837, ""en"", ""mt"")"),"Kontea ta 'Duval")</f>
        <v>Kontea ta 'Duval</v>
      </c>
    </row>
    <row r="12838" ht="15.75" customHeight="1">
      <c r="A12838" s="2" t="s">
        <v>12838</v>
      </c>
      <c r="B12838" s="2" t="str">
        <f>IFERROR(__xludf.DUMMYFUNCTION("GOOGLETRANSLATE(A12838, ""en"", ""mt"")"),"Kemm-il darba ġie interċettat Manning matul l-istaġun 2015?")</f>
        <v>Kemm-il darba ġie interċettat Manning matul l-istaġun 2015?</v>
      </c>
    </row>
    <row r="12839" ht="15.75" customHeight="1">
      <c r="A12839" s="2" t="s">
        <v>12839</v>
      </c>
      <c r="B12839" s="2" t="str">
        <f>IFERROR(__xludf.DUMMYFUNCTION("GOOGLETRANSLATE(A12839, ""en"", ""mt"")"),"Min waqqaf l-avvanz ta 'Hulagu Khan madwar il-Lvant Nofsani?")</f>
        <v>Min waqqaf l-avvanz ta 'Hulagu Khan madwar il-Lvant Nofsani?</v>
      </c>
    </row>
    <row r="12840" ht="15.75" customHeight="1">
      <c r="A12840" s="2" t="s">
        <v>12840</v>
      </c>
      <c r="B12840" s="2" t="str">
        <f>IFERROR(__xludf.DUMMYFUNCTION("GOOGLETRANSLATE(A12840, ""en"", ""mt"")"),"Teologi u mibgħuta papali")</f>
        <v>Teologi u mibgħuta papali</v>
      </c>
    </row>
    <row r="12841" ht="15.75" customHeight="1">
      <c r="A12841" s="2" t="s">
        <v>12841</v>
      </c>
      <c r="B12841" s="2" t="str">
        <f>IFERROR(__xludf.DUMMYFUNCTION("GOOGLETRANSLATE(A12841, ""en"", ""mt"")"),"Flimkien mal-ġugarelli, fejn tipikament jintużaw magni tal-fwar taċ-ċilindru li joxxillaw?")</f>
        <v>Flimkien mal-ġugarelli, fejn tipikament jintużaw magni tal-fwar taċ-ċilindru li joxxillaw?</v>
      </c>
    </row>
    <row r="12842" ht="15.75" customHeight="1">
      <c r="A12842" s="2" t="s">
        <v>12842</v>
      </c>
      <c r="B12842" s="2" t="str">
        <f>IFERROR(__xludf.DUMMYFUNCTION("GOOGLETRANSLATE(A12842, ""en"", ""mt"")"),"Fkieren Ninja Mutanti Teenage")</f>
        <v>Fkieren Ninja Mutanti Teenage</v>
      </c>
    </row>
    <row r="12843" ht="15.75" customHeight="1">
      <c r="A12843" s="2" t="s">
        <v>12843</v>
      </c>
      <c r="B12843" s="2" t="str">
        <f>IFERROR(__xludf.DUMMYFUNCTION("GOOGLETRANSLATE(A12843, ""en"", ""mt"")"),"Min sar is-sultan tal-Gżejjer Kanarji?")</f>
        <v>Min sar is-sultan tal-Gżejjer Kanarji?</v>
      </c>
    </row>
    <row r="12844" ht="15.75" customHeight="1">
      <c r="A12844" s="2" t="s">
        <v>12844</v>
      </c>
      <c r="B12844" s="2" t="str">
        <f>IFERROR(__xludf.DUMMYFUNCTION("GOOGLETRANSLATE(A12844, ""en"", ""mt"")"),"Netwerking avvanzat ta 'riċerka u edukazzjoni")</f>
        <v>Netwerking avvanzat ta 'riċerka u edukazzjoni</v>
      </c>
    </row>
    <row r="12845" ht="15.75" customHeight="1">
      <c r="A12845" s="2" t="s">
        <v>12845</v>
      </c>
      <c r="B12845" s="2" t="str">
        <f>IFERROR(__xludf.DUMMYFUNCTION("GOOGLETRANSLATE(A12845, ""en"", ""mt"")"),"Elettrifikat, iddawwar f'ċirku bil-halos blu tan-nar ta 'San Elmo madwar il-ġwienaħ tagħhom")</f>
        <v>Elettrifikat, iddawwar f'ċirku bil-halos blu tan-nar ta 'San Elmo madwar il-ġwienaħ tagħhom</v>
      </c>
    </row>
    <row r="12846" ht="15.75" customHeight="1">
      <c r="A12846" s="2" t="s">
        <v>12846</v>
      </c>
      <c r="B12846" s="2" t="str">
        <f>IFERROR(__xludf.DUMMYFUNCTION("GOOGLETRANSLATE(A12846, ""en"", ""mt"")"),"X'inhu l-isem tal-fond li jiffoka fuq iż-żgħażagħ, il-komunità u l-ambjenti sostenibbli?")</f>
        <v>X'inhu l-isem tal-fond li jiffoka fuq iż-żgħażagħ, il-komunità u l-ambjenti sostenibbli?</v>
      </c>
    </row>
    <row r="12847" ht="15.75" customHeight="1">
      <c r="A12847" s="2" t="s">
        <v>12847</v>
      </c>
      <c r="B12847" s="2" t="str">
        <f>IFERROR(__xludf.DUMMYFUNCTION("GOOGLETRANSLATE(A12847, ""en"", ""mt"")"),"Kif tikklassifika Victoria fir-rigward tad-densità tal-popolazzjoni?")</f>
        <v>Kif tikklassifika Victoria fir-rigward tad-densità tal-popolazzjoni?</v>
      </c>
    </row>
    <row r="12848" ht="15.75" customHeight="1">
      <c r="A12848" s="2" t="s">
        <v>12848</v>
      </c>
      <c r="B12848" s="2" t="str">
        <f>IFERROR(__xludf.DUMMYFUNCTION("GOOGLETRANSLATE(A12848, ""en"", ""mt"")"),"X'inhuma xi proposti biex jgħaqqdu l-kampus?")</f>
        <v>X'inhuma xi proposti biex jgħaqqdu l-kampus?</v>
      </c>
    </row>
    <row r="12849" ht="15.75" customHeight="1">
      <c r="A12849" s="2" t="s">
        <v>12849</v>
      </c>
      <c r="B12849" s="2" t="str">
        <f>IFERROR(__xludf.DUMMYFUNCTION("GOOGLETRANSLATE(A12849, ""en"", ""mt"")"),"Suspettat qed jitkellem ma 'investigaturi kriminali")</f>
        <v>Suspettat qed jitkellem ma 'investigaturi kriminali</v>
      </c>
    </row>
    <row r="12850" ht="15.75" customHeight="1">
      <c r="A12850" s="2" t="s">
        <v>12850</v>
      </c>
      <c r="B12850" s="2" t="str">
        <f>IFERROR(__xludf.DUMMYFUNCTION("GOOGLETRANSLATE(A12850, ""en"", ""mt"")"),"Liema sistema ġiet adottata għall-edukazzjoni?")</f>
        <v>Liema sistema ġiet adottata għall-edukazzjoni?</v>
      </c>
    </row>
    <row r="12851" ht="15.75" customHeight="1">
      <c r="A12851" s="2" t="s">
        <v>12851</v>
      </c>
      <c r="B12851" s="2" t="str">
        <f>IFERROR(__xludf.DUMMYFUNCTION("GOOGLETRANSLATE(A12851, ""en"", ""mt"")"),"Spazjali Apollo Ġdid")</f>
        <v>Spazjali Apollo Ġdid</v>
      </c>
    </row>
    <row r="12852" ht="15.75" customHeight="1">
      <c r="A12852" s="2" t="s">
        <v>12852</v>
      </c>
      <c r="B12852" s="2" t="str">
        <f>IFERROR(__xludf.DUMMYFUNCTION("GOOGLETRANSLATE(A12852, ""en"", ""mt"")"),"Siltiet mid-Dokumentarju Kunfidenzjali tat-Tabib Min")</f>
        <v>Siltiet mid-Dokumentarju Kunfidenzjali tat-Tabib Min</v>
      </c>
    </row>
    <row r="12853" ht="15.75" customHeight="1">
      <c r="A12853" s="2" t="s">
        <v>12853</v>
      </c>
      <c r="B12853" s="2" t="str">
        <f>IFERROR(__xludf.DUMMYFUNCTION("GOOGLETRANSLATE(A12853, ""en"", ""mt"")"),"Kemm kgs tal-blat tal-qamar ġab lura l-programm?")</f>
        <v>Kemm kgs tal-blat tal-qamar ġab lura l-programm?</v>
      </c>
    </row>
    <row r="12854" ht="15.75" customHeight="1">
      <c r="A12854" s="2" t="s">
        <v>12854</v>
      </c>
      <c r="B12854" s="2" t="str">
        <f>IFERROR(__xludf.DUMMYFUNCTION("GOOGLETRANSLATE(A12854, ""en"", ""mt"")"),"Il-Parlament tar-Rabat")</f>
        <v>Il-Parlament tar-Rabat</v>
      </c>
    </row>
    <row r="12855" ht="15.75" customHeight="1">
      <c r="A12855" s="2" t="s">
        <v>12855</v>
      </c>
      <c r="B12855" s="2" t="str">
        <f>IFERROR(__xludf.DUMMYFUNCTION("GOOGLETRANSLATE(A12855, ""en"", ""mt"")"),"X'jista 'jagħmel il-Parlament li jikkawża li l-ugwaljanza u d-demokrazija jkunu defiċjenti?")</f>
        <v>X'jista 'jagħmel il-Parlament li jikkawża li l-ugwaljanza u d-demokrazija jkunu defiċjenti?</v>
      </c>
    </row>
    <row r="12856" ht="15.75" customHeight="1">
      <c r="A12856" s="2" t="s">
        <v>12856</v>
      </c>
      <c r="B12856" s="2" t="str">
        <f>IFERROR(__xludf.DUMMYFUNCTION("GOOGLETRANSLATE(A12856, ""en"", ""mt"")"),"Dak li jagħmel id-DNA vulnerabbli għad-deaminazzjoni?")</f>
        <v>Dak li jagħmel id-DNA vulnerabbli għad-deaminazzjoni?</v>
      </c>
    </row>
    <row r="12857" ht="15.75" customHeight="1">
      <c r="A12857" s="2" t="s">
        <v>12857</v>
      </c>
      <c r="B12857" s="2" t="str">
        <f>IFERROR(__xludf.DUMMYFUNCTION("GOOGLETRANSLATE(A12857, ""en"", ""mt"")"),"Liema spettaklu Amerikan biddel il-fehmiet tar-Rumeni matul il-Gwerra Bierda?")</f>
        <v>Liema spettaklu Amerikan biddel il-fehmiet tar-Rumeni matul il-Gwerra Bierda?</v>
      </c>
    </row>
    <row r="12858" ht="15.75" customHeight="1">
      <c r="A12858" s="2" t="s">
        <v>12858</v>
      </c>
      <c r="B12858" s="2" t="str">
        <f>IFERROR(__xludf.DUMMYFUNCTION("GOOGLETRANSLATE(A12858, ""en"", ""mt"")"),"mużiċisti")</f>
        <v>mużiċisti</v>
      </c>
    </row>
    <row r="12859" ht="15.75" customHeight="1">
      <c r="A12859" s="2" t="s">
        <v>12859</v>
      </c>
      <c r="B12859" s="2" t="str">
        <f>IFERROR(__xludf.DUMMYFUNCTION("GOOGLETRANSLATE(A12859, ""en"", ""mt"")"),"Il-President tal-Università Robert Maynard Hutchins De-enfasizza Varsity Athletics fl-1939")</f>
        <v>Il-President tal-Università Robert Maynard Hutchins De-enfasizza Varsity Athletics fl-1939</v>
      </c>
    </row>
    <row r="12860" ht="15.75" customHeight="1">
      <c r="A12860" s="2" t="s">
        <v>12860</v>
      </c>
      <c r="B12860" s="2" t="str">
        <f>IFERROR(__xludf.DUMMYFUNCTION("GOOGLETRANSLATE(A12860, ""en"", ""mt"")"),"Sekulari u sagru li jkopru kemm Kristjani (Kattoliċi Rumani, Ortodossi Anglikani u Griegi) u bastimenti liturġiċi Lhudija")</f>
        <v>Sekulari u sagru li jkopru kemm Kristjani (Kattoliċi Rumani, Ortodossi Anglikani u Griegi) u bastimenti liturġiċi Lhudija</v>
      </c>
    </row>
    <row r="12861" ht="15.75" customHeight="1">
      <c r="A12861" s="2" t="s">
        <v>12861</v>
      </c>
      <c r="B12861" s="2" t="str">
        <f>IFERROR(__xludf.DUMMYFUNCTION("GOOGLETRANSLATE(A12861, ""en"", ""mt"")"),"Warszawa")</f>
        <v>Warszawa</v>
      </c>
    </row>
    <row r="12862" ht="15.75" customHeight="1">
      <c r="A12862" s="2" t="s">
        <v>12862</v>
      </c>
      <c r="B12862" s="2" t="str">
        <f>IFERROR(__xludf.DUMMYFUNCTION("GOOGLETRANSLATE(A12862, ""en"", ""mt"")"),"Dating għal 1338–39")</f>
        <v>Dating għal 1338–39</v>
      </c>
    </row>
    <row r="12863" ht="15.75" customHeight="1">
      <c r="A12863" s="2" t="s">
        <v>12863</v>
      </c>
      <c r="B12863" s="2" t="str">
        <f>IFERROR(__xludf.DUMMYFUNCTION("GOOGLETRANSLATE(A12863, ""en"", ""mt"")"),"Gvern.")</f>
        <v>Gvern.</v>
      </c>
    </row>
    <row r="12864" ht="15.75" customHeight="1">
      <c r="A12864" s="2" t="s">
        <v>12864</v>
      </c>
      <c r="B12864" s="2" t="str">
        <f>IFERROR(__xludf.DUMMYFUNCTION("GOOGLETRANSLATE(A12864, ""en"", ""mt"")"),"L-istampar tal-bini qed jagħmilha possibbli li jinbnew b'mod flessibbli bini kummerċjali żgħar u abitazzjonijiet privati ​​f'liema ammont ta 'żmien?")</f>
        <v>L-istampar tal-bini qed jagħmilha possibbli li jinbnew b'mod flessibbli bini kummerċjali żgħar u abitazzjonijiet privati ​​f'liema ammont ta 'żmien?</v>
      </c>
    </row>
    <row r="12865" ht="15.75" customHeight="1">
      <c r="A12865" s="2" t="s">
        <v>12865</v>
      </c>
      <c r="B12865" s="2" t="str">
        <f>IFERROR(__xludf.DUMMYFUNCTION("GOOGLETRANSLATE(A12865, ""en"", ""mt"")"),"Meta l-kolonji Spanjoli u Portugiżi kisbu l-indipendenza tagħhom.")</f>
        <v>Meta l-kolonji Spanjoli u Portugiżi kisbu l-indipendenza tagħhom.</v>
      </c>
    </row>
    <row r="12866" ht="15.75" customHeight="1">
      <c r="A12866" s="2" t="s">
        <v>12866</v>
      </c>
      <c r="B12866" s="2" t="str">
        <f>IFERROR(__xludf.DUMMYFUNCTION("GOOGLETRANSLATE(A12866, ""en"", ""mt"")"),"Jet ta 'ilma mkeċċi jmexxihom lura malajr ħafna.")</f>
        <v>Jet ta 'ilma mkeċċi jmexxihom lura malajr ħafna.</v>
      </c>
    </row>
    <row r="12867" ht="15.75" customHeight="1">
      <c r="A12867" s="2" t="s">
        <v>12867</v>
      </c>
      <c r="B12867" s="2" t="str">
        <f>IFERROR(__xludf.DUMMYFUNCTION("GOOGLETRANSLATE(A12867, ""en"", ""mt"")"),"Liema parti hija miżjuda mal-magna Uniflow biex issolvi l-kwistjoni fiċ-ċiklu tal-kontro-fluss?")</f>
        <v>Liema parti hija miżjuda mal-magna Uniflow biex issolvi l-kwistjoni fiċ-ċiklu tal-kontro-fluss?</v>
      </c>
    </row>
    <row r="12868" ht="15.75" customHeight="1">
      <c r="A12868" s="2" t="s">
        <v>12868</v>
      </c>
      <c r="B12868" s="2" t="str">
        <f>IFERROR(__xludf.DUMMYFUNCTION("GOOGLETRANSLATE(A12868, ""en"", ""mt"")"),"Post Ċentrali")</f>
        <v>Post Ċentrali</v>
      </c>
    </row>
    <row r="12869" ht="15.75" customHeight="1">
      <c r="A12869" s="2" t="s">
        <v>12869</v>
      </c>
      <c r="B12869" s="2" t="str">
        <f>IFERROR(__xludf.DUMMYFUNCTION("GOOGLETRANSLATE(A12869, ""en"", ""mt"")"),"Min hu l-ħbieb il-ġdid għall-10 serje tal-qawmien mill-ġdid?")</f>
        <v>Min hu l-ħbieb il-ġdid għall-10 serje tal-qawmien mill-ġdid?</v>
      </c>
    </row>
    <row r="12870" ht="15.75" customHeight="1">
      <c r="A12870" s="2" t="s">
        <v>12870</v>
      </c>
      <c r="B12870" s="2" t="str">
        <f>IFERROR(__xludf.DUMMYFUNCTION("GOOGLETRANSLATE(A12870, ""en"", ""mt"")"),"Għal liema rotta tal-kummerċ Genghis Khan ġab klima politika stabbli?")</f>
        <v>Għal liema rotta tal-kummerċ Genghis Khan ġab klima politika stabbli?</v>
      </c>
    </row>
    <row r="12871" ht="15.75" customHeight="1">
      <c r="A12871" s="2" t="s">
        <v>12871</v>
      </c>
      <c r="B12871" s="2" t="str">
        <f>IFERROR(__xludf.DUMMYFUNCTION("GOOGLETRANSLATE(A12871, ""en"", ""mt"")"),"Acasta Gneiss")</f>
        <v>Acasta Gneiss</v>
      </c>
    </row>
    <row r="12872" ht="15.75" customHeight="1">
      <c r="A12872" s="2" t="s">
        <v>12872</v>
      </c>
      <c r="B12872" s="2" t="str">
        <f>IFERROR(__xludf.DUMMYFUNCTION("GOOGLETRANSLATE(A12872, ""en"", ""mt"")"),"Dak li, min-naħa ta 'għalliem, jista' jirriżulta fi tnaqqis fil-prestazzjoni tal-istudenti")</f>
        <v>Dak li, min-naħa ta 'għalliem, jista' jirriżulta fi tnaqqis fil-prestazzjoni tal-istudenti</v>
      </c>
    </row>
    <row r="12873" ht="15.75" customHeight="1">
      <c r="A12873" s="2" t="s">
        <v>12873</v>
      </c>
      <c r="B12873" s="2" t="str">
        <f>IFERROR(__xludf.DUMMYFUNCTION("GOOGLETRANSLATE(A12873, ""en"", ""mt"")"),"John Houghton,")</f>
        <v>John Houghton,</v>
      </c>
    </row>
    <row r="12874" ht="15.75" customHeight="1">
      <c r="A12874" s="2" t="s">
        <v>12874</v>
      </c>
      <c r="B12874" s="2" t="str">
        <f>IFERROR(__xludf.DUMMYFUNCTION("GOOGLETRANSLATE(A12874, ""en"", ""mt"")"),"Il-forzi tat-tensjoni jistgħu jiġu mmudellati bl-użu ta 'kordi ideali li huma bla massa, mingħajr frizzjoni, li ma jistgħux jinbdew, u li ma jistgħux jiġu stretti. Jistgħu jiġu kkombinati ma 'taljoli ideali, li jippermettu kordi ideali biex jaqilbu d-dire"&amp;"zzjoni fiżika. Strings ideali jittrasmettu forzi ta 'tensjoni istantanjament f'pari ta' reazzjoni ta 'azzjoni sabiex jekk żewġ oġġetti huma konnessi minn korda ideali, kwalunkwe forza diretta tul is-sekwenza mill-ewwel oġġett hija akkumpanjata minn forza "&amp;"diretta tul il-korda fid-direzzjoni opposta mit-tieni oġġett - Billi tikkonnettja l-istess sekwenza bosta drabi mal-istess oġġett permezz tal-użu ta 'set-up li juża taljoli mobbli, il-forza tat-tensjoni fuq tagħbija tista' tiġi mmultiplikata. Għal kull se"&amp;"kwenza li taġixxi fuq tagħbija, fattur ieħor tal-forza tat-tensjoni fis-sekwenza taġixxi fuq it-tagħbija. Madankollu, minkejja li dawn il-magni jippermettu żieda fis-seħħ, hemm żieda korrispondenti fit-tul tal-korda li trid tiġi spostata sabiex tiċċaqlaq "&amp;"it-tagħbija. Dawn l-effetti tandem jirriżultaw fl-aħħar mill-aħħar fil-konservazzjoni tal-enerġija mekkanika peress li x-xogħol magħmul fuq it-tagħbija huwa l-istess irrispettivament minn kemm tkun ikkumplikata l-magna.")</f>
        <v>Il-forzi tat-tensjoni jistgħu jiġu mmudellati bl-użu ta 'kordi ideali li huma bla massa, mingħajr frizzjoni, li ma jistgħux jinbdew, u li ma jistgħux jiġu stretti. Jistgħu jiġu kkombinati ma 'taljoli ideali, li jippermettu kordi ideali biex jaqilbu d-direzzjoni fiżika. Strings ideali jittrasmettu forzi ta 'tensjoni istantanjament f'pari ta' reazzjoni ta 'azzjoni sabiex jekk żewġ oġġetti huma konnessi minn korda ideali, kwalunkwe forza diretta tul is-sekwenza mill-ewwel oġġett hija akkumpanjata minn forza diretta tul il-korda fid-direzzjoni opposta mit-tieni oġġett - Billi tikkonnettja l-istess sekwenza bosta drabi mal-istess oġġett permezz tal-użu ta 'set-up li juża taljoli mobbli, il-forza tat-tensjoni fuq tagħbija tista' tiġi mmultiplikata. Għal kull sekwenza li taġixxi fuq tagħbija, fattur ieħor tal-forza tat-tensjoni fis-sekwenza taġixxi fuq it-tagħbija. Madankollu, minkejja li dawn il-magni jippermettu żieda fis-seħħ, hemm żieda korrispondenti fit-tul tal-korda li trid tiġi spostata sabiex tiċċaqlaq it-tagħbija. Dawn l-effetti tandem jirriżultaw fl-aħħar mill-aħħar fil-konservazzjoni tal-enerġija mekkanika peress li x-xogħol magħmul fuq it-tagħbija huwa l-istess irrispettivament minn kemm tkun ikkumplikata l-magna.</v>
      </c>
    </row>
    <row r="12875" ht="15.75" customHeight="1">
      <c r="A12875" s="2" t="s">
        <v>12875</v>
      </c>
      <c r="B12875" s="2" t="str">
        <f>IFERROR(__xludf.DUMMYFUNCTION("GOOGLETRANSLATE(A12875, ""en"", ""mt"")"),"Il-kapitolu soċjali huwa kapitolu ta 'liema trattat?")</f>
        <v>Il-kapitolu soċjali huwa kapitolu ta 'liema trattat?</v>
      </c>
    </row>
    <row r="12876" ht="15.75" customHeight="1">
      <c r="A12876" s="2" t="s">
        <v>12876</v>
      </c>
      <c r="B12876" s="2" t="str">
        <f>IFERROR(__xludf.DUMMYFUNCTION("GOOGLETRANSLATE(A12876, ""en"", ""mt"")"),"Fejn hu rikonoxxut il-prinċipju tal-proporzjonalità fit-trattat tal-KE?")</f>
        <v>Fejn hu rikonoxxut il-prinċipju tal-proporzjonalità fit-trattat tal-KE?</v>
      </c>
    </row>
    <row r="12877" ht="15.75" customHeight="1">
      <c r="A12877" s="2" t="s">
        <v>12877</v>
      </c>
      <c r="B12877" s="2" t="str">
        <f>IFERROR(__xludf.DUMMYFUNCTION("GOOGLETRANSLATE(A12877, ""en"", ""mt"")"),"rikombinazzjoni omologa")</f>
        <v>rikombinazzjoni omologa</v>
      </c>
    </row>
    <row r="12878" ht="15.75" customHeight="1">
      <c r="A12878" s="2" t="s">
        <v>12878</v>
      </c>
      <c r="B12878" s="2" t="str">
        <f>IFERROR(__xludf.DUMMYFUNCTION("GOOGLETRANSLATE(A12878, ""en"", ""mt"")"),"Karboxysome")</f>
        <v>Karboxysome</v>
      </c>
    </row>
    <row r="12879" ht="15.75" customHeight="1">
      <c r="A12879" s="2" t="s">
        <v>12879</v>
      </c>
      <c r="B12879" s="2" t="str">
        <f>IFERROR(__xludf.DUMMYFUNCTION("GOOGLETRANSLATE(A12879, ""en"", ""mt"")"),"tkabbir")</f>
        <v>tkabbir</v>
      </c>
    </row>
    <row r="12880" ht="15.75" customHeight="1">
      <c r="A12880" s="2" t="s">
        <v>12880</v>
      </c>
      <c r="B12880" s="2" t="str">
        <f>IFERROR(__xludf.DUMMYFUNCTION("GOOGLETRANSLATE(A12880, ""en"", ""mt"")"),"professjonisti mħallsa")</f>
        <v>professjonisti mħallsa</v>
      </c>
    </row>
    <row r="12881" ht="15.75" customHeight="1">
      <c r="A12881" s="2" t="s">
        <v>12881</v>
      </c>
      <c r="B12881" s="2" t="str">
        <f>IFERROR(__xludf.DUMMYFUNCTION("GOOGLETRANSLATE(A12881, ""en"", ""mt"")"),"Is-snin sebgħin ippermettew liema netwerk jimxi fl-ewwel post fil-klassifikazzjonijiet?")</f>
        <v>Is-snin sebgħin ippermettew liema netwerk jimxi fl-ewwel post fil-klassifikazzjonijiet?</v>
      </c>
    </row>
    <row r="12882" ht="15.75" customHeight="1">
      <c r="A12882" s="2" t="s">
        <v>12882</v>
      </c>
      <c r="B12882" s="2" t="str">
        <f>IFERROR(__xludf.DUMMYFUNCTION("GOOGLETRANSLATE(A12882, ""en"", ""mt"")"),"X'kien imdorri minn alleanzi politiċi fost il-konfederazzjonijiet tribali Mongoljani?")</f>
        <v>X'kien imdorri minn alleanzi politiċi fost il-konfederazzjonijiet tribali Mongoljani?</v>
      </c>
    </row>
    <row r="12883" ht="15.75" customHeight="1">
      <c r="A12883" s="2" t="s">
        <v>12883</v>
      </c>
      <c r="B12883" s="2" t="str">
        <f>IFERROR(__xludf.DUMMYFUNCTION("GOOGLETRANSLATE(A12883, ""en"", ""mt"")"),"Liema mexxej tar-Riforma Żvizzera kien student ta 'Lefevre?")</f>
        <v>Liema mexxej tar-Riforma Żvizzera kien student ta 'Lefevre?</v>
      </c>
    </row>
    <row r="12884" ht="15.75" customHeight="1">
      <c r="A12884" s="2" t="s">
        <v>12884</v>
      </c>
      <c r="B12884" s="2" t="str">
        <f>IFERROR(__xludf.DUMMYFUNCTION("GOOGLETRANSLATE(A12884, ""en"", ""mt"")"),"Universitajiet privati")</f>
        <v>Universitajiet privati</v>
      </c>
    </row>
    <row r="12885" ht="15.75" customHeight="1">
      <c r="A12885" s="2" t="s">
        <v>12885</v>
      </c>
      <c r="B12885" s="2" t="str">
        <f>IFERROR(__xludf.DUMMYFUNCTION("GOOGLETRANSLATE(A12885, ""en"", ""mt"")"),"piż")</f>
        <v>piż</v>
      </c>
    </row>
    <row r="12886" ht="15.75" customHeight="1">
      <c r="A12886" s="2" t="s">
        <v>12886</v>
      </c>
      <c r="B12886" s="2" t="str">
        <f>IFERROR(__xludf.DUMMYFUNCTION("GOOGLETRANSLATE(A12886, ""en"", ""mt"")"),"Erbat elef")</f>
        <v>Erbat elef</v>
      </c>
    </row>
    <row r="12887" ht="15.75" customHeight="1">
      <c r="A12887" s="2" t="s">
        <v>12887</v>
      </c>
      <c r="B12887" s="2" t="str">
        <f>IFERROR(__xludf.DUMMYFUNCTION("GOOGLETRANSLATE(A12887, ""en"", ""mt"")"),"permezz tal-kitba tiegħu")</f>
        <v>permezz tal-kitba tiegħu</v>
      </c>
    </row>
    <row r="12888" ht="15.75" customHeight="1">
      <c r="A12888" s="2" t="s">
        <v>12888</v>
      </c>
      <c r="B12888" s="2" t="str">
        <f>IFERROR(__xludf.DUMMYFUNCTION("GOOGLETRANSLATE(A12888, ""en"", ""mt"")"),"Min jista 'jassenja lill-anzjani?")</f>
        <v>Min jista 'jassenja lill-anzjani?</v>
      </c>
    </row>
    <row r="12889" ht="15.75" customHeight="1">
      <c r="A12889" s="2" t="s">
        <v>12889</v>
      </c>
      <c r="B12889" s="2" t="str">
        <f>IFERROR(__xludf.DUMMYFUNCTION("GOOGLETRANSLATE(A12889, ""en"", ""mt"")"),"X'tip ta 'forza ma teżistix taħt it-tielet liġi ta' Newton?")</f>
        <v>X'tip ta 'forza ma teżistix taħt it-tielet liġi ta' Newton?</v>
      </c>
    </row>
    <row r="12890" ht="15.75" customHeight="1">
      <c r="A12890" s="2" t="s">
        <v>12890</v>
      </c>
      <c r="B12890" s="2" t="str">
        <f>IFERROR(__xludf.DUMMYFUNCTION("GOOGLETRANSLATE(A12890, ""en"", ""mt"")"),"X'għandu jilgħab waqt il-krediti tal-għeluq tal-episodji tat-Tabib Min?")</f>
        <v>X'għandu jilgħab waqt il-krediti tal-għeluq tal-episodji tat-Tabib Min?</v>
      </c>
    </row>
    <row r="12891" ht="15.75" customHeight="1">
      <c r="A12891" s="2" t="s">
        <v>12891</v>
      </c>
      <c r="B12891" s="2" t="str">
        <f>IFERROR(__xludf.DUMMYFUNCTION("GOOGLETRANSLATE(A12891, ""en"", ""mt"")"),"Fejn kienu inklużi l-innijiet ta 'Luther?")</f>
        <v>Fejn kienu inklużi l-innijiet ta 'Luther?</v>
      </c>
    </row>
    <row r="12892" ht="15.75" customHeight="1">
      <c r="A12892" s="2" t="s">
        <v>12892</v>
      </c>
      <c r="B12892" s="2" t="str">
        <f>IFERROR(__xludf.DUMMYFUNCTION("GOOGLETRANSLATE(A12892, ""en"", ""mt"")"),"Il-Kunsill tal-Missjoni (ġeneralment jikkonsisti minn isqfijiet tal-knisja)")</f>
        <v>Il-Kunsill tal-Missjoni (ġeneralment jikkonsisti minn isqfijiet tal-knisja)</v>
      </c>
    </row>
    <row r="12893" ht="15.75" customHeight="1">
      <c r="A12893" s="2" t="s">
        <v>12893</v>
      </c>
      <c r="B12893" s="2" t="str">
        <f>IFERROR(__xludf.DUMMYFUNCTION("GOOGLETRANSLATE(A12893, ""en"", ""mt"")"),"Ordni tal-Konferenza Annwali tad-Djakni")</f>
        <v>Ordni tal-Konferenza Annwali tad-Djakni</v>
      </c>
    </row>
    <row r="12894" ht="15.75" customHeight="1">
      <c r="A12894" s="2" t="s">
        <v>12894</v>
      </c>
      <c r="B12894" s="2" t="str">
        <f>IFERROR(__xludf.DUMMYFUNCTION("GOOGLETRANSLATE(A12894, ""en"", ""mt"")"),"mibegħda lejn il-Lhud")</f>
        <v>mibegħda lejn il-Lhud</v>
      </c>
    </row>
    <row r="12895" ht="15.75" customHeight="1">
      <c r="A12895" s="2" t="s">
        <v>12895</v>
      </c>
      <c r="B12895" s="2" t="str">
        <f>IFERROR(__xludf.DUMMYFUNCTION("GOOGLETRANSLATE(A12895, ""en"", ""mt"")"),"X'inhuma żewġ eżempji ta 'kejl huma marbuta fl-algoritmi biex jistabbilixxu klassijiet ta' kumplessità?")</f>
        <v>X'inhuma żewġ eżempji ta 'kejl huma marbuta fl-algoritmi biex jistabbilixxu klassijiet ta' kumplessità?</v>
      </c>
    </row>
    <row r="12896" ht="15.75" customHeight="1">
      <c r="A12896" s="2" t="s">
        <v>12896</v>
      </c>
      <c r="B12896" s="2" t="str">
        <f>IFERROR(__xludf.DUMMYFUNCTION("GOOGLETRANSLATE(A12896, ""en"", ""mt"")"),"22")</f>
        <v>22</v>
      </c>
    </row>
    <row r="12897" ht="15.75" customHeight="1">
      <c r="A12897" s="2" t="s">
        <v>12897</v>
      </c>
      <c r="B12897" s="2" t="str">
        <f>IFERROR(__xludf.DUMMYFUNCTION("GOOGLETRANSLATE(A12897, ""en"", ""mt"")"),"P mhuwiex fattur ewlieni ta 'q.")</f>
        <v>P mhuwiex fattur ewlieni ta 'q.</v>
      </c>
    </row>
    <row r="12898" ht="15.75" customHeight="1">
      <c r="A12898" s="2" t="s">
        <v>12898</v>
      </c>
      <c r="B12898" s="2" t="str">
        <f>IFERROR(__xludf.DUMMYFUNCTION("GOOGLETRANSLATE(A12898, ""en"", ""mt"")"),"Ix-xita fil-baċin waqt l-LGM kienet aktar baxxa")</f>
        <v>Ix-xita fil-baċin waqt l-LGM kienet aktar baxxa</v>
      </c>
    </row>
    <row r="12899" ht="15.75" customHeight="1">
      <c r="A12899" s="2" t="s">
        <v>12899</v>
      </c>
      <c r="B12899" s="2" t="str">
        <f>IFERROR(__xludf.DUMMYFUNCTION("GOOGLETRANSLATE(A12899, ""en"", ""mt"")"),"X'inhu l-post preżenti ta 'din il-knisja?")</f>
        <v>X'inhu l-post preżenti ta 'din il-knisja?</v>
      </c>
    </row>
    <row r="12900" ht="15.75" customHeight="1">
      <c r="A12900" s="2" t="s">
        <v>12900</v>
      </c>
      <c r="B12900" s="2" t="str">
        <f>IFERROR(__xludf.DUMMYFUNCTION("GOOGLETRANSLATE(A12900, ""en"", ""mt"")"),"10–20")</f>
        <v>10–20</v>
      </c>
    </row>
    <row r="12901" ht="15.75" customHeight="1">
      <c r="A12901" s="2" t="s">
        <v>12901</v>
      </c>
      <c r="B12901" s="2" t="str">
        <f>IFERROR(__xludf.DUMMYFUNCTION("GOOGLETRANSLATE(A12901, ""en"", ""mt"")"),"Liema membrani addizzjonali għandhom il-kloroplasti sekondarji?")</f>
        <v>Liema membrani addizzjonali għandhom il-kloroplasti sekondarji?</v>
      </c>
    </row>
    <row r="12902" ht="15.75" customHeight="1">
      <c r="A12902" s="2" t="s">
        <v>12902</v>
      </c>
      <c r="B12902" s="2" t="str">
        <f>IFERROR(__xludf.DUMMYFUNCTION("GOOGLETRANSLATE(A12902, ""en"", ""mt"")"),"Il-Hay Wain.")</f>
        <v>Il-Hay Wain.</v>
      </c>
    </row>
    <row r="12903" ht="15.75" customHeight="1">
      <c r="A12903" s="2" t="s">
        <v>12903</v>
      </c>
      <c r="B12903" s="2" t="str">
        <f>IFERROR(__xludf.DUMMYFUNCTION("GOOGLETRANSLATE(A12903, ""en"", ""mt"")"),"membri oħra")</f>
        <v>membri oħra</v>
      </c>
    </row>
    <row r="12904" ht="15.75" customHeight="1">
      <c r="A12904" s="2" t="s">
        <v>12904</v>
      </c>
      <c r="B12904" s="2" t="str">
        <f>IFERROR(__xludf.DUMMYFUNCTION("GOOGLETRANSLATE(A12904, ""en"", ""mt"")"),"380 sena")</f>
        <v>380 sena</v>
      </c>
    </row>
    <row r="12905" ht="15.75" customHeight="1">
      <c r="A12905" s="2" t="s">
        <v>12905</v>
      </c>
      <c r="B12905" s="2" t="str">
        <f>IFERROR(__xludf.DUMMYFUNCTION("GOOGLETRANSLATE(A12905, ""en"", ""mt"")"),"Liema trattat intemm il-gwerer tar-reliġjon?")</f>
        <v>Liema trattat intemm il-gwerer tar-reliġjon?</v>
      </c>
    </row>
    <row r="12906" ht="15.75" customHeight="1">
      <c r="A12906" s="2" t="s">
        <v>12906</v>
      </c>
      <c r="B12906" s="2" t="str">
        <f>IFERROR(__xludf.DUMMYFUNCTION("GOOGLETRANSLATE(A12906, ""en"", ""mt"")"),"fabbriki")</f>
        <v>fabbriki</v>
      </c>
    </row>
    <row r="12907" ht="15.75" customHeight="1">
      <c r="A12907" s="2" t="s">
        <v>12907</v>
      </c>
      <c r="B12907" s="2" t="str">
        <f>IFERROR(__xludf.DUMMYFUNCTION("GOOGLETRANSLATE(A12907, ""en"", ""mt"")"),"leptin, ormon tat-tkabbir tal-pitwitarja, u prolactin")</f>
        <v>leptin, ormon tat-tkabbir tal-pitwitarja, u prolactin</v>
      </c>
    </row>
    <row r="12908" ht="15.75" customHeight="1">
      <c r="A12908" s="2" t="s">
        <v>12908</v>
      </c>
      <c r="B12908" s="2" t="str">
        <f>IFERROR(__xludf.DUMMYFUNCTION("GOOGLETRANSLATE(A12908, ""en"", ""mt"")"),"ma tistax tibda leġislazzjoni kontra x-xewqat tal-kummissjoni")</f>
        <v>ma tistax tibda leġislazzjoni kontra x-xewqat tal-kummissjoni</v>
      </c>
    </row>
    <row r="12909" ht="15.75" customHeight="1">
      <c r="A12909" s="2" t="s">
        <v>12909</v>
      </c>
      <c r="B12909" s="2" t="str">
        <f>IFERROR(__xludf.DUMMYFUNCTION("GOOGLETRANSLATE(A12909, ""en"", ""mt"")"),"Xi studjużi moderni, bħalma huma l-fielding H. Garrison, huma tal-fehma li l-oriġini tax-xjenza tal-ġeoloġija tista 'tiġi rintraċċata lejn il-Persja wara li l-konkwisti Musulmani waslu fi tmiemhom. Abu al-Rayhan al-Biruni (973-1048 CE) kien wieħed mill-ew"&amp;"wel ġeoloġi Persjani, li x-xogħlijiet tagħhom kienu jinkludu l-ewwel kitbiet dwar il-ġeoloġija tal-Indja, ipoteżi li s-sottokontinent Indjan kien darba. Bbażat mil-letteratura xjentifika Griega u Indjana li ma nqerdux mill-konkwisti Musulmani, l-istudjuż "&amp;"Persjan Ibn Sina (Avicenna, 981-1037) ippropona spjegazzjonijiet dettaljati għall-formazzjoni tal-muntanji, l-oriġini tat-terremoti, u suġġetti oħra ċentrali għall-ġeoloġija moderna, li pprovda bażi essenzjali għall-iżvilupp aktar tard tax-xjenza. Fiċ-Ċin"&amp;"a, il-Polymath Shen Kuo (1031-1095) ifformula ipoteżi għall-proċess tal-formazzjoni tal-art: ibbażata fuq l-osservazzjoni tiegħu ta 'qxur tal-annimali fossili fi stratum ġeoloġiku f'muntanja mijiet ta' mili mill-oċean, huwa dedotta li l-art kienet Iffurma"&amp;"t mill-erożjoni tal-muntanji u bid-deposizzjoni tal-ħama.")</f>
        <v>Xi studjużi moderni, bħalma huma l-fielding H. Garrison, huma tal-fehma li l-oriġini tax-xjenza tal-ġeoloġija tista 'tiġi rintraċċata lejn il-Persja wara li l-konkwisti Musulmani waslu fi tmiemhom. Abu al-Rayhan al-Biruni (973-1048 CE) kien wieħed mill-ewwel ġeoloġi Persjani, li x-xogħlijiet tagħhom kienu jinkludu l-ewwel kitbiet dwar il-ġeoloġija tal-Indja, ipoteżi li s-sottokontinent Indjan kien darba. Bbażat mil-letteratura xjentifika Griega u Indjana li ma nqerdux mill-konkwisti Musulmani, l-istudjuż Persjan Ibn Sina (Avicenna, 981-1037) ippropona spjegazzjonijiet dettaljati għall-formazzjoni tal-muntanji, l-oriġini tat-terremoti, u suġġetti oħra ċentrali għall-ġeoloġija moderna, li pprovda bażi essenzjali għall-iżvilupp aktar tard tax-xjenza. Fiċ-Ċina, il-Polymath Shen Kuo (1031-1095) ifformula ipoteżi għall-proċess tal-formazzjoni tal-art: ibbażata fuq l-osservazzjoni tiegħu ta 'qxur tal-annimali fossili fi stratum ġeoloġiku f'muntanja mijiet ta' mili mill-oċean, huwa dedotta li l-art kienet Iffurmat mill-erożjoni tal-muntanji u bid-deposizzjoni tal-ħama.</v>
      </c>
    </row>
    <row r="12910" ht="15.75" customHeight="1">
      <c r="A12910" s="2" t="s">
        <v>12910</v>
      </c>
      <c r="B12910" s="2" t="str">
        <f>IFERROR(__xludf.DUMMYFUNCTION("GOOGLETRANSLATE(A12910, ""en"", ""mt"")"),"Ethelred II")</f>
        <v>Ethelred II</v>
      </c>
    </row>
    <row r="12911" ht="15.75" customHeight="1">
      <c r="A12911" s="2" t="s">
        <v>12911</v>
      </c>
      <c r="B12911" s="2" t="str">
        <f>IFERROR(__xludf.DUMMYFUNCTION("GOOGLETRANSLATE(A12911, ""en"", ""mt"")"),"800 CE")</f>
        <v>800 CE</v>
      </c>
    </row>
    <row r="12912" ht="15.75" customHeight="1">
      <c r="A12912" s="2" t="s">
        <v>12912</v>
      </c>
      <c r="B12912" s="2" t="str">
        <f>IFERROR(__xludf.DUMMYFUNCTION("GOOGLETRANSLATE(A12912, ""en"", ""mt"")"),"Dikjarazzjonijiet kwantitattivi")</f>
        <v>Dikjarazzjonijiet kwantitattivi</v>
      </c>
    </row>
    <row r="12913" ht="15.75" customHeight="1">
      <c r="A12913" s="2" t="s">
        <v>12913</v>
      </c>
      <c r="B12913" s="2" t="str">
        <f>IFERROR(__xludf.DUMMYFUNCTION("GOOGLETRANSLATE(A12913, ""en"", ""mt"")"),"Kemm xjenzati sejħu biex ibiddlu l-IPCC fi Frar 2010?")</f>
        <v>Kemm xjenzati sejħu biex ibiddlu l-IPCC fi Frar 2010?</v>
      </c>
    </row>
    <row r="12914" ht="15.75" customHeight="1">
      <c r="A12914" s="2" t="s">
        <v>12914</v>
      </c>
      <c r="B12914" s="2" t="str">
        <f>IFERROR(__xludf.DUMMYFUNCTION("GOOGLETRANSLATE(A12914, ""en"", ""mt"")"),"Il-Metro tal-Kosta tan-Nofsinhar")</f>
        <v>Il-Metro tal-Kosta tan-Nofsinhar</v>
      </c>
    </row>
    <row r="12915" ht="15.75" customHeight="1">
      <c r="A12915" s="2" t="s">
        <v>12915</v>
      </c>
      <c r="B12915" s="2" t="str">
        <f>IFERROR(__xludf.DUMMYFUNCTION("GOOGLETRANSLATE(A12915, ""en"", ""mt"")"),"Min kien fuq l-ispedizzjoni ta 'Celeron?")</f>
        <v>Min kien fuq l-ispedizzjoni ta 'Celeron?</v>
      </c>
    </row>
    <row r="12916" ht="15.75" customHeight="1">
      <c r="A12916" s="2" t="s">
        <v>12916</v>
      </c>
      <c r="B12916" s="2" t="str">
        <f>IFERROR(__xludf.DUMMYFUNCTION("GOOGLETRANSLATE(A12916, ""en"", ""mt"")"),"miġbud mill-konvenjenza tal-ferrovija u inkwetat dwar l-għargħar")</f>
        <v>miġbud mill-konvenjenza tal-ferrovija u inkwetat dwar l-għargħar</v>
      </c>
    </row>
    <row r="12917" ht="15.75" customHeight="1">
      <c r="A12917" s="2" t="s">
        <v>12917</v>
      </c>
      <c r="B12917" s="2" t="str">
        <f>IFERROR(__xludf.DUMMYFUNCTION("GOOGLETRANSLATE(A12917, ""en"", ""mt"")"),"frizzjoni statika")</f>
        <v>frizzjoni statika</v>
      </c>
    </row>
    <row r="12918" ht="15.75" customHeight="1">
      <c r="A12918" s="2" t="s">
        <v>12918</v>
      </c>
      <c r="B12918" s="2" t="str">
        <f>IFERROR(__xludf.DUMMYFUNCTION("GOOGLETRANSLATE(A12918, ""en"", ""mt"")"),"Il-modulu tal-kmand (CM) kien il-kabina tal-ekwipaġġ koniku, iddisinjat biex iġorr tliet astronawti mit-tnedija sal-orbita lunari u lura għal inżul tal-oċean tad-dinja. Kien l-uniku komponent tal-vettura spazjali Apollo biex jgħix mingħajr bidliet kbar ta"&amp;" 'konfigurazzjoni hekk kif il-programm evolva mid-disinji ta' studju ta 'Apollo bikrija. Il-parti ta 'barra tagħha kienet mgħottija bi tarka tas-sħana ablattiva, u kellha l-magni tas-sistema ta' kontroll ta 'reazzjoni tagħha stess (RCS) biex tikkontrolla "&amp;"l-attitudni tagħha u tidderieġi t-triq tad-dħul atmosferiku tagħha. Il-paraxut inġarru biex inaqqsu d-dixxendenza tagħha għal splashdown. Il-modulu kien ta ’11 .42 pied (3.48 m) tall, 12.83 pied (3.91 m) dijametru, u jiżen madwar 12,250 libbra (5,560 kg).")</f>
        <v>Il-modulu tal-kmand (CM) kien il-kabina tal-ekwipaġġ koniku, iddisinjat biex iġorr tliet astronawti mit-tnedija sal-orbita lunari u lura għal inżul tal-oċean tad-dinja. Kien l-uniku komponent tal-vettura spazjali Apollo biex jgħix mingħajr bidliet kbar ta 'konfigurazzjoni hekk kif il-programm evolva mid-disinji ta' studju ta 'Apollo bikrija. Il-parti ta 'barra tagħha kienet mgħottija bi tarka tas-sħana ablattiva, u kellha l-magni tas-sistema ta' kontroll ta 'reazzjoni tagħha stess (RCS) biex tikkontrolla l-attitudni tagħha u tidderieġi t-triq tad-dħul atmosferiku tagħha. Il-paraxut inġarru biex inaqqsu d-dixxendenza tagħha għal splashdown. Il-modulu kien ta ’11 .42 pied (3.48 m) tall, 12.83 pied (3.91 m) dijametru, u jiżen madwar 12,250 libbra (5,560 kg).</v>
      </c>
    </row>
    <row r="12919" ht="15.75" customHeight="1">
      <c r="A12919" s="2" t="s">
        <v>12919</v>
      </c>
      <c r="B12919" s="2" t="str">
        <f>IFERROR(__xludf.DUMMYFUNCTION("GOOGLETRANSLATE(A12919, ""en"", ""mt"")"),"tqala mhux aċċettabbli. Fi")</f>
        <v>tqala mhux aċċettabbli. Fi</v>
      </c>
    </row>
    <row r="12920" ht="15.75" customHeight="1">
      <c r="A12920" s="2" t="s">
        <v>12920</v>
      </c>
      <c r="B12920" s="2" t="str">
        <f>IFERROR(__xludf.DUMMYFUNCTION("GOOGLETRANSLATE(A12920, ""en"", ""mt"")"),"ix-Xlokk tal-Ġnien (is-sit tal- ""Boilers Brompton""),")</f>
        <v>ix-Xlokk tal-Ġnien (is-sit tal- "Boilers Brompton"),</v>
      </c>
    </row>
    <row r="12921" ht="15.75" customHeight="1">
      <c r="A12921" s="2" t="s">
        <v>12921</v>
      </c>
      <c r="B12921" s="2" t="str">
        <f>IFERROR(__xludf.DUMMYFUNCTION("GOOGLETRANSLATE(A12921, ""en"", ""mt"")"),"Cambrian Sessiile Frond-Fossili Stromatoveris")</f>
        <v>Cambrian Sessiile Frond-Fossili Stromatoveris</v>
      </c>
    </row>
    <row r="12922" ht="15.75" customHeight="1">
      <c r="A12922" s="2" t="s">
        <v>12922</v>
      </c>
      <c r="B12922" s="2" t="str">
        <f>IFERROR(__xludf.DUMMYFUNCTION("GOOGLETRANSLATE(A12922, ""en"", ""mt"")"),"Liema dinastija leġittima waslet wara l-wan?")</f>
        <v>Liema dinastija leġittima waslet wara l-wan?</v>
      </c>
    </row>
    <row r="12923" ht="15.75" customHeight="1">
      <c r="A12923" s="2" t="s">
        <v>12923</v>
      </c>
      <c r="B12923" s="2" t="str">
        <f>IFERROR(__xludf.DUMMYFUNCTION("GOOGLETRANSLATE(A12923, ""en"", ""mt"")"),"Liema ċelloli huma t-tieni fergħa tas-sistema immuni innata?")</f>
        <v>Liema ċelloli huma t-tieni fergħa tas-sistema immuni innata?</v>
      </c>
    </row>
    <row r="12924" ht="15.75" customHeight="1">
      <c r="A12924" s="2" t="s">
        <v>12924</v>
      </c>
      <c r="B12924" s="2" t="str">
        <f>IFERROR(__xludf.DUMMYFUNCTION("GOOGLETRANSLATE(A12924, ""en"", ""mt"")"),"Matul il-logħob tal-playoff tal-Bronco, min ma tefa 'xejn?")</f>
        <v>Matul il-logħob tal-playoff tal-Bronco, min ma tefa 'xejn?</v>
      </c>
    </row>
    <row r="12925" ht="15.75" customHeight="1">
      <c r="A12925" s="2" t="s">
        <v>12925</v>
      </c>
      <c r="B12925" s="2" t="str">
        <f>IFERROR(__xludf.DUMMYFUNCTION("GOOGLETRANSLATE(A12925, ""en"", ""mt"")"),"Ċiklu prattiku ta 'Carnot")</f>
        <v>Ċiklu prattiku ta 'Carnot</v>
      </c>
    </row>
    <row r="12926" ht="15.75" customHeight="1">
      <c r="A12926" s="2" t="s">
        <v>12926</v>
      </c>
      <c r="B12926" s="2" t="str">
        <f>IFERROR(__xludf.DUMMYFUNCTION("GOOGLETRANSLATE(A12926, ""en"", ""mt"")"),"(titla u taqa 'skont id-domanda tas-suq")</f>
        <v>(titla u taqa 'skont id-domanda tas-suq</v>
      </c>
    </row>
    <row r="12927" ht="15.75" customHeight="1">
      <c r="A12927" s="2" t="s">
        <v>12927</v>
      </c>
      <c r="B12927" s="2" t="str">
        <f>IFERROR(__xludf.DUMMYFUNCTION("GOOGLETRANSLATE(A12927, ""en"", ""mt"")"),"fornituri internazzjonali tad-droga, aktar milli konsumaturi")</f>
        <v>fornituri internazzjonali tad-droga, aktar milli konsumaturi</v>
      </c>
    </row>
    <row r="12928" ht="15.75" customHeight="1">
      <c r="A12928" s="2" t="s">
        <v>12928</v>
      </c>
      <c r="B12928" s="2" t="str">
        <f>IFERROR(__xludf.DUMMYFUNCTION("GOOGLETRANSLATE(A12928, ""en"", ""mt"")"),"Wara li tlestiet l-għaqda bejn ABC u Capital Cities, x'kienet il-kumpanija li tirriżulta bħala magħrufa bħala?")</f>
        <v>Wara li tlestiet l-għaqda bejn ABC u Capital Cities, x'kienet il-kumpanija li tirriżulta bħala magħrufa bħala?</v>
      </c>
    </row>
    <row r="12929" ht="15.75" customHeight="1">
      <c r="A12929" s="2" t="s">
        <v>12929</v>
      </c>
      <c r="B12929" s="2" t="str">
        <f>IFERROR(__xludf.DUMMYFUNCTION("GOOGLETRANSLATE(A12929, ""en"", ""mt"")"),"Liema protezzjoni tiġi wara r-risposta innata?")</f>
        <v>Liema protezzjoni tiġi wara r-risposta innata?</v>
      </c>
    </row>
    <row r="12930" ht="15.75" customHeight="1">
      <c r="A12930" s="2" t="s">
        <v>12930</v>
      </c>
      <c r="B12930" s="2" t="str">
        <f>IFERROR(__xludf.DUMMYFUNCTION("GOOGLETRANSLATE(A12930, ""en"", ""mt"")"),"Supretendent tal-Western Union")</f>
        <v>Supretendent tal-Western Union</v>
      </c>
    </row>
    <row r="12931" ht="15.75" customHeight="1">
      <c r="A12931" s="2" t="s">
        <v>12931</v>
      </c>
      <c r="B12931" s="2" t="str">
        <f>IFERROR(__xludf.DUMMYFUNCTION("GOOGLETRANSLATE(A12931, ""en"", ""mt"")"),"Kolonizzanti")</f>
        <v>Kolonizzanti</v>
      </c>
    </row>
    <row r="12932" ht="15.75" customHeight="1">
      <c r="A12932" s="2" t="s">
        <v>12932</v>
      </c>
      <c r="B12932" s="2" t="str">
        <f>IFERROR(__xludf.DUMMYFUNCTION("GOOGLETRANSLATE(A12932, ""en"", ""mt"")"),"Ford, Chrysler, u GM, rispettivament")</f>
        <v>Ford, Chrysler, u GM, rispettivament</v>
      </c>
    </row>
    <row r="12933" ht="15.75" customHeight="1">
      <c r="A12933" s="2" t="s">
        <v>12933</v>
      </c>
      <c r="B12933" s="2" t="str">
        <f>IFERROR(__xludf.DUMMYFUNCTION("GOOGLETRANSLATE(A12933, ""en"", ""mt"")"),"Liema stazzjon kellu l-ispettaklu speċjali tal-20 anniversarju qabel ma ntwera fuq il-BBC?")</f>
        <v>Liema stazzjon kellu l-ispettaklu speċjali tal-20 anniversarju qabel ma ntwera fuq il-BBC?</v>
      </c>
    </row>
    <row r="12934" ht="15.75" customHeight="1">
      <c r="A12934" s="2" t="s">
        <v>12934</v>
      </c>
      <c r="B12934" s="2" t="str">
        <f>IFERROR(__xludf.DUMMYFUNCTION("GOOGLETRANSLATE(A12934, ""en"", ""mt"")"),"Għaliex Tesla evitat billi taħrab minn Smiljan?")</f>
        <v>Għaliex Tesla evitat billi taħrab minn Smiljan?</v>
      </c>
    </row>
    <row r="12935" ht="15.75" customHeight="1">
      <c r="A12935" s="2" t="s">
        <v>12935</v>
      </c>
      <c r="B12935" s="2" t="str">
        <f>IFERROR(__xludf.DUMMYFUNCTION("GOOGLETRANSLATE(A12935, ""en"", ""mt"")"),"Fejn kien hemm dgħjufija fil-katina tal-provvista Ingliża?")</f>
        <v>Fejn kien hemm dgħjufija fil-katina tal-provvista Ingliża?</v>
      </c>
    </row>
    <row r="12936" ht="15.75" customHeight="1">
      <c r="A12936" s="2" t="s">
        <v>12936</v>
      </c>
      <c r="B12936" s="2" t="str">
        <f>IFERROR(__xludf.DUMMYFUNCTION("GOOGLETRANSLATE(A12936, ""en"", ""mt"")"),"Kif intwera d-diżubbidjenza ċivili f'Antigone?")</f>
        <v>Kif intwera d-diżubbidjenza ċivili f'Antigone?</v>
      </c>
    </row>
    <row r="12937" ht="15.75" customHeight="1">
      <c r="A12937" s="2" t="s">
        <v>12937</v>
      </c>
      <c r="B12937" s="2" t="str">
        <f>IFERROR(__xludf.DUMMYFUNCTION("GOOGLETRANSLATE(A12937, ""en"", ""mt"")"),"rikreattiv")</f>
        <v>rikreattiv</v>
      </c>
    </row>
    <row r="12938" ht="15.75" customHeight="1">
      <c r="A12938" s="2" t="s">
        <v>12938</v>
      </c>
      <c r="B12938" s="2" t="str">
        <f>IFERROR(__xludf.DUMMYFUNCTION("GOOGLETRANSLATE(A12938, ""en"", ""mt"")"),"Rati ogħla ta 'problemi tas-saħħa u soċjali huma biss tnejn minn eżempji ta' effetti minn xiex?")</f>
        <v>Rati ogħla ta 'problemi tas-saħħa u soċjali huma biss tnejn minn eżempji ta' effetti minn xiex?</v>
      </c>
    </row>
    <row r="12939" ht="15.75" customHeight="1">
      <c r="A12939" s="2" t="s">
        <v>12939</v>
      </c>
      <c r="B12939" s="2" t="str">
        <f>IFERROR(__xludf.DUMMYFUNCTION("GOOGLETRANSLATE(A12939, ""en"", ""mt"")"),"Kemm intercpetions kellu Newton fis-Super Bowl 50?")</f>
        <v>Kemm intercpetions kellu Newton fis-Super Bowl 50?</v>
      </c>
    </row>
    <row r="12940" ht="15.75" customHeight="1">
      <c r="A12940" s="2" t="s">
        <v>12940</v>
      </c>
      <c r="B12940" s="2" t="str">
        <f>IFERROR(__xludf.DUMMYFUNCTION("GOOGLETRANSLATE(A12940, ""en"", ""mt"")"),"60")</f>
        <v>60</v>
      </c>
    </row>
    <row r="12941" ht="15.75" customHeight="1">
      <c r="A12941" s="2" t="s">
        <v>12941</v>
      </c>
      <c r="B12941" s="2" t="str">
        <f>IFERROR(__xludf.DUMMYFUNCTION("GOOGLETRANSLATE(A12941, ""en"", ""mt"")"),"Irtirar immedjat bil-Franċiż")</f>
        <v>Irtirar immedjat bil-Franċiż</v>
      </c>
    </row>
    <row r="12942" ht="15.75" customHeight="1">
      <c r="A12942" s="2" t="s">
        <v>12942</v>
      </c>
      <c r="B12942" s="2" t="str">
        <f>IFERROR(__xludf.DUMMYFUNCTION("GOOGLETRANSLATE(A12942, ""en"", ""mt"")"),"Luther kien ippubblika t-traduzzjoni Ġermaniża tiegħu tat-Testment il-Ġdid fl-1522, u hu u l-kollaboraturi tiegħu temmew it-traduzzjoni tat-Testment il-Qadim fl-1534, meta ġiet ippubblikata l-Bibbja kollha. Huwa kompla jaħdem fuq ir-raffinar tat-traduzzjo"&amp;"ni sa tmiem ħajtu. Oħrajn kienu tradottaw il-Bibbja fil-Ġermaniż, iżda Luther imfassal it-traduzzjoni tiegħu għad-duttrina tiegħu stess. Meta ġie kkritikat talli ddaħħal il-kelma ""waħdu"" wara ""fidi"" fir-Rumani 3:28, huwa wieġeb parzjalment: ""[t] huwa"&amp;" t-test innifsu u t-tifsira ta 'San Pawl jeħtieġ b'mod urġenti u titlobha. Għax f'dak ħafna Passaġġ Huwa qed jittratta l-punt ewlieni tad-duttrina Nisranija, jiġifieri, li aħna ġustifikati bil-fidi fi Kristu mingħajr xogħlijiet tal-liġi Kull min jitkellem"&amp;" b'mod ċar u ċar dwar dan il-qtugħ tax-xogħlijiet se jkollu jgħid, ""Il-fidi biss tiġġustifika lilna, u mhux taħdem"". """)</f>
        <v>Luther kien ippubblika t-traduzzjoni Ġermaniża tiegħu tat-Testment il-Ġdid fl-1522, u hu u l-kollaboraturi tiegħu temmew it-traduzzjoni tat-Testment il-Qadim fl-1534, meta ġiet ippubblikata l-Bibbja kollha. Huwa kompla jaħdem fuq ir-raffinar tat-traduzzjoni sa tmiem ħajtu. Oħrajn kienu tradottaw il-Bibbja fil-Ġermaniż, iżda Luther imfassal it-traduzzjoni tiegħu għad-duttrina tiegħu stess. Meta ġie kkritikat talli ddaħħal il-kelma "waħdu" wara "fidi" fir-Rumani 3:28, huwa wieġeb parzjalment: "[t] huwa t-test innifsu u t-tifsira ta 'San Pawl jeħtieġ b'mod urġenti u titlobha. Għax f'dak ħafna Passaġġ Huwa qed jittratta l-punt ewlieni tad-duttrina Nisranija, jiġifieri, li aħna ġustifikati bil-fidi fi Kristu mingħajr xogħlijiet tal-liġi Kull min jitkellem b'mod ċar u ċar dwar dan il-qtugħ tax-xogħlijiet se jkollu jgħid, "Il-fidi biss tiġġustifika lilna, u mhux taħdem". "</v>
      </c>
    </row>
    <row r="12943" ht="15.75" customHeight="1">
      <c r="A12943" s="2" t="s">
        <v>12943</v>
      </c>
      <c r="B12943" s="2" t="str">
        <f>IFERROR(__xludf.DUMMYFUNCTION("GOOGLETRANSLATE(A12943, ""en"", ""mt"")"),"L-għerq kwadru ta 'n.")</f>
        <v>L-għerq kwadru ta 'n.</v>
      </c>
    </row>
    <row r="12944" ht="15.75" customHeight="1">
      <c r="A12944" s="2" t="s">
        <v>12944</v>
      </c>
      <c r="B12944" s="2" t="str">
        <f>IFERROR(__xludf.DUMMYFUNCTION("GOOGLETRANSLATE(A12944, ""en"", ""mt"")"),"Xi jfisser ir-Rhine ma 'barra l-Ġermanja?")</f>
        <v>Xi jfisser ir-Rhine ma 'barra l-Ġermanja?</v>
      </c>
    </row>
    <row r="12945" ht="15.75" customHeight="1">
      <c r="A12945" s="2" t="s">
        <v>12945</v>
      </c>
      <c r="B12945" s="2" t="str">
        <f>IFERROR(__xludf.DUMMYFUNCTION("GOOGLETRANSLATE(A12945, ""en"", ""mt"")"),"X'tipi ta 'reġistrazzjonijiet fiċ-Ċentru Spazjali Johnson intużaw biex jgħinu jerġgħu jdaħħlu t-tejps oriġinali?")</f>
        <v>X'tipi ta 'reġistrazzjonijiet fiċ-Ċentru Spazjali Johnson intużaw biex jgħinu jerġgħu jdaħħlu t-tejps oriġinali?</v>
      </c>
    </row>
    <row r="12946" ht="15.75" customHeight="1">
      <c r="A12946" s="2" t="s">
        <v>12946</v>
      </c>
      <c r="B12946" s="2" t="str">
        <f>IFERROR(__xludf.DUMMYFUNCTION("GOOGLETRANSLATE(A12946, ""en"", ""mt"")"),"Dispożizzjonijiet tat-Trattat")</f>
        <v>Dispożizzjonijiet tat-Trattat</v>
      </c>
    </row>
    <row r="12947" ht="15.75" customHeight="1">
      <c r="A12947" s="2" t="s">
        <v>12947</v>
      </c>
      <c r="B12947" s="2" t="str">
        <f>IFERROR(__xludf.DUMMYFUNCTION("GOOGLETRANSLATE(A12947, ""en"", ""mt"")"),"Hemm diversi mużewijiet u galleriji fi Newcastle, inkluż iċ-Ċentru għall-Ħajja mal-Villaġġ tax-Xjenza tiegħu; Il-Mużew Discovery Mużew li jenfasizza l-ħajja fuq Tyneside, inkluż il-wirt tal-bini tal-vapuri ta 'Tyneside, u l-invenzjonijiet li biddlu d-dinj"&amp;"a; il-Mużew il-Kbir tat-Tramuntana; Fl-2009 in-Newcastle fuq Tyne Museum of Antikitajiet ingħaqdet mal-Great North Museum (Hancock Museum); Seba 'Stejjer Mużew iddedikat għall-kotba tat-tfal, il-gallerija tal-ġenb fotografija storika u kontemporanja minn "&amp;"madwar id-dinja u l-Ingilterra tat-Tramuntana u l-Mużew tal-Mutur ta' Newburn Hall.")</f>
        <v>Hemm diversi mużewijiet u galleriji fi Newcastle, inkluż iċ-Ċentru għall-Ħajja mal-Villaġġ tax-Xjenza tiegħu; Il-Mużew Discovery Mużew li jenfasizza l-ħajja fuq Tyneside, inkluż il-wirt tal-bini tal-vapuri ta 'Tyneside, u l-invenzjonijiet li biddlu d-dinja; il-Mużew il-Kbir tat-Tramuntana; Fl-2009 in-Newcastle fuq Tyne Museum of Antikitajiet ingħaqdet mal-Great North Museum (Hancock Museum); Seba 'Stejjer Mużew iddedikat għall-kotba tat-tfal, il-gallerija tal-ġenb fotografija storika u kontemporanja minn madwar id-dinja u l-Ingilterra tat-Tramuntana u l-Mużew tal-Mutur ta' Newburn Hall.</v>
      </c>
    </row>
    <row r="12948" ht="15.75" customHeight="1">
      <c r="A12948" s="2" t="s">
        <v>12948</v>
      </c>
      <c r="B12948" s="2" t="str">
        <f>IFERROR(__xludf.DUMMYFUNCTION("GOOGLETRANSLATE(A12948, ""en"", ""mt"")"),"Show tard ma 'Stephen Colbert")</f>
        <v>Show tard ma 'Stephen Colbert</v>
      </c>
    </row>
    <row r="12949" ht="15.75" customHeight="1">
      <c r="A12949" s="2" t="s">
        <v>12949</v>
      </c>
      <c r="B12949" s="2" t="str">
        <f>IFERROR(__xludf.DUMMYFUNCTION("GOOGLETRANSLATE(A12949, ""en"", ""mt"")"),"Kif tissejjaħ meta l-fwar jimbotta ġeneratur turbo bi propulsjoni tal-mutur elettriku?")</f>
        <v>Kif tissejjaħ meta l-fwar jimbotta ġeneratur turbo bi propulsjoni tal-mutur elettriku?</v>
      </c>
    </row>
    <row r="12950" ht="15.75" customHeight="1">
      <c r="A12950" s="2" t="s">
        <v>12950</v>
      </c>
      <c r="B12950" s="2" t="str">
        <f>IFERROR(__xludf.DUMMYFUNCTION("GOOGLETRANSLATE(A12950, ""en"", ""mt"")"),"Ġimgħa 7,")</f>
        <v>Ġimgħa 7,</v>
      </c>
    </row>
    <row r="12951" ht="15.75" customHeight="1">
      <c r="A12951" s="2" t="s">
        <v>12951</v>
      </c>
      <c r="B12951" s="2" t="str">
        <f>IFERROR(__xludf.DUMMYFUNCTION("GOOGLETRANSLATE(A12951, ""en"", ""mt"")"),"L-użu ta 'liema apparat kien jirrappreżenta l-aħħar evoluzzjoni ewlenija tal-magna tal-fwar?")</f>
        <v>L-użu ta 'liema apparat kien jirrappreżenta l-aħħar evoluzzjoni ewlenija tal-magna tal-fwar?</v>
      </c>
    </row>
    <row r="12952" ht="15.75" customHeight="1">
      <c r="A12952" s="2" t="s">
        <v>12952</v>
      </c>
      <c r="B12952" s="2" t="str">
        <f>IFERROR(__xludf.DUMMYFUNCTION("GOOGLETRANSLATE(A12952, ""en"", ""mt"")"),"Jacksonville hija l-iktar belt popolata fi Florida, u t-tnax-il belt l-iktar popolata fl-Istati Uniti. Mill-2010 [aġġornament], kien hemm 821.784 persuna u 366,273 djar fil-belt. Jacksonville għandu l-għaxar l-akbar popolazzjoni Għarbija tal-pajjiż, b'pop"&amp;"olazzjoni totali ta '5,751 skond iċ-Ċensiment ta' l-Istati Uniti ta 'l-2000. Jacksonville għandu l-akbar komunità Amerikana Filippina ta 'Florida, b'25,033 fiż-żona metropolitana miċ-ċensiment tal-2010. Ħafna mill-komunità Filippina ta 'Jacksonville serva"&amp;" jew għandha rabtiet man-Navy ta' l-Istati Uniti.")</f>
        <v>Jacksonville hija l-iktar belt popolata fi Florida, u t-tnax-il belt l-iktar popolata fl-Istati Uniti. Mill-2010 [aġġornament], kien hemm 821.784 persuna u 366,273 djar fil-belt. Jacksonville għandu l-għaxar l-akbar popolazzjoni Għarbija tal-pajjiż, b'popolazzjoni totali ta '5,751 skond iċ-Ċensiment ta' l-Istati Uniti ta 'l-2000. Jacksonville għandu l-akbar komunità Amerikana Filippina ta 'Florida, b'25,033 fiż-żona metropolitana miċ-ċensiment tal-2010. Ħafna mill-komunità Filippina ta 'Jacksonville serva jew għandha rabtiet man-Navy ta' l-Istati Uniti.</v>
      </c>
    </row>
    <row r="12953" ht="15.75" customHeight="1">
      <c r="A12953" s="2" t="s">
        <v>12953</v>
      </c>
      <c r="B12953" s="2" t="str">
        <f>IFERROR(__xludf.DUMMYFUNCTION("GOOGLETRANSLATE(A12953, ""en"", ""mt"")"),"It-tema oriġinali kienet komposta minn Ron Grainer u rrealizzata minn Delia Derbyshire tal-Workshop Radjofoniku tal-BBC, bl-għajnuna ta 'Dick Mills. Il-partijiet varji nbnew bl-użu ta 'tekniki ta' concrète musique, billi joħolqu loops ta 'tejp ta' korda t"&amp;"al-pjanu milquta individwalment u oxxillaturi u filtri tat-test individwali. L-arranġament ta 'Derbyshire serva, b'edifiki minuri, bħala t-tema sa l-aħħar tal-istaġun 17 (1979–80). Hija meqjusa bħala biċċa sinifikanti u innovattiva ta 'mużika elettronika,"&amp;" irreġistrata sew qabel id-disponibbiltà ta' sinteżi kummerċjali jew mixers multitrack. Kull nota nħolqot individwalment billi taqta ', tagħmil, tħaffef u tnaqqas is-segmenti ta' tejp analogu li fih reġistrazzjonijiet ta 'sekwenza waħda mnittfa, ħoss abja"&amp;"d, u l-forom ta' mewġ armoniċi sempliċi ta 'oxxillaturi tat-ton tat-test, maħsuba għal tagħmir u kmamar tal-kalibrazzjoni, mhux joħolqu mużika. Ġew ivvintati tekniki ġodda biex jippermettu t-taħlit tal-mużika, kif kien qabel l-era tal-magni tat-tejp multi"&amp;"track. Meta smajt ir-riżultat lest, Grainer staqsa, ""Kont nikteb dan?"" [Ċitazzjoni meħtieġa]")</f>
        <v>It-tema oriġinali kienet komposta minn Ron Grainer u rrealizzata minn Delia Derbyshire tal-Workshop Radjofoniku tal-BBC, bl-għajnuna ta 'Dick Mills. Il-partijiet varji nbnew bl-użu ta 'tekniki ta' concrète musique, billi joħolqu loops ta 'tejp ta' korda tal-pjanu milquta individwalment u oxxillaturi u filtri tat-test individwali. L-arranġament ta 'Derbyshire serva, b'edifiki minuri, bħala t-tema sa l-aħħar tal-istaġun 17 (1979–80). Hija meqjusa bħala biċċa sinifikanti u innovattiva ta 'mużika elettronika, irreġistrata sew qabel id-disponibbiltà ta' sinteżi kummerċjali jew mixers multitrack. Kull nota nħolqot individwalment billi taqta ', tagħmil, tħaffef u tnaqqas is-segmenti ta' tejp analogu li fih reġistrazzjonijiet ta 'sekwenza waħda mnittfa, ħoss abjad, u l-forom ta' mewġ armoniċi sempliċi ta 'oxxillaturi tat-ton tat-test, maħsuba għal tagħmir u kmamar tal-kalibrazzjoni, mhux joħolqu mużika. Ġew ivvintati tekniki ġodda biex jippermettu t-taħlit tal-mużika, kif kien qabel l-era tal-magni tat-tejp multitrack. Meta smajt ir-riżultat lest, Grainer staqsa, "Kont nikteb dan?" [Ċitazzjoni meħtieġa]</v>
      </c>
    </row>
    <row r="12954" ht="15.75" customHeight="1">
      <c r="A12954" s="2" t="s">
        <v>12954</v>
      </c>
      <c r="B12954" s="2" t="str">
        <f>IFERROR(__xludf.DUMMYFUNCTION("GOOGLETRANSLATE(A12954, ""en"", ""mt"")"),"Min iddisinja t-tapizzerija tal-foresta fil-kollezzjoni V&amp;A?")</f>
        <v>Min iddisinja t-tapizzerija tal-foresta fil-kollezzjoni V&amp;A?</v>
      </c>
    </row>
    <row r="12955" ht="15.75" customHeight="1">
      <c r="A12955" s="2" t="s">
        <v>12955</v>
      </c>
      <c r="B12955" s="2" t="str">
        <f>IFERROR(__xludf.DUMMYFUNCTION("GOOGLETRANSLATE(A12955, ""en"", ""mt"")"),"Francis Blackburne")</f>
        <v>Francis Blackburne</v>
      </c>
    </row>
    <row r="12956" ht="15.75" customHeight="1">
      <c r="A12956" s="2" t="s">
        <v>12956</v>
      </c>
      <c r="B12956" s="2" t="str">
        <f>IFERROR(__xludf.DUMMYFUNCTION("GOOGLETRANSLATE(A12956, ""en"", ""mt"")"),"Min kien l-ewwel siġġu tal-IPCC?")</f>
        <v>Min kien l-ewwel siġġu tal-IPCC?</v>
      </c>
    </row>
    <row r="12957" ht="15.75" customHeight="1">
      <c r="A12957" s="2" t="s">
        <v>12957</v>
      </c>
      <c r="B12957" s="2" t="str">
        <f>IFERROR(__xludf.DUMMYFUNCTION("GOOGLETRANSLATE(A12957, ""en"", ""mt"")"),"Fil-31 ta 'Lulju, 1995, il-Walt Disney Company ħabbret ftehim biex tgħaqqad ma' Capital Cities / ABC għal $ 19 biljun. L-azzjonisti ta 'Disney approvaw l-għaqda f'konferenza speċjali fi New York City fl-4 ta' Jannar 1996, bl-akkwist ta 'Capital Cities / A"&amp;"BC jitlesta fid-9 ta' Frar; Wara l-bejgħ, Disney semmiet is-sussidjarja l-ġdida tagħha ABC Inc. minbarra n-netwerk ABC, l-Akkwist ta 'Disney integra l-Għaxar televiżjoni u t-televiżjoni u l-21 stazzjon tar-radju mħaddem mill-ABC; L-interess ta '80% tagħha"&amp;" fl-ESPN, l-interessi tas-sjieda fil-kanal tal-istorja, netwerks tat-televiżjoni A&amp;E, u divertiment tul il-ħajja; u l-bliet kapitali / ir-rivista ABC u l-proprjetajiet tal-gazzetta fil-kumpanija. Peress li r-regoli tas-sjieda tal-FCC ipprojbixxew lill-kum"&amp;"panija milli żżomm kemm l-IT kif ukoll il-KABC-TV, Disney biegħu l-istazzjon indipendenti ta 'Los Angeles KCAL-TV lil xandir żagħżugħ għal $ 387 miljun. Fl-4 ta 'April, Disney biegħet l-erba' gazzetti li ABC kienet ikkontrollat ​​taħt il-bliet kapitali li"&amp;"l Knight Ridder għal $ 1.65 biljun. Wara l-għaqda, Thomas S. Murphy ħalla lil ABC ma 'Robert Iger jieħu postu bħala president u CEO. Madwar il-ħin tal-għaqda, l-unitajiet ta 'produzzjoni tat-televiżjoni ta' Disney diġà pproduċew serje għan-netwerk bħal Ho"&amp;"me Improvement u Boy Meets World, filwaqt li l-ftehim ippermetta wkoll aċċess għal ABC għall-Librerija ta 'Programmazzjoni tat-Tfal ta' Disney għall-blokka tas-Sibt filgħodu. Fl-1998, ABC premiered il-lejl sportiv tas-sitcom maħluq minn Aaron Sorkin, li ċ"&amp;"ċentra fuq it-travails tal-persunal ta 'programm ta' aħbarijiet sportiv fl-istil SportsCenter; Minkejja li kiseb tifħir kritiku u bosta premji Emmy, is-serje ġiet ikkanċellata fl-2000 wara żewġ staġuni.")</f>
        <v>Fil-31 ta 'Lulju, 1995, il-Walt Disney Company ħabbret ftehim biex tgħaqqad ma' Capital Cities / ABC għal $ 19 biljun. L-azzjonisti ta 'Disney approvaw l-għaqda f'konferenza speċjali fi New York City fl-4 ta' Jannar 1996, bl-akkwist ta 'Capital Cities / ABC jitlesta fid-9 ta' Frar; Wara l-bejgħ, Disney semmiet is-sussidjarja l-ġdida tagħha ABC Inc. minbarra n-netwerk ABC, l-Akkwist ta 'Disney integra l-Għaxar televiżjoni u t-televiżjoni u l-21 stazzjon tar-radju mħaddem mill-ABC; L-interess ta '80% tagħha fl-ESPN, l-interessi tas-sjieda fil-kanal tal-istorja, netwerks tat-televiżjoni A&amp;E, u divertiment tul il-ħajja; u l-bliet kapitali / ir-rivista ABC u l-proprjetajiet tal-gazzetta fil-kumpanija. Peress li r-regoli tas-sjieda tal-FCC ipprojbixxew lill-kumpanija milli żżomm kemm l-IT kif ukoll il-KABC-TV, Disney biegħu l-istazzjon indipendenti ta 'Los Angeles KCAL-TV lil xandir żagħżugħ għal $ 387 miljun. Fl-4 ta 'April, Disney biegħet l-erba' gazzetti li ABC kienet ikkontrollat ​​taħt il-bliet kapitali lil Knight Ridder għal $ 1.65 biljun. Wara l-għaqda, Thomas S. Murphy ħalla lil ABC ma 'Robert Iger jieħu postu bħala president u CEO. Madwar il-ħin tal-għaqda, l-unitajiet ta 'produzzjoni tat-televiżjoni ta' Disney diġà pproduċew serje għan-netwerk bħal Home Improvement u Boy Meets World, filwaqt li l-ftehim ippermetta wkoll aċċess għal ABC għall-Librerija ta 'Programmazzjoni tat-Tfal ta' Disney għall-blokka tas-Sibt filgħodu. Fl-1998, ABC premiered il-lejl sportiv tas-sitcom maħluq minn Aaron Sorkin, li ċċentra fuq it-travails tal-persunal ta 'programm ta' aħbarijiet sportiv fl-istil SportsCenter; Minkejja li kiseb tifħir kritiku u bosta premji Emmy, is-serje ġiet ikkanċellata fl-2000 wara żewġ staġuni.</v>
      </c>
    </row>
    <row r="12958" ht="15.75" customHeight="1">
      <c r="A12958" s="2" t="s">
        <v>12958</v>
      </c>
      <c r="B12958" s="2" t="str">
        <f>IFERROR(__xludf.DUMMYFUNCTION("GOOGLETRANSLATE(A12958, ""en"", ""mt"")"),"Ediacaran Eoandromeda jista 'jitqies li jirrappreżenta x'inhu?")</f>
        <v>Ediacaran Eoandromeda jista 'jitqies li jirrappreżenta x'inhu?</v>
      </c>
    </row>
    <row r="12959" ht="15.75" customHeight="1">
      <c r="A12959" s="2" t="s">
        <v>12959</v>
      </c>
      <c r="B12959" s="2" t="str">
        <f>IFERROR(__xludf.DUMMYFUNCTION("GOOGLETRANSLATE(A12959, ""en"", ""mt"")"),"Ir-Reġina Victoria")</f>
        <v>Ir-Reġina Victoria</v>
      </c>
    </row>
    <row r="12960" ht="15.75" customHeight="1">
      <c r="A12960" s="2" t="s">
        <v>12960</v>
      </c>
      <c r="B12960" s="2" t="str">
        <f>IFERROR(__xludf.DUMMYFUNCTION("GOOGLETRANSLATE(A12960, ""en"", ""mt"")"),"Dogg lira")</f>
        <v>Dogg lira</v>
      </c>
    </row>
    <row r="12961" ht="15.75" customHeight="1">
      <c r="A12961" s="2" t="s">
        <v>12961</v>
      </c>
      <c r="B12961" s="2" t="str">
        <f>IFERROR(__xludf.DUMMYFUNCTION("GOOGLETRANSLATE(A12961, ""en"", ""mt"")"),"bejn wieħed u ieħor 60,000 kolonizzatur Ewropew")</f>
        <v>bejn wieħed u ieħor 60,000 kolonizzatur Ewropew</v>
      </c>
    </row>
    <row r="12962" ht="15.75" customHeight="1">
      <c r="A12962" s="2" t="s">
        <v>12962</v>
      </c>
      <c r="B12962" s="2" t="str">
        <f>IFERROR(__xludf.DUMMYFUNCTION("GOOGLETRANSLATE(A12962, ""en"", ""mt"")"),"Permezz ta ’assoċjazzjonijiet varji u arranġamenti oħra")</f>
        <v>Permezz ta ’assoċjazzjonijiet varji u arranġamenti oħra</v>
      </c>
    </row>
    <row r="12963" ht="15.75" customHeight="1">
      <c r="A12963" s="2" t="s">
        <v>12963</v>
      </c>
      <c r="B12963" s="2" t="str">
        <f>IFERROR(__xludf.DUMMYFUNCTION("GOOGLETRANSLATE(A12963, ""en"", ""mt"")"),"pigmenti aċċessorji")</f>
        <v>pigmenti aċċessorji</v>
      </c>
    </row>
    <row r="12964" ht="15.75" customHeight="1">
      <c r="A12964" s="2" t="s">
        <v>12964</v>
      </c>
      <c r="B12964" s="2" t="str">
        <f>IFERROR(__xludf.DUMMYFUNCTION("GOOGLETRANSLATE(A12964, ""en"", ""mt"")"),"mexxejja tal-partiti tal-oppożizzjoni u MSPs oħra")</f>
        <v>mexxejja tal-partiti tal-oppożizzjoni u MSPs oħra</v>
      </c>
    </row>
    <row r="12965" ht="15.75" customHeight="1">
      <c r="A12965" s="2" t="s">
        <v>12965</v>
      </c>
      <c r="B12965" s="2" t="str">
        <f>IFERROR(__xludf.DUMMYFUNCTION("GOOGLETRANSLATE(A12965, ""en"", ""mt"")"),"Inkorporati fil-membrani tat-tilakoid huma kumplessi importanti tal-proteini li jwettqu r-reazzjonijiet ħfief tal-fotosintesi. Photosystem II u Photosystem I fihom kumplessi ta 'ħsad ħafif bi klorofilla u karotenojdi li jassorbu l-enerġija ħafifa u jużawh"&amp;"a biex iħaddmu l-elettroni. Il-molekuli fil-membrana tat-tilkoid jużaw l-elettroni enerġizzati biex jippompjaw joni tal-idroġenu fl-ispazju tat-tilakoid, jonqsu l-pH u jduru aċiduż. ATP synthase huwa kumpless kbir ta 'proteina li jisfrutta l-gradjent tal-"&amp;"konċentrazzjoni tal-joni tal-idroġenu fl-ispazju tat-tilkoid biex jiġġenera l-enerġija ATP hekk kif l-joni tal-idroġenu joħorġu lura fl-istoma - ħafna bħal turbina tad-diga.")</f>
        <v>Inkorporati fil-membrani tat-tilakoid huma kumplessi importanti tal-proteini li jwettqu r-reazzjonijiet ħfief tal-fotosintesi. Photosystem II u Photosystem I fihom kumplessi ta 'ħsad ħafif bi klorofilla u karotenojdi li jassorbu l-enerġija ħafifa u jużawha biex iħaddmu l-elettroni. Il-molekuli fil-membrana tat-tilkoid jużaw l-elettroni enerġizzati biex jippompjaw joni tal-idroġenu fl-ispazju tat-tilakoid, jonqsu l-pH u jduru aċiduż. ATP synthase huwa kumpless kbir ta 'proteina li jisfrutta l-gradjent tal-konċentrazzjoni tal-joni tal-idroġenu fl-ispazju tat-tilkoid biex jiġġenera l-enerġija ATP hekk kif l-joni tal-idroġenu joħorġu lura fl-istoma - ħafna bħal turbina tad-diga.</v>
      </c>
    </row>
    <row r="12966" ht="15.75" customHeight="1">
      <c r="A12966" s="2" t="s">
        <v>12966</v>
      </c>
      <c r="B12966" s="2" t="str">
        <f>IFERROR(__xludf.DUMMYFUNCTION("GOOGLETRANSLATE(A12966, ""en"", ""mt"")"),"Walt Disney u ħuh Roy ikkuntattjaw lil Goldenson fl-aħħar tal-1953 biex ABC jaqblu li jiffinanzjaw parti mill-proġett Disneyland bi skambju għall-produzzjoni ta 'programm televiżiv għan-netwerk. Walt ried li ABC jinvesti $ 500,000 u akkumula garanzija ta "&amp;"'$ 4.5 miljun f'self addizzjonali, terz tal-baġit maħsub għall-park. Madwar l-1954, ABC aċċetta li jiffinanzja Disneyland bi skambju għad-dritt li jxandar programm ġdid tal-Ħadd filgħaxija, Disneyland, li ddebutta fuq in-netwerk fis-27 ta 'Ottubru, 1954 b"&amp;"ħala l-ewwel wieħed minn bosta programmi tat-televiżjoni tal-antoloġija li Disney kien se jxandar matul il-kors 50 sena li ġejjin.")</f>
        <v>Walt Disney u ħuh Roy ikkuntattjaw lil Goldenson fl-aħħar tal-1953 biex ABC jaqblu li jiffinanzjaw parti mill-proġett Disneyland bi skambju għall-produzzjoni ta 'programm televiżiv għan-netwerk. Walt ried li ABC jinvesti $ 500,000 u akkumula garanzija ta '$ 4.5 miljun f'self addizzjonali, terz tal-baġit maħsub għall-park. Madwar l-1954, ABC aċċetta li jiffinanzja Disneyland bi skambju għad-dritt li jxandar programm ġdid tal-Ħadd filgħaxija, Disneyland, li ddebutta fuq in-netwerk fis-27 ta 'Ottubru, 1954 bħala l-ewwel wieħed minn bosta programmi tat-televiżjoni tal-antoloġija li Disney kien se jxandar matul il-kors 50 sena li ġejjin.</v>
      </c>
    </row>
    <row r="12967" ht="15.75" customHeight="1">
      <c r="A12967" s="2" t="s">
        <v>12967</v>
      </c>
      <c r="B12967" s="2" t="str">
        <f>IFERROR(__xludf.DUMMYFUNCTION("GOOGLETRANSLATE(A12967, ""en"", ""mt"")"),"Feldspar minerali anorthite")</f>
        <v>Feldspar minerali anorthite</v>
      </c>
    </row>
    <row r="12968" ht="15.75" customHeight="1">
      <c r="A12968" s="2" t="s">
        <v>12968</v>
      </c>
      <c r="B12968" s="2" t="str">
        <f>IFERROR(__xludf.DUMMYFUNCTION("GOOGLETRANSLATE(A12968, ""en"", ""mt"")"),"Il-Qorti tal-Ġustizzja")</f>
        <v>Il-Qorti tal-Ġustizzja</v>
      </c>
    </row>
    <row r="12969" ht="15.75" customHeight="1">
      <c r="A12969" s="2" t="s">
        <v>12969</v>
      </c>
      <c r="B12969" s="2" t="str">
        <f>IFERROR(__xludf.DUMMYFUNCTION("GOOGLETRANSLATE(A12969, ""en"", ""mt"")"),"X'inhuma eżempji ta 'atturi ekonomiċi?")</f>
        <v>X'inhuma eżempji ta 'atturi ekonomiċi?</v>
      </c>
    </row>
    <row r="12970" ht="15.75" customHeight="1">
      <c r="A12970" s="2" t="s">
        <v>12970</v>
      </c>
      <c r="B12970" s="2" t="str">
        <f>IFERROR(__xludf.DUMMYFUNCTION("GOOGLETRANSLATE(A12970, ""en"", ""mt"")"),"Liema ktieb ittradotta Martin Luther għall-impatt fuq il-kultura Ġermaniża?")</f>
        <v>Liema ktieb ittradotta Martin Luther għall-impatt fuq il-kultura Ġermaniża?</v>
      </c>
    </row>
    <row r="12971" ht="15.75" customHeight="1">
      <c r="A12971" s="2" t="s">
        <v>12971</v>
      </c>
      <c r="B12971" s="2" t="str">
        <f>IFERROR(__xludf.DUMMYFUNCTION("GOOGLETRANSLATE(A12971, ""en"", ""mt"")"),"Liema antropoloġi huma wkoll membri tal-alumni universitarji?")</f>
        <v>Liema antropoloġi huma wkoll membri tal-alumni universitarji?</v>
      </c>
    </row>
    <row r="12972" ht="15.75" customHeight="1">
      <c r="A12972" s="2" t="s">
        <v>12972</v>
      </c>
      <c r="B12972" s="2" t="str">
        <f>IFERROR(__xludf.DUMMYFUNCTION("GOOGLETRANSLATE(A12972, ""en"", ""mt"")"),"Kolonizzanti, Influwenza, u Annexing")</f>
        <v>Kolonizzanti, Influwenza, u Annexing</v>
      </c>
    </row>
    <row r="12973" ht="15.75" customHeight="1">
      <c r="A12973" s="2" t="s">
        <v>12973</v>
      </c>
      <c r="B12973" s="2" t="str">
        <f>IFERROR(__xludf.DUMMYFUNCTION("GOOGLETRANSLATE(A12973, ""en"", ""mt"")"),"X'jaħżen NADPH?")</f>
        <v>X'jaħżen NADPH?</v>
      </c>
    </row>
    <row r="12974" ht="15.75" customHeight="1">
      <c r="A12974" s="2" t="s">
        <v>12974</v>
      </c>
      <c r="B12974" s="2" t="str">
        <f>IFERROR(__xludf.DUMMYFUNCTION("GOOGLETRANSLATE(A12974, ""en"", ""mt"")"),"Fl-Ingilterra, fin-nuqqas ta 'figuri taċ-ċensiment, l-istoriċi jipproponu firxa ta' figuri ta 'popolazzjoni preinent minn 7 miljun sa baxxi sa 4 miljun fl-1300, u ċifra ta' popolazzjoni postintentiva baxxa daqs 2 miljun. Sal-aħħar tal-1350, il-mewt l-Iswe"&amp;"d naqset, iżda qatt ma mietet verament fl-Ingilterra. Matul il-ftit mijiet ta 'snin li ġejjin, aktar tifqigħat seħħew fl-1361–62, 1369, 1379–83, 1389-93, u matul l-ewwel nofs tas-seklu 15. Tfaqqigħ fl-1471 ħa daqs 10-15% tal-popolazzjoni, filwaqt li r-rat"&amp;"a tal-mewt tal-pesta ta '1479-80 setgħet kienet għolja sa 20%. L-iktar tifqigħat ġenerali fi Tudor u Stuart England jidhru li bdew fl-1498, 1535, 1543, 1563, 1589, 1603, 1625, u 1636, u spiċċaw bil-pesta kbira ta ’Londra fl-1665.")</f>
        <v>Fl-Ingilterra, fin-nuqqas ta 'figuri taċ-ċensiment, l-istoriċi jipproponu firxa ta' figuri ta 'popolazzjoni preinent minn 7 miljun sa baxxi sa 4 miljun fl-1300, u ċifra ta' popolazzjoni postintentiva baxxa daqs 2 miljun. Sal-aħħar tal-1350, il-mewt l-Iswed naqset, iżda qatt ma mietet verament fl-Ingilterra. Matul il-ftit mijiet ta 'snin li ġejjin, aktar tifqigħat seħħew fl-1361–62, 1369, 1379–83, 1389-93, u matul l-ewwel nofs tas-seklu 15. Tfaqqigħ fl-1471 ħa daqs 10-15% tal-popolazzjoni, filwaqt li r-rata tal-mewt tal-pesta ta '1479-80 setgħet kienet għolja sa 20%. L-iktar tifqigħat ġenerali fi Tudor u Stuart England jidhru li bdew fl-1498, 1535, 1543, 1563, 1589, 1603, 1625, u 1636, u spiċċaw bil-pesta kbira ta ’Londra fl-1665.</v>
      </c>
    </row>
    <row r="12975" ht="15.75" customHeight="1">
      <c r="A12975" s="2" t="s">
        <v>12975</v>
      </c>
      <c r="B12975" s="2" t="str">
        <f>IFERROR(__xludf.DUMMYFUNCTION("GOOGLETRANSLATE(A12975, ""en"", ""mt"")"),"F'liema episodju Doctor Who rrikonoxxa li kellu ħu?")</f>
        <v>F'liema episodju Doctor Who rrikonoxxa li kellu ħu?</v>
      </c>
    </row>
    <row r="12976" ht="15.75" customHeight="1">
      <c r="A12976" s="2" t="s">
        <v>12976</v>
      </c>
      <c r="B12976" s="2" t="str">
        <f>IFERROR(__xludf.DUMMYFUNCTION("GOOGLETRANSLATE(A12976, ""en"", ""mt"")"),"MSPs eletti")</f>
        <v>MSPs eletti</v>
      </c>
    </row>
    <row r="12977" ht="15.75" customHeight="1">
      <c r="A12977" s="2" t="s">
        <v>12977</v>
      </c>
      <c r="B12977" s="2" t="str">
        <f>IFERROR(__xludf.DUMMYFUNCTION("GOOGLETRANSLATE(A12977, ""en"", ""mt"")"),"Ma 'Mueller kellu esperjenza qabel ma ngħaqad mal-programm spazjali?")</f>
        <v>Ma 'Mueller kellu esperjenza qabel ma ngħaqad mal-programm spazjali?</v>
      </c>
    </row>
    <row r="12978" ht="15.75" customHeight="1">
      <c r="A12978" s="2" t="s">
        <v>12978</v>
      </c>
      <c r="B12978" s="2" t="str">
        <f>IFERROR(__xludf.DUMMYFUNCTION("GOOGLETRANSLATE(A12978, ""en"", ""mt"")"),"Min kien l-ewwel president u direttur tal-ipprogrammar għal ABC Entertainment?")</f>
        <v>Min kien l-ewwel president u direttur tal-ipprogrammar għal ABC Entertainment?</v>
      </c>
    </row>
    <row r="12979" ht="15.75" customHeight="1">
      <c r="A12979" s="2" t="s">
        <v>12979</v>
      </c>
      <c r="B12979" s="2" t="str">
        <f>IFERROR(__xludf.DUMMYFUNCTION("GOOGLETRANSLATE(A12979, ""en"", ""mt"")"),"Il-logo ABC evolva ħafna drabi mill-ħolqien tan-netwerk fl-1943. L-ewwel logo tan-netwerk, introdott fl-1946, kien jikkonsisti fi skrin tat-televiżjoni li fih l-ittri ""T"" u ""V"", b'mikrofonu vertikali ABC fiċ-ċentru, li jirreferi ċ-ċentru L-għeruq tan-"&amp;"netwerk fir-radju. Meta l-għaqda ABC-Upt ġiet iffinalizzata fl-1953, in-netwerk introduċa logo ġdid ibbażat fuq is-siġill tal-Kummissjoni Federali tal-Komunikazzjonijiet, bl-ittri ""ABC"" magħluqa fi tarka ċirkolari megħluba mill-ajkla qargħi. Fl-1957, eż"&amp;"att qabel in-netwerk tat-televiżjoni beda l-ewwel xandiriet tal-kulur tiegħu, il-logo ABC kien jikkonsisti minn ""ABC"" żgħir żgħir fiċ-ċentru ta 'ittra A kbira kbira A, disinn magħruf bħala ""ABC Circle A"".")</f>
        <v>Il-logo ABC evolva ħafna drabi mill-ħolqien tan-netwerk fl-1943. L-ewwel logo tan-netwerk, introdott fl-1946, kien jikkonsisti fi skrin tat-televiżjoni li fih l-ittri "T" u "V", b'mikrofonu vertikali ABC fiċ-ċentru, li jirreferi ċ-ċentru L-għeruq tan-netwerk fir-radju. Meta l-għaqda ABC-Upt ġiet iffinalizzata fl-1953, in-netwerk introduċa logo ġdid ibbażat fuq is-siġill tal-Kummissjoni Federali tal-Komunikazzjonijiet, bl-ittri "ABC" magħluqa fi tarka ċirkolari megħluba mill-ajkla qargħi. Fl-1957, eżatt qabel in-netwerk tat-televiżjoni beda l-ewwel xandiriet tal-kulur tiegħu, il-logo ABC kien jikkonsisti minn "ABC" żgħir żgħir fiċ-ċentru ta 'ittra A kbira kbira A, disinn magħruf bħala "ABC Circle A".</v>
      </c>
    </row>
    <row r="12980" ht="15.75" customHeight="1">
      <c r="A12980" s="2" t="s">
        <v>12980</v>
      </c>
      <c r="B12980" s="2" t="str">
        <f>IFERROR(__xludf.DUMMYFUNCTION("GOOGLETRANSLATE(A12980, ""en"", ""mt"")"),"Il-fluwidu tax-xogħol f'ċiklu ta 'Rankine jista' jopera bħala sistema ta 'linja magħluqa, fejn il-fluwidu tax-xogħol jiġi riċiklat kontinwament, jew jista' jkun sistema ""linja miftuħa"", fejn il-fwar tal-egżost jiġi rilaxxat direttament fl-atmosfera, u s"&amp;"ors separat ta 'ilma It-tmigħ tal-bojler huwa fornut. Normalment l-ilma huwa l-fluwidu tal-għażla minħabba l-proprjetajiet favorevoli tiegħu, bħal kimika mhux tossika u mhux reattiva, abbundanza, bi prezz baxx, u l-proprjetajiet termodinamiċi tagħha. Merk"&amp;"urju huwa l-fluwidu tax-xogħol fit-turbina tal-fwar tal-merkurju. Idrokarburi ta 'togħlija baxxa jistgħu jintużaw f'ċiklu binarju.")</f>
        <v>Il-fluwidu tax-xogħol f'ċiklu ta 'Rankine jista' jopera bħala sistema ta 'linja magħluqa, fejn il-fluwidu tax-xogħol jiġi riċiklat kontinwament, jew jista' jkun sistema "linja miftuħa", fejn il-fwar tal-egżost jiġi rilaxxat direttament fl-atmosfera, u sors separat ta 'ilma It-tmigħ tal-bojler huwa fornut. Normalment l-ilma huwa l-fluwidu tal-għażla minħabba l-proprjetajiet favorevoli tiegħu, bħal kimika mhux tossika u mhux reattiva, abbundanza, bi prezz baxx, u l-proprjetajiet termodinamiċi tagħha. Merkurju huwa l-fluwidu tax-xogħol fit-turbina tal-fwar tal-merkurju. Idrokarburi ta 'togħlija baxxa jistgħu jintużaw f'ċiklu binarju.</v>
      </c>
    </row>
    <row r="12981" ht="15.75" customHeight="1">
      <c r="A12981" s="2" t="s">
        <v>12981</v>
      </c>
      <c r="B12981" s="2" t="str">
        <f>IFERROR(__xludf.DUMMYFUNCTION("GOOGLETRANSLATE(A12981, ""en"", ""mt"")"),"Għodda tax-Xitan")</f>
        <v>Għodda tax-Xitan</v>
      </c>
    </row>
    <row r="12982" ht="15.75" customHeight="1">
      <c r="A12982" s="2" t="s">
        <v>12982</v>
      </c>
      <c r="B12982" s="2" t="str">
        <f>IFERROR(__xludf.DUMMYFUNCTION("GOOGLETRANSLATE(A12982, ""en"", ""mt"")"),"Fejn tinsab is-Sala tal-Kungress?")</f>
        <v>Fejn tinsab is-Sala tal-Kungress?</v>
      </c>
    </row>
    <row r="12983" ht="15.75" customHeight="1">
      <c r="A12983" s="2" t="s">
        <v>12983</v>
      </c>
      <c r="B12983" s="2" t="str">
        <f>IFERROR(__xludf.DUMMYFUNCTION("GOOGLETRANSLATE(A12983, ""en"", ""mt"")"),"kameras")</f>
        <v>kameras</v>
      </c>
    </row>
    <row r="12984" ht="15.75" customHeight="1">
      <c r="A12984" s="2" t="s">
        <v>12984</v>
      </c>
      <c r="B12984" s="2" t="str">
        <f>IFERROR(__xludf.DUMMYFUNCTION("GOOGLETRANSLATE(A12984, ""en"", ""mt"")"),"Liema kulur intuża biex tinħoloq il-linja ta '50 -yard fil-Levi's Stadium għall-istaġun li wassal sal-logħba tas-Super Bowl 50?")</f>
        <v>Liema kulur intuża biex tinħoloq il-linja ta '50 -yard fil-Levi's Stadium għall-istaġun li wassal sal-logħba tas-Super Bowl 50?</v>
      </c>
    </row>
    <row r="12985" ht="15.75" customHeight="1">
      <c r="A12985" s="2" t="s">
        <v>12985</v>
      </c>
      <c r="B12985" s="2" t="str">
        <f>IFERROR(__xludf.DUMMYFUNCTION("GOOGLETRANSLATE(A12985, ""en"", ""mt"")"),"Sit tal-Wirt Dinji tal-UNESCO")</f>
        <v>Sit tal-Wirt Dinji tal-UNESCO</v>
      </c>
    </row>
    <row r="12986" ht="15.75" customHeight="1">
      <c r="A12986" s="2" t="s">
        <v>12986</v>
      </c>
      <c r="B12986" s="2" t="str">
        <f>IFERROR(__xludf.DUMMYFUNCTION("GOOGLETRANSLATE(A12986, ""en"", ""mt"")"),"Spjegazzjoni ta 'tliet partijiet tal-Kredu tal-Appostli")</f>
        <v>Spjegazzjoni ta 'tliet partijiet tal-Kredu tal-Appostli</v>
      </c>
    </row>
    <row r="12987" ht="15.75" customHeight="1">
      <c r="A12987" s="2" t="s">
        <v>12987</v>
      </c>
      <c r="B12987" s="2" t="str">
        <f>IFERROR(__xludf.DUMMYFUNCTION("GOOGLETRANSLATE(A12987, ""en"", ""mt"")"),"lura lejn id-Dinja")</f>
        <v>lura lejn id-Dinja</v>
      </c>
    </row>
    <row r="12988" ht="15.75" customHeight="1">
      <c r="A12988" s="2" t="s">
        <v>12988</v>
      </c>
      <c r="B12988" s="2" t="str">
        <f>IFERROR(__xludf.DUMMYFUNCTION("GOOGLETRANSLATE(A12988, ""en"", ""mt"")"),"Telnet uża liema teknoloġija tal-interface")</f>
        <v>Telnet uża liema teknoloġija tal-interface</v>
      </c>
    </row>
    <row r="12989" ht="15.75" customHeight="1">
      <c r="A12989" s="2" t="s">
        <v>12989</v>
      </c>
      <c r="B12989" s="2" t="str">
        <f>IFERROR(__xludf.DUMMYFUNCTION("GOOGLETRANSLATE(A12989, ""en"", ""mt"")"),"Liema kastell bħalissa fih iċ-Ċentru għall-Arti Kontemporanja?")</f>
        <v>Liema kastell bħalissa fih iċ-Ċentru għall-Arti Kontemporanja?</v>
      </c>
    </row>
    <row r="12990" ht="15.75" customHeight="1">
      <c r="A12990" s="2" t="s">
        <v>12990</v>
      </c>
      <c r="B12990" s="2" t="str">
        <f>IFERROR(__xludf.DUMMYFUNCTION("GOOGLETRANSLATE(A12990, ""en"", ""mt"")"),"Kemm btieħi taw Newton fl-2015?")</f>
        <v>Kemm btieħi taw Newton fl-2015?</v>
      </c>
    </row>
    <row r="12991" ht="15.75" customHeight="1">
      <c r="A12991" s="2" t="s">
        <v>12991</v>
      </c>
      <c r="B12991" s="2" t="str">
        <f>IFERROR(__xludf.DUMMYFUNCTION("GOOGLETRANSLATE(A12991, ""en"", ""mt"")"),"In-Nies tax-Xitan")</f>
        <v>In-Nies tax-Xitan</v>
      </c>
    </row>
    <row r="12992" ht="15.75" customHeight="1">
      <c r="A12992" s="2" t="s">
        <v>12992</v>
      </c>
      <c r="B12992" s="2" t="str">
        <f>IFERROR(__xludf.DUMMYFUNCTION("GOOGLETRANSLATE(A12992, ""en"", ""mt"")"),"Min ta l-kunsens irjali tagħha għall-Att tal-Iskozja tal-1998?")</f>
        <v>Min ta l-kunsens irjali tagħha għall-Att tal-Iskozja tal-1998?</v>
      </c>
    </row>
    <row r="12993" ht="15.75" customHeight="1">
      <c r="A12993" s="2" t="s">
        <v>12993</v>
      </c>
      <c r="B12993" s="2" t="str">
        <f>IFERROR(__xludf.DUMMYFUNCTION("GOOGLETRANSLATE(A12993, ""en"", ""mt"")"),"Wilson's Geographer.")</f>
        <v>Wilson's Geographer.</v>
      </c>
    </row>
    <row r="12994" ht="15.75" customHeight="1">
      <c r="A12994" s="2" t="s">
        <v>12994</v>
      </c>
      <c r="B12994" s="2" t="str">
        <f>IFERROR(__xludf.DUMMYFUNCTION("GOOGLETRANSLATE(A12994, ""en"", ""mt"")"),"Klijenti bla fili Verizon")</f>
        <v>Klijenti bla fili Verizon</v>
      </c>
    </row>
    <row r="12995" ht="15.75" customHeight="1">
      <c r="A12995" s="2" t="s">
        <v>12995</v>
      </c>
      <c r="B12995" s="2" t="str">
        <f>IFERROR(__xludf.DUMMYFUNCTION("GOOGLETRANSLATE(A12995, ""en"", ""mt"")"),"Hemm 34 belt fin-Nofsinhar tal-Kalifornja li għandhom popolazzjoni li taqbeż liema numru?")</f>
        <v>Hemm 34 belt fin-Nofsinhar tal-Kalifornja li għandhom popolazzjoni li taqbeż liema numru?</v>
      </c>
    </row>
    <row r="12996" ht="15.75" customHeight="1">
      <c r="A12996" s="2" t="s">
        <v>12996</v>
      </c>
      <c r="B12996" s="2" t="str">
        <f>IFERROR(__xludf.DUMMYFUNCTION("GOOGLETRANSLATE(A12996, ""en"", ""mt"")"),"[256kn + 1, 256k (n + 1) - 1].")</f>
        <v>[256kn + 1, 256k (n + 1) - 1].</v>
      </c>
    </row>
    <row r="12997" ht="15.75" customHeight="1">
      <c r="A12997" s="2" t="s">
        <v>12997</v>
      </c>
      <c r="B12997" s="2" t="str">
        <f>IFERROR(__xludf.DUMMYFUNCTION("GOOGLETRANSLATE(A12997, ""en"", ""mt"")"),"Cologne, il-Ġermanja")</f>
        <v>Cologne, il-Ġermanja</v>
      </c>
    </row>
    <row r="12998" ht="15.75" customHeight="1">
      <c r="A12998" s="2" t="s">
        <v>12998</v>
      </c>
      <c r="B12998" s="2" t="str">
        <f>IFERROR(__xludf.DUMMYFUNCTION("GOOGLETRANSLATE(A12998, ""en"", ""mt"")"),"Irrispondi għall-mistoqsijiet tal-investigaturi")</f>
        <v>Irrispondi għall-mistoqsijiet tal-investigaturi</v>
      </c>
    </row>
    <row r="12999" ht="15.75" customHeight="1">
      <c r="A12999" s="2" t="s">
        <v>12999</v>
      </c>
      <c r="B12999" s="2" t="str">
        <f>IFERROR(__xludf.DUMMYFUNCTION("GOOGLETRANSLATE(A12999, ""en"", ""mt"")"),"Kemm xtrat il-Komunikazzjonijiet tal-Bliet Kapitali ABC u l-proprjetajiet tagħha?")</f>
        <v>Kemm xtrat il-Komunikazzjonijiet tal-Bliet Kapitali ABC u l-proprjetajiet tagħha?</v>
      </c>
    </row>
    <row r="13000" ht="15.75" customHeight="1">
      <c r="A13000" s="2" t="s">
        <v>13000</v>
      </c>
      <c r="B13000" s="2" t="str">
        <f>IFERROR(__xludf.DUMMYFUNCTION("GOOGLETRANSLATE(A13000, ""en"", ""mt"")"),"Bilanċ bejn perspettivi differenti u partiti politiċi")</f>
        <v>Bilanċ bejn perspettivi differenti u partiti politiċi</v>
      </c>
    </row>
    <row r="13001" ht="15.75" customHeight="1">
      <c r="A13001" s="2" t="s">
        <v>13001</v>
      </c>
      <c r="B13001" s="2" t="str">
        <f>IFERROR(__xludf.DUMMYFUNCTION("GOOGLETRANSLATE(A13001, ""en"", ""mt"")"),"Min inħatar bħala t-tieni fil-kmand lil Lor Loudoun fl-1756?")</f>
        <v>Min inħatar bħala t-tieni fil-kmand lil Lor Loudoun fl-1756?</v>
      </c>
    </row>
    <row r="13002" ht="15.75" customHeight="1">
      <c r="A13002" s="2" t="s">
        <v>13002</v>
      </c>
      <c r="B13002" s="2" t="str">
        <f>IFERROR(__xludf.DUMMYFUNCTION("GOOGLETRANSLATE(A13002, ""en"", ""mt"")"),"180 °")</f>
        <v>180 °</v>
      </c>
    </row>
    <row r="13003" ht="15.75" customHeight="1">
      <c r="A13003" s="2" t="s">
        <v>13003</v>
      </c>
      <c r="B13003" s="2" t="str">
        <f>IFERROR(__xludf.DUMMYFUNCTION("GOOGLETRANSLATE(A13003, ""en"", ""mt"")"),"Magna tat-Turing mhux deterministika")</f>
        <v>Magna tat-Turing mhux deterministika</v>
      </c>
    </row>
    <row r="13004" ht="15.75" customHeight="1">
      <c r="A13004" s="2" t="s">
        <v>13004</v>
      </c>
      <c r="B13004" s="2" t="str">
        <f>IFERROR(__xludf.DUMMYFUNCTION("GOOGLETRANSLATE(A13004, ""en"", ""mt"")"),"L-ewwel borża ta 'Varsavja ġiet stabbilita fl-1817 u kompliet tinnegozja sat-Tieni Gwerra Dinjija. Ġie stabbilit mill-ġdid f'April 1991, wara t-tmiem tal-kontroll komunista ta 'wara l-gwerra tal-pajjiż u l-introduzzjoni mill-ġdid ta' ekonomija tas-suq ħie"&amp;"les. Illum, il-Borża ta 'Varsavja (WSE) hija, skond ħafna indikaturi, l-akbar suq fir-reġjun, b'374 kumpanija elenkata u kapitalizzazzjoni totali ta' 162 584 mln EUR mill-31 ta 'Awwissu 2009. mill-1991 sal-2000, il-Borża kienet , ironikament, li jinsab fi"&amp;"l-bini użat qabel bħala l-kwartieri ġenerali tal-Partit tal-Ħaddiema Magħquda Pollakka (PZPR).")</f>
        <v>L-ewwel borża ta 'Varsavja ġiet stabbilita fl-1817 u kompliet tinnegozja sat-Tieni Gwerra Dinjija. Ġie stabbilit mill-ġdid f'April 1991, wara t-tmiem tal-kontroll komunista ta 'wara l-gwerra tal-pajjiż u l-introduzzjoni mill-ġdid ta' ekonomija tas-suq ħieles. Illum, il-Borża ta 'Varsavja (WSE) hija, skond ħafna indikaturi, l-akbar suq fir-reġjun, b'374 kumpanija elenkata u kapitalizzazzjoni totali ta' 162 584 mln EUR mill-31 ta 'Awwissu 2009. mill-1991 sal-2000, il-Borża kienet , ironikament, li jinsab fil-bini użat qabel bħala l-kwartieri ġenerali tal-Partit tal-Ħaddiema Magħquda Pollakka (PZPR).</v>
      </c>
    </row>
    <row r="13005" ht="15.75" customHeight="1">
      <c r="A13005" s="2" t="s">
        <v>13005</v>
      </c>
      <c r="B13005" s="2" t="str">
        <f>IFERROR(__xludf.DUMMYFUNCTION("GOOGLETRANSLATE(A13005, ""en"", ""mt"")"),"Liema persentaġġ ta 'elettriku sar bit-turbina tal-fwar fis-snin disgħin?")</f>
        <v>Liema persentaġġ ta 'elettriku sar bit-turbina tal-fwar fis-snin disgħin?</v>
      </c>
    </row>
    <row r="13006" ht="15.75" customHeight="1">
      <c r="A13006" s="2" t="s">
        <v>13006</v>
      </c>
      <c r="B13006" s="2" t="str">
        <f>IFERROR(__xludf.DUMMYFUNCTION("GOOGLETRANSLATE(A13006, ""en"", ""mt"")"),"interess pubbliku")</f>
        <v>interess pubbliku</v>
      </c>
    </row>
    <row r="13007" ht="15.75" customHeight="1">
      <c r="A13007" s="2" t="s">
        <v>13007</v>
      </c>
      <c r="B13007" s="2" t="str">
        <f>IFERROR(__xludf.DUMMYFUNCTION("GOOGLETRANSLATE(A13007, ""en"", ""mt"")"),"Ħdejn Sargans")</f>
        <v>Ħdejn Sargans</v>
      </c>
    </row>
    <row r="13008" ht="15.75" customHeight="1">
      <c r="A13008" s="2" t="s">
        <v>13008</v>
      </c>
      <c r="B13008" s="2" t="str">
        <f>IFERROR(__xludf.DUMMYFUNCTION("GOOGLETRANSLATE(A13008, ""en"", ""mt"")"),"Time Magazine")</f>
        <v>Time Magazine</v>
      </c>
    </row>
    <row r="13009" ht="15.75" customHeight="1">
      <c r="A13009" s="2" t="s">
        <v>13009</v>
      </c>
      <c r="B13009" s="2" t="str">
        <f>IFERROR(__xludf.DUMMYFUNCTION("GOOGLETRANSLATE(A13009, ""en"", ""mt"")"),"27%")</f>
        <v>27%</v>
      </c>
    </row>
    <row r="13010" ht="15.75" customHeight="1">
      <c r="A13010" s="2" t="s">
        <v>13010</v>
      </c>
      <c r="B13010" s="2" t="str">
        <f>IFERROR(__xludf.DUMMYFUNCTION("GOOGLETRANSLATE(A13010, ""en"", ""mt"")"),"Prinċep ta ’Płock")</f>
        <v>Prinċep ta ’Płock</v>
      </c>
    </row>
    <row r="13011" ht="15.75" customHeight="1">
      <c r="A13011" s="2" t="s">
        <v>13011</v>
      </c>
      <c r="B13011" s="2" t="str">
        <f>IFERROR(__xludf.DUMMYFUNCTION("GOOGLETRANSLATE(A13011, ""en"", ""mt"")"),"X’wassal biex Newcastle jaqa ’mill-poter bħala konsulent militari?")</f>
        <v>X’wassal biex Newcastle jaqa ’mill-poter bħala konsulent militari?</v>
      </c>
    </row>
    <row r="13012" ht="15.75" customHeight="1">
      <c r="A13012" s="2" t="s">
        <v>13012</v>
      </c>
      <c r="B13012" s="2" t="str">
        <f>IFERROR(__xludf.DUMMYFUNCTION("GOOGLETRANSLATE(A13012, ""en"", ""mt"")"),"L-irkapti tal-valv l-aktar sempliċi jagħtu avvenimenti ta 'tul fiss matul iċ-ċiklu tal-magna u ħafna drabi jagħmlu l-magna ddur f'direzzjoni waħda biss. Madankollu l-biċċa l-kbira għandhom mekkaniżmu ta 'treġġigħ lura li barra minn hekk jista' jipprovdi m"&amp;"ezzi għall-iffrankar tal-fwar hekk kif il-veloċità u l-momentum jinkisbu billi ""tqassar il-cutoff"" jew pjuttost, tqassar l-avveniment ta 'ammissjoni; Dan imbagħad ittawwal proporzjonalment il-perjodu ta 'espansjoni. Madankollu, hekk kif wieħed u l-istes"&amp;"s valv ġeneralment jikkontrolla ż-żewġ flussi tal-fwar, qtugħ qasir fl-ammissjoni jaffettwa ħażin l-egżost u l-perjodi ta 'kompressjoni li idealment għandhom dejjem jinżammu pjuttost kostanti; Jekk l-avveniment tal-egżost huwa qasir wisq, it-totalità tal-"&amp;"fwar tal-egżost ma tistax tevakwa ċ-ċilindru, tifgah u tagħti kompressjoni eċċessiva (""kick lura""). [Ċitazzjoni meħtieġa]")</f>
        <v>L-irkapti tal-valv l-aktar sempliċi jagħtu avvenimenti ta 'tul fiss matul iċ-ċiklu tal-magna u ħafna drabi jagħmlu l-magna ddur f'direzzjoni waħda biss. Madankollu l-biċċa l-kbira għandhom mekkaniżmu ta 'treġġigħ lura li barra minn hekk jista' jipprovdi mezzi għall-iffrankar tal-fwar hekk kif il-veloċità u l-momentum jinkisbu billi "tqassar il-cutoff" jew pjuttost, tqassar l-avveniment ta 'ammissjoni; Dan imbagħad ittawwal proporzjonalment il-perjodu ta 'espansjoni. Madankollu, hekk kif wieħed u l-istess valv ġeneralment jikkontrolla ż-żewġ flussi tal-fwar, qtugħ qasir fl-ammissjoni jaffettwa ħażin l-egżost u l-perjodi ta 'kompressjoni li idealment għandhom dejjem jinżammu pjuttost kostanti; Jekk l-avveniment tal-egżost huwa qasir wisq, it-totalità tal-fwar tal-egżost ma tistax tevakwa ċ-ċilindru, tifgah u tagħti kompressjoni eċċessiva ("kick lura"). [Ċitazzjoni meħtieġa]</v>
      </c>
    </row>
    <row r="13013" ht="15.75" customHeight="1">
      <c r="A13013" s="2" t="s">
        <v>13013</v>
      </c>
      <c r="B13013" s="2" t="str">
        <f>IFERROR(__xludf.DUMMYFUNCTION("GOOGLETRANSLATE(A13013, ""en"", ""mt"")"),"Il-kontinenti kollha popolati")</f>
        <v>Il-kontinenti kollha popolati</v>
      </c>
    </row>
    <row r="13014" ht="15.75" customHeight="1">
      <c r="A13014" s="2" t="s">
        <v>13014</v>
      </c>
      <c r="B13014" s="2" t="str">
        <f>IFERROR(__xludf.DUMMYFUNCTION("GOOGLETRANSLATE(A13014, ""en"", ""mt"")"),"1803")</f>
        <v>1803</v>
      </c>
    </row>
    <row r="13015" ht="15.75" customHeight="1">
      <c r="A13015" s="2" t="s">
        <v>13015</v>
      </c>
      <c r="B13015" s="2" t="str">
        <f>IFERROR(__xludf.DUMMYFUNCTION("GOOGLETRANSLATE(A13015, ""en"", ""mt"")"),"L-iktar kontributur mużikali frekwenti matul l-ewwel 15-il sena kien Dudley Simpson, li huwa magħruf ukoll għat-tema u l-mużika inċidentali tiegħu għal Blake's 7, u għall-mużika u l-punteġġ tiegħu għall-verżjoni oriġinali tas-snin 70 ta 'Tomorrow People. "&amp;"L-ewwel Tabib ta 'Simpson Who Score kien Planet of Giants (1964) u kompla jikteb mużika għal ħafna avventuri tas-snin 1960 u 1970, inklużi ħafna mill-istejjer tal-perjodi Jon Pertwee / Tom Baker, li jispiċċaw bil-qrun ta' Nimon (1979 ). Huwa għamel ukoll "&amp;"dehra ta 'cameo fit-Talons ta' Weng-Chiang (bħala surmast tal-mużika).")</f>
        <v>L-iktar kontributur mużikali frekwenti matul l-ewwel 15-il sena kien Dudley Simpson, li huwa magħruf ukoll għat-tema u l-mużika inċidentali tiegħu għal Blake's 7, u għall-mużika u l-punteġġ tiegħu għall-verżjoni oriġinali tas-snin 70 ta 'Tomorrow People. L-ewwel Tabib ta 'Simpson Who Score kien Planet of Giants (1964) u kompla jikteb mużika għal ħafna avventuri tas-snin 1960 u 1970, inklużi ħafna mill-istejjer tal-perjodi Jon Pertwee / Tom Baker, li jispiċċaw bil-qrun ta' Nimon (1979 ). Huwa għamel ukoll dehra ta 'cameo fit-Talons ta' Weng-Chiang (bħala surmast tal-mużika).</v>
      </c>
    </row>
    <row r="13016" ht="15.75" customHeight="1">
      <c r="A13016" s="2" t="s">
        <v>13016</v>
      </c>
      <c r="B13016" s="2" t="str">
        <f>IFERROR(__xludf.DUMMYFUNCTION("GOOGLETRANSLATE(A13016, ""en"", ""mt"")"),"1941")</f>
        <v>1941</v>
      </c>
    </row>
    <row r="13017" ht="15.75" customHeight="1">
      <c r="A13017" s="2" t="s">
        <v>13017</v>
      </c>
      <c r="B13017" s="2" t="str">
        <f>IFERROR(__xludf.DUMMYFUNCTION("GOOGLETRANSLATE(A13017, ""en"", ""mt"")"),"Ir-rugby huwa wkoll sport li qed jikber fin-Nofsinhar tal-Kalifornja, partikolarment fil-livell tal-iskola għolja, b'numru dejjem jiżdied ta 'skejjel li jżidu r-rugby bħala sport uffiċjali tal-iskola.")</f>
        <v>Ir-rugby huwa wkoll sport li qed jikber fin-Nofsinhar tal-Kalifornja, partikolarment fil-livell tal-iskola għolja, b'numru dejjem jiżdied ta 'skejjel li jżidu r-rugby bħala sport uffiċjali tal-iskola.</v>
      </c>
    </row>
    <row r="13018" ht="15.75" customHeight="1">
      <c r="A13018" s="2" t="s">
        <v>13018</v>
      </c>
      <c r="B13018" s="2" t="str">
        <f>IFERROR(__xludf.DUMMYFUNCTION("GOOGLETRANSLATE(A13018, ""en"", ""mt"")"),"sors ta 'enerġija")</f>
        <v>sors ta 'enerġija</v>
      </c>
    </row>
    <row r="13019" ht="15.75" customHeight="1">
      <c r="A13019" s="2" t="s">
        <v>13019</v>
      </c>
      <c r="B13019" s="2" t="str">
        <f>IFERROR(__xludf.DUMMYFUNCTION("GOOGLETRANSLATE(A13019, ""en"", ""mt"")"),"Ma 'min laqat Luther fis-snin ta' wara?")</f>
        <v>Ma 'min laqat Luther fis-snin ta' wara?</v>
      </c>
    </row>
    <row r="13020" ht="15.75" customHeight="1">
      <c r="A13020" s="2" t="s">
        <v>13020</v>
      </c>
      <c r="B13020" s="2" t="str">
        <f>IFERROR(__xludf.DUMMYFUNCTION("GOOGLETRANSLATE(A13020, ""en"", ""mt"")"),"X'inhu r-riżultat taċ-ċiklu ta 'Calvin?")</f>
        <v>X'inhu r-riżultat taċ-ċiklu ta 'Calvin?</v>
      </c>
    </row>
    <row r="13021" ht="15.75" customHeight="1">
      <c r="A13021" s="2" t="s">
        <v>13021</v>
      </c>
      <c r="B13021" s="2" t="str">
        <f>IFERROR(__xludf.DUMMYFUNCTION("GOOGLETRANSLATE(A13021, ""en"", ""mt"")"),"razez tal-ogħla ""effiċjenza soċjali""")</f>
        <v>razez tal-ogħla "effiċjenza soċjali"</v>
      </c>
    </row>
    <row r="13022" ht="15.75" customHeight="1">
      <c r="A13022" s="2" t="s">
        <v>13022</v>
      </c>
      <c r="B13022" s="2" t="str">
        <f>IFERROR(__xludf.DUMMYFUNCTION("GOOGLETRANSLATE(A13022, ""en"", ""mt"")"),"Huwa seta 'jħoss uġigħ qawwi qawwi fejn daħal ġismu")</f>
        <v>Huwa seta 'jħoss uġigħ qawwi qawwi fejn daħal ġismu</v>
      </c>
    </row>
    <row r="13023" ht="15.75" customHeight="1">
      <c r="A13023" s="2" t="s">
        <v>13023</v>
      </c>
      <c r="B13023" s="2" t="str">
        <f>IFERROR(__xludf.DUMMYFUNCTION("GOOGLETRANSLATE(A13023, ""en"", ""mt"")"),"arrestat")</f>
        <v>arrestat</v>
      </c>
    </row>
    <row r="13024" ht="15.75" customHeight="1">
      <c r="A13024" s="2" t="s">
        <v>13024</v>
      </c>
      <c r="B13024" s="2" t="str">
        <f>IFERROR(__xludf.DUMMYFUNCTION("GOOGLETRANSLATE(A13024, ""en"", ""mt"")"),"Kif jista 'jitfa' Peyton Manning?")</f>
        <v>Kif jista 'jitfa' Peyton Manning?</v>
      </c>
    </row>
    <row r="13025" ht="15.75" customHeight="1">
      <c r="A13025" s="2" t="s">
        <v>13025</v>
      </c>
      <c r="B13025" s="2" t="str">
        <f>IFERROR(__xludf.DUMMYFUNCTION("GOOGLETRANSLATE(A13025, ""en"", ""mt"")"),"Min jista 'jinforza l-liġi tal-Unjoni Ewropea?")</f>
        <v>Min jista 'jinforza l-liġi tal-Unjoni Ewropea?</v>
      </c>
    </row>
    <row r="13026" ht="15.75" customHeight="1">
      <c r="A13026" s="2" t="s">
        <v>13026</v>
      </c>
      <c r="B13026" s="2" t="str">
        <f>IFERROR(__xludf.DUMMYFUNCTION("GOOGLETRANSLATE(A13026, ""en"", ""mt"")"),"Sgraffito")</f>
        <v>Sgraffito</v>
      </c>
    </row>
    <row r="13027" ht="15.75" customHeight="1">
      <c r="A13027" s="2" t="s">
        <v>13027</v>
      </c>
      <c r="B13027" s="2" t="str">
        <f>IFERROR(__xludf.DUMMYFUNCTION("GOOGLETRANSLATE(A13027, ""en"", ""mt"")"),"formola tal-frieket tar-replikazzjoni")</f>
        <v>formola tal-frieket tar-replikazzjoni</v>
      </c>
    </row>
    <row r="13028" ht="15.75" customHeight="1">
      <c r="A13028" s="2" t="s">
        <v>13028</v>
      </c>
      <c r="B13028" s="2" t="str">
        <f>IFERROR(__xludf.DUMMYFUNCTION("GOOGLETRANSLATE(A13028, ""en"", ""mt"")"),"Kemm nisa kienu impjegati fil-kostruzzjoni fl-2011?")</f>
        <v>Kemm nisa kienu impjegati fil-kostruzzjoni fl-2011?</v>
      </c>
    </row>
    <row r="13029" ht="15.75" customHeight="1">
      <c r="A13029" s="2" t="s">
        <v>13029</v>
      </c>
      <c r="B13029" s="2" t="str">
        <f>IFERROR(__xludf.DUMMYFUNCTION("GOOGLETRANSLATE(A13029, ""en"", ""mt"")"),"lokali")</f>
        <v>lokali</v>
      </c>
    </row>
    <row r="13030" ht="15.75" customHeight="1">
      <c r="A13030" s="2" t="s">
        <v>13030</v>
      </c>
      <c r="B13030" s="2" t="str">
        <f>IFERROR(__xludf.DUMMYFUNCTION("GOOGLETRANSLATE(A13030, ""en"", ""mt"")"),"Kloroplast")</f>
        <v>Kloroplast</v>
      </c>
    </row>
    <row r="13031" ht="15.75" customHeight="1">
      <c r="A13031" s="2" t="s">
        <v>13031</v>
      </c>
      <c r="B13031" s="2" t="str">
        <f>IFERROR(__xludf.DUMMYFUNCTION("GOOGLETRANSLATE(A13031, ""en"", ""mt"")"),"Tesla, bħal ħafna mill-era tiegħu, saret proponent ta 'verżjoni selettiva ta' trobbija selettiva ta 'eugenics. L-opinjoni tiegħu ħarġet mit-twemmin li l- ""ħasra"" tal-bnedmin kienet interferiet mal-ħidma naturali ta 'natura bla ħniena, aktar milli mill-k"&amp;"unċetti ta' ""razza kaptan"" jew superjorità inerenti ta 'persuna fuq oħra. L-avukatura tiegħu dwarha kienet, madankollu, li timbottaha aktar. F'intervista tal-1937, huwa ddikjara:")</f>
        <v>Tesla, bħal ħafna mill-era tiegħu, saret proponent ta 'verżjoni selettiva ta' trobbija selettiva ta 'eugenics. L-opinjoni tiegħu ħarġet mit-twemmin li l- "ħasra" tal-bnedmin kienet interferiet mal-ħidma naturali ta 'natura bla ħniena, aktar milli mill-kunċetti ta' "razza kaptan" jew superjorità inerenti ta 'persuna fuq oħra. L-avukatura tiegħu dwarha kienet, madankollu, li timbottaha aktar. F'intervista tal-1937, huwa ddikjara:</v>
      </c>
    </row>
    <row r="13032" ht="15.75" customHeight="1">
      <c r="A13032" s="2" t="s">
        <v>13032</v>
      </c>
      <c r="B13032" s="2" t="str">
        <f>IFERROR(__xludf.DUMMYFUNCTION("GOOGLETRANSLATE(A13032, ""en"", ""mt"")"),"riċettur tal-vitamina D")</f>
        <v>riċettur tal-vitamina D</v>
      </c>
    </row>
    <row r="13033" ht="15.75" customHeight="1">
      <c r="A13033" s="2" t="s">
        <v>13033</v>
      </c>
      <c r="B13033" s="2" t="str">
        <f>IFERROR(__xludf.DUMMYFUNCTION("GOOGLETRANSLATE(A13033, ""en"", ""mt"")"),"Meta kienet l-iktar Super Bowl riċenti ospitata fiż-żona ta 'South Florida / Miami?")</f>
        <v>Meta kienet l-iktar Super Bowl riċenti ospitata fiż-żona ta 'South Florida / Miami?</v>
      </c>
    </row>
    <row r="13034" ht="15.75" customHeight="1">
      <c r="A13034" s="2" t="s">
        <v>13034</v>
      </c>
      <c r="B13034" s="2" t="str">
        <f>IFERROR(__xludf.DUMMYFUNCTION("GOOGLETRANSLATE(A13034, ""en"", ""mt"")"),"Mill-Italja, il-marda nfirxet lejn il-majjistral madwar l-Ewropa, li tolqot Franza, Spanja, il-Portugall u l-Ingilterra sa Ġunju 1348, imbagħad inbidlet u nfirxet lejn il-Lvant mill-Ġermanja u l-Iskandinavja mill-1348 sal-1350. Ġie introdott fin-Norveġja "&amp;"fl-1349 meta vapur żbarka f'Askøy, Imbagħad infirex għal Bjørgvin (modern Bergen) u l-Islanda. Fl-aħħarnett infirex lejn il-majjistral tar-Russja fl-1351. Il-pesta kienet kemmxejn inqas komuni f'partijiet tal-Ewropa li kellhom relazzjonijiet kummerċjali i"&amp;"żgħar mal-ġirien tagħhom, inkluż ir-Renju tal-Polonja, il-maġġoranza tal-pajjiż Bask, partijiet iżolati tal-Belġju u l-Olanda, u Irħula alpini iżolati madwar il-kontinent.")</f>
        <v>Mill-Italja, il-marda nfirxet lejn il-majjistral madwar l-Ewropa, li tolqot Franza, Spanja, il-Portugall u l-Ingilterra sa Ġunju 1348, imbagħad inbidlet u nfirxet lejn il-Lvant mill-Ġermanja u l-Iskandinavja mill-1348 sal-1350. Ġie introdott fin-Norveġja fl-1349 meta vapur żbarka f'Askøy, Imbagħad infirex għal Bjørgvin (modern Bergen) u l-Islanda. Fl-aħħarnett infirex lejn il-majjistral tar-Russja fl-1351. Il-pesta kienet kemmxejn inqas komuni f'partijiet tal-Ewropa li kellhom relazzjonijiet kummerċjali iżgħar mal-ġirien tagħhom, inkluż ir-Renju tal-Polonja, il-maġġoranza tal-pajjiż Bask, partijiet iżolati tal-Belġju u l-Olanda, u Irħula alpini iżolati madwar il-kontinent.</v>
      </c>
    </row>
    <row r="13035" ht="15.75" customHeight="1">
      <c r="A13035" s="2" t="s">
        <v>13035</v>
      </c>
      <c r="B13035" s="2" t="str">
        <f>IFERROR(__xludf.DUMMYFUNCTION("GOOGLETRANSLATE(A13035, ""en"", ""mt"")"),"Kif tista 'ssib l-età assoluta ta' unitajiet tal-blat sedimentarji li ma fihomx iżotopi radjuattivi?")</f>
        <v>Kif tista 'ssib l-età assoluta ta' unitajiet tal-blat sedimentarji li ma fihomx iżotopi radjuattivi?</v>
      </c>
    </row>
    <row r="13036" ht="15.75" customHeight="1">
      <c r="A13036" s="2" t="s">
        <v>13036</v>
      </c>
      <c r="B13036" s="2" t="str">
        <f>IFERROR(__xludf.DUMMYFUNCTION("GOOGLETRANSLATE(A13036, ""en"", ""mt"")"),"il-knisja ta ’San Tumas il-martri")</f>
        <v>il-knisja ta ’San Tumas il-martri</v>
      </c>
    </row>
    <row r="13037" ht="15.75" customHeight="1">
      <c r="A13037" s="2" t="s">
        <v>13037</v>
      </c>
      <c r="B13037" s="2" t="str">
        <f>IFERROR(__xludf.DUMMYFUNCTION("GOOGLETRANSLATE(A13037, ""en"", ""mt"")"),"Fis-7 ta 'Jannar 1900, Tesla telqet minn Colorado Springs. [Ċitazzjoni meħtieġa] Il-laboratorju tiegħu ġie mqatta' fl-1904, u l-kontenut tiegħu nbiegħ sentejn wara biex jissodisfa d-dejn.")</f>
        <v>Fis-7 ta 'Jannar 1900, Tesla telqet minn Colorado Springs. [Ċitazzjoni meħtieġa] Il-laboratorju tiegħu ġie mqatta' fl-1904, u l-kontenut tiegħu nbiegħ sentejn wara biex jissodisfa d-dejn.</v>
      </c>
    </row>
    <row r="13038" ht="15.75" customHeight="1">
      <c r="A13038" s="2" t="s">
        <v>13038</v>
      </c>
      <c r="B13038" s="2" t="str">
        <f>IFERROR(__xludf.DUMMYFUNCTION("GOOGLETRANSLATE(A13038, ""en"", ""mt"")"),"X'kien l-avveniment sekondarju endosymbiotiku?")</f>
        <v>X'kien l-avveniment sekondarju endosymbiotiku?</v>
      </c>
    </row>
    <row r="13039" ht="15.75" customHeight="1">
      <c r="A13039" s="2" t="s">
        <v>13039</v>
      </c>
      <c r="B13039" s="2" t="str">
        <f>IFERROR(__xludf.DUMMYFUNCTION("GOOGLETRANSLATE(A13039, ""en"", ""mt"")"),"Meta għadda dan l-att tan-naturalizzazzjoni?")</f>
        <v>Meta għadda dan l-att tan-naturalizzazzjoni?</v>
      </c>
    </row>
    <row r="13040" ht="15.75" customHeight="1">
      <c r="A13040" s="2" t="s">
        <v>13040</v>
      </c>
      <c r="B13040" s="2" t="str">
        <f>IFERROR(__xludf.DUMMYFUNCTION("GOOGLETRANSLATE(A13040, ""en"", ""mt"")"),"Għal min kien jismu Yersinia Pestis?")</f>
        <v>Għal min kien jismu Yersinia Pestis?</v>
      </c>
    </row>
    <row r="13041" ht="15.75" customHeight="1">
      <c r="A13041" s="2" t="s">
        <v>13041</v>
      </c>
      <c r="B13041" s="2" t="str">
        <f>IFERROR(__xludf.DUMMYFUNCTION("GOOGLETRANSLATE(A13041, ""en"", ""mt"")"),"Liema pajjiż kellu karigi ta 'kummerċ fl-Indja qabel il-Gran Brittanja?")</f>
        <v>Liema pajjiż kellu karigi ta 'kummerċ fl-Indja qabel il-Gran Brittanja?</v>
      </c>
    </row>
    <row r="13042" ht="15.75" customHeight="1">
      <c r="A13042" s="2" t="s">
        <v>13042</v>
      </c>
      <c r="B13042" s="2" t="str">
        <f>IFERROR(__xludf.DUMMYFUNCTION("GOOGLETRANSLATE(A13042, ""en"", ""mt"")"),"Il-bini ta 'proġett li jonqos milli jaderixxi mal-kodiċi ma jibbenefikax lil min?")</f>
        <v>Il-bini ta 'proġett li jonqos milli jaderixxi mal-kodiċi ma jibbenefikax lil min?</v>
      </c>
    </row>
    <row r="13043" ht="15.75" customHeight="1">
      <c r="A13043" s="2" t="s">
        <v>13043</v>
      </c>
      <c r="B13043" s="2" t="str">
        <f>IFERROR(__xludf.DUMMYFUNCTION("GOOGLETRANSLATE(A13043, ""en"", ""mt"")"),"deterministikament")</f>
        <v>deterministikament</v>
      </c>
    </row>
    <row r="13044" ht="15.75" customHeight="1">
      <c r="A13044" s="2" t="s">
        <v>13044</v>
      </c>
      <c r="B13044" s="2" t="str">
        <f>IFERROR(__xludf.DUMMYFUNCTION("GOOGLETRANSLATE(A13044, ""en"", ""mt"")"),"X’ser iservu x-xmajjar magħluqa wara li jagħlqu?")</f>
        <v>X’ser iservu x-xmajjar magħluqa wara li jagħlqu?</v>
      </c>
    </row>
    <row r="13045" ht="15.75" customHeight="1">
      <c r="A13045" s="2" t="s">
        <v>13045</v>
      </c>
      <c r="B13045" s="2" t="str">
        <f>IFERROR(__xludf.DUMMYFUNCTION("GOOGLETRANSLATE(A13045, ""en"", ""mt"")"),"X’jikkorrelata l-iktar benesseri tat-tfal f’pajjiżi sinjuri?")</f>
        <v>X’jikkorrelata l-iktar benesseri tat-tfal f’pajjiżi sinjuri?</v>
      </c>
    </row>
    <row r="13046" ht="15.75" customHeight="1">
      <c r="A13046" s="2" t="s">
        <v>13046</v>
      </c>
      <c r="B13046" s="2" t="str">
        <f>IFERROR(__xludf.DUMMYFUNCTION("GOOGLETRANSLATE(A13046, ""en"", ""mt"")"),"X’se jikkawża li l-lag ħdejn ir-Renu jitlaq?")</f>
        <v>X’se jikkawża li l-lag ħdejn ir-Renu jitlaq?</v>
      </c>
    </row>
    <row r="13047" ht="15.75" customHeight="1">
      <c r="A13047" s="2" t="s">
        <v>13047</v>
      </c>
      <c r="B13047" s="2" t="str">
        <f>IFERROR(__xludf.DUMMYFUNCTION("GOOGLETRANSLATE(A13047, ""en"", ""mt"")"),"Għal żmien twil, in-numru tat-teorija b'mod ġenerali, u l-istudju tan-numri ewlenin b'mod partikolari, kien meqjus bħala l-eżempju kanoniku tal-matematika pura, mingħajr l-ebda applikazzjoni barra mill-interess innifsu li tistudja s-suġġett bl-eċċezzjoni "&amp;"tal-użu tal-użu tal-prim numerat Snien tal-irkaptu biex iqassmu l-ilbies b'mod uniformi. B'mod partikolari, teoriċi tan-numru bħall-matematiku Ingliż G. H. Hardy kburin lilhom infushom li jagħmlu xogħol li ma kellu l-ebda sinifikat militari. Madankollu, d"&amp;"in il-viżjoni ġiet għebet fis-snin sebgħin, meta ġie mħabbar pubblikament li n-numri ewlenin jistgħu jintużaw bħala l-bażi għall-ħolqien ta 'algoritmi ta' kriptografija ewlenija pubblika. In-numri ewlenin jintużaw ukoll għat-tabelli tal-hash u l-ġeneratur"&amp;"i tan-numri tal-pseudorandom.")</f>
        <v>Għal żmien twil, in-numru tat-teorija b'mod ġenerali, u l-istudju tan-numri ewlenin b'mod partikolari, kien meqjus bħala l-eżempju kanoniku tal-matematika pura, mingħajr l-ebda applikazzjoni barra mill-interess innifsu li tistudja s-suġġett bl-eċċezzjoni tal-użu tal-użu tal-prim numerat Snien tal-irkaptu biex iqassmu l-ilbies b'mod uniformi. B'mod partikolari, teoriċi tan-numru bħall-matematiku Ingliż G. H. Hardy kburin lilhom infushom li jagħmlu xogħol li ma kellu l-ebda sinifikat militari. Madankollu, din il-viżjoni ġiet għebet fis-snin sebgħin, meta ġie mħabbar pubblikament li n-numri ewlenin jistgħu jintużaw bħala l-bażi għall-ħolqien ta 'algoritmi ta' kriptografija ewlenija pubblika. In-numri ewlenin jintużaw ukoll għat-tabelli tal-hash u l-ġeneraturi tan-numri tal-pseudorandom.</v>
      </c>
    </row>
    <row r="13048" ht="15.75" customHeight="1">
      <c r="A13048" s="2" t="s">
        <v>13048</v>
      </c>
      <c r="B13048" s="2" t="str">
        <f>IFERROR(__xludf.DUMMYFUNCTION("GOOGLETRANSLATE(A13048, ""en"", ""mt"")"),"Thomson Cruise Lines")</f>
        <v>Thomson Cruise Lines</v>
      </c>
    </row>
    <row r="13049" ht="15.75" customHeight="1">
      <c r="A13049" s="2" t="s">
        <v>13049</v>
      </c>
      <c r="B13049" s="2" t="str">
        <f>IFERROR(__xludf.DUMMYFUNCTION("GOOGLETRANSLATE(A13049, ""en"", ""mt"")"),"Reżistenza Akkwistata Sistemika (SAR)")</f>
        <v>Reżistenza Akkwistata Sistemika (SAR)</v>
      </c>
    </row>
    <row r="13050" ht="15.75" customHeight="1">
      <c r="A13050" s="2" t="s">
        <v>13050</v>
      </c>
      <c r="B13050" s="2" t="str">
        <f>IFERROR(__xludf.DUMMYFUNCTION("GOOGLETRANSLATE(A13050, ""en"", ""mt"")"),"Meritokrazija")</f>
        <v>Meritokrazija</v>
      </c>
    </row>
    <row r="13051" ht="15.75" customHeight="1">
      <c r="A13051" s="2" t="s">
        <v>13051</v>
      </c>
      <c r="B13051" s="2" t="str">
        <f>IFERROR(__xludf.DUMMYFUNCTION("GOOGLETRANSLATE(A13051, ""en"", ""mt"")"),"Frazzjoni żgħira tal-fluss tal-ilma kiesaħ mill-Lag Constance tmur għal liema lag ieħor?")</f>
        <v>Frazzjoni żgħira tal-fluss tal-ilma kiesaħ mill-Lag Constance tmur għal liema lag ieħor?</v>
      </c>
    </row>
    <row r="13052" ht="15.75" customHeight="1">
      <c r="A13052" s="2" t="s">
        <v>13052</v>
      </c>
      <c r="B13052" s="2" t="str">
        <f>IFERROR(__xludf.DUMMYFUNCTION("GOOGLETRANSLATE(A13052, ""en"", ""mt"")"),"ġbir ta 'fondi")</f>
        <v>ġbir ta 'fondi</v>
      </c>
    </row>
    <row r="13053" ht="15.75" customHeight="1">
      <c r="A13053" s="2" t="s">
        <v>13053</v>
      </c>
      <c r="B13053" s="2" t="str">
        <f>IFERROR(__xludf.DUMMYFUNCTION("GOOGLETRANSLATE(A13053, ""en"", ""mt"")"),"Meta huwa l-eqdem siġill armat ta 'Varsavja?")</f>
        <v>Meta huwa l-eqdem siġill armat ta 'Varsavja?</v>
      </c>
    </row>
    <row r="13054" ht="15.75" customHeight="1">
      <c r="A13054" s="2" t="s">
        <v>13054</v>
      </c>
      <c r="B13054" s="2" t="str">
        <f>IFERROR(__xludf.DUMMYFUNCTION("GOOGLETRANSLATE(A13054, ""en"", ""mt"")"),"Liema armata kienet qed timbotta fil-fond fit-territorju Pollakk biex issegwi l-Ġermaniżi fl-1944?")</f>
        <v>Liema armata kienet qed timbotta fil-fond fit-territorju Pollakk biex issegwi l-Ġermaniżi fl-1944?</v>
      </c>
    </row>
    <row r="13055" ht="15.75" customHeight="1">
      <c r="A13055" s="2" t="s">
        <v>13055</v>
      </c>
      <c r="B13055" s="2" t="str">
        <f>IFERROR(__xludf.DUMMYFUNCTION("GOOGLETRANSLATE(A13055, ""en"", ""mt"")"),"F'liema sena ġie meqrud Fort Coligny?")</f>
        <v>F'liema sena ġie meqrud Fort Coligny?</v>
      </c>
    </row>
    <row r="13056" ht="15.75" customHeight="1">
      <c r="A13056" s="2" t="s">
        <v>13056</v>
      </c>
      <c r="B13056" s="2" t="str">
        <f>IFERROR(__xludf.DUMMYFUNCTION("GOOGLETRANSLATE(A13056, ""en"", ""mt"")"),"Watchespn.")</f>
        <v>Watchespn.</v>
      </c>
    </row>
    <row r="13057" ht="15.75" customHeight="1">
      <c r="A13057" s="2" t="s">
        <v>13057</v>
      </c>
      <c r="B13057" s="2" t="str">
        <f>IFERROR(__xludf.DUMMYFUNCTION("GOOGLETRANSLATE(A13057, ""en"", ""mt"")"),"X'kien l-isem tal-politika ta 'l-imperjalizmu ta' Theodore Roosevelt?")</f>
        <v>X'kien l-isem tal-politika ta 'l-imperjalizmu ta' Theodore Roosevelt?</v>
      </c>
    </row>
    <row r="13058" ht="15.75" customHeight="1">
      <c r="A13058" s="2" t="s">
        <v>13058</v>
      </c>
      <c r="B13058" s="2" t="str">
        <f>IFERROR(__xludf.DUMMYFUNCTION("GOOGLETRANSLATE(A13058, ""en"", ""mt"")"),"L-espansjoni tal-Ewropa fl-imperjalizmu territorjali kienet fil-biċċa l-kbira ffokata fuq it-tkabbir ekonomiku billi tiġbor riżorsi mill-kolonji, flimkien ma 'jekk wieħed jassumi l-kontroll politiku permezz ta' mezzi militari u politiċi. Il-kolonizzazzjon"&amp;"i ta 'l-Indja f'nofs is-seklu 18 toffri eżempju ta' dan il-fokus: hemm, ""l-Ingliżi sfruttaw id-dgħjufija politika ta 'l-istat ta' Mughal, u, filwaqt li l-attività militari kienet importanti f'diversi żminijiet, l-inkorporazzjoni ekonomika u amministratti"&amp;"va ta 'l-elite lokali kien ukoll ta 'sinifikat kruċjali ""għall-istabbiliment ta' kontroll fuq ir-riżorsi, is-swieq u l-ħaddiema tas-sottokontinent. Għalkemm numru sostanzjali ta 'kolonji ġew iddisinjati biex jipprovdu profitt ekonomiku u biex jibgħatu ri"&amp;"żorsi lejn portijiet tad-dar fis-sekli sbatax u tmintax, Fieldhouse jissuġġerixxi li fis-sekli dsatax u għoxrin f'postijiet bħall-Afrika u l-Asja, din l-idea mhix neċessarjament valida ::")</f>
        <v>L-espansjoni tal-Ewropa fl-imperjalizmu territorjali kienet fil-biċċa l-kbira ffokata fuq it-tkabbir ekonomiku billi tiġbor riżorsi mill-kolonji, flimkien ma 'jekk wieħed jassumi l-kontroll politiku permezz ta' mezzi militari u politiċi. Il-kolonizzazzjoni ta 'l-Indja f'nofs is-seklu 18 toffri eżempju ta' dan il-fokus: hemm, "l-Ingliżi sfruttaw id-dgħjufija politika ta 'l-istat ta' Mughal, u, filwaqt li l-attività militari kienet importanti f'diversi żminijiet, l-inkorporazzjoni ekonomika u amministrattiva ta 'l-elite lokali kien ukoll ta 'sinifikat kruċjali "għall-istabbiliment ta' kontroll fuq ir-riżorsi, is-swieq u l-ħaddiema tas-sottokontinent. Għalkemm numru sostanzjali ta 'kolonji ġew iddisinjati biex jipprovdu profitt ekonomiku u biex jibgħatu riżorsi lejn portijiet tad-dar fis-sekli sbatax u tmintax, Fieldhouse jissuġġerixxi li fis-sekli dsatax u għoxrin f'postijiet bħall-Afrika u l-Asja, din l-idea mhix neċessarjament valida ::</v>
      </c>
    </row>
    <row r="13059" ht="15.75" customHeight="1">
      <c r="A13059" s="2" t="s">
        <v>13059</v>
      </c>
      <c r="B13059" s="2" t="str">
        <f>IFERROR(__xludf.DUMMYFUNCTION("GOOGLETRANSLATE(A13059, ""en"", ""mt"")"),"Votazzjoni maġġoranza sempliċi")</f>
        <v>Votazzjoni maġġoranza sempliċi</v>
      </c>
    </row>
    <row r="13060" ht="15.75" customHeight="1">
      <c r="A13060" s="2" t="s">
        <v>13060</v>
      </c>
      <c r="B13060" s="2" t="str">
        <f>IFERROR(__xludf.DUMMYFUNCTION("GOOGLETRANSLATE(A13060, ""en"", ""mt"")"),"William Smilie")</f>
        <v>William Smilie</v>
      </c>
    </row>
    <row r="13061" ht="15.75" customHeight="1">
      <c r="A13061" s="2" t="s">
        <v>13061</v>
      </c>
      <c r="B13061" s="2" t="str">
        <f>IFERROR(__xludf.DUMMYFUNCTION("GOOGLETRANSLATE(A13061, ""en"", ""mt"")"),"Fejn f 'South Carolina n-nobilità Huguenot stabbilixxiet?")</f>
        <v>Fejn f 'South Carolina n-nobilità Huguenot stabbilixxiet?</v>
      </c>
    </row>
    <row r="13062" ht="15.75" customHeight="1">
      <c r="A13062" s="2" t="s">
        <v>13062</v>
      </c>
      <c r="B13062" s="2" t="str">
        <f>IFERROR(__xludf.DUMMYFUNCTION("GOOGLETRANSLATE(A13062, ""en"", ""mt"")"),"strutturi u proċessi bijoloġiċi fi ħdan organiżmu")</f>
        <v>strutturi u proċessi bijoloġiċi fi ħdan organiżmu</v>
      </c>
    </row>
    <row r="13063" ht="15.75" customHeight="1">
      <c r="A13063" s="2" t="s">
        <v>13063</v>
      </c>
      <c r="B13063" s="2" t="str">
        <f>IFERROR(__xludf.DUMMYFUNCTION("GOOGLETRANSLATE(A13063, ""en"", ""mt"")"),"Għal liema persentaġġ tal-popolazzjoni ta 'Newcastle huwa maħsub li l-Bolivjani jammontaw?")</f>
        <v>Għal liema persentaġġ tal-popolazzjoni ta 'Newcastle huwa maħsub li l-Bolivjani jammontaw?</v>
      </c>
    </row>
    <row r="13064" ht="15.75" customHeight="1">
      <c r="A13064" s="2" t="s">
        <v>13064</v>
      </c>
      <c r="B13064" s="2" t="str">
        <f>IFERROR(__xludf.DUMMYFUNCTION("GOOGLETRANSLATE(A13064, ""en"", ""mt"")"),"Għal min ħadem Tesla fis-snin 1880?")</f>
        <v>Għal min ħadem Tesla fis-snin 1880?</v>
      </c>
    </row>
    <row r="13065" ht="15.75" customHeight="1">
      <c r="A13065" s="2" t="s">
        <v>13065</v>
      </c>
      <c r="B13065" s="2" t="str">
        <f>IFERROR(__xludf.DUMMYFUNCTION("GOOGLETRANSLATE(A13065, ""en"", ""mt"")"),"Servizzi diretti għall-kura tal-pazjenti li jottimizzaw l-użu tal-medikazzjoni u jippromwovu s-saħħa, il-benessri, u l-prevenzjoni tal-mard")</f>
        <v>Servizzi diretti għall-kura tal-pazjenti li jottimizzaw l-użu tal-medikazzjoni u jippromwovu s-saħħa, il-benessri, u l-prevenzjoni tal-mard</v>
      </c>
    </row>
    <row r="13066" ht="15.75" customHeight="1">
      <c r="A13066" s="2" t="s">
        <v>13066</v>
      </c>
      <c r="B13066" s="2" t="str">
        <f>IFERROR(__xludf.DUMMYFUNCTION("GOOGLETRANSLATE(A13066, ""en"", ""mt"")"),"F'Diċembru 2014, il-President Uhuru Kenyatta ffirma Abbozz ta 'Liġi dwar il-Liġijiet tas-Sigurtà, li l-partitarji tal-liġi ssuġġerew li kienu meħtieġa biex iħarsu kontra gruppi armati. Il-politiċi tal-oppożizzjoni, il-gruppi tad-drittijiet tal-bniedem, u "&amp;"disa ’pajjiżi tal-Punent ikkritikaw l-abbozz tas-sigurtà, billi argumentaw li kisru l-libertajiet demokratiċi. Il-gvernijiet ta 'l-Istati Uniti, il-Gran Brittanja, il-Ġermanja u Franza ħarġu wkoll stqarrija għall-istampa b'attenzjoni dwar l-impatt potenzj"&amp;"ali tal-liġi. Permezz tal-Koalizzjoni Jubillee, l-abbozz ta ’liġi aktar tard ġie mgħoddi fid-19 ta’ Diċembru fl-Assemblea Nazzjonali taħt ċirkostanzi akrimoniċi.")</f>
        <v>F'Diċembru 2014, il-President Uhuru Kenyatta ffirma Abbozz ta 'Liġi dwar il-Liġijiet tas-Sigurtà, li l-partitarji tal-liġi ssuġġerew li kienu meħtieġa biex iħarsu kontra gruppi armati. Il-politiċi tal-oppożizzjoni, il-gruppi tad-drittijiet tal-bniedem, u disa ’pajjiżi tal-Punent ikkritikaw l-abbozz tas-sigurtà, billi argumentaw li kisru l-libertajiet demokratiċi. Il-gvernijiet ta 'l-Istati Uniti, il-Gran Brittanja, il-Ġermanja u Franza ħarġu wkoll stqarrija għall-istampa b'attenzjoni dwar l-impatt potenzjali tal-liġi. Permezz tal-Koalizzjoni Jubillee, l-abbozz ta ’liġi aktar tard ġie mgħoddi fid-19 ta’ Diċembru fl-Assemblea Nazzjonali taħt ċirkostanzi akrimoniċi.</v>
      </c>
    </row>
    <row r="13067" ht="15.75" customHeight="1">
      <c r="A13067" s="2" t="s">
        <v>13067</v>
      </c>
      <c r="B13067" s="2" t="str">
        <f>IFERROR(__xludf.DUMMYFUNCTION("GOOGLETRANSLATE(A13067, ""en"", ""mt"")"),"Madwar 10,000")</f>
        <v>Madwar 10,000</v>
      </c>
    </row>
    <row r="13068" ht="15.75" customHeight="1">
      <c r="A13068" s="2" t="s">
        <v>13068</v>
      </c>
      <c r="B13068" s="2" t="str">
        <f>IFERROR(__xludf.DUMMYFUNCTION("GOOGLETRANSLATE(A13068, ""en"", ""mt"")"),"Bauhaus")</f>
        <v>Bauhaus</v>
      </c>
    </row>
    <row r="13069" ht="15.75" customHeight="1">
      <c r="A13069" s="2" t="s">
        <v>13069</v>
      </c>
      <c r="B13069" s="2" t="str">
        <f>IFERROR(__xludf.DUMMYFUNCTION("GOOGLETRANSLATE(A13069, ""en"", ""mt"")"),"It-tieni l-akbar belt")</f>
        <v>It-tieni l-akbar belt</v>
      </c>
    </row>
    <row r="13070" ht="15.75" customHeight="1">
      <c r="A13070" s="2" t="s">
        <v>13070</v>
      </c>
      <c r="B13070" s="2" t="str">
        <f>IFERROR(__xludf.DUMMYFUNCTION("GOOGLETRANSLATE(A13070, ""en"", ""mt"")"),"Ħakkiema Khitan")</f>
        <v>Ħakkiema Khitan</v>
      </c>
    </row>
    <row r="13071" ht="15.75" customHeight="1">
      <c r="A13071" s="2" t="s">
        <v>13071</v>
      </c>
      <c r="B13071" s="2" t="str">
        <f>IFERROR(__xludf.DUMMYFUNCTION("GOOGLETRANSLATE(A13071, ""en"", ""mt"")"),"$ 759,900")</f>
        <v>$ 759,900</v>
      </c>
    </row>
    <row r="13072" ht="15.75" customHeight="1">
      <c r="A13072" s="2" t="s">
        <v>13072</v>
      </c>
      <c r="B13072" s="2" t="str">
        <f>IFERROR(__xludf.DUMMYFUNCTION("GOOGLETRANSLATE(A13072, ""en"", ""mt"")"),"Għal liema staġun tat-TV il-kulur l-ewwel sar format dominanti?")</f>
        <v>Għal liema staġun tat-TV il-kulur l-ewwel sar format dominanti?</v>
      </c>
    </row>
    <row r="13073" ht="15.75" customHeight="1">
      <c r="A13073" s="2" t="s">
        <v>13073</v>
      </c>
      <c r="B13073" s="2" t="str">
        <f>IFERROR(__xludf.DUMMYFUNCTION("GOOGLETRANSLATE(A13073, ""en"", ""mt"")"),"L-avvanzi fl-alġebra polinomjali saru mill-matematiċi matul l-era tal-wan. Il-matematiku Zhu Shijie (1249-1314) solva ekwazzjonijiet simultanji sa erba 'mhux magħrufa bl-użu ta' firxa rettangolari ta 'koeffiċjenti, ekwivalenti għal matriċi moderni. Zhu uż"&amp;"a metodu ta 'eliminazzjoni biex inaqqas l-ekwazzjonijiet simultanji għal ekwazzjoni waħda ma' waħda mhux magħrufa biss. Il-metodu tiegħu huwa deskritt fil-mera tal-ġada tal-erba 'mhux magħrufa, miktuba fl-1303. Il-paġni tal-ftuħ fihom dijagramma tat-trija"&amp;"nglu ta' Pascal. Is-somma ta 'serje aritmetika finita hija wkoll koperta fil-ktieb.")</f>
        <v>L-avvanzi fl-alġebra polinomjali saru mill-matematiċi matul l-era tal-wan. Il-matematiku Zhu Shijie (1249-1314) solva ekwazzjonijiet simultanji sa erba 'mhux magħrufa bl-użu ta' firxa rettangolari ta 'koeffiċjenti, ekwivalenti għal matriċi moderni. Zhu uża metodu ta 'eliminazzjoni biex inaqqas l-ekwazzjonijiet simultanji għal ekwazzjoni waħda ma' waħda mhux magħrufa biss. Il-metodu tiegħu huwa deskritt fil-mera tal-ġada tal-erba 'mhux magħrufa, miktuba fl-1303. Il-paġni tal-ftuħ fihom dijagramma tat-trijanglu ta' Pascal. Is-somma ta 'serje aritmetika finita hija wkoll koperta fil-ktieb.</v>
      </c>
    </row>
    <row r="13074" ht="15.75" customHeight="1">
      <c r="A13074" s="2" t="s">
        <v>13074</v>
      </c>
      <c r="B13074" s="2" t="str">
        <f>IFERROR(__xludf.DUMMYFUNCTION("GOOGLETRANSLATE(A13074, ""en"", ""mt"")"),"Iċ-ċensura tal-kummissjoni tas-santer irriżultat f’liema każ?")</f>
        <v>Iċ-ċensura tal-kummissjoni tas-santer irriżultat f’liema każ?</v>
      </c>
    </row>
    <row r="13075" ht="15.75" customHeight="1">
      <c r="A13075" s="2" t="s">
        <v>13075</v>
      </c>
      <c r="B13075" s="2" t="str">
        <f>IFERROR(__xludf.DUMMYFUNCTION("GOOGLETRANSLATE(A13075, ""en"", ""mt"")"),"Ħarsien soċjali")</f>
        <v>Ħarsien soċjali</v>
      </c>
    </row>
    <row r="13076" ht="15.75" customHeight="1">
      <c r="A13076" s="2" t="s">
        <v>13076</v>
      </c>
      <c r="B13076" s="2" t="str">
        <f>IFERROR(__xludf.DUMMYFUNCTION("GOOGLETRANSLATE(A13076, ""en"", ""mt"")"),"Uri l-globu")</f>
        <v>Uri l-globu</v>
      </c>
    </row>
    <row r="13077" ht="15.75" customHeight="1">
      <c r="A13077" s="2" t="s">
        <v>13077</v>
      </c>
      <c r="B13077" s="2" t="str">
        <f>IFERROR(__xludf.DUMMYFUNCTION("GOOGLETRANSLATE(A13077, ""en"", ""mt"")"),"Kemm-il btieħi kisbu l-Carolina Panthers fit-487 fil-logħba tal-Kampjonat NFC?")</f>
        <v>Kemm-il btieħi kisbu l-Carolina Panthers fit-487 fil-logħba tal-Kampjonat NFC?</v>
      </c>
    </row>
    <row r="13078" ht="15.75" customHeight="1">
      <c r="A13078" s="2" t="s">
        <v>13078</v>
      </c>
      <c r="B13078" s="2" t="str">
        <f>IFERROR(__xludf.DUMMYFUNCTION("GOOGLETRANSLATE(A13078, ""en"", ""mt"")"),"X'għamlu l-klijenti Bankamericard li ma setgħux jagħmlu bi strumenti finanzjarji preċedenti?")</f>
        <v>X'għamlu l-klijenti Bankamericard li ma setgħux jagħmlu bi strumenti finanzjarji preċedenti?</v>
      </c>
    </row>
    <row r="13079" ht="15.75" customHeight="1">
      <c r="A13079" s="2" t="s">
        <v>13079</v>
      </c>
      <c r="B13079" s="2" t="str">
        <f>IFERROR(__xludf.DUMMYFUNCTION("GOOGLETRANSLATE(A13079, ""en"", ""mt"")"),"X'inhu l-kunċett żejjed ġej mill-konservazzjoni tal-momentum?")</f>
        <v>X'inhu l-kunċett żejjed ġej mill-konservazzjoni tal-momentum?</v>
      </c>
    </row>
    <row r="13080" ht="15.75" customHeight="1">
      <c r="A13080" s="2" t="s">
        <v>13080</v>
      </c>
      <c r="B13080" s="2" t="str">
        <f>IFERROR(__xludf.DUMMYFUNCTION("GOOGLETRANSLATE(A13080, ""en"", ""mt"")"),"Super Bowl")</f>
        <v>Super Bowl</v>
      </c>
    </row>
    <row r="13081" ht="15.75" customHeight="1">
      <c r="A13081" s="2" t="s">
        <v>13081</v>
      </c>
      <c r="B13081" s="2" t="str">
        <f>IFERROR(__xludf.DUMMYFUNCTION("GOOGLETRANSLATE(A13081, ""en"", ""mt"")"),"Bejn wieħed u ieħor kemm ġew mislufa strumenti mużikali lill-Mużew Horniman?")</f>
        <v>Bejn wieħed u ieħor kemm ġew mislufa strumenti mużikali lill-Mużew Horniman?</v>
      </c>
    </row>
    <row r="13082" ht="15.75" customHeight="1">
      <c r="A13082" s="2" t="s">
        <v>13082</v>
      </c>
      <c r="B13082" s="2" t="str">
        <f>IFERROR(__xludf.DUMMYFUNCTION("GOOGLETRANSLATE(A13082, ""en"", ""mt"")"),"sintetizza frazzjoni żgħira tal-proteini tagħhom")</f>
        <v>sintetizza frazzjoni żgħira tal-proteini tagħhom</v>
      </c>
    </row>
    <row r="13083" ht="15.75" customHeight="1">
      <c r="A13083" s="2" t="s">
        <v>13083</v>
      </c>
      <c r="B13083" s="2" t="str">
        <f>IFERROR(__xludf.DUMMYFUNCTION("GOOGLETRANSLATE(A13083, ""en"", ""mt"")"),"Min iddeċieda Ċipru fl-1191?")</f>
        <v>Min iddeċieda Ċipru fl-1191?</v>
      </c>
    </row>
    <row r="13084" ht="15.75" customHeight="1">
      <c r="A13084" s="2" t="s">
        <v>13084</v>
      </c>
      <c r="B13084" s="2" t="str">
        <f>IFERROR(__xludf.DUMMYFUNCTION("GOOGLETRANSLATE(A13084, ""en"", ""mt"")"),"Waldzither")</f>
        <v>Waldzither</v>
      </c>
    </row>
    <row r="13085" ht="15.75" customHeight="1">
      <c r="A13085" s="2" t="s">
        <v>13085</v>
      </c>
      <c r="B13085" s="2" t="str">
        <f>IFERROR(__xludf.DUMMYFUNCTION("GOOGLETRANSLATE(A13085, ""en"", ""mt"")"),"Liema żoni kienu l-inqas vulnerabbli għall-mard?")</f>
        <v>Liema żoni kienu l-inqas vulnerabbli għall-mard?</v>
      </c>
    </row>
    <row r="13086" ht="15.75" customHeight="1">
      <c r="A13086" s="2" t="s">
        <v>13086</v>
      </c>
      <c r="B13086" s="2" t="str">
        <f>IFERROR(__xludf.DUMMYFUNCTION("GOOGLETRANSLATE(A13086, ""en"", ""mt"")"),"Programmazzjoni orjentata għaż-żgħażagħ")</f>
        <v>Programmazzjoni orjentata għaż-żgħażagħ</v>
      </c>
    </row>
    <row r="13087" ht="15.75" customHeight="1">
      <c r="A13087" s="2" t="s">
        <v>13087</v>
      </c>
      <c r="B13087" s="2" t="str">
        <f>IFERROR(__xludf.DUMMYFUNCTION("GOOGLETRANSLATE(A13087, ""en"", ""mt"")"),"Qabel ma miet, x’għamel missier Tesla?")</f>
        <v>Qabel ma miet, x’għamel missier Tesla?</v>
      </c>
    </row>
    <row r="13088" ht="15.75" customHeight="1">
      <c r="A13088" s="2" t="s">
        <v>13088</v>
      </c>
      <c r="B13088" s="2" t="str">
        <f>IFERROR(__xludf.DUMMYFUNCTION("GOOGLETRANSLATE(A13088, ""en"", ""mt"")"),"1874")</f>
        <v>1874</v>
      </c>
    </row>
    <row r="13089" ht="15.75" customHeight="1">
      <c r="A13089" s="2" t="s">
        <v>13089</v>
      </c>
      <c r="B13089" s="2" t="str">
        <f>IFERROR(__xludf.DUMMYFUNCTION("GOOGLETRANSLATE(A13089, ""en"", ""mt"")"),"Min kien l-alleati ta 'Cromwell?")</f>
        <v>Min kien l-alleati ta 'Cromwell?</v>
      </c>
    </row>
    <row r="13090" ht="15.75" customHeight="1">
      <c r="A13090" s="2" t="s">
        <v>13090</v>
      </c>
      <c r="B13090" s="2" t="str">
        <f>IFERROR(__xludf.DUMMYFUNCTION("GOOGLETRANSLATE(A13090, ""en"", ""mt"")"),"X'inhuma d-diviżuri speċifiċi tan-numri kollha uniformi akbar minn 2?")</f>
        <v>X'inhuma d-diviżuri speċifiċi tan-numri kollha uniformi akbar minn 2?</v>
      </c>
    </row>
    <row r="13091" ht="15.75" customHeight="1">
      <c r="A13091" s="2" t="s">
        <v>13091</v>
      </c>
      <c r="B13091" s="2" t="str">
        <f>IFERROR(__xludf.DUMMYFUNCTION("GOOGLETRANSLATE(A13091, ""en"", ""mt"")"),"X'inhuma ppreżentati lill-Parlament minbarra l-abbozz innifsu?")</f>
        <v>X'inhuma ppreżentati lill-Parlament minbarra l-abbozz innifsu?</v>
      </c>
    </row>
    <row r="13092" ht="15.75" customHeight="1">
      <c r="A13092" s="2" t="s">
        <v>13092</v>
      </c>
      <c r="B13092" s="2" t="str">
        <f>IFERROR(__xludf.DUMMYFUNCTION("GOOGLETRANSLATE(A13092, ""en"", ""mt"")"),"Kemm huwa l-Kulleġġ Fresno City mid-Distrett tat-Torri?")</f>
        <v>Kemm huwa l-Kulleġġ Fresno City mid-Distrett tat-Torri?</v>
      </c>
    </row>
    <row r="13093" ht="15.75" customHeight="1">
      <c r="A13093" s="2" t="s">
        <v>13093</v>
      </c>
      <c r="B13093" s="2" t="str">
        <f>IFERROR(__xludf.DUMMYFUNCTION("GOOGLETRANSLATE(A13093, ""en"", ""mt"")"),"Liema fondi ma jistgħux jintużaw jekk għalliem ma jiġix irreġistrat?")</f>
        <v>Liema fondi ma jistgħux jintużaw jekk għalliem ma jiġix irreġistrat?</v>
      </c>
    </row>
    <row r="13094" ht="15.75" customHeight="1">
      <c r="A13094" s="2" t="s">
        <v>13094</v>
      </c>
      <c r="B13094" s="2" t="str">
        <f>IFERROR(__xludf.DUMMYFUNCTION("GOOGLETRANSLATE(A13094, ""en"", ""mt"")"),"Liema grupp mużikali għamel il-V &amp; A preżenti f'Lulju 1973 bħala parti mill-programm ta 'sensibilizzazzjoni taż-żgħażagħ tiegħu?")</f>
        <v>Liema grupp mużikali għamel il-V &amp; A preżenti f'Lulju 1973 bħala parti mill-programm ta 'sensibilizzazzjoni taż-żgħażagħ tiegħu?</v>
      </c>
    </row>
    <row r="13095" ht="15.75" customHeight="1">
      <c r="A13095" s="2" t="s">
        <v>13095</v>
      </c>
      <c r="B13095" s="2" t="str">
        <f>IFERROR(__xludf.DUMMYFUNCTION("GOOGLETRANSLATE(A13095, ""en"", ""mt"")"),"Għal xiex huwa magħruf il-Gorge tar-Rhine?")</f>
        <v>Għal xiex huwa magħruf il-Gorge tar-Rhine?</v>
      </c>
    </row>
    <row r="13096" ht="15.75" customHeight="1">
      <c r="A13096" s="2" t="s">
        <v>13096</v>
      </c>
      <c r="B13096" s="2" t="str">
        <f>IFERROR(__xludf.DUMMYFUNCTION("GOOGLETRANSLATE(A13096, ""en"", ""mt"")"),"L-UMC tinsab fl-oppopsità għall-ħolqien ta 'Embroys għal fini ta' xiex?")</f>
        <v>L-UMC tinsab fl-oppopsità għall-ħolqien ta 'Embroys għal fini ta' xiex?</v>
      </c>
    </row>
    <row r="13097" ht="15.75" customHeight="1">
      <c r="A13097" s="2" t="s">
        <v>13097</v>
      </c>
      <c r="B13097" s="2" t="str">
        <f>IFERROR(__xludf.DUMMYFUNCTION("GOOGLETRANSLATE(A13097, ""en"", ""mt"")"),"Kwistjonijiet ittrattati f'Westminster mhumiex dawk li huma kapaċi jittrattaw?")</f>
        <v>Kwistjonijiet ittrattati f'Westminster mhumiex dawk li huma kapaċi jittrattaw?</v>
      </c>
    </row>
    <row r="13098" ht="15.75" customHeight="1">
      <c r="A13098" s="2" t="s">
        <v>13098</v>
      </c>
      <c r="B13098" s="2" t="str">
        <f>IFERROR(__xludf.DUMMYFUNCTION("GOOGLETRANSLATE(A13098, ""en"", ""mt"")"),"problema tal-komputazzjoni")</f>
        <v>problema tal-komputazzjoni</v>
      </c>
    </row>
    <row r="13099" ht="15.75" customHeight="1">
      <c r="A13099" s="2" t="s">
        <v>13099</v>
      </c>
      <c r="B13099" s="2" t="str">
        <f>IFERROR(__xludf.DUMMYFUNCTION("GOOGLETRANSLATE(A13099, ""en"", ""mt"")"),"il-konvenjenza tal-ferrovija u mħassba dwar l-għargħar")</f>
        <v>il-konvenjenza tal-ferrovija u mħassba dwar l-għargħar</v>
      </c>
    </row>
    <row r="13100" ht="15.75" customHeight="1">
      <c r="A13100" s="2" t="s">
        <v>13100</v>
      </c>
      <c r="B13100" s="2" t="str">
        <f>IFERROR(__xludf.DUMMYFUNCTION("GOOGLETRANSLATE(A13100, ""en"", ""mt"")"),"X'inhuma ż-żewġ toroq ewlenin ta 'Sunnyside?")</f>
        <v>X'inhuma ż-żewġ toroq ewlenin ta 'Sunnyside?</v>
      </c>
    </row>
    <row r="13101" ht="15.75" customHeight="1">
      <c r="A13101" s="2" t="s">
        <v>13101</v>
      </c>
      <c r="B13101" s="2" t="str">
        <f>IFERROR(__xludf.DUMMYFUNCTION("GOOGLETRANSLATE(A13101, ""en"", ""mt"")"),"Kenja u Kegnia")</f>
        <v>Kenja u Kegnia</v>
      </c>
    </row>
    <row r="13102" ht="15.75" customHeight="1">
      <c r="A13102" s="2" t="s">
        <v>13102</v>
      </c>
      <c r="B13102" s="2" t="str">
        <f>IFERROR(__xludf.DUMMYFUNCTION("GOOGLETRANSLATE(A13102, ""en"", ""mt"")"),"X'pożizzjoni tilgħab DeMarcus bħalissa?")</f>
        <v>X'pożizzjoni tilgħab DeMarcus bħalissa?</v>
      </c>
    </row>
    <row r="13103" ht="15.75" customHeight="1">
      <c r="A13103" s="2" t="s">
        <v>13103</v>
      </c>
      <c r="B13103" s="2" t="str">
        <f>IFERROR(__xludf.DUMMYFUNCTION("GOOGLETRANSLATE(A13103, ""en"", ""mt"")"),"F’esperiment wieħed, Lavoisier osserva li ma kien hemm l-ebda żieda ġenerali fil-piż meta l-landa u l-arja ġew imsaħħna f'kontenitur magħluq. Huwa nnota li l-arja ġrew meta fetaħ il-kontenitur, li indika li parti mill-arja maqbuda kienet ġiet ikkunsmata. "&amp;"Huwa nnota wkoll li l-landa kienet żdiedet fil-piż u li ż-żieda kienet l-istess bħall-piż tal-arja li ġrew lura. Dan u esperimenti oħra fuq il-kombustjoni kienu dokumentati fil-ktieb tiegħu Sur La La Combustion en Général, li ġie ppubblikat fl-1777. F'dak"&amp;" ix-xogħol, huwa wera li l-arja hija taħlita ta 'żewġ gassijiet; ""Arja vitali"", li hija essenzjali għall-kombustjoni u r-respirazzjoni, u Azote (Gk. ἄζωτον ""bla ħajja""), li lanqas ma appoġġjat. Azote aktar tard sar nitroġenu bl-Ingliż, għalkemm żamm l"&amp;"-isem bil-Franċiż u diversi lingwi Ewropej oħra.")</f>
        <v>F’esperiment wieħed, Lavoisier osserva li ma kien hemm l-ebda żieda ġenerali fil-piż meta l-landa u l-arja ġew imsaħħna f'kontenitur magħluq. Huwa nnota li l-arja ġrew meta fetaħ il-kontenitur, li indika li parti mill-arja maqbuda kienet ġiet ikkunsmata. Huwa nnota wkoll li l-landa kienet żdiedet fil-piż u li ż-żieda kienet l-istess bħall-piż tal-arja li ġrew lura. Dan u esperimenti oħra fuq il-kombustjoni kienu dokumentati fil-ktieb tiegħu Sur La La Combustion en Général, li ġie ppubblikat fl-1777. F'dak ix-xogħol, huwa wera li l-arja hija taħlita ta 'żewġ gassijiet; "Arja vitali", li hija essenzjali għall-kombustjoni u r-respirazzjoni, u Azote (Gk. ἄζωτον "bla ħajja"), li lanqas ma appoġġjat. Azote aktar tard sar nitroġenu bl-Ingliż, għalkemm żamm l-isem bil-Franċiż u diversi lingwi Ewropej oħra.</v>
      </c>
    </row>
    <row r="13104" ht="15.75" customHeight="1">
      <c r="A13104" s="2" t="s">
        <v>13104</v>
      </c>
      <c r="B13104" s="2" t="str">
        <f>IFERROR(__xludf.DUMMYFUNCTION("GOOGLETRANSLATE(A13104, ""en"", ""mt"")"),"ħalq li normalment jista 'jingħalaq mill-muskoli; farinġi (""gerżuma""); żona usa 'fiċ-ċentru li taġixxi bħala stonku; u sistema ta 'kanali interni.")</f>
        <v>ħalq li normalment jista 'jingħalaq mill-muskoli; farinġi ("gerżuma"); żona usa 'fiċ-ċentru li taġixxi bħala stonku; u sistema ta 'kanali interni.</v>
      </c>
    </row>
    <row r="13105" ht="15.75" customHeight="1">
      <c r="A13105" s="2" t="s">
        <v>13105</v>
      </c>
      <c r="B13105" s="2" t="str">
        <f>IFERROR(__xludf.DUMMYFUNCTION("GOOGLETRANSLATE(A13105, ""en"", ""mt"")"),"Għaliex il-ministri taż-żejt qablu ma 'qatgħa fil-produzzjoni taż-żejt?")</f>
        <v>Għaliex il-ministri taż-żejt qablu ma 'qatgħa fil-produzzjoni taż-żejt?</v>
      </c>
    </row>
    <row r="13106" ht="15.75" customHeight="1">
      <c r="A13106" s="2" t="s">
        <v>13106</v>
      </c>
      <c r="B13106" s="2" t="str">
        <f>IFERROR(__xludf.DUMMYFUNCTION("GOOGLETRANSLATE(A13106, ""en"", ""mt"")"),"Produtturi tal-ispettaklu")</f>
        <v>Produtturi tal-ispettaklu</v>
      </c>
    </row>
    <row r="13107" ht="15.75" customHeight="1">
      <c r="A13107" s="2" t="s">
        <v>13107</v>
      </c>
      <c r="B13107" s="2" t="str">
        <f>IFERROR(__xludf.DUMMYFUNCTION("GOOGLETRANSLATE(A13107, ""en"", ""mt"")"),"F'liema sena sar studju tal-programm fuq il-moduli bit-tikketta bħala Blokk I u Blokk II?")</f>
        <v>F'liema sena sar studju tal-programm fuq il-moduli bit-tikketta bħala Blokk I u Blokk II?</v>
      </c>
    </row>
    <row r="13108" ht="15.75" customHeight="1">
      <c r="A13108" s="2" t="s">
        <v>13108</v>
      </c>
      <c r="B13108" s="2" t="str">
        <f>IFERROR(__xludf.DUMMYFUNCTION("GOOGLETRANSLATE(A13108, ""en"", ""mt"")"),"Brittanja u Olanda")</f>
        <v>Brittanja u Olanda</v>
      </c>
    </row>
    <row r="13109" ht="15.75" customHeight="1">
      <c r="A13109" s="2" t="s">
        <v>13109</v>
      </c>
      <c r="B13109" s="2" t="str">
        <f>IFERROR(__xludf.DUMMYFUNCTION("GOOGLETRANSLATE(A13109, ""en"", ""mt"")"),"diversi postijiet madwar id-dinja")</f>
        <v>diversi postijiet madwar id-dinja</v>
      </c>
    </row>
    <row r="13110" ht="15.75" customHeight="1">
      <c r="A13110" s="2" t="s">
        <v>13110</v>
      </c>
      <c r="B13110" s="2" t="str">
        <f>IFERROR(__xludf.DUMMYFUNCTION("GOOGLETRANSLATE(A13110, ""en"", ""mt"")"),"Minn fejn ġej l-akbar parti tal-poter tal-Kenja?")</f>
        <v>Minn fejn ġej l-akbar parti tal-poter tal-Kenja?</v>
      </c>
    </row>
    <row r="13111" ht="15.75" customHeight="1">
      <c r="A13111" s="2" t="s">
        <v>13111</v>
      </c>
      <c r="B13111" s="2" t="str">
        <f>IFERROR(__xludf.DUMMYFUNCTION("GOOGLETRANSLATE(A13111, ""en"", ""mt"")"),"ipproċessat biex tneħħi l-istorbju bl-addoċċ u ħawwad il-kamera mingħajr ma teqred leġittimità storika")</f>
        <v>ipproċessat biex tneħħi l-istorbju bl-addoċċ u ħawwad il-kamera mingħajr ma teqred leġittimità storika</v>
      </c>
    </row>
    <row r="13112" ht="15.75" customHeight="1">
      <c r="A13112" s="2" t="s">
        <v>13112</v>
      </c>
      <c r="B13112" s="2" t="str">
        <f>IFERROR(__xludf.DUMMYFUNCTION("GOOGLETRANSLATE(A13112, ""en"", ""mt"")"),"X'inhu t-terminu għal kompitu li ġeneralment isellef lilu nnifsu biex jissolvew minn kompjuter?")</f>
        <v>X'inhu t-terminu għal kompitu li ġeneralment isellef lilu nnifsu biex jissolvew minn kompjuter?</v>
      </c>
    </row>
    <row r="13113" ht="15.75" customHeight="1">
      <c r="A13113" s="2" t="s">
        <v>13113</v>
      </c>
      <c r="B13113" s="2" t="str">
        <f>IFERROR(__xludf.DUMMYFUNCTION("GOOGLETRANSLATE(A13113, ""en"", ""mt"")"),"Ir-Rebels Turban Red")</f>
        <v>Ir-Rebels Turban Red</v>
      </c>
    </row>
    <row r="13114" ht="15.75" customHeight="1">
      <c r="A13114" s="2" t="s">
        <v>13114</v>
      </c>
      <c r="B13114" s="2" t="str">
        <f>IFERROR(__xludf.DUMMYFUNCTION("GOOGLETRANSLATE(A13114, ""en"", ""mt"")"),"Antigone kien dramm magħmul minn min?")</f>
        <v>Antigone kien dramm magħmul minn min?</v>
      </c>
    </row>
    <row r="13115" ht="15.75" customHeight="1">
      <c r="A13115" s="2" t="s">
        <v>13115</v>
      </c>
      <c r="B13115" s="2" t="str">
        <f>IFERROR(__xludf.DUMMYFUNCTION("GOOGLETRANSLATE(A13115, ""en"", ""mt"")"),"Kemm mużewijiet jinkludu mużewijiet tal-arti ta 'Harvard?")</f>
        <v>Kemm mużewijiet jinkludu mużewijiet tal-arti ta 'Harvard?</v>
      </c>
    </row>
    <row r="13116" ht="15.75" customHeight="1">
      <c r="A13116" s="2" t="s">
        <v>13116</v>
      </c>
      <c r="B13116" s="2" t="str">
        <f>IFERROR(__xludf.DUMMYFUNCTION("GOOGLETRANSLATE(A13116, ""en"", ""mt"")"),"Liema titlu ngħata lil Genghis Khan wara mewt?")</f>
        <v>Liema titlu ngħata lil Genghis Khan wara mewt?</v>
      </c>
    </row>
    <row r="13117" ht="15.75" customHeight="1">
      <c r="A13117" s="2" t="s">
        <v>13117</v>
      </c>
      <c r="B13117" s="2" t="str">
        <f>IFERROR(__xludf.DUMMYFUNCTION("GOOGLETRANSLATE(A13117, ""en"", ""mt"")"),"Xi wħud ma jaqblux ma 'tali oriġini lingwistika doppja jew tripla mhux Franċiża, li jargumentaw li biex il-kelma tinfirex f'użu komuni fi Franza, hija trid tkun oriġinat bil-lingwa Franċiża. L- ""Ipotesi Hugues"" targumenta li l-isem kien derivat minn ass"&amp;"oċjazzjoni ma 'Hugues Capet, ir-Re ta' Franza, li ssaltan ħafna qabel ir-Riforma. Huwa kien meqjus mill-Gallikani u l-Protestanti bħala raġel nobbli li rrispetta d-dinjità u l-ħajja tan-nies. Janet Gray u partitarji oħra tal-ipoteżi jissuġġerixxu li l-ise"&amp;"m Huguenote jkun bejn wieħed u ieħor ekwivalenti għal Little Hugos, jew dawk li jixtiequ Hugo.")</f>
        <v>Xi wħud ma jaqblux ma 'tali oriġini lingwistika doppja jew tripla mhux Franċiża, li jargumentaw li biex il-kelma tinfirex f'użu komuni fi Franza, hija trid tkun oriġinat bil-lingwa Franċiża. L- "Ipotesi Hugues" targumenta li l-isem kien derivat minn assoċjazzjoni ma 'Hugues Capet, ir-Re ta' Franza, li ssaltan ħafna qabel ir-Riforma. Huwa kien meqjus mill-Gallikani u l-Protestanti bħala raġel nobbli li rrispetta d-dinjità u l-ħajja tan-nies. Janet Gray u partitarji oħra tal-ipoteżi jissuġġerixxu li l-isem Huguenote jkun bejn wieħed u ieħor ekwivalenti għal Little Hugos, jew dawk li jixtiequ Hugo.</v>
      </c>
    </row>
    <row r="13118" ht="15.75" customHeight="1">
      <c r="A13118" s="2" t="s">
        <v>13118</v>
      </c>
      <c r="B13118" s="2" t="str">
        <f>IFERROR(__xludf.DUMMYFUNCTION("GOOGLETRANSLATE(A13118, ""en"", ""mt"")"),"Bethencourt ħa t-titlu tar-Re tal-Gżejjer Kanarji, bħala Vassal għal Henry III ta 'Kastilja. Fl-1418, in-neputi ta 'Jean Maciot de Bethencourt biegħ id-drittijiet lill-gżejjer lil Enrique Pérez de Guzmán, it-2 Konti de Niebla.")</f>
        <v>Bethencourt ħa t-titlu tar-Re tal-Gżejjer Kanarji, bħala Vassal għal Henry III ta 'Kastilja. Fl-1418, in-neputi ta 'Jean Maciot de Bethencourt biegħ id-drittijiet lill-gżejjer lil Enrique Pérez de Guzmán, it-2 Konti de Niebla.</v>
      </c>
    </row>
    <row r="13119" ht="15.75" customHeight="1">
      <c r="A13119" s="2" t="s">
        <v>13119</v>
      </c>
      <c r="B13119" s="2" t="str">
        <f>IFERROR(__xludf.DUMMYFUNCTION("GOOGLETRANSLATE(A13119, ""en"", ""mt"")"),"Fejn kien imsejjaħ il-proġett mhux mitmum tiegħu?")</f>
        <v>Fejn kien imsejjaħ il-proġett mhux mitmum tiegħu?</v>
      </c>
    </row>
    <row r="13120" ht="15.75" customHeight="1">
      <c r="A13120" s="2" t="s">
        <v>13120</v>
      </c>
      <c r="B13120" s="2" t="str">
        <f>IFERROR(__xludf.DUMMYFUNCTION("GOOGLETRANSLATE(A13120, ""en"", ""mt"")"),"aerobiku")</f>
        <v>aerobiku</v>
      </c>
    </row>
    <row r="13121" ht="15.75" customHeight="1">
      <c r="A13121" s="2" t="s">
        <v>13121</v>
      </c>
      <c r="B13121" s="2" t="str">
        <f>IFERROR(__xludf.DUMMYFUNCTION("GOOGLETRANSLATE(A13121, ""en"", ""mt"")"),"abjad")</f>
        <v>abjad</v>
      </c>
    </row>
    <row r="13122" ht="15.75" customHeight="1">
      <c r="A13122" s="2" t="s">
        <v>13122</v>
      </c>
      <c r="B13122" s="2" t="str">
        <f>IFERROR(__xludf.DUMMYFUNCTION("GOOGLETRANSLATE(A13122, ""en"", ""mt"")"),"Ix-xogħlijiet ewlenin l-oħra ta 'Luther fuq il-Lhud kienu t-trattat ta' 60,000 kelma tiegħu von den Juden und Ihren Lügen (fuq il-Lhud u l-gideb tagħhom), u Vom Schem Hamphoras und Vom Geschlecht Christi (fuq l-Isem Imqaddes u n-nisel ta 'Kristu), it-tnej"&amp;"n ippubblikati Fl-1543, tliet snin qabel mewtu. Luther argumenta li l-Lhud ma kinux aktar il-poplu magħżul iżda ""l-poplu tax-xitan"", u rrefera għalihom b'lingwa vjolenti u vili. Filwaqt li kkwota d-Dewteronomju 13, fejn Mosè jikkmanda l-qtil ta 'l-idola"&amp;"tri u l-ħruq tal-bliet u l-propjetà tagħhom bħala offerta lil Alla, Luther talab għal ""Scharfe Barmherzigkeit"" (""ħniena qawwija"") kontra l-Lhud ""biex tara jekk nistgħu niffrankaw l-inqas ftit mill-fjammi glowing. "" Luther favur l-iffissar ta 'sinago"&amp;"gi fuq in-nar, jeqred il-kotba tat-talb Lhudija, li jipprojbixxi lill-fniek milli jippriedka, jaħtfu l-propjetà u l-flus tal-Lhud, u jaqsmu djarhom, sabiex dawn id-dud ""imdaħħlin"" ikunu sfurzati jaħdmu jew jitkeċċew ""għall-ħin kollu"". Fil-fehma ta 'Ro"&amp;"bert Michael, il-kliem ta' Luther ""aħna t-tort li ma joqtlux"" ammontaw għal sanzjoni għall-qtil. ""Ir-rabja ta 'Alla magħhom hija tant intensa,"" ikkonkluda Luther, ""dik il-ħniena ġentili għandha tendenza li tagħmilhom agħar, filwaqt li l-ħniena qawwij"&amp;"a tirriformahom imma ftit. Għalhekk, fi kwalunkwe każ,' il bogħod magħhom!""")</f>
        <v>Ix-xogħlijiet ewlenin l-oħra ta 'Luther fuq il-Lhud kienu t-trattat ta' 60,000 kelma tiegħu von den Juden und Ihren Lügen (fuq il-Lhud u l-gideb tagħhom), u Vom Schem Hamphoras und Vom Geschlecht Christi (fuq l-Isem Imqaddes u n-nisel ta 'Kristu), it-tnejn ippubblikati Fl-1543, tliet snin qabel mewtu. Luther argumenta li l-Lhud ma kinux aktar il-poplu magħżul iżda "l-poplu tax-xitan", u rrefera għalihom b'lingwa vjolenti u vili. Filwaqt li kkwota d-Dewteronomju 13, fejn Mosè jikkmanda l-qtil ta 'l-idolatri u l-ħruq tal-bliet u l-propjetà tagħhom bħala offerta lil Alla, Luther talab għal "Scharfe Barmherzigkeit" ("ħniena qawwija") kontra l-Lhud "biex tara jekk nistgħu niffrankaw l-inqas ftit mill-fjammi glowing. " Luther favur l-iffissar ta 'sinagogi fuq in-nar, jeqred il-kotba tat-talb Lhudija, li jipprojbixxi lill-fniek milli jippriedka, jaħtfu l-propjetà u l-flus tal-Lhud, u jaqsmu djarhom, sabiex dawn id-dud "imdaħħlin" ikunu sfurzati jaħdmu jew jitkeċċew "għall-ħin kollu". Fil-fehma ta 'Robert Michael, il-kliem ta' Luther "aħna t-tort li ma joqtlux" ammontaw għal sanzjoni għall-qtil. "Ir-rabja ta 'Alla magħhom hija tant intensa," ikkonkluda Luther, "dik il-ħniena ġentili għandha tendenza li tagħmilhom agħar, filwaqt li l-ħniena qawwija tirriformahom imma ftit. Għalhekk, fi kwalunkwe każ,' il bogħod magħhom!"</v>
      </c>
    </row>
    <row r="13123" ht="15.75" customHeight="1">
      <c r="A13123" s="2" t="s">
        <v>13123</v>
      </c>
      <c r="B13123" s="2" t="str">
        <f>IFERROR(__xludf.DUMMYFUNCTION("GOOGLETRANSLATE(A13123, ""en"", ""mt"")"),"Il-jiem tal-jazz tas-sajf ta 'Varsavja huwa wieħed mill-ħafna dak li ospitat minn Varsavja?")</f>
        <v>Il-jiem tal-jazz tas-sajf ta 'Varsavja huwa wieħed mill-ħafna dak li ospitat minn Varsavja?</v>
      </c>
    </row>
    <row r="13124" ht="15.75" customHeight="1">
      <c r="A13124" s="2" t="s">
        <v>13124</v>
      </c>
      <c r="B13124" s="2" t="str">
        <f>IFERROR(__xludf.DUMMYFUNCTION("GOOGLETRANSLATE(A13124, ""en"", ""mt"")"),"L-eżekuttiv tat-trasport tal-passiġġieri Tyne u jilbes.")</f>
        <v>L-eżekuttiv tat-trasport tal-passiġġieri Tyne u jilbes.</v>
      </c>
    </row>
    <row r="13125" ht="15.75" customHeight="1">
      <c r="A13125" s="2" t="s">
        <v>13125</v>
      </c>
      <c r="B13125" s="2" t="str">
        <f>IFERROR(__xludf.DUMMYFUNCTION("GOOGLETRANSLATE(A13125, ""en"", ""mt"")"),"Edipo")</f>
        <v>Edipo</v>
      </c>
    </row>
    <row r="13126" ht="15.75" customHeight="1">
      <c r="A13126" s="2" t="s">
        <v>13126</v>
      </c>
      <c r="B13126" s="2" t="str">
        <f>IFERROR(__xludf.DUMMYFUNCTION("GOOGLETRANSLATE(A13126, ""en"", ""mt"")"),"Madwar kemm hemm ritratti arkitettoniċi l-V &amp; A żżomm fil-kollezzjoni tagħha?")</f>
        <v>Madwar kemm hemm ritratti arkitettoniċi l-V &amp; A żżomm fil-kollezzjoni tagħha?</v>
      </c>
    </row>
    <row r="13127" ht="15.75" customHeight="1">
      <c r="A13127" s="2" t="s">
        <v>13127</v>
      </c>
      <c r="B13127" s="2" t="str">
        <f>IFERROR(__xludf.DUMMYFUNCTION("GOOGLETRANSLATE(A13127, ""en"", ""mt"")"),"stampi u tpinġijiet arkitettoniċi")</f>
        <v>stampi u tpinġijiet arkitettoniċi</v>
      </c>
    </row>
    <row r="13128" ht="15.75" customHeight="1">
      <c r="A13128" s="2" t="s">
        <v>13128</v>
      </c>
      <c r="B13128" s="2" t="str">
        <f>IFERROR(__xludf.DUMMYFUNCTION("GOOGLETRANSLATE(A13128, ""en"", ""mt"")"),"Demografikament, kienet l-iktar belt diversa fil-Polonja, b'numru sinifikanti ta 'abitanti ta' twelid barrani. Minbarra l-maġġoranza Pollakka, kien hemm minoranza Lhudija sinifikanti f'Varsavja. Skond iċ-ċensiment Russu tal-1897, mill-popolazzjoni totali "&amp;"ta '638,000, il-Lhud kienu jikkostitwixxu 219,000 (madwar 34% fil-mija). Il-popolazzjoni Lhudija ta 'Varsavja qabel aktar minn 350,000 kienet tikkostitwixxi madwar 30 fil-mija tal-popolazzjoni totali tal-belt. Fl-1933, minn 1,178,914 abitant 833,500 kienu"&amp;" ta 'lingwa materna Pollakka. It-Tieni Gwerra Dinjija biddlet id-demografija tal-belt, u sal-lum hemm ħafna inqas diversità etnika milli fit-300 sena preċedenti ta 'l-istorja ta' Varsavja. Il-biċċa l-kbira tat-tkabbir tal-popolazzjoni moderna tal-ġurnata "&amp;"huwa bbażat fuq il-migrazzjoni interna u l-urbanizzazzjoni.")</f>
        <v>Demografikament, kienet l-iktar belt diversa fil-Polonja, b'numru sinifikanti ta 'abitanti ta' twelid barrani. Minbarra l-maġġoranza Pollakka, kien hemm minoranza Lhudija sinifikanti f'Varsavja. Skond iċ-ċensiment Russu tal-1897, mill-popolazzjoni totali ta '638,000, il-Lhud kienu jikkostitwixxu 219,000 (madwar 34% fil-mija). Il-popolazzjoni Lhudija ta 'Varsavja qabel aktar minn 350,000 kienet tikkostitwixxi madwar 30 fil-mija tal-popolazzjoni totali tal-belt. Fl-1933, minn 1,178,914 abitant 833,500 kienu ta 'lingwa materna Pollakka. It-Tieni Gwerra Dinjija biddlet id-demografija tal-belt, u sal-lum hemm ħafna inqas diversità etnika milli fit-300 sena preċedenti ta 'l-istorja ta' Varsavja. Il-biċċa l-kbira tat-tkabbir tal-popolazzjoni moderna tal-ġurnata huwa bbażat fuq il-migrazzjoni interna u l-urbanizzazzjoni.</v>
      </c>
    </row>
    <row r="13129" ht="15.75" customHeight="1">
      <c r="A13129" s="2" t="s">
        <v>13129</v>
      </c>
      <c r="B13129" s="2" t="str">
        <f>IFERROR(__xludf.DUMMYFUNCTION("GOOGLETRANSLATE(A13129, ""en"", ""mt"")"),"Avukat")</f>
        <v>Avukat</v>
      </c>
    </row>
    <row r="13130" ht="15.75" customHeight="1">
      <c r="A13130" s="2" t="s">
        <v>13130</v>
      </c>
      <c r="B13130" s="2" t="str">
        <f>IFERROR(__xludf.DUMMYFUNCTION("GOOGLETRANSLATE(A13130, ""en"", ""mt"")"),"Maġġoranza ta 'żewġ terzi")</f>
        <v>Maġġoranza ta 'żewġ terzi</v>
      </c>
    </row>
    <row r="13131" ht="15.75" customHeight="1">
      <c r="A13131" s="2" t="s">
        <v>13131</v>
      </c>
      <c r="B13131" s="2" t="str">
        <f>IFERROR(__xludf.DUMMYFUNCTION("GOOGLETRANSLATE(A13131, ""en"", ""mt"")"),"Kemm btieħi kien il-gowl fil-grawnd li għamel Gano biex isir l-iskor 16-10?")</f>
        <v>Kemm btieħi kien il-gowl fil-grawnd li għamel Gano biex isir l-iskor 16-10?</v>
      </c>
    </row>
    <row r="13132" ht="15.75" customHeight="1">
      <c r="A13132" s="2" t="s">
        <v>13132</v>
      </c>
      <c r="B13132" s="2" t="str">
        <f>IFERROR(__xludf.DUMMYFUNCTION("GOOGLETRANSLATE(A13132, ""en"", ""mt"")"),"X'jiġri man-nematokisti tal-bram meta jittieklu mill-Haeckelia?")</f>
        <v>X'jiġri man-nematokisti tal-bram meta jittieklu mill-Haeckelia?</v>
      </c>
    </row>
    <row r="13133" ht="15.75" customHeight="1">
      <c r="A13133" s="2" t="s">
        <v>13133</v>
      </c>
      <c r="B13133" s="2" t="str">
        <f>IFERROR(__xludf.DUMMYFUNCTION("GOOGLETRANSLATE(A13133, ""en"", ""mt"")"),"Min kien is-Super Bowl 50 MVP?")</f>
        <v>Min kien is-Super Bowl 50 MVP?</v>
      </c>
    </row>
    <row r="13134" ht="15.75" customHeight="1">
      <c r="A13134" s="2" t="s">
        <v>13134</v>
      </c>
      <c r="B13134" s="2" t="str">
        <f>IFERROR(__xludf.DUMMYFUNCTION("GOOGLETRANSLATE(A13134, ""en"", ""mt"")"),"it-tilkoids u l-ispazju intermembrane")</f>
        <v>it-tilkoids u l-ispazju intermembrane</v>
      </c>
    </row>
    <row r="13135" ht="15.75" customHeight="1">
      <c r="A13135" s="2" t="s">
        <v>13135</v>
      </c>
      <c r="B13135" s="2" t="str">
        <f>IFERROR(__xludf.DUMMYFUNCTION("GOOGLETRANSLATE(A13135, ""en"", ""mt"")"),"Fejn huwa preżunt li ġie kkonsenjat Genghis Khan?")</f>
        <v>Fejn huwa preżunt li ġie kkonsenjat Genghis Khan?</v>
      </c>
    </row>
    <row r="13136" ht="15.75" customHeight="1">
      <c r="A13136" s="2" t="s">
        <v>13136</v>
      </c>
      <c r="B13136" s="2" t="str">
        <f>IFERROR(__xludf.DUMMYFUNCTION("GOOGLETRANSLATE(A13136, ""en"", ""mt"")"),"ħdejn it-tarf ta 'fuq tal-firxa mogħtija mill-projezzjoni tal-2001 tal-IPCC")</f>
        <v>ħdejn it-tarf ta 'fuq tal-firxa mogħtija mill-projezzjoni tal-2001 tal-IPCC</v>
      </c>
    </row>
    <row r="13137" ht="15.75" customHeight="1">
      <c r="A13137" s="2" t="s">
        <v>13137</v>
      </c>
      <c r="B13137" s="2" t="str">
        <f>IFERROR(__xludf.DUMMYFUNCTION("GOOGLETRANSLATE(A13137, ""en"", ""mt"")"),"Bars, kafetteriji u klabbs")</f>
        <v>Bars, kafetteriji u klabbs</v>
      </c>
    </row>
    <row r="13138" ht="15.75" customHeight="1">
      <c r="A13138" s="2" t="s">
        <v>13138</v>
      </c>
      <c r="B13138" s="2" t="str">
        <f>IFERROR(__xludf.DUMMYFUNCTION("GOOGLETRANSLATE(A13138, ""en"", ""mt"")"),"It-tobba ta 'McGann u Eccleston")</f>
        <v>It-tobba ta 'McGann u Eccleston</v>
      </c>
    </row>
    <row r="13139" ht="15.75" customHeight="1">
      <c r="A13139" s="2" t="s">
        <v>13139</v>
      </c>
      <c r="B13139" s="2" t="str">
        <f>IFERROR(__xludf.DUMMYFUNCTION("GOOGLETRANSLATE(A13139, ""en"", ""mt"")"),"Liema partijiet tal-pjanti għandhom kloroplasti?")</f>
        <v>Liema partijiet tal-pjanti għandhom kloroplasti?</v>
      </c>
    </row>
    <row r="13140" ht="15.75" customHeight="1">
      <c r="A13140" s="2" t="s">
        <v>13140</v>
      </c>
      <c r="B13140" s="2" t="str">
        <f>IFERROR(__xludf.DUMMYFUNCTION("GOOGLETRANSLATE(A13140, ""en"", ""mt"")"),"Ix-xogħol ta 'min ikkoreġi l-fiżika ta' Aristotile fis-seklu sbatax?")</f>
        <v>Ix-xogħol ta 'min ikkoreġi l-fiżika ta' Aristotile fis-seklu sbatax?</v>
      </c>
    </row>
    <row r="13141" ht="15.75" customHeight="1">
      <c r="A13141" s="2" t="s">
        <v>13141</v>
      </c>
      <c r="B13141" s="2" t="str">
        <f>IFERROR(__xludf.DUMMYFUNCTION("GOOGLETRANSLATE(A13141, ""en"", ""mt"")"),"X'inhu l-isem tal-iskejjel elementari?")</f>
        <v>X'inhu l-isem tal-iskejjel elementari?</v>
      </c>
    </row>
    <row r="13142" ht="15.75" customHeight="1">
      <c r="A13142" s="2" t="s">
        <v>13142</v>
      </c>
      <c r="B13142" s="2" t="str">
        <f>IFERROR(__xludf.DUMMYFUNCTION("GOOGLETRANSLATE(A13142, ""en"", ""mt"")"),"Kemm jaħdmu l-deni tal-pesta?")</f>
        <v>Kemm jaħdmu l-deni tal-pesta?</v>
      </c>
    </row>
    <row r="13143" ht="15.75" customHeight="1">
      <c r="A13143" s="2" t="s">
        <v>13143</v>
      </c>
      <c r="B13143" s="2" t="str">
        <f>IFERROR(__xludf.DUMMYFUNCTION("GOOGLETRANSLATE(A13143, ""en"", ""mt"")"),"Huwa mar lejn in-nofsinhar, saq jew qabad negozjanti Ingliżi")</f>
        <v>Huwa mar lejn in-nofsinhar, saq jew qabad negozjanti Ingliżi</v>
      </c>
    </row>
    <row r="13144" ht="15.75" customHeight="1">
      <c r="A13144" s="2" t="s">
        <v>13144</v>
      </c>
      <c r="B13144" s="2" t="str">
        <f>IFERROR(__xludf.DUMMYFUNCTION("GOOGLETRANSLATE(A13144, ""en"", ""mt"")"),"Fl-2000, ABC beda kampanja bbażata fuq l-internet iffokata fuq xiex?")</f>
        <v>Fl-2000, ABC beda kampanja bbażata fuq l-internet iffokata fuq xiex?</v>
      </c>
    </row>
    <row r="13145" ht="15.75" customHeight="1">
      <c r="A13145" s="2" t="s">
        <v>13145</v>
      </c>
      <c r="B13145" s="2" t="str">
        <f>IFERROR(__xludf.DUMMYFUNCTION("GOOGLETRANSLATE(A13145, ""en"", ""mt"")"),"X'kienet restawrata fil-gallerija tal-iskultura waqt ir-rinnovata tagħha fl-2006?")</f>
        <v>X'kienet restawrata fil-gallerija tal-iskultura waqt ir-rinnovata tagħha fl-2006?</v>
      </c>
    </row>
    <row r="13146" ht="15.75" customHeight="1">
      <c r="A13146" s="2" t="s">
        <v>13146</v>
      </c>
      <c r="B13146" s="2" t="str">
        <f>IFERROR(__xludf.DUMMYFUNCTION("GOOGLETRANSLATE(A13146, ""en"", ""mt"")"),"10,006,721")</f>
        <v>10,006,721</v>
      </c>
    </row>
    <row r="13147" ht="15.75" customHeight="1">
      <c r="A13147" s="2" t="s">
        <v>13147</v>
      </c>
      <c r="B13147" s="2" t="str">
        <f>IFERROR(__xludf.DUMMYFUNCTION("GOOGLETRANSLATE(A13147, ""en"", ""mt"")"),"Kemm huwa twil it-terminu ta 'membru tal-kunsill ġudizzjarju?")</f>
        <v>Kemm huwa twil it-terminu ta 'membru tal-kunsill ġudizzjarju?</v>
      </c>
    </row>
    <row r="13148" ht="15.75" customHeight="1">
      <c r="A13148" s="2" t="s">
        <v>13148</v>
      </c>
      <c r="B13148" s="2" t="str">
        <f>IFERROR(__xludf.DUMMYFUNCTION("GOOGLETRANSLATE(A13148, ""en"", ""mt"")"),"Super Bowl tal-ftuħ tal-lejl.")</f>
        <v>Super Bowl tal-ftuħ tal-lejl.</v>
      </c>
    </row>
    <row r="13149" ht="15.75" customHeight="1">
      <c r="A13149" s="2" t="s">
        <v>13149</v>
      </c>
      <c r="B13149" s="2" t="str">
        <f>IFERROR(__xludf.DUMMYFUNCTION("GOOGLETRANSLATE(A13149, ""en"", ""mt"")"),"Minn min hija applikata l-liġi Ewropea?")</f>
        <v>Minn min hija applikata l-liġi Ewropea?</v>
      </c>
    </row>
    <row r="13150" ht="15.75" customHeight="1">
      <c r="A13150" s="2" t="s">
        <v>13150</v>
      </c>
      <c r="B13150" s="2" t="str">
        <f>IFERROR(__xludf.DUMMYFUNCTION("GOOGLETRANSLATE(A13150, ""en"", ""mt"")"),"Liema rivista Tesla tkellmet dwar is-sinjali strambi?")</f>
        <v>Liema rivista Tesla tkellmet dwar is-sinjali strambi?</v>
      </c>
    </row>
    <row r="13151" ht="15.75" customHeight="1">
      <c r="A13151" s="2" t="s">
        <v>13151</v>
      </c>
      <c r="B13151" s="2" t="str">
        <f>IFERROR(__xludf.DUMMYFUNCTION("GOOGLETRANSLATE(A13151, ""en"", ""mt"")"),"X'kienet l-ewwel battalja fl-1754?")</f>
        <v>X'kienet l-ewwel battalja fl-1754?</v>
      </c>
    </row>
    <row r="13152" ht="15.75" customHeight="1">
      <c r="A13152" s="2" t="s">
        <v>13152</v>
      </c>
      <c r="B13152" s="2" t="str">
        <f>IFERROR(__xludf.DUMMYFUNCTION("GOOGLETRANSLATE(A13152, ""en"", ""mt"")"),"37")</f>
        <v>37</v>
      </c>
    </row>
    <row r="13153" ht="15.75" customHeight="1">
      <c r="A13153" s="2" t="s">
        <v>13153</v>
      </c>
      <c r="B13153" s="2" t="str">
        <f>IFERROR(__xludf.DUMMYFUNCTION("GOOGLETRANSLATE(A13153, ""en"", ""mt"")"),"Kmamar tal-ossiġnu speċjali")</f>
        <v>Kmamar tal-ossiġnu speċjali</v>
      </c>
    </row>
    <row r="13154" ht="15.75" customHeight="1">
      <c r="A13154" s="2" t="s">
        <v>13154</v>
      </c>
      <c r="B13154" s="2" t="str">
        <f>IFERROR(__xludf.DUMMYFUNCTION("GOOGLETRANSLATE(A13154, ""en"", ""mt"")"),"Graham Gano")</f>
        <v>Graham Gano</v>
      </c>
    </row>
    <row r="13155" ht="15.75" customHeight="1">
      <c r="A13155" s="2" t="s">
        <v>13155</v>
      </c>
      <c r="B13155" s="2" t="str">
        <f>IFERROR(__xludf.DUMMYFUNCTION("GOOGLETRANSLATE(A13155, ""en"", ""mt"")"),"X'inhu l-isem ta 'kontinwazzjoni konvinċenti oħra tat-test tal-primalità Fermat?")</f>
        <v>X'inhu l-isem ta 'kontinwazzjoni konvinċenti oħra tat-test tal-primalità Fermat?</v>
      </c>
    </row>
    <row r="13156" ht="15.75" customHeight="1">
      <c r="A13156" s="2" t="s">
        <v>13156</v>
      </c>
      <c r="B13156" s="2" t="str">
        <f>IFERROR(__xludf.DUMMYFUNCTION("GOOGLETRANSLATE(A13156, ""en"", ""mt"")"),"X’għamlet il-knisja meta Luther irrifjuta li jiġbed il-kitbiet tiegħu?")</f>
        <v>X’għamlet il-knisja meta Luther irrifjuta li jiġbed il-kitbiet tiegħu?</v>
      </c>
    </row>
    <row r="13157" ht="15.75" customHeight="1">
      <c r="A13157" s="2" t="s">
        <v>13157</v>
      </c>
      <c r="B13157" s="2" t="str">
        <f>IFERROR(__xludf.DUMMYFUNCTION("GOOGLETRANSLATE(A13157, ""en"", ""mt"")"),"48.8 ° C (119.8 ° F)")</f>
        <v>48.8 ° C (119.8 ° F)</v>
      </c>
    </row>
    <row r="13158" ht="15.75" customHeight="1">
      <c r="A13158" s="2" t="s">
        <v>13158</v>
      </c>
      <c r="B13158" s="2" t="str">
        <f>IFERROR(__xludf.DUMMYFUNCTION("GOOGLETRANSLATE(A13158, ""en"", ""mt"")"),"Charles Darwin")</f>
        <v>Charles Darwin</v>
      </c>
    </row>
    <row r="13159" ht="15.75" customHeight="1">
      <c r="A13159" s="2" t="s">
        <v>13159</v>
      </c>
      <c r="B13159" s="2" t="str">
        <f>IFERROR(__xludf.DUMMYFUNCTION("GOOGLETRANSLATE(A13159, ""en"", ""mt"")"),"huwa l-prodott tal-membrana taċ-ċellula tal-ospitanti li tinftiehem biex tifforma vesicle biex tdawwar iċ-cyanobacterium antenat")</f>
        <v>huwa l-prodott tal-membrana taċ-ċellula tal-ospitanti li tinftiehem biex tifforma vesicle biex tdawwar iċ-cyanobacterium antenat</v>
      </c>
    </row>
    <row r="13160" ht="15.75" customHeight="1">
      <c r="A13160" s="2" t="s">
        <v>13160</v>
      </c>
      <c r="B13160" s="2" t="str">
        <f>IFERROR(__xludf.DUMMYFUNCTION("GOOGLETRANSLATE(A13160, ""en"", ""mt"")"),"F'liema episodju Dudley Simpson daqq surmast tal-mużika?")</f>
        <v>F'liema episodju Dudley Simpson daqq surmast tal-mużika?</v>
      </c>
    </row>
    <row r="13161" ht="15.75" customHeight="1">
      <c r="A13161" s="2" t="s">
        <v>13161</v>
      </c>
      <c r="B13161" s="2" t="str">
        <f>IFERROR(__xludf.DUMMYFUNCTION("GOOGLETRANSLATE(A13161, ""en"", ""mt"")"),"studenti")</f>
        <v>studenti</v>
      </c>
    </row>
    <row r="13162" ht="15.75" customHeight="1">
      <c r="A13162" s="2" t="s">
        <v>13162</v>
      </c>
      <c r="B13162" s="2" t="str">
        <f>IFERROR(__xludf.DUMMYFUNCTION("GOOGLETRANSLATE(A13162, ""en"", ""mt"")"),"Liema kummiedja li tidher stand up kummidjant Tim Allen iddebutta fl-1991?")</f>
        <v>Liema kummiedja li tidher stand up kummidjant Tim Allen iddebutta fl-1991?</v>
      </c>
    </row>
    <row r="13163" ht="15.75" customHeight="1">
      <c r="A13163" s="2" t="s">
        <v>13163</v>
      </c>
      <c r="B13163" s="2" t="str">
        <f>IFERROR(__xludf.DUMMYFUNCTION("GOOGLETRANSLATE(A13163, ""en"", ""mt"")"),"Fuq liema reġistru Chris Keates ħaseb li xi għalliema m'għandhomx jitpoġġew?")</f>
        <v>Fuq liema reġistru Chris Keates ħaseb li xi għalliema m'għandhomx jitpoġġew?</v>
      </c>
    </row>
    <row r="13164" ht="15.75" customHeight="1">
      <c r="A13164" s="2" t="s">
        <v>13164</v>
      </c>
      <c r="B13164" s="2" t="str">
        <f>IFERROR(__xludf.DUMMYFUNCTION("GOOGLETRANSLATE(A13164, ""en"", ""mt"")"),"esploraw il-muntanji fil-garb tal-kaċċatur")</f>
        <v>esploraw il-muntanji fil-garb tal-kaċċatur</v>
      </c>
    </row>
    <row r="13165" ht="15.75" customHeight="1">
      <c r="A13165" s="2" t="s">
        <v>13165</v>
      </c>
      <c r="B13165" s="2" t="str">
        <f>IFERROR(__xludf.DUMMYFUNCTION("GOOGLETRANSLATE(A13165, ""en"", ""mt"")"),"Richard Lindzen")</f>
        <v>Richard Lindzen</v>
      </c>
    </row>
    <row r="13166" ht="15.75" customHeight="1">
      <c r="A13166" s="2" t="s">
        <v>13166</v>
      </c>
      <c r="B13166" s="2" t="str">
        <f>IFERROR(__xludf.DUMMYFUNCTION("GOOGLETRANSLATE(A13166, ""en"", ""mt"")"),"punti")</f>
        <v>punti</v>
      </c>
    </row>
    <row r="13167" ht="15.75" customHeight="1">
      <c r="A13167" s="2" t="s">
        <v>13167</v>
      </c>
      <c r="B13167" s="2" t="str">
        <f>IFERROR(__xludf.DUMMYFUNCTION("GOOGLETRANSLATE(A13167, ""en"", ""mt"")"),"9.00 a.m. sas-6.00 p.m. jew aktar tard")</f>
        <v>9.00 a.m. sas-6.00 p.m. jew aktar tard</v>
      </c>
    </row>
    <row r="13168" ht="15.75" customHeight="1">
      <c r="A13168" s="2" t="s">
        <v>13168</v>
      </c>
      <c r="B13168" s="2" t="str">
        <f>IFERROR(__xludf.DUMMYFUNCTION("GOOGLETRANSLATE(A13168, ""en"", ""mt"")"),"X'kien l-iskor finali għas-Super Bowl XXXIII?")</f>
        <v>X'kien l-iskor finali għas-Super Bowl XXXIII?</v>
      </c>
    </row>
    <row r="13169" ht="15.75" customHeight="1">
      <c r="A13169" s="2" t="s">
        <v>13169</v>
      </c>
      <c r="B13169" s="2" t="str">
        <f>IFERROR(__xludf.DUMMYFUNCTION("GOOGLETRANSLATE(A13169, ""en"", ""mt"")"),"Meta Washington laħqet Fort Le Boeuf?")</f>
        <v>Meta Washington laħqet Fort Le Boeuf?</v>
      </c>
    </row>
    <row r="13170" ht="15.75" customHeight="1">
      <c r="A13170" s="2" t="s">
        <v>13170</v>
      </c>
      <c r="B13170" s="2" t="str">
        <f>IFERROR(__xludf.DUMMYFUNCTION("GOOGLETRANSLATE(A13170, ""en"", ""mt"")"),"Kif huma diffiċli l-ispejjeż li huma diffiċli biex jiġu evitati?")</f>
        <v>Kif huma diffiċli l-ispejjeż li huma diffiċli biex jiġu evitati?</v>
      </c>
    </row>
    <row r="13171" ht="15.75" customHeight="1">
      <c r="A13171" s="2" t="s">
        <v>13171</v>
      </c>
      <c r="B13171" s="2" t="str">
        <f>IFERROR(__xludf.DUMMYFUNCTION("GOOGLETRANSLATE(A13171, ""en"", ""mt"")"),"X'kienet il-karta tal-patoġeni PLOS?")</f>
        <v>X'kienet il-karta tal-patoġeni PLOS?</v>
      </c>
    </row>
    <row r="13172" ht="15.75" customHeight="1">
      <c r="A13172" s="2" t="s">
        <v>13172</v>
      </c>
      <c r="B13172" s="2" t="str">
        <f>IFERROR(__xludf.DUMMYFUNCTION("GOOGLETRANSLATE(A13172, ""en"", ""mt"")"),"X'inhi l-akbar belt li tgħaddi r-Rhine?")</f>
        <v>X'inhi l-akbar belt li tgħaddi r-Rhine?</v>
      </c>
    </row>
    <row r="13173" ht="15.75" customHeight="1">
      <c r="A13173" s="2" t="s">
        <v>13173</v>
      </c>
      <c r="B13173" s="2" t="str">
        <f>IFERROR(__xludf.DUMMYFUNCTION("GOOGLETRANSLATE(A13173, ""en"", ""mt"")"),"X’għamlu x-xrar għall-insulazzjoni?")</f>
        <v>X’għamlu x-xrar għall-insulazzjoni?</v>
      </c>
    </row>
    <row r="13174" ht="15.75" customHeight="1">
      <c r="A13174" s="2" t="s">
        <v>13174</v>
      </c>
      <c r="B13174" s="2" t="str">
        <f>IFERROR(__xludf.DUMMYFUNCTION("GOOGLETRANSLATE(A13174, ""en"", ""mt"")"),"tond")</f>
        <v>tond</v>
      </c>
    </row>
    <row r="13175" ht="15.75" customHeight="1">
      <c r="A13175" s="2" t="s">
        <v>13175</v>
      </c>
      <c r="B13175" s="2" t="str">
        <f>IFERROR(__xludf.DUMMYFUNCTION("GOOGLETRANSLATE(A13175, ""en"", ""mt"")"),"16,000 speċi")</f>
        <v>16,000 speċi</v>
      </c>
    </row>
    <row r="13176" ht="15.75" customHeight="1">
      <c r="A13176" s="2" t="s">
        <v>13176</v>
      </c>
      <c r="B13176" s="2" t="str">
        <f>IFERROR(__xludf.DUMMYFUNCTION("GOOGLETRANSLATE(A13176, ""en"", ""mt"")"),"Meta twaqqaf dan il-kumitat minn Seaman?")</f>
        <v>Meta twaqqaf dan il-kumitat minn Seaman?</v>
      </c>
    </row>
    <row r="13177" ht="15.75" customHeight="1">
      <c r="A13177" s="2" t="s">
        <v>13177</v>
      </c>
      <c r="B13177" s="2" t="str">
        <f>IFERROR(__xludf.DUMMYFUNCTION("GOOGLETRANSLATE(A13177, ""en"", ""mt"")"),"Gżira Parris")</f>
        <v>Gżira Parris</v>
      </c>
    </row>
    <row r="13178" ht="15.75" customHeight="1">
      <c r="A13178" s="2" t="s">
        <v>13178</v>
      </c>
      <c r="B13178" s="2" t="str">
        <f>IFERROR(__xludf.DUMMYFUNCTION("GOOGLETRANSLATE(A13178, ""en"", ""mt"")"),"Skejjel tal-Laboratorju tal-Università ta ’Chicago")</f>
        <v>Skejjel tal-Laboratorju tal-Università ta ’Chicago</v>
      </c>
    </row>
    <row r="13179" ht="15.75" customHeight="1">
      <c r="A13179" s="2" t="s">
        <v>13179</v>
      </c>
      <c r="B13179" s="2" t="str">
        <f>IFERROR(__xludf.DUMMYFUNCTION("GOOGLETRANSLATE(A13179, ""en"", ""mt"")"),"vjolenza li sussegwentement ħakmet il-pajjiż")</f>
        <v>vjolenza li sussegwentement ħakmet il-pajjiż</v>
      </c>
    </row>
    <row r="13180" ht="15.75" customHeight="1">
      <c r="A13180" s="2" t="s">
        <v>13180</v>
      </c>
      <c r="B13180" s="2" t="str">
        <f>IFERROR(__xludf.DUMMYFUNCTION("GOOGLETRANSLATE(A13180, ""en"", ""mt"")"),"Djakni")</f>
        <v>Djakni</v>
      </c>
    </row>
    <row r="13181" ht="15.75" customHeight="1">
      <c r="A13181" s="2" t="s">
        <v>13181</v>
      </c>
      <c r="B13181" s="2" t="str">
        <f>IFERROR(__xludf.DUMMYFUNCTION("GOOGLETRANSLATE(A13181, ""en"", ""mt"")"),"Il-Mewt l-Iswed huwa maħsub li oriġina fil-pjanuri aridi ta 'l-Asja Ċentrali, fejn imbagħad ivvjaġġa fit-triq tal-ħarir, u laħaq il-Krimea sal-1343. Minn hemm, x'aktarx kien jinġarr minn briegħed tal-far orjentali li jgħixu fuq il-firien suwed li kienu re"&amp;"golari passiġġieri fuq vapuri merkantili. It-tixrid madwar il-Mediterran u l-Ewropa, il-mewt sewda hija stmata li qatlet 30-60% tal-popolazzjoni totali tal-Ewropa. B'kollox, il-pesta naqqset il-popolazzjoni dinjija minn madwar 450 miljun għal 350-375 milj"&amp;"un fis-seklu 14. Il-popolazzjoni dinjija kollha kemm hi ma rkupratx għal-livelli ta 'qabel il-pesta sas-seklu 17. Il-pesta reġgħet ħarġet kultant fl-Ewropa sas-seklu 19.")</f>
        <v>Il-Mewt l-Iswed huwa maħsub li oriġina fil-pjanuri aridi ta 'l-Asja Ċentrali, fejn imbagħad ivvjaġġa fit-triq tal-ħarir, u laħaq il-Krimea sal-1343. Minn hemm, x'aktarx kien jinġarr minn briegħed tal-far orjentali li jgħixu fuq il-firien suwed li kienu regolari passiġġieri fuq vapuri merkantili. It-tixrid madwar il-Mediterran u l-Ewropa, il-mewt sewda hija stmata li qatlet 30-60% tal-popolazzjoni totali tal-Ewropa. B'kollox, il-pesta naqqset il-popolazzjoni dinjija minn madwar 450 miljun għal 350-375 miljun fis-seklu 14. Il-popolazzjoni dinjija kollha kemm hi ma rkupratx għal-livelli ta 'qabel il-pesta sas-seklu 17. Il-pesta reġgħet ħarġet kultant fl-Ewropa sas-seklu 19.</v>
      </c>
    </row>
    <row r="13182" ht="15.75" customHeight="1">
      <c r="A13182" s="2" t="s">
        <v>13182</v>
      </c>
      <c r="B13182" s="2" t="str">
        <f>IFERROR(__xludf.DUMMYFUNCTION("GOOGLETRANSLATE(A13182, ""en"", ""mt"")"),"Spiża għolja ta 'mediċini u teknoloġija relatata mal-mediċina")</f>
        <v>Spiża għolja ta 'mediċini u teknoloġija relatata mal-mediċina</v>
      </c>
    </row>
    <row r="13183" ht="15.75" customHeight="1">
      <c r="A13183" s="2" t="s">
        <v>13183</v>
      </c>
      <c r="B13183" s="2" t="str">
        <f>IFERROR(__xludf.DUMMYFUNCTION("GOOGLETRANSLATE(A13183, ""en"", ""mt"")"),"Liema annimal li jgħix fix-xmara Amazon jista 'jipproduċi xokk fatali?")</f>
        <v>Liema annimal li jgħix fix-xmara Amazon jista 'jipproduċi xokk fatali?</v>
      </c>
    </row>
    <row r="13184" ht="15.75" customHeight="1">
      <c r="A13184" s="2" t="s">
        <v>13184</v>
      </c>
      <c r="B13184" s="2" t="str">
        <f>IFERROR(__xludf.DUMMYFUNCTION("GOOGLETRANSLATE(A13184, ""en"", ""mt"")"),"Min għandu s-setgħa li jibda leġislazzjoni fl-Unjoni Ewropea?")</f>
        <v>Min għandu s-setgħa li jibda leġislazzjoni fl-Unjoni Ewropea?</v>
      </c>
    </row>
    <row r="13185" ht="15.75" customHeight="1">
      <c r="A13185" s="2" t="s">
        <v>13185</v>
      </c>
      <c r="B13185" s="2" t="str">
        <f>IFERROR(__xludf.DUMMYFUNCTION("GOOGLETRANSLATE(A13185, ""en"", ""mt"")"),"X'kien magħruf Henry IV bħal qabel ma ħa t-tron?")</f>
        <v>X'kien magħruf Henry IV bħal qabel ma ħa t-tron?</v>
      </c>
    </row>
    <row r="13186" ht="15.75" customHeight="1">
      <c r="A13186" s="2" t="s">
        <v>13186</v>
      </c>
      <c r="B13186" s="2" t="str">
        <f>IFERROR(__xludf.DUMMYFUNCTION("GOOGLETRANSLATE(A13186, ""en"", ""mt"")"),"L-ebda appuntament ma huwa ffissat uffiċjali sakemm iseħħ?")</f>
        <v>L-ebda appuntament ma huwa ffissat uffiċjali sakemm iseħħ?</v>
      </c>
    </row>
    <row r="13187" ht="15.75" customHeight="1">
      <c r="A13187" s="2" t="s">
        <v>13187</v>
      </c>
      <c r="B13187" s="2" t="str">
        <f>IFERROR(__xludf.DUMMYFUNCTION("GOOGLETRANSLATE(A13187, ""en"", ""mt"")"),"Platyctenids minorenni jaġixxu bħal dak?")</f>
        <v>Platyctenids minorenni jaġixxu bħal dak?</v>
      </c>
    </row>
    <row r="13188" ht="15.75" customHeight="1">
      <c r="A13188" s="2" t="s">
        <v>13188</v>
      </c>
      <c r="B13188" s="2" t="str">
        <f>IFERROR(__xludf.DUMMYFUNCTION("GOOGLETRANSLATE(A13188, ""en"", ""mt"")"),"Ċilindru li joxxilla")</f>
        <v>Ċilindru li joxxilla</v>
      </c>
    </row>
    <row r="13189" ht="15.75" customHeight="1">
      <c r="A13189" s="2" t="s">
        <v>13189</v>
      </c>
      <c r="B13189" s="2" t="str">
        <f>IFERROR(__xludf.DUMMYFUNCTION("GOOGLETRANSLATE(A13189, ""en"", ""mt"")"),"Liema kwantitajiet fiżiċi m'għandhomx direzzjoni?")</f>
        <v>Liema kwantitajiet fiżiċi m'għandhomx direzzjoni?</v>
      </c>
    </row>
    <row r="13190" ht="15.75" customHeight="1">
      <c r="A13190" s="2" t="s">
        <v>13190</v>
      </c>
      <c r="B13190" s="2" t="str">
        <f>IFERROR(__xludf.DUMMYFUNCTION("GOOGLETRANSLATE(A13190, ""en"", ""mt"")"),"Liema kontea kien Newcastle parti minnu sal-1400?")</f>
        <v>Liema kontea kien Newcastle parti minnu sal-1400?</v>
      </c>
    </row>
    <row r="13191" ht="15.75" customHeight="1">
      <c r="A13191" s="2" t="s">
        <v>13191</v>
      </c>
      <c r="B13191" s="2" t="str">
        <f>IFERROR(__xludf.DUMMYFUNCTION("GOOGLETRANSLATE(A13191, ""en"", ""mt"")"),"David.")</f>
        <v>David.</v>
      </c>
    </row>
    <row r="13192" ht="15.75" customHeight="1">
      <c r="A13192" s="2" t="s">
        <v>13192</v>
      </c>
      <c r="B13192" s="2" t="str">
        <f>IFERROR(__xludf.DUMMYFUNCTION("GOOGLETRANSLATE(A13192, ""en"", ""mt"")"),"Il-50 Super Bowl")</f>
        <v>Il-50 Super Bowl</v>
      </c>
    </row>
    <row r="13193" ht="15.75" customHeight="1">
      <c r="A13193" s="2" t="s">
        <v>13193</v>
      </c>
      <c r="B13193" s="2" t="str">
        <f>IFERROR(__xludf.DUMMYFUNCTION("GOOGLETRANSLATE(A13193, ""en"", ""mt"")"),"Kif ġew eletti l-biċċa l-kbira tal-uffiċjali tal-belt fis-snin 1960?")</f>
        <v>Kif ġew eletti l-biċċa l-kbira tal-uffiċjali tal-belt fis-snin 1960?</v>
      </c>
    </row>
    <row r="13194" ht="15.75" customHeight="1">
      <c r="A13194" s="2" t="s">
        <v>13194</v>
      </c>
      <c r="B13194" s="2" t="str">
        <f>IFERROR(__xludf.DUMMYFUNCTION("GOOGLETRANSLATE(A13194, ""en"", ""mt"")"),"Il-Kummentarji dwar il-Klassiku tal-Bidliet (I Ching)")</f>
        <v>Il-Kummentarji dwar il-Klassiku tal-Bidliet (I Ching)</v>
      </c>
    </row>
    <row r="13195" ht="15.75" customHeight="1">
      <c r="A13195" s="2" t="s">
        <v>13195</v>
      </c>
      <c r="B13195" s="2" t="str">
        <f>IFERROR(__xludf.DUMMYFUNCTION("GOOGLETRANSLATE(A13195, ""en"", ""mt"")"),"F'liema pajjiż qed ixandar l-ABC, b'kuntrast mal-istazzjonijiet l-oħra ta 'Disney?")</f>
        <v>F'liema pajjiż qed ixandar l-ABC, b'kuntrast mal-istazzjonijiet l-oħra ta 'Disney?</v>
      </c>
    </row>
    <row r="13196" ht="15.75" customHeight="1">
      <c r="A13196" s="2" t="s">
        <v>13196</v>
      </c>
      <c r="B13196" s="2" t="str">
        <f>IFERROR(__xludf.DUMMYFUNCTION("GOOGLETRANSLATE(A13196, ""en"", ""mt"")"),"X'inhu apicoplast?")</f>
        <v>X'inhu apicoplast?</v>
      </c>
    </row>
    <row r="13197" ht="15.75" customHeight="1">
      <c r="A13197" s="2" t="s">
        <v>13197</v>
      </c>
      <c r="B13197" s="2" t="str">
        <f>IFERROR(__xludf.DUMMYFUNCTION("GOOGLETRANSLATE(A13197, ""en"", ""mt"")"),"Liema dinastija anzjana ġiet sostitwita mill-Liao tal-Punent, jew Qara Khitai?")</f>
        <v>Liema dinastija anzjana ġiet sostitwita mill-Liao tal-Punent, jew Qara Khitai?</v>
      </c>
    </row>
    <row r="13198" ht="15.75" customHeight="1">
      <c r="A13198" s="2" t="s">
        <v>13198</v>
      </c>
      <c r="B13198" s="2" t="str">
        <f>IFERROR(__xludf.DUMMYFUNCTION("GOOGLETRANSLATE(A13198, ""en"", ""mt"")"),"X'inhu l-isem tal-istat li l-Megaregion jespandi fil-Lvant?")</f>
        <v>X'inhu l-isem tal-istat li l-Megaregion jespandi fil-Lvant?</v>
      </c>
    </row>
    <row r="13199" ht="15.75" customHeight="1">
      <c r="A13199" s="2" t="s">
        <v>13199</v>
      </c>
      <c r="B13199" s="2" t="str">
        <f>IFERROR(__xludf.DUMMYFUNCTION("GOOGLETRANSLATE(A13199, ""en"", ""mt"")"),"Inqas minn $ 1.25")</f>
        <v>Inqas minn $ 1.25</v>
      </c>
    </row>
    <row r="13200" ht="15.75" customHeight="1">
      <c r="A13200" s="2" t="s">
        <v>13200</v>
      </c>
      <c r="B13200" s="2" t="str">
        <f>IFERROR(__xludf.DUMMYFUNCTION("GOOGLETRANSLATE(A13200, ""en"", ""mt"")"),"Festival taċ-Ċikliżmu,")</f>
        <v>Festival taċ-Ċikliżmu,</v>
      </c>
    </row>
    <row r="13201" ht="15.75" customHeight="1">
      <c r="A13201" s="2" t="s">
        <v>13201</v>
      </c>
      <c r="B13201" s="2" t="str">
        <f>IFERROR(__xludf.DUMMYFUNCTION("GOOGLETRANSLATE(A13201, ""en"", ""mt"")"),"3 u 14-il siegħa fil-ġimgħa")</f>
        <v>3 u 14-il siegħa fil-ġimgħa</v>
      </c>
    </row>
    <row r="13202" ht="15.75" customHeight="1">
      <c r="A13202" s="2" t="s">
        <v>13202</v>
      </c>
      <c r="B13202" s="2" t="str">
        <f>IFERROR(__xludf.DUMMYFUNCTION("GOOGLETRANSLATE(A13202, ""en"", ""mt"")"),"Mike Figgis")</f>
        <v>Mike Figgis</v>
      </c>
    </row>
    <row r="13203" ht="15.75" customHeight="1">
      <c r="A13203" s="2" t="s">
        <v>13203</v>
      </c>
      <c r="B13203" s="2" t="str">
        <f>IFERROR(__xludf.DUMMYFUNCTION("GOOGLETRANSLATE(A13203, ""en"", ""mt"")"),"Il-ftuħ uffiċjali mir-Reġina Victoria kien fit-22 ta 'Ġunju 1857. Fis-sena ta' wara, ġew introdotti fetħiet tard bil-lejl, magħmula possibbli bl-użu tad-dawl tal-gass. Dan kien biex jippermetti fi kliem Cole ""biex tivverifika prattikament liema sigħat hu"&amp;"ma l-iktar konvenjenti għall-klassijiet ta 'ħidma"" - dan kien marbut mal-użu tal-kollezzjonijiet kemm tal-arti applikata kif ukoll tax-xjenza bħala riżorsi edukattivi biex jgħinu biex jagħtu spinta lill-industrija produttiva. F’dawn is-snin bikrin l-użu "&amp;"prattiku tal-kollezzjoni ġie enfasizzat ħafna għall-kuntrarju ta ’“ arti għolja ”fil-gallerija nazzjonali u borża ta’ studju fil-British Museum. George Wallis (1811-1891), l-ewwel kustodju tal-kollezzjoni tal-arti fina, ippromwova b’passjoni l-idea ta ’ed"&amp;"ukazzjoni tal-arti wiesgħa permezz tal-kollezzjonijiet tal-mużew. Dan wassal għat-trasferiment għall-Mużew tal-Iskola tad-Disinn li kien twaqqaf fl-1837 fid-Dar Somerset; Wara t-trasferiment ġie msemmi bħala l-iskola tal-arti jew l-iskola tat-taħriġ tal-a"&amp;"rti, aktar tard sar il-Kulleġġ Irjali tal-Art li fl-aħħar kiseb indipendenza sħiħa fl-1949. Mill-1860s sal-1880s il-kollezzjonijiet xjentifiċi kienu mċaqalqa mis-sit tal-mużew ewlieni għal Diversi galleriji improvizzati lejn il-punent ta 'Triq il-Wirja. F"&amp;"l-1893 il- ""Mużew tax-Xjenza"" kien effettivament daħal fl-eżistenza meta ġie maħtur direttur separat.")</f>
        <v>Il-ftuħ uffiċjali mir-Reġina Victoria kien fit-22 ta 'Ġunju 1857. Fis-sena ta' wara, ġew introdotti fetħiet tard bil-lejl, magħmula possibbli bl-użu tad-dawl tal-gass. Dan kien biex jippermetti fi kliem Cole "biex tivverifika prattikament liema sigħat huma l-iktar konvenjenti għall-klassijiet ta 'ħidma" - dan kien marbut mal-użu tal-kollezzjonijiet kemm tal-arti applikata kif ukoll tax-xjenza bħala riżorsi edukattivi biex jgħinu biex jagħtu spinta lill-industrija produttiva. F’dawn is-snin bikrin l-użu prattiku tal-kollezzjoni ġie enfasizzat ħafna għall-kuntrarju ta ’“ arti għolja ”fil-gallerija nazzjonali u borża ta’ studju fil-British Museum. George Wallis (1811-1891), l-ewwel kustodju tal-kollezzjoni tal-arti fina, ippromwova b’passjoni l-idea ta ’edukazzjoni tal-arti wiesgħa permezz tal-kollezzjonijiet tal-mużew. Dan wassal għat-trasferiment għall-Mużew tal-Iskola tad-Disinn li kien twaqqaf fl-1837 fid-Dar Somerset; Wara t-trasferiment ġie msemmi bħala l-iskola tal-arti jew l-iskola tat-taħriġ tal-arti, aktar tard sar il-Kulleġġ Irjali tal-Art li fl-aħħar kiseb indipendenza sħiħa fl-1949. Mill-1860s sal-1880s il-kollezzjonijiet xjentifiċi kienu mċaqalqa mis-sit tal-mużew ewlieni għal Diversi galleriji improvizzati lejn il-punent ta 'Triq il-Wirja. Fl-1893 il- "Mużew tax-Xjenza" kien effettivament daħal fl-eżistenza meta ġie maħtur direttur separat.</v>
      </c>
    </row>
    <row r="13204" ht="15.75" customHeight="1">
      <c r="A13204" s="2" t="s">
        <v>13204</v>
      </c>
      <c r="B13204" s="2" t="str">
        <f>IFERROR(__xludf.DUMMYFUNCTION("GOOGLETRANSLATE(A13204, ""en"", ""mt"")"),"ixxukkjat")</f>
        <v>ixxukkjat</v>
      </c>
    </row>
    <row r="13205" ht="15.75" customHeight="1">
      <c r="A13205" s="2" t="s">
        <v>13205</v>
      </c>
      <c r="B13205" s="2" t="str">
        <f>IFERROR(__xludf.DUMMYFUNCTION("GOOGLETRANSLATE(A13205, ""en"", ""mt"")"),"X'inhu l-isem ta 'cellist ta' fama dinjija huwa ex-student ta 'Harvard?")</f>
        <v>X'inhu l-isem ta 'cellist ta' fama dinjija huwa ex-student ta 'Harvard?</v>
      </c>
    </row>
    <row r="13206" ht="15.75" customHeight="1">
      <c r="A13206" s="2" t="s">
        <v>13206</v>
      </c>
      <c r="B13206" s="2" t="str">
        <f>IFERROR(__xludf.DUMMYFUNCTION("GOOGLETRANSLATE(A13206, ""en"", ""mt"")"),"biex jikkawżaw ir-revoka tagħhom")</f>
        <v>biex jikkawżaw ir-revoka tagħhom</v>
      </c>
    </row>
    <row r="13207" ht="15.75" customHeight="1">
      <c r="A13207" s="2" t="s">
        <v>13207</v>
      </c>
      <c r="B13207" s="2" t="str">
        <f>IFERROR(__xludf.DUMMYFUNCTION("GOOGLETRANSLATE(A13207, ""en"", ""mt"")"),"Luther meta ħlief il-grupp ta 'sorijiet mill-kunvent?")</f>
        <v>Luther meta ħlief il-grupp ta 'sorijiet mill-kunvent?</v>
      </c>
    </row>
    <row r="13208" ht="15.75" customHeight="1">
      <c r="A13208" s="2" t="s">
        <v>13208</v>
      </c>
      <c r="B13208" s="2" t="str">
        <f>IFERROR(__xludf.DUMMYFUNCTION("GOOGLETRANSLATE(A13208, ""en"", ""mt"")"),"Il-korruzzjoni misjuba mill-Kumitat ta 'Esperti Indipendenti rriżultat għall-ħolqien ta' liema uffiċċju?")</f>
        <v>Il-korruzzjoni misjuba mill-Kumitat ta 'Esperti Indipendenti rriżultat għall-ħolqien ta' liema uffiċċju?</v>
      </c>
    </row>
    <row r="13209" ht="15.75" customHeight="1">
      <c r="A13209" s="2" t="s">
        <v>13209</v>
      </c>
      <c r="B13209" s="2" t="str">
        <f>IFERROR(__xludf.DUMMYFUNCTION("GOOGLETRANSLATE(A13209, ""en"", ""mt"")"),"Teżi 86,")</f>
        <v>Teżi 86,</v>
      </c>
    </row>
    <row r="13210" ht="15.75" customHeight="1">
      <c r="A13210" s="2" t="s">
        <v>13210</v>
      </c>
      <c r="B13210" s="2" t="str">
        <f>IFERROR(__xludf.DUMMYFUNCTION("GOOGLETRANSLATE(A13210, ""en"", ""mt"")"),"Sri Lanka")</f>
        <v>Sri Lanka</v>
      </c>
    </row>
    <row r="13211" ht="15.75" customHeight="1">
      <c r="A13211" s="2" t="s">
        <v>13211</v>
      </c>
      <c r="B13211" s="2" t="str">
        <f>IFERROR(__xludf.DUMMYFUNCTION("GOOGLETRANSLATE(A13211, ""en"", ""mt"")"),"Meta ġara l-avveniment tat-tħaffif?")</f>
        <v>Meta ġara l-avveniment tat-tħaffif?</v>
      </c>
    </row>
    <row r="13212" ht="15.75" customHeight="1">
      <c r="A13212" s="2" t="s">
        <v>13212</v>
      </c>
      <c r="B13212" s="2" t="str">
        <f>IFERROR(__xludf.DUMMYFUNCTION("GOOGLETRANSLATE(A13212, ""en"", ""mt"")"),"President")</f>
        <v>President</v>
      </c>
    </row>
    <row r="13213" ht="15.75" customHeight="1">
      <c r="A13213" s="2" t="s">
        <v>13213</v>
      </c>
      <c r="B13213" s="2" t="str">
        <f>IFERROR(__xludf.DUMMYFUNCTION("GOOGLETRANSLATE(A13213, ""en"", ""mt"")"),"Ma kienx sal-istaġun 1965-66 li l-kulur sar il-format dominanti għat-tliet netwerks tat-televiżjoni mxandra. ABC, intant, baqa 'fit-tielet post u xorta kellu bżonn flus biex jikber innifsu f'kompetitur ewlieni. Madankollu, il-kwistjonijiet ta 'ABC bit-tra"&amp;"nżizzjoni tagħha għall-kulur saru sekondarji meta mqabbla mal-problemi finanzjarji tan-netwerk; Fl-1964, in-netwerk sab ruħu, kif kiteb Goldenson aktar tard fil-ktieb tal-1991 ""Beat the Odds: The Untold Story Behind the Rise of ABC"", ""fin-nofs ta 'gwer"&amp;"ra [fejn] il-kamp tal-battalja kien Wall Street"". Bosta kumpaniji fittxew li jieħdu f'idejhom ABC, inklużi Norton Simon, General Electric, International Telephone and Telegraph u Litton Industries.")</f>
        <v>Ma kienx sal-istaġun 1965-66 li l-kulur sar il-format dominanti għat-tliet netwerks tat-televiżjoni mxandra. ABC, intant, baqa 'fit-tielet post u xorta kellu bżonn flus biex jikber innifsu f'kompetitur ewlieni. Madankollu, il-kwistjonijiet ta 'ABC bit-tranżizzjoni tagħha għall-kulur saru sekondarji meta mqabbla mal-problemi finanzjarji tan-netwerk; Fl-1964, in-netwerk sab ruħu, kif kiteb Goldenson aktar tard fil-ktieb tal-1991 "Beat the Odds: The Untold Story Behind the Rise of ABC", "fin-nofs ta 'gwerra [fejn] il-kamp tal-battalja kien Wall Street". Bosta kumpaniji fittxew li jieħdu f'idejhom ABC, inklużi Norton Simon, General Electric, International Telephone and Telegraph u Litton Industries.</v>
      </c>
    </row>
    <row r="13214" ht="15.75" customHeight="1">
      <c r="A13214" s="2" t="s">
        <v>13214</v>
      </c>
      <c r="B13214" s="2" t="str">
        <f>IFERROR(__xludf.DUMMYFUNCTION("GOOGLETRANSLATE(A13214, ""en"", ""mt"")"),"Ħamsa u għoxrin romol li stabbilixxew f'Dover")</f>
        <v>Ħamsa u għoxrin romol li stabbilixxew f'Dover</v>
      </c>
    </row>
    <row r="13215" ht="15.75" customHeight="1">
      <c r="A13215" s="2" t="s">
        <v>13215</v>
      </c>
      <c r="B13215" s="2" t="str">
        <f>IFERROR(__xludf.DUMMYFUNCTION("GOOGLETRANSLATE(A13215, ""en"", ""mt"")"),"Meta ġie introdott il-verifika?")</f>
        <v>Meta ġie introdott il-verifika?</v>
      </c>
    </row>
    <row r="13216" ht="15.75" customHeight="1">
      <c r="A13216" s="2" t="s">
        <v>13216</v>
      </c>
      <c r="B13216" s="2" t="str">
        <f>IFERROR(__xludf.DUMMYFUNCTION("GOOGLETRANSLATE(A13216, ""en"", ""mt"")"),"Pierre Pictet")</f>
        <v>Pierre Pictet</v>
      </c>
    </row>
    <row r="13217" ht="15.75" customHeight="1">
      <c r="A13217" s="2" t="s">
        <v>13217</v>
      </c>
      <c r="B13217" s="2" t="str">
        <f>IFERROR(__xludf.DUMMYFUNCTION("GOOGLETRANSLATE(A13217, ""en"", ""mt"")"),"Luther fassal il-Katekiżmu bħala metodu biex jagħti l-punti bażiċi tal-Kristjaneżmu lill-kongregazzjonijiet. Fl-1529, huwa kiteb il-Katekiżmu l-Kbir, manwal għall-pastors u l-għalliema, kif ukoll sinopsi, il-Katekiżmu Żgħir, li għandhom jiġu memorizzati m"&amp;"in-nies infushom. Il-katekiżmi pprovdew materjal ta 'istruzzjoni u devozzjonali faċli biex jinftiehem fuq l-Għaxar Kmandamenti, il-Kredu tal-Appostli, it-Talb tal-Mulej, il-Magħmudija, u l-Ikla tal-Mulej. Luther inkorpora mistoqsijiet u tweġibiet fil-kate"&amp;"kiżmu sabiex il-punti bażiċi tal-fidi Nisranija ma jitgħallmux biss permezz ta 'rote, ""il-mod kif ix-xadini jagħmlu dan"", iżda mifhuma.")</f>
        <v>Luther fassal il-Katekiżmu bħala metodu biex jagħti l-punti bażiċi tal-Kristjaneżmu lill-kongregazzjonijiet. Fl-1529, huwa kiteb il-Katekiżmu l-Kbir, manwal għall-pastors u l-għalliema, kif ukoll sinopsi, il-Katekiżmu Żgħir, li għandhom jiġu memorizzati min-nies infushom. Il-katekiżmi pprovdew materjal ta 'istruzzjoni u devozzjonali faċli biex jinftiehem fuq l-Għaxar Kmandamenti, il-Kredu tal-Appostli, it-Talb tal-Mulej, il-Magħmudija, u l-Ikla tal-Mulej. Luther inkorpora mistoqsijiet u tweġibiet fil-katekiżmu sabiex il-punti bażiċi tal-fidi Nisranija ma jitgħallmux biss permezz ta 'rote, "il-mod kif ix-xadini jagħmlu dan", iżda mifhuma.</v>
      </c>
    </row>
    <row r="13218" ht="15.75" customHeight="1">
      <c r="A13218" s="2" t="s">
        <v>13218</v>
      </c>
      <c r="B13218" s="2" t="str">
        <f>IFERROR(__xludf.DUMMYFUNCTION("GOOGLETRANSLATE(A13218, ""en"", ""mt"")"),"X'inhi d-distribuzzjoni tad-dħul mix-xogħol minħabba d-differenzi ta '?")</f>
        <v>X'inhi d-distribuzzjoni tad-dħul mix-xogħol minħabba d-differenzi ta '?</v>
      </c>
    </row>
    <row r="13219" ht="15.75" customHeight="1">
      <c r="A13219" s="2" t="s">
        <v>13219</v>
      </c>
      <c r="B13219" s="2" t="str">
        <f>IFERROR(__xludf.DUMMYFUNCTION("GOOGLETRANSLATE(A13219, ""en"", ""mt"")"),"Liema premju ngħata lil Corliss?")</f>
        <v>Liema premju ngħata lil Corliss?</v>
      </c>
    </row>
    <row r="13220" ht="15.75" customHeight="1">
      <c r="A13220" s="2" t="s">
        <v>13220</v>
      </c>
      <c r="B13220" s="2" t="str">
        <f>IFERROR(__xludf.DUMMYFUNCTION("GOOGLETRANSLATE(A13220, ""en"", ""mt"")"),"X'inhu l-isem tal-kumpanija holding għal BSKYB?")</f>
        <v>X'inhu l-isem tal-kumpanija holding għal BSKYB?</v>
      </c>
    </row>
    <row r="13221" ht="15.75" customHeight="1">
      <c r="A13221" s="2" t="s">
        <v>13221</v>
      </c>
      <c r="B13221" s="2" t="str">
        <f>IFERROR(__xludf.DUMMYFUNCTION("GOOGLETRANSLATE(A13221, ""en"", ""mt"")"),"1290")</f>
        <v>1290</v>
      </c>
    </row>
    <row r="13222" ht="15.75" customHeight="1">
      <c r="A13222" s="2" t="s">
        <v>13222</v>
      </c>
      <c r="B13222" s="2" t="str">
        <f>IFERROR(__xludf.DUMMYFUNCTION("GOOGLETRANSLATE(A13222, ""en"", ""mt"")"),"L-ispettaklu rċieva rikonoxximent bħala wieħed mill-ifjen programmi televiżivi tal-Gran Brittanja, li rebaħ il-Premju British Academy Television tal-2006 għall-Aħjar Drama Series u l-Premjijiet Konsekuttivi (2005-2010) fil-Premjijiet Nazzjonali tat-Televi"&amp;"żjoni waqt il-mandat ta 'Russell T Davies bħala produttur eżekuttiv. Fl-2011, Matt Smith sar l-ewwel tabib li ġie nominat għal Premju tat-Televiżjoni BAFTA għall-Aħjar Attur u fl-2016, Michelle Gomez saret l-ewwel mara li rċeviet nomina BAFTA għas-serje, "&amp;"li qed tikseb l-Aħjar Attriċi ta 'Appoġġ Nomina għall-Ħidma tagħha bħala Missy bħala Missy Jonqos")</f>
        <v>L-ispettaklu rċieva rikonoxximent bħala wieħed mill-ifjen programmi televiżivi tal-Gran Brittanja, li rebaħ il-Premju British Academy Television tal-2006 għall-Aħjar Drama Series u l-Premjijiet Konsekuttivi (2005-2010) fil-Premjijiet Nazzjonali tat-Televiżjoni waqt il-mandat ta 'Russell T Davies bħala produttur eżekuttiv. Fl-2011, Matt Smith sar l-ewwel tabib li ġie nominat għal Premju tat-Televiżjoni BAFTA għall-Aħjar Attur u fl-2016, Michelle Gomez saret l-ewwel mara li rċeviet nomina BAFTA għas-serje, li qed tikseb l-Aħjar Attriċi ta 'Appoġġ Nomina għall-Ħidma tagħha bħala Missy bħala Missy Jonqos</v>
      </c>
    </row>
    <row r="13223" ht="15.75" customHeight="1">
      <c r="A13223" s="2" t="s">
        <v>13223</v>
      </c>
      <c r="B13223" s="2" t="str">
        <f>IFERROR(__xludf.DUMMYFUNCTION("GOOGLETRANSLATE(A13223, ""en"", ""mt"")"),"Solventi organiċi")</f>
        <v>Solventi organiċi</v>
      </c>
    </row>
    <row r="13224" ht="15.75" customHeight="1">
      <c r="A13224" s="2" t="s">
        <v>13224</v>
      </c>
      <c r="B13224" s="2" t="str">
        <f>IFERROR(__xludf.DUMMYFUNCTION("GOOGLETRANSLATE(A13224, ""en"", ""mt"")"),"Kemm hemm stazzjonijiet ewlenin tal-karozzi tal-linja fil-belt ta 'Newcastle?")</f>
        <v>Kemm hemm stazzjonijiet ewlenin tal-karozzi tal-linja fil-belt ta 'Newcastle?</v>
      </c>
    </row>
    <row r="13225" ht="15.75" customHeight="1">
      <c r="A13225" s="2" t="s">
        <v>13225</v>
      </c>
      <c r="B13225" s="2" t="str">
        <f>IFERROR(__xludf.DUMMYFUNCTION("GOOGLETRANSLATE(A13225, ""en"", ""mt"")"),"Fejn intwera li għandu prevalenza ta '0.3% ta' abbuż sesswali minn professjonisti?")</f>
        <v>Fejn intwera li għandu prevalenza ta '0.3% ta' abbuż sesswali minn professjonisti?</v>
      </c>
    </row>
    <row r="13226" ht="15.75" customHeight="1">
      <c r="A13226" s="2" t="s">
        <v>13226</v>
      </c>
      <c r="B13226" s="2" t="str">
        <f>IFERROR(__xludf.DUMMYFUNCTION("GOOGLETRANSLATE(A13226, ""en"", ""mt"")"),"""Żgura li fl-interpretazzjoni u l-applikazzjoni tat-trattati tkun osservata l-liġi""")</f>
        <v>"Żgura li fl-interpretazzjoni u l-applikazzjoni tat-trattati tkun osservata l-liġi"</v>
      </c>
    </row>
    <row r="13227" ht="15.75" customHeight="1">
      <c r="A13227" s="2" t="s">
        <v>13227</v>
      </c>
      <c r="B13227" s="2" t="str">
        <f>IFERROR(__xludf.DUMMYFUNCTION("GOOGLETRANSLATE(A13227, ""en"", ""mt"")"),"L-Università ta 'Chicago (Uchicago, Chicago, jew U ta' C) hija università ta 'riċerka privata f'Chicago. L-università, stabbilita fl-1890, tikkonsisti fil-Kulleġġ, diversi programmi ta ’gradwati, kumitati interdixxiplinarji organizzati f’erba’ diviżjoniji"&amp;"et ta ’riċerka akkademiċi u seba’ skejjel professjonali. Lil hinn mill-Arti u x-Xjenzi, Chicago hija magħrufa wkoll għall-iskejjel professjonali tagħha, li jinkludu l-Iskola tal-Mediċina Pritzker, l-Iskola tan-Negozju tal-Università ta 'Chicago, l-Iskola "&amp;"tal-Liġi, l-Iskola tas-Servizz Soċjali, l-Iskola Harris tal-Politika Pubblika Studji, l-Iskola Graham ta ’Studji Liberali u Professjonali kontinwi u l-Iskola Divinità. L-università bħalissa tirreġistra madwar 5,000 student fil-kulleġġ u madwar 15,000 stud"&amp;"ent ġenerali.")</f>
        <v>L-Università ta 'Chicago (Uchicago, Chicago, jew U ta' C) hija università ta 'riċerka privata f'Chicago. L-università, stabbilita fl-1890, tikkonsisti fil-Kulleġġ, diversi programmi ta ’gradwati, kumitati interdixxiplinarji organizzati f’erba’ diviżjonijiet ta ’riċerka akkademiċi u seba’ skejjel professjonali. Lil hinn mill-Arti u x-Xjenzi, Chicago hija magħrufa wkoll għall-iskejjel professjonali tagħha, li jinkludu l-Iskola tal-Mediċina Pritzker, l-Iskola tan-Negozju tal-Università ta 'Chicago, l-Iskola tal-Liġi, l-Iskola tas-Servizz Soċjali, l-Iskola Harris tal-Politika Pubblika Studji, l-Iskola Graham ta ’Studji Liberali u Professjonali kontinwi u l-Iskola Divinità. L-università bħalissa tirreġistra madwar 5,000 student fil-kulleġġ u madwar 15,000 student ġenerali.</v>
      </c>
    </row>
    <row r="13228" ht="15.75" customHeight="1">
      <c r="A13228" s="2" t="s">
        <v>13228</v>
      </c>
      <c r="B13228" s="2" t="str">
        <f>IFERROR(__xludf.DUMMYFUNCTION("GOOGLETRANSLATE(A13228, ""en"", ""mt"")"),"L-ewwel lokomotiva tal-fwar tal-ferrovija fuq skala sħiħa fuq skala sħiħa nbniet minn Richard Trevithick fir-Renju Unit u, fil-21 ta 'Frar 1804, l-ewwel vjaġġ ferrovjarju tad-dinja seħħ hekk kif il-lokomotiva tal-fwar bla isem ta' Trevithick ġab ferrovija"&amp;" tul it-tramway mill-pen-y-daren Ironworks, qrib Merthyr Tydfil lil Abercynon fin-Nofsinhar ta ’Wales. Id-disinn inkorpora numru ta 'innovazzjonijiet importanti li kienu jinkludu l-użu ta' fwar bi pressjoni għolja li naqqas il-piż tal-magna u żied l-effiċ"&amp;"jenza tiegħu. Trevithick żar iż-żona ta ’Newcastle aktar tard fl-1804 u l-Ferroviji tal-Colliery fil-Grigal tal-Ingilterra saru ċ-ċentru ewlieni għall-esperimentazzjoni u l-iżvilupp ta’ lokomottivi tal-fwar.")</f>
        <v>L-ewwel lokomotiva tal-fwar tal-ferrovija fuq skala sħiħa fuq skala sħiħa nbniet minn Richard Trevithick fir-Renju Unit u, fil-21 ta 'Frar 1804, l-ewwel vjaġġ ferrovjarju tad-dinja seħħ hekk kif il-lokomotiva tal-fwar bla isem ta' Trevithick ġab ferrovija tul it-tramway mill-pen-y-daren Ironworks, qrib Merthyr Tydfil lil Abercynon fin-Nofsinhar ta ’Wales. Id-disinn inkorpora numru ta 'innovazzjonijiet importanti li kienu jinkludu l-użu ta' fwar bi pressjoni għolja li naqqas il-piż tal-magna u żied l-effiċjenza tiegħu. Trevithick żar iż-żona ta ’Newcastle aktar tard fl-1804 u l-Ferroviji tal-Colliery fil-Grigal tal-Ingilterra saru ċ-ċentru ewlieni għall-esperimentazzjoni u l-iżvilupp ta’ lokomottivi tal-fwar.</v>
      </c>
    </row>
    <row r="13229" ht="15.75" customHeight="1">
      <c r="A13229" s="2" t="s">
        <v>13229</v>
      </c>
      <c r="B13229" s="2" t="str">
        <f>IFERROR(__xludf.DUMMYFUNCTION("GOOGLETRANSLATE(A13229, ""en"", ""mt"")"),"Charles L. Hutchinson")</f>
        <v>Charles L. Hutchinson</v>
      </c>
    </row>
    <row r="13230" ht="15.75" customHeight="1">
      <c r="A13230" s="2" t="s">
        <v>13230</v>
      </c>
      <c r="B13230" s="2" t="str">
        <f>IFERROR(__xludf.DUMMYFUNCTION("GOOGLETRANSLATE(A13230, ""en"", ""mt"")"),"X'inhuma l-phycobilins?")</f>
        <v>X'inhuma l-phycobilins?</v>
      </c>
    </row>
    <row r="13231" ht="15.75" customHeight="1">
      <c r="A13231" s="2" t="s">
        <v>13231</v>
      </c>
      <c r="B13231" s="2" t="str">
        <f>IFERROR(__xludf.DUMMYFUNCTION("GOOGLETRANSLATE(A13231, ""en"", ""mt"")"),"kmieni")</f>
        <v>kmieni</v>
      </c>
    </row>
    <row r="13232" ht="15.75" customHeight="1">
      <c r="A13232" s="2" t="s">
        <v>13232</v>
      </c>
      <c r="B13232" s="2" t="str">
        <f>IFERROR(__xludf.DUMMYFUNCTION("GOOGLETRANSLATE(A13232, ""en"", ""mt"")"),"Xi wħud iġġeneralizzaw it-tifsira tal-kelma imperjalizmu għal skopijiet ġenerali?")</f>
        <v>Xi wħud iġġeneralizzaw it-tifsira tal-kelma imperjalizmu għal skopijiet ġenerali?</v>
      </c>
    </row>
    <row r="13233" ht="15.75" customHeight="1">
      <c r="A13233" s="2" t="s">
        <v>13233</v>
      </c>
      <c r="B13233" s="2" t="str">
        <f>IFERROR(__xludf.DUMMYFUNCTION("GOOGLETRANSLATE(A13233, ""en"", ""mt"")"),"Telekomunikazzjonijiet")</f>
        <v>Telekomunikazzjonijiet</v>
      </c>
    </row>
    <row r="13234" ht="15.75" customHeight="1">
      <c r="A13234" s="2" t="s">
        <v>13234</v>
      </c>
      <c r="B13234" s="2" t="str">
        <f>IFERROR(__xludf.DUMMYFUNCTION("GOOGLETRANSLATE(A13234, ""en"", ""mt"")"),"X'inhi l-Liġi tal-Unjoni Ewropea?")</f>
        <v>X'inhi l-Liġi tal-Unjoni Ewropea?</v>
      </c>
    </row>
    <row r="13235" ht="15.75" customHeight="1">
      <c r="A13235" s="2" t="s">
        <v>13235</v>
      </c>
      <c r="B13235" s="2" t="str">
        <f>IFERROR(__xludf.DUMMYFUNCTION("GOOGLETRANSLATE(A13235, ""en"", ""mt"")"),"Liema oqsma ta 'studju ppreferiet Martin Luther?")</f>
        <v>Liema oqsma ta 'studju ppreferiet Martin Luther?</v>
      </c>
    </row>
    <row r="13236" ht="15.75" customHeight="1">
      <c r="A13236" s="2" t="s">
        <v>13236</v>
      </c>
      <c r="B13236" s="2" t="str">
        <f>IFERROR(__xludf.DUMMYFUNCTION("GOOGLETRANSLATE(A13236, ""en"", ""mt"")"),"Klassijiet speċjali universitarji")</f>
        <v>Klassijiet speċjali universitarji</v>
      </c>
    </row>
    <row r="13237" ht="15.75" customHeight="1">
      <c r="A13237" s="2" t="s">
        <v>13237</v>
      </c>
      <c r="B13237" s="2" t="str">
        <f>IFERROR(__xludf.DUMMYFUNCTION("GOOGLETRANSLATE(A13237, ""en"", ""mt"")"),"Arċisqof ta ’Trier")</f>
        <v>Arċisqof ta ’Trier</v>
      </c>
    </row>
    <row r="13238" ht="15.75" customHeight="1">
      <c r="A13238" s="2" t="s">
        <v>13238</v>
      </c>
      <c r="B13238" s="2" t="str">
        <f>IFERROR(__xludf.DUMMYFUNCTION("GOOGLETRANSLATE(A13238, ""en"", ""mt"")"),"it-tielet Étude")</f>
        <v>it-tielet Étude</v>
      </c>
    </row>
    <row r="13239" ht="15.75" customHeight="1">
      <c r="A13239" s="2" t="s">
        <v>13239</v>
      </c>
      <c r="B13239" s="2" t="str">
        <f>IFERROR(__xludf.DUMMYFUNCTION("GOOGLETRANSLATE(A13239, ""en"", ""mt"")"),"Librerija Selznick")</f>
        <v>Librerija Selznick</v>
      </c>
    </row>
    <row r="13240" ht="15.75" customHeight="1">
      <c r="A13240" s="2" t="s">
        <v>13240</v>
      </c>
      <c r="B13240" s="2" t="str">
        <f>IFERROR(__xludf.DUMMYFUNCTION("GOOGLETRANSLATE(A13240, ""en"", ""mt"")"),"riċetturi")</f>
        <v>riċetturi</v>
      </c>
    </row>
    <row r="13241" ht="15.75" customHeight="1">
      <c r="A13241" s="2" t="s">
        <v>13241</v>
      </c>
      <c r="B13241" s="2" t="str">
        <f>IFERROR(__xludf.DUMMYFUNCTION("GOOGLETRANSLATE(A13241, ""en"", ""mt"")"),"Ħolqien ta 'pjan komprensiv ta' terapija ta 'mediċina għal problemi speċifiċi għall-pazjent")</f>
        <v>Ħolqien ta 'pjan komprensiv ta' terapija ta 'mediċina għal problemi speċifiċi għall-pazjent</v>
      </c>
    </row>
    <row r="13242" ht="15.75" customHeight="1">
      <c r="A13242" s="2" t="s">
        <v>13242</v>
      </c>
      <c r="B13242" s="2" t="str">
        <f>IFERROR(__xludf.DUMMYFUNCTION("GOOGLETRANSLATE(A13242, ""en"", ""mt"")"),"X'inhu eżempju ta 'ġesti drammatiku?")</f>
        <v>X'inhu eżempju ta 'ġesti drammatiku?</v>
      </c>
    </row>
    <row r="13243" ht="15.75" customHeight="1">
      <c r="A13243" s="2" t="s">
        <v>13243</v>
      </c>
      <c r="B13243" s="2" t="str">
        <f>IFERROR(__xludf.DUMMYFUNCTION("GOOGLETRANSLATE(A13243, ""en"", ""mt"")"),"X'inhu korrelatat b'mod negattiv mat-tul tat-tkabbir ekonomiku?")</f>
        <v>X'inhu korrelatat b'mod negattiv mat-tul tat-tkabbir ekonomiku?</v>
      </c>
    </row>
    <row r="13244" ht="15.75" customHeight="1">
      <c r="A13244" s="2" t="s">
        <v>13244</v>
      </c>
      <c r="B13244" s="2" t="str">
        <f>IFERROR(__xludf.DUMMYFUNCTION("GOOGLETRANSLATE(A13244, ""en"", ""mt"")"),"Doctor Who fl-aħħar irritorna bl-episodju ""Rose"" fuq BBC One fis-26 ta 'Marzu 2005. Minn dakinhar kien hemm disa' serje oħra fl-2006-2008 u l-2010-2015, u l-ispeċjalitajiet tal-Jum tal-Milied kull sena mill-2005. L-ebda serje sħiħa ma ġiet iffilmjata fl"&amp;"-2009 , għalkemm saru erba 'speċjali addizzjonali bi David Tennant. Fl-2010, Steven Moffat ħa post Davies bħala kittieb ewlieni u produttur eżekuttiv. F'Jannar 2016, Moffat ħabbar li se jnaqqas wara l-finali tal-2017, li għandu jiġi sostitwit minn Chris C"&amp;"hibnall fl-2018. Barra minn hekk, is-Serje 10 se tiddebutta fir-Rebbiegħa 2017, bi xandira speċjali tal-Milied fl-2016.")</f>
        <v>Doctor Who fl-aħħar irritorna bl-episodju "Rose" fuq BBC One fis-26 ta 'Marzu 2005. Minn dakinhar kien hemm disa' serje oħra fl-2006-2008 u l-2010-2015, u l-ispeċjalitajiet tal-Jum tal-Milied kull sena mill-2005. L-ebda serje sħiħa ma ġiet iffilmjata fl-2009 , għalkemm saru erba 'speċjali addizzjonali bi David Tennant. Fl-2010, Steven Moffat ħa post Davies bħala kittieb ewlieni u produttur eżekuttiv. F'Jannar 2016, Moffat ħabbar li se jnaqqas wara l-finali tal-2017, li għandu jiġi sostitwit minn Chris Chibnall fl-2018. Barra minn hekk, is-Serje 10 se tiddebutta fir-Rebbiegħa 2017, bi xandira speċjali tal-Milied fl-2016.</v>
      </c>
    </row>
    <row r="13245" ht="15.75" customHeight="1">
      <c r="A13245" s="2" t="s">
        <v>13245</v>
      </c>
      <c r="B13245" s="2" t="str">
        <f>IFERROR(__xludf.DUMMYFUNCTION("GOOGLETRANSLATE(A13245, ""en"", ""mt"")"),"Neo-Confucianism u ddedika lilu nnifsu wkoll fil-Buddiżmu")</f>
        <v>Neo-Confucianism u ddedika lilu nnifsu wkoll fil-Buddiżmu</v>
      </c>
    </row>
    <row r="13246" ht="15.75" customHeight="1">
      <c r="A13246" s="2" t="s">
        <v>13246</v>
      </c>
      <c r="B13246" s="2" t="str">
        <f>IFERROR(__xludf.DUMMYFUNCTION("GOOGLETRANSLATE(A13246, ""en"", ""mt"")"),"Terra Preta (Dinja l-Iswed), li hija mqassma fuq żoni kbar fil-foresta tal-Amażonja, issa hija aċċettata b'mod wiesa 'bħala prodott ta' ġestjoni indiġena tal-ħamrija. L-iżvilupp ta 'din il-ħamrija fertili ppermetta l-agrikoltura u s-silvikultura fl-ambjen"&amp;"t li qabel kien ostili; Fis-sens li porzjonijiet kbar tal-foresta tropikali tal-Amażonja huma probabbilment ir-riżultat ta 'sekli ta' ġestjoni tal-bniedem, aktar milli jseħħu b'mod naturali kif suppost kien suppost. Fir-reġjun tat-tribù Xingu, il-fdalijie"&amp;"t ta 'wħud minn dawn l-insedjamenti kbar f'nofs il-foresta tal-Amażonja nstabu fl-2003 minn Michael Heckenberger u l-kollegi tal-Università ta' Florida. Fost dawk kien hemm evidenza ta 'toroq, pontijiet u pjazi kbar.")</f>
        <v>Terra Preta (Dinja l-Iswed), li hija mqassma fuq żoni kbar fil-foresta tal-Amażonja, issa hija aċċettata b'mod wiesa 'bħala prodott ta' ġestjoni indiġena tal-ħamrija. L-iżvilupp ta 'din il-ħamrija fertili ppermetta l-agrikoltura u s-silvikultura fl-ambjent li qabel kien ostili; Fis-sens li porzjonijiet kbar tal-foresta tropikali tal-Amażonja huma probabbilment ir-riżultat ta 'sekli ta' ġestjoni tal-bniedem, aktar milli jseħħu b'mod naturali kif suppost kien suppost. Fir-reġjun tat-tribù Xingu, il-fdalijiet ta 'wħud minn dawn l-insedjamenti kbar f'nofs il-foresta tal-Amażonja nstabu fl-2003 minn Michael Heckenberger u l-kollegi tal-Università ta' Florida. Fost dawk kien hemm evidenza ta 'toroq, pontijiet u pjazi kbar.</v>
      </c>
    </row>
    <row r="13247" ht="15.75" customHeight="1">
      <c r="A13247" s="2" t="s">
        <v>13247</v>
      </c>
      <c r="B13247" s="2" t="str">
        <f>IFERROR(__xludf.DUMMYFUNCTION("GOOGLETRANSLATE(A13247, ""en"", ""mt"")"),"Liema grad issa huwa obbligatorju fl-Istati Uniti sabiex ikun spiżjar liċenzjat?")</f>
        <v>Liema grad issa huwa obbligatorju fl-Istati Uniti sabiex ikun spiżjar liċenzjat?</v>
      </c>
    </row>
    <row r="13248" ht="15.75" customHeight="1">
      <c r="A13248" s="2" t="s">
        <v>13248</v>
      </c>
      <c r="B13248" s="2" t="str">
        <f>IFERROR(__xludf.DUMMYFUNCTION("GOOGLETRANSLATE(A13248, ""en"", ""mt"")"),"Jacksonville")</f>
        <v>Jacksonville</v>
      </c>
    </row>
    <row r="13249" ht="15.75" customHeight="1">
      <c r="A13249" s="2" t="s">
        <v>13249</v>
      </c>
      <c r="B13249" s="2" t="str">
        <f>IFERROR(__xludf.DUMMYFUNCTION("GOOGLETRANSLATE(A13249, ""en"", ""mt"")"),"Gwerra Dinjija I,")</f>
        <v>Gwerra Dinjija I,</v>
      </c>
    </row>
    <row r="13250" ht="15.75" customHeight="1">
      <c r="A13250" s="2" t="s">
        <v>13250</v>
      </c>
      <c r="B13250" s="2" t="str">
        <f>IFERROR(__xludf.DUMMYFUNCTION("GOOGLETRANSLATE(A13250, ""en"", ""mt"")"),"X'għandhom jużaw il-verżjonijiet aktar tard tal-innu talb tal-Mulej?")</f>
        <v>X'għandhom jużaw il-verżjonijiet aktar tard tal-innu talb tal-Mulej?</v>
      </c>
    </row>
    <row r="13251" ht="15.75" customHeight="1">
      <c r="A13251" s="2" t="s">
        <v>13251</v>
      </c>
      <c r="B13251" s="2" t="str">
        <f>IFERROR(__xludf.DUMMYFUNCTION("GOOGLETRANSLATE(A13251, ""en"", ""mt"")"),"L-ewwel referenza storika għal Varsavja tmur lura għas-sena 1313, fi żmien meta Kraków serva bħala l-belt kapitali Pollakka. Minħabba l-lok ċentrali tagħha bejn il-kapitali Pollakki-Litwani tal-Commonwealth ta 'Kraków u Vilnius, Varsav It-tielet diviżjoni"&amp;" tal-Polonja fl-1795, Varsavja ġiet inkorporata fir-Renju tal-Prussja. Fl-1806 matul il-Gwerer Napoloniċi, il-belt saret il-kapitali uffiċjali tal-Gran Dukat ta ’Varsavja, stat ta’ pupazzi tal-ewwel imperu Franċiż stabbilit minn Napoleon Bonaparte. Skond "&amp;"id-deċiżjonijiet tal-Kungress ta 'Vjenna, l-Imperu Russu annessa Varsavja fl-1815 u sar parti mir- ""Renju tal-Kungress"". Fl-1918 biss kisbet l-indipendenza mir-regola barranija u ħarġet bħala kapitali ġdida tar-Repubblika Indipendenti tal-Polonja. L-inv"&amp;"ażjoni Ġermaniża fl-1939, il-massakru tal-popolazzjoni Lhudija u d-deportazzjonijiet għall-kampijiet tal-konċentrament wasslu għar-rewwixta fil-ghetto ta 'Varsav ""Minħabba li baqa 'ħaj ħafna gwerer, kunflitti u invażjonijiet matul l-istorja twila tiegħu."&amp;" L-iktar notevolment, il-belt kienet teħtieġ bini mill-ġdid iebes wara l-ħsara estensiva li sofriet fit-Tieni Gwerra Dinjija, li qerdet 85% tal-bini tagħha. Fid-9 ta 'Novembru 1940, il-belt ingħatat l-ogħla dekorazzjoni militari għall-eroiżmu tal-Polonja,"&amp;" il-militari VirtUti, waqt l-Assedju ta' Varsavja (1939).")</f>
        <v>L-ewwel referenza storika għal Varsavja tmur lura għas-sena 1313, fi żmien meta Kraków serva bħala l-belt kapitali Pollakka. Minħabba l-lok ċentrali tagħha bejn il-kapitali Pollakki-Litwani tal-Commonwealth ta 'Kraków u Vilnius, Varsav It-tielet diviżjoni tal-Polonja fl-1795, Varsavja ġiet inkorporata fir-Renju tal-Prussja. Fl-1806 matul il-Gwerer Napoloniċi, il-belt saret il-kapitali uffiċjali tal-Gran Dukat ta ’Varsavja, stat ta’ pupazzi tal-ewwel imperu Franċiż stabbilit minn Napoleon Bonaparte. Skond id-deċiżjonijiet tal-Kungress ta 'Vjenna, l-Imperu Russu annessa Varsavja fl-1815 u sar parti mir- "Renju tal-Kungress". Fl-1918 biss kisbet l-indipendenza mir-regola barranija u ħarġet bħala kapitali ġdida tar-Repubblika Indipendenti tal-Polonja. L-invażjoni Ġermaniża fl-1939, il-massakru tal-popolazzjoni Lhudija u d-deportazzjonijiet għall-kampijiet tal-konċentrament wasslu għar-rewwixta fil-ghetto ta 'Varsav "Minħabba li baqa 'ħaj ħafna gwerer, kunflitti u invażjonijiet matul l-istorja twila tiegħu. L-iktar notevolment, il-belt kienet teħtieġ bini mill-ġdid iebes wara l-ħsara estensiva li sofriet fit-Tieni Gwerra Dinjija, li qerdet 85% tal-bini tagħha. Fid-9 ta 'Novembru 1940, il-belt ingħatat l-ogħla dekorazzjoni militari għall-eroiżmu tal-Polonja, il-militari VirtUti, waqt l-Assedju ta' Varsavja (1939).</v>
      </c>
    </row>
    <row r="13252" ht="15.75" customHeight="1">
      <c r="A13252" s="2" t="s">
        <v>13252</v>
      </c>
      <c r="B13252" s="2" t="str">
        <f>IFERROR(__xludf.DUMMYFUNCTION("GOOGLETRANSLATE(A13252, ""en"", ""mt"")"),"Fuq liema kalendarju Ingliż huwa kkommemorat Luther?")</f>
        <v>Fuq liema kalendarju Ingliż huwa kkommemorat Luther?</v>
      </c>
    </row>
    <row r="13253" ht="15.75" customHeight="1">
      <c r="A13253" s="2" t="s">
        <v>13253</v>
      </c>
      <c r="B13253" s="2" t="str">
        <f>IFERROR(__xludf.DUMMYFUNCTION("GOOGLETRANSLATE(A13253, ""en"", ""mt"")"),"Fejn normalment jinstab il-kloroplast periferali tar-retikolu?")</f>
        <v>Fejn normalment jinstab il-kloroplast periferali tar-retikolu?</v>
      </c>
    </row>
    <row r="13254" ht="15.75" customHeight="1">
      <c r="A13254" s="2" t="s">
        <v>13254</v>
      </c>
      <c r="B13254" s="2" t="str">
        <f>IFERROR(__xludf.DUMMYFUNCTION("GOOGLETRANSLATE(A13254, ""en"", ""mt"")"),"attiv")</f>
        <v>attiv</v>
      </c>
    </row>
    <row r="13255" ht="15.75" customHeight="1">
      <c r="A13255" s="2" t="s">
        <v>13255</v>
      </c>
      <c r="B13255" s="2" t="str">
        <f>IFERROR(__xludf.DUMMYFUNCTION("GOOGLETRANSLATE(A13255, ""en"", ""mt"")"),"Paul Samuelson")</f>
        <v>Paul Samuelson</v>
      </c>
    </row>
    <row r="13256" ht="15.75" customHeight="1">
      <c r="A13256" s="2" t="s">
        <v>13256</v>
      </c>
      <c r="B13256" s="2" t="str">
        <f>IFERROR(__xludf.DUMMYFUNCTION("GOOGLETRANSLATE(A13256, ""en"", ""mt"")"),"Los Angeles (bi 3.7 miljun persuna) u San Diego (f'1.3 miljun persuna), it-tnejn fin-Nofsinhar ta 'California, huma l-akbar żewġ bliet fil-Kalifornja kollha (u tnejn mill-ikbar bliet fl-Istati Uniti). Fin-Nofsinhar ta ’California hemm ukoll tnax-il belt b"&amp;"’aktar minn 200,000 resident u 34 belt’ il fuq minn 100,000 f’popolazzjoni. Ħafna mill-ibliet l-iktar żviluppati tan-Nofsinhar ta 'California jinsabu tul jew viċin il-kosta, bl-eċċezzjoni ta' San Bernardino u Riverside.")</f>
        <v>Los Angeles (bi 3.7 miljun persuna) u San Diego (f'1.3 miljun persuna), it-tnejn fin-Nofsinhar ta 'California, huma l-akbar żewġ bliet fil-Kalifornja kollha (u tnejn mill-ikbar bliet fl-Istati Uniti). Fin-Nofsinhar ta ’California hemm ukoll tnax-il belt b’aktar minn 200,000 resident u 34 belt’ il fuq minn 100,000 f’popolazzjoni. Ħafna mill-ibliet l-iktar żviluppati tan-Nofsinhar ta 'California jinsabu tul jew viċin il-kosta, bl-eċċezzjoni ta' San Bernardino u Riverside.</v>
      </c>
    </row>
    <row r="13257" ht="15.75" customHeight="1">
      <c r="A13257" s="2" t="s">
        <v>13257</v>
      </c>
      <c r="B13257" s="2" t="str">
        <f>IFERROR(__xludf.DUMMYFUNCTION("GOOGLETRANSLATE(A13257, ""en"", ""mt"")"),"Meta kienu l-elezzjonijiet li pproduċew vot ogħla minn simpatizzanti Protestanti Nażisti milli mill-Kattoliċi?")</f>
        <v>Meta kienu l-elezzjonijiet li pproduċew vot ogħla minn simpatizzanti Protestanti Nażisti milli mill-Kattoliċi?</v>
      </c>
    </row>
    <row r="13258" ht="15.75" customHeight="1">
      <c r="A13258" s="2" t="s">
        <v>13258</v>
      </c>
      <c r="B13258" s="2" t="str">
        <f>IFERROR(__xludf.DUMMYFUNCTION("GOOGLETRANSLATE(A13258, ""en"", ""mt"")"),"Evoluzzjoni tal-lingwa Ġermaniża")</f>
        <v>Evoluzzjoni tal-lingwa Ġermaniża</v>
      </c>
    </row>
    <row r="13259" ht="15.75" customHeight="1">
      <c r="A13259" s="2" t="s">
        <v>13259</v>
      </c>
      <c r="B13259" s="2" t="str">
        <f>IFERROR(__xludf.DUMMYFUNCTION("GOOGLETRANSLATE(A13259, ""en"", ""mt"")"),"Liema spettaklu ieħor ta 'nofs il-ħin ta' mistrieħ ingħaqad ma 'Coldplay u Beyoncé għall-ispettaklu tas-Super Bowl 50 f'ħin il-mistrieħ?")</f>
        <v>Liema spettaklu ieħor ta 'nofs il-ħin ta' mistrieħ ingħaqad ma 'Coldplay u Beyoncé għall-ispettaklu tas-Super Bowl 50 f'ħin il-mistrieħ?</v>
      </c>
    </row>
    <row r="13260" ht="15.75" customHeight="1">
      <c r="A13260" s="2" t="s">
        <v>13260</v>
      </c>
      <c r="B13260" s="2" t="str">
        <f>IFERROR(__xludf.DUMMYFUNCTION("GOOGLETRANSLATE(A13260, ""en"", ""mt"")"),"Kemm xita fis-sena Fresno tikseb bħala medja?")</f>
        <v>Kemm xita fis-sena Fresno tikseb bħala medja?</v>
      </c>
    </row>
    <row r="13261" ht="15.75" customHeight="1">
      <c r="A13261" s="2" t="s">
        <v>13261</v>
      </c>
      <c r="B13261" s="2" t="str">
        <f>IFERROR(__xludf.DUMMYFUNCTION("GOOGLETRANSLATE(A13261, ""en"", ""mt"")"),"X'inhu eżempju ta 'mediċina immunosoppressiva li tipprevjeni l-attività taċ-ċelluli T billi tbiddel il-mogħdijiet ta' transduzzjoni tas-sinjal?")</f>
        <v>X'inhu eżempju ta 'mediċina immunosoppressiva li tipprevjeni l-attività taċ-ċelluli T billi tbiddel il-mogħdijiet ta' transduzzjoni tas-sinjal?</v>
      </c>
    </row>
    <row r="13262" ht="15.75" customHeight="1">
      <c r="A13262" s="2" t="s">
        <v>13262</v>
      </c>
      <c r="B13262" s="2" t="str">
        <f>IFERROR(__xludf.DUMMYFUNCTION("GOOGLETRANSLATE(A13262, ""en"", ""mt"")"),"Meta ħadu l-moll tad-distributuri ewlenin tar-Rhine?")</f>
        <v>Meta ħadu l-moll tad-distributuri ewlenin tar-Rhine?</v>
      </c>
    </row>
    <row r="13263" ht="15.75" customHeight="1">
      <c r="A13263" s="2" t="s">
        <v>13263</v>
      </c>
      <c r="B13263" s="2" t="str">
        <f>IFERROR(__xludf.DUMMYFUNCTION("GOOGLETRANSLATE(A13263, ""en"", ""mt"")"),"39")</f>
        <v>39</v>
      </c>
    </row>
    <row r="13264" ht="15.75" customHeight="1">
      <c r="A13264" s="2" t="s">
        <v>13264</v>
      </c>
      <c r="B13264" s="2" t="str">
        <f>IFERROR(__xludf.DUMMYFUNCTION("GOOGLETRANSLATE(A13264, ""en"", ""mt"")"),"C1750")</f>
        <v>C1750</v>
      </c>
    </row>
    <row r="13265" ht="15.75" customHeight="1">
      <c r="A13265" s="2" t="s">
        <v>13265</v>
      </c>
      <c r="B13265" s="2" t="str">
        <f>IFERROR(__xludf.DUMMYFUNCTION("GOOGLETRANSLATE(A13265, ""en"", ""mt"")"),"Chebyshev")</f>
        <v>Chebyshev</v>
      </c>
    </row>
    <row r="13266" ht="15.75" customHeight="1">
      <c r="A13266" s="2" t="s">
        <v>13266</v>
      </c>
      <c r="B13266" s="2" t="str">
        <f>IFERROR(__xludf.DUMMYFUNCTION("GOOGLETRANSLATE(A13266, ""en"", ""mt"")"),"L-ewwel serje tal-programm, tifel li ma jinstabx, juri li t-tabib għandu neputija, Susan Foreman. Fis-serje tal-1967, il-qabar taċ-Ċibermen, meta Victoria Waterfield tiddubita li t-tabib jista 'jiftakar lill-familja tiegħu minħabba, ""li huwa daqshekk ant"&amp;"ik"", it-tabib jgħid li jista' meta verament irid - ""il-kumplament tal-ħin li jorqdu fih Moħħi"". Is-serje tal-2005 tiżvela li d-disa 'tabib ħaseb li kien l-aħħar żmien li għadu ħaj, u li l-pjaneta tad-dar tiegħu kienet inqerdet; F '""The Empty Child"" ("&amp;"2005), Dr Constantine jiddikjara li, ""qabel ma bdiet il-gwerra, jien kont missier u nannu. Issa jien la."" It-tabib jirrimarka bi tweġiba, ""Iva, naf is-sentiment."" F '""Smith and Jones"" (2007), meta mistoqsi jekk kellux ħu, huwa wieġeb, ""Le, mhux akt"&amp;"ar."" Kemm fil-biża 'tagħha (2006) kif ukoll ""The Doctor's Bint"" (2008), huwa jiddikjara li kien, fil-passat, kien missier.")</f>
        <v>L-ewwel serje tal-programm, tifel li ma jinstabx, juri li t-tabib għandu neputija, Susan Foreman. Fis-serje tal-1967, il-qabar taċ-Ċibermen, meta Victoria Waterfield tiddubita li t-tabib jista 'jiftakar lill-familja tiegħu minħabba, "li huwa daqshekk antik", it-tabib jgħid li jista' meta verament irid - "il-kumplament tal-ħin li jorqdu fih Moħħi". Is-serje tal-2005 tiżvela li d-disa 'tabib ħaseb li kien l-aħħar żmien li għadu ħaj, u li l-pjaneta tad-dar tiegħu kienet inqerdet; F '"The Empty Child" (2005), Dr Constantine jiddikjara li, "qabel ma bdiet il-gwerra, jien kont missier u nannu. Issa jien la." It-tabib jirrimarka bi tweġiba, "Iva, naf is-sentiment." F '"Smith and Jones" (2007), meta mistoqsi jekk kellux ħu, huwa wieġeb, "Le, mhux aktar." Kemm fil-biża 'tagħha (2006) kif ukoll "The Doctor's Bint" (2008), huwa jiddikjara li kien, fil-passat, kien missier.</v>
      </c>
    </row>
    <row r="13267" ht="15.75" customHeight="1">
      <c r="A13267" s="2" t="s">
        <v>13267</v>
      </c>
      <c r="B13267" s="2" t="str">
        <f>IFERROR(__xludf.DUMMYFUNCTION("GOOGLETRANSLATE(A13267, ""en"", ""mt"")"),"Harvard")</f>
        <v>Harvard</v>
      </c>
    </row>
    <row r="13268" ht="15.75" customHeight="1">
      <c r="A13268" s="2" t="s">
        <v>13268</v>
      </c>
      <c r="B13268" s="2" t="str">
        <f>IFERROR(__xludf.DUMMYFUNCTION("GOOGLETRANSLATE(A13268, ""en"", ""mt"")"),"skejjel tal-gvern li qabel kienu riservati għal tfal bojod")</f>
        <v>skejjel tal-gvern li qabel kienu riservati għal tfal bojod</v>
      </c>
    </row>
    <row r="13269" ht="15.75" customHeight="1">
      <c r="A13269" s="2" t="s">
        <v>13269</v>
      </c>
      <c r="B13269" s="2" t="str">
        <f>IFERROR(__xludf.DUMMYFUNCTION("GOOGLETRANSLATE(A13269, ""en"", ""mt"")"),"sa erba 'minuti")</f>
        <v>sa erba 'minuti</v>
      </c>
    </row>
    <row r="13270" ht="15.75" customHeight="1">
      <c r="A13270" s="2" t="s">
        <v>13270</v>
      </c>
      <c r="B13270" s="2" t="str">
        <f>IFERROR(__xludf.DUMMYFUNCTION("GOOGLETRANSLATE(A13270, ""en"", ""mt"")"),"tilħaq postijiet mhux fuq in-netwerk privat")</f>
        <v>tilħaq postijiet mhux fuq in-netwerk privat</v>
      </c>
    </row>
    <row r="13271" ht="15.75" customHeight="1">
      <c r="A13271" s="2" t="s">
        <v>13271</v>
      </c>
      <c r="B13271" s="2" t="str">
        <f>IFERROR(__xludf.DUMMYFUNCTION("GOOGLETRANSLATE(A13271, ""en"", ""mt"")"),"10 darbiet")</f>
        <v>10 darbiet</v>
      </c>
    </row>
    <row r="13272" ht="15.75" customHeight="1">
      <c r="A13272" s="2" t="s">
        <v>13272</v>
      </c>
      <c r="B13272" s="2" t="str">
        <f>IFERROR(__xludf.DUMMYFUNCTION("GOOGLETRANSLATE(A13272, ""en"", ""mt"")"),"Liema korriment sofra Thomas Davis waqt il-logħob tal-playoff?")</f>
        <v>Liema korriment sofra Thomas Davis waqt il-logħob tal-playoff?</v>
      </c>
    </row>
    <row r="13273" ht="15.75" customHeight="1">
      <c r="A13273" s="2" t="s">
        <v>13273</v>
      </c>
      <c r="B13273" s="2" t="str">
        <f>IFERROR(__xludf.DUMMYFUNCTION("GOOGLETRANSLATE(A13273, ""en"", ""mt"")"),"""Bricks għal Varsavja""")</f>
        <v>"Bricks għal Varsavja"</v>
      </c>
    </row>
    <row r="13274" ht="15.75" customHeight="1">
      <c r="A13274" s="2" t="s">
        <v>13274</v>
      </c>
      <c r="B13274" s="2" t="str">
        <f>IFERROR(__xludf.DUMMYFUNCTION("GOOGLETRANSLATE(A13274, ""en"", ""mt"")"),"Knisja Metodista ta ’San Ġorġ Magħquda")</f>
        <v>Knisja Metodista ta ’San Ġorġ Magħquda</v>
      </c>
    </row>
    <row r="13275" ht="15.75" customHeight="1">
      <c r="A13275" s="2" t="s">
        <v>13275</v>
      </c>
      <c r="B13275" s="2" t="str">
        <f>IFERROR(__xludf.DUMMYFUNCTION("GOOGLETRANSLATE(A13275, ""en"", ""mt"")"),"Gateshead Music and Arts Centre")</f>
        <v>Gateshead Music and Arts Centre</v>
      </c>
    </row>
    <row r="13276" ht="15.75" customHeight="1">
      <c r="A13276" s="2" t="s">
        <v>13276</v>
      </c>
      <c r="B13276" s="2" t="str">
        <f>IFERROR(__xludf.DUMMYFUNCTION("GOOGLETRANSLATE(A13276, ""en"", ""mt"")"),"fiċ-Ċentru Moscone")</f>
        <v>fiċ-Ċentru Moscone</v>
      </c>
    </row>
    <row r="13277" ht="15.75" customHeight="1">
      <c r="A13277" s="2" t="s">
        <v>13277</v>
      </c>
      <c r="B13277" s="2" t="str">
        <f>IFERROR(__xludf.DUMMYFUNCTION("GOOGLETRANSLATE(A13277, ""en"", ""mt"")"),"Liema parti taċ-Ċina kellha nies ikklassifikati ogħla fis-sistema tal-klassi?")</f>
        <v>Liema parti taċ-Ċina kellha nies ikklassifikati ogħla fis-sistema tal-klassi?</v>
      </c>
    </row>
    <row r="13278" ht="15.75" customHeight="1">
      <c r="A13278" s="2" t="s">
        <v>13278</v>
      </c>
      <c r="B13278" s="2" t="str">
        <f>IFERROR(__xludf.DUMMYFUNCTION("GOOGLETRANSLATE(A13278, ""en"", ""mt"")"),"Qabel il-wasla ta 'Rollo, il-popolazzjonijiet tagħha ma kinux differenti minn Picardy jew mill-île-de-France, li kienu meqjusa ""Frankish"". Il-kolonizzaturi preċedenti tal-Viking kienu bdew jaslu fis-snin 880, iżda kienu maqsuma bejn kolonji fil-lvant (R"&amp;"oumois u Pays de Caux) madwar il-wied baxx ta 'Seine u fil-punent fil-peniżola ta' Cotentin, u kienu separati mill-pagii tradizzjonali, fejn il-popolazzjoni baqgħet madwar l-istess ma 'kważi l-ebda kolonizzaturi barranin. Il-kontinġenti ta 'Rollo li attak"&amp;"kaw u fl-aħħar stabbilixxew in-Normandija u partijiet tal-kosta tal-Atlantiku kienu jinkludu d-Daniżi, in-Norveġiżi, il-Gaels Norveġiżi, il-Vikingi ta' Orkney, possibbilment l-Iżvediżi, u l-Anglo-Danes mid-Danelaw Ingliż taħt il-kontroll tan-Norveġja.")</f>
        <v>Qabel il-wasla ta 'Rollo, il-popolazzjonijiet tagħha ma kinux differenti minn Picardy jew mill-île-de-France, li kienu meqjusa "Frankish". Il-kolonizzaturi preċedenti tal-Viking kienu bdew jaslu fis-snin 880, iżda kienu maqsuma bejn kolonji fil-lvant (Roumois u Pays de Caux) madwar il-wied baxx ta 'Seine u fil-punent fil-peniżola ta' Cotentin, u kienu separati mill-pagii tradizzjonali, fejn il-popolazzjoni baqgħet madwar l-istess ma 'kważi l-ebda kolonizzaturi barranin. Il-kontinġenti ta 'Rollo li attakkaw u fl-aħħar stabbilixxew in-Normandija u partijiet tal-kosta tal-Atlantiku kienu jinkludu d-Daniżi, in-Norveġiżi, il-Gaels Norveġiżi, il-Vikingi ta' Orkney, possibbilment l-Iżvediżi, u l-Anglo-Danes mid-Danelaw Ingliż taħt il-kontroll tan-Norveġja.</v>
      </c>
    </row>
    <row r="13279" ht="15.75" customHeight="1">
      <c r="A13279" s="2" t="s">
        <v>13279</v>
      </c>
      <c r="B13279" s="2" t="str">
        <f>IFERROR(__xludf.DUMMYFUNCTION("GOOGLETRANSLATE(A13279, ""en"", ""mt"")"),"Liema reliġjonijiet Protestanti għamlu kontej tal-Ewropa tat-Tramuntana siguri għall-immigrazzjoni Huguenot?")</f>
        <v>Liema reliġjonijiet Protestanti għamlu kontej tal-Ewropa tat-Tramuntana siguri għall-immigrazzjoni Huguenot?</v>
      </c>
    </row>
    <row r="13280" ht="15.75" customHeight="1">
      <c r="A13280" s="2" t="s">
        <v>13280</v>
      </c>
      <c r="B13280" s="2" t="str">
        <f>IFERROR(__xludf.DUMMYFUNCTION("GOOGLETRANSLATE(A13280, ""en"", ""mt"")"),"Liema bargain għamel miegħu missieru jekk Tesla rkuprat?")</f>
        <v>Liema bargain għamel miegħu missieru jekk Tesla rkuprat?</v>
      </c>
    </row>
    <row r="13281" ht="15.75" customHeight="1">
      <c r="A13281" s="2" t="s">
        <v>13281</v>
      </c>
      <c r="B13281" s="2" t="str">
        <f>IFERROR(__xludf.DUMMYFUNCTION("GOOGLETRANSLATE(A13281, ""en"", ""mt"")"),"Il-liġi tat-trasport tippermetti lill-inġenji tal-ajru personali jaqsmu t-toroq ma 'xiex?")</f>
        <v>Il-liġi tat-trasport tippermetti lill-inġenji tal-ajru personali jaqsmu t-toroq ma 'xiex?</v>
      </c>
    </row>
    <row r="13282" ht="15.75" customHeight="1">
      <c r="A13282" s="2" t="s">
        <v>13282</v>
      </c>
      <c r="B13282" s="2" t="str">
        <f>IFERROR(__xludf.DUMMYFUNCTION("GOOGLETRANSLATE(A13282, ""en"", ""mt"")"),"Minn fejn huma reklutati l-għalliema?")</f>
        <v>Minn fejn huma reklutati l-għalliema?</v>
      </c>
    </row>
    <row r="13283" ht="15.75" customHeight="1">
      <c r="A13283" s="2" t="s">
        <v>13283</v>
      </c>
      <c r="B13283" s="2" t="str">
        <f>IFERROR(__xludf.DUMMYFUNCTION("GOOGLETRANSLATE(A13283, ""en"", ""mt"")"),"Liema Stadium ta 'New Orleans kien ikkunsidrat għas-Super Bowl 50?")</f>
        <v>Liema Stadium ta 'New Orleans kien ikkunsidrat għas-Super Bowl 50?</v>
      </c>
    </row>
    <row r="13284" ht="15.75" customHeight="1">
      <c r="A13284" s="2" t="s">
        <v>13284</v>
      </c>
      <c r="B13284" s="2" t="str">
        <f>IFERROR(__xludf.DUMMYFUNCTION("GOOGLETRANSLATE(A13284, ""en"", ""mt"")"),"X'kien it-twemmin ta 'Tesla dwar il-prezz tal-bejgħ tal-biplan?")</f>
        <v>X'kien it-twemmin ta 'Tesla dwar il-prezz tal-bejgħ tal-biplan?</v>
      </c>
    </row>
    <row r="13285" ht="15.75" customHeight="1">
      <c r="A13285" s="2" t="s">
        <v>13285</v>
      </c>
      <c r="B13285" s="2" t="str">
        <f>IFERROR(__xludf.DUMMYFUNCTION("GOOGLETRANSLATE(A13285, ""en"", ""mt"")"),"Strajk minn liema entità rriżulta fi waqfien għall-produzzjoni għal programmi tan-netwerk fl-istaġun 2007-2008?")</f>
        <v>Strajk minn liema entità rriżulta fi waqfien għall-produzzjoni għal programmi tan-netwerk fl-istaġun 2007-2008?</v>
      </c>
    </row>
    <row r="13286" ht="15.75" customHeight="1">
      <c r="A13286" s="2" t="s">
        <v>13286</v>
      </c>
      <c r="B13286" s="2" t="str">
        <f>IFERROR(__xludf.DUMMYFUNCTION("GOOGLETRANSLATE(A13286, ""en"", ""mt"")"),"F’liema sena ġie elett Henry Ware fuq il-President?")</f>
        <v>F’liema sena ġie elett Henry Ware fuq il-President?</v>
      </c>
    </row>
    <row r="13287" ht="15.75" customHeight="1">
      <c r="A13287" s="2" t="s">
        <v>13287</v>
      </c>
      <c r="B13287" s="2" t="str">
        <f>IFERROR(__xludf.DUMMYFUNCTION("GOOGLETRANSLATE(A13287, ""en"", ""mt"")"),"Liema organizzazzjoni kompliet tkun forza ta 'tfixkil kbira fil-Palestina?")</f>
        <v>Liema organizzazzjoni kompliet tkun forza ta 'tfixkil kbira fil-Palestina?</v>
      </c>
    </row>
    <row r="13288" ht="15.75" customHeight="1">
      <c r="A13288" s="2" t="s">
        <v>13288</v>
      </c>
      <c r="B13288" s="2" t="str">
        <f>IFERROR(__xludf.DUMMYFUNCTION("GOOGLETRANSLATE(A13288, ""en"", ""mt"")"),"Iċ-ċelloli dendritiċi jippreżentaw antiġeni għal liema ċelloli tas-sistema nervuża adattiva?")</f>
        <v>Iċ-ċelloli dendritiċi jippreżentaw antiġeni għal liema ċelloli tas-sistema nervuża adattiva?</v>
      </c>
    </row>
    <row r="13289" ht="15.75" customHeight="1">
      <c r="A13289" s="2" t="s">
        <v>13289</v>
      </c>
      <c r="B13289" s="2" t="str">
        <f>IFERROR(__xludf.DUMMYFUNCTION("GOOGLETRANSLATE(A13289, ""en"", ""mt"")"),"Liema direzzjonijiet il-knisja lokali toffri preparazzjoni tas-sħubija lin-nies kollha?")</f>
        <v>Liema direzzjonijiet il-knisja lokali toffri preparazzjoni tas-sħubija lin-nies kollha?</v>
      </c>
    </row>
    <row r="13290" ht="15.75" customHeight="1">
      <c r="A13290" s="2" t="s">
        <v>13290</v>
      </c>
      <c r="B13290" s="2" t="str">
        <f>IFERROR(__xludf.DUMMYFUNCTION("GOOGLETRANSLATE(A13290, ""en"", ""mt"")"),"Fejn jibda l-kejl tax-Xmara Rhine?")</f>
        <v>Fejn jibda l-kejl tax-Xmara Rhine?</v>
      </c>
    </row>
    <row r="13291" ht="15.75" customHeight="1">
      <c r="A13291" s="2" t="s">
        <v>13291</v>
      </c>
      <c r="B13291" s="2" t="str">
        <f>IFERROR(__xludf.DUMMYFUNCTION("GOOGLETRANSLATE(A13291, ""en"", ""mt"")"),"Virginia fin-Nofsinhar lejn in-Nova Scotia fit-Tramuntana")</f>
        <v>Virginia fin-Nofsinhar lejn in-Nova Scotia fit-Tramuntana</v>
      </c>
    </row>
    <row r="13292" ht="15.75" customHeight="1">
      <c r="A13292" s="2" t="s">
        <v>13292</v>
      </c>
      <c r="B13292" s="2" t="str">
        <f>IFERROR(__xludf.DUMMYFUNCTION("GOOGLETRANSLATE(A13292, ""en"", ""mt"")"),"Meta Wesley ħatar lil Thomas Coke bħala Isqof?")</f>
        <v>Meta Wesley ħatar lil Thomas Coke bħala Isqof?</v>
      </c>
    </row>
    <row r="13293" ht="15.75" customHeight="1">
      <c r="A13293" s="2" t="s">
        <v>13293</v>
      </c>
      <c r="B13293" s="2" t="str">
        <f>IFERROR(__xludf.DUMMYFUNCTION("GOOGLETRANSLATE(A13293, ""en"", ""mt"")"),"Valv mgħobbi bir-rebbiegħa aġġustabbli")</f>
        <v>Valv mgħobbi bir-rebbiegħa aġġustabbli</v>
      </c>
    </row>
    <row r="13294" ht="15.75" customHeight="1">
      <c r="A13294" s="2" t="s">
        <v>13294</v>
      </c>
      <c r="B13294" s="2" t="str">
        <f>IFERROR(__xludf.DUMMYFUNCTION("GOOGLETRANSLATE(A13294, ""en"", ""mt"")"),"Meta bdew il-ġkieket u l-kpiepel tal-ġenb meta jidhru logos mirquma bid-deheb?")</f>
        <v>Meta bdew il-ġkieket u l-kpiepel tal-ġenb meta jidhru logos mirquma bid-deheb?</v>
      </c>
    </row>
    <row r="13295" ht="15.75" customHeight="1">
      <c r="A13295" s="2" t="s">
        <v>13295</v>
      </c>
      <c r="B13295" s="2" t="str">
        <f>IFERROR(__xludf.DUMMYFUNCTION("GOOGLETRANSLATE(A13295, ""en"", ""mt"")"),"il-partijiet tan-Nofsinhar u Ċentrali ta 'Franza")</f>
        <v>il-partijiet tan-Nofsinhar u Ċentrali ta 'Franza</v>
      </c>
    </row>
    <row r="13296" ht="15.75" customHeight="1">
      <c r="A13296" s="2" t="s">
        <v>13296</v>
      </c>
      <c r="B13296" s="2" t="str">
        <f>IFERROR(__xludf.DUMMYFUNCTION("GOOGLETRANSLATE(A13296, ""en"", ""mt"")"),"Beyoncé")</f>
        <v>Beyoncé</v>
      </c>
    </row>
    <row r="13297" ht="15.75" customHeight="1">
      <c r="A13297" s="2" t="s">
        <v>13297</v>
      </c>
      <c r="B13297" s="2" t="str">
        <f>IFERROR(__xludf.DUMMYFUNCTION("GOOGLETRANSLATE(A13297, ""en"", ""mt"")"),"Janet Gray")</f>
        <v>Janet Gray</v>
      </c>
    </row>
    <row r="13298" ht="15.75" customHeight="1">
      <c r="A13298" s="2" t="s">
        <v>13298</v>
      </c>
      <c r="B13298" s="2" t="str">
        <f>IFERROR(__xludf.DUMMYFUNCTION("GOOGLETRANSLATE(A13298, ""en"", ""mt"")"),"X'inhu l-istazzjon ta 'enerġija baxxa li jservi Birmingham, Alabama għal ABC?")</f>
        <v>X'inhu l-istazzjon ta 'enerġija baxxa li jservi Birmingham, Alabama għal ABC?</v>
      </c>
    </row>
    <row r="13299" ht="15.75" customHeight="1">
      <c r="A13299" s="2" t="s">
        <v>13299</v>
      </c>
      <c r="B13299" s="2" t="str">
        <f>IFERROR(__xludf.DUMMYFUNCTION("GOOGLETRANSLATE(A13299, ""en"", ""mt"")"),"riżorsa tal-komputazzjoni")</f>
        <v>riżorsa tal-komputazzjoni</v>
      </c>
    </row>
    <row r="13300" ht="15.75" customHeight="1">
      <c r="A13300" s="2" t="s">
        <v>13300</v>
      </c>
      <c r="B13300" s="2" t="str">
        <f>IFERROR(__xludf.DUMMYFUNCTION("GOOGLETRANSLATE(A13300, ""en"", ""mt"")"),"Ħafna mudelli ta 'magni differenti mill-magni standard tat-Turing b'ħafna tape ġew proposti fil-letteratura, pereżempju magni ta' aċċess bl-addoċċ. Forsi sorprendentement, kull wieħed minn dawn il-mudelli jista 'jiġi kkonvertit għal ieħor mingħajr ma jipp"&amp;"rovdi saħħa tal-komputazzjoni żejda. Il-konsum tal-ħin u tal-memorja ta 'dawn il-mudelli alternattivi jista' jvarja. Dak li dawn il-mudelli kollha għandhom komuni huwa li l-magni joperaw b'mod determinanti.")</f>
        <v>Ħafna mudelli ta 'magni differenti mill-magni standard tat-Turing b'ħafna tape ġew proposti fil-letteratura, pereżempju magni ta' aċċess bl-addoċċ. Forsi sorprendentement, kull wieħed minn dawn il-mudelli jista 'jiġi kkonvertit għal ieħor mingħajr ma jipprovdi saħħa tal-komputazzjoni żejda. Il-konsum tal-ħin u tal-memorja ta 'dawn il-mudelli alternattivi jista' jvarja. Dak li dawn il-mudelli kollha għandhom komuni huwa li l-magni joperaw b'mod determinanti.</v>
      </c>
    </row>
    <row r="13301" ht="15.75" customHeight="1">
      <c r="A13301" s="2" t="s">
        <v>13301</v>
      </c>
      <c r="B13301" s="2" t="str">
        <f>IFERROR(__xludf.DUMMYFUNCTION("GOOGLETRANSLATE(A13301, ""en"", ""mt"")"),"X’tama li jsib taħt l-art?")</f>
        <v>X’tama li jsib taħt l-art?</v>
      </c>
    </row>
    <row r="13302" ht="15.75" customHeight="1">
      <c r="A13302" s="2" t="s">
        <v>13302</v>
      </c>
      <c r="B13302" s="2" t="str">
        <f>IFERROR(__xludf.DUMMYFUNCTION("GOOGLETRANSLATE(A13302, ""en"", ""mt"")"),"membri")</f>
        <v>membri</v>
      </c>
    </row>
    <row r="13303" ht="15.75" customHeight="1">
      <c r="A13303" s="2" t="s">
        <v>13303</v>
      </c>
      <c r="B13303" s="2" t="str">
        <f>IFERROR(__xludf.DUMMYFUNCTION("GOOGLETRANSLATE(A13303, ""en"", ""mt"")"),"kanal ciliary")</f>
        <v>kanal ciliary</v>
      </c>
    </row>
    <row r="13304" ht="15.75" customHeight="1">
      <c r="A13304" s="2" t="s">
        <v>13304</v>
      </c>
      <c r="B13304" s="2" t="str">
        <f>IFERROR(__xludf.DUMMYFUNCTION("GOOGLETRANSLATE(A13304, ""en"", ""mt"")"),"Taħlita ta 'ġestjoni fqira, diviżjonijiet interni, u scouts Kanadiżi effettivi, forzi regolari Franċiżi, u alleati tal-gwerriera Indjani")</f>
        <v>Taħlita ta 'ġestjoni fqira, diviżjonijiet interni, u scouts Kanadiżi effettivi, forzi regolari Franċiżi, u alleati tal-gwerriera Indjani</v>
      </c>
    </row>
    <row r="13305" ht="15.75" customHeight="1">
      <c r="A13305" s="2" t="s">
        <v>13305</v>
      </c>
      <c r="B13305" s="2" t="str">
        <f>IFERROR(__xludf.DUMMYFUNCTION("GOOGLETRANSLATE(A13305, ""en"", ""mt"")"),"Liema Team Di the Broncos jorbot rekord ta 'Super Bowl għal Sacks?")</f>
        <v>Liema Team Di the Broncos jorbot rekord ta 'Super Bowl għal Sacks?</v>
      </c>
    </row>
    <row r="13306" ht="15.75" customHeight="1">
      <c r="A13306" s="2" t="s">
        <v>13306</v>
      </c>
      <c r="B13306" s="2" t="str">
        <f>IFERROR(__xludf.DUMMYFUNCTION("GOOGLETRANSLATE(A13306, ""en"", ""mt"")"),"F'liema punt il-baċin tad-drenaġġ tal-Amażonja nqasam?")</f>
        <v>F'liema punt il-baċin tad-drenaġġ tal-Amażonja nqasam?</v>
      </c>
    </row>
    <row r="13307" ht="15.75" customHeight="1">
      <c r="A13307" s="2" t="s">
        <v>13307</v>
      </c>
      <c r="B13307" s="2" t="str">
        <f>IFERROR(__xludf.DUMMYFUNCTION("GOOGLETRANSLATE(A13307, ""en"", ""mt"")"),"Kloroplasti")</f>
        <v>Kloroplasti</v>
      </c>
    </row>
    <row r="13308" ht="15.75" customHeight="1">
      <c r="A13308" s="2" t="s">
        <v>13308</v>
      </c>
      <c r="B13308" s="2" t="str">
        <f>IFERROR(__xludf.DUMMYFUNCTION("GOOGLETRANSLATE(A13308, ""en"", ""mt"")"),"Min kellu Toghtogha pprova jegħleb?")</f>
        <v>Min kellu Toghtogha pprova jegħleb?</v>
      </c>
    </row>
    <row r="13309" ht="15.75" customHeight="1">
      <c r="A13309" s="2" t="s">
        <v>13309</v>
      </c>
      <c r="B13309" s="2" t="str">
        <f>IFERROR(__xludf.DUMMYFUNCTION("GOOGLETRANSLATE(A13309, ""en"", ""mt"")"),"platoon")</f>
        <v>platoon</v>
      </c>
    </row>
    <row r="13310" ht="15.75" customHeight="1">
      <c r="A13310" s="2" t="s">
        <v>13310</v>
      </c>
      <c r="B13310" s="2" t="str">
        <f>IFERROR(__xludf.DUMMYFUNCTION("GOOGLETRANSLATE(A13310, ""en"", ""mt"")"),"Pakkett ta 'strumenti xjentifiċi orbitali")</f>
        <v>Pakkett ta 'strumenti xjentifiċi orbitali</v>
      </c>
    </row>
    <row r="13311" ht="15.75" customHeight="1">
      <c r="A13311" s="2" t="s">
        <v>13311</v>
      </c>
      <c r="B13311" s="2" t="str">
        <f>IFERROR(__xludf.DUMMYFUNCTION("GOOGLETRANSLATE(A13311, ""en"", ""mt"")"),"Qatt kien hemm xi ħadd inkarigat li jimporta mediċini mill-Kanada għal użu mediċinali personali?")</f>
        <v>Qatt kien hemm xi ħadd inkarigat li jimporta mediċini mill-Kanada għal użu mediċinali personali?</v>
      </c>
    </row>
    <row r="13312" ht="15.75" customHeight="1">
      <c r="A13312" s="2" t="s">
        <v>13312</v>
      </c>
      <c r="B13312" s="2" t="str">
        <f>IFERROR(__xludf.DUMMYFUNCTION("GOOGLETRANSLATE(A13312, ""en"", ""mt"")"),"X'kien ir-rwol ta 'Martin Parry fl-IPCC?")</f>
        <v>X'kien ir-rwol ta 'Martin Parry fl-IPCC?</v>
      </c>
    </row>
    <row r="13313" ht="15.75" customHeight="1">
      <c r="A13313" s="2" t="s">
        <v>13313</v>
      </c>
      <c r="B13313" s="2" t="str">
        <f>IFERROR(__xludf.DUMMYFUNCTION("GOOGLETRANSLATE(A13313, ""en"", ""mt"")"),"Fejn skola privata tikseb fondi biex topera?")</f>
        <v>Fejn skola privata tikseb fondi biex topera?</v>
      </c>
    </row>
    <row r="13314" ht="15.75" customHeight="1">
      <c r="A13314" s="2" t="s">
        <v>13314</v>
      </c>
      <c r="B13314" s="2" t="str">
        <f>IFERROR(__xludf.DUMMYFUNCTION("GOOGLETRANSLATE(A13314, ""en"", ""mt"")"),"""Beating the Odds: The Untold Story Behind The Rise of ABC""")</f>
        <v>"Beating the Odds: The Untold Story Behind The Rise of ABC"</v>
      </c>
    </row>
    <row r="13315" ht="15.75" customHeight="1">
      <c r="A13315" s="2" t="s">
        <v>13315</v>
      </c>
      <c r="B13315" s="2" t="str">
        <f>IFERROR(__xludf.DUMMYFUNCTION("GOOGLETRANSLATE(A13315, ""en"", ""mt"")"),"$ 20.4 biljun")</f>
        <v>$ 20.4 biljun</v>
      </c>
    </row>
    <row r="13316" ht="15.75" customHeight="1">
      <c r="A13316" s="2" t="s">
        <v>13316</v>
      </c>
      <c r="B13316" s="2" t="str">
        <f>IFERROR(__xludf.DUMMYFUNCTION("GOOGLETRANSLATE(A13316, ""en"", ""mt"")"),"Min l-Istati Uniti pprovdew għajnuna lil, biex jiġġieldu kontra l-Unjoni Sovjetika?")</f>
        <v>Min l-Istati Uniti pprovdew għajnuna lil, biex jiġġieldu kontra l-Unjoni Sovjetika?</v>
      </c>
    </row>
    <row r="13317" ht="15.75" customHeight="1">
      <c r="A13317" s="2" t="s">
        <v>13317</v>
      </c>
      <c r="B13317" s="2" t="str">
        <f>IFERROR(__xludf.DUMMYFUNCTION("GOOGLETRANSLATE(A13317, ""en"", ""mt"")"),"diżubbidjenza ġenerali")</f>
        <v>diżubbidjenza ġenerali</v>
      </c>
    </row>
    <row r="13318" ht="15.75" customHeight="1">
      <c r="A13318" s="2" t="s">
        <v>13318</v>
      </c>
      <c r="B13318" s="2" t="str">
        <f>IFERROR(__xludf.DUMMYFUNCTION("GOOGLETRANSLATE(A13318, ""en"", ""mt"")"),"Marokk u Etjopja")</f>
        <v>Marokk u Etjopja</v>
      </c>
    </row>
    <row r="13319" ht="15.75" customHeight="1">
      <c r="A13319" s="2" t="s">
        <v>13319</v>
      </c>
      <c r="B13319" s="2" t="str">
        <f>IFERROR(__xludf.DUMMYFUNCTION("GOOGLETRANSLATE(A13319, ""en"", ""mt"")"),"il-mantell tal-konvetti")</f>
        <v>il-mantell tal-konvetti</v>
      </c>
    </row>
    <row r="13320" ht="15.75" customHeight="1">
      <c r="A13320" s="2" t="s">
        <v>13320</v>
      </c>
      <c r="B13320" s="2" t="str">
        <f>IFERROR(__xludf.DUMMYFUNCTION("GOOGLETRANSLATE(A13320, ""en"", ""mt"")"),"Il-biċċa l-kbira tal-imperjalizmu sar bl-użu ta 'liema metodu ta' trasport?")</f>
        <v>Il-biċċa l-kbira tal-imperjalizmu sar bl-użu ta 'liema metodu ta' trasport?</v>
      </c>
    </row>
    <row r="13321" ht="15.75" customHeight="1">
      <c r="A13321" s="2" t="s">
        <v>13321</v>
      </c>
      <c r="B13321" s="2" t="str">
        <f>IFERROR(__xludf.DUMMYFUNCTION("GOOGLETRANSLATE(A13321, ""en"", ""mt"")"),"X'inhi d-distanza minima bejn id-dar tal-pazjent u l-eqreb spiżerija li tippermetti lit-tabib jagħti medikazzjoni?")</f>
        <v>X'inhi d-distanza minima bejn id-dar tal-pazjent u l-eqreb spiżerija li tippermetti lit-tabib jagħti medikazzjoni?</v>
      </c>
    </row>
    <row r="13322" ht="15.75" customHeight="1">
      <c r="A13322" s="2" t="s">
        <v>13322</v>
      </c>
      <c r="B13322" s="2" t="str">
        <f>IFERROR(__xludf.DUMMYFUNCTION("GOOGLETRANSLATE(A13322, ""en"", ""mt"")"),"BSKYB Meta ħabbar l-intenzjoni li jissostitwixxi l-istazzjonijiet diġitali bla ħlas tiegħu?")</f>
        <v>BSKYB Meta ħabbar l-intenzjoni li jissostitwixxi l-istazzjonijiet diġitali bla ħlas tiegħu?</v>
      </c>
    </row>
    <row r="13323" ht="15.75" customHeight="1">
      <c r="A13323" s="2" t="s">
        <v>13323</v>
      </c>
      <c r="B13323" s="2" t="str">
        <f>IFERROR(__xludf.DUMMYFUNCTION("GOOGLETRANSLATE(A13323, ""en"", ""mt"")"),"Kamra tal-lukanda")</f>
        <v>Kamra tal-lukanda</v>
      </c>
    </row>
    <row r="13324" ht="15.75" customHeight="1">
      <c r="A13324" s="2" t="s">
        <v>13324</v>
      </c>
      <c r="B13324" s="2" t="str">
        <f>IFERROR(__xludf.DUMMYFUNCTION("GOOGLETRANSLATE(A13324, ""en"", ""mt"")"),"Meta l-President Uhuru Kenyatta ffirma Abbozz ta ’Liġi dwar l-Emenda tas-Sigurtà?")</f>
        <v>Meta l-President Uhuru Kenyatta ffirma Abbozz ta ’Liġi dwar l-Emenda tas-Sigurtà?</v>
      </c>
    </row>
    <row r="13325" ht="15.75" customHeight="1">
      <c r="A13325" s="2" t="s">
        <v>13325</v>
      </c>
      <c r="B13325" s="2" t="str">
        <f>IFERROR(__xludf.DUMMYFUNCTION("GOOGLETRANSLATE(A13325, ""en"", ""mt"")"),"Protesti illegali simboliċi")</f>
        <v>Protesti illegali simboliċi</v>
      </c>
    </row>
    <row r="13326" ht="15.75" customHeight="1">
      <c r="A13326" s="2" t="s">
        <v>13326</v>
      </c>
      <c r="B13326" s="2" t="str">
        <f>IFERROR(__xludf.DUMMYFUNCTION("GOOGLETRANSLATE(A13326, ""en"", ""mt"")"),"Maria Fold and Thrust Belt")</f>
        <v>Maria Fold and Thrust Belt</v>
      </c>
    </row>
    <row r="13327" ht="15.75" customHeight="1">
      <c r="A13327" s="2" t="s">
        <v>13327</v>
      </c>
      <c r="B13327" s="2" t="str">
        <f>IFERROR(__xludf.DUMMYFUNCTION("GOOGLETRANSLATE(A13327, ""en"", ""mt"")"),"Uni fl-Istati Uniti")</f>
        <v>Uni fl-Istati Uniti</v>
      </c>
    </row>
    <row r="13328" ht="15.75" customHeight="1">
      <c r="A13328" s="2" t="s">
        <v>13328</v>
      </c>
      <c r="B13328" s="2" t="str">
        <f>IFERROR(__xludf.DUMMYFUNCTION("GOOGLETRANSLATE(A13328, ""en"", ""mt"")"),"Qattiel t")</f>
        <v>Qattiel t</v>
      </c>
    </row>
    <row r="13329" ht="15.75" customHeight="1">
      <c r="A13329" s="2" t="s">
        <v>13329</v>
      </c>
      <c r="B13329" s="2" t="str">
        <f>IFERROR(__xludf.DUMMYFUNCTION("GOOGLETRANSLATE(A13329, ""en"", ""mt"")"),"Taqbad il-lobi tagħhom")</f>
        <v>Taqbad il-lobi tagħhom</v>
      </c>
    </row>
    <row r="13330" ht="15.75" customHeight="1">
      <c r="A13330" s="2" t="s">
        <v>13330</v>
      </c>
      <c r="B13330" s="2" t="str">
        <f>IFERROR(__xludf.DUMMYFUNCTION("GOOGLETRANSLATE(A13330, ""en"", ""mt"")"),"etajiet assoluti")</f>
        <v>etajiet assoluti</v>
      </c>
    </row>
    <row r="13331" ht="15.75" customHeight="1">
      <c r="A13331" s="2" t="s">
        <v>13331</v>
      </c>
      <c r="B13331" s="2" t="str">
        <f>IFERROR(__xludf.DUMMYFUNCTION("GOOGLETRANSLATE(A13331, ""en"", ""mt"")"),"X'tip ta 'riżultati jistgħu saħansitra jwasslu swieq stabbli?")</f>
        <v>X'tip ta 'riżultati jistgħu saħansitra jwasslu swieq stabbli?</v>
      </c>
    </row>
    <row r="13332" ht="15.75" customHeight="1">
      <c r="A13332" s="2" t="s">
        <v>13332</v>
      </c>
      <c r="B13332" s="2" t="str">
        <f>IFERROR(__xludf.DUMMYFUNCTION("GOOGLETRANSLATE(A13332, ""en"", ""mt"")"),"X'kienet il-bażi msemmija għall-iżvilupp tat-Teorija Ġenerali tar-Relatività?")</f>
        <v>X'kienet il-bażi msemmija għall-iżvilupp tat-Teorija Ġenerali tar-Relatività?</v>
      </c>
    </row>
    <row r="13333" ht="15.75" customHeight="1">
      <c r="A13333" s="2" t="s">
        <v>13333</v>
      </c>
      <c r="B13333" s="2" t="str">
        <f>IFERROR(__xludf.DUMMYFUNCTION("GOOGLETRANSLATE(A13333, ""en"", ""mt"")"),"Bini b'forma ta 'weraq")</f>
        <v>Bini b'forma ta 'weraq</v>
      </c>
    </row>
    <row r="13334" ht="15.75" customHeight="1">
      <c r="A13334" s="2" t="s">
        <v>13334</v>
      </c>
      <c r="B13334" s="2" t="str">
        <f>IFERROR(__xludf.DUMMYFUNCTION("GOOGLETRANSLATE(A13334, ""en"", ""mt"")"),"la huwa żero u lanqas unità")</f>
        <v>la huwa żero u lanqas unità</v>
      </c>
    </row>
    <row r="13335" ht="15.75" customHeight="1">
      <c r="A13335" s="2" t="s">
        <v>13335</v>
      </c>
      <c r="B13335" s="2" t="str">
        <f>IFERROR(__xludf.DUMMYFUNCTION("GOOGLETRANSLATE(A13335, ""en"", ""mt"")"),"Liema sena l-ewwel president tal-università ngħata l-pożizzjoni tiegħu?")</f>
        <v>Liema sena l-ewwel president tal-università ngħata l-pożizzjoni tiegħu?</v>
      </c>
    </row>
    <row r="13336" ht="15.75" customHeight="1">
      <c r="A13336" s="2" t="s">
        <v>13336</v>
      </c>
      <c r="B13336" s="2" t="str">
        <f>IFERROR(__xludf.DUMMYFUNCTION("GOOGLETRANSLATE(A13336, ""en"", ""mt"")"),"Il-Kaptan huwa l-Archenemy tat-Tabib, Lord Renegade Time li jixtieq jirregola l-univers. Iddisinjat bħala ""Professur Moriarty għall-Sherlock Holmes tat-Tabib"", il-karattru deher l-ewwel darba fl-1971. Bħal ma 't-Tabib, ir-rwol ġie deskritt minn diversi "&amp;"atturi, peress li l-kaptan huwa wkoll Lord ta' żmien u kapaċi jirriġenera; L-ewwel wieħed minn dawn l-atturi kien Roger Delgado, li kompla fir-rwol sal-mewt tiegħu fl-1973. Il-kaptan kien lagħab fil-qosor minn Peter Pratt u Geoffrey Beevers sakemm Anthony"&amp;" Ainley ħa f'idejh u kompla jdoqq il-karattru sakemm it-Tabib Who's Hiatus fl-1989. Master irritorna fil-film televiżiv tal-1996 ta 'Doctor Who, u kien interpretat mill-attur Amerikan Eric Roberts.")</f>
        <v>Il-Kaptan huwa l-Archenemy tat-Tabib, Lord Renegade Time li jixtieq jirregola l-univers. Iddisinjat bħala "Professur Moriarty għall-Sherlock Holmes tat-Tabib", il-karattru deher l-ewwel darba fl-1971. Bħal ma 't-Tabib, ir-rwol ġie deskritt minn diversi atturi, peress li l-kaptan huwa wkoll Lord ta' żmien u kapaċi jirriġenera; L-ewwel wieħed minn dawn l-atturi kien Roger Delgado, li kompla fir-rwol sal-mewt tiegħu fl-1973. Il-kaptan kien lagħab fil-qosor minn Peter Pratt u Geoffrey Beevers sakemm Anthony Ainley ħa f'idejh u kompla jdoqq il-karattru sakemm it-Tabib Who's Hiatus fl-1989. Master irritorna fil-film televiżiv tal-1996 ta 'Doctor Who, u kien interpretat mill-attur Amerikan Eric Roberts.</v>
      </c>
    </row>
    <row r="13337" ht="15.75" customHeight="1">
      <c r="A13337" s="2" t="s">
        <v>13337</v>
      </c>
      <c r="B13337" s="2" t="str">
        <f>IFERROR(__xludf.DUMMYFUNCTION("GOOGLETRANSLATE(A13337, ""en"", ""mt"")"),"Seklu 19 tard.")</f>
        <v>Seklu 19 tard.</v>
      </c>
    </row>
    <row r="13338" ht="15.75" customHeight="1">
      <c r="A13338" s="2" t="s">
        <v>13338</v>
      </c>
      <c r="B13338" s="2" t="str">
        <f>IFERROR(__xludf.DUMMYFUNCTION("GOOGLETRANSLATE(A13338, ""en"", ""mt"")"),"Lag George")</f>
        <v>Lag George</v>
      </c>
    </row>
    <row r="13339" ht="15.75" customHeight="1">
      <c r="A13339" s="2" t="s">
        <v>13339</v>
      </c>
      <c r="B13339" s="2" t="str">
        <f>IFERROR(__xludf.DUMMYFUNCTION("GOOGLETRANSLATE(A13339, ""en"", ""mt"")"),"9 ta 'Frar, 1953")</f>
        <v>9 ta 'Frar, 1953</v>
      </c>
    </row>
    <row r="13340" ht="15.75" customHeight="1">
      <c r="A13340" s="2" t="s">
        <v>13340</v>
      </c>
      <c r="B13340" s="2" t="str">
        <f>IFERROR(__xludf.DUMMYFUNCTION("GOOGLETRANSLATE(A13340, ""en"", ""mt"")"),"Dmugħ ACL")</f>
        <v>Dmugħ ACL</v>
      </c>
    </row>
    <row r="13341" ht="15.75" customHeight="1">
      <c r="A13341" s="2" t="s">
        <v>13341</v>
      </c>
      <c r="B13341" s="2" t="str">
        <f>IFERROR(__xludf.DUMMYFUNCTION("GOOGLETRANSLATE(A13341, ""en"", ""mt"")"),"nies essenzjalment qaddisa")</f>
        <v>nies essenzjalment qaddisa</v>
      </c>
    </row>
    <row r="13342" ht="15.75" customHeight="1">
      <c r="A13342" s="2" t="s">
        <v>13342</v>
      </c>
      <c r="B13342" s="2" t="str">
        <f>IFERROR(__xludf.DUMMYFUNCTION("GOOGLETRANSLATE(A13342, ""en"", ""mt"")"),"Liema rapport kellu d-data t-tajba?")</f>
        <v>Liema rapport kellu d-data t-tajba?</v>
      </c>
    </row>
    <row r="13343" ht="15.75" customHeight="1">
      <c r="A13343" s="2" t="s">
        <v>13343</v>
      </c>
      <c r="B13343" s="2" t="str">
        <f>IFERROR(__xludf.DUMMYFUNCTION("GOOGLETRANSLATE(A13343, ""en"", ""mt"")"),"X'inhu t-terminu għas-sett tal-graffs konnessi kollha relatati ma 'din il-problema ta' deċiżjoni?")</f>
        <v>X'inhu t-terminu għas-sett tal-graffs konnessi kollha relatati ma 'din il-problema ta' deċiżjoni?</v>
      </c>
    </row>
    <row r="13344" ht="15.75" customHeight="1">
      <c r="A13344" s="2" t="s">
        <v>13344</v>
      </c>
      <c r="B13344" s="2" t="str">
        <f>IFERROR(__xludf.DUMMYFUNCTION("GOOGLETRANSLATE(A13344, ""en"", ""mt"")"),"ilma baħar")</f>
        <v>ilma baħar</v>
      </c>
    </row>
    <row r="13345" ht="15.75" customHeight="1">
      <c r="A13345" s="2" t="s">
        <v>13345</v>
      </c>
      <c r="B13345" s="2" t="str">
        <f>IFERROR(__xludf.DUMMYFUNCTION("GOOGLETRANSLATE(A13345, ""en"", ""mt"")"),"Liema annimali jinkludu l-ekosistema tax-Xmara Vistula?")</f>
        <v>Liema annimali jinkludu l-ekosistema tax-Xmara Vistula?</v>
      </c>
    </row>
    <row r="13346" ht="15.75" customHeight="1">
      <c r="A13346" s="2" t="s">
        <v>13346</v>
      </c>
      <c r="B13346" s="2" t="str">
        <f>IFERROR(__xludf.DUMMYFUNCTION("GOOGLETRANSLATE(A13346, ""en"", ""mt"")"),"Meta ġiet invaduta l-Iskozja minn William?")</f>
        <v>Meta ġiet invaduta l-Iskozja minn William?</v>
      </c>
    </row>
    <row r="13347" ht="15.75" customHeight="1">
      <c r="A13347" s="2" t="s">
        <v>13347</v>
      </c>
      <c r="B13347" s="2" t="str">
        <f>IFERROR(__xludf.DUMMYFUNCTION("GOOGLETRANSLATE(A13347, ""en"", ""mt"")"),"Santa Clara Marriott.")</f>
        <v>Santa Clara Marriott.</v>
      </c>
    </row>
    <row r="13348" ht="15.75" customHeight="1">
      <c r="A13348" s="2" t="s">
        <v>13348</v>
      </c>
      <c r="B13348" s="2" t="str">
        <f>IFERROR(__xludf.DUMMYFUNCTION("GOOGLETRANSLATE(A13348, ""en"", ""mt"")"),"6 seklu QK")</f>
        <v>6 seklu QK</v>
      </c>
    </row>
    <row r="13349" ht="15.75" customHeight="1">
      <c r="A13349" s="2" t="s">
        <v>13349</v>
      </c>
      <c r="B13349" s="2" t="str">
        <f>IFERROR(__xludf.DUMMYFUNCTION("GOOGLETRANSLATE(A13349, ""en"", ""mt"")"),"Latitudni baxxa")</f>
        <v>Latitudni baxxa</v>
      </c>
    </row>
    <row r="13350" ht="15.75" customHeight="1">
      <c r="A13350" s="2" t="s">
        <v>13350</v>
      </c>
      <c r="B13350" s="2" t="str">
        <f>IFERROR(__xludf.DUMMYFUNCTION("GOOGLETRANSLATE(A13350, ""en"", ""mt"")"),"Bidliet teknoloġiċi u globalizzazzjoni")</f>
        <v>Bidliet teknoloġiċi u globalizzazzjoni</v>
      </c>
    </row>
    <row r="13351" ht="15.75" customHeight="1">
      <c r="A13351" s="2" t="s">
        <v>13351</v>
      </c>
      <c r="B13351" s="2" t="str">
        <f>IFERROR(__xludf.DUMMYFUNCTION("GOOGLETRANSLATE(A13351, ""en"", ""mt"")"),"Liema ġirja lura rrinunzjaw il-Panthers?")</f>
        <v>Liema ġirja lura rrinunzjaw il-Panthers?</v>
      </c>
    </row>
    <row r="13352" ht="15.75" customHeight="1">
      <c r="A13352" s="2" t="s">
        <v>13352</v>
      </c>
      <c r="B13352" s="2" t="str">
        <f>IFERROR(__xludf.DUMMYFUNCTION("GOOGLETRANSLATE(A13352, ""en"", ""mt"")"),"fantaxjenza")</f>
        <v>fantaxjenza</v>
      </c>
    </row>
    <row r="13353" ht="15.75" customHeight="1">
      <c r="A13353" s="2" t="s">
        <v>13353</v>
      </c>
      <c r="B13353" s="2" t="str">
        <f>IFERROR(__xludf.DUMMYFUNCTION("GOOGLETRANSLATE(A13353, ""en"", ""mt"")"),"Ir-Raba 'Rapport ta' Valutazzjoni tal-IPCC (AR4) ippubblikat fl-2007 deher graff li juri 12-il rikostruzzjoni tat-temperatura bbażati fuq il-prokura, inklużi t-tliet enfasizzati fit-tielet Rapport ta 'Valutazzjoni tal-2001 (TAR); Mann, Bradley &amp; Hughes 19"&amp;"99 bħal qabel, Jones et al. 1998 u Briffa 2000 kienu t-tnejn ġew ikkalibrati minn studji aktar ġodda. Barra minn hekk, analiżi tal-perjodu sħun medjevali kkwotaw rikostruzzjonijiet minn Crowley &amp; Lowery 2000 (kif iċċitat fil-qatran) u Osborn &amp; Briffa 2006"&amp;". Għaxra minn dawn l-14-il rikostruzzjoni koprew 1,000 sena jew itwal. Il-biċċa l-kbira tar-rikostruzzjonijiet qasmu xi serje tad-dejta, partikolarment dejta taċ-ċirku tas-siġar, iżda rikostruzzjonijiet aktar ġodda użaw dejta addizzjonali u koprew żona us"&amp;"a ', bl-użu ta' varjetà ta 'metodi statistiċi. It-taqsima ddiskutiet il-problema ta 'diverġenza li taffettwa ċerta dejta dwar iċ-ċirku tas-siġar.")</f>
        <v>Ir-Raba 'Rapport ta' Valutazzjoni tal-IPCC (AR4) ippubblikat fl-2007 deher graff li juri 12-il rikostruzzjoni tat-temperatura bbażati fuq il-prokura, inklużi t-tliet enfasizzati fit-tielet Rapport ta 'Valutazzjoni tal-2001 (TAR); Mann, Bradley &amp; Hughes 1999 bħal qabel, Jones et al. 1998 u Briffa 2000 kienu t-tnejn ġew ikkalibrati minn studji aktar ġodda. Barra minn hekk, analiżi tal-perjodu sħun medjevali kkwotaw rikostruzzjonijiet minn Crowley &amp; Lowery 2000 (kif iċċitat fil-qatran) u Osborn &amp; Briffa 2006. Għaxra minn dawn l-14-il rikostruzzjoni koprew 1,000 sena jew itwal. Il-biċċa l-kbira tar-rikostruzzjonijiet qasmu xi serje tad-dejta, partikolarment dejta taċ-ċirku tas-siġar, iżda rikostruzzjonijiet aktar ġodda użaw dejta addizzjonali u koprew żona usa ', bl-użu ta' varjetà ta 'metodi statistiċi. It-taqsima ddiskutiet il-problema ta 'diverġenza li taffettwa ċerta dejta dwar iċ-ċirku tas-siġar.</v>
      </c>
    </row>
    <row r="13354" ht="15.75" customHeight="1">
      <c r="A13354" s="2" t="s">
        <v>13354</v>
      </c>
      <c r="B13354" s="2" t="str">
        <f>IFERROR(__xludf.DUMMYFUNCTION("GOOGLETRANSLATE(A13354, ""en"", ""mt"")"),"L-ewwel sitt snin")</f>
        <v>L-ewwel sitt snin</v>
      </c>
    </row>
    <row r="13355" ht="15.75" customHeight="1">
      <c r="A13355" s="2" t="s">
        <v>13355</v>
      </c>
      <c r="B13355" s="2" t="str">
        <f>IFERROR(__xludf.DUMMYFUNCTION("GOOGLETRANSLATE(A13355, ""en"", ""mt"")"),"Qabel il-wasla tal-Franċiżi, iż-żona issa magħrufa bħala Jacksonville qabel kienet abitata minn liema nies?")</f>
        <v>Qabel il-wasla tal-Franċiżi, iż-żona issa magħrufa bħala Jacksonville qabel kienet abitata minn liema nies?</v>
      </c>
    </row>
    <row r="13356" ht="15.75" customHeight="1">
      <c r="A13356" s="2" t="s">
        <v>13356</v>
      </c>
      <c r="B13356" s="2" t="str">
        <f>IFERROR(__xludf.DUMMYFUNCTION("GOOGLETRANSLATE(A13356, ""en"", ""mt"")"),"L-Università ta ’Chicago ġiet maħluqa u inkorporata bħala istituzzjoni koeducazzjonali u sekulari fl-1890 mill-American Baptist Education Society u donazzjoni mill-magnate taż-żejt u l-filantropista John D. Rockefeller fuq art mogħtija minn Marshall Field"&amp;". Filwaqt li d-donazzjoni ta 'Rockefeller ipprovdiet flus għal operazzjonijiet akkademiċi u dotazzjoni fit-tul, ġie stipulat li tali flus ma jistgħux jintużaw għall-bini. Il-kampus fiżiku oriġinali kien iffinanzjat minn donazzjonijiet minn Chicagoans għon"&amp;"ja bħal Silas B. Cobb li pprovda l-fondi għall-ewwel bini tal-kampus, Cobb Lecture Hall, u l-wegħda ta 'Marshall Field ta' $ 100,000. Benefatturi bikrija oħra kienu jinkludu n-negozjanti Charles L. Hutchinson (trustee, teżorier u donatur ta 'Hutchinson Co"&amp;"mmons), Martin A. Ryerson (president tal-Bord tal-Fiduċjarji u donatur tal-Laboratorju Fiżiku Ryerson) Adolphus Clay Bartlett u Leon Mandel, li ffinanzjaw il-kostruzzjoni tal-ġinnasju u s-sala tal-assemblea, u George C. Walker tal-Mużew Walker, qarib ta '"&amp;"Cobb li ħeġġeġ id-donazzjoni inawgurali tiegħu għall-faċilitajiet.")</f>
        <v>L-Università ta ’Chicago ġiet maħluqa u inkorporata bħala istituzzjoni koeducazzjonali u sekulari fl-1890 mill-American Baptist Education Society u donazzjoni mill-magnate taż-żejt u l-filantropista John D. Rockefeller fuq art mogħtija minn Marshall Field. Filwaqt li d-donazzjoni ta 'Rockefeller ipprovdiet flus għal operazzjonijiet akkademiċi u dotazzjoni fit-tul, ġie stipulat li tali flus ma jistgħux jintużaw għall-bini. Il-kampus fiżiku oriġinali kien iffinanzjat minn donazzjonijiet minn Chicagoans għonja bħal Silas B. Cobb li pprovda l-fondi għall-ewwel bini tal-kampus, Cobb Lecture Hall, u l-wegħda ta 'Marshall Field ta' $ 100,000. Benefatturi bikrija oħra kienu jinkludu n-negozjanti Charles L. Hutchinson (trustee, teżorier u donatur ta 'Hutchinson Commons), Martin A. Ryerson (president tal-Bord tal-Fiduċjarji u donatur tal-Laboratorju Fiżiku Ryerson) Adolphus Clay Bartlett u Leon Mandel, li ffinanzjaw il-kostruzzjoni tal-ġinnasju u s-sala tal-assemblea, u George C. Walker tal-Mużew Walker, qarib ta 'Cobb li ħeġġeġ id-donazzjoni inawgurali tiegħu għall-faċilitajiet.</v>
      </c>
    </row>
    <row r="13357" ht="15.75" customHeight="1">
      <c r="A13357" s="2" t="s">
        <v>13357</v>
      </c>
      <c r="B13357" s="2" t="str">
        <f>IFERROR(__xludf.DUMMYFUNCTION("GOOGLETRANSLATE(A13357, ""en"", ""mt"")"),"Partit Liberali")</f>
        <v>Partit Liberali</v>
      </c>
    </row>
    <row r="13358" ht="15.75" customHeight="1">
      <c r="A13358" s="2" t="s">
        <v>13358</v>
      </c>
      <c r="B13358" s="2" t="str">
        <f>IFERROR(__xludf.DUMMYFUNCTION("GOOGLETRANSLATE(A13358, ""en"", ""mt"")"),"Università tal-Popli")</f>
        <v>Università tal-Popli</v>
      </c>
    </row>
    <row r="13359" ht="15.75" customHeight="1">
      <c r="A13359" s="2" t="s">
        <v>13359</v>
      </c>
      <c r="B13359" s="2" t="str">
        <f>IFERROR(__xludf.DUMMYFUNCTION("GOOGLETRANSLATE(A13359, ""en"", ""mt"")"),"Reġistrazzjonijiet ta 'Kinescope")</f>
        <v>Reġistrazzjonijiet ta 'Kinescope</v>
      </c>
    </row>
    <row r="13360" ht="15.75" customHeight="1">
      <c r="A13360" s="2" t="s">
        <v>13360</v>
      </c>
      <c r="B13360" s="2" t="str">
        <f>IFERROR(__xludf.DUMMYFUNCTION("GOOGLETRANSLATE(A13360, ""en"", ""mt"")"),"Il-kloroplasti għandhom it-tielet ċirku li jaqsam il-plastidi li jinsab fl-ispazju intermembrane tal-kloroplast")</f>
        <v>Il-kloroplasti għandhom it-tielet ċirku li jaqsam il-plastidi li jinsab fl-ispazju intermembrane tal-kloroplast</v>
      </c>
    </row>
    <row r="13361" ht="15.75" customHeight="1">
      <c r="A13361" s="2" t="s">
        <v>13361</v>
      </c>
      <c r="B13361" s="2" t="str">
        <f>IFERROR(__xludf.DUMMYFUNCTION("GOOGLETRANSLATE(A13361, ""en"", ""mt"")"),"1377")</f>
        <v>1377</v>
      </c>
    </row>
    <row r="13362" ht="15.75" customHeight="1">
      <c r="A13362" s="2" t="s">
        <v>13362</v>
      </c>
      <c r="B13362" s="2" t="str">
        <f>IFERROR(__xludf.DUMMYFUNCTION("GOOGLETRANSLATE(A13362, ""en"", ""mt"")"),"Sema")</f>
        <v>Sema</v>
      </c>
    </row>
    <row r="13363" ht="15.75" customHeight="1">
      <c r="A13363" s="2" t="s">
        <v>13363</v>
      </c>
      <c r="B13363" s="2" t="str">
        <f>IFERROR(__xludf.DUMMYFUNCTION("GOOGLETRANSLATE(A13363, ""en"", ""mt"")"),"teorema fundamentali tal-aritmetika")</f>
        <v>teorema fundamentali tal-aritmetika</v>
      </c>
    </row>
    <row r="13364" ht="15.75" customHeight="1">
      <c r="A13364" s="2" t="s">
        <v>13364</v>
      </c>
      <c r="B13364" s="2" t="str">
        <f>IFERROR(__xludf.DUMMYFUNCTION("GOOGLETRANSLATE(A13364, ""en"", ""mt"")"),"Apollo 12")</f>
        <v>Apollo 12</v>
      </c>
    </row>
    <row r="13365" ht="15.75" customHeight="1">
      <c r="A13365" s="2" t="s">
        <v>13365</v>
      </c>
      <c r="B13365" s="2" t="str">
        <f>IFERROR(__xludf.DUMMYFUNCTION("GOOGLETRANSLATE(A13365, ""en"", ""mt"")"),"X'inhu mod ieħor ta 'tagħlim li mhux formali?")</f>
        <v>X'inhu mod ieħor ta 'tagħlim li mhux formali?</v>
      </c>
    </row>
    <row r="13366" ht="15.75" customHeight="1">
      <c r="A13366" s="2" t="s">
        <v>13366</v>
      </c>
      <c r="B13366" s="2" t="str">
        <f>IFERROR(__xludf.DUMMYFUNCTION("GOOGLETRANSLATE(A13366, ""en"", ""mt"")"),"Klassifikazzjonijiet differenti tal-ħaddiema")</f>
        <v>Klassifikazzjonijiet differenti tal-ħaddiema</v>
      </c>
    </row>
    <row r="13367" ht="15.75" customHeight="1">
      <c r="A13367" s="2" t="s">
        <v>13367</v>
      </c>
      <c r="B13367" s="2" t="str">
        <f>IFERROR(__xludf.DUMMYFUNCTION("GOOGLETRANSLATE(A13367, ""en"", ""mt"")"),"Liema gazzetta ddefiniet fin-Nofsinhar ta 'California?")</f>
        <v>Liema gazzetta ddefiniet fin-Nofsinhar ta 'California?</v>
      </c>
    </row>
    <row r="13368" ht="15.75" customHeight="1">
      <c r="A13368" s="2" t="s">
        <v>13368</v>
      </c>
      <c r="B13368" s="2" t="str">
        <f>IFERROR(__xludf.DUMMYFUNCTION("GOOGLETRANSLATE(A13368, ""en"", ""mt"")"),"5 pm")</f>
        <v>5 pm</v>
      </c>
    </row>
    <row r="13369" ht="15.75" customHeight="1">
      <c r="A13369" s="2" t="s">
        <v>13369</v>
      </c>
      <c r="B13369" s="2" t="str">
        <f>IFERROR(__xludf.DUMMYFUNCTION("GOOGLETRANSLATE(A13369, ""en"", ""mt"")"),"Grazzja prevenjenti,")</f>
        <v>Grazzja prevenjenti,</v>
      </c>
    </row>
    <row r="13370" ht="15.75" customHeight="1">
      <c r="A13370" s="2" t="s">
        <v>13370</v>
      </c>
      <c r="B13370" s="2" t="str">
        <f>IFERROR(__xludf.DUMMYFUNCTION("GOOGLETRANSLATE(A13370, ""en"", ""mt"")"),"F'liema sena kien l-40 anniversarju mill-fundaturi ta 'ABC?")</f>
        <v>F'liema sena kien l-40 anniversarju mill-fundaturi ta 'ABC?</v>
      </c>
    </row>
    <row r="13371" ht="15.75" customHeight="1">
      <c r="A13371" s="2" t="s">
        <v>13371</v>
      </c>
      <c r="B13371" s="2" t="str">
        <f>IFERROR(__xludf.DUMMYFUNCTION("GOOGLETRANSLATE(A13371, ""en"", ""mt"")"),"Fejn il-lamtu tal-maħżen tad-diatom endosymbiont?")</f>
        <v>Fejn il-lamtu tal-maħżen tad-diatom endosymbiont?</v>
      </c>
    </row>
    <row r="13372" ht="15.75" customHeight="1">
      <c r="A13372" s="2" t="s">
        <v>13372</v>
      </c>
      <c r="B13372" s="2" t="str">
        <f>IFERROR(__xludf.DUMMYFUNCTION("GOOGLETRANSLATE(A13372, ""en"", ""mt"")"),"Min f'Varsavja għandu s-setgħa ta 'azzjoni leġiżlattiva?")</f>
        <v>Min f'Varsavja għandu s-setgħa ta 'azzjoni leġiżlattiva?</v>
      </c>
    </row>
    <row r="13373" ht="15.75" customHeight="1">
      <c r="A13373" s="2" t="s">
        <v>13373</v>
      </c>
      <c r="B13373" s="2" t="str">
        <f>IFERROR(__xludf.DUMMYFUNCTION("GOOGLETRANSLATE(A13373, ""en"", ""mt"")"),"Kif tiddetermina l-aċċellerazzjoni ta 'ħabel meta żewġ persuni qed jiġbduha?")</f>
        <v>Kif tiddetermina l-aċċellerazzjoni ta 'ħabel meta żewġ persuni qed jiġbduha?</v>
      </c>
    </row>
    <row r="13374" ht="15.75" customHeight="1">
      <c r="A13374" s="2" t="s">
        <v>13374</v>
      </c>
      <c r="B13374" s="2" t="str">
        <f>IFERROR(__xludf.DUMMYFUNCTION("GOOGLETRANSLATE(A13374, ""en"", ""mt"")"),"Li tgħid dwar il-ħelsien tal-erwieħ mill-purgatorju spiss kien ikkwotat?")</f>
        <v>Li tgħid dwar il-ħelsien tal-erwieħ mill-purgatorju spiss kien ikkwotat?</v>
      </c>
    </row>
    <row r="13375" ht="15.75" customHeight="1">
      <c r="A13375" s="2" t="s">
        <v>13375</v>
      </c>
      <c r="B13375" s="2" t="str">
        <f>IFERROR(__xludf.DUMMYFUNCTION("GOOGLETRANSLATE(A13375, ""en"", ""mt"")"),"It-talba ta 'Franza għar-reġjun kienet superjuri għal dik tal-Ingliżi")</f>
        <v>It-talba ta 'Franza għar-reġjun kienet superjuri għal dik tal-Ingliżi</v>
      </c>
    </row>
    <row r="13376" ht="15.75" customHeight="1">
      <c r="A13376" s="2" t="s">
        <v>13376</v>
      </c>
      <c r="B13376" s="2" t="str">
        <f>IFERROR(__xludf.DUMMYFUNCTION("GOOGLETRANSLATE(A13376, ""en"", ""mt"")"),"armi")</f>
        <v>armi</v>
      </c>
    </row>
    <row r="13377" ht="15.75" customHeight="1">
      <c r="A13377" s="2" t="s">
        <v>13377</v>
      </c>
      <c r="B13377" s="2" t="str">
        <f>IFERROR(__xludf.DUMMYFUNCTION("GOOGLETRANSLATE(A13377, ""en"", ""mt"")"),"X'inhi d-definizzjoni ta 'aġenzija kif għandha x'taqsam mal-kapaċitajiet?")</f>
        <v>X'inhi d-definizzjoni ta 'aġenzija kif għandha x'taqsam mal-kapaċitajiet?</v>
      </c>
    </row>
    <row r="13378" ht="15.75" customHeight="1">
      <c r="A13378" s="2" t="s">
        <v>13378</v>
      </c>
      <c r="B13378" s="2" t="str">
        <f>IFERROR(__xludf.DUMMYFUNCTION("GOOGLETRANSLATE(A13378, ""en"", ""mt"")"),"Tribujiet immexxija minn Jamukha")</f>
        <v>Tribujiet immexxija minn Jamukha</v>
      </c>
    </row>
    <row r="13379" ht="15.75" customHeight="1">
      <c r="A13379" s="2" t="s">
        <v>13379</v>
      </c>
      <c r="B13379" s="2" t="str">
        <f>IFERROR(__xludf.DUMMYFUNCTION("GOOGLETRANSLATE(A13379, ""en"", ""mt"")"),"Fatturi Ambjentali")</f>
        <v>Fatturi Ambjentali</v>
      </c>
    </row>
    <row r="13380" ht="15.75" customHeight="1">
      <c r="A13380" s="2" t="s">
        <v>13380</v>
      </c>
      <c r="B13380" s="2" t="str">
        <f>IFERROR(__xludf.DUMMYFUNCTION("GOOGLETRANSLATE(A13380, ""en"", ""mt"")"),"Kif jissejjaħ it-tarf tal-plateau tal-moraine?")</f>
        <v>Kif jissejjaħ it-tarf tal-plateau tal-moraine?</v>
      </c>
    </row>
    <row r="13381" ht="15.75" customHeight="1">
      <c r="A13381" s="2" t="s">
        <v>13381</v>
      </c>
      <c r="B13381" s="2" t="str">
        <f>IFERROR(__xludf.DUMMYFUNCTION("GOOGLETRANSLATE(A13381, ""en"", ""mt"")"),"raħal")</f>
        <v>raħal</v>
      </c>
    </row>
    <row r="13382" ht="15.75" customHeight="1">
      <c r="A13382" s="2" t="s">
        <v>13382</v>
      </c>
      <c r="B13382" s="2" t="str">
        <f>IFERROR(__xludf.DUMMYFUNCTION("GOOGLETRANSLATE(A13382, ""en"", ""mt"")"),"0.2 abitanti kull kilometru kwadru")</f>
        <v>0.2 abitanti kull kilometru kwadru</v>
      </c>
    </row>
    <row r="13383" ht="15.75" customHeight="1">
      <c r="A13383" s="2" t="s">
        <v>13383</v>
      </c>
      <c r="B13383" s="2" t="str">
        <f>IFERROR(__xludf.DUMMYFUNCTION("GOOGLETRANSLATE(A13383, ""en"", ""mt"")"),"Min kien ix-xandar għas-Super Bowl 50 fl-Istati Uniti?")</f>
        <v>Min kien ix-xandar għas-Super Bowl 50 fl-Istati Uniti?</v>
      </c>
    </row>
    <row r="13384" ht="15.75" customHeight="1">
      <c r="A13384" s="2" t="s">
        <v>13384</v>
      </c>
      <c r="B13384" s="2" t="str">
        <f>IFERROR(__xludf.DUMMYFUNCTION("GOOGLETRANSLATE(A13384, ""en"", ""mt"")"),"X’sar biex tiġi miġġielda l-popolazzjoni żejda ta ’mnemiopsis fil-Baħar l-Iswed?")</f>
        <v>X’sar biex tiġi miġġielda l-popolazzjoni żejda ta ’mnemiopsis fil-Baħar l-Iswed?</v>
      </c>
    </row>
    <row r="13385" ht="15.75" customHeight="1">
      <c r="A13385" s="2" t="s">
        <v>13385</v>
      </c>
      <c r="B13385" s="2" t="str">
        <f>IFERROR(__xludf.DUMMYFUNCTION("GOOGLETRANSLATE(A13385, ""en"", ""mt"")"),"Attivitajiet ta 'Muggers, Arsonists, Abbozzi ta' Evaders, Hecklers tal-Kampanja, Militanti tal-Kampus, Dimostranti Kontra l-Gwerra, Delinkwenti tal-Minorenni u Assassini Politiċi")</f>
        <v>Attivitajiet ta 'Muggers, Arsonists, Abbozzi ta' Evaders, Hecklers tal-Kampanja, Militanti tal-Kampus, Dimostranti Kontra l-Gwerra, Delinkwenti tal-Minorenni u Assassini Politiċi</v>
      </c>
    </row>
    <row r="13386" ht="15.75" customHeight="1">
      <c r="A13386" s="2" t="s">
        <v>13386</v>
      </c>
      <c r="B13386" s="2" t="str">
        <f>IFERROR(__xludf.DUMMYFUNCTION("GOOGLETRANSLATE(A13386, ""en"", ""mt"")"),"Minħabba l-post ċentrali tiegħu")</f>
        <v>Minħabba l-post ċentrali tiegħu</v>
      </c>
    </row>
    <row r="13387" ht="15.75" customHeight="1">
      <c r="A13387" s="2" t="s">
        <v>13387</v>
      </c>
      <c r="B13387" s="2" t="str">
        <f>IFERROR(__xludf.DUMMYFUNCTION("GOOGLETRANSLATE(A13387, ""en"", ""mt"")"),"L-ewwel inugwaljanza tiżdied")</f>
        <v>L-ewwel inugwaljanza tiżdied</v>
      </c>
    </row>
    <row r="13388" ht="15.75" customHeight="1">
      <c r="A13388" s="2" t="s">
        <v>13388</v>
      </c>
      <c r="B13388" s="2" t="str">
        <f>IFERROR(__xludf.DUMMYFUNCTION("GOOGLETRANSLATE(A13388, ""en"", ""mt"")"),"Kemm it-trab jiġi minfuħ mis-Saħara kull sena?")</f>
        <v>Kemm it-trab jiġi minfuħ mis-Saħara kull sena?</v>
      </c>
    </row>
    <row r="13389" ht="15.75" customHeight="1">
      <c r="A13389" s="2" t="s">
        <v>13389</v>
      </c>
      <c r="B13389" s="2" t="str">
        <f>IFERROR(__xludf.DUMMYFUNCTION("GOOGLETRANSLATE(A13389, ""en"", ""mt"")"),"effett detrimentali fit-tul")</f>
        <v>effett detrimentali fit-tul</v>
      </c>
    </row>
    <row r="13390" ht="15.75" customHeight="1">
      <c r="A13390" s="2" t="s">
        <v>13390</v>
      </c>
      <c r="B13390" s="2" t="str">
        <f>IFERROR(__xludf.DUMMYFUNCTION("GOOGLETRANSLATE(A13390, ""en"", ""mt"")"),"X'għamlet Carolina fil-ftuħ tas-sewqan li ma kinux iffaċċjaw il-postseason kollu?")</f>
        <v>X'għamlet Carolina fil-ftuħ tas-sewqan li ma kinux iffaċċjaw il-postseason kollu?</v>
      </c>
    </row>
    <row r="13391" ht="15.75" customHeight="1">
      <c r="A13391" s="2" t="s">
        <v>13391</v>
      </c>
      <c r="B13391" s="2" t="str">
        <f>IFERROR(__xludf.DUMMYFUNCTION("GOOGLETRANSLATE(A13391, ""en"", ""mt"")"),"Grover Cleveland")</f>
        <v>Grover Cleveland</v>
      </c>
    </row>
    <row r="13392" ht="15.75" customHeight="1">
      <c r="A13392" s="2" t="s">
        <v>13392</v>
      </c>
      <c r="B13392" s="2" t="str">
        <f>IFERROR(__xludf.DUMMYFUNCTION("GOOGLETRANSLATE(A13392, ""en"", ""mt"")"),"fl-istudent")</f>
        <v>fl-istudent</v>
      </c>
    </row>
    <row r="13393" ht="15.75" customHeight="1">
      <c r="A13393" s="2" t="s">
        <v>13393</v>
      </c>
      <c r="B13393" s="2" t="str">
        <f>IFERROR(__xludf.DUMMYFUNCTION("GOOGLETRANSLATE(A13393, ""en"", ""mt"")"),"X'kien il-pjan tal-gwerra tal-patt ta 'Varsavja?")</f>
        <v>X'kien il-pjan tal-gwerra tal-patt ta 'Varsavja?</v>
      </c>
    </row>
    <row r="13394" ht="15.75" customHeight="1">
      <c r="A13394" s="2" t="s">
        <v>13394</v>
      </c>
      <c r="B13394" s="2" t="str">
        <f>IFERROR(__xludf.DUMMYFUNCTION("GOOGLETRANSLATE(A13394, ""en"", ""mt"")"),"Ħażiż Spanjol")</f>
        <v>Ħażiż Spanjol</v>
      </c>
    </row>
    <row r="13395" ht="15.75" customHeight="1">
      <c r="A13395" s="2" t="s">
        <v>13395</v>
      </c>
      <c r="B13395" s="2" t="str">
        <f>IFERROR(__xludf.DUMMYFUNCTION("GOOGLETRANSLATE(A13395, ""en"", ""mt"")"),"Stati ta 'mard kroniku u kumpless bħal kanċer, epatite, u artrite rewmatojde")</f>
        <v>Stati ta 'mard kroniku u kumpless bħal kanċer, epatite, u artrite rewmatojde</v>
      </c>
    </row>
    <row r="13396" ht="15.75" customHeight="1">
      <c r="A13396" s="2" t="s">
        <v>13396</v>
      </c>
      <c r="B13396" s="2" t="str">
        <f>IFERROR(__xludf.DUMMYFUNCTION("GOOGLETRANSLATE(A13396, ""en"", ""mt"")"),"X’jikkawżaw żieda fil-gassijiet b’effett ta ’serra?")</f>
        <v>X’jikkawżaw żieda fil-gassijiet b’effett ta ’serra?</v>
      </c>
    </row>
    <row r="13397" ht="15.75" customHeight="1">
      <c r="A13397" s="2" t="s">
        <v>13397</v>
      </c>
      <c r="B13397" s="2" t="str">
        <f>IFERROR(__xludf.DUMMYFUNCTION("GOOGLETRANSLATE(A13397, ""en"", ""mt"")"),"Wara titjira ta 'test LM mingħajr ekwipaġġ AS-206, ekwipaġġ itir l-ewwel Blokk II CSM u LM f'missjoni doppja magħrufa bħala AS-207/208, jew AS-278 (kull vettura spazjali kienet titnieda fuq Saturn separat separat.) Il-pożizzjonijiet tal-ekwipaġġ tal-Blokk"&amp;" II kienu intitolati Kmandant (CDR) Modulu Pilot (CMP) u l-pilota tal-modulu Lunar (LMP). L-astronawti jibdew jilbsu spazjar ta 'Apollo ġdid, iddisinjat biex jakkomoda attività extravehicular lunari (EVA). L-elmu tal-viżiera tradizzjonali ġie sostitwit b'"&amp;"tip ċar ta '""fishbowl"" għal viżibilità akbar, u l-libsa EVA tal-wiċċ lunari tinkludi ħwejjeġ ta' taħt imkessħa bl-ilma.")</f>
        <v>Wara titjira ta 'test LM mingħajr ekwipaġġ AS-206, ekwipaġġ itir l-ewwel Blokk II CSM u LM f'missjoni doppja magħrufa bħala AS-207/208, jew AS-278 (kull vettura spazjali kienet titnieda fuq Saturn separat separat.) Il-pożizzjonijiet tal-ekwipaġġ tal-Blokk II kienu intitolati Kmandant (CDR) Modulu Pilot (CMP) u l-pilota tal-modulu Lunar (LMP). L-astronawti jibdew jilbsu spazjar ta 'Apollo ġdid, iddisinjat biex jakkomoda attività extravehicular lunari (EVA). L-elmu tal-viżiera tradizzjonali ġie sostitwit b'tip ċar ta '"fishbowl" għal viżibilità akbar, u l-libsa EVA tal-wiċċ lunari tinkludi ħwejjeġ ta' taħt imkessħa bl-ilma.</v>
      </c>
    </row>
    <row r="13398" ht="15.75" customHeight="1">
      <c r="A13398" s="2" t="s">
        <v>13398</v>
      </c>
      <c r="B13398" s="2" t="str">
        <f>IFERROR(__xludf.DUMMYFUNCTION("GOOGLETRANSLATE(A13398, ""en"", ""mt"")"),"bidu ta 'traduzzjoni")</f>
        <v>bidu ta 'traduzzjoni</v>
      </c>
    </row>
    <row r="13399" ht="15.75" customHeight="1">
      <c r="A13399" s="2" t="s">
        <v>13399</v>
      </c>
      <c r="B13399" s="2" t="str">
        <f>IFERROR(__xludf.DUMMYFUNCTION("GOOGLETRANSLATE(A13399, ""en"", ""mt"")"),"Min ħoloq it-tema użata fl-1986?")</f>
        <v>Min ħoloq it-tema użata fl-1986?</v>
      </c>
    </row>
    <row r="13400" ht="15.75" customHeight="1">
      <c r="A13400" s="2" t="s">
        <v>13400</v>
      </c>
      <c r="B13400" s="2" t="str">
        <f>IFERROR(__xludf.DUMMYFUNCTION("GOOGLETRANSLATE(A13400, ""en"", ""mt"")"),"(n - 1)!")</f>
        <v>(n - 1)!</v>
      </c>
    </row>
    <row r="13401" ht="15.75" customHeight="1">
      <c r="A13401" s="2" t="s">
        <v>13401</v>
      </c>
      <c r="B13401" s="2" t="str">
        <f>IFERROR(__xludf.DUMMYFUNCTION("GOOGLETRANSLATE(A13401, ""en"", ""mt"")"),"Liema skultur Ingliż li sar l-iskultur tar-ritratt ewlieni fl-era ta 'Regency huwa rrappreżentat fil-kollezzjoni V &amp; A?")</f>
        <v>Liema skultur Ingliż li sar l-iskultur tar-ritratt ewlieni fl-era ta 'Regency huwa rrappreżentat fil-kollezzjoni V &amp; A?</v>
      </c>
    </row>
    <row r="13402" ht="15.75" customHeight="1">
      <c r="A13402" s="2" t="s">
        <v>13402</v>
      </c>
      <c r="B13402" s="2" t="str">
        <f>IFERROR(__xludf.DUMMYFUNCTION("GOOGLETRANSLATE(A13402, ""en"", ""mt"")"),"Il-blat fuq nett ta 'tort li huma maqtugħin huma dejjem anzjani jew iżgħar mit-tort innifsu?")</f>
        <v>Il-blat fuq nett ta 'tort li huma maqtugħin huma dejjem anzjani jew iżgħar mit-tort innifsu?</v>
      </c>
    </row>
    <row r="13403" ht="15.75" customHeight="1">
      <c r="A13403" s="2" t="s">
        <v>13403</v>
      </c>
      <c r="B13403" s="2" t="str">
        <f>IFERROR(__xludf.DUMMYFUNCTION("GOOGLETRANSLATE(A13403, ""en"", ""mt"")"),"90.20 k")</f>
        <v>90.20 k</v>
      </c>
    </row>
    <row r="13404" ht="15.75" customHeight="1">
      <c r="A13404" s="2" t="s">
        <v>13404</v>
      </c>
      <c r="B13404" s="2" t="str">
        <f>IFERROR(__xludf.DUMMYFUNCTION("GOOGLETRANSLATE(A13404, ""en"", ""mt"")"),"Kif isiru l-konnessjonijiet Austpac")</f>
        <v>Kif isiru l-konnessjonijiet Austpac</v>
      </c>
    </row>
    <row r="13405" ht="15.75" customHeight="1">
      <c r="A13405" s="2" t="s">
        <v>13405</v>
      </c>
      <c r="B13405" s="2" t="str">
        <f>IFERROR(__xludf.DUMMYFUNCTION("GOOGLETRANSLATE(A13405, ""en"", ""mt"")"),"Ċelloli T Vγ9 / Vδ2")</f>
        <v>Ċelloli T Vγ9 / Vδ2</v>
      </c>
    </row>
    <row r="13406" ht="15.75" customHeight="1">
      <c r="A13406" s="2" t="s">
        <v>13406</v>
      </c>
      <c r="B13406" s="2" t="str">
        <f>IFERROR(__xludf.DUMMYFUNCTION("GOOGLETRANSLATE(A13406, ""en"", ""mt"")"),"sakemm waqa 'l-imperu")</f>
        <v>sakemm waqa 'l-imperu</v>
      </c>
    </row>
    <row r="13407" ht="15.75" customHeight="1">
      <c r="A13407" s="2" t="s">
        <v>13407</v>
      </c>
      <c r="B13407" s="2" t="str">
        <f>IFERROR(__xludf.DUMMYFUNCTION("GOOGLETRANSLATE(A13407, ""en"", ""mt"")"),"Eġittu tal-qedem")</f>
        <v>Eġittu tal-qedem</v>
      </c>
    </row>
    <row r="13408" ht="15.75" customHeight="1">
      <c r="A13408" s="2" t="s">
        <v>13408</v>
      </c>
      <c r="B13408" s="2" t="str">
        <f>IFERROR(__xludf.DUMMYFUNCTION("GOOGLETRANSLATE(A13408, ""en"", ""mt"")"),"Il-Każ tal-Qorti Suprema tal-1978 tal-Fondazzjoni FCC v. Pacifica")</f>
        <v>Il-Każ tal-Qorti Suprema tal-1978 tal-Fondazzjoni FCC v. Pacifica</v>
      </c>
    </row>
    <row r="13409" ht="15.75" customHeight="1">
      <c r="A13409" s="2" t="s">
        <v>13409</v>
      </c>
      <c r="B13409" s="2" t="str">
        <f>IFERROR(__xludf.DUMMYFUNCTION("GOOGLETRANSLATE(A13409, ""en"", ""mt"")"),"In-naħa tan-Nofsinhar tal-Ġnien")</f>
        <v>In-naħa tan-Nofsinhar tal-Ġnien</v>
      </c>
    </row>
    <row r="13410" ht="15.75" customHeight="1">
      <c r="A13410" s="2" t="s">
        <v>13410</v>
      </c>
      <c r="B13410" s="2" t="str">
        <f>IFERROR(__xludf.DUMMYFUNCTION("GOOGLETRANSLATE(A13410, ""en"", ""mt"")"),"Fl-Ewropa hemm spiżeriji qodma li għadhom joperaw f'Dubrovnik, il-Kroazja, li tinsab ġewwa l-monasteru Franġiskan, infetħet fl-1317; u fil-kwadru tal-muniċipju ta 'Tallinn, l-Estonja, li tmur mill-inqas 1422. L-eqdem huwa ddikjarat li ġie stabbilit fl-122"&amp;"1 fil-Knisja ta' Santa Maria Novella f'Firenze, l-Italja, li issa fih mużew tal-fwieħa. L-ispiżerija medjevali ta 'Esteve, li tinsab f'Lívia, enklavi Katalana viċin Puigcerdà, issa wkoll mużew, tmur lura għas-seklu 15, u żżomm Albarellos mis-sekli 16 u 17"&amp;", kotba ta' preskrizzjoni qodma u drogi tal-antikità.")</f>
        <v>Fl-Ewropa hemm spiżeriji qodma li għadhom joperaw f'Dubrovnik, il-Kroazja, li tinsab ġewwa l-monasteru Franġiskan, infetħet fl-1317; u fil-kwadru tal-muniċipju ta 'Tallinn, l-Estonja, li tmur mill-inqas 1422. L-eqdem huwa ddikjarat li ġie stabbilit fl-1221 fil-Knisja ta' Santa Maria Novella f'Firenze, l-Italja, li issa fih mużew tal-fwieħa. L-ispiżerija medjevali ta 'Esteve, li tinsab f'Lívia, enklavi Katalana viċin Puigcerdà, issa wkoll mużew, tmur lura għas-seklu 15, u żżomm Albarellos mis-sekli 16 u 17, kotba ta' preskrizzjoni qodma u drogi tal-antikità.</v>
      </c>
    </row>
    <row r="13411" ht="15.75" customHeight="1">
      <c r="A13411" s="2" t="s">
        <v>13411</v>
      </c>
      <c r="B13411" s="2" t="str">
        <f>IFERROR(__xludf.DUMMYFUNCTION("GOOGLETRANSLATE(A13411, ""en"", ""mt"")"),"Dejjem aktar")</f>
        <v>Dejjem aktar</v>
      </c>
    </row>
    <row r="13412" ht="15.75" customHeight="1">
      <c r="A13412" s="2" t="s">
        <v>13412</v>
      </c>
      <c r="B13412" s="2" t="str">
        <f>IFERROR(__xludf.DUMMYFUNCTION("GOOGLETRANSLATE(A13412, ""en"", ""mt"")"),"Min hu l-captian attwali tat-tim tal-cricket?")</f>
        <v>Min hu l-captian attwali tat-tim tal-cricket?</v>
      </c>
    </row>
    <row r="13413" ht="15.75" customHeight="1">
      <c r="A13413" s="2" t="s">
        <v>13413</v>
      </c>
      <c r="B13413" s="2" t="str">
        <f>IFERROR(__xludf.DUMMYFUNCTION("GOOGLETRANSLATE(A13413, ""en"", ""mt"")"),"il-missier ta 'Chilaun")</f>
        <v>il-missier ta 'Chilaun</v>
      </c>
    </row>
    <row r="13414" ht="15.75" customHeight="1">
      <c r="A13414" s="2" t="s">
        <v>13414</v>
      </c>
      <c r="B13414" s="2" t="str">
        <f>IFERROR(__xludf.DUMMYFUNCTION("GOOGLETRANSLATE(A13414, ""en"", ""mt"")"),"Kurt H. Debus,")</f>
        <v>Kurt H. Debus,</v>
      </c>
    </row>
    <row r="13415" ht="15.75" customHeight="1">
      <c r="A13415" s="2" t="s">
        <v>13415</v>
      </c>
      <c r="B13415" s="2" t="str">
        <f>IFERROR(__xludf.DUMMYFUNCTION("GOOGLETRANSLATE(A13415, ""en"", ""mt"")"),"30 ° C.")</f>
        <v>30 ° C.</v>
      </c>
    </row>
    <row r="13416" ht="15.75" customHeight="1">
      <c r="A13416" s="2" t="s">
        <v>13416</v>
      </c>
      <c r="B13416" s="2" t="str">
        <f>IFERROR(__xludf.DUMMYFUNCTION("GOOGLETRANSLATE(A13416, ""en"", ""mt"")"),"X'kien l-isem ta 'l-istil Ċiniż ta' Temur Khan?")</f>
        <v>X'kien l-isem ta 'l-istil Ċiniż ta' Temur Khan?</v>
      </c>
    </row>
    <row r="13417" ht="15.75" customHeight="1">
      <c r="A13417" s="2" t="s">
        <v>13417</v>
      </c>
      <c r="B13417" s="2" t="str">
        <f>IFERROR(__xludf.DUMMYFUNCTION("GOOGLETRANSLATE(A13417, ""en"", ""mt"")"),"Internet2 huwa konsorzju ta 'netwerking tal-kompjuter ta' l-Istati Uniti mhux għall-profitt immexxi minn membri mill-komunitajiet ta 'riċerka u edukazzjoni, industrija u gvern. Il-komunità tal-Internet2, fi sħubija ma 'QWest, bniet l-ewwel netwerk Interne"&amp;"t2, imsejjaħ Abilene, fl-1998 u kienet investitur ewlieni fil-proġett Nazzjonali Lambdarail (NLR). Fl-2006, Internet2 ħabbret sħubija ma 'komunikazzjonijiet ta' Livell 3 biex tniedi netwerk ġdid ta 'nazzjon fjamant, li tagħti spinta lill-kapaċità tagħha m"&amp;"inn 10 GBit / s għal 100 Gbit / s. F'Ottubru, 2007, Internet2 irtira uffiċjalment Abilene u issa tirreferi għan-netwerk ġdid u ogħla ta 'kapaċità tagħha bħala n-netwerk Internet2.")</f>
        <v>Internet2 huwa konsorzju ta 'netwerking tal-kompjuter ta' l-Istati Uniti mhux għall-profitt immexxi minn membri mill-komunitajiet ta 'riċerka u edukazzjoni, industrija u gvern. Il-komunità tal-Internet2, fi sħubija ma 'QWest, bniet l-ewwel netwerk Internet2, imsejjaħ Abilene, fl-1998 u kienet investitur ewlieni fil-proġett Nazzjonali Lambdarail (NLR). Fl-2006, Internet2 ħabbret sħubija ma 'komunikazzjonijiet ta' Livell 3 biex tniedi netwerk ġdid ta 'nazzjon fjamant, li tagħti spinta lill-kapaċità tagħha minn 10 GBit / s għal 100 Gbit / s. F'Ottubru, 2007, Internet2 irtira uffiċjalment Abilene u issa tirreferi għan-netwerk ġdid u ogħla ta 'kapaċità tagħha bħala n-netwerk Internet2.</v>
      </c>
    </row>
    <row r="13418" ht="15.75" customHeight="1">
      <c r="A13418" s="2" t="s">
        <v>13418</v>
      </c>
      <c r="B13418" s="2" t="str">
        <f>IFERROR(__xludf.DUMMYFUNCTION("GOOGLETRANSLATE(A13418, ""en"", ""mt"")"),"Liema mill-innu ta 'Luther kien dak ewlieni għall-Avvent?")</f>
        <v>Liema mill-innu ta 'Luther kien dak ewlieni għall-Avvent?</v>
      </c>
    </row>
    <row r="13419" ht="15.75" customHeight="1">
      <c r="A13419" s="2" t="s">
        <v>13419</v>
      </c>
      <c r="B13419" s="2" t="str">
        <f>IFERROR(__xludf.DUMMYFUNCTION("GOOGLETRANSLATE(A13419, ""en"", ""mt"")"),"X'jiġri mit-tkabbir tal-PDG ta 'pajjiż jekk is-sehem tad-dħul tal-aqwa 20 fil-mija jiżdied, skond l-ekonomisti tal-persunal tal-FMI?")</f>
        <v>X'jiġri mit-tkabbir tal-PDG ta 'pajjiż jekk is-sehem tad-dħul tal-aqwa 20 fil-mija jiżdied, skond l-ekonomisti tal-persunal tal-FMI?</v>
      </c>
    </row>
    <row r="13420" ht="15.75" customHeight="1">
      <c r="A13420" s="2" t="s">
        <v>13420</v>
      </c>
      <c r="B13420" s="2" t="str">
        <f>IFERROR(__xludf.DUMMYFUNCTION("GOOGLETRANSLATE(A13420, ""en"", ""mt"")"),"Il-Kenja għandha klima tropikali sħuna u umda fuq il-kosta tal-Oċean Indjan tagħha. Il-klima hija aktar friska fil-ħaxix ta 'Savannah madwar il-belt kapitali, Nairobi, u speċjalment eqreb lejn il-Muntanja Kenja, li għandha borra b'mod permanenti fuq il-qċ"&amp;"aċet tagħha. Aktar 'il ġewwa, fir-reġjun ta' Nyanza, hemm klima sħuna u niexfa li ssir umda madwar il-Lag Victoria, l-akbar lag tropikali ta 'ilma ħelu fid-dinja. Dan jagħti lok għal żoni bl-għoljiet moderati u forestali fir-reġjun tal-Punent ġirien. Ir-r"&amp;"eġjuni tal-Lvant tal-Grigal tul il-fruntiera mas-Somalja u l-Etjopja huma żoni aridi u semi-aridi b'pajsaġġi kważi-deżerta. Il-Kenja hija magħrufa għas-safaris tagħha, il-klima u l-ġeografija differenti, u r-riżervi espansivi tal-ħajja selvaġġa u l-parks "&amp;"nazzjonali bħall-Park Nazzjonali tal-Lvant u l-Punent Tsavo, il-Maasai Mara, il-Park Nazzjonali tal-Lag Nakuru, u l-Park Nazzjonali ta 'Aberdares. Il-Kenja għandha diversi siti ta 'wirt dinji bħal Lamu u bosta bajjiet, inklużi f'Diani, Bamburi u Kilifi, f"&amp;"ejn kull sena jsiru kompetizzjonijiet ta' yachting internazzjonali.")</f>
        <v>Il-Kenja għandha klima tropikali sħuna u umda fuq il-kosta tal-Oċean Indjan tagħha. Il-klima hija aktar friska fil-ħaxix ta 'Savannah madwar il-belt kapitali, Nairobi, u speċjalment eqreb lejn il-Muntanja Kenja, li għandha borra b'mod permanenti fuq il-qċaċet tagħha. Aktar 'il ġewwa, fir-reġjun ta' Nyanza, hemm klima sħuna u niexfa li ssir umda madwar il-Lag Victoria, l-akbar lag tropikali ta 'ilma ħelu fid-dinja. Dan jagħti lok għal żoni bl-għoljiet moderati u forestali fir-reġjun tal-Punent ġirien. Ir-reġjuni tal-Lvant tal-Grigal tul il-fruntiera mas-Somalja u l-Etjopja huma żoni aridi u semi-aridi b'pajsaġġi kważi-deżerta. Il-Kenja hija magħrufa għas-safaris tagħha, il-klima u l-ġeografija differenti, u r-riżervi espansivi tal-ħajja selvaġġa u l-parks nazzjonali bħall-Park Nazzjonali tal-Lvant u l-Punent Tsavo, il-Maasai Mara, il-Park Nazzjonali tal-Lag Nakuru, u l-Park Nazzjonali ta 'Aberdares. Il-Kenja għandha diversi siti ta 'wirt dinji bħal Lamu u bosta bajjiet, inklużi f'Diani, Bamburi u Kilifi, fejn kull sena jsiru kompetizzjonijiet ta' yachting internazzjonali.</v>
      </c>
    </row>
    <row r="13421" ht="15.75" customHeight="1">
      <c r="A13421" s="2" t="s">
        <v>13421</v>
      </c>
      <c r="B13421" s="2" t="str">
        <f>IFERROR(__xludf.DUMMYFUNCTION("GOOGLETRANSLATE(A13421, ""en"", ""mt"")"),"Solventi")</f>
        <v>Solventi</v>
      </c>
    </row>
    <row r="13422" ht="15.75" customHeight="1">
      <c r="A13422" s="2" t="s">
        <v>13422</v>
      </c>
      <c r="B13422" s="2" t="str">
        <f>IFERROR(__xludf.DUMMYFUNCTION("GOOGLETRANSLATE(A13422, ""en"", ""mt"")"),"Għal fejn il-biċċa l-kbira tal-abalone u l-awwista maqbuda fl-ilmijiet Vittorjani jintbagħtu?")</f>
        <v>Għal fejn il-biċċa l-kbira tal-abalone u l-awwista maqbuda fl-ilmijiet Vittorjani jintbagħtu?</v>
      </c>
    </row>
    <row r="13423" ht="15.75" customHeight="1">
      <c r="A13423" s="2" t="s">
        <v>13423</v>
      </c>
      <c r="B13423" s="2" t="str">
        <f>IFERROR(__xludf.DUMMYFUNCTION("GOOGLETRANSLATE(A13423, ""en"", ""mt"")"),"Trattat ta 'Ruma 1957 u t-Trattat ta' Maastricht 1992")</f>
        <v>Trattat ta 'Ruma 1957 u t-Trattat ta' Maastricht 1992</v>
      </c>
    </row>
    <row r="13424" ht="15.75" customHeight="1">
      <c r="A13424" s="2" t="s">
        <v>13424</v>
      </c>
      <c r="B13424" s="2" t="str">
        <f>IFERROR(__xludf.DUMMYFUNCTION("GOOGLETRANSLATE(A13424, ""en"", ""mt"")"),"X'inhu t-terminu għan-nuqqas ta 'quarks ħielsa li josservaw?")</f>
        <v>X'inhu t-terminu għan-nuqqas ta 'quarks ħielsa li josservaw?</v>
      </c>
    </row>
    <row r="13425" ht="15.75" customHeight="1">
      <c r="A13425" s="2" t="s">
        <v>13425</v>
      </c>
      <c r="B13425" s="2" t="str">
        <f>IFERROR(__xludf.DUMMYFUNCTION("GOOGLETRANSLATE(A13425, ""en"", ""mt"")"),"Fl-iktar akkwist komuni ta ’kostruzzjoni, min jaġixxi bħala l-koordinatur tal-proġett?")</f>
        <v>Fl-iktar akkwist komuni ta ’kostruzzjoni, min jaġixxi bħala l-koordinatur tal-proġett?</v>
      </c>
    </row>
    <row r="13426" ht="15.75" customHeight="1">
      <c r="A13426" s="2" t="s">
        <v>13426</v>
      </c>
      <c r="B13426" s="2" t="str">
        <f>IFERROR(__xludf.DUMMYFUNCTION("GOOGLETRANSLATE(A13426, ""en"", ""mt"")"),"X'inhi l-akbar belt fil-Kalifornja kollha?")</f>
        <v>X'inhi l-akbar belt fil-Kalifornja kollha?</v>
      </c>
    </row>
    <row r="13427" ht="15.75" customHeight="1">
      <c r="A13427" s="2" t="s">
        <v>13427</v>
      </c>
      <c r="B13427" s="2" t="str">
        <f>IFERROR(__xludf.DUMMYFUNCTION("GOOGLETRANSLATE(A13427, ""en"", ""mt"")"),"Huwa kien innota film bil-ħsara fil-laboratorju tiegħu f'esperimenti preċedenti")</f>
        <v>Huwa kien innota film bil-ħsara fil-laboratorju tiegħu f'esperimenti preċedenti</v>
      </c>
    </row>
    <row r="13428" ht="15.75" customHeight="1">
      <c r="A13428" s="2" t="s">
        <v>13428</v>
      </c>
      <c r="B13428" s="2" t="str">
        <f>IFERROR(__xludf.DUMMYFUNCTION("GOOGLETRANSLATE(A13428, ""en"", ""mt"")"),"X'inhuma l-membri parlamentari li ma jistgħux jivvutaw?")</f>
        <v>X'inhuma l-membri parlamentari li ma jistgħux jivvutaw?</v>
      </c>
    </row>
    <row r="13429" ht="15.75" customHeight="1">
      <c r="A13429" s="2" t="s">
        <v>13429</v>
      </c>
      <c r="B13429" s="2" t="str">
        <f>IFERROR(__xludf.DUMMYFUNCTION("GOOGLETRANSLATE(A13429, ""en"", ""mt"")"),"il-funzjonijiet tagħhom")</f>
        <v>il-funzjonijiet tagħhom</v>
      </c>
    </row>
    <row r="13430" ht="15.75" customHeight="1">
      <c r="A13430" s="2" t="s">
        <v>13430</v>
      </c>
      <c r="B13430" s="2" t="str">
        <f>IFERROR(__xludf.DUMMYFUNCTION("GOOGLETRANSLATE(A13430, ""en"", ""mt"")"),"żewġ atomi")</f>
        <v>żewġ atomi</v>
      </c>
    </row>
    <row r="13431" ht="15.75" customHeight="1">
      <c r="A13431" s="2" t="s">
        <v>13431</v>
      </c>
      <c r="B13431" s="2" t="str">
        <f>IFERROR(__xludf.DUMMYFUNCTION("GOOGLETRANSLATE(A13431, ""en"", ""mt"")"),"L-invażjoni falliet")</f>
        <v>L-invażjoni falliet</v>
      </c>
    </row>
    <row r="13432" ht="15.75" customHeight="1">
      <c r="A13432" s="2" t="s">
        <v>13432</v>
      </c>
      <c r="B13432" s="2" t="str">
        <f>IFERROR(__xludf.DUMMYFUNCTION("GOOGLETRANSLATE(A13432, ""en"", ""mt"")"),"Xi jfisser it-titlu Gür Khan?")</f>
        <v>Xi jfisser it-titlu Gür Khan?</v>
      </c>
    </row>
    <row r="13433" ht="15.75" customHeight="1">
      <c r="A13433" s="2" t="s">
        <v>13433</v>
      </c>
      <c r="B13433" s="2" t="str">
        <f>IFERROR(__xludf.DUMMYFUNCTION("GOOGLETRANSLATE(A13433, ""en"", ""mt"")"),"Daidu fit-tramuntana")</f>
        <v>Daidu fit-tramuntana</v>
      </c>
    </row>
    <row r="13434" ht="15.75" customHeight="1">
      <c r="A13434" s="2" t="s">
        <v>13434</v>
      </c>
      <c r="B13434" s="2" t="str">
        <f>IFERROR(__xludf.DUMMYFUNCTION("GOOGLETRANSLATE(A13434, ""en"", ""mt"")"),"rati ogħla")</f>
        <v>rati ogħla</v>
      </c>
    </row>
    <row r="13435" ht="15.75" customHeight="1">
      <c r="A13435" s="2" t="s">
        <v>13435</v>
      </c>
      <c r="B13435" s="2" t="str">
        <f>IFERROR(__xludf.DUMMYFUNCTION("GOOGLETRANSLATE(A13435, ""en"", ""mt"")"),"Fl-1939, c. 1,300,000 persuna għexu f'Varsavja, iżda fl-1945 - 420,000 biss. Matul l-ewwel snin wara l-gwerra, it-tkabbir tal-popolazzjoni kien ċ. 6%, hekk fi żmien qasir il-belt bdiet tbati min-nuqqas ta 'appartamenti u minn żoni għal djar ġodda. L-ewwel"&amp;" miżura ta 'rimedju kienet it-Tkabbir taż-Żona ta' Varsav Biex tikseb ir-reġistrazzjoni, u għalhekk tnaqqas bin-nofs it-tkabbir tal-popolazzjoni fis-snin ta 'wara. Huwa saħħaħ ukoll xi tip ta ’kundanna fost il-Pollakki li Varsovians ħasbu lilhom infushom "&amp;"bħala aħjar biss għax għexu fil-kapitali. Sfortunatament dan it-twemmin għadu jgħix fil-Polonja (għalkemm mhux daqs kemm kien qabel) - minkejja li mill-1990 m'hemmx limitazzjoni għar-reġistrazzjoni tar-residenza.")</f>
        <v>Fl-1939, c. 1,300,000 persuna għexu f'Varsavja, iżda fl-1945 - 420,000 biss. Matul l-ewwel snin wara l-gwerra, it-tkabbir tal-popolazzjoni kien ċ. 6%, hekk fi żmien qasir il-belt bdiet tbati min-nuqqas ta 'appartamenti u minn żoni għal djar ġodda. L-ewwel miżura ta 'rimedju kienet it-Tkabbir taż-Żona ta' Varsav Biex tikseb ir-reġistrazzjoni, u għalhekk tnaqqas bin-nofs it-tkabbir tal-popolazzjoni fis-snin ta 'wara. Huwa saħħaħ ukoll xi tip ta ’kundanna fost il-Pollakki li Varsovians ħasbu lilhom infushom bħala aħjar biss għax għexu fil-kapitali. Sfortunatament dan it-twemmin għadu jgħix fil-Polonja (għalkemm mhux daqs kemm kien qabel) - minkejja li mill-1990 m'hemmx limitazzjoni għar-reġistrazzjoni tar-residenza.</v>
      </c>
    </row>
    <row r="13436" ht="15.75" customHeight="1">
      <c r="A13436" s="2" t="s">
        <v>13436</v>
      </c>
      <c r="B13436" s="2" t="str">
        <f>IFERROR(__xludf.DUMMYFUNCTION("GOOGLETRANSLATE(A13436, ""en"", ""mt"")"),"Aħdar")</f>
        <v>Aħdar</v>
      </c>
    </row>
    <row r="13437" ht="15.75" customHeight="1">
      <c r="A13437" s="2" t="s">
        <v>13437</v>
      </c>
      <c r="B13437" s="2" t="str">
        <f>IFERROR(__xludf.DUMMYFUNCTION("GOOGLETRANSLATE(A13437, ""en"", ""mt"")"),"Il-plott tal-Amboise")</f>
        <v>Il-plott tal-Amboise</v>
      </c>
    </row>
    <row r="13438" ht="15.75" customHeight="1">
      <c r="A13438" s="2" t="s">
        <v>13438</v>
      </c>
      <c r="B13438" s="2" t="str">
        <f>IFERROR(__xludf.DUMMYFUNCTION("GOOGLETRANSLATE(A13438, ""en"", ""mt"")"),"difensini u żingu")</f>
        <v>difensini u żingu</v>
      </c>
    </row>
    <row r="13439" ht="15.75" customHeight="1">
      <c r="A13439" s="2" t="s">
        <v>13439</v>
      </c>
      <c r="B13439" s="2" t="str">
        <f>IFERROR(__xludf.DUMMYFUNCTION("GOOGLETRANSLATE(A13439, ""en"", ""mt"")"),"X'inhi t-temperatura approssimattiva tad-dħul tat-turbina ta 'turbina tal-gass?")</f>
        <v>X'inhi t-temperatura approssimattiva tad-dħul tat-turbina ta 'turbina tal-gass?</v>
      </c>
    </row>
    <row r="13440" ht="15.75" customHeight="1">
      <c r="A13440" s="2" t="s">
        <v>13440</v>
      </c>
      <c r="B13440" s="2" t="str">
        <f>IFERROR(__xludf.DUMMYFUNCTION("GOOGLETRANSLATE(A13440, ""en"", ""mt"")"),"Ta 'liema reġjun kienet parti sassonja?")</f>
        <v>Ta 'liema reġjun kienet parti sassonja?</v>
      </c>
    </row>
    <row r="13441" ht="15.75" customHeight="1">
      <c r="A13441" s="2" t="s">
        <v>13441</v>
      </c>
      <c r="B13441" s="2" t="str">
        <f>IFERROR(__xludf.DUMMYFUNCTION("GOOGLETRANSLATE(A13441, ""en"", ""mt"")"),"Xebh mas-sistema tal-kontrolli u l-bilanċi tal-Istati Uniti u ta 'ħafna gvernijiet oħra")</f>
        <v>Xebh mas-sistema tal-kontrolli u l-bilanċi tal-Istati Uniti u ta 'ħafna gvernijiet oħra</v>
      </c>
    </row>
    <row r="13442" ht="15.75" customHeight="1">
      <c r="A13442" s="2" t="s">
        <v>13442</v>
      </c>
      <c r="B13442" s="2" t="str">
        <f>IFERROR(__xludf.DUMMYFUNCTION("GOOGLETRANSLATE(A13442, ""en"", ""mt"")"),"Min għażel l-ewwel ekwipaġġ ta 'Apollo?")</f>
        <v>Min għażel l-ewwel ekwipaġġ ta 'Apollo?</v>
      </c>
    </row>
    <row r="13443" ht="15.75" customHeight="1">
      <c r="A13443" s="2" t="s">
        <v>13443</v>
      </c>
      <c r="B13443" s="2" t="str">
        <f>IFERROR(__xludf.DUMMYFUNCTION("GOOGLETRANSLATE(A13443, ""en"", ""mt"")"),"realtajiet tas-suq u tat-teknoloġija")</f>
        <v>realtajiet tas-suq u tat-teknoloġija</v>
      </c>
    </row>
    <row r="13444" ht="15.75" customHeight="1">
      <c r="A13444" s="2" t="s">
        <v>13444</v>
      </c>
      <c r="B13444" s="2" t="str">
        <f>IFERROR(__xludf.DUMMYFUNCTION("GOOGLETRANSLATE(A13444, ""en"", ""mt"")"),"Liema persentaġġ ta 'effiċjenza ta' magna bi pressjoni għolja kiseb il-magna energiprojekt AB?")</f>
        <v>Liema persentaġġ ta 'effiċjenza ta' magna bi pressjoni għolja kiseb il-magna energiprojekt AB?</v>
      </c>
    </row>
    <row r="13445" ht="15.75" customHeight="1">
      <c r="A13445" s="2" t="s">
        <v>13445</v>
      </c>
      <c r="B13445" s="2" t="str">
        <f>IFERROR(__xludf.DUMMYFUNCTION("GOOGLETRANSLATE(A13445, ""en"", ""mt"")"),"Min kienet il-gwerra tal-kurrenti li saret bejniethom?")</f>
        <v>Min kienet il-gwerra tal-kurrenti li saret bejniethom?</v>
      </c>
    </row>
    <row r="13446" ht="15.75" customHeight="1">
      <c r="A13446" s="2" t="s">
        <v>13446</v>
      </c>
      <c r="B13446" s="2" t="str">
        <f>IFERROR(__xludf.DUMMYFUNCTION("GOOGLETRANSLATE(A13446, ""en"", ""mt"")"),"Charles W. Eliot, il-President 1869–1909, elimina l-pożizzjoni favorita tal-Kristjaneżmu mill-kurrikulu waqt li fetaħha għall-awto-direzzjoni tal-istudenti. Filwaqt li Eliot kien l-iktar figura kruċjali fis-sekularizzazzjoni tal-edukazzjoni għolja Amerika"&amp;"na, huwa kien motivat mhux minn xewqa li sekularizza l-edukazzjoni, iżda minn kundanni unitarji traxxendentisti. Derivati ​​minn William Ellery Channing u Ralph Waldo Emerson, dawn il-kundanni kienu ffokati fuq id-dinjità u l-valur tan-natura umana, id-dr"&amp;"itt u l-abbiltà ta 'kull persuna li tipperċepixxi l-verità, u l-alla li qed toqgħod f'kull persuna.")</f>
        <v>Charles W. Eliot, il-President 1869–1909, elimina l-pożizzjoni favorita tal-Kristjaneżmu mill-kurrikulu waqt li fetaħha għall-awto-direzzjoni tal-istudenti. Filwaqt li Eliot kien l-iktar figura kruċjali fis-sekularizzazzjoni tal-edukazzjoni għolja Amerikana, huwa kien motivat mhux minn xewqa li sekularizza l-edukazzjoni, iżda minn kundanni unitarji traxxendentisti. Derivati ​​minn William Ellery Channing u Ralph Waldo Emerson, dawn il-kundanni kienu ffokati fuq id-dinjità u l-valur tan-natura umana, id-dritt u l-abbiltà ta 'kull persuna li tipperċepixxi l-verità, u l-alla li qed toqgħod f'kull persuna.</v>
      </c>
    </row>
    <row r="13447" ht="15.75" customHeight="1">
      <c r="A13447" s="2" t="s">
        <v>13447</v>
      </c>
      <c r="B13447" s="2" t="str">
        <f>IFERROR(__xludf.DUMMYFUNCTION("GOOGLETRANSLATE(A13447, ""en"", ""mt"")"),"Fl-1893 Richard Dean Adams, li mexxa l-kumpanija tal-kostruzzjoni tal-katarretti Niagara Falls fittex l-opinjoni ta 'Tesla dwar liema sistema tkun l-aħjar li tittrasmetti l-enerġija ġġenerata fil-Falls. Matul bosta snin kien hemm serje ta 'proposti u komp"&amp;"etizzjonijiet miftuħa dwar kif l-aħjar li tuża l-enerġija ġġenerata mill-waqgħat b'ħafna sistemi li jiġu proposti minn bosta kumpaniji tal-Istati Uniti u Ewropej inklużi AC b'żewġ fażijiet u tliet fażijiet, DC ta' vultaġġ għoli, u Anke arja kkompressata. "&amp;"Adams ippumpja lil Tesla għal informazzjoni dwar l-istat attwali tas-sistemi kollha li jikkompetu. Tesla tat parir lil Adams li sistema b'żewġ fażijiet kienet l-iktar affidabbli u li kien hemm sistema ta 'Westinghouse li tixgħel bozoz inkandexxenti bl-użu"&amp;" ta' kurrent alternattiv b'żewġ fażijiet. Ibbażat fuq il-parir ta 'Tesla u d-dimostrazzjoni ta' Westinghouse li jistgħu jibnu sistema AC kompluta fl-Espożizzjoni ta 'Kolumbja, kuntratt għall-bini ta' sistema ta 'ġenerazzjoni ta' AC b'żewġ fażijiet fin-Nia"&amp;"gara Falls ingħata lil Westinghouse Electric. Kuntratt ieħor biex tinbena s-sistema ta 'distribuzzjoni AC ingħata lil General Electric.")</f>
        <v>Fl-1893 Richard Dean Adams, li mexxa l-kumpanija tal-kostruzzjoni tal-katarretti Niagara Falls fittex l-opinjoni ta 'Tesla dwar liema sistema tkun l-aħjar li tittrasmetti l-enerġija ġġenerata fil-Falls. Matul bosta snin kien hemm serje ta 'proposti u kompetizzjonijiet miftuħa dwar kif l-aħjar li tuża l-enerġija ġġenerata mill-waqgħat b'ħafna sistemi li jiġu proposti minn bosta kumpaniji tal-Istati Uniti u Ewropej inklużi AC b'żewġ fażijiet u tliet fażijiet, DC ta' vultaġġ għoli, u Anke arja kkompressata. Adams ippumpja lil Tesla għal informazzjoni dwar l-istat attwali tas-sistemi kollha li jikkompetu. Tesla tat parir lil Adams li sistema b'żewġ fażijiet kienet l-iktar affidabbli u li kien hemm sistema ta 'Westinghouse li tixgħel bozoz inkandexxenti bl-użu ta' kurrent alternattiv b'żewġ fażijiet. Ibbażat fuq il-parir ta 'Tesla u d-dimostrazzjoni ta' Westinghouse li jistgħu jibnu sistema AC kompluta fl-Espożizzjoni ta 'Kolumbja, kuntratt għall-bini ta' sistema ta 'ġenerazzjoni ta' AC b'żewġ fażijiet fin-Niagara Falls ingħata lil Westinghouse Electric. Kuntratt ieħor biex tinbena s-sistema ta 'distribuzzjoni AC ingħata lil General Electric.</v>
      </c>
    </row>
    <row r="13448" ht="15.75" customHeight="1">
      <c r="A13448" s="2" t="s">
        <v>13448</v>
      </c>
      <c r="B13448" s="2" t="str">
        <f>IFERROR(__xludf.DUMMYFUNCTION("GOOGLETRANSLATE(A13448, ""en"", ""mt"")"),"isuq lil Iżrael barra mill-istrixxa ta ’Gaża")</f>
        <v>isuq lil Iżrael barra mill-istrixxa ta ’Gaża</v>
      </c>
    </row>
    <row r="13449" ht="15.75" customHeight="1">
      <c r="A13449" s="2" t="s">
        <v>13449</v>
      </c>
      <c r="B13449" s="2" t="str">
        <f>IFERROR(__xludf.DUMMYFUNCTION("GOOGLETRANSLATE(A13449, ""en"", ""mt"")"),"Fejn twieled Halford Mackinder?")</f>
        <v>Fejn twieled Halford Mackinder?</v>
      </c>
    </row>
    <row r="13450" ht="15.75" customHeight="1">
      <c r="A13450" s="2" t="s">
        <v>13450</v>
      </c>
      <c r="B13450" s="2" t="str">
        <f>IFERROR(__xludf.DUMMYFUNCTION("GOOGLETRANSLATE(A13450, ""en"", ""mt"")"),"X'inhi tifsira addizzjonali maħsuba meta tintuża l-kelma prim?")</f>
        <v>X'inhi tifsira addizzjonali maħsuba meta tintuża l-kelma prim?</v>
      </c>
    </row>
    <row r="13451" ht="15.75" customHeight="1">
      <c r="A13451" s="2" t="s">
        <v>13451</v>
      </c>
      <c r="B13451" s="2" t="str">
        <f>IFERROR(__xludf.DUMMYFUNCTION("GOOGLETRANSLATE(A13451, ""en"", ""mt"")"),"Linja ta 'ħames stilel irranġati fis-sema")</f>
        <v>Linja ta 'ħames stilel irranġati fis-sema</v>
      </c>
    </row>
    <row r="13452" ht="15.75" customHeight="1">
      <c r="A13452" s="2" t="s">
        <v>13452</v>
      </c>
      <c r="B13452" s="2" t="str">
        <f>IFERROR(__xludf.DUMMYFUNCTION("GOOGLETRANSLATE(A13452, ""en"", ""mt"")"),"New Jersey, Rhode Island u Delaware")</f>
        <v>New Jersey, Rhode Island u Delaware</v>
      </c>
    </row>
    <row r="13453" ht="15.75" customHeight="1">
      <c r="A13453" s="2" t="s">
        <v>13453</v>
      </c>
      <c r="B13453" s="2" t="str">
        <f>IFERROR(__xludf.DUMMYFUNCTION("GOOGLETRANSLATE(A13453, ""en"", ""mt"")"),"X'tip ta 'investigazzjonijiet tal-gvern japplikaw għad-diżubbidjenza ċivili?")</f>
        <v>X'tip ta 'investigazzjonijiet tal-gvern japplikaw għad-diżubbidjenza ċivili?</v>
      </c>
    </row>
    <row r="13454" ht="15.75" customHeight="1">
      <c r="A13454" s="2" t="s">
        <v>13454</v>
      </c>
      <c r="B13454" s="2" t="str">
        <f>IFERROR(__xludf.DUMMYFUNCTION("GOOGLETRANSLATE(A13454, ""en"", ""mt"")"),"Hekk kif it-territorji indiġeni jibqgħu jinqerdu mid-deforestazzjoni u l-ekokokide, bħal fil-komunitajiet tal-foresti tal-foresti tal-popli indiġeni Peruvjani jibqgħu jisparixxu, filwaqt li oħrajn, bħall-Urarina jibqgħu jissieltu biex jiġġieldu għas-sopra"&amp;"vivenza kulturali tagħhom u d-destin tat-territorji forestati tagħhom. Sadanittant, ir-relazzjoni bejn il-primati mhux umani fis-sussistenza u s-simboliżmu tal-popli tal-Amerika t'Isfel Indiġeni kisbet attenzjoni akbar, bħalma għamlu l-isforzi tal-etno-bi"&amp;"joloġija u l-isforzi ta 'konservazzjoni bbażati fil-komunità.")</f>
        <v>Hekk kif it-territorji indiġeni jibqgħu jinqerdu mid-deforestazzjoni u l-ekokokide, bħal fil-komunitajiet tal-foresti tal-foresti tal-popli indiġeni Peruvjani jibqgħu jisparixxu, filwaqt li oħrajn, bħall-Urarina jibqgħu jissieltu biex jiġġieldu għas-sopravivenza kulturali tagħhom u d-destin tat-territorji forestati tagħhom. Sadanittant, ir-relazzjoni bejn il-primati mhux umani fis-sussistenza u s-simboliżmu tal-popli tal-Amerika t'Isfel Indiġeni kisbet attenzjoni akbar, bħalma għamlu l-isforzi tal-etno-bijoloġija u l-isforzi ta 'konservazzjoni bbażati fil-komunità.</v>
      </c>
    </row>
    <row r="13455" ht="15.75" customHeight="1">
      <c r="A13455" s="2" t="s">
        <v>13455</v>
      </c>
      <c r="B13455" s="2" t="str">
        <f>IFERROR(__xludf.DUMMYFUNCTION("GOOGLETRANSLATE(A13455, ""en"", ""mt"")"),"arżnu")</f>
        <v>arżnu</v>
      </c>
    </row>
    <row r="13456" ht="15.75" customHeight="1">
      <c r="A13456" s="2" t="s">
        <v>13456</v>
      </c>
      <c r="B13456" s="2" t="str">
        <f>IFERROR(__xludf.DUMMYFUNCTION("GOOGLETRANSLATE(A13456, ""en"", ""mt"")"),"Skond il-Fondazzjoni Nobel x'għandu jiġri qabel ma xi ħadd jista 'jirrifjuta premju?")</f>
        <v>Skond il-Fondazzjoni Nobel x'għandu jiġri qabel ma xi ħadd jista 'jirrifjuta premju?</v>
      </c>
    </row>
    <row r="13457" ht="15.75" customHeight="1">
      <c r="A13457" s="2" t="s">
        <v>13457</v>
      </c>
      <c r="B13457" s="2" t="str">
        <f>IFERROR(__xludf.DUMMYFUNCTION("GOOGLETRANSLATE(A13457, ""en"", ""mt"")"),"X'inhu, aktar milli l-Iżlamiżmu, teħtieġ spjegazzjoni?")</f>
        <v>X'inhu, aktar milli l-Iżlamiżmu, teħtieġ spjegazzjoni?</v>
      </c>
    </row>
    <row r="13458" ht="15.75" customHeight="1">
      <c r="A13458" s="2" t="s">
        <v>13458</v>
      </c>
      <c r="B13458" s="2" t="str">
        <f>IFERROR(__xludf.DUMMYFUNCTION("GOOGLETRANSLATE(A13458, ""en"", ""mt"")"),"Fl-1979, l-Unjoni Sovjetika skjerat l-40 Armata tagħha fl-Afganistan, u ppruvat trażżan ribelljoni Iżlamika kontra reġim Marxista Alleat fil-Gwerra Ċivili Afgana. Il-kunflitt, li jpoġġi Musulmani fqar indiġeni (mujahideen) kontra superpotenza anti-reliġju"&amp;"ża, galvanizzaw eluf ta 'Musulmani madwar id-dinja biex jibagħtu l-għajnuna u xi kultant imorru huma stess biex jiġġieldu għall-fidi tagħhom. Li tmexxi dan l-isforz pan-Iżlamiku kien il-Palestinjan Sheikh Abdullah Yusuf Azzam. Filwaqt li l-effikaċja milit"&amp;"ari ta 'dawn l- ""Għarab Afgani"" kienet marġinali, huwa stmat li 16,000 sa 35,000 voluntier Musulman ġew minn madwar id-dinja ġew biex jiġġieldu fl-Afganistan.")</f>
        <v>Fl-1979, l-Unjoni Sovjetika skjerat l-40 Armata tagħha fl-Afganistan, u ppruvat trażżan ribelljoni Iżlamika kontra reġim Marxista Alleat fil-Gwerra Ċivili Afgana. Il-kunflitt, li jpoġġi Musulmani fqar indiġeni (mujahideen) kontra superpotenza anti-reliġjuża, galvanizzaw eluf ta 'Musulmani madwar id-dinja biex jibagħtu l-għajnuna u xi kultant imorru huma stess biex jiġġieldu għall-fidi tagħhom. Li tmexxi dan l-isforz pan-Iżlamiku kien il-Palestinjan Sheikh Abdullah Yusuf Azzam. Filwaqt li l-effikaċja militari ta 'dawn l- "Għarab Afgani" kienet marġinali, huwa stmat li 16,000 sa 35,000 voluntier Musulman ġew minn madwar id-dinja ġew biex jiġġieldu fl-Afganistan.</v>
      </c>
    </row>
    <row r="13459" ht="15.75" customHeight="1">
      <c r="A13459" s="2" t="s">
        <v>13459</v>
      </c>
      <c r="B13459" s="2" t="str">
        <f>IFERROR(__xludf.DUMMYFUNCTION("GOOGLETRANSLATE(A13459, ""en"", ""mt"")"),"Kemm-il sena jkopri l-kollezzjonijiet tal-V &amp; A?")</f>
        <v>Kemm-il sena jkopri l-kollezzjonijiet tal-V &amp; A?</v>
      </c>
    </row>
    <row r="13460" ht="15.75" customHeight="1">
      <c r="A13460" s="2" t="s">
        <v>13460</v>
      </c>
      <c r="B13460" s="2" t="str">
        <f>IFERROR(__xludf.DUMMYFUNCTION("GOOGLETRANSLATE(A13460, ""en"", ""mt"")"),"Dipartiment tal-Affarijiet tal-Istat")</f>
        <v>Dipartiment tal-Affarijiet tal-Istat</v>
      </c>
    </row>
    <row r="13461" ht="15.75" customHeight="1">
      <c r="A13461" s="2" t="s">
        <v>13461</v>
      </c>
      <c r="B13461" s="2" t="str">
        <f>IFERROR(__xludf.DUMMYFUNCTION("GOOGLETRANSLATE(A13461, ""en"", ""mt"")"),"Is-suċċess tal-patoġeni huwa mbassar fuq il-kapaċità tagħhom li jagħmlu xiex?")</f>
        <v>Is-suċċess tal-patoġeni huwa mbassar fuq il-kapaċità tagħhom li jagħmlu xiex?</v>
      </c>
    </row>
    <row r="13462" ht="15.75" customHeight="1">
      <c r="A13462" s="2" t="s">
        <v>13462</v>
      </c>
      <c r="B13462" s="2" t="str">
        <f>IFERROR(__xludf.DUMMYFUNCTION("GOOGLETRANSLATE(A13462, ""en"", ""mt"")"),"Meta beda t-tisħin mgħaġġel u jgħin il-veġetazzjoni?")</f>
        <v>Meta beda t-tisħin mgħaġġel u jgħin il-veġetazzjoni?</v>
      </c>
    </row>
    <row r="13463" ht="15.75" customHeight="1">
      <c r="A13463" s="2" t="s">
        <v>13463</v>
      </c>
      <c r="B13463" s="2" t="str">
        <f>IFERROR(__xludf.DUMMYFUNCTION("GOOGLETRANSLATE(A13463, ""en"", ""mt"")"),"Franz Pieper")</f>
        <v>Franz Pieper</v>
      </c>
    </row>
    <row r="13464" ht="15.75" customHeight="1">
      <c r="A13464" s="2" t="s">
        <v>13464</v>
      </c>
      <c r="B13464" s="2" t="str">
        <f>IFERROR(__xludf.DUMMYFUNCTION("GOOGLETRANSLATE(A13464, ""en"", ""mt"")"),"Tabib tal-ispiżerija")</f>
        <v>Tabib tal-ispiżerija</v>
      </c>
    </row>
    <row r="13465" ht="15.75" customHeight="1">
      <c r="A13465" s="2" t="s">
        <v>13465</v>
      </c>
      <c r="B13465" s="2" t="str">
        <f>IFERROR(__xludf.DUMMYFUNCTION("GOOGLETRANSLATE(A13465, ""en"", ""mt"")"),"X'tipi ta 'mewġ jużaw is-sismologi biex jimmaġinaw l-intern tad-dinja?")</f>
        <v>X'tipi ta 'mewġ jużaw is-sismologi biex jimmaġinaw l-intern tad-dinja?</v>
      </c>
    </row>
    <row r="13466" ht="15.75" customHeight="1">
      <c r="A13466" s="2" t="s">
        <v>13466</v>
      </c>
      <c r="B13466" s="2" t="str">
        <f>IFERROR(__xludf.DUMMYFUNCTION("GOOGLETRANSLATE(A13466, ""en"", ""mt"")"),"Kif huwa miktub Temüjin f'Pinyin?")</f>
        <v>Kif huwa miktub Temüjin f'Pinyin?</v>
      </c>
    </row>
    <row r="13467" ht="15.75" customHeight="1">
      <c r="A13467" s="2" t="s">
        <v>13467</v>
      </c>
      <c r="B13467" s="2" t="str">
        <f>IFERROR(__xludf.DUMMYFUNCTION("GOOGLETRANSLATE(A13467, ""en"", ""mt"")"),"Inkurunazzjoni doppja")</f>
        <v>Inkurunazzjoni doppja</v>
      </c>
    </row>
    <row r="13468" ht="15.75" customHeight="1">
      <c r="A13468" s="2" t="s">
        <v>13468</v>
      </c>
      <c r="B13468" s="2" t="str">
        <f>IFERROR(__xludf.DUMMYFUNCTION("GOOGLETRANSLATE(A13468, ""en"", ""mt"")"),"Amazonia: raġel u kultura fi ġenna ffalsifikata")</f>
        <v>Amazonia: raġel u kultura fi ġenna ffalsifikata</v>
      </c>
    </row>
    <row r="13469" ht="15.75" customHeight="1">
      <c r="A13469" s="2" t="s">
        <v>13469</v>
      </c>
      <c r="B13469" s="2" t="str">
        <f>IFERROR(__xludf.DUMMYFUNCTION("GOOGLETRANSLATE(A13469, ""en"", ""mt"")"),"Guinness World Records")</f>
        <v>Guinness World Records</v>
      </c>
    </row>
    <row r="13470" ht="15.75" customHeight="1">
      <c r="A13470" s="2" t="s">
        <v>13470</v>
      </c>
      <c r="B13470" s="2" t="str">
        <f>IFERROR(__xludf.DUMMYFUNCTION("GOOGLETRANSLATE(A13470, ""en"", ""mt"")"),"Liema ħut li jgħix fix-xmara Amazon huwa magħruf li jigdem il-bnedmin?")</f>
        <v>Liema ħut li jgħix fix-xmara Amazon huwa magħruf li jigdem il-bnedmin?</v>
      </c>
    </row>
    <row r="13471" ht="15.75" customHeight="1">
      <c r="A13471" s="2" t="s">
        <v>13471</v>
      </c>
      <c r="B13471" s="2" t="str">
        <f>IFERROR(__xludf.DUMMYFUNCTION("GOOGLETRANSLATE(A13471, ""en"", ""mt"")"),"Kemm ħallas Westinghouse għad-disinji ta 'Tesla?")</f>
        <v>Kemm ħallas Westinghouse għad-disinji ta 'Tesla?</v>
      </c>
    </row>
    <row r="13472" ht="15.75" customHeight="1">
      <c r="A13472" s="2" t="s">
        <v>13472</v>
      </c>
      <c r="B13472" s="2" t="str">
        <f>IFERROR(__xludf.DUMMYFUNCTION("GOOGLETRANSLATE(A13472, ""en"", ""mt"")"),"Meta l-gvern Brittaniku ta l-art għall-iżvilupp tal-pajjiż tal-Ohio?")</f>
        <v>Meta l-gvern Brittaniku ta l-art għall-iżvilupp tal-pajjiż tal-Ohio?</v>
      </c>
    </row>
    <row r="13473" ht="15.75" customHeight="1">
      <c r="A13473" s="2" t="s">
        <v>13473</v>
      </c>
      <c r="B13473" s="2" t="str">
        <f>IFERROR(__xludf.DUMMYFUNCTION("GOOGLETRANSLATE(A13473, ""en"", ""mt"")"),"Fratellanza")</f>
        <v>Fratellanza</v>
      </c>
    </row>
    <row r="13474" ht="15.75" customHeight="1">
      <c r="A13474" s="2" t="s">
        <v>13474</v>
      </c>
      <c r="B13474" s="2" t="str">
        <f>IFERROR(__xludf.DUMMYFUNCTION("GOOGLETRANSLATE(A13474, ""en"", ""mt"")"),"Eżempju modern ta 'dixxiplina tal-iskola fl-Amerika ta' Fuq u fl-Ewropa tal-Punent jiddependi fuq l-idea ta 'għalliem assertiv li huwa lest li jimponi r-rieda tagħhom fuq klassi. It-tisħiħ pożittiv huwa bbilanċjat bil-piena immedjata u ġusta għal imġieba "&amp;"ħażina u soda, fruntieri ċari jiddefinixxu dak li hu xieraq u mhux xieraq. L-għalliema huma mistennija jirrispettaw l-istudenti tagħhom; Sarcasm u tentattivi biex umiljaw lill-istudenti huma meqjusa bħala li jaqgħu barra minn dak li jikkostitwixxi dixxipl"&amp;"ina raġonevoli. [Verifika meħtieġa]")</f>
        <v>Eżempju modern ta 'dixxiplina tal-iskola fl-Amerika ta' Fuq u fl-Ewropa tal-Punent jiddependi fuq l-idea ta 'għalliem assertiv li huwa lest li jimponi r-rieda tagħhom fuq klassi. It-tisħiħ pożittiv huwa bbilanċjat bil-piena immedjata u ġusta għal imġieba ħażina u soda, fruntieri ċari jiddefinixxu dak li hu xieraq u mhux xieraq. L-għalliema huma mistennija jirrispettaw l-istudenti tagħhom; Sarcasm u tentattivi biex umiljaw lill-istudenti huma meqjusa bħala li jaqgħu barra minn dak li jikkostitwixxi dixxiplina raġonevoli. [Verifika meħtieġa]</v>
      </c>
    </row>
    <row r="13475" ht="15.75" customHeight="1">
      <c r="A13475" s="2" t="s">
        <v>13475</v>
      </c>
      <c r="B13475" s="2" t="str">
        <f>IFERROR(__xludf.DUMMYFUNCTION("GOOGLETRANSLATE(A13475, ""en"", ""mt"")"),"Rebeljoni Ċivili")</f>
        <v>Rebeljoni Ċivili</v>
      </c>
    </row>
    <row r="13476" ht="15.75" customHeight="1">
      <c r="A13476" s="2" t="s">
        <v>13476</v>
      </c>
      <c r="B13476" s="2" t="str">
        <f>IFERROR(__xludf.DUMMYFUNCTION("GOOGLETRANSLATE(A13476, ""en"", ""mt"")"),"kieku ma kinux diskriminatorji")</f>
        <v>kieku ma kinux diskriminatorji</v>
      </c>
    </row>
    <row r="13477" ht="15.75" customHeight="1">
      <c r="A13477" s="2" t="s">
        <v>13477</v>
      </c>
      <c r="B13477" s="2" t="str">
        <f>IFERROR(__xludf.DUMMYFUNCTION("GOOGLETRANSLATE(A13477, ""en"", ""mt"")"),"John Harvard")</f>
        <v>John Harvard</v>
      </c>
    </row>
    <row r="13478" ht="15.75" customHeight="1">
      <c r="A13478" s="2" t="s">
        <v>13478</v>
      </c>
      <c r="B13478" s="2" t="str">
        <f>IFERROR(__xludf.DUMMYFUNCTION("GOOGLETRANSLATE(A13478, ""en"", ""mt"")"),"Paraxut")</f>
        <v>Paraxut</v>
      </c>
    </row>
    <row r="13479" ht="15.75" customHeight="1">
      <c r="A13479" s="2" t="s">
        <v>13479</v>
      </c>
      <c r="B13479" s="2" t="str">
        <f>IFERROR(__xludf.DUMMYFUNCTION("GOOGLETRANSLATE(A13479, ""en"", ""mt"")"),"X'inhu l-isem tal-kolonja Franċiża stabbilita fl-1564?")</f>
        <v>X'inhu l-isem tal-kolonja Franċiża stabbilita fl-1564?</v>
      </c>
    </row>
    <row r="13480" ht="15.75" customHeight="1">
      <c r="A13480" s="2" t="s">
        <v>13480</v>
      </c>
      <c r="B13480" s="2" t="str">
        <f>IFERROR(__xludf.DUMMYFUNCTION("GOOGLETRANSLATE(A13480, ""en"", ""mt"")"),"karozzi")</f>
        <v>karozzi</v>
      </c>
    </row>
    <row r="13481" ht="15.75" customHeight="1">
      <c r="A13481" s="2" t="s">
        <v>13481</v>
      </c>
      <c r="B13481" s="2" t="str">
        <f>IFERROR(__xludf.DUMMYFUNCTION("GOOGLETRANSLATE(A13481, ""en"", ""mt"")"),"tonqos")</f>
        <v>tonqos</v>
      </c>
    </row>
    <row r="13482" ht="15.75" customHeight="1">
      <c r="A13482" s="2" t="s">
        <v>13482</v>
      </c>
      <c r="B13482" s="2" t="str">
        <f>IFERROR(__xludf.DUMMYFUNCTION("GOOGLETRANSLATE(A13482, ""en"", ""mt"")"),"Liema pajjiż razzjonat il-gażolina u l-gass tat-tisħin?")</f>
        <v>Liema pajjiż razzjonat il-gażolina u l-gass tat-tisħin?</v>
      </c>
    </row>
    <row r="13483" ht="15.75" customHeight="1">
      <c r="A13483" s="2" t="s">
        <v>13483</v>
      </c>
      <c r="B13483" s="2" t="str">
        <f>IFERROR(__xludf.DUMMYFUNCTION("GOOGLETRANSLATE(A13483, ""en"", ""mt"")"),"Vettura Lunar Roving (LRV)")</f>
        <v>Vettura Lunar Roving (LRV)</v>
      </c>
    </row>
    <row r="13484" ht="15.75" customHeight="1">
      <c r="A13484" s="2" t="s">
        <v>13484</v>
      </c>
      <c r="B13484" s="2" t="str">
        <f>IFERROR(__xludf.DUMMYFUNCTION("GOOGLETRANSLATE(A13484, ""en"", ""mt"")"),"Min ipproteġi lil Jamukha wara li ħarab mill-kunflitt ma 'Temüjin?")</f>
        <v>Min ipproteġi lil Jamukha wara li ħarab mill-kunflitt ma 'Temüjin?</v>
      </c>
    </row>
    <row r="13485" ht="15.75" customHeight="1">
      <c r="A13485" s="2" t="s">
        <v>13485</v>
      </c>
      <c r="B13485" s="2" t="str">
        <f>IFERROR(__xludf.DUMMYFUNCTION("GOOGLETRANSLATE(A13485, ""en"", ""mt"")"),"Min espost it-tliet liġijiet tal-mozzjoni?")</f>
        <v>Min espost it-tliet liġijiet tal-mozzjoni?</v>
      </c>
    </row>
    <row r="13486" ht="15.75" customHeight="1">
      <c r="A13486" s="2" t="s">
        <v>13486</v>
      </c>
      <c r="B13486" s="2" t="str">
        <f>IFERROR(__xludf.DUMMYFUNCTION("GOOGLETRANSLATE(A13486, ""en"", ""mt"")"),"Minbarra s-Sala tal-Assemblea Ġenerali, il-Parlament uża wkoll bini mikri mill-Kunsill tal-Belt ta 'Edinburgu. L-ex bini amministrattiv tal-Kunsill Reġjonali Lothian fuq George IV Bridge intuża għall-uffiċċji tal-MSP. Wara l-mixja lejn Holyrood fl-2004 da"&amp;"n il-bini ġie mwaqqa '. L-ex bini tal-Kontea Midlothian li qed jiffaċċja l-Pjazza tal-Parlament, Triq il-Kbira u George IV Bridge f'Edinburgu (oriġinarjament mibni bħala l-kwartieri ġenerali tal-Kunsill tal-Kontea Midlothian ta 'qabel l-1975) alloġġja ċ-Ċ"&amp;"entru u l-Ħanut tal-Viżitaturi tal-Parlament, filwaqt li s-sala ewlenija kienet użata bħala l-Parlament Kamra tal-Kumitat Prinċipali.")</f>
        <v>Minbarra s-Sala tal-Assemblea Ġenerali, il-Parlament uża wkoll bini mikri mill-Kunsill tal-Belt ta 'Edinburgu. L-ex bini amministrattiv tal-Kunsill Reġjonali Lothian fuq George IV Bridge intuża għall-uffiċċji tal-MSP. Wara l-mixja lejn Holyrood fl-2004 dan il-bini ġie mwaqqa '. L-ex bini tal-Kontea Midlothian li qed jiffaċċja l-Pjazza tal-Parlament, Triq il-Kbira u George IV Bridge f'Edinburgu (oriġinarjament mibni bħala l-kwartieri ġenerali tal-Kunsill tal-Kontea Midlothian ta 'qabel l-1975) alloġġja ċ-Ċentru u l-Ħanut tal-Viżitaturi tal-Parlament, filwaqt li s-sala ewlenija kienet użata bħala l-Parlament Kamra tal-Kumitat Prinċipali.</v>
      </c>
    </row>
    <row r="13487" ht="15.75" customHeight="1">
      <c r="A13487" s="2" t="s">
        <v>13487</v>
      </c>
      <c r="B13487" s="2" t="str">
        <f>IFERROR(__xludf.DUMMYFUNCTION("GOOGLETRANSLATE(A13487, ""en"", ""mt"")"),"Kurrenti tal-marea")</f>
        <v>Kurrenti tal-marea</v>
      </c>
    </row>
    <row r="13488" ht="15.75" customHeight="1">
      <c r="A13488" s="2" t="s">
        <v>13488</v>
      </c>
      <c r="B13488" s="2" t="str">
        <f>IFERROR(__xludf.DUMMYFUNCTION("GOOGLETRANSLATE(A13488, ""en"", ""mt"")"),"Ir-Renu")</f>
        <v>Ir-Renu</v>
      </c>
    </row>
    <row r="13489" ht="15.75" customHeight="1">
      <c r="A13489" s="2" t="s">
        <v>13489</v>
      </c>
      <c r="B13489" s="2" t="str">
        <f>IFERROR(__xludf.DUMMYFUNCTION("GOOGLETRANSLATE(A13489, ""en"", ""mt"")"),"xadina mħarrġa")</f>
        <v>xadina mħarrġa</v>
      </c>
    </row>
    <row r="13490" ht="15.75" customHeight="1">
      <c r="A13490" s="2" t="s">
        <v>13490</v>
      </c>
      <c r="B13490" s="2" t="str">
        <f>IFERROR(__xludf.DUMMYFUNCTION("GOOGLETRANSLATE(A13490, ""en"", ""mt"")"),"In-Nofsinhar tal-Kalifornja tinkludi ż-żona urbana mibnija ħafna tul il-kosta tal-Paċifiku minn Ventura, permezz tal-Greater Los Angeles Area u l-Imperu Intern, u 'l isfel għall-Greater San Diego. Il-popolazzjoni tan-Nofsinhar ta 'California tiġbor fiha s"&amp;"eba' żoni metropolitani, jew MSAs: iż-żona metropolitana ta 'Los Angeles, li tikkonsisti minn kontej ta' Los Angeles u Orange; l-imperu intern, li jikkonsisti minn kontej Riverside u San Bernardino; iż-żona metropolitana ta 'San Diego; Iż-żona metropolita"&amp;"na ta 'Oxnard - Elf Oaks-Ventura; iż-żona tal-metro Santa Barbara; iż-żona metropolitana ta 'San Luis Obispo; u ż-żona El Centro. Minn dawn, tlieta huma żoni b'popolazzjoni qawwija: iż-żona ta 'Los Angeles b'aktar minn 12-il miljun abitant, iż-żona Rivers"&amp;"ide-San Bernardino b'aktar minn erba' miljun abitant, u ż-żona ta 'San Diego b'aktar minn 3 miljun abitant. Għal skopijiet metropolitani CSA, il-ħames kontej ta 'Los Angeles, Orange, Riverside, San Bernardino, u Ventura huma kollha kkombinati biex jagħmlu"&amp;" l-akbar żona ta' Los Angeles b'aktar minn 17.5 miljun persuna. B'aktar minn 22 miljun persuna, in-Nofsinhar ta 'California fih madwar 60 fil-mija tal-popolazzjoni ta' California.")</f>
        <v>In-Nofsinhar tal-Kalifornja tinkludi ż-żona urbana mibnija ħafna tul il-kosta tal-Paċifiku minn Ventura, permezz tal-Greater Los Angeles Area u l-Imperu Intern, u 'l isfel għall-Greater San Diego. Il-popolazzjoni tan-Nofsinhar ta 'California tiġbor fiha seba' żoni metropolitani, jew MSAs: iż-żona metropolitana ta 'Los Angeles, li tikkonsisti minn kontej ta' Los Angeles u Orange; l-imperu intern, li jikkonsisti minn kontej Riverside u San Bernardino; iż-żona metropolitana ta 'San Diego; Iż-żona metropolitana ta 'Oxnard - Elf Oaks-Ventura; iż-żona tal-metro Santa Barbara; iż-żona metropolitana ta 'San Luis Obispo; u ż-żona El Centro. Minn dawn, tlieta huma żoni b'popolazzjoni qawwija: iż-żona ta 'Los Angeles b'aktar minn 12-il miljun abitant, iż-żona Riverside-San Bernardino b'aktar minn erba' miljun abitant, u ż-żona ta 'San Diego b'aktar minn 3 miljun abitant. Għal skopijiet metropolitani CSA, il-ħames kontej ta 'Los Angeles, Orange, Riverside, San Bernardino, u Ventura huma kollha kkombinati biex jagħmlu l-akbar żona ta' Los Angeles b'aktar minn 17.5 miljun persuna. B'aktar minn 22 miljun persuna, in-Nofsinhar ta 'California fih madwar 60 fil-mija tal-popolazzjoni ta' California.</v>
      </c>
    </row>
    <row r="13491" ht="15.75" customHeight="1">
      <c r="A13491" s="2" t="s">
        <v>13491</v>
      </c>
      <c r="B13491" s="2" t="str">
        <f>IFERROR(__xludf.DUMMYFUNCTION("GOOGLETRANSLATE(A13491, ""en"", ""mt"")"),"Mike Tolbert")</f>
        <v>Mike Tolbert</v>
      </c>
    </row>
    <row r="13492" ht="15.75" customHeight="1">
      <c r="A13492" s="2" t="s">
        <v>13492</v>
      </c>
      <c r="B13492" s="2" t="str">
        <f>IFERROR(__xludf.DUMMYFUNCTION("GOOGLETRANSLATE(A13492, ""en"", ""mt"")"),"X'tip ta 'kejl jirriżulta taħt ekwazzjonijiet ta' Schrodinger meta jużaw operaturi minflok varjabbli Newtonjani?")</f>
        <v>X'tip ta 'kejl jirriżulta taħt ekwazzjonijiet ta' Schrodinger meta jużaw operaturi minflok varjabbli Newtonjani?</v>
      </c>
    </row>
    <row r="13493" ht="15.75" customHeight="1">
      <c r="A13493" s="2" t="s">
        <v>13493</v>
      </c>
      <c r="B13493" s="2" t="str">
        <f>IFERROR(__xludf.DUMMYFUNCTION("GOOGLETRANSLATE(A13493, ""en"", ""mt"")"),"tniġġis")</f>
        <v>tniġġis</v>
      </c>
    </row>
    <row r="13494" ht="15.75" customHeight="1">
      <c r="A13494" s="2" t="s">
        <v>13494</v>
      </c>
      <c r="B13494" s="2" t="str">
        <f>IFERROR(__xludf.DUMMYFUNCTION("GOOGLETRANSLATE(A13494, ""en"", ""mt"")"),"Liema taqsimiet tad-dogma tal-knisja waslu Luther biex jaraw b'mod ieħor?")</f>
        <v>Liema taqsimiet tad-dogma tal-knisja waslu Luther biex jaraw b'mod ieħor?</v>
      </c>
    </row>
    <row r="13495" ht="15.75" customHeight="1">
      <c r="A13495" s="2" t="s">
        <v>13495</v>
      </c>
      <c r="B13495" s="2" t="str">
        <f>IFERROR(__xludf.DUMMYFUNCTION("GOOGLETRANSLATE(A13495, ""en"", ""mt"")"),"Prussja")</f>
        <v>Prussja</v>
      </c>
    </row>
    <row r="13496" ht="15.75" customHeight="1">
      <c r="A13496" s="2" t="s">
        <v>13496</v>
      </c>
      <c r="B13496" s="2" t="str">
        <f>IFERROR(__xludf.DUMMYFUNCTION("GOOGLETRANSLATE(A13496, ""en"", ""mt"")"),"Min huma komunement assoċjati mal-algoritmu tipikament ikkunsidrat bħala l-iktar effettiv fir-rigward tal-ġerarkija polinomjali finita u l-isomorfiżmu tal-graff?")</f>
        <v>Min huma komunement assoċjati mal-algoritmu tipikament ikkunsidrat bħala l-iktar effettiv fir-rigward tal-ġerarkija polinomjali finita u l-isomorfiżmu tal-graff?</v>
      </c>
    </row>
    <row r="13497" ht="15.75" customHeight="1">
      <c r="A13497" s="2" t="s">
        <v>13497</v>
      </c>
      <c r="B13497" s="2" t="str">
        <f>IFERROR(__xludf.DUMMYFUNCTION("GOOGLETRANSLATE(A13497, ""en"", ""mt"")"),"Liema korp ta 'tmexxija jaħtar kummissarji u l-Bord tal-Bank Ċentrali Ewropew?")</f>
        <v>Liema korp ta 'tmexxija jaħtar kummissarji u l-Bord tal-Bank Ċentrali Ewropew?</v>
      </c>
    </row>
    <row r="13498" ht="15.75" customHeight="1">
      <c r="A13498" s="2" t="s">
        <v>13498</v>
      </c>
      <c r="B13498" s="2" t="str">
        <f>IFERROR(__xludf.DUMMYFUNCTION("GOOGLETRANSLATE(A13498, ""en"", ""mt"")"),"Liema riżoluzzjoni tan-NU approvat l-IPCC?")</f>
        <v>Liema riżoluzzjoni tan-NU approvat l-IPCC?</v>
      </c>
    </row>
    <row r="13499" ht="15.75" customHeight="1">
      <c r="A13499" s="2" t="s">
        <v>13499</v>
      </c>
      <c r="B13499" s="2" t="str">
        <f>IFERROR(__xludf.DUMMYFUNCTION("GOOGLETRANSLATE(A13499, ""en"", ""mt"")"),"il-ħdax")</f>
        <v>il-ħdax</v>
      </c>
    </row>
    <row r="13500" ht="15.75" customHeight="1">
      <c r="A13500" s="2" t="s">
        <v>13500</v>
      </c>
      <c r="B13500" s="2" t="str">
        <f>IFERROR(__xludf.DUMMYFUNCTION("GOOGLETRANSLATE(A13500, ""en"", ""mt"")"),"bojkotts")</f>
        <v>bojkotts</v>
      </c>
    </row>
    <row r="13501" ht="15.75" customHeight="1">
      <c r="A13501" s="2" t="s">
        <v>13501</v>
      </c>
      <c r="B13501" s="2" t="str">
        <f>IFERROR(__xludf.DUMMYFUNCTION("GOOGLETRANSLATE(A13501, ""en"", ""mt"")"),"Marshall Cohen")</f>
        <v>Marshall Cohen</v>
      </c>
    </row>
    <row r="13502" ht="15.75" customHeight="1">
      <c r="A13502" s="2" t="s">
        <v>13502</v>
      </c>
      <c r="B13502" s="2" t="str">
        <f>IFERROR(__xludf.DUMMYFUNCTION("GOOGLETRANSLATE(A13502, ""en"", ""mt"")"),"Min kien il-Prim Ministru finali tal-Ġermanja tal-Lvant?")</f>
        <v>Min kien il-Prim Ministru finali tal-Ġermanja tal-Lvant?</v>
      </c>
    </row>
    <row r="13503" ht="15.75" customHeight="1">
      <c r="A13503" s="2" t="s">
        <v>13503</v>
      </c>
      <c r="B13503" s="2" t="str">
        <f>IFERROR(__xludf.DUMMYFUNCTION("GOOGLETRANSLATE(A13503, ""en"", ""mt"")"),"Matul l-ewwel gwerra Sino-Ġappuniża fl-1894, il-Ġappun assorba t-Tajwan. Bħala riżultat tal-gwerra Russo-Ġappuniża fl-1905, il-Ġappun ħa parti mill-Gżira Sakhalin mir-Russja. Il-Korea ġiet annessa fl-1910. Matul l-Ewwel Gwerra Dinjija, il-Ġappun ħa territ"&amp;"orji mikrija Ġermaniżi fil-provinċja ta 'Shandong taċ-Ċina, kif ukoll fil-Gżejjer Mariana, Caroline u Marshall. Fl-1918, il-Ġappun okkupa partijiet tar-Russja tal-Lvant Imbiegħed u partijiet tas-Siberja tal-Lvant bħala parteċipant fl-intervent tas-Siberja"&amp;". Fl-1931 il-Ġappun ħakmu Manchuria miċ-Ċina. Matul it-tieni gwerra Sino-Ġappuniża fl-1937, il-militar tal-Ġappun invada ċ-Ċina Ċentrali u sa tmiem il-Gwerra tal-Paċifiku, il-Ġappun kien ħakem ħafna mil-Lvant Imbiegħed, inklużi Ħong Kong, il-Vjetnam, il-K"&amp;"ambodja, il-Mjanmar, il-Filippini, l-Indoneżja, parti minn New Guinea u xi gżejjer tal-Oċean Paċifiku. Il-Ġappun invada wkoll it-Tajlandja, billi tagħfas il-pajjiż f'alleanza Tajlandiża / Ġappuniża. L-ambizzjonijiet kolonjali tagħha ntemmu mir-rebħa ta 'l"&amp;"-Istati Uniti fit-Tieni Gwerra Dinjija u t-trattati li ġejjin li ntbagħtu dawk it-territorji lill-Amministrazzjoni Amerikana jew is-sidien oriġinali tagħhom.")</f>
        <v>Matul l-ewwel gwerra Sino-Ġappuniża fl-1894, il-Ġappun assorba t-Tajwan. Bħala riżultat tal-gwerra Russo-Ġappuniża fl-1905, il-Ġappun ħa parti mill-Gżira Sakhalin mir-Russja. Il-Korea ġiet annessa fl-1910. Matul l-Ewwel Gwerra Dinjija, il-Ġappun ħa territorji mikrija Ġermaniżi fil-provinċja ta 'Shandong taċ-Ċina, kif ukoll fil-Gżejjer Mariana, Caroline u Marshall. Fl-1918, il-Ġappun okkupa partijiet tar-Russja tal-Lvant Imbiegħed u partijiet tas-Siberja tal-Lvant bħala parteċipant fl-intervent tas-Siberja. Fl-1931 il-Ġappun ħakmu Manchuria miċ-Ċina. Matul it-tieni gwerra Sino-Ġappuniża fl-1937, il-militar tal-Ġappun invada ċ-Ċina Ċentrali u sa tmiem il-Gwerra tal-Paċifiku, il-Ġappun kien ħakem ħafna mil-Lvant Imbiegħed, inklużi Ħong Kong, il-Vjetnam, il-Kambodja, il-Mjanmar, il-Filippini, l-Indoneżja, parti minn New Guinea u xi gżejjer tal-Oċean Paċifiku. Il-Ġappun invada wkoll it-Tajlandja, billi tagħfas il-pajjiż f'alleanza Tajlandiża / Ġappuniża. L-ambizzjonijiet kolonjali tagħha ntemmu mir-rebħa ta 'l-Istati Uniti fit-Tieni Gwerra Dinjija u t-trattati li ġejjin li ntbagħtu dawk it-territorji lill-Amministrazzjoni Amerikana jew is-sidien oriġinali tagħhom.</v>
      </c>
    </row>
    <row r="13504" ht="15.75" customHeight="1">
      <c r="A13504" s="2" t="s">
        <v>13504</v>
      </c>
      <c r="B13504" s="2" t="str">
        <f>IFERROR(__xludf.DUMMYFUNCTION("GOOGLETRANSLATE(A13504, ""en"", ""mt"")"),"Liema suddiviżjoni ġdida ta 'films ABC ipproduċiet programmazzjoni għal sindikazzjoni ta' l-Istati Uniti?")</f>
        <v>Liema suddiviżjoni ġdida ta 'films ABC ipproduċiet programmazzjoni għal sindikazzjoni ta' l-Istati Uniti?</v>
      </c>
    </row>
    <row r="13505" ht="15.75" customHeight="1">
      <c r="A13505" s="2" t="s">
        <v>13505</v>
      </c>
      <c r="B13505" s="2" t="str">
        <f>IFERROR(__xludf.DUMMYFUNCTION("GOOGLETRANSLATE(A13505, ""en"", ""mt"")"),"F'liema data kienet ir-rekord ta 'temperatura baxxa fi Fresno?")</f>
        <v>F'liema data kienet ir-rekord ta 'temperatura baxxa fi Fresno?</v>
      </c>
    </row>
    <row r="13506" ht="15.75" customHeight="1">
      <c r="A13506" s="2" t="s">
        <v>13506</v>
      </c>
      <c r="B13506" s="2" t="str">
        <f>IFERROR(__xludf.DUMMYFUNCTION("GOOGLETRANSLATE(A13506, ""en"", ""mt"")"),"Fejn kien eżiljat il-patrun ta 'Temüjin?")</f>
        <v>Fejn kien eżiljat il-patrun ta 'Temüjin?</v>
      </c>
    </row>
    <row r="13507" ht="15.75" customHeight="1">
      <c r="A13507" s="2" t="s">
        <v>13507</v>
      </c>
      <c r="B13507" s="2" t="str">
        <f>IFERROR(__xludf.DUMMYFUNCTION("GOOGLETRANSLATE(A13507, ""en"", ""mt"")"),"Is-saħħa fiżika fqira tiegħu għamlitu ttemprat qasir u saħansitra iktar ħarxa fil-kitbiet u l-kummenti tiegħu. Il-mara tiegħu Katharina kienet wieqfa billi qalet, ""Għeżież ir-raġel, int rude wisq,"" u huwa wieġeb, ""Huma qed jgħallmu lili biex inkun rude"&amp;"."" Fl-1545 u l-1546 Luther ippriedka tliet darbiet fil-knisja tas-suq f'Halle, joqgħod mal-ħabib tiegħu Justus Jonas matul il-Milied.")</f>
        <v>Is-saħħa fiżika fqira tiegħu għamlitu ttemprat qasir u saħansitra iktar ħarxa fil-kitbiet u l-kummenti tiegħu. Il-mara tiegħu Katharina kienet wieqfa billi qalet, "Għeżież ir-raġel, int rude wisq," u huwa wieġeb, "Huma qed jgħallmu lili biex inkun rude." Fl-1545 u l-1546 Luther ippriedka tliet darbiet fil-knisja tas-suq f'Halle, joqgħod mal-ħabib tiegħu Justus Jonas matul il-Milied.</v>
      </c>
    </row>
    <row r="13508" ht="15.75" customHeight="1">
      <c r="A13508" s="2" t="s">
        <v>13508</v>
      </c>
      <c r="B13508" s="2" t="str">
        <f>IFERROR(__xludf.DUMMYFUNCTION("GOOGLETRANSLATE(A13508, ""en"", ""mt"")"),"Liema aċidi amminiċi fihom kubrit?")</f>
        <v>Liema aċidi amminiċi fihom kubrit?</v>
      </c>
    </row>
    <row r="13509" ht="15.75" customHeight="1">
      <c r="A13509" s="2" t="s">
        <v>13509</v>
      </c>
      <c r="B13509" s="2" t="str">
        <f>IFERROR(__xludf.DUMMYFUNCTION("GOOGLETRANSLATE(A13509, ""en"", ""mt"")"),"Min ixandar esklussivament il-logħba bl-Ispanjol wara li laħaq ftehim mal-NFL u s-CBS?")</f>
        <v>Min ixandar esklussivament il-logħba bl-Ispanjol wara li laħaq ftehim mal-NFL u s-CBS?</v>
      </c>
    </row>
    <row r="13510" ht="15.75" customHeight="1">
      <c r="A13510" s="2" t="s">
        <v>13510</v>
      </c>
      <c r="B13510" s="2" t="str">
        <f>IFERROR(__xludf.DUMMYFUNCTION("GOOGLETRANSLATE(A13510, ""en"", ""mt"")"),"ġew stabbiliti l-fondazzjonijiet")</f>
        <v>ġew stabbiliti l-fondazzjonijiet</v>
      </c>
    </row>
    <row r="13511" ht="15.75" customHeight="1">
      <c r="A13511" s="2" t="s">
        <v>13511</v>
      </c>
      <c r="B13511" s="2" t="str">
        <f>IFERROR(__xludf.DUMMYFUNCTION("GOOGLETRANSLATE(A13511, ""en"", ""mt"")"),"X'għamel Luther mal-katekiżmi tiegħu?")</f>
        <v>X'għamel Luther mal-katekiżmi tiegħu?</v>
      </c>
    </row>
    <row r="13512" ht="15.75" customHeight="1">
      <c r="A13512" s="2" t="s">
        <v>13512</v>
      </c>
      <c r="B13512" s="2" t="str">
        <f>IFERROR(__xludf.DUMMYFUNCTION("GOOGLETRANSLATE(A13512, ""en"", ""mt"")"),"F'liema parti tal-belt ir-residenti sofrew minn nuqqas ta 'servizzi tal-belt?")</f>
        <v>F'liema parti tal-belt ir-residenti sofrew minn nuqqas ta 'servizzi tal-belt?</v>
      </c>
    </row>
    <row r="13513" ht="15.75" customHeight="1">
      <c r="A13513" s="2" t="s">
        <v>13513</v>
      </c>
      <c r="B13513" s="2" t="str">
        <f>IFERROR(__xludf.DUMMYFUNCTION("GOOGLETRANSLATE(A13513, ""en"", ""mt"")")," Fejn instabu l-privattivi nieqsa wara?")</f>
        <v> Fejn instabu l-privattivi nieqsa wara?</v>
      </c>
    </row>
    <row r="13514" ht="15.75" customHeight="1">
      <c r="A13514" s="2" t="s">
        <v>13514</v>
      </c>
      <c r="B13514" s="2" t="str">
        <f>IFERROR(__xludf.DUMMYFUNCTION("GOOGLETRANSLATE(A13514, ""en"", ""mt"")"),"Kemm kellu Chopin meta mar jgħix Varsavja mal-familja tiegħu?")</f>
        <v>Kemm kellu Chopin meta mar jgħix Varsavja mal-familja tiegħu?</v>
      </c>
    </row>
    <row r="13515" ht="15.75" customHeight="1">
      <c r="A13515" s="2" t="s">
        <v>13515</v>
      </c>
      <c r="B13515" s="2" t="str">
        <f>IFERROR(__xludf.DUMMYFUNCTION("GOOGLETRANSLATE(A13515, ""en"", ""mt"")"),"X'kien il-prinċipju gwida tal-Kodiċi ta 'Kondotta tal-Imperu Mongol?")</f>
        <v>X'kien il-prinċipju gwida tal-Kodiċi ta 'Kondotta tal-Imperu Mongol?</v>
      </c>
    </row>
    <row r="13516" ht="15.75" customHeight="1">
      <c r="A13516" s="2" t="s">
        <v>13516</v>
      </c>
      <c r="B13516" s="2" t="str">
        <f>IFERROR(__xludf.DUMMYFUNCTION("GOOGLETRANSLATE(A13516, ""en"", ""mt"")"),"fihom id-DNA tagħhom stess,")</f>
        <v>fihom id-DNA tagħhom stess,</v>
      </c>
    </row>
    <row r="13517" ht="15.75" customHeight="1">
      <c r="A13517" s="2" t="s">
        <v>13517</v>
      </c>
      <c r="B13517" s="2" t="str">
        <f>IFERROR(__xludf.DUMMYFUNCTION("GOOGLETRANSLATE(A13517, ""en"", ""mt"")"),"Iżlamista")</f>
        <v>Iżlamista</v>
      </c>
    </row>
    <row r="13518" ht="15.75" customHeight="1">
      <c r="A13518" s="2" t="s">
        <v>13518</v>
      </c>
      <c r="B13518" s="2" t="str">
        <f>IFERROR(__xludf.DUMMYFUNCTION("GOOGLETRANSLATE(A13518, ""en"", ""mt"")"),"Meta sar referendum ta 'konsolidazzjoni fl-1967, il-votanti approvaw il-pjan. Fl-1 ta 'Ottubru, 1968, il-gvernijiet ingħaqdu biex joħolqu l-belt konsolidata ta' Jacksonville. In-nar, il-pulizija, is-saħħa u l-benesseri, ir-rikreazzjoni, ix-xogħlijiet pubb"&amp;"liċi, u l-iżvilupp tad-djar u urbani kienu kollha kkombinati taħt il-gvern il-ġdid. Fl-unur tal-okkażjoni, dak iż-żmien Hans Tanzler poġġa mal-attriċi Lee Meredith wara sinjal li jimmarka l-fruntiera l-ġdida tal- ""Belt il-Ġdida Bold tan-Nofsinhar"" fi Fl"&amp;"orida 13 u Julington Creek. Il-pjan aħjar ta ’Jacksonville, promoss bħala blueprint għall-futur ta’ Jacksonville u approvat mill-votanti ta ’Jacksonville fl-2000, awtorizza taxxa fuq il-bejgħ nofs penny. Dan jiġġenera ħafna mid-dħul meħtieġ għall-pakkett "&amp;"ta '$ 2.25 biljun ta' proġetti ewlenin li kienu jinkludu titjib fit-toroq u l-infrastruttura, preservazzjoni ambjentali, żvilupp ekonomiku mmirat u faċilitajiet pubbliċi ġodda jew imtejba.")</f>
        <v>Meta sar referendum ta 'konsolidazzjoni fl-1967, il-votanti approvaw il-pjan. Fl-1 ta 'Ottubru, 1968, il-gvernijiet ingħaqdu biex joħolqu l-belt konsolidata ta' Jacksonville. In-nar, il-pulizija, is-saħħa u l-benesseri, ir-rikreazzjoni, ix-xogħlijiet pubbliċi, u l-iżvilupp tad-djar u urbani kienu kollha kkombinati taħt il-gvern il-ġdid. Fl-unur tal-okkażjoni, dak iż-żmien Hans Tanzler poġġa mal-attriċi Lee Meredith wara sinjal li jimmarka l-fruntiera l-ġdida tal- "Belt il-Ġdida Bold tan-Nofsinhar" fi Florida 13 u Julington Creek. Il-pjan aħjar ta ’Jacksonville, promoss bħala blueprint għall-futur ta’ Jacksonville u approvat mill-votanti ta ’Jacksonville fl-2000, awtorizza taxxa fuq il-bejgħ nofs penny. Dan jiġġenera ħafna mid-dħul meħtieġ għall-pakkett ta '$ 2.25 biljun ta' proġetti ewlenin li kienu jinkludu titjib fit-toroq u l-infrastruttura, preservazzjoni ambjentali, żvilupp ekonomiku mmirat u faċilitajiet pubbliċi ġodda jew imtejba.</v>
      </c>
    </row>
    <row r="13519" ht="15.75" customHeight="1">
      <c r="A13519" s="2" t="s">
        <v>13519</v>
      </c>
      <c r="B13519" s="2" t="str">
        <f>IFERROR(__xludf.DUMMYFUNCTION("GOOGLETRANSLATE(A13519, ""en"", ""mt"")"),"unifikazzjoni")</f>
        <v>unifikazzjoni</v>
      </c>
    </row>
    <row r="13520" ht="15.75" customHeight="1">
      <c r="A13520" s="2" t="s">
        <v>13520</v>
      </c>
      <c r="B13520" s="2" t="str">
        <f>IFERROR(__xludf.DUMMYFUNCTION("GOOGLETRANSLATE(A13520, ""en"", ""mt"")"),"Te Deum Ġermaniż")</f>
        <v>Te Deum Ġermaniż</v>
      </c>
    </row>
    <row r="13521" ht="15.75" customHeight="1">
      <c r="A13521" s="2" t="s">
        <v>13521</v>
      </c>
      <c r="B13521" s="2" t="str">
        <f>IFERROR(__xludf.DUMMYFUNCTION("GOOGLETRANSLATE(A13521, ""en"", ""mt"")"),"X'inhi l-akbar denominazzjoni fi ħdan il-moviment Metodist usa '?")</f>
        <v>X'inhi l-akbar denominazzjoni fi ħdan il-moviment Metodist usa '?</v>
      </c>
    </row>
    <row r="13522" ht="15.75" customHeight="1">
      <c r="A13522" s="2" t="s">
        <v>13522</v>
      </c>
      <c r="B13522" s="2" t="str">
        <f>IFERROR(__xludf.DUMMYFUNCTION("GOOGLETRANSLATE(A13522, ""en"", ""mt"")"),"25 nm")</f>
        <v>25 nm</v>
      </c>
    </row>
    <row r="13523" ht="15.75" customHeight="1">
      <c r="A13523" s="2" t="s">
        <v>13523</v>
      </c>
      <c r="B13523" s="2" t="str">
        <f>IFERROR(__xludf.DUMMYFUNCTION("GOOGLETRANSLATE(A13523, ""en"", ""mt"")"),"F’liema sena l-Amażonja esperjenzat l-agħar nixfa tagħha tal-istorja riċenti?")</f>
        <v>F’liema sena l-Amażonja esperjenzat l-agħar nixfa tagħha tal-istorja riċenti?</v>
      </c>
    </row>
    <row r="13524" ht="15.75" customHeight="1">
      <c r="A13524" s="2" t="s">
        <v>13524</v>
      </c>
      <c r="B13524" s="2" t="str">
        <f>IFERROR(__xludf.DUMMYFUNCTION("GOOGLETRANSLATE(A13524, ""en"", ""mt"")"),"karbonju")</f>
        <v>karbonju</v>
      </c>
    </row>
    <row r="13525" ht="15.75" customHeight="1">
      <c r="A13525" s="2" t="s">
        <v>13525</v>
      </c>
      <c r="B13525" s="2" t="str">
        <f>IFERROR(__xludf.DUMMYFUNCTION("GOOGLETRANSLATE(A13525, ""en"", ""mt"")"),"il-bankier tal-ipoteki")</f>
        <v>il-bankier tal-ipoteki</v>
      </c>
    </row>
    <row r="13526" ht="15.75" customHeight="1">
      <c r="A13526" s="2" t="s">
        <v>13526</v>
      </c>
      <c r="B13526" s="2" t="str">
        <f>IFERROR(__xludf.DUMMYFUNCTION("GOOGLETRANSLATE(A13526, ""en"", ""mt"")"),"Minbarra korp ġdid, x'iktar jinbidel dwar it-tabib?")</f>
        <v>Minbarra korp ġdid, x'iktar jinbidel dwar it-tabib?</v>
      </c>
    </row>
    <row r="13527" ht="15.75" customHeight="1">
      <c r="A13527" s="2" t="s">
        <v>13527</v>
      </c>
      <c r="B13527" s="2" t="str">
        <f>IFERROR(__xludf.DUMMYFUNCTION("GOOGLETRANSLATE(A13527, ""en"", ""mt"")"),"kriptografija")</f>
        <v>kriptografija</v>
      </c>
    </row>
    <row r="13528" ht="15.75" customHeight="1">
      <c r="A13528" s="2" t="s">
        <v>13528</v>
      </c>
      <c r="B13528" s="2" t="str">
        <f>IFERROR(__xludf.DUMMYFUNCTION("GOOGLETRANSLATE(A13528, ""en"", ""mt"")"),"Min kien id-deputat amministratur tan-NASA fl-1960?")</f>
        <v>Min kien id-deputat amministratur tan-NASA fl-1960?</v>
      </c>
    </row>
    <row r="13529" ht="15.75" customHeight="1">
      <c r="A13529" s="2" t="s">
        <v>13529</v>
      </c>
      <c r="B13529" s="2" t="str">
        <f>IFERROR(__xludf.DUMMYFUNCTION("GOOGLETRANSLATE(A13529, ""en"", ""mt"")"),"X'impatt kellu l-moviment tal-edukazzjoni tal-iskola għolja fuq il-pagi tal-ħaddiema tas-sengħa?")</f>
        <v>X'impatt kellu l-moviment tal-edukazzjoni tal-iskola għolja fuq il-pagi tal-ħaddiema tas-sengħa?</v>
      </c>
    </row>
    <row r="13530" ht="15.75" customHeight="1">
      <c r="A13530" s="2" t="s">
        <v>13530</v>
      </c>
      <c r="B13530" s="2" t="str">
        <f>IFERROR(__xludf.DUMMYFUNCTION("GOOGLETRANSLATE(A13530, ""en"", ""mt"")"),"Magna tat-Turing Deterministika")</f>
        <v>Magna tat-Turing Deterministika</v>
      </c>
    </row>
    <row r="13531" ht="15.75" customHeight="1">
      <c r="A13531" s="2" t="s">
        <v>13531</v>
      </c>
      <c r="B13531" s="2" t="str">
        <f>IFERROR(__xludf.DUMMYFUNCTION("GOOGLETRANSLATE(A13531, ""en"", ""mt"")"),"Xi tfisser l-edukazzjoni f'żona fejn hemm domanda għolja għall-ħaddiema li għandhom it-tendenza li joħolqu?")</f>
        <v>Xi tfisser l-edukazzjoni f'żona fejn hemm domanda għolja għall-ħaddiema li għandhom it-tendenza li joħolqu?</v>
      </c>
    </row>
    <row r="13532" ht="15.75" customHeight="1">
      <c r="A13532" s="2" t="s">
        <v>13532</v>
      </c>
      <c r="B13532" s="2" t="str">
        <f>IFERROR(__xludf.DUMMYFUNCTION("GOOGLETRANSLATE(A13532, ""en"", ""mt"")"),"Min jiddomina d-dinja ta 'ġiri fuq distanza twila?")</f>
        <v>Min jiddomina d-dinja ta 'ġiri fuq distanza twila?</v>
      </c>
    </row>
    <row r="13533" ht="15.75" customHeight="1">
      <c r="A13533" s="2" t="s">
        <v>13533</v>
      </c>
      <c r="B13533" s="2" t="str">
        <f>IFERROR(__xludf.DUMMYFUNCTION("GOOGLETRANSLATE(A13533, ""en"", ""mt"")"),"mija")</f>
        <v>mija</v>
      </c>
    </row>
    <row r="13534" ht="15.75" customHeight="1">
      <c r="A13534" s="2" t="s">
        <v>13534</v>
      </c>
      <c r="B13534" s="2" t="str">
        <f>IFERROR(__xludf.DUMMYFUNCTION("GOOGLETRANSLATE(A13534, ""en"", ""mt"")"),"Kemm kellu Tesla meta miet?")</f>
        <v>Kemm kellu Tesla meta miet?</v>
      </c>
    </row>
    <row r="13535" ht="15.75" customHeight="1">
      <c r="A13535" s="2" t="s">
        <v>13535</v>
      </c>
      <c r="B13535" s="2" t="str">
        <f>IFERROR(__xludf.DUMMYFUNCTION("GOOGLETRANSLATE(A13535, ""en"", ""mt"")"),"Ingliż u Swaħili")</f>
        <v>Ingliż u Swaħili</v>
      </c>
    </row>
    <row r="13536" ht="15.75" customHeight="1">
      <c r="A13536" s="2" t="s">
        <v>13536</v>
      </c>
      <c r="B13536" s="2" t="str">
        <f>IFERROR(__xludf.DUMMYFUNCTION("GOOGLETRANSLATE(A13536, ""en"", ""mt"")"),"jinsabu f'P jew daqs P.")</f>
        <v>jinsabu f'P jew daqs P.</v>
      </c>
    </row>
    <row r="13537" ht="15.75" customHeight="1">
      <c r="A13537" s="2" t="s">
        <v>13537</v>
      </c>
      <c r="B13537" s="2" t="str">
        <f>IFERROR(__xludf.DUMMYFUNCTION("GOOGLETRANSLATE(A13537, ""en"", ""mt"")"),"tipiku tal-pajjiżi tal-blokk tal-Lvant")</f>
        <v>tipiku tal-pajjiżi tal-blokk tal-Lvant</v>
      </c>
    </row>
    <row r="13538" ht="15.75" customHeight="1">
      <c r="A13538" s="2" t="s">
        <v>13538</v>
      </c>
      <c r="B13538" s="2" t="str">
        <f>IFERROR(__xludf.DUMMYFUNCTION("GOOGLETRANSLATE(A13538, ""en"", ""mt"")"),"proċess ta 'kolonizzazzjoni, influwenza, u annessi partijiet oħra tad-dinja")</f>
        <v>proċess ta 'kolonizzazzjoni, influwenza, u annessi partijiet oħra tad-dinja</v>
      </c>
    </row>
    <row r="13539" ht="15.75" customHeight="1">
      <c r="A13539" s="2" t="s">
        <v>13539</v>
      </c>
      <c r="B13539" s="2" t="str">
        <f>IFERROR(__xludf.DUMMYFUNCTION("GOOGLETRANSLATE(A13539, ""en"", ""mt"")"),"Minħabba l-vantaġġi tagħha f'distanza twila, trasmissjoni ta 'vultaġġ għoli")</f>
        <v>Minħabba l-vantaġġi tagħha f'distanza twila, trasmissjoni ta 'vultaġġ għoli</v>
      </c>
    </row>
    <row r="13540" ht="15.75" customHeight="1">
      <c r="A13540" s="2" t="s">
        <v>13540</v>
      </c>
      <c r="B13540" s="2" t="str">
        <f>IFERROR(__xludf.DUMMYFUNCTION("GOOGLETRANSLATE(A13540, ""en"", ""mt"")"),"Majjistral madwar l-Ewropa")</f>
        <v>Majjistral madwar l-Ewropa</v>
      </c>
    </row>
    <row r="13541" ht="15.75" customHeight="1">
      <c r="A13541" s="2" t="s">
        <v>13541</v>
      </c>
      <c r="B13541" s="2" t="str">
        <f>IFERROR(__xludf.DUMMYFUNCTION("GOOGLETRANSLATE(A13541, ""en"", ""mt"")"),"L-Arkanġlu Michael")</f>
        <v>L-Arkanġlu Michael</v>
      </c>
    </row>
    <row r="13542" ht="15.75" customHeight="1">
      <c r="A13542" s="2" t="s">
        <v>13542</v>
      </c>
      <c r="B13542" s="2" t="str">
        <f>IFERROR(__xludf.DUMMYFUNCTION("GOOGLETRANSLATE(A13542, ""en"", ""mt"")"),"fl-Università Charles-Ferdinand")</f>
        <v>fl-Università Charles-Ferdinand</v>
      </c>
    </row>
    <row r="13543" ht="15.75" customHeight="1">
      <c r="A13543" s="2" t="s">
        <v>13543</v>
      </c>
      <c r="B13543" s="2" t="str">
        <f>IFERROR(__xludf.DUMMYFUNCTION("GOOGLETRANSLATE(A13543, ""en"", ""mt"")"),"Houston")</f>
        <v>Houston</v>
      </c>
    </row>
    <row r="13544" ht="15.75" customHeight="1">
      <c r="A13544" s="2" t="s">
        <v>13544</v>
      </c>
      <c r="B13544" s="2" t="str">
        <f>IFERROR(__xludf.DUMMYFUNCTION("GOOGLETRANSLATE(A13544, ""en"", ""mt"")"),"Il-fotosintesi tuża liema enerġija għandha għall-ossiġnu mill-ilma?")</f>
        <v>Il-fotosintesi tuża liema enerġija għandha għall-ossiġnu mill-ilma?</v>
      </c>
    </row>
    <row r="13545" ht="15.75" customHeight="1">
      <c r="A13545" s="2" t="s">
        <v>13545</v>
      </c>
      <c r="B13545" s="2" t="str">
        <f>IFERROR(__xludf.DUMMYFUNCTION("GOOGLETRANSLATE(A13545, ""en"", ""mt"")"),"Netwerk ta 'Qlib tal-Pakketti Cyclades")</f>
        <v>Netwerk ta 'Qlib tal-Pakketti Cyclades</v>
      </c>
    </row>
    <row r="13546" ht="15.75" customHeight="1">
      <c r="A13546" s="2" t="s">
        <v>13546</v>
      </c>
      <c r="B13546" s="2" t="str">
        <f>IFERROR(__xludf.DUMMYFUNCTION("GOOGLETRANSLATE(A13546, ""en"", ""mt"")"),"Għarbi")</f>
        <v>Għarbi</v>
      </c>
    </row>
    <row r="13547" ht="15.75" customHeight="1">
      <c r="A13547" s="2" t="s">
        <v>13547</v>
      </c>
      <c r="B13547" s="2" t="str">
        <f>IFERROR(__xludf.DUMMYFUNCTION("GOOGLETRANSLATE(A13547, ""en"", ""mt"")"),"Għal liema industrija tat-tessuti kkontribwixxiet l-Huguenots fl-Irlanda?")</f>
        <v>Għal liema industrija tat-tessuti kkontribwixxiet l-Huguenots fl-Irlanda?</v>
      </c>
    </row>
    <row r="13548" ht="15.75" customHeight="1">
      <c r="A13548" s="2" t="s">
        <v>13548</v>
      </c>
      <c r="B13548" s="2" t="str">
        <f>IFERROR(__xludf.DUMMYFUNCTION("GOOGLETRANSLATE(A13548, ""en"", ""mt"")"),"il-finanzi tagħhom")</f>
        <v>il-finanzi tagħhom</v>
      </c>
    </row>
    <row r="13549" ht="15.75" customHeight="1">
      <c r="A13549" s="2" t="s">
        <v>13549</v>
      </c>
      <c r="B13549" s="2" t="str">
        <f>IFERROR(__xludf.DUMMYFUNCTION("GOOGLETRANSLATE(A13549, ""en"", ""mt"")"),"Newcastle Mela")</f>
        <v>Newcastle Mela</v>
      </c>
    </row>
    <row r="13550" ht="15.75" customHeight="1">
      <c r="A13550" s="2" t="s">
        <v>13550</v>
      </c>
      <c r="B13550" s="2" t="str">
        <f>IFERROR(__xludf.DUMMYFUNCTION("GOOGLETRANSLATE(A13550, ""en"", ""mt"")"),"William III ta 'Orange")</f>
        <v>William III ta 'Orange</v>
      </c>
    </row>
    <row r="13551" ht="15.75" customHeight="1">
      <c r="A13551" s="2" t="s">
        <v>13551</v>
      </c>
      <c r="B13551" s="2" t="str">
        <f>IFERROR(__xludf.DUMMYFUNCTION("GOOGLETRANSLATE(A13551, ""en"", ""mt"")"),"Dak is-sentiment speċjali")</f>
        <v>Dak is-sentiment speċjali</v>
      </c>
    </row>
    <row r="13552" ht="15.75" customHeight="1">
      <c r="A13552" s="2" t="s">
        <v>13552</v>
      </c>
      <c r="B13552" s="2" t="str">
        <f>IFERROR(__xludf.DUMMYFUNCTION("GOOGLETRANSLATE(A13552, ""en"", ""mt"")"),"pulmun")</f>
        <v>pulmun</v>
      </c>
    </row>
    <row r="13553" ht="15.75" customHeight="1">
      <c r="A13553" s="2" t="s">
        <v>13553</v>
      </c>
      <c r="B13553" s="2" t="str">
        <f>IFERROR(__xludf.DUMMYFUNCTION("GOOGLETRANSLATE(A13553, ""en"", ""mt"")"),"Qarn żgħir")</f>
        <v>Qarn żgħir</v>
      </c>
    </row>
    <row r="13554" ht="15.75" customHeight="1">
      <c r="A13554" s="2" t="s">
        <v>13554</v>
      </c>
      <c r="B13554" s="2" t="str">
        <f>IFERROR(__xludf.DUMMYFUNCTION("GOOGLETRANSLATE(A13554, ""en"", ""mt"")"),"L-akbar sehem tal-provvista tal-elettriku tal-Kenja ġej minn stazzjonijiet idroelettriċi fi digi tul ix-Xmara Tana ta 'Fuq, kif ukoll mid-diga ta' Turkwel Gorge fil-punent. Impjant li jaħdem bil-pitrolju fuq il-kosta, faċilitajiet ġeotermali f'Olkaria (ħd"&amp;"ejn Nairobi), u l-elettriku importat mill-Uganda jiffurmaw il-kumplament tal-provvista. Il-kapaċità installata tal-Kenja kienet ta '1,142 megawatt bejn l-2001 u l-2003. Il-kumpanija li tiġġenera l-elettriku tal-Kenja (Kengen), stabbilita fl-1997 taħt l-is"&amp;"em tal-Kenya Power Company, tieħu ħsieb il-ġenerazzjoni ta' l-elettriku, filwaqt li l-enerġija tal-Kenja tieħu ħsieb it-trasmissjoni tal-elettriku u d-distribuzzjoni sistema fil-pajjiż. In-nuqqasijiet ta 'l-elettriku jseħħu perjodikament, meta n-nixfa tna"&amp;"qqas il-fluss tal-ilma. Biex issir biżżejjed enerġija, il-Kenja għandha l-għan li tibni impjant tal-enerġija nukleari sal-2017.")</f>
        <v>L-akbar sehem tal-provvista tal-elettriku tal-Kenja ġej minn stazzjonijiet idroelettriċi fi digi tul ix-Xmara Tana ta 'Fuq, kif ukoll mid-diga ta' Turkwel Gorge fil-punent. Impjant li jaħdem bil-pitrolju fuq il-kosta, faċilitajiet ġeotermali f'Olkaria (ħdejn Nairobi), u l-elettriku importat mill-Uganda jiffurmaw il-kumplament tal-provvista. Il-kapaċità installata tal-Kenja kienet ta '1,142 megawatt bejn l-2001 u l-2003. Il-kumpanija li tiġġenera l-elettriku tal-Kenja (Kengen), stabbilita fl-1997 taħt l-isem tal-Kenya Power Company, tieħu ħsieb il-ġenerazzjoni ta' l-elettriku, filwaqt li l-enerġija tal-Kenja tieħu ħsieb it-trasmissjoni tal-elettriku u d-distribuzzjoni sistema fil-pajjiż. In-nuqqasijiet ta 'l-elettriku jseħħu perjodikament, meta n-nixfa tnaqqas il-fluss tal-ilma. Biex issir biżżejjed enerġija, il-Kenja għandha l-għan li tibni impjant tal-enerġija nukleari sal-2017.</v>
      </c>
    </row>
    <row r="13555" ht="15.75" customHeight="1">
      <c r="A13555" s="2" t="s">
        <v>13555</v>
      </c>
      <c r="B13555" s="2" t="str">
        <f>IFERROR(__xludf.DUMMYFUNCTION("GOOGLETRANSLATE(A13555, ""en"", ""mt"")"),"X'inhu l-isem tas-sistema ta 'ġirja tat-TV li tuża BSKYB?")</f>
        <v>X'inhu l-isem tas-sistema ta 'ġirja tat-TV li tuża BSKYB?</v>
      </c>
    </row>
    <row r="13556" ht="15.75" customHeight="1">
      <c r="A13556" s="2" t="s">
        <v>13556</v>
      </c>
      <c r="B13556" s="2" t="str">
        <f>IFERROR(__xludf.DUMMYFUNCTION("GOOGLETRANSLATE(A13556, ""en"", ""mt"")"),"Il-Panthers ta ’Carolina")</f>
        <v>Il-Panthers ta ’Carolina</v>
      </c>
    </row>
    <row r="13557" ht="15.75" customHeight="1">
      <c r="A13557" s="2" t="s">
        <v>13557</v>
      </c>
      <c r="B13557" s="2" t="str">
        <f>IFERROR(__xludf.DUMMYFUNCTION("GOOGLETRANSLATE(A13557, ""en"", ""mt"")"),"kwiet")</f>
        <v>kwiet</v>
      </c>
    </row>
    <row r="13558" ht="15.75" customHeight="1">
      <c r="A13558" s="2" t="s">
        <v>13558</v>
      </c>
      <c r="B13558" s="2" t="str">
        <f>IFERROR(__xludf.DUMMYFUNCTION("GOOGLETRANSLATE(A13558, ""en"", ""mt"")"),"X'għandu jibbilanċja l-gvern ta 'Kublai?")</f>
        <v>X'għandu jibbilanċja l-gvern ta 'Kublai?</v>
      </c>
    </row>
    <row r="13559" ht="15.75" customHeight="1">
      <c r="A13559" s="2" t="s">
        <v>13559</v>
      </c>
      <c r="B13559" s="2" t="str">
        <f>IFERROR(__xludf.DUMMYFUNCTION("GOOGLETRANSLATE(A13559, ""en"", ""mt"")"),"Għaliex jeżisti l-kulleġġ ta 'għalliem?")</f>
        <v>Għaliex jeżisti l-kulleġġ ta 'għalliem?</v>
      </c>
    </row>
    <row r="13560" ht="15.75" customHeight="1">
      <c r="A13560" s="2" t="s">
        <v>13560</v>
      </c>
      <c r="B13560" s="2" t="str">
        <f>IFERROR(__xludf.DUMMYFUNCTION("GOOGLETRANSLATE(A13560, ""en"", ""mt"")"),"Il-kompetenza tal-Fratellanza Musulmana tqabbel sew ma 'liema tip ta' gvernijiet lokali?")</f>
        <v>Il-kompetenza tal-Fratellanza Musulmana tqabbel sew ma 'liema tip ta' gvernijiet lokali?</v>
      </c>
    </row>
    <row r="13561" ht="15.75" customHeight="1">
      <c r="A13561" s="2" t="s">
        <v>13561</v>
      </c>
      <c r="B13561" s="2" t="str">
        <f>IFERROR(__xludf.DUMMYFUNCTION("GOOGLETRANSLATE(A13561, ""en"", ""mt"")"),"Rakkmu")</f>
        <v>Rakkmu</v>
      </c>
    </row>
    <row r="13562" ht="15.75" customHeight="1">
      <c r="A13562" s="2" t="s">
        <v>13562</v>
      </c>
      <c r="B13562" s="2" t="str">
        <f>IFERROR(__xludf.DUMMYFUNCTION("GOOGLETRANSLATE(A13562, ""en"", ""mt"")"),"Il-kollezzjoni tinkludi madwar 1130 pitturi taż-żejt Ingliżi u 650 Ewropew, 6800 akwarell Brittaniku, pastelli u 2000 minjatura, li għalihom il-mużew għandu l-kollezzjoni nazzjonali. B’self ukoll lill-mużew, mill-Maestà Tagħha r-Reġina Eliżabetta II, huma"&amp;" l-karikaturi ta ’Raphael: is-Seba’ Sopravivenza (kien hemm għaxar) disinni fuq skala sħiħa għal tapizzeriji fil-Kappella Sistina, tal-ħajja ta ’Pietru u Pawlu mill-Evanġelji u Atti tal-Appostli. Hemm ukoll affresk minn Pietro Perugino datat 1522 mill-Kni"&amp;"sja ta 'Castello f'Fontignano (Perugia) u huwa fost l-aħħar xogħlijiet tal-pittur. Wieħed mill-ikbar oġġetti fil-kollezzjoni huwa t-tempera Spanjola fuq l-injam, 670 x 486 cm, li joħroġ minn San Ġorġ, c. 1400, li jikkonsistu f’bosta xeni u miżbugħa minn A"&amp;"ndrés Marzal de Sax f’Valencia.")</f>
        <v>Il-kollezzjoni tinkludi madwar 1130 pitturi taż-żejt Ingliżi u 650 Ewropew, 6800 akwarell Brittaniku, pastelli u 2000 minjatura, li għalihom il-mużew għandu l-kollezzjoni nazzjonali. B’self ukoll lill-mużew, mill-Maestà Tagħha r-Reġina Eliżabetta II, huma l-karikaturi ta ’Raphael: is-Seba’ Sopravivenza (kien hemm għaxar) disinni fuq skala sħiħa għal tapizzeriji fil-Kappella Sistina, tal-ħajja ta ’Pietru u Pawlu mill-Evanġelji u Atti tal-Appostli. Hemm ukoll affresk minn Pietro Perugino datat 1522 mill-Knisja ta 'Castello f'Fontignano (Perugia) u huwa fost l-aħħar xogħlijiet tal-pittur. Wieħed mill-ikbar oġġetti fil-kollezzjoni huwa t-tempera Spanjola fuq l-injam, 670 x 486 cm, li joħroġ minn San Ġorġ, c. 1400, li jikkonsistu f’bosta xeni u miżbugħa minn Andrés Marzal de Sax f’Valencia.</v>
      </c>
    </row>
    <row r="13563" ht="15.75" customHeight="1">
      <c r="A13563" s="2" t="s">
        <v>13563</v>
      </c>
      <c r="B13563" s="2" t="str">
        <f>IFERROR(__xludf.DUMMYFUNCTION("GOOGLETRANSLATE(A13563, ""en"", ""mt"")"),"Inerzja")</f>
        <v>Inerzja</v>
      </c>
    </row>
    <row r="13564" ht="15.75" customHeight="1">
      <c r="A13564" s="2" t="s">
        <v>13564</v>
      </c>
      <c r="B13564" s="2" t="str">
        <f>IFERROR(__xludf.DUMMYFUNCTION("GOOGLETRANSLATE(A13564, ""en"", ""mt"")"),"Min jgħallem fi skejjel sekondarji?")</f>
        <v>Min jgħallem fi skejjel sekondarji?</v>
      </c>
    </row>
    <row r="13565" ht="15.75" customHeight="1">
      <c r="A13565" s="2" t="s">
        <v>13565</v>
      </c>
      <c r="B13565" s="2" t="str">
        <f>IFERROR(__xludf.DUMMYFUNCTION("GOOGLETRANSLATE(A13565, ""en"", ""mt"")"),"Periti")</f>
        <v>Periti</v>
      </c>
    </row>
    <row r="13566" ht="15.75" customHeight="1">
      <c r="A13566" s="2" t="s">
        <v>13566</v>
      </c>
      <c r="B13566" s="2" t="str">
        <f>IFERROR(__xludf.DUMMYFUNCTION("GOOGLETRANSLATE(A13566, ""en"", ""mt"")"),"160 kPa (madwar 1.6 atm)")</f>
        <v>160 kPa (madwar 1.6 atm)</v>
      </c>
    </row>
    <row r="13567" ht="15.75" customHeight="1">
      <c r="A13567" s="2" t="s">
        <v>13567</v>
      </c>
      <c r="B13567" s="2" t="str">
        <f>IFERROR(__xludf.DUMMYFUNCTION("GOOGLETRANSLATE(A13567, ""en"", ""mt"")"),"8,000 sena ilu")</f>
        <v>8,000 sena ilu</v>
      </c>
    </row>
    <row r="13568" ht="15.75" customHeight="1">
      <c r="A13568" s="2" t="s">
        <v>13568</v>
      </c>
      <c r="B13568" s="2" t="str">
        <f>IFERROR(__xludf.DUMMYFUNCTION("GOOGLETRANSLATE(A13568, ""en"", ""mt"")"),"L-università qablet li tagħti grad lil xi gradwat ta 'schoos affiljat li għamel?")</f>
        <v>L-università qablet li tagħti grad lil xi gradwat ta 'schoos affiljat li għamel?</v>
      </c>
    </row>
    <row r="13569" ht="15.75" customHeight="1">
      <c r="A13569" s="2" t="s">
        <v>13569</v>
      </c>
      <c r="B13569" s="2" t="str">
        <f>IFERROR(__xludf.DUMMYFUNCTION("GOOGLETRANSLATE(A13569, ""en"", ""mt"")"),"Min-naħa l-oħra, Luther jirrimarka wkoll li l-Għaxar Kmandamenti - meta meqjusa mhux bħala l-ġudizzju li jikkundanna t’Alla imma bħala espressjoni tar-rieda eterna tiegħu, jiġifieri, tal-liġi naturali - jgħallem ukoll b’mod pożittiv kif in-Nisrani għandu "&amp;"jgħix. Dan tradizzjonalment ġie msejjaħ ""it-tielet użu tal-liġi."" Għal Luther, ukoll il-ħajja ta ’Kristu, meta tinftiehem bħala eżempju, mhi xejn ħlief illustrazzjoni tal-Għaxar Kmandamenti, li Nisrani għandu jsegwi fil-vokazzjonijiet tiegħu jew tagħha "&amp;"kuljum.")</f>
        <v>Min-naħa l-oħra, Luther jirrimarka wkoll li l-Għaxar Kmandamenti - meta meqjusa mhux bħala l-ġudizzju li jikkundanna t’Alla imma bħala espressjoni tar-rieda eterna tiegħu, jiġifieri, tal-liġi naturali - jgħallem ukoll b’mod pożittiv kif in-Nisrani għandu jgħix. Dan tradizzjonalment ġie msejjaħ "it-tielet użu tal-liġi." Għal Luther, ukoll il-ħajja ta ’Kristu, meta tinftiehem bħala eżempju, mhi xejn ħlief illustrazzjoni tal-Għaxar Kmandamenti, li Nisrani għandu jsegwi fil-vokazzjonijiet tiegħu jew tagħha kuljum.</v>
      </c>
    </row>
    <row r="13570" ht="15.75" customHeight="1">
      <c r="A13570" s="2" t="s">
        <v>13570</v>
      </c>
      <c r="B13570" s="2" t="str">
        <f>IFERROR(__xludf.DUMMYFUNCTION("GOOGLETRANSLATE(A13570, ""en"", ""mt"")"),"Min ordna l-ewwel kleru Metodist?")</f>
        <v>Min ordna l-ewwel kleru Metodist?</v>
      </c>
    </row>
    <row r="13571" ht="15.75" customHeight="1">
      <c r="A13571" s="2" t="s">
        <v>13571</v>
      </c>
      <c r="B13571" s="2" t="str">
        <f>IFERROR(__xludf.DUMMYFUNCTION("GOOGLETRANSLATE(A13571, ""en"", ""mt"")"),"Fl-elezzjonijiet presidenzjali, il-President Kibaki taħt il-partit tal-għaqda nazzjonali dam għall-elezzjoni mill-ġdid kontra l-partit ewlieni tal-oppożizzjoni, il-Moviment Demokratiku Oranġjo (ODM). L-elezzjonijiet dehru li kienu difetti ma 'osservaturi "&amp;"internazzjonali li qalu li kienu taħt l-istandards internazzjonali. Wara qasma li ħadet 8% kruċjali tal-voti 'l bogħod mill-ODM għall-kandidat tal-moviment Demokratiku Orange-Kenya (ODM-K) li għadu kif ġie ffurmat, Kalonzo Musyoka, it-tellieqa ssikkata be"&amp;"jn il-kandidata ODM Raila Odinga u Kibaki. Hekk kif l-għadd daħal fil-kwartieri ġenerali tal-Kummissjoni Elettorali tal-Kenja (ECK), Odinga ntwera li għandu ċomb żgħir, u mbagħad sostanzjali hekk kif ir-riżultati mill-fortizzi tiegħu ġew kmieni. Hekk kif "&amp;"l-Eck kompla jgħodd il-voti, Kibaki għalaq id-distakk u mbagħad għadda lill-avversarju tiegħu b'marġni sostanzjali wara li l-voti mill-fortizza tiegħu waslu aktar tard. Dan wassal għal protesti u skreditazzjoni miftuħa tal-Eck għall-kompliċità u biex Odin"&amp;"ga jiddikjara lilu nnifsu l- ""president tal-poplu"" u jitlob għadd mill-ġdid.")</f>
        <v>Fl-elezzjonijiet presidenzjali, il-President Kibaki taħt il-partit tal-għaqda nazzjonali dam għall-elezzjoni mill-ġdid kontra l-partit ewlieni tal-oppożizzjoni, il-Moviment Demokratiku Oranġjo (ODM). L-elezzjonijiet dehru li kienu difetti ma 'osservaturi internazzjonali li qalu li kienu taħt l-istandards internazzjonali. Wara qasma li ħadet 8% kruċjali tal-voti 'l bogħod mill-ODM għall-kandidat tal-moviment Demokratiku Orange-Kenya (ODM-K) li għadu kif ġie ffurmat, Kalonzo Musyoka, it-tellieqa ssikkata bejn il-kandidata ODM Raila Odinga u Kibaki. Hekk kif l-għadd daħal fil-kwartieri ġenerali tal-Kummissjoni Elettorali tal-Kenja (ECK), Odinga ntwera li għandu ċomb żgħir, u mbagħad sostanzjali hekk kif ir-riżultati mill-fortizzi tiegħu ġew kmieni. Hekk kif l-Eck kompla jgħodd il-voti, Kibaki għalaq id-distakk u mbagħad għadda lill-avversarju tiegħu b'marġni sostanzjali wara li l-voti mill-fortizza tiegħu waslu aktar tard. Dan wassal għal protesti u skreditazzjoni miftuħa tal-Eck għall-kompliċità u biex Odinga jiddikjara lilu nnifsu l- "president tal-poplu" u jitlob għadd mill-ġdid.</v>
      </c>
    </row>
    <row r="13572" ht="15.75" customHeight="1">
      <c r="A13572" s="2" t="s">
        <v>13572</v>
      </c>
      <c r="B13572" s="2" t="str">
        <f>IFERROR(__xludf.DUMMYFUNCTION("GOOGLETRANSLATE(A13572, ""en"", ""mt"")"),"Iċ-Ċiniżi")</f>
        <v>Iċ-Ċiniżi</v>
      </c>
    </row>
    <row r="13573" ht="15.75" customHeight="1">
      <c r="A13573" s="2" t="s">
        <v>13573</v>
      </c>
      <c r="B13573" s="2" t="str">
        <f>IFERROR(__xludf.DUMMYFUNCTION("GOOGLETRANSLATE(A13573, ""en"", ""mt"")"),"Thomas Newcomen")</f>
        <v>Thomas Newcomen</v>
      </c>
    </row>
    <row r="13574" ht="15.75" customHeight="1">
      <c r="A13574" s="2" t="s">
        <v>13574</v>
      </c>
      <c r="B13574" s="2" t="str">
        <f>IFERROR(__xludf.DUMMYFUNCTION("GOOGLETRANSLATE(A13574, ""en"", ""mt"")"),"X'inhuma t-tentakli żgħar li ċemplu Cydippids?")</f>
        <v>X'inhuma t-tentakli żgħar li ċemplu Cydippids?</v>
      </c>
    </row>
    <row r="13575" ht="15.75" customHeight="1">
      <c r="A13575" s="2" t="s">
        <v>13575</v>
      </c>
      <c r="B13575" s="2" t="str">
        <f>IFERROR(__xludf.DUMMYFUNCTION("GOOGLETRANSLATE(A13575, ""en"", ""mt"")"),"l-ammont ta 'ħin li għalih huma permessi jitkellmu")</f>
        <v>l-ammont ta 'ħin li għalih huma permessi jitkellmu</v>
      </c>
    </row>
    <row r="13576" ht="15.75" customHeight="1">
      <c r="A13576" s="2" t="s">
        <v>13576</v>
      </c>
      <c r="B13576" s="2" t="str">
        <f>IFERROR(__xludf.DUMMYFUNCTION("GOOGLETRANSLATE(A13576, ""en"", ""mt"")"),"90,000")</f>
        <v>90,000</v>
      </c>
    </row>
    <row r="13577" ht="15.75" customHeight="1">
      <c r="A13577" s="2" t="s">
        <v>13577</v>
      </c>
      <c r="B13577" s="2" t="str">
        <f>IFERROR(__xludf.DUMMYFUNCTION("GOOGLETRANSLATE(A13577, ""en"", ""mt"")"),"Irvine tal-Punent")</f>
        <v>Irvine tal-Punent</v>
      </c>
    </row>
    <row r="13578" ht="15.75" customHeight="1">
      <c r="A13578" s="2" t="s">
        <v>13578</v>
      </c>
      <c r="B13578" s="2" t="str">
        <f>IFERROR(__xludf.DUMMYFUNCTION("GOOGLETRANSLATE(A13578, ""en"", ""mt"")"),"Tekniki termokimiċi")</f>
        <v>Tekniki termokimiċi</v>
      </c>
    </row>
    <row r="13579" ht="15.75" customHeight="1">
      <c r="A13579" s="2" t="s">
        <v>13579</v>
      </c>
      <c r="B13579" s="2" t="str">
        <f>IFERROR(__xludf.DUMMYFUNCTION("GOOGLETRANSLATE(A13579, ""en"", ""mt"")"),"Id-dimensjonijiet fil-ħin dehru liema sapun prominenti?")</f>
        <v>Id-dimensjonijiet fil-ħin dehru liema sapun prominenti?</v>
      </c>
    </row>
    <row r="13580" ht="15.75" customHeight="1">
      <c r="A13580" s="2" t="s">
        <v>13580</v>
      </c>
      <c r="B13580" s="2" t="str">
        <f>IFERROR(__xludf.DUMMYFUNCTION("GOOGLETRANSLATE(A13580, ""en"", ""mt"")"),"Lil min issottometti l-mappa William MacLure?")</f>
        <v>Lil min issottometti l-mappa William MacLure?</v>
      </c>
    </row>
    <row r="13581" ht="15.75" customHeight="1">
      <c r="A13581" s="2" t="s">
        <v>13581</v>
      </c>
      <c r="B13581" s="2" t="str">
        <f>IFERROR(__xludf.DUMMYFUNCTION("GOOGLETRANSLATE(A13581, ""en"", ""mt"")"),"Min kien Varsavja taħt l-amministrazzjoni ta 'meta ġie taħt il-ħakma tal-gvern ġenerali?")</f>
        <v>Min kien Varsavja taħt l-amministrazzjoni ta 'meta ġie taħt il-ħakma tal-gvern ġenerali?</v>
      </c>
    </row>
    <row r="13582" ht="15.75" customHeight="1">
      <c r="A13582" s="2" t="s">
        <v>13582</v>
      </c>
      <c r="B13582" s="2" t="str">
        <f>IFERROR(__xludf.DUMMYFUNCTION("GOOGLETRANSLATE(A13582, ""en"", ""mt"")"),"Riċerki u Kitbiet ta 'Nikola Tesla")</f>
        <v>Riċerki u Kitbiet ta 'Nikola Tesla</v>
      </c>
    </row>
    <row r="13583" ht="15.75" customHeight="1">
      <c r="A13583" s="2" t="s">
        <v>13583</v>
      </c>
      <c r="B13583" s="2" t="str">
        <f>IFERROR(__xludf.DUMMYFUNCTION("GOOGLETRANSLATE(A13583, ""en"", ""mt"")"),"Flimkien ma 'trusts, liema profitti oħra huma permessi li jmexxu skejjel fl-Indja?")</f>
        <v>Flimkien ma 'trusts, liema profitti oħra huma permessi li jmexxu skejjel fl-Indja?</v>
      </c>
    </row>
    <row r="13584" ht="15.75" customHeight="1">
      <c r="A13584" s="2" t="s">
        <v>13584</v>
      </c>
      <c r="B13584" s="2" t="str">
        <f>IFERROR(__xludf.DUMMYFUNCTION("GOOGLETRANSLATE(A13584, ""en"", ""mt"")"),"6 ta 'Diċembru 1989")</f>
        <v>6 ta 'Diċembru 1989</v>
      </c>
    </row>
    <row r="13585" ht="15.75" customHeight="1">
      <c r="A13585" s="2" t="s">
        <v>13585</v>
      </c>
      <c r="B13585" s="2" t="str">
        <f>IFERROR(__xludf.DUMMYFUNCTION("GOOGLETRANSLATE(A13585, ""en"", ""mt"")"),"X'kien it-twemmin tiegħu dwar liema natura suppost kellha tkun?")</f>
        <v>X'kien it-twemmin tiegħu dwar liema natura suppost kellha tkun?</v>
      </c>
    </row>
    <row r="13586" ht="15.75" customHeight="1">
      <c r="A13586" s="2" t="s">
        <v>13586</v>
      </c>
      <c r="B13586" s="2" t="str">
        <f>IFERROR(__xludf.DUMMYFUNCTION("GOOGLETRANSLATE(A13586, ""en"", ""mt"")"),"X'inhi t-tarf għoli tal-firxa tat-temperatura fix-xitwa?")</f>
        <v>X'inhi t-tarf għoli tal-firxa tat-temperatura fix-xitwa?</v>
      </c>
    </row>
    <row r="13587" ht="15.75" customHeight="1">
      <c r="A13587" s="2" t="s">
        <v>13587</v>
      </c>
      <c r="B13587" s="2" t="str">
        <f>IFERROR(__xludf.DUMMYFUNCTION("GOOGLETRANSLATE(A13587, ""en"", ""mt"")"),"Film siekta")</f>
        <v>Film siekta</v>
      </c>
    </row>
    <row r="13588" ht="15.75" customHeight="1">
      <c r="A13588" s="2" t="s">
        <v>13588</v>
      </c>
      <c r="B13588" s="2" t="str">
        <f>IFERROR(__xludf.DUMMYFUNCTION("GOOGLETRANSLATE(A13588, ""en"", ""mt"")"),"Min jiffinanzja s-segretarju tal-IPCC?")</f>
        <v>Min jiffinanzja s-segretarju tal-IPCC?</v>
      </c>
    </row>
    <row r="13589" ht="15.75" customHeight="1">
      <c r="A13589" s="2" t="s">
        <v>13589</v>
      </c>
      <c r="B13589" s="2" t="str">
        <f>IFERROR(__xludf.DUMMYFUNCTION("GOOGLETRANSLATE(A13589, ""en"", ""mt"")"),"Aqla 'daqs żagħżugħ b'saħħtu")</f>
        <v>Aqla 'daqs żagħżugħ b'saħħtu</v>
      </c>
    </row>
    <row r="13590" ht="15.75" customHeight="1">
      <c r="A13590" s="2" t="s">
        <v>13590</v>
      </c>
      <c r="B13590" s="2" t="str">
        <f>IFERROR(__xludf.DUMMYFUNCTION("GOOGLETRANSLATE(A13590, ""en"", ""mt"")"),"Ċiniż")</f>
        <v>Ċiniż</v>
      </c>
    </row>
    <row r="13591" ht="15.75" customHeight="1">
      <c r="A13591" s="2" t="s">
        <v>13591</v>
      </c>
      <c r="B13591" s="2" t="str">
        <f>IFERROR(__xludf.DUMMYFUNCTION("GOOGLETRANSLATE(A13591, ""en"", ""mt"")"),"Timijiet sportivi professjonali fin-Nofsinhar tal-Kalifornja jinkludu timijiet mill-NFL (Los Angeles Rams, San Diego Chargers); NBA (Los Angeles Lakers, Los Angeles Clippers); MLB (Los Angeles Dodgers, Los Angeles Angels ta 'Anaheim, San Diego Padres); NH"&amp;"L (Los Angeles Kings, Anaheim Ducks); u MLS (La Galaxy).")</f>
        <v>Timijiet sportivi professjonali fin-Nofsinhar tal-Kalifornja jinkludu timijiet mill-NFL (Los Angeles Rams, San Diego Chargers); NBA (Los Angeles Lakers, Los Angeles Clippers); MLB (Los Angeles Dodgers, Los Angeles Angels ta 'Anaheim, San Diego Padres); NHL (Los Angeles Kings, Anaheim Ducks); u MLS (La Galaxy).</v>
      </c>
    </row>
    <row r="13592" ht="15.75" customHeight="1">
      <c r="A13592" s="2" t="s">
        <v>13592</v>
      </c>
      <c r="B13592" s="2" t="str">
        <f>IFERROR(__xludf.DUMMYFUNCTION("GOOGLETRANSLATE(A13592, ""en"", ""mt"")"),"F'liema sena ġiet abolita l-ordni ta 'ordinazzjoni ta' djaknu tranżitorju?")</f>
        <v>F'liema sena ġiet abolita l-ordni ta 'ordinazzjoni ta' djaknu tranżitorju?</v>
      </c>
    </row>
    <row r="13593" ht="15.75" customHeight="1">
      <c r="A13593" s="2" t="s">
        <v>13593</v>
      </c>
      <c r="B13593" s="2" t="str">
        <f>IFERROR(__xludf.DUMMYFUNCTION("GOOGLETRANSLATE(A13593, ""en"", ""mt"")"),"1162")</f>
        <v>1162</v>
      </c>
    </row>
    <row r="13594" ht="15.75" customHeight="1">
      <c r="A13594" s="2" t="s">
        <v>13594</v>
      </c>
      <c r="B13594" s="2" t="str">
        <f>IFERROR(__xludf.DUMMYFUNCTION("GOOGLETRANSLATE(A13594, ""en"", ""mt"")"),"Matul l-2012-2013, kemm studenti setgħu jieħdu l-klassijiet tal-qalba f'ħin wieħed?")</f>
        <v>Matul l-2012-2013, kemm studenti setgħu jieħdu l-klassijiet tal-qalba f'ħin wieħed?</v>
      </c>
    </row>
    <row r="13595" ht="15.75" customHeight="1">
      <c r="A13595" s="2" t="s">
        <v>13595</v>
      </c>
      <c r="B13595" s="2" t="str">
        <f>IFERROR(__xludf.DUMMYFUNCTION("GOOGLETRANSLATE(A13595, ""en"", ""mt"")"),"Min kienet l-influwenza ewlenija ta 'Tesla f'Karlovac?")</f>
        <v>Min kienet l-influwenza ewlenija ta 'Tesla f'Karlovac?</v>
      </c>
    </row>
    <row r="13596" ht="15.75" customHeight="1">
      <c r="A13596" s="2" t="s">
        <v>13596</v>
      </c>
      <c r="B13596" s="2" t="str">
        <f>IFERROR(__xludf.DUMMYFUNCTION("GOOGLETRANSLATE(A13596, ""en"", ""mt"")"),"Warszowa")</f>
        <v>Warszowa</v>
      </c>
    </row>
    <row r="13597" ht="15.75" customHeight="1">
      <c r="A13597" s="2" t="s">
        <v>13597</v>
      </c>
      <c r="B13597" s="2" t="str">
        <f>IFERROR(__xludf.DUMMYFUNCTION("GOOGLETRANSLATE(A13597, ""en"", ""mt"")"),"Minn xiex isiru l-plastoglobuli?")</f>
        <v>Minn xiex isiru l-plastoglobuli?</v>
      </c>
    </row>
    <row r="13598" ht="15.75" customHeight="1">
      <c r="A13598" s="2" t="s">
        <v>13598</v>
      </c>
      <c r="B13598" s="2" t="str">
        <f>IFERROR(__xludf.DUMMYFUNCTION("GOOGLETRANSLATE(A13598, ""en"", ""mt"")"),"tista 'tipproduċi kemm bajd kif ukoll sperma fl-istess ħin")</f>
        <v>tista 'tipproduċi kemm bajd kif ukoll sperma fl-istess ħin</v>
      </c>
    </row>
    <row r="13599" ht="15.75" customHeight="1">
      <c r="A13599" s="2" t="s">
        <v>13599</v>
      </c>
      <c r="B13599" s="2" t="str">
        <f>IFERROR(__xludf.DUMMYFUNCTION("GOOGLETRANSLATE(A13599, ""en"", ""mt"")"),"Kummissjoni Kanadiża tar-Radju-Televiżjoni u tat-Telekomunikazzjoni")</f>
        <v>Kummissjoni Kanadiża tar-Radju-Televiżjoni u tat-Telekomunikazzjoni</v>
      </c>
    </row>
    <row r="13600" ht="15.75" customHeight="1">
      <c r="A13600" s="2" t="s">
        <v>13600</v>
      </c>
      <c r="B13600" s="2" t="str">
        <f>IFERROR(__xludf.DUMMYFUNCTION("GOOGLETRANSLATE(A13600, ""en"", ""mt"")"),"1916")</f>
        <v>1916</v>
      </c>
    </row>
    <row r="13601" ht="15.75" customHeight="1">
      <c r="A13601" s="2" t="s">
        <v>13601</v>
      </c>
      <c r="B13601" s="2" t="str">
        <f>IFERROR(__xludf.DUMMYFUNCTION("GOOGLETRANSLATE(A13601, ""en"", ""mt"")"),"Istanbul")</f>
        <v>Istanbul</v>
      </c>
    </row>
    <row r="13602" ht="15.75" customHeight="1">
      <c r="A13602" s="2" t="s">
        <v>13602</v>
      </c>
      <c r="B13602" s="2" t="str">
        <f>IFERROR(__xludf.DUMMYFUNCTION("GOOGLETRANSLATE(A13602, ""en"", ""mt"")"),"Liema organizzazzjoni hija membri ta 'John Schmitt u Ben Zipperer?")</f>
        <v>Liema organizzazzjoni hija membri ta 'John Schmitt u Ben Zipperer?</v>
      </c>
    </row>
    <row r="13603" ht="15.75" customHeight="1">
      <c r="A13603" s="2" t="s">
        <v>13603</v>
      </c>
      <c r="B13603" s="2" t="str">
        <f>IFERROR(__xludf.DUMMYFUNCTION("GOOGLETRANSLATE(A13603, ""en"", ""mt"")"),"Fl-edukazzjoni, l-għalliema jiffaċilitaw it-tagħlim tal-istudenti, ħafna drabi fi skola jew akkademja jew forsi f'ambjent ieħor bħal barra. Għalliem li jgħallem fuq bażi individwali jista 'jiġi deskritt bħala tutur.")</f>
        <v>Fl-edukazzjoni, l-għalliema jiffaċilitaw it-tagħlim tal-istudenti, ħafna drabi fi skola jew akkademja jew forsi f'ambjent ieħor bħal barra. Għalliem li jgħallem fuq bażi individwali jista 'jiġi deskritt bħala tutur.</v>
      </c>
    </row>
    <row r="13604" ht="15.75" customHeight="1">
      <c r="A13604" s="2" t="s">
        <v>13604</v>
      </c>
      <c r="B13604" s="2" t="str">
        <f>IFERROR(__xludf.DUMMYFUNCTION("GOOGLETRANSLATE(A13604, ""en"", ""mt"")"),"Knisja ta ’Santa Maria Novella f’Firenze, l-Italja")</f>
        <v>Knisja ta ’Santa Maria Novella f’Firenze, l-Italja</v>
      </c>
    </row>
    <row r="13605" ht="15.75" customHeight="1">
      <c r="A13605" s="2" t="s">
        <v>13605</v>
      </c>
      <c r="B13605" s="2" t="str">
        <f>IFERROR(__xludf.DUMMYFUNCTION("GOOGLETRANSLATE(A13605, ""en"", ""mt"")"),"miljun")</f>
        <v>miljun</v>
      </c>
    </row>
    <row r="13606" ht="15.75" customHeight="1">
      <c r="A13606" s="2" t="s">
        <v>13606</v>
      </c>
      <c r="B13606" s="2" t="str">
        <f>IFERROR(__xludf.DUMMYFUNCTION("GOOGLETRANSLATE(A13606, ""en"", ""mt"")"),"X'inhu tip ieħor ta 'accountant għajr CPA?")</f>
        <v>X'inhu tip ieħor ta 'accountant għajr CPA?</v>
      </c>
    </row>
    <row r="13607" ht="15.75" customHeight="1">
      <c r="A13607" s="2" t="s">
        <v>13607</v>
      </c>
      <c r="B13607" s="2" t="str">
        <f>IFERROR(__xludf.DUMMYFUNCTION("GOOGLETRANSLATE(A13607, ""en"", ""mt"")"),"Min xtara d-drittijiet?")</f>
        <v>Min xtara d-drittijiet?</v>
      </c>
    </row>
    <row r="13608" ht="15.75" customHeight="1">
      <c r="A13608" s="2" t="s">
        <v>13608</v>
      </c>
      <c r="B13608" s="2" t="str">
        <f>IFERROR(__xludf.DUMMYFUNCTION("GOOGLETRANSLATE(A13608, ""en"", ""mt"")"),"Liema fatturat ta 'Newton irriżulta f'seba' punti għal Denver?")</f>
        <v>Liema fatturat ta 'Newton irriżulta f'seba' punti għal Denver?</v>
      </c>
    </row>
    <row r="13609" ht="15.75" customHeight="1">
      <c r="A13609" s="2" t="s">
        <v>13609</v>
      </c>
      <c r="B13609" s="2" t="str">
        <f>IFERROR(__xludf.DUMMYFUNCTION("GOOGLETRANSLATE(A13609, ""en"", ""mt"")"),"Nevada")</f>
        <v>Nevada</v>
      </c>
    </row>
    <row r="13610" ht="15.75" customHeight="1">
      <c r="A13610" s="2" t="s">
        <v>13610</v>
      </c>
      <c r="B13610" s="2" t="str">
        <f>IFERROR(__xludf.DUMMYFUNCTION("GOOGLETRANSLATE(A13610, ""en"", ""mt"")"),"Fejn jinsabu r-ringieli tal-pettnijiet?")</f>
        <v>Fejn jinsabu r-ringieli tal-pettnijiet?</v>
      </c>
    </row>
    <row r="13611" ht="15.75" customHeight="1">
      <c r="A13611" s="2" t="s">
        <v>13611</v>
      </c>
      <c r="B13611" s="2" t="str">
        <f>IFERROR(__xludf.DUMMYFUNCTION("GOOGLETRANSLATE(A13611, ""en"", ""mt"")"),"Polonia Varsavja")</f>
        <v>Polonia Varsavja</v>
      </c>
    </row>
    <row r="13612" ht="15.75" customHeight="1">
      <c r="A13612" s="2" t="s">
        <v>13612</v>
      </c>
      <c r="B13612" s="2" t="str">
        <f>IFERROR(__xludf.DUMMYFUNCTION("GOOGLETRANSLATE(A13612, ""en"", ""mt"")"),"William Hartnell u Patrick Troughton")</f>
        <v>William Hartnell u Patrick Troughton</v>
      </c>
    </row>
    <row r="13613" ht="15.75" customHeight="1">
      <c r="A13613" s="2" t="s">
        <v>13613</v>
      </c>
      <c r="B13613" s="2" t="str">
        <f>IFERROR(__xludf.DUMMYFUNCTION("GOOGLETRANSLATE(A13613, ""en"", ""mt"")"),"X'jistgħu jikkawżaw li jitħallew barra l-iskadenzi tar-rapport tal-IPCC?")</f>
        <v>X'jistgħu jikkawżaw li jitħallew barra l-iskadenzi tar-rapport tal-IPCC?</v>
      </c>
    </row>
    <row r="13614" ht="15.75" customHeight="1">
      <c r="A13614" s="2" t="s">
        <v>13614</v>
      </c>
      <c r="B13614" s="2" t="str">
        <f>IFERROR(__xludf.DUMMYFUNCTION("GOOGLETRANSLATE(A13614, ""en"", ""mt"")"),"Fil-Pleistocene bikri, liema direzzjoni ħarġet ir-Rhine?")</f>
        <v>Fil-Pleistocene bikri, liema direzzjoni ħarġet ir-Rhine?</v>
      </c>
    </row>
    <row r="13615" ht="15.75" customHeight="1">
      <c r="A13615" s="2" t="s">
        <v>13615</v>
      </c>
      <c r="B13615" s="2" t="str">
        <f>IFERROR(__xludf.DUMMYFUNCTION("GOOGLETRANSLATE(A13615, ""en"", ""mt"")"),"embargo")</f>
        <v>embargo</v>
      </c>
    </row>
    <row r="13616" ht="15.75" customHeight="1">
      <c r="A13616" s="2" t="s">
        <v>13616</v>
      </c>
      <c r="B13616" s="2" t="str">
        <f>IFERROR(__xludf.DUMMYFUNCTION("GOOGLETRANSLATE(A13616, ""en"", ""mt"")"),"X'qis il-Mongoli?")</f>
        <v>X'qis il-Mongoli?</v>
      </c>
    </row>
    <row r="13617" ht="15.75" customHeight="1">
      <c r="A13617" s="2" t="s">
        <v>13617</v>
      </c>
      <c r="B13617" s="2" t="str">
        <f>IFERROR(__xludf.DUMMYFUNCTION("GOOGLETRANSLATE(A13617, ""en"", ""mt"")"),"X'inhu l-qasam tal-istudju tal-immunogeniċità permezz tal-bijoinformatika magħrufa bħala?")</f>
        <v>X'inhu l-qasam tal-istudju tal-immunogeniċità permezz tal-bijoinformatika magħrufa bħala?</v>
      </c>
    </row>
    <row r="13618" ht="15.75" customHeight="1">
      <c r="A13618" s="2" t="s">
        <v>13618</v>
      </c>
      <c r="B13618" s="2" t="str">
        <f>IFERROR(__xludf.DUMMYFUNCTION("GOOGLETRANSLATE(A13618, ""en"", ""mt"")"),"Liema avveniment ġara 66 miljun sena ilu?")</f>
        <v>Liema avveniment ġara 66 miljun sena ilu?</v>
      </c>
    </row>
    <row r="13619" ht="15.75" customHeight="1">
      <c r="A13619" s="2" t="s">
        <v>13619</v>
      </c>
      <c r="B13619" s="2" t="str">
        <f>IFERROR(__xludf.DUMMYFUNCTION("GOOGLETRANSLATE(A13619, ""en"", ""mt"")"),"L-ispiżjara jipprovdu servizzi diretti għall-kura tal-pazjenti li jottimizzaw l-użu tal-medikazzjoni u jippromwovu s-saħħa, il-benessri, u l-prevenzjoni tal-mard. L-ispiżjara kliniċi jieħdu ħsieb pazjenti fl-issettjar tal-kura tas-saħħa kollha, iżda l-mov"&amp;"iment tal-ispiżerija klinika inizjalment beda ġewwa sptarijiet u kliniċi. L-ispiżjara kliniċi spiss jikkollaboraw ma 'tobba u professjonisti oħra tal-kura tas-saħħa biex itejbu l-kura farmaċewtika. L-ispiżjara kliniċi issa huma parti integrali tal-approċċ"&amp;" interdixxiplinarju għall-kura tal-pazjent. Ħafna drabi jipparteċipaw fl-għażla tal-prodott tad-droga tal-kura tal-pazjent.")</f>
        <v>L-ispiżjara jipprovdu servizzi diretti għall-kura tal-pazjenti li jottimizzaw l-użu tal-medikazzjoni u jippromwovu s-saħħa, il-benessri, u l-prevenzjoni tal-mard. L-ispiżjara kliniċi jieħdu ħsieb pazjenti fl-issettjar tal-kura tas-saħħa kollha, iżda l-moviment tal-ispiżerija klinika inizjalment beda ġewwa sptarijiet u kliniċi. L-ispiżjara kliniċi spiss jikkollaboraw ma 'tobba u professjonisti oħra tal-kura tas-saħħa biex itejbu l-kura farmaċewtika. L-ispiżjara kliniċi issa huma parti integrali tal-approċċ interdixxiplinarju għall-kura tal-pazjent. Ħafna drabi jipparteċipaw fl-għażla tal-prodott tad-droga tal-kura tal-pazjent.</v>
      </c>
    </row>
    <row r="13620" ht="15.75" customHeight="1">
      <c r="A13620" s="2" t="s">
        <v>13620</v>
      </c>
      <c r="B13620" s="2" t="str">
        <f>IFERROR(__xludf.DUMMYFUNCTION("GOOGLETRANSLATE(A13620, ""en"", ""mt"")"),"Bejn is-snin 1960 u 1990")</f>
        <v>Bejn is-snin 1960 u 1990</v>
      </c>
    </row>
    <row r="13621" ht="15.75" customHeight="1">
      <c r="A13621" s="2" t="s">
        <v>13621</v>
      </c>
      <c r="B13621" s="2" t="str">
        <f>IFERROR(__xludf.DUMMYFUNCTION("GOOGLETRANSLATE(A13621, ""en"", ""mt"")"),"In-netwerk tat-televiżjoni għandu tmien proprjetà u mħaddma u aktar minn 232 stazzjon televiżiv affiljat madwar l-Istati Uniti u t-territorji tiegħu. Il-biċċa l-kbira tal-Kanadiżi għandhom aċċess għal mill-inqas affiljat ABC ibbażat fuq l-Istati Uniti, je"&amp;"w fuq l-arja (f'żoni li jinsabu fil-viċin tal-fruntiera tal-Istati Uniti) jew permezz ta 'kejbil, satellita jew fornitur IPTV, għalkemm ħafna mill-programmi ABC huma soġġetti għal regolamenti simultanji ta 'sostituzzjoni imposti mill-Kummissjoni Kanadiża "&amp;"tar-Radju-Televiżjoni u t-Telekomunikazzjoni li tippermetti lill-fornituri tat-televiżjoni jħallsu biex jissostitwixxu sinjal ta' stazzjon Amerikan bl-għalf ta 'xandar Kanadiż biex jipproteġi d-drittijiet ta' programmazzjoni domestika u d-dħul tar-reklama"&amp;"r. ABC News jipprovdi aħbarijiet u karatteristiċi ta 'kontenut għal stazzjonijiet tar-radju magħżula proprjetà ta' Citadel Broadcasting, li xtraw il-Proprjetajiet tar-Radju ABC fl-2007.")</f>
        <v>In-netwerk tat-televiżjoni għandu tmien proprjetà u mħaddma u aktar minn 232 stazzjon televiżiv affiljat madwar l-Istati Uniti u t-territorji tiegħu. Il-biċċa l-kbira tal-Kanadiżi għandhom aċċess għal mill-inqas affiljat ABC ibbażat fuq l-Istati Uniti, jew fuq l-arja (f'żoni li jinsabu fil-viċin tal-fruntiera tal-Istati Uniti) jew permezz ta 'kejbil, satellita jew fornitur IPTV, għalkemm ħafna mill-programmi ABC huma soġġetti għal regolamenti simultanji ta 'sostituzzjoni imposti mill-Kummissjoni Kanadiża tar-Radju-Televiżjoni u t-Telekomunikazzjoni li tippermetti lill-fornituri tat-televiżjoni jħallsu biex jissostitwixxu sinjal ta' stazzjon Amerikan bl-għalf ta 'xandar Kanadiż biex jipproteġi d-drittijiet ta' programmazzjoni domestika u d-dħul tar-reklamar. ABC News jipprovdi aħbarijiet u karatteristiċi ta 'kontenut għal stazzjonijiet tar-radju magħżula proprjetà ta' Citadel Broadcasting, li xtraw il-Proprjetajiet tar-Radju ABC fl-2007.</v>
      </c>
    </row>
    <row r="13622" ht="15.75" customHeight="1">
      <c r="A13622" s="2" t="s">
        <v>13622</v>
      </c>
      <c r="B13622" s="2" t="str">
        <f>IFERROR(__xludf.DUMMYFUNCTION("GOOGLETRANSLATE(A13622, ""en"", ""mt"")"),"linja ta 'ħames stilel")</f>
        <v>linja ta 'ħames stilel</v>
      </c>
    </row>
    <row r="13623" ht="15.75" customHeight="1">
      <c r="A13623" s="2" t="s">
        <v>13623</v>
      </c>
      <c r="B13623" s="2" t="str">
        <f>IFERROR(__xludf.DUMMYFUNCTION("GOOGLETRANSLATE(A13623, ""en"", ""mt"")"),"Vjaġġi fuq il-post")</f>
        <v>Vjaġġi fuq il-post</v>
      </c>
    </row>
    <row r="13624" ht="15.75" customHeight="1">
      <c r="A13624" s="2" t="s">
        <v>13624</v>
      </c>
      <c r="B13624" s="2" t="str">
        <f>IFERROR(__xludf.DUMMYFUNCTION("GOOGLETRANSLATE(A13624, ""en"", ""mt"")"),"Rays X.")</f>
        <v>Rays X.</v>
      </c>
    </row>
    <row r="13625" ht="15.75" customHeight="1">
      <c r="A13625" s="2" t="s">
        <v>13625</v>
      </c>
      <c r="B13625" s="2" t="str">
        <f>IFERROR(__xludf.DUMMYFUNCTION("GOOGLETRANSLATE(A13625, ""en"", ""mt"")"),"Fejn wieħed jista 'jsib l-irziezet li qabel kienu Huguenot fl-Afrika t'Isfel?")</f>
        <v>Fejn wieħed jista 'jsib l-irziezet li qabel kienu Huguenot fl-Afrika t'Isfel?</v>
      </c>
    </row>
    <row r="13626" ht="15.75" customHeight="1">
      <c r="A13626" s="2" t="s">
        <v>13626</v>
      </c>
      <c r="B13626" s="2" t="str">
        <f>IFERROR(__xludf.DUMMYFUNCTION("GOOGLETRANSLATE(A13626, ""en"", ""mt"")"),"Liema kundizzjonijiet għandhom jiġu sodisfatti biex tippreskrivi sustanza kkontrollata?")</f>
        <v>Liema kundizzjonijiet għandhom jiġu sodisfatti biex tippreskrivi sustanza kkontrollata?</v>
      </c>
    </row>
    <row r="13627" ht="15.75" customHeight="1">
      <c r="A13627" s="2" t="s">
        <v>13627</v>
      </c>
      <c r="B13627" s="2" t="str">
        <f>IFERROR(__xludf.DUMMYFUNCTION("GOOGLETRANSLATE(A13627, ""en"", ""mt"")"),"Liema titlu kienet il-Karta Soċjali stabbilita biex tiġi inkluża fit-Trattat ta 'Maastricht?")</f>
        <v>Liema titlu kienet il-Karta Soċjali stabbilita biex tiġi inkluża fit-Trattat ta 'Maastricht?</v>
      </c>
    </row>
    <row r="13628" ht="15.75" customHeight="1">
      <c r="A13628" s="2" t="s">
        <v>13628</v>
      </c>
      <c r="B13628" s="2" t="str">
        <f>IFERROR(__xludf.DUMMYFUNCTION("GOOGLETRANSLATE(A13628, ""en"", ""mt"")"),"18 ta ’April 1521")</f>
        <v>18 ta ’April 1521</v>
      </c>
    </row>
    <row r="13629" ht="15.75" customHeight="1">
      <c r="A13629" s="2" t="s">
        <v>13629</v>
      </c>
      <c r="B13629" s="2" t="str">
        <f>IFERROR(__xludf.DUMMYFUNCTION("GOOGLETRANSLATE(A13629, ""en"", ""mt"")"),"Tliet korpi ta 'l-ilma:")</f>
        <v>Tliet korpi ta 'l-ilma:</v>
      </c>
    </row>
    <row r="13630" ht="15.75" customHeight="1">
      <c r="A13630" s="2" t="s">
        <v>13630</v>
      </c>
      <c r="B13630" s="2" t="str">
        <f>IFERROR(__xludf.DUMMYFUNCTION("GOOGLETRANSLATE(A13630, ""en"", ""mt"")"),"Stadji ta ’fuq finta")</f>
        <v>Stadji ta ’fuq finta</v>
      </c>
    </row>
    <row r="13631" ht="15.75" customHeight="1">
      <c r="A13631" s="2" t="s">
        <v>13631</v>
      </c>
      <c r="B13631" s="2" t="str">
        <f>IFERROR(__xludf.DUMMYFUNCTION("GOOGLETRANSLATE(A13631, ""en"", ""mt"")"),"teknoloġiji u ideat.")</f>
        <v>teknoloġiji u ideat.</v>
      </c>
    </row>
    <row r="13632" ht="15.75" customHeight="1">
      <c r="A13632" s="2" t="s">
        <v>13632</v>
      </c>
      <c r="B13632" s="2" t="str">
        <f>IFERROR(__xludf.DUMMYFUNCTION("GOOGLETRANSLATE(A13632, ""en"", ""mt"")"),"Kif kienet tissejjaħ il-bażi navali?")</f>
        <v>Kif kienet tissejjaħ il-bażi navali?</v>
      </c>
    </row>
    <row r="13633" ht="15.75" customHeight="1">
      <c r="A13633" s="2" t="s">
        <v>13633</v>
      </c>
      <c r="B13633" s="2" t="str">
        <f>IFERROR(__xludf.DUMMYFUNCTION("GOOGLETRANSLATE(A13633, ""en"", ""mt"")"),"Lega tas-Swabi")</f>
        <v>Lega tas-Swabi</v>
      </c>
    </row>
    <row r="13634" ht="15.75" customHeight="1">
      <c r="A13634" s="2" t="s">
        <v>13634</v>
      </c>
      <c r="B13634" s="2" t="str">
        <f>IFERROR(__xludf.DUMMYFUNCTION("GOOGLETRANSLATE(A13634, ""en"", ""mt"")"),"Cryptofiti, jew cryptomonads huma grupp ta 'alka li fihom kloroplast derivat mill-alka ħamra. Il-kloroplasti tal-kriptofiti fihom nukleomorf li jixbah superfiċjalment dak tal-chlorarachniophytes. Il-kloroplasti tal-kriptofiti għandhom erba 'membrani, li l"&amp;"-iktar imbiegħda huma kontinwi bir-retikolu endoplasmiku mhux maħdum. Huma sintetizzati lamtu ordinarju, li huwa maħżun fil-granuli misjuba fl-ispazju tal-periplastid - jegħlbu l-membrana doppja oriġinali, fil-post li jikkorrispondi għaċ-ċitoplasma tal-al"&amp;"ka ħamra. Ġewwa l-kloroplasti tal-kriptofiti hemm pyrenoid u thylakoids fi munzelli ta 'tnejn.")</f>
        <v>Cryptofiti, jew cryptomonads huma grupp ta 'alka li fihom kloroplast derivat mill-alka ħamra. Il-kloroplasti tal-kriptofiti fihom nukleomorf li jixbah superfiċjalment dak tal-chlorarachniophytes. Il-kloroplasti tal-kriptofiti għandhom erba 'membrani, li l-iktar imbiegħda huma kontinwi bir-retikolu endoplasmiku mhux maħdum. Huma sintetizzati lamtu ordinarju, li huwa maħżun fil-granuli misjuba fl-ispazju tal-periplastid - jegħlbu l-membrana doppja oriġinali, fil-post li jikkorrispondi għaċ-ċitoplasma tal-alka ħamra. Ġewwa l-kloroplasti tal-kriptofiti hemm pyrenoid u thylakoids fi munzelli ta 'tnejn.</v>
      </c>
    </row>
    <row r="13635" ht="15.75" customHeight="1">
      <c r="A13635" s="2" t="s">
        <v>13635</v>
      </c>
      <c r="B13635" s="2" t="str">
        <f>IFERROR(__xludf.DUMMYFUNCTION("GOOGLETRANSLATE(A13635, ""en"", ""mt"")"),"Larva vera")</f>
        <v>Larva vera</v>
      </c>
    </row>
    <row r="13636" ht="15.75" customHeight="1">
      <c r="A13636" s="2" t="s">
        <v>13636</v>
      </c>
      <c r="B13636" s="2" t="str">
        <f>IFERROR(__xludf.DUMMYFUNCTION("GOOGLETRANSLATE(A13636, ""en"", ""mt"")"),"Kemm huwa l-ajruport ta 'Newcastle miċ-ċentru tal-belt?")</f>
        <v>Kemm huwa l-ajruport ta 'Newcastle miċ-ċentru tal-belt?</v>
      </c>
    </row>
    <row r="13637" ht="15.75" customHeight="1">
      <c r="A13637" s="2" t="s">
        <v>13637</v>
      </c>
      <c r="B13637" s="2" t="str">
        <f>IFERROR(__xludf.DUMMYFUNCTION("GOOGLETRANSLATE(A13637, ""en"", ""mt"")"),"Min kien ir-rusher ewlieni tal-logħba?")</f>
        <v>Min kien ir-rusher ewlieni tal-logħba?</v>
      </c>
    </row>
    <row r="13638" ht="15.75" customHeight="1">
      <c r="A13638" s="2" t="s">
        <v>13638</v>
      </c>
      <c r="B13638" s="2" t="str">
        <f>IFERROR(__xludf.DUMMYFUNCTION("GOOGLETRANSLATE(A13638, ""en"", ""mt"")"),"ċiklu tal-karbonju")</f>
        <v>ċiklu tal-karbonju</v>
      </c>
    </row>
    <row r="13639" ht="15.75" customHeight="1">
      <c r="A13639" s="2" t="s">
        <v>13639</v>
      </c>
      <c r="B13639" s="2" t="str">
        <f>IFERROR(__xludf.DUMMYFUNCTION("GOOGLETRANSLATE(A13639, ""en"", ""mt"")"),"Il-Knisja Metodista Magħquda tifhem lilha nnifisha li tkun parti mill-Knisja Kattolika Mqaddsa (jew universali) u tirrikonoxxi l-kredti ekumeniċi storiċi, il-Kredu tal-Appostlu u l-Kredu Nicene; li jintużaw ta ’spiss f’servizzi ta’ qima. Il-Ktieb tad-Dixx"&amp;"iplina jirrikonoxxi wkoll l-importanza tal-Kredu tal-Kalkedonja tal-Kunsill ta ’Chalcedon. Huwa jżomm il-kunċett tal- ""knisja viżibbli u inviżibbli"", fis-sens li dawk kollha li huma verament jemmnu f'kull età jappartjenu lill-Knisja Mqaddsa inviżibbli, "&amp;"filwaqt li l-Knisja Metodista Magħquda hija fergħa tal-knisja viżibbli, li magħha jemmnu kollha għandhom ikunu konnessi Peress li hija l-unika istituzzjoni fejn il-Kelma ta ’Alla hija predikata u s-sagramenti huma amministrati.")</f>
        <v>Il-Knisja Metodista Magħquda tifhem lilha nnifisha li tkun parti mill-Knisja Kattolika Mqaddsa (jew universali) u tirrikonoxxi l-kredti ekumeniċi storiċi, il-Kredu tal-Appostlu u l-Kredu Nicene; li jintużaw ta ’spiss f’servizzi ta’ qima. Il-Ktieb tad-Dixxiplina jirrikonoxxi wkoll l-importanza tal-Kredu tal-Kalkedonja tal-Kunsill ta ’Chalcedon. Huwa jżomm il-kunċett tal- "knisja viżibbli u inviżibbli", fis-sens li dawk kollha li huma verament jemmnu f'kull età jappartjenu lill-Knisja Mqaddsa inviżibbli, filwaqt li l-Knisja Metodista Magħquda hija fergħa tal-knisja viżibbli, li magħha jemmnu kollha għandhom ikunu konnessi Peress li hija l-unika istituzzjoni fejn il-Kelma ta ’Alla hija predikata u s-sagramenti huma amministrati.</v>
      </c>
    </row>
    <row r="13640" ht="15.75" customHeight="1">
      <c r="A13640" s="2" t="s">
        <v>13640</v>
      </c>
      <c r="B13640" s="2" t="str">
        <f>IFERROR(__xludf.DUMMYFUNCTION("GOOGLETRANSLATE(A13640, ""en"", ""mt"")"),"Meta ntuża l-ewwel it-terminu ""riġenerazzjoni""?")</f>
        <v>Meta ntuża l-ewwel it-terminu "riġenerazzjoni"?</v>
      </c>
    </row>
    <row r="13641" ht="15.75" customHeight="1">
      <c r="A13641" s="2" t="s">
        <v>13641</v>
      </c>
      <c r="B13641" s="2" t="str">
        <f>IFERROR(__xludf.DUMMYFUNCTION("GOOGLETRANSLATE(A13641, ""en"", ""mt"")"),"Programm Gemini")</f>
        <v>Programm Gemini</v>
      </c>
    </row>
    <row r="13642" ht="15.75" customHeight="1">
      <c r="A13642" s="2" t="s">
        <v>13642</v>
      </c>
      <c r="B13642" s="2" t="str">
        <f>IFERROR(__xludf.DUMMYFUNCTION("GOOGLETRANSLATE(A13642, ""en"", ""mt"")"),"razzjonali u progressiv")</f>
        <v>razzjonali u progressiv</v>
      </c>
    </row>
    <row r="13643" ht="15.75" customHeight="1">
      <c r="A13643" s="2" t="s">
        <v>13643</v>
      </c>
      <c r="B13643" s="2" t="str">
        <f>IFERROR(__xludf.DUMMYFUNCTION("GOOGLETRANSLATE(A13643, ""en"", ""mt"")"),"Galileo Galilei,")</f>
        <v>Galileo Galilei,</v>
      </c>
    </row>
    <row r="13644" ht="15.75" customHeight="1">
      <c r="A13644" s="2" t="s">
        <v>13644</v>
      </c>
      <c r="B13644" s="2" t="str">
        <f>IFERROR(__xludf.DUMMYFUNCTION("GOOGLETRANSLATE(A13644, ""en"", ""mt"")"),"X'inhuma l-ispiżjara fir-Renju Unit li qed jitħallsu dejjem aktar?")</f>
        <v>X'inhuma l-ispiżjara fir-Renju Unit li qed jitħallsu dejjem aktar?</v>
      </c>
    </row>
    <row r="13645" ht="15.75" customHeight="1">
      <c r="A13645" s="2" t="s">
        <v>13645</v>
      </c>
      <c r="B13645" s="2" t="str">
        <f>IFERROR(__xludf.DUMMYFUNCTION("GOOGLETRANSLATE(A13645, ""en"", ""mt"")"),"Liema kliem huma miktuba fuq il-Mace tal-Parlament?")</f>
        <v>Liema kliem huma miktuba fuq il-Mace tal-Parlament?</v>
      </c>
    </row>
    <row r="13646" ht="15.75" customHeight="1">
      <c r="A13646" s="2" t="s">
        <v>13646</v>
      </c>
      <c r="B13646" s="2" t="str">
        <f>IFERROR(__xludf.DUMMYFUNCTION("GOOGLETRANSLATE(A13646, ""en"", ""mt"")"),"Il-bozza tad-dawl inkandexxenti")</f>
        <v>Il-bozza tad-dawl inkandexxenti</v>
      </c>
    </row>
    <row r="13647" ht="15.75" customHeight="1">
      <c r="A13647" s="2" t="s">
        <v>13647</v>
      </c>
      <c r="B13647" s="2" t="str">
        <f>IFERROR(__xludf.DUMMYFUNCTION("GOOGLETRANSLATE(A13647, ""en"", ""mt"")"),"it-tabella tal-konnessjoni")</f>
        <v>it-tabella tal-konnessjoni</v>
      </c>
    </row>
    <row r="13648" ht="15.75" customHeight="1">
      <c r="A13648" s="2" t="s">
        <v>13648</v>
      </c>
      <c r="B13648" s="2" t="str">
        <f>IFERROR(__xludf.DUMMYFUNCTION("GOOGLETRANSLATE(A13648, ""en"", ""mt"")"),"kull sena")</f>
        <v>kull sena</v>
      </c>
    </row>
    <row r="13649" ht="15.75" customHeight="1">
      <c r="A13649" s="2" t="s">
        <v>13649</v>
      </c>
      <c r="B13649" s="2" t="str">
        <f>IFERROR(__xludf.DUMMYFUNCTION("GOOGLETRANSLATE(A13649, ""en"", ""mt"")"),"Wara l-avveniment ta 'estinzjoni tal-Kretaċeju-Paleogene, l-estinzjoni tad-dinosawri u l-klima aktar mxarrba setgħu ppermettew lill-foresta tropikali tropikali tinfirex madwar il-kontinent. Minn 66-34 MYA, il-foresta tropikali estendiet sa 45 °. Il-varjaz"&amp;"zjonijiet fil-klima matul l-aħħar 34 miljun sena ppermettew lir-reġjuni ta 'Savanna jespandu fit-tropiċi. Matul l-Oligocene, pereżempju, il-foresta tropikali mifruxa faxxa relattivament dejqa. Hija espandiet mill-ġdid matul il-Miocene tan-nofs, imbagħad t"&amp;"inġibed għal formazzjoni l-aktar interna fl-aħħar massimu glaċjali. Madankollu, il-foresta tropikali xorta rnexxielha tiffjorixxi matul dawn il-perjodi glaċjali, li tippermetti s-sopravivenza u l-evoluzzjoni ta 'diversità wiesgħa ta' speċi.")</f>
        <v>Wara l-avveniment ta 'estinzjoni tal-Kretaċeju-Paleogene, l-estinzjoni tad-dinosawri u l-klima aktar mxarrba setgħu ppermettew lill-foresta tropikali tropikali tinfirex madwar il-kontinent. Minn 66-34 MYA, il-foresta tropikali estendiet sa 45 °. Il-varjazzjonijiet fil-klima matul l-aħħar 34 miljun sena ppermettew lir-reġjuni ta 'Savanna jespandu fit-tropiċi. Matul l-Oligocene, pereżempju, il-foresta tropikali mifruxa faxxa relattivament dejqa. Hija espandiet mill-ġdid matul il-Miocene tan-nofs, imbagħad tinġibed għal formazzjoni l-aktar interna fl-aħħar massimu glaċjali. Madankollu, il-foresta tropikali xorta rnexxielha tiffjorixxi matul dawn il-perjodi glaċjali, li tippermetti s-sopravivenza u l-evoluzzjoni ta 'diversità wiesgħa ta' speċi.</v>
      </c>
    </row>
    <row r="13650" ht="15.75" customHeight="1">
      <c r="A13650" s="2" t="s">
        <v>13650</v>
      </c>
      <c r="B13650" s="2" t="str">
        <f>IFERROR(__xludf.DUMMYFUNCTION("GOOGLETRANSLATE(A13650, ""en"", ""mt"")"),"40 nanometru madwar")</f>
        <v>40 nanometru madwar</v>
      </c>
    </row>
    <row r="13651" ht="15.75" customHeight="1">
      <c r="A13651" s="2" t="s">
        <v>13651</v>
      </c>
      <c r="B13651" s="2" t="str">
        <f>IFERROR(__xludf.DUMMYFUNCTION("GOOGLETRANSLATE(A13651, ""en"", ""mt"")"),"Invażjoni tal-USSR")</f>
        <v>Invażjoni tal-USSR</v>
      </c>
    </row>
    <row r="13652" ht="15.75" customHeight="1">
      <c r="A13652" s="2" t="s">
        <v>13652</v>
      </c>
      <c r="B13652" s="2" t="str">
        <f>IFERROR(__xludf.DUMMYFUNCTION("GOOGLETRANSLATE(A13652, ""en"", ""mt"")"),"Liema tim tilef Super Bowl xxxiii?")</f>
        <v>Liema tim tilef Super Bowl xxxiii?</v>
      </c>
    </row>
    <row r="13653" ht="15.75" customHeight="1">
      <c r="A13653" s="2" t="s">
        <v>13653</v>
      </c>
      <c r="B13653" s="2" t="str">
        <f>IFERROR(__xludf.DUMMYFUNCTION("GOOGLETRANSLATE(A13653, ""en"", ""mt"")"),"Evita u l-Wiz")</f>
        <v>Evita u l-Wiz</v>
      </c>
    </row>
    <row r="13654" ht="15.75" customHeight="1">
      <c r="A13654" s="2" t="s">
        <v>13654</v>
      </c>
      <c r="B13654" s="2" t="str">
        <f>IFERROR(__xludf.DUMMYFUNCTION("GOOGLETRANSLATE(A13654, ""en"", ""mt"")"),"X-ray")</f>
        <v>X-ray</v>
      </c>
    </row>
    <row r="13655" ht="15.75" customHeight="1">
      <c r="A13655" s="2" t="s">
        <v>13655</v>
      </c>
      <c r="B13655" s="2" t="str">
        <f>IFERROR(__xludf.DUMMYFUNCTION("GOOGLETRANSLATE(A13655, ""en"", ""mt"")"),"Kif irreaġixxa Vaudreuil meta Johnson kien meqjus bħala theddida akbar?")</f>
        <v>Kif irreaġixxa Vaudreuil meta Johnson kien meqjus bħala theddida akbar?</v>
      </c>
    </row>
    <row r="13656" ht="15.75" customHeight="1">
      <c r="A13656" s="2" t="s">
        <v>13656</v>
      </c>
      <c r="B13656" s="2" t="str">
        <f>IFERROR(__xludf.DUMMYFUNCTION("GOOGLETRANSLATE(A13656, ""en"", ""mt"")"),"Burlington Northern Santa Fe Railway u Union Pacific Railroad")</f>
        <v>Burlington Northern Santa Fe Railway u Union Pacific Railroad</v>
      </c>
    </row>
    <row r="13657" ht="15.75" customHeight="1">
      <c r="A13657" s="2" t="s">
        <v>13657</v>
      </c>
      <c r="B13657" s="2" t="str">
        <f>IFERROR(__xludf.DUMMYFUNCTION("GOOGLETRANSLATE(A13657, ""en"", ""mt"")"),"sparking")</f>
        <v>sparking</v>
      </c>
    </row>
    <row r="13658" ht="15.75" customHeight="1">
      <c r="A13658" s="2" t="s">
        <v>13658</v>
      </c>
      <c r="B13658" s="2" t="str">
        <f>IFERROR(__xludf.DUMMYFUNCTION("GOOGLETRANSLATE(A13658, ""en"", ""mt"")"),"3.5 miljun")</f>
        <v>3.5 miljun</v>
      </c>
    </row>
    <row r="13659" ht="15.75" customHeight="1">
      <c r="A13659" s="2" t="s">
        <v>13659</v>
      </c>
      <c r="B13659" s="2" t="str">
        <f>IFERROR(__xludf.DUMMYFUNCTION("GOOGLETRANSLATE(A13659, ""en"", ""mt"")"),"Dritt "","" Just "", jew"" Veru "",")</f>
        <v>Dritt "," Just ", jew" Veru ",</v>
      </c>
    </row>
    <row r="13660" ht="15.75" customHeight="1">
      <c r="A13660" s="2" t="s">
        <v>13660</v>
      </c>
      <c r="B13660" s="2" t="str">
        <f>IFERROR(__xludf.DUMMYFUNCTION("GOOGLETRANSLATE(A13660, ""en"", ""mt"")"),"Ħalq ix-Xmara Monongahela")</f>
        <v>Ħalq ix-Xmara Monongahela</v>
      </c>
    </row>
    <row r="13661" ht="15.75" customHeight="1">
      <c r="A13661" s="2" t="s">
        <v>13661</v>
      </c>
      <c r="B13661" s="2" t="str">
        <f>IFERROR(__xludf.DUMMYFUNCTION("GOOGLETRANSLATE(A13661, ""en"", ""mt"")"),"ix-Xlokk tal-Awstralja")</f>
        <v>ix-Xlokk tal-Awstralja</v>
      </c>
    </row>
    <row r="13662" ht="15.75" customHeight="1">
      <c r="A13662" s="2" t="s">
        <v>13662</v>
      </c>
      <c r="B13662" s="2" t="str">
        <f>IFERROR(__xludf.DUMMYFUNCTION("GOOGLETRANSLATE(A13662, ""en"", ""mt"")"),"Nuqqasijiet kienu jeżistu fid-disinn tal-modulu tal-kmand, l-abbilità u l-kontroll tal-kwalità")</f>
        <v>Nuqqasijiet kienu jeżistu fid-disinn tal-modulu tal-kmand, l-abbilità u l-kontroll tal-kwalità</v>
      </c>
    </row>
    <row r="13663" ht="15.75" customHeight="1">
      <c r="A13663" s="2" t="s">
        <v>13663</v>
      </c>
      <c r="B13663" s="2" t="str">
        <f>IFERROR(__xludf.DUMMYFUNCTION("GOOGLETRANSLATE(A13663, ""en"", ""mt"")"),"Kemm kien twil kull episodju ta 'Doctor Who fis-serje ta' qawmien mill-ġdid tal-2005 (inklużi reklami)?")</f>
        <v>Kemm kien twil kull episodju ta 'Doctor Who fis-serje ta' qawmien mill-ġdid tal-2005 (inklużi reklami)?</v>
      </c>
    </row>
    <row r="13664" ht="15.75" customHeight="1">
      <c r="A13664" s="2" t="s">
        <v>13664</v>
      </c>
      <c r="B13664" s="2" t="str">
        <f>IFERROR(__xludf.DUMMYFUNCTION("GOOGLETRANSLATE(A13664, ""en"", ""mt"")"),"Il-Prinċep Louis de Condé, flimkien ma 'wliedu Daniel u Osias, [ċitazzjoni meħtieġa] irranġati mal-Konti Ludwig von Nassau-Saarbrücken biex jistabbilixxu komunità Huguenot fis-Saarland preżenti fl-1604. , irrispettivament mir-reliġjon tagħhom. Il-condés s"&amp;"tabbilixxew xogħlijiet b'saħħithom tal-ħġieġ, li pprovdew ġid lill-prinċipat għal ħafna snin. Familji fundaturi oħra ħolqu intrapriżi bbażati fuq tessuti u okkupazzjonijiet tradizzjonali ta 'Huguenot fi Franza. Il-komunità u l-kongregazzjoni tagħha jibqgħ"&amp;"u attivi sal-lum, bid-dixxendenti ta 'ħafna mill-familji fundaturi li għadhom jgħixu fir-reġjun. Xi membri ta 'din il-komunità emigraw lejn l-Istati Uniti fl-1890s.")</f>
        <v>Il-Prinċep Louis de Condé, flimkien ma 'wliedu Daniel u Osias, [ċitazzjoni meħtieġa] irranġati mal-Konti Ludwig von Nassau-Saarbrücken biex jistabbilixxu komunità Huguenot fis-Saarland preżenti fl-1604. , irrispettivament mir-reliġjon tagħhom. Il-condés stabbilixxew xogħlijiet b'saħħithom tal-ħġieġ, li pprovdew ġid lill-prinċipat għal ħafna snin. Familji fundaturi oħra ħolqu intrapriżi bbażati fuq tessuti u okkupazzjonijiet tradizzjonali ta 'Huguenot fi Franza. Il-komunità u l-kongregazzjoni tagħha jibqgħu attivi sal-lum, bid-dixxendenti ta 'ħafna mill-familji fundaturi li għadhom jgħixu fir-reġjun. Xi membri ta 'din il-komunità emigraw lejn l-Istati Uniti fl-1890s.</v>
      </c>
    </row>
    <row r="13665" ht="15.75" customHeight="1">
      <c r="A13665" s="2" t="s">
        <v>13665</v>
      </c>
      <c r="B13665" s="2" t="str">
        <f>IFERROR(__xludf.DUMMYFUNCTION("GOOGLETRANSLATE(A13665, ""en"", ""mt"")"),"Meta ssuġġeriet Konstantin Mereschkowski l-oriġini tal-kloroplasti?")</f>
        <v>Meta ssuġġeriet Konstantin Mereschkowski l-oriġini tal-kloroplasti?</v>
      </c>
    </row>
    <row r="13666" ht="15.75" customHeight="1">
      <c r="A13666" s="2" t="s">
        <v>13666</v>
      </c>
      <c r="B13666" s="2" t="str">
        <f>IFERROR(__xludf.DUMMYFUNCTION("GOOGLETRANSLATE(A13666, ""en"", ""mt"")"),"Ħajja fuq Tyneside")</f>
        <v>Ħajja fuq Tyneside</v>
      </c>
    </row>
    <row r="13667" ht="15.75" customHeight="1">
      <c r="A13667" s="2" t="s">
        <v>13667</v>
      </c>
      <c r="B13667" s="2" t="str">
        <f>IFERROR(__xludf.DUMMYFUNCTION("GOOGLETRANSLATE(A13667, ""en"", ""mt"")"),"X'inhu pajjiż ta 'Tesla?")</f>
        <v>X'inhu pajjiż ta 'Tesla?</v>
      </c>
    </row>
    <row r="13668" ht="15.75" customHeight="1">
      <c r="A13668" s="2" t="s">
        <v>13668</v>
      </c>
      <c r="B13668" s="2" t="str">
        <f>IFERROR(__xludf.DUMMYFUNCTION("GOOGLETRANSLATE(A13668, ""en"", ""mt"")"),"Liema għodda sottili tista 'tintuża f'sitwazzjoni imperjalista informali biex tespandi żona kkontrollata?")</f>
        <v>Liema għodda sottili tista 'tintuża f'sitwazzjoni imperjalista informali biex tespandi żona kkontrollata?</v>
      </c>
    </row>
    <row r="13669" ht="15.75" customHeight="1">
      <c r="A13669" s="2" t="s">
        <v>13669</v>
      </c>
      <c r="B13669" s="2" t="str">
        <f>IFERROR(__xludf.DUMMYFUNCTION("GOOGLETRANSLATE(A13669, ""en"", ""mt"")"),"X'interferixxi mat-tieni invażjoni ta 'Kublai fil-Ġappun?")</f>
        <v>X'interferixxi mat-tieni invażjoni ta 'Kublai fil-Ġappun?</v>
      </c>
    </row>
    <row r="13670" ht="15.75" customHeight="1">
      <c r="A13670" s="2" t="s">
        <v>13670</v>
      </c>
      <c r="B13670" s="2" t="str">
        <f>IFERROR(__xludf.DUMMYFUNCTION("GOOGLETRANSLATE(A13670, ""en"", ""mt"")"),"Kwistjonijiet riservati")</f>
        <v>Kwistjonijiet riservati</v>
      </c>
    </row>
    <row r="13671" ht="15.75" customHeight="1">
      <c r="A13671" s="2" t="s">
        <v>13671</v>
      </c>
      <c r="B13671" s="2" t="str">
        <f>IFERROR(__xludf.DUMMYFUNCTION("GOOGLETRANSLATE(A13671, ""en"", ""mt"")"),"Liema persentaġġ ta 'studenti tal-iskejjel privati ​​jmorru l-iskejjel Kattoliċi?")</f>
        <v>Liema persentaġġ ta 'studenti tal-iskejjel privati ​​jmorru l-iskejjel Kattoliċi?</v>
      </c>
    </row>
    <row r="13672" ht="15.75" customHeight="1">
      <c r="A13672" s="2" t="s">
        <v>13672</v>
      </c>
      <c r="B13672" s="2" t="str">
        <f>IFERROR(__xludf.DUMMYFUNCTION("GOOGLETRANSLATE(A13672, ""en"", ""mt"")"),"negozjati għal soluzzjoni")</f>
        <v>negozjati għal soluzzjoni</v>
      </c>
    </row>
    <row r="13673" ht="15.75" customHeight="1">
      <c r="A13673" s="2" t="s">
        <v>13673</v>
      </c>
      <c r="B13673" s="2" t="str">
        <f>IFERROR(__xludf.DUMMYFUNCTION("GOOGLETRANSLATE(A13673, ""en"", ""mt"")"),"reżistenti għan-nixfa ħafna")</f>
        <v>reżistenti għan-nixfa ħafna</v>
      </c>
    </row>
    <row r="13674" ht="15.75" customHeight="1">
      <c r="A13674" s="2" t="s">
        <v>13674</v>
      </c>
      <c r="B13674" s="2" t="str">
        <f>IFERROR(__xludf.DUMMYFUNCTION("GOOGLETRANSLATE(A13674, ""en"", ""mt"")"),"Kemm ilu l-ossiġnu laħaq 10% tal-livell preżenti tiegħu?")</f>
        <v>Kemm ilu l-ossiġnu laħaq 10% tal-livell preżenti tiegħu?</v>
      </c>
    </row>
    <row r="13675" ht="15.75" customHeight="1">
      <c r="A13675" s="2" t="s">
        <v>13675</v>
      </c>
      <c r="B13675" s="2" t="str">
        <f>IFERROR(__xludf.DUMMYFUNCTION("GOOGLETRANSLATE(A13675, ""en"", ""mt"")"),"X'tip ta 'mikroskopju jintuża mill-petrologi?")</f>
        <v>X'tip ta 'mikroskopju jintuża mill-petrologi?</v>
      </c>
    </row>
    <row r="13676" ht="15.75" customHeight="1">
      <c r="A13676" s="2" t="s">
        <v>13676</v>
      </c>
      <c r="B13676" s="2" t="str">
        <f>IFERROR(__xludf.DUMMYFUNCTION("GOOGLETRANSLATE(A13676, ""en"", ""mt"")"),"Watchespn")</f>
        <v>Watchespn</v>
      </c>
    </row>
    <row r="13677" ht="15.75" customHeight="1">
      <c r="A13677" s="2" t="s">
        <v>13677</v>
      </c>
      <c r="B13677" s="2" t="str">
        <f>IFERROR(__xludf.DUMMYFUNCTION("GOOGLETRANSLATE(A13677, ""en"", ""mt"")"),"Meta kienet il-kompetenza għall-unjoni biex toħloq sentenzi kriminali għal reati ekoloġiċi kkontestati?")</f>
        <v>Meta kienet il-kompetenza għall-unjoni biex toħloq sentenzi kriminali għal reati ekoloġiċi kkontestati?</v>
      </c>
    </row>
    <row r="13678" ht="15.75" customHeight="1">
      <c r="A13678" s="2" t="s">
        <v>13678</v>
      </c>
      <c r="B13678" s="2" t="str">
        <f>IFERROR(__xludf.DUMMYFUNCTION("GOOGLETRANSLATE(A13678, ""en"", ""mt"")"),"American_broadcasting_company")</f>
        <v>American_broadcasting_company</v>
      </c>
    </row>
    <row r="13679" ht="15.75" customHeight="1">
      <c r="A13679" s="2" t="s">
        <v>13679</v>
      </c>
      <c r="B13679" s="2" t="str">
        <f>IFERROR(__xludf.DUMMYFUNCTION("GOOGLETRANSLATE(A13679, ""en"", ""mt"")"),"Alberto Calderón")</f>
        <v>Alberto Calderón</v>
      </c>
    </row>
    <row r="13680" ht="15.75" customHeight="1">
      <c r="A13680" s="2" t="s">
        <v>13680</v>
      </c>
      <c r="B13680" s="2" t="str">
        <f>IFERROR(__xludf.DUMMYFUNCTION("GOOGLETRANSLATE(A13680, ""en"", ""mt"")"),"Numru ta 'atleti Kenjani biex jirrappreżentaw pajjiżi oħra")</f>
        <v>Numru ta 'atleti Kenjani biex jirrappreżentaw pajjiżi oħra</v>
      </c>
    </row>
    <row r="13681" ht="15.75" customHeight="1">
      <c r="A13681" s="2" t="s">
        <v>13681</v>
      </c>
      <c r="B13681" s="2" t="str">
        <f>IFERROR(__xludf.DUMMYFUNCTION("GOOGLETRANSLATE(A13681, ""en"", ""mt"")"),"X'inhuma żewġ molekuli anti-infjammatorji li l-quċċata matul is-sigħat imqajmin?")</f>
        <v>X'inhuma żewġ molekuli anti-infjammatorji li l-quċċata matul is-sigħat imqajmin?</v>
      </c>
    </row>
    <row r="13682" ht="15.75" customHeight="1">
      <c r="A13682" s="2" t="s">
        <v>13682</v>
      </c>
      <c r="B13682" s="2" t="str">
        <f>IFERROR(__xludf.DUMMYFUNCTION("GOOGLETRANSLATE(A13682, ""en"", ""mt"")"),"Liema konġettura żżomm li kull numru sħiħ n akbar minn 2 jista 'jiġi espress bħala somma ta' żewġ primes?")</f>
        <v>Liema konġettura żżomm li kull numru sħiħ n akbar minn 2 jista 'jiġi espress bħala somma ta' żewġ primes?</v>
      </c>
    </row>
    <row r="13683" ht="15.75" customHeight="1">
      <c r="A13683" s="2" t="s">
        <v>13683</v>
      </c>
      <c r="B13683" s="2" t="str">
        <f>IFERROR(__xludf.DUMMYFUNCTION("GOOGLETRANSLATE(A13683, ""en"", ""mt"")"),"Segretarju")</f>
        <v>Segretarju</v>
      </c>
    </row>
    <row r="13684" ht="15.75" customHeight="1">
      <c r="A13684" s="2" t="s">
        <v>13684</v>
      </c>
      <c r="B13684" s="2" t="str">
        <f>IFERROR(__xludf.DUMMYFUNCTION("GOOGLETRANSLATE(A13684, ""en"", ""mt"")"),"kompletament iddedikat għall-Lhud obdurate, li kienet kwistjoni ta 'urġenza kbira li tkeċċi mit-territorju Ġermaniż kollu,")</f>
        <v>kompletament iddedikat għall-Lhud obdurate, li kienet kwistjoni ta 'urġenza kbira li tkeċċi mit-territorju Ġermaniż kollu,</v>
      </c>
    </row>
    <row r="13685" ht="15.75" customHeight="1">
      <c r="A13685" s="2" t="s">
        <v>13685</v>
      </c>
      <c r="B13685" s="2" t="str">
        <f>IFERROR(__xludf.DUMMYFUNCTION("GOOGLETRANSLATE(A13685, ""en"", ""mt"")"),"Huwa seta 'jwaqqaf il-qoxra tad-Dinja f'tali stat ta' vibrazzjoni li kienet titla 'u taqa' mijiet ta 'saqajn u prattikament teqred iċ-ċiviltà")</f>
        <v>Huwa seta 'jwaqqaf il-qoxra tad-Dinja f'tali stat ta' vibrazzjoni li kienet titla 'u taqa' mijiet ta 'saqajn u prattikament teqred iċ-ċiviltà</v>
      </c>
    </row>
    <row r="13686" ht="15.75" customHeight="1">
      <c r="A13686" s="2" t="s">
        <v>13686</v>
      </c>
      <c r="B13686" s="2" t="str">
        <f>IFERROR(__xludf.DUMMYFUNCTION("GOOGLETRANSLATE(A13686, ""en"", ""mt"")"),"Liema liġi tal-Afrika t'Isfel għarfet żewġ tipi ta 'skejjel?")</f>
        <v>Liema liġi tal-Afrika t'Isfel għarfet żewġ tipi ta 'skejjel?</v>
      </c>
    </row>
    <row r="13687" ht="15.75" customHeight="1">
      <c r="A13687" s="2" t="s">
        <v>13687</v>
      </c>
      <c r="B13687" s="2" t="str">
        <f>IFERROR(__xludf.DUMMYFUNCTION("GOOGLETRANSLATE(A13687, ""en"", ""mt"")"),"Liema provinċja tat-tramuntana fi Franza għandha popolazzjoni Protestanta kbira?")</f>
        <v>Liema provinċja tat-tramuntana fi Franza għandha popolazzjoni Protestanta kbira?</v>
      </c>
    </row>
    <row r="13688" ht="15.75" customHeight="1">
      <c r="A13688" s="2" t="s">
        <v>13688</v>
      </c>
      <c r="B13688" s="2" t="str">
        <f>IFERROR(__xludf.DUMMYFUNCTION("GOOGLETRANSLATE(A13688, ""en"", ""mt"")"),"Fażi ta 'setup")</f>
        <v>Fażi ta 'setup</v>
      </c>
    </row>
    <row r="13689" ht="15.75" customHeight="1">
      <c r="A13689" s="2" t="s">
        <v>13689</v>
      </c>
      <c r="B13689" s="2" t="str">
        <f>IFERROR(__xludf.DUMMYFUNCTION("GOOGLETRANSLATE(A13689, ""en"", ""mt"")"),"vettura spazjali biex tintuża bħala ""dgħajsa tas-salvataġġ""")</f>
        <v>vettura spazjali biex tintuża bħala "dgħajsa tas-salvataġġ"</v>
      </c>
    </row>
    <row r="13690" ht="15.75" customHeight="1">
      <c r="A13690" s="2" t="s">
        <v>13690</v>
      </c>
      <c r="B13690" s="2" t="str">
        <f>IFERROR(__xludf.DUMMYFUNCTION("GOOGLETRANSLATE(A13690, ""en"", ""mt"")"),"DeAngelo Williams")</f>
        <v>DeAngelo Williams</v>
      </c>
    </row>
    <row r="13691" ht="15.75" customHeight="1">
      <c r="A13691" s="2" t="s">
        <v>13691</v>
      </c>
      <c r="B13691" s="2" t="str">
        <f>IFERROR(__xludf.DUMMYFUNCTION("GOOGLETRANSLATE(A13691, ""en"", ""mt"")"),"Liema organizzazzjoni bassret li l-foresta tal-Amażonja tista 'tibqa' ħajja biss tliet snin ta 'nixfa?")</f>
        <v>Liema organizzazzjoni bassret li l-foresta tal-Amażonja tista 'tibqa' ħajja biss tliet snin ta 'nixfa?</v>
      </c>
    </row>
    <row r="13692" ht="15.75" customHeight="1">
      <c r="A13692" s="2" t="s">
        <v>13692</v>
      </c>
      <c r="B13692" s="2" t="str">
        <f>IFERROR(__xludf.DUMMYFUNCTION("GOOGLETRANSLATE(A13692, ""en"", ""mt"")"),"Dan kien l-ewwel Super Bowl li kellu quarterback fuq iż-żewġ timijiet li kien l-għażla # 1 fl-abbozz tal-klassijiet tagħhom. Manning kienet l-għażla # 1 tal-Abbozz tal-NFL tal-1998, filwaqt li Newton inqabad l-ewwel fl-2011. Il-partita wkoll tpoġġi l-aqwa"&amp;" żewġ għażliet tal-abbozz tal-2011 kontra xulxin: Newton għal Carolina u Von Miller għal Denver. Manning u Newton stabbilixxew ukoll ir-rekord għall-ikbar differenza fl-età bejn il-quarterbacks tas-Super Bowl opposti fit-13-il sena u 48 jum (Manning kien "&amp;"39, Newton kien 26).")</f>
        <v>Dan kien l-ewwel Super Bowl li kellu quarterback fuq iż-żewġ timijiet li kien l-għażla # 1 fl-abbozz tal-klassijiet tagħhom. Manning kienet l-għażla # 1 tal-Abbozz tal-NFL tal-1998, filwaqt li Newton inqabad l-ewwel fl-2011. Il-partita wkoll tpoġġi l-aqwa żewġ għażliet tal-abbozz tal-2011 kontra xulxin: Newton għal Carolina u Von Miller għal Denver. Manning u Newton stabbilixxew ukoll ir-rekord għall-ikbar differenza fl-età bejn il-quarterbacks tas-Super Bowl opposti fit-13-il sena u 48 jum (Manning kien 39, Newton kien 26).</v>
      </c>
    </row>
    <row r="13693" ht="15.75" customHeight="1">
      <c r="A13693" s="2" t="s">
        <v>13693</v>
      </c>
      <c r="B13693" s="2" t="str">
        <f>IFERROR(__xludf.DUMMYFUNCTION("GOOGLETRANSLATE(A13693, ""en"", ""mt"")"),"Fl-1735, min għamlu John u Charles Wesley għall-Evanġelju fl-Amerika?")</f>
        <v>Fl-1735, min għamlu John u Charles Wesley għall-Evanġelju fl-Amerika?</v>
      </c>
    </row>
    <row r="13694" ht="15.75" customHeight="1">
      <c r="A13694" s="2" t="s">
        <v>13694</v>
      </c>
      <c r="B13694" s="2" t="str">
        <f>IFERROR(__xludf.DUMMYFUNCTION("GOOGLETRANSLATE(A13694, ""en"", ""mt"")"),"X'inhuma l-eċċezzjonijiet fil-Kostituzzjoni li jeħtieġu kunsiderazzjonijiet speċjali biex jiġu emendati?")</f>
        <v>X'inhuma l-eċċezzjonijiet fil-Kostituzzjoni li jeħtieġu kunsiderazzjonijiet speċjali biex jiġu emendati?</v>
      </c>
    </row>
    <row r="13695" ht="15.75" customHeight="1">
      <c r="A13695" s="2" t="s">
        <v>13695</v>
      </c>
      <c r="B13695" s="2" t="str">
        <f>IFERROR(__xludf.DUMMYFUNCTION("GOOGLETRANSLATE(A13695, ""en"", ""mt"")"),"Daily Mail")</f>
        <v>Daily Mail</v>
      </c>
    </row>
    <row r="13696" ht="15.75" customHeight="1">
      <c r="A13696" s="2" t="s">
        <v>13696</v>
      </c>
      <c r="B13696" s="2" t="str">
        <f>IFERROR(__xludf.DUMMYFUNCTION("GOOGLETRANSLATE(A13696, ""en"", ""mt"")"),"1606")</f>
        <v>1606</v>
      </c>
    </row>
    <row r="13697" ht="15.75" customHeight="1">
      <c r="A13697" s="2" t="s">
        <v>13697</v>
      </c>
      <c r="B13697" s="2" t="str">
        <f>IFERROR(__xludf.DUMMYFUNCTION("GOOGLETRANSLATE(A13697, ""en"", ""mt"")"),"Liema servizz il-klijenti ta 'Verizon kellhom bżonn jużaw il-logħba fuq is-smartphones tagħhom?")</f>
        <v>Liema servizz il-klijenti ta 'Verizon kellhom bżonn jużaw il-logħba fuq is-smartphones tagħhom?</v>
      </c>
    </row>
    <row r="13698" ht="15.75" customHeight="1">
      <c r="A13698" s="2" t="s">
        <v>13698</v>
      </c>
      <c r="B13698" s="2" t="str">
        <f>IFERROR(__xludf.DUMMYFUNCTION("GOOGLETRANSLATE(A13698, ""en"", ""mt"")"),"Dipartiment tal-Ġustizzja")</f>
        <v>Dipartiment tal-Ġustizzja</v>
      </c>
    </row>
    <row r="13699" ht="15.75" customHeight="1">
      <c r="A13699" s="2" t="s">
        <v>13699</v>
      </c>
      <c r="B13699" s="2" t="str">
        <f>IFERROR(__xludf.DUMMYFUNCTION("GOOGLETRANSLATE(A13699, ""en"", ""mt"")"),"forma ta 'pancake")</f>
        <v>forma ta 'pancake</v>
      </c>
    </row>
    <row r="13700" ht="15.75" customHeight="1">
      <c r="A13700" s="2" t="s">
        <v>13700</v>
      </c>
      <c r="B13700" s="2" t="str">
        <f>IFERROR(__xludf.DUMMYFUNCTION("GOOGLETRANSLATE(A13700, ""en"", ""mt"")"),"L-ewwel netwerk ta 'dejta pubblika liċenzjat mill-FCC fl-Istati Uniti")</f>
        <v>L-ewwel netwerk ta 'dejta pubblika liċenzjat mill-FCC fl-Istati Uniti</v>
      </c>
    </row>
    <row r="13701" ht="15.75" customHeight="1">
      <c r="A13701" s="2" t="s">
        <v>13701</v>
      </c>
      <c r="B13701" s="2" t="str">
        <f>IFERROR(__xludf.DUMMYFUNCTION("GOOGLETRANSLATE(A13701, ""en"", ""mt"")"),"L-UMC jappoġġja riċerka dwar liema ċelloli meħuda minn kurduni umbilikali?")</f>
        <v>L-UMC jappoġġja riċerka dwar liema ċelloli meħuda minn kurduni umbilikali?</v>
      </c>
    </row>
    <row r="13702" ht="15.75" customHeight="1">
      <c r="A13702" s="2" t="s">
        <v>13702</v>
      </c>
      <c r="B13702" s="2" t="str">
        <f>IFERROR(__xludf.DUMMYFUNCTION("GOOGLETRANSLATE(A13702, ""en"", ""mt"")"),"Meta bnedmin bdew iħallu impatt fuq id-delta?")</f>
        <v>Meta bnedmin bdew iħallu impatt fuq id-delta?</v>
      </c>
    </row>
    <row r="13703" ht="15.75" customHeight="1">
      <c r="A13703" s="2" t="s">
        <v>13703</v>
      </c>
      <c r="B13703" s="2" t="str">
        <f>IFERROR(__xludf.DUMMYFUNCTION("GOOGLETRANSLATE(A13703, ""en"", ""mt"")"),"50%")</f>
        <v>50%</v>
      </c>
    </row>
    <row r="13704" ht="15.75" customHeight="1">
      <c r="A13704" s="2" t="s">
        <v>13704</v>
      </c>
      <c r="B13704" s="2" t="str">
        <f>IFERROR(__xludf.DUMMYFUNCTION("GOOGLETRANSLATE(A13704, ""en"", ""mt"")"),"Il-knisja tappoġġja lil dawk il-persuni li jopponu l-kuxjenza?")</f>
        <v>Il-knisja tappoġġja lil dawk il-persuni li jopponu l-kuxjenza?</v>
      </c>
    </row>
    <row r="13705" ht="15.75" customHeight="1">
      <c r="A13705" s="2" t="s">
        <v>13705</v>
      </c>
      <c r="B13705" s="2" t="str">
        <f>IFERROR(__xludf.DUMMYFUNCTION("GOOGLETRANSLATE(A13705, ""en"", ""mt"")"),"Kemm huwa l-investiment taċ-Ċina fil-Kenja?")</f>
        <v>Kemm huwa l-investiment taċ-Ċina fil-Kenja?</v>
      </c>
    </row>
    <row r="13706" ht="15.75" customHeight="1">
      <c r="A13706" s="2" t="s">
        <v>13706</v>
      </c>
      <c r="B13706" s="2" t="str">
        <f>IFERROR(__xludf.DUMMYFUNCTION("GOOGLETRANSLATE(A13706, ""en"", ""mt"")"),"It-tielet liġi ta 'Newton hija r-riżultat tal-applikazzjoni ta' simetrija għal sitwazzjonijiet fejn il-forzi jistgħu jiġu attribwiti għall-preżenza ta 'oġġetti differenti. It-tielet liġi tfisser li l-forzi kollha huma interazzjonijiet bejn korpi different"&amp;"i, [nota 3] u għalhekk li m'hemm l-ebda ħaġa bħal forza unidirezzjonali jew forza li taġixxi fuq korp wieħed biss. Kull meta l-ewwel korp jeżerċita forza F fuq it-tieni korp, it-tieni korp jeżerċita forza −f fuq l-ewwel korp. F u −f huma ugwali fil-kobor "&amp;"u opposti fid-direzzjoni. Din il-liġi xi kultant tissejjaħ il-liġi ta 'reazzjoni ta' azzjoni, b'F imsejħa ""azzjoni"" u −f ir- ""reazzjoni"". L-azzjoni u r-reazzjoni huma simultanji:")</f>
        <v>It-tielet liġi ta 'Newton hija r-riżultat tal-applikazzjoni ta' simetrija għal sitwazzjonijiet fejn il-forzi jistgħu jiġu attribwiti għall-preżenza ta 'oġġetti differenti. It-tielet liġi tfisser li l-forzi kollha huma interazzjonijiet bejn korpi differenti, [nota 3] u għalhekk li m'hemm l-ebda ħaġa bħal forza unidirezzjonali jew forza li taġixxi fuq korp wieħed biss. Kull meta l-ewwel korp jeżerċita forza F fuq it-tieni korp, it-tieni korp jeżerċita forza −f fuq l-ewwel korp. F u −f huma ugwali fil-kobor u opposti fid-direzzjoni. Din il-liġi xi kultant tissejjaħ il-liġi ta 'reazzjoni ta' azzjoni, b'F imsejħa "azzjoni" u −f ir- "reazzjoni". L-azzjoni u r-reazzjoni huma simultanji:</v>
      </c>
    </row>
    <row r="13707" ht="15.75" customHeight="1">
      <c r="A13707" s="2" t="s">
        <v>13707</v>
      </c>
      <c r="B13707" s="2" t="str">
        <f>IFERROR(__xludf.DUMMYFUNCTION("GOOGLETRANSLATE(A13707, ""en"", ""mt"")"),"eċċitament")</f>
        <v>eċċitament</v>
      </c>
    </row>
    <row r="13708" ht="15.75" customHeight="1">
      <c r="A13708" s="2" t="s">
        <v>13708</v>
      </c>
      <c r="B13708" s="2" t="str">
        <f>IFERROR(__xludf.DUMMYFUNCTION("GOOGLETRANSLATE(A13708, ""en"", ""mt"")"),"jorqod")</f>
        <v>jorqod</v>
      </c>
    </row>
    <row r="13709" ht="15.75" customHeight="1">
      <c r="A13709" s="2" t="s">
        <v>13709</v>
      </c>
      <c r="B13709" s="2" t="str">
        <f>IFERROR(__xludf.DUMMYFUNCTION("GOOGLETRANSLATE(A13709, ""en"", ""mt"")"),"Kif hija rranġata l-biċċa l-kbira tal-pjanti tal-pjanti?")</f>
        <v>Kif hija rranġata l-biċċa l-kbira tal-pjanti tal-pjanti?</v>
      </c>
    </row>
    <row r="13710" ht="15.75" customHeight="1">
      <c r="A13710" s="2" t="s">
        <v>13710</v>
      </c>
      <c r="B13710" s="2" t="str">
        <f>IFERROR(__xludf.DUMMYFUNCTION("GOOGLETRANSLATE(A13710, ""en"", ""mt"")"),"X'inhu swiċċjar taċ-ċirkwit ikkaratterizzat minn")</f>
        <v>X'inhu swiċċjar taċ-ċirkwit ikkaratterizzat minn</v>
      </c>
    </row>
    <row r="13711" ht="15.75" customHeight="1">
      <c r="A13711" s="2" t="s">
        <v>13711</v>
      </c>
      <c r="B13711" s="2" t="str">
        <f>IFERROR(__xludf.DUMMYFUNCTION("GOOGLETRANSLATE(A13711, ""en"", ""mt"")"),"Minbarra d-drogi, x'iktar jipprovdu l-ispiżeriji speċjalizzati?")</f>
        <v>Minbarra d-drogi, x'iktar jipprovdu l-ispiżeriji speċjalizzati?</v>
      </c>
    </row>
    <row r="13712" ht="15.75" customHeight="1">
      <c r="A13712" s="2" t="s">
        <v>13712</v>
      </c>
      <c r="B13712" s="2" t="str">
        <f>IFERROR(__xludf.DUMMYFUNCTION("GOOGLETRANSLATE(A13712, ""en"", ""mt"")"),"22 ta 'Novembru,")</f>
        <v>22 ta 'Novembru,</v>
      </c>
    </row>
    <row r="13713" ht="15.75" customHeight="1">
      <c r="A13713" s="2" t="s">
        <v>13713</v>
      </c>
      <c r="B13713" s="2" t="str">
        <f>IFERROR(__xludf.DUMMYFUNCTION("GOOGLETRANSLATE(A13713, ""en"", ""mt"")"),"Arranġament differenti ġie rreġistrat minn Peter Howell għall-Istaġun 18 (1980), li mbagħad ġie sostitwit bl-arranġament ta 'Dominic Glynn għas-serje tal-istaġun tul il-prova ta' Time Lord fl-istaġun 23 (1986). Keff McCulloch ipprovda l-arranġament il-ġdi"&amp;"d għas-Seba 'Era tat-Tabib li dam mill-Istaġun 24 (1987) sas-serje' Sospensjoni fl-1989. Il-kompożitur Amerikan John Debney ħoloq arranġament ġdid tat-tema oriġinali ta 'Ron Grainer għal Doctor Who fl-1996. Is-serje fl-2005, Murray Gold ipprovdiet arranġa"&amp;"ment ġdid li deher kampjuni mill-oriġinal tal-1963 b'aktar elementi miżjuda; Fl-episodju tal-Milied tal-2005 ""The Christmas Invasion"", Gold introduċa arranġament ta 'krediti ta' għeluq modifikat li ntuża sal-konklużjoni tas-serje 2007. [Ċitazzjoni meħti"&amp;"eġa]")</f>
        <v>Arranġament differenti ġie rreġistrat minn Peter Howell għall-Istaġun 18 (1980), li mbagħad ġie sostitwit bl-arranġament ta 'Dominic Glynn għas-serje tal-istaġun tul il-prova ta' Time Lord fl-istaġun 23 (1986). Keff McCulloch ipprovda l-arranġament il-ġdid għas-Seba 'Era tat-Tabib li dam mill-Istaġun 24 (1987) sas-serje' Sospensjoni fl-1989. Il-kompożitur Amerikan John Debney ħoloq arranġament ġdid tat-tema oriġinali ta 'Ron Grainer għal Doctor Who fl-1996. Is-serje fl-2005, Murray Gold ipprovdiet arranġament ġdid li deher kampjuni mill-oriġinal tal-1963 b'aktar elementi miżjuda; Fl-episodju tal-Milied tal-2005 "The Christmas Invasion", Gold introduċa arranġament ta 'krediti ta' għeluq modifikat li ntuża sal-konklużjoni tas-serje 2007. [Ċitazzjoni meħtieġa]</v>
      </c>
    </row>
    <row r="13714" ht="15.75" customHeight="1">
      <c r="A13714" s="2" t="s">
        <v>13714</v>
      </c>
      <c r="B13714" s="2" t="str">
        <f>IFERROR(__xludf.DUMMYFUNCTION("GOOGLETRANSLATE(A13714, ""en"", ""mt"")"),"Liema żewġ gvernaturi qablu ma 'waqfien biex jipproteġu l-kolonji żgħar tagħhom?")</f>
        <v>Liema żewġ gvernaturi qablu ma 'waqfien biex jipproteġu l-kolonji żgħar tagħhom?</v>
      </c>
    </row>
    <row r="13715" ht="15.75" customHeight="1">
      <c r="A13715" s="2" t="s">
        <v>13715</v>
      </c>
      <c r="B13715" s="2" t="str">
        <f>IFERROR(__xludf.DUMMYFUNCTION("GOOGLETRANSLATE(A13715, ""en"", ""mt"")"),"X'se jinkiseb bħala parti minn pjanijiet fit-tul għal titjib fis-sistema tal-ferrovija ta 'Newcastle?")</f>
        <v>X'se jinkiseb bħala parti minn pjanijiet fit-tul għal titjib fis-sistema tal-ferrovija ta 'Newcastle?</v>
      </c>
    </row>
    <row r="13716" ht="15.75" customHeight="1">
      <c r="A13716" s="2" t="s">
        <v>13716</v>
      </c>
      <c r="B13716" s="2" t="str">
        <f>IFERROR(__xludf.DUMMYFUNCTION("GOOGLETRANSLATE(A13716, ""en"", ""mt"")"),"il-Portugiż")</f>
        <v>il-Portugiż</v>
      </c>
    </row>
    <row r="13717" ht="15.75" customHeight="1">
      <c r="A13717" s="2" t="s">
        <v>13717</v>
      </c>
      <c r="B13717" s="2" t="str">
        <f>IFERROR(__xludf.DUMMYFUNCTION("GOOGLETRANSLATE(A13717, ""en"", ""mt"")"),"Kimika")</f>
        <v>Kimika</v>
      </c>
    </row>
    <row r="13718" ht="15.75" customHeight="1">
      <c r="A13718" s="2" t="s">
        <v>13718</v>
      </c>
      <c r="B13718" s="2" t="str">
        <f>IFERROR(__xludf.DUMMYFUNCTION("GOOGLETRANSLATE(A13718, ""en"", ""mt"")"),"3 ta 'Diċembru")</f>
        <v>3 ta 'Diċembru</v>
      </c>
    </row>
    <row r="13719" ht="15.75" customHeight="1">
      <c r="A13719" s="2" t="s">
        <v>13719</v>
      </c>
      <c r="B13719" s="2" t="str">
        <f>IFERROR(__xludf.DUMMYFUNCTION("GOOGLETRANSLATE(A13719, ""en"", ""mt"")"),"Iskejjel magħluqa Huguenot")</f>
        <v>Iskejjel magħluqa Huguenot</v>
      </c>
    </row>
    <row r="13720" ht="15.75" customHeight="1">
      <c r="A13720" s="2" t="s">
        <v>13720</v>
      </c>
      <c r="B13720" s="2" t="str">
        <f>IFERROR(__xludf.DUMMYFUNCTION("GOOGLETRANSLATE(A13720, ""en"", ""mt"")"),"Forzi Franċiżi addizzjonali")</f>
        <v>Forzi Franċiżi addizzjonali</v>
      </c>
    </row>
    <row r="13721" ht="15.75" customHeight="1">
      <c r="A13721" s="2" t="s">
        <v>13721</v>
      </c>
      <c r="B13721" s="2" t="str">
        <f>IFERROR(__xludf.DUMMYFUNCTION("GOOGLETRANSLATE(A13721, ""en"", ""mt"")"),"Il-gvernijiet ingħaqdu biex joħolqu l-belt konsolidata ta 'Jacksonville")</f>
        <v>Il-gvernijiet ingħaqdu biex joħolqu l-belt konsolidata ta 'Jacksonville</v>
      </c>
    </row>
    <row r="13722" ht="15.75" customHeight="1">
      <c r="A13722" s="2" t="s">
        <v>13722</v>
      </c>
      <c r="B13722" s="2" t="str">
        <f>IFERROR(__xludf.DUMMYFUNCTION("GOOGLETRANSLATE(A13722, ""en"", ""mt"")"),"Fuq liema tip ta 'esponenzjazzjoni jiddependi fuq l-iskambju ewlieni Diffie - Hellman?")</f>
        <v>Fuq liema tip ta 'esponenzjazzjoni jiddependi fuq l-iskambju ewlieni Diffie - Hellman?</v>
      </c>
    </row>
    <row r="13723" ht="15.75" customHeight="1">
      <c r="A13723" s="2" t="s">
        <v>13723</v>
      </c>
      <c r="B13723" s="2" t="str">
        <f>IFERROR(__xludf.DUMMYFUNCTION("GOOGLETRANSLATE(A13723, ""en"", ""mt"")"),"X'kien il-proporzjon ta 'rebħa / telf fl-2015 għall-Panthers Carolina matul l-istaġun regolari tagħhom?")</f>
        <v>X'kien il-proporzjon ta 'rebħa / telf fl-2015 għall-Panthers Carolina matul l-istaġun regolari tagħhom?</v>
      </c>
    </row>
    <row r="13724" ht="15.75" customHeight="1">
      <c r="A13724" s="2" t="s">
        <v>13724</v>
      </c>
      <c r="B13724" s="2" t="str">
        <f>IFERROR(__xludf.DUMMYFUNCTION("GOOGLETRANSLATE(A13724, ""en"", ""mt"")"),"Proplastidi mhux differenzjati misjuba fiż-żigot, jew bajda fertilizzata")</f>
        <v>Proplastidi mhux differenzjati misjuba fiż-żigot, jew bajda fertilizzata</v>
      </c>
    </row>
    <row r="13725" ht="15.75" customHeight="1">
      <c r="A13725" s="2" t="s">
        <v>13725</v>
      </c>
      <c r="B13725" s="2" t="str">
        <f>IFERROR(__xludf.DUMMYFUNCTION("GOOGLETRANSLATE(A13725, ""en"", ""mt"")"),"Predeċessuri oħra tal-Knisja Riformata kienu jinkludu l-Kattoliċi Rumani favur ir-Riforma u Gallikana, bħal Jacques Lefevre (c. 1455-1536). Il-Gallikani kisbu fil-qosor l-indipendenza għall-Knisja Franċiża, fuq il-prinċipju li r-reliġjon ta ’Franza ma set"&amp;"għetx tkun ikkontrollata mill-Isqof ta’ Ruma, poter barrani. Matul ir-Riforma Protestanta, Lefevre, professur fl-Università ta ’Pariġi, ippubblika t-traduzzjoni Franċiża tiegħu tat-Testment il-Ġdid fl-1523, segwit mill-Bibbja kollha bil-lingwa Franċiża fl"&amp;"-1530. William Farel kien student ta’ Lefevre li kompla jsir Mexxej tar-Riforma Żvizzera, li stabbilixxa gvern Protestant f'Ġinevra. Jean Cauvin (John Calvin), student ieħor fl-Università ta ’Pariġi, ikkonverta wkoll għall-Protestantiżmu. Ferm wara li s-s"&amp;"etta ġiet imrażżna minn Franġisku I, il-Waldensians Franċiżi li fadal, imbagħad l-aktar fir-reġjun ta ’Luberon, fittex li jingħaqad ma’ William Farel, Calvin u r-Riforma, u Olivetan ippubblika Bibbja Franċiża għalihom. Il-konfessjoni Franċiża tal-1559 tur"&amp;"i influwenza deċiżament kalvinistika. F’xi żmien bejn l-1550 u l-1580, il-membri tal-Knisja Riformata fi Franza ġew magħrufa komunement bħala Huguenots. [Ċitazzjoni meħtieġa]")</f>
        <v>Predeċessuri oħra tal-Knisja Riformata kienu jinkludu l-Kattoliċi Rumani favur ir-Riforma u Gallikana, bħal Jacques Lefevre (c. 1455-1536). Il-Gallikani kisbu fil-qosor l-indipendenza għall-Knisja Franċiża, fuq il-prinċipju li r-reliġjon ta ’Franza ma setgħetx tkun ikkontrollata mill-Isqof ta’ Ruma, poter barrani. Matul ir-Riforma Protestanta, Lefevre, professur fl-Università ta ’Pariġi, ippubblika t-traduzzjoni Franċiża tiegħu tat-Testment il-Ġdid fl-1523, segwit mill-Bibbja kollha bil-lingwa Franċiża fl-1530. William Farel kien student ta’ Lefevre li kompla jsir Mexxej tar-Riforma Żvizzera, li stabbilixxa gvern Protestant f'Ġinevra. Jean Cauvin (John Calvin), student ieħor fl-Università ta ’Pariġi, ikkonverta wkoll għall-Protestantiżmu. Ferm wara li s-setta ġiet imrażżna minn Franġisku I, il-Waldensians Franċiżi li fadal, imbagħad l-aktar fir-reġjun ta ’Luberon, fittex li jingħaqad ma’ William Farel, Calvin u r-Riforma, u Olivetan ippubblika Bibbja Franċiża għalihom. Il-konfessjoni Franċiża tal-1559 turi influwenza deċiżament kalvinistika. F’xi żmien bejn l-1550 u l-1580, il-membri tal-Knisja Riformata fi Franza ġew magħrufa komunement bħala Huguenots. [Ċitazzjoni meħtieġa]</v>
      </c>
    </row>
    <row r="13726" ht="15.75" customHeight="1">
      <c r="A13726" s="2" t="s">
        <v>13726</v>
      </c>
      <c r="B13726" s="2" t="str">
        <f>IFERROR(__xludf.DUMMYFUNCTION("GOOGLETRANSLATE(A13726, ""en"", ""mt"")"),"X'tip ta 'trattat kien it-Trattat ta' Lisbona?")</f>
        <v>X'tip ta 'trattat kien it-Trattat ta' Lisbona?</v>
      </c>
    </row>
    <row r="13727" ht="15.75" customHeight="1">
      <c r="A13727" s="2" t="s">
        <v>13727</v>
      </c>
      <c r="B13727" s="2" t="str">
        <f>IFERROR(__xludf.DUMMYFUNCTION("GOOGLETRANSLATE(A13727, ""en"", ""mt"")"),"in-New England Patriots")</f>
        <v>in-New England Patriots</v>
      </c>
    </row>
    <row r="13728" ht="15.75" customHeight="1">
      <c r="A13728" s="2" t="s">
        <v>13728</v>
      </c>
      <c r="B13728" s="2" t="str">
        <f>IFERROR(__xludf.DUMMYFUNCTION("GOOGLETRANSLATE(A13728, ""en"", ""mt"")"),"Min tilef 3 tarzni fuq indirizz minn Shaq Thompson?")</f>
        <v>Min tilef 3 tarzni fuq indirizz minn Shaq Thompson?</v>
      </c>
    </row>
    <row r="13729" ht="15.75" customHeight="1">
      <c r="A13729" s="2" t="s">
        <v>13729</v>
      </c>
      <c r="B13729" s="2" t="str">
        <f>IFERROR(__xludf.DUMMYFUNCTION("GOOGLETRANSLATE(A13729, ""en"", ""mt"")"),"Liema organizzazzjonijiet l-aktar komunement jaqsmu u jippromwovu l-istat?")</f>
        <v>Liema organizzazzjonijiet l-aktar komunement jaqsmu u jippromwovu l-istat?</v>
      </c>
    </row>
    <row r="13730" ht="15.75" customHeight="1">
      <c r="A13730" s="2" t="s">
        <v>13730</v>
      </c>
      <c r="B13730" s="2" t="str">
        <f>IFERROR(__xludf.DUMMYFUNCTION("GOOGLETRANSLATE(A13730, ""en"", ""mt"")"),"F'liema post isir Super Bowl 50?")</f>
        <v>F'liema post isir Super Bowl 50?</v>
      </c>
    </row>
    <row r="13731" ht="15.75" customHeight="1">
      <c r="A13731" s="2" t="s">
        <v>13731</v>
      </c>
      <c r="B13731" s="2" t="str">
        <f>IFERROR(__xludf.DUMMYFUNCTION("GOOGLETRANSLATE(A13731, ""en"", ""mt"")"),"Seba 'stejjer")</f>
        <v>Seba 'stejjer</v>
      </c>
    </row>
    <row r="13732" ht="15.75" customHeight="1">
      <c r="A13732" s="2" t="s">
        <v>13732</v>
      </c>
      <c r="B13732" s="2" t="str">
        <f>IFERROR(__xludf.DUMMYFUNCTION("GOOGLETRANSLATE(A13732, ""en"", ""mt"")"),"F'każijiet fejn l-imġieba kriminalizzata hija diskors pur, id-diżubbidjenza ċivili tista 'tikkonsisti sempliċement f'involvi fid-diskors projbit. Eżempju jkun li l-WBAI qed ixandar il-korsa ""Kliem filthy"" minn album tal-kummiedja ta 'George Carlin, li e"&amp;"ventwalment wassal għall-każ tal-Qorti Suprema tal-1978 tal-Fondazzjoni FCC v. Pacifica. L-uffiċjali tal-gvern li jheddu huwa mod klassiku ieħor kif jesprimi sfida lejn il-gvern u n-nuqqas ta 'rieda li joqgħod għall-politiki tiegħu. Pereżempju, Joseph Haa"&amp;"s ġie arrestat talli allegatament bagħat imejl lill-Libanu, il-kunsilliera tal-belt ta 'New Hampshire li jiddikjaraw, ""Wise Up jew Die.""")</f>
        <v>F'każijiet fejn l-imġieba kriminalizzata hija diskors pur, id-diżubbidjenza ċivili tista 'tikkonsisti sempliċement f'involvi fid-diskors projbit. Eżempju jkun li l-WBAI qed ixandar il-korsa "Kliem filthy" minn album tal-kummiedja ta 'George Carlin, li eventwalment wassal għall-każ tal-Qorti Suprema tal-1978 tal-Fondazzjoni FCC v. Pacifica. L-uffiċjali tal-gvern li jheddu huwa mod klassiku ieħor kif jesprimi sfida lejn il-gvern u n-nuqqas ta 'rieda li joqgħod għall-politiki tiegħu. Pereżempju, Joseph Haas ġie arrestat talli allegatament bagħat imejl lill-Libanu, il-kunsilliera tal-belt ta 'New Hampshire li jiddikjaraw, "Wise Up jew Die."</v>
      </c>
    </row>
    <row r="13733" ht="15.75" customHeight="1">
      <c r="A13733" s="2" t="s">
        <v>13733</v>
      </c>
      <c r="B13733" s="2" t="str">
        <f>IFERROR(__xludf.DUMMYFUNCTION("GOOGLETRANSLATE(A13733, ""en"", ""mt"")"),"Meta Maududi sab il-partit Jamaat-e-Islami?")</f>
        <v>Meta Maududi sab il-partit Jamaat-e-Islami?</v>
      </c>
    </row>
    <row r="13734" ht="15.75" customHeight="1">
      <c r="A13734" s="2" t="s">
        <v>13734</v>
      </c>
      <c r="B13734" s="2" t="str">
        <f>IFERROR(__xludf.DUMMYFUNCTION("GOOGLETRANSLATE(A13734, ""en"", ""mt"")"),"Kompjuter imqassam")</f>
        <v>Kompjuter imqassam</v>
      </c>
    </row>
    <row r="13735" ht="15.75" customHeight="1">
      <c r="A13735" s="2" t="s">
        <v>13735</v>
      </c>
      <c r="B13735" s="2" t="str">
        <f>IFERROR(__xludf.DUMMYFUNCTION("GOOGLETRANSLATE(A13735, ""en"", ""mt"")"),"ivarjaw")</f>
        <v>ivarjaw</v>
      </c>
    </row>
    <row r="13736" ht="15.75" customHeight="1">
      <c r="A13736" s="2" t="s">
        <v>13736</v>
      </c>
      <c r="B13736" s="2" t="str">
        <f>IFERROR(__xludf.DUMMYFUNCTION("GOOGLETRANSLATE(A13736, ""en"", ""mt"")"),"il-forzi fundamentali magħrufa bħalissa")</f>
        <v>il-forzi fundamentali magħrufa bħalissa</v>
      </c>
    </row>
    <row r="13737" ht="15.75" customHeight="1">
      <c r="A13737" s="2" t="s">
        <v>13737</v>
      </c>
      <c r="B13737" s="2" t="str">
        <f>IFERROR(__xludf.DUMMYFUNCTION("GOOGLETRANSLATE(A13737, ""en"", ""mt"")"),"Il-Knisja Metodista Magħquda hija")</f>
        <v>Il-Knisja Metodista Magħquda hija</v>
      </c>
    </row>
    <row r="13738" ht="15.75" customHeight="1">
      <c r="A13738" s="2" t="s">
        <v>13738</v>
      </c>
      <c r="B13738" s="2" t="str">
        <f>IFERROR(__xludf.DUMMYFUNCTION("GOOGLETRANSLATE(A13738, ""en"", ""mt"")"),"L-UMC tipprojbixxi ċ-ċelebrazzjoni ta 'liema tip ta' unions?")</f>
        <v>L-UMC tipprojbixxi ċ-ċelebrazzjoni ta 'liema tip ta' unions?</v>
      </c>
    </row>
    <row r="13739" ht="15.75" customHeight="1">
      <c r="A13739" s="2" t="s">
        <v>13739</v>
      </c>
      <c r="B13739" s="2" t="str">
        <f>IFERROR(__xludf.DUMMYFUNCTION("GOOGLETRANSLATE(A13739, ""en"", ""mt"")"),"overatlated")</f>
        <v>overatlated</v>
      </c>
    </row>
    <row r="13740" ht="15.75" customHeight="1">
      <c r="A13740" s="2" t="s">
        <v>13740</v>
      </c>
      <c r="B13740" s="2" t="str">
        <f>IFERROR(__xludf.DUMMYFUNCTION("GOOGLETRANSLATE(A13740, ""en"", ""mt"")"),"X'inhu s-seklu 16 magħruf bħala l-bidu?")</f>
        <v>X'inhu s-seklu 16 magħruf bħala l-bidu?</v>
      </c>
    </row>
    <row r="13741" ht="15.75" customHeight="1">
      <c r="A13741" s="2" t="s">
        <v>13741</v>
      </c>
      <c r="B13741" s="2" t="str">
        <f>IFERROR(__xludf.DUMMYFUNCTION("GOOGLETRANSLATE(A13741, ""en"", ""mt"")"),"biex tikkataloga kollox")</f>
        <v>biex tikkataloga kollox</v>
      </c>
    </row>
    <row r="13742" ht="15.75" customHeight="1">
      <c r="A13742" s="2" t="s">
        <v>13742</v>
      </c>
      <c r="B13742" s="2" t="str">
        <f>IFERROR(__xludf.DUMMYFUNCTION("GOOGLETRANSLATE(A13742, ""en"", ""mt"")"),"klima Mediterranja")</f>
        <v>klima Mediterranja</v>
      </c>
    </row>
    <row r="13743" ht="15.75" customHeight="1">
      <c r="A13743" s="2" t="s">
        <v>13743</v>
      </c>
      <c r="B13743" s="2" t="str">
        <f>IFERROR(__xludf.DUMMYFUNCTION("GOOGLETRANSLATE(A13743, ""en"", ""mt"")"),"Riċettur tal-Vitamina D")</f>
        <v>Riċettur tal-Vitamina D</v>
      </c>
    </row>
    <row r="13744" ht="15.75" customHeight="1">
      <c r="A13744" s="2" t="s">
        <v>13744</v>
      </c>
      <c r="B13744" s="2" t="str">
        <f>IFERROR(__xludf.DUMMYFUNCTION("GOOGLETRANSLATE(A13744, ""en"", ""mt"")"),"aktar minn 330")</f>
        <v>aktar minn 330</v>
      </c>
    </row>
    <row r="13745" ht="15.75" customHeight="1">
      <c r="A13745" s="2" t="s">
        <v>13745</v>
      </c>
      <c r="B13745" s="2" t="str">
        <f>IFERROR(__xludf.DUMMYFUNCTION("GOOGLETRANSLATE(A13745, ""en"", ""mt"")"),"ħmistax")</f>
        <v>ħmistax</v>
      </c>
    </row>
    <row r="13746" ht="15.75" customHeight="1">
      <c r="A13746" s="2" t="s">
        <v>13746</v>
      </c>
      <c r="B13746" s="2" t="str">
        <f>IFERROR(__xludf.DUMMYFUNCTION("GOOGLETRANSLATE(A13746, ""en"", ""mt"")"),"Teknoloġija tal-istampar 3D")</f>
        <v>Teknoloġija tal-istampar 3D</v>
      </c>
    </row>
    <row r="13747" ht="15.75" customHeight="1">
      <c r="A13747" s="2" t="s">
        <v>13747</v>
      </c>
      <c r="B13747" s="2" t="str">
        <f>IFERROR(__xludf.DUMMYFUNCTION("GOOGLETRANSLATE(A13747, ""en"", ""mt"")"),"Liema gorge hemm bejn il-bingen u l-bonn?")</f>
        <v>Liema gorge hemm bejn il-bingen u l-bonn?</v>
      </c>
    </row>
    <row r="13748" ht="15.75" customHeight="1">
      <c r="A13748" s="2" t="s">
        <v>13748</v>
      </c>
      <c r="B13748" s="2" t="str">
        <f>IFERROR(__xludf.DUMMYFUNCTION("GOOGLETRANSLATE(A13748, ""en"", ""mt"")"),"Forzi irregolari Franċiżi (Scouts Kanadiżi u Indjani)")</f>
        <v>Forzi irregolari Franċiżi (Scouts Kanadiżi u Indjani)</v>
      </c>
    </row>
    <row r="13749" ht="15.75" customHeight="1">
      <c r="A13749" s="2" t="s">
        <v>13749</v>
      </c>
      <c r="B13749" s="2" t="str">
        <f>IFERROR(__xludf.DUMMYFUNCTION("GOOGLETRANSLATE(A13749, ""en"", ""mt"")"),"affarijiet li huma kwistjoni ta 'drawwa jew aspettattiva")</f>
        <v>affarijiet li huma kwistjoni ta 'drawwa jew aspettattiva</v>
      </c>
    </row>
    <row r="13750" ht="15.75" customHeight="1">
      <c r="A13750" s="2" t="s">
        <v>13750</v>
      </c>
      <c r="B13750" s="2" t="str">
        <f>IFERROR(__xludf.DUMMYFUNCTION("GOOGLETRANSLATE(A13750, ""en"", ""mt"")"),"Protokoll ta 'Montreal")</f>
        <v>Protokoll ta 'Montreal</v>
      </c>
    </row>
    <row r="13751" ht="15.75" customHeight="1">
      <c r="A13751" s="2" t="s">
        <v>13751</v>
      </c>
      <c r="B13751" s="2" t="str">
        <f>IFERROR(__xludf.DUMMYFUNCTION("GOOGLETRANSLATE(A13751, ""en"", ""mt"")"),"tiċpra d-differenzi teoloġiċi u konfessjonali fl-interessi tal-għaqda")</f>
        <v>tiċpra d-differenzi teoloġiċi u konfessjonali fl-interessi tal-għaqda</v>
      </c>
    </row>
    <row r="13752" ht="15.75" customHeight="1">
      <c r="A13752" s="2" t="s">
        <v>13752</v>
      </c>
      <c r="B13752" s="2" t="str">
        <f>IFERROR(__xludf.DUMMYFUNCTION("GOOGLETRANSLATE(A13752, ""en"", ""mt"")"),"Oqsma relatati mill-qrib fix-xjenza teoretika tal-kompjuter huma analiżi tal-algoritmi u t-teorija tal-komputabbiltà. Distinzjoni ewlenija bejn l-analiżi tal-algoritmi u t-teorija tal-kumplessità tal-komputazzjoni hija li l-ewwel hija ddedikata għall-anal"&amp;"iżi tal-ammont ta 'riżorsi meħtieġa minn algoritmu partikolari biex issolvi problema, filwaqt li dan tal-aħħar jistaqsi mistoqsija aktar ġenerali dwar l-algoritmi kollha possibbli li jistgħu jintużaw Issolvi l-istess problema. B'mod iktar preċiż, jipprova"&amp;" jikklassifika problemi li jistgħu jew ma jistgħux jissolvew b'riżorsi ristretti kif xieraq. Min-naħa tiegħu, l-impożizzjoni ta 'restrizzjonijiet fuq ir-riżorsi disponibbli huwa dak li jiddistingwi l-kumplessità tal-komputazzjoni mit-teorija tal-komputabb"&amp;"iltà: din l-aħħar teorija tistaqsi x'tip ta' problemi jistgħu, fil-prinċipju, jiġu solvuti b'mod algoritmiku.")</f>
        <v>Oqsma relatati mill-qrib fix-xjenza teoretika tal-kompjuter huma analiżi tal-algoritmi u t-teorija tal-komputabbiltà. Distinzjoni ewlenija bejn l-analiżi tal-algoritmi u t-teorija tal-kumplessità tal-komputazzjoni hija li l-ewwel hija ddedikata għall-analiżi tal-ammont ta 'riżorsi meħtieġa minn algoritmu partikolari biex issolvi problema, filwaqt li dan tal-aħħar jistaqsi mistoqsija aktar ġenerali dwar l-algoritmi kollha possibbli li jistgħu jintużaw Issolvi l-istess problema. B'mod iktar preċiż, jipprova jikklassifika problemi li jistgħu jew ma jistgħux jissolvew b'riżorsi ristretti kif xieraq. Min-naħa tiegħu, l-impożizzjoni ta 'restrizzjonijiet fuq ir-riżorsi disponibbli huwa dak li jiddistingwi l-kumplessità tal-komputazzjoni mit-teorija tal-komputabbiltà: din l-aħħar teorija tistaqsi x'tip ta' problemi jistgħu, fil-prinċipju, jiġu solvuti b'mod algoritmiku.</v>
      </c>
    </row>
    <row r="13753" ht="15.75" customHeight="1">
      <c r="A13753" s="2" t="s">
        <v>13753</v>
      </c>
      <c r="B13753" s="2" t="str">
        <f>IFERROR(__xludf.DUMMYFUNCTION("GOOGLETRANSLATE(A13753, ""en"", ""mt"")"),"Minbarra x-xaħmijiet, l-aċidi grassi, u l-aċidi amminiċi, liema komposti organiċi oħra fihom ossiġnu?")</f>
        <v>Minbarra x-xaħmijiet, l-aċidi grassi, u l-aċidi amminiċi, liema komposti organiċi oħra fihom ossiġnu?</v>
      </c>
    </row>
    <row r="13754" ht="15.75" customHeight="1">
      <c r="A13754" s="2" t="s">
        <v>13754</v>
      </c>
      <c r="B13754" s="2" t="str">
        <f>IFERROR(__xludf.DUMMYFUNCTION("GOOGLETRANSLATE(A13754, ""en"", ""mt"")"),"art")</f>
        <v>art</v>
      </c>
    </row>
    <row r="13755" ht="15.75" customHeight="1">
      <c r="A13755" s="2" t="s">
        <v>13755</v>
      </c>
      <c r="B13755" s="2" t="str">
        <f>IFERROR(__xludf.DUMMYFUNCTION("GOOGLETRANSLATE(A13755, ""en"", ""mt"")"),"X'kienet il-lavoisier li l-arja kienet tilfet daqskemm kienet kisbet il-landa")</f>
        <v>X'kienet il-lavoisier li l-arja kienet tilfet daqskemm kienet kisbet il-landa</v>
      </c>
    </row>
    <row r="13756" ht="15.75" customHeight="1">
      <c r="A13756" s="2" t="s">
        <v>13756</v>
      </c>
      <c r="B13756" s="2" t="str">
        <f>IFERROR(__xludf.DUMMYFUNCTION("GOOGLETRANSLATE(A13756, ""en"", ""mt"")"),"L-ekwilibriju dinamiku ġie deskritt għall-ewwel darba minn Galileo li ndunat li ċerti suppożizzjonijiet tal-fiżika aristoteljana kienu kontradetti minn osservazzjonijiet u loġika. Galileo induna li żieda sempliċi ta 'veloċità titlob li l-kunċett ta' ""qaf"&amp;"as ta 'mistrieħ assolut"" ma jeżistix. Galileo kkonkluda li l-mozzjoni f'veloċità kostanti kienet kompletament ekwivalenti għall-mistrieħ. Dan kien kuntrarju għall-kunċett ta 'Aristotile ta' ""stat naturali"" ta 'mistrieħ li joġġezzjona bil-massa avviċina"&amp;"ti b'mod naturali. Esperimenti sempliċi wrew li l-fehim ta 'Galileo dwar l-ekwivalenza tal-veloċità kostanti u l-mistrieħ kienu korretti. Pereżempju, jekk baħħara waqqa 'kanun mill-bejta taċ-ċawla ta' vapur li jiċċaqlaq b'veloċità kostanti, il-fiżika Aris"&amp;"toteljana jkollha l-kanun tal-kanun jaqa 'dritt' l isfel waqt li l-vapur mexa taħtha. Għalhekk, f'univers aristoteljan, il-kanun tal-waqgħa jinżel wara l-qiegħ tal-arblu ta 'vapur li jiċċaqlaq. Madankollu, meta dan l-esperiment jitmexxa fil-fatt, il-kanun"&amp;" tal-kanun dejjem jaqa 'f'riġlejn l-arblu, bħallikieku l-kanun tal-kanun jaf jivvjaġġa mal-vapur minkejja li jkun separat minnu. Peress li m'hemm l-ebda forza orizzontali 'l quddiem li qed tiġi applikata fuq il-kanun tal-kanun hekk kif taqa', l-unika konk"&amp;"lużjoni li fadal hija li l-cannonball ikompli jimxi bl-istess veloċità bħad-dgħajsa kif taqa '. Għalhekk, l-ebda forza mhija meħtieġa biex iżżomm il-kanun jiċċaqlaq bil-veloċità kostanti.")</f>
        <v>L-ekwilibriju dinamiku ġie deskritt għall-ewwel darba minn Galileo li ndunat li ċerti suppożizzjonijiet tal-fiżika aristoteljana kienu kontradetti minn osservazzjonijiet u loġika. Galileo induna li żieda sempliċi ta 'veloċità titlob li l-kunċett ta' "qafas ta 'mistrieħ assolut" ma jeżistix. Galileo kkonkluda li l-mozzjoni f'veloċità kostanti kienet kompletament ekwivalenti għall-mistrieħ. Dan kien kuntrarju għall-kunċett ta 'Aristotile ta' "stat naturali" ta 'mistrieħ li joġġezzjona bil-massa avviċinati b'mod naturali. Esperimenti sempliċi wrew li l-fehim ta 'Galileo dwar l-ekwivalenza tal-veloċità kostanti u l-mistrieħ kienu korretti. Pereżempju, jekk baħħara waqqa 'kanun mill-bejta taċ-ċawla ta' vapur li jiċċaqlaq b'veloċità kostanti, il-fiżika Aristoteljana jkollha l-kanun tal-kanun jaqa 'dritt' l isfel waqt li l-vapur mexa taħtha. Għalhekk, f'univers aristoteljan, il-kanun tal-waqgħa jinżel wara l-qiegħ tal-arblu ta 'vapur li jiċċaqlaq. Madankollu, meta dan l-esperiment jitmexxa fil-fatt, il-kanun tal-kanun dejjem jaqa 'f'riġlejn l-arblu, bħallikieku l-kanun tal-kanun jaf jivvjaġġa mal-vapur minkejja li jkun separat minnu. Peress li m'hemm l-ebda forza orizzontali 'l quddiem li qed tiġi applikata fuq il-kanun tal-kanun hekk kif taqa', l-unika konklużjoni li fadal hija li l-cannonball ikompli jimxi bl-istess veloċità bħad-dgħajsa kif taqa '. Għalhekk, l-ebda forza mhija meħtieġa biex iżżomm il-kanun jiċċaqlaq bil-veloċità kostanti.</v>
      </c>
    </row>
    <row r="13757" ht="15.75" customHeight="1">
      <c r="A13757" s="2" t="s">
        <v>13757</v>
      </c>
      <c r="B13757" s="2" t="str">
        <f>IFERROR(__xludf.DUMMYFUNCTION("GOOGLETRANSLATE(A13757, ""en"", ""mt"")"),"Impass kostituzzjonali li fih żewġ aġenziji pubbliċi")</f>
        <v>Impass kostituzzjonali li fih żewġ aġenziji pubbliċi</v>
      </c>
    </row>
    <row r="13758" ht="15.75" customHeight="1">
      <c r="A13758" s="2" t="s">
        <v>13758</v>
      </c>
      <c r="B13758" s="2" t="str">
        <f>IFERROR(__xludf.DUMMYFUNCTION("GOOGLETRANSLATE(A13758, ""en"", ""mt"")"),"Rinaxximent Taljan u Franċiż")</f>
        <v>Rinaxximent Taljan u Franċiż</v>
      </c>
    </row>
    <row r="13759" ht="15.75" customHeight="1">
      <c r="A13759" s="2" t="s">
        <v>13759</v>
      </c>
      <c r="B13759" s="2" t="str">
        <f>IFERROR(__xludf.DUMMYFUNCTION("GOOGLETRANSLATE(A13759, ""en"", ""mt"")"),"Iljun, leopard, buflu, rinocerju, u iljunfant")</f>
        <v>Iljun, leopard, buflu, rinocerju, u iljunfant</v>
      </c>
    </row>
    <row r="13760" ht="15.75" customHeight="1">
      <c r="A13760" s="2" t="s">
        <v>13760</v>
      </c>
      <c r="B13760" s="2" t="str">
        <f>IFERROR(__xludf.DUMMYFUNCTION("GOOGLETRANSLATE(A13760, ""en"", ""mt"")"),"konfini konverġenti")</f>
        <v>konfini konverġenti</v>
      </c>
    </row>
    <row r="13761" ht="15.75" customHeight="1">
      <c r="A13761" s="2" t="s">
        <v>13761</v>
      </c>
      <c r="B13761" s="2" t="str">
        <f>IFERROR(__xludf.DUMMYFUNCTION("GOOGLETRANSLATE(A13761, ""en"", ""mt"")"),"Tittrasforma l-konfini")</f>
        <v>Tittrasforma l-konfini</v>
      </c>
    </row>
    <row r="13762" ht="15.75" customHeight="1">
      <c r="A13762" s="2" t="s">
        <v>13762</v>
      </c>
      <c r="B13762" s="2" t="str">
        <f>IFERROR(__xludf.DUMMYFUNCTION("GOOGLETRANSLATE(A13762, ""en"", ""mt"")"),"Taħt liema liġi huwa determinat il-valur ta 'ħaddiem?")</f>
        <v>Taħt liema liġi huwa determinat il-valur ta 'ħaddiem?</v>
      </c>
    </row>
    <row r="13763" ht="15.75" customHeight="1">
      <c r="A13763" s="2" t="s">
        <v>13763</v>
      </c>
      <c r="B13763" s="2" t="str">
        <f>IFERROR(__xludf.DUMMYFUNCTION("GOOGLETRANSLATE(A13763, ""en"", ""mt"")"),"Marki ewlenin tal-karozzi")</f>
        <v>Marki ewlenin tal-karozzi</v>
      </c>
    </row>
    <row r="13764" ht="15.75" customHeight="1">
      <c r="A13764" s="2" t="s">
        <v>13764</v>
      </c>
      <c r="B13764" s="2" t="str">
        <f>IFERROR(__xludf.DUMMYFUNCTION("GOOGLETRANSLATE(A13764, ""en"", ""mt"")"),"Liema pilota Ġermaniż Ġermaniż u tal-ġlied kien ta 'antenati Huguenot?")</f>
        <v>Liema pilota Ġermaniż Ġermaniż u tal-ġlied kien ta 'antenati Huguenot?</v>
      </c>
    </row>
    <row r="13765" ht="15.75" customHeight="1">
      <c r="A13765" s="2" t="s">
        <v>13765</v>
      </c>
      <c r="B13765" s="2" t="str">
        <f>IFERROR(__xludf.DUMMYFUNCTION("GOOGLETRANSLATE(A13765, ""en"", ""mt"")"),"Min xtara l-fabbrika fl-2005?")</f>
        <v>Min xtara l-fabbrika fl-2005?</v>
      </c>
    </row>
    <row r="13766" ht="15.75" customHeight="1">
      <c r="A13766" s="2" t="s">
        <v>13766</v>
      </c>
      <c r="B13766" s="2" t="str">
        <f>IFERROR(__xludf.DUMMYFUNCTION("GOOGLETRANSLATE(A13766, ""en"", ""mt"")"),"Il-ferroviji tagħhom iservu destinazzjonijiet fil-Yorkshire?")</f>
        <v>Il-ferroviji tagħhom iservu destinazzjonijiet fil-Yorkshire?</v>
      </c>
    </row>
    <row r="13767" ht="15.75" customHeight="1">
      <c r="A13767" s="2" t="s">
        <v>13767</v>
      </c>
      <c r="B13767" s="2" t="str">
        <f>IFERROR(__xludf.DUMMYFUNCTION("GOOGLETRANSLATE(A13767, ""en"", ""mt"")"),"nofs mil")</f>
        <v>nofs mil</v>
      </c>
    </row>
    <row r="13768" ht="15.75" customHeight="1">
      <c r="A13768" s="2" t="s">
        <v>13768</v>
      </c>
      <c r="B13768" s="2" t="str">
        <f>IFERROR(__xludf.DUMMYFUNCTION("GOOGLETRANSLATE(A13768, ""en"", ""mt"")"),"Michael Eisner")</f>
        <v>Michael Eisner</v>
      </c>
    </row>
    <row r="13769" ht="15.75" customHeight="1">
      <c r="A13769" s="2" t="s">
        <v>13769</v>
      </c>
      <c r="B13769" s="2" t="str">
        <f>IFERROR(__xludf.DUMMYFUNCTION("GOOGLETRANSLATE(A13769, ""en"", ""mt"")"),"Fir-Renju Unit, BBC Radio 5 Live u 5 Live Sports Extra se jġorru l-konkors. Il-BBC se jġorr ix-xandira Ingliża Ingliża tagħha stess, ma 'Greg Brady, Darren Fletcher u Rocky Boiman fuq kummentarju.")</f>
        <v>Fir-Renju Unit, BBC Radio 5 Live u 5 Live Sports Extra se jġorru l-konkors. Il-BBC se jġorr ix-xandira Ingliża Ingliża tagħha stess, ma 'Greg Brady, Darren Fletcher u Rocky Boiman fuq kummentarju.</v>
      </c>
    </row>
    <row r="13770" ht="15.75" customHeight="1">
      <c r="A13770" s="2" t="s">
        <v>13770</v>
      </c>
      <c r="B13770" s="2" t="str">
        <f>IFERROR(__xludf.DUMMYFUNCTION("GOOGLETRANSLATE(A13770, ""en"", ""mt"")"),"Ewropa nnifisha.")</f>
        <v>Ewropa nnifisha.</v>
      </c>
    </row>
    <row r="13771" ht="15.75" customHeight="1">
      <c r="A13771" s="2" t="s">
        <v>13771</v>
      </c>
      <c r="B13771" s="2" t="str">
        <f>IFERROR(__xludf.DUMMYFUNCTION("GOOGLETRANSLATE(A13771, ""en"", ""mt"")"),"Min irnexxielu lil Dick Clark fuq ix-xandiriet tas-Sena l-Ġdida ta 'ABC?")</f>
        <v>Min irnexxielu lil Dick Clark fuq ix-xandiriet tas-Sena l-Ġdida ta 'ABC?</v>
      </c>
    </row>
    <row r="13772" ht="15.75" customHeight="1">
      <c r="A13772" s="2" t="s">
        <v>13772</v>
      </c>
      <c r="B13772" s="2" t="str">
        <f>IFERROR(__xludf.DUMMYFUNCTION("GOOGLETRANSLATE(A13772, ""en"", ""mt"")"),"Fejn jinsab l-Osservatorju tal-Punt Apache?")</f>
        <v>Fejn jinsab l-Osservatorju tal-Punt Apache?</v>
      </c>
    </row>
    <row r="13773" ht="15.75" customHeight="1">
      <c r="A13773" s="2" t="s">
        <v>13773</v>
      </c>
      <c r="B13773" s="2" t="str">
        <f>IFERROR(__xludf.DUMMYFUNCTION("GOOGLETRANSLATE(A13773, ""en"", ""mt"")"),"il-bajjiet kostali u r-riservi tal-logħob")</f>
        <v>il-bajjiet kostali u r-riservi tal-logħob</v>
      </c>
    </row>
    <row r="13774" ht="15.75" customHeight="1">
      <c r="A13774" s="2" t="s">
        <v>13774</v>
      </c>
      <c r="B13774" s="2" t="str">
        <f>IFERROR(__xludf.DUMMYFUNCTION("GOOGLETRANSLATE(A13774, ""en"", ""mt"")"),"Numru kemmxejn ikbar ta '""awturi li jikkontribwixxu""")</f>
        <v>Numru kemmxejn ikbar ta '"awturi li jikkontribwixxu"</v>
      </c>
    </row>
    <row r="13775" ht="15.75" customHeight="1">
      <c r="A13775" s="2" t="s">
        <v>13775</v>
      </c>
      <c r="B13775" s="2" t="str">
        <f>IFERROR(__xludf.DUMMYFUNCTION("GOOGLETRANSLATE(A13775, ""en"", ""mt"")"),"12%")</f>
        <v>12%</v>
      </c>
    </row>
    <row r="13776" ht="15.75" customHeight="1">
      <c r="A13776" s="2" t="s">
        <v>13776</v>
      </c>
      <c r="B13776" s="2" t="str">
        <f>IFERROR(__xludf.DUMMYFUNCTION("GOOGLETRANSLATE(A13776, ""en"", ""mt"")"),"Meta Michael Eisner ingħaqad l-ewwel darba ma 'ABC?")</f>
        <v>Meta Michael Eisner ingħaqad l-ewwel darba ma 'ABC?</v>
      </c>
    </row>
    <row r="13777" ht="15.75" customHeight="1">
      <c r="A13777" s="2" t="s">
        <v>13777</v>
      </c>
      <c r="B13777" s="2" t="str">
        <f>IFERROR(__xludf.DUMMYFUNCTION("GOOGLETRANSLATE(A13777, ""en"", ""mt"")"),"Kastig korporali tal-iskola")</f>
        <v>Kastig korporali tal-iskola</v>
      </c>
    </row>
    <row r="13778" ht="15.75" customHeight="1">
      <c r="A13778" s="2" t="s">
        <v>13778</v>
      </c>
      <c r="B13778" s="2" t="str">
        <f>IFERROR(__xludf.DUMMYFUNCTION("GOOGLETRANSLATE(A13778, ""en"", ""mt"")"),"Kelma tal-kodiċi li tiddeskrivi l-attivitajiet ta 'muggers, arsonisti, abbozzi ta' evaders")</f>
        <v>Kelma tal-kodiċi li tiddeskrivi l-attivitajiet ta 'muggers, arsonisti, abbozzi ta' evaders</v>
      </c>
    </row>
    <row r="13779" ht="15.75" customHeight="1">
      <c r="A13779" s="2" t="s">
        <v>13779</v>
      </c>
      <c r="B13779" s="2" t="str">
        <f>IFERROR(__xludf.DUMMYFUNCTION("GOOGLETRANSLATE(A13779, ""en"", ""mt"")"),"Liema attivitajiet oħra l-UNFCCC teħtieġ li titħaddem l-IPCC?")</f>
        <v>Liema attivitajiet oħra l-UNFCCC teħtieġ li titħaddem l-IPCC?</v>
      </c>
    </row>
    <row r="13780" ht="15.75" customHeight="1">
      <c r="A13780" s="2" t="s">
        <v>13780</v>
      </c>
      <c r="B13780" s="2" t="str">
        <f>IFERROR(__xludf.DUMMYFUNCTION("GOOGLETRANSLATE(A13780, ""en"", ""mt"")"),"kumpaniji kompletament separati")</f>
        <v>kumpaniji kompletament separati</v>
      </c>
    </row>
    <row r="13781" ht="15.75" customHeight="1">
      <c r="A13781" s="2" t="s">
        <v>13781</v>
      </c>
      <c r="B13781" s="2" t="str">
        <f>IFERROR(__xludf.DUMMYFUNCTION("GOOGLETRANSLATE(A13781, ""en"", ""mt"")"),"Għaliex huma kloroplasti ta 'interess fl-uċuħ tar-raba' OĠM?")</f>
        <v>Għaliex huma kloroplasti ta 'interess fl-uċuħ tar-raba' OĠM?</v>
      </c>
    </row>
    <row r="13782" ht="15.75" customHeight="1">
      <c r="A13782" s="2" t="s">
        <v>13782</v>
      </c>
      <c r="B13782" s="2" t="str">
        <f>IFERROR(__xludf.DUMMYFUNCTION("GOOGLETRANSLATE(A13782, ""en"", ""mt"")"),"Film irqiq ta 'ossidu")</f>
        <v>Film irqiq ta 'ossidu</v>
      </c>
    </row>
    <row r="13783" ht="15.75" customHeight="1">
      <c r="A13783" s="2" t="s">
        <v>13783</v>
      </c>
      <c r="B13783" s="2" t="str">
        <f>IFERROR(__xludf.DUMMYFUNCTION("GOOGLETRANSLATE(A13783, ""en"", ""mt"")"),"Proteolisi")</f>
        <v>Proteolisi</v>
      </c>
    </row>
    <row r="13784" ht="15.75" customHeight="1">
      <c r="A13784" s="2" t="s">
        <v>13784</v>
      </c>
      <c r="B13784" s="2" t="str">
        <f>IFERROR(__xludf.DUMMYFUNCTION("GOOGLETRANSLATE(A13784, ""en"", ""mt"")"),"Divertiment DIC")</f>
        <v>Divertiment DIC</v>
      </c>
    </row>
    <row r="13785" ht="15.75" customHeight="1">
      <c r="A13785" s="2" t="s">
        <v>13785</v>
      </c>
      <c r="B13785" s="2" t="str">
        <f>IFERROR(__xludf.DUMMYFUNCTION("GOOGLETRANSLATE(A13785, ""en"", ""mt"")"),"Kif imsejħa wkoll il-Gwerra Ċivili kontra Ragibagh?")</f>
        <v>Kif imsejħa wkoll il-Gwerra Ċivili kontra Ragibagh?</v>
      </c>
    </row>
    <row r="13786" ht="15.75" customHeight="1">
      <c r="A13786" s="2" t="s">
        <v>13786</v>
      </c>
      <c r="B13786" s="2" t="str">
        <f>IFERROR(__xludf.DUMMYFUNCTION("GOOGLETRANSLATE(A13786, ""en"", ""mt"")"),"Partit Laburista Awstraljan")</f>
        <v>Partit Laburista Awstraljan</v>
      </c>
    </row>
    <row r="13787" ht="15.75" customHeight="1">
      <c r="A13787" s="2" t="s">
        <v>13787</v>
      </c>
      <c r="B13787" s="2" t="str">
        <f>IFERROR(__xludf.DUMMYFUNCTION("GOOGLETRANSLATE(A13787, ""en"", ""mt"")"),"Madwar miljun")</f>
        <v>Madwar miljun</v>
      </c>
    </row>
    <row r="13788" ht="15.75" customHeight="1">
      <c r="A13788" s="2" t="s">
        <v>13788</v>
      </c>
      <c r="B13788" s="2" t="str">
        <f>IFERROR(__xludf.DUMMYFUNCTION("GOOGLETRANSLATE(A13788, ""en"", ""mt"")"),"Fejn tingħaqad il-Lek?")</f>
        <v>Fejn tingħaqad il-Lek?</v>
      </c>
    </row>
    <row r="13789" ht="15.75" customHeight="1">
      <c r="A13789" s="2" t="s">
        <v>13789</v>
      </c>
      <c r="B13789" s="2" t="str">
        <f>IFERROR(__xludf.DUMMYFUNCTION("GOOGLETRANSLATE(A13789, ""en"", ""mt"")"),"migrazzjoni interna u urbanizzazzjoni")</f>
        <v>migrazzjoni interna u urbanizzazzjoni</v>
      </c>
    </row>
    <row r="13790" ht="15.75" customHeight="1">
      <c r="A13790" s="2" t="s">
        <v>13790</v>
      </c>
      <c r="B13790" s="2" t="str">
        <f>IFERROR(__xludf.DUMMYFUNCTION("GOOGLETRANSLATE(A13790, ""en"", ""mt"")"),"is-sodda ewlenija")</f>
        <v>is-sodda ewlenija</v>
      </c>
    </row>
    <row r="13791" ht="15.75" customHeight="1">
      <c r="A13791" s="2" t="s">
        <v>13791</v>
      </c>
      <c r="B13791" s="2" t="str">
        <f>IFERROR(__xludf.DUMMYFUNCTION("GOOGLETRANSLATE(A13791, ""en"", ""mt"")"),"WorldVision Enterprises")</f>
        <v>WorldVision Enterprises</v>
      </c>
    </row>
    <row r="13792" ht="15.75" customHeight="1">
      <c r="A13792" s="2" t="s">
        <v>13792</v>
      </c>
      <c r="B13792" s="2" t="str">
        <f>IFERROR(__xludf.DUMMYFUNCTION("GOOGLETRANSLATE(A13792, ""en"", ""mt"")"),"Soċjetà Amerikana tal-Edukazzjoni Battista")</f>
        <v>Soċjetà Amerikana tal-Edukazzjoni Battista</v>
      </c>
    </row>
    <row r="13793" ht="15.75" customHeight="1">
      <c r="A13793" s="2" t="s">
        <v>13793</v>
      </c>
      <c r="B13793" s="2" t="str">
        <f>IFERROR(__xludf.DUMMYFUNCTION("GOOGLETRANSLATE(A13793, ""en"", ""mt"")"),"Herbert Bayer")</f>
        <v>Herbert Bayer</v>
      </c>
    </row>
    <row r="13794" ht="15.75" customHeight="1">
      <c r="A13794" s="2" t="s">
        <v>13794</v>
      </c>
      <c r="B13794" s="2" t="str">
        <f>IFERROR(__xludf.DUMMYFUNCTION("GOOGLETRANSLATE(A13794, ""en"", ""mt"")"),"Min kien Konti ta 'Melfi")</f>
        <v>Min kien Konti ta 'Melfi</v>
      </c>
    </row>
    <row r="13795" ht="15.75" customHeight="1">
      <c r="A13795" s="2" t="s">
        <v>13795</v>
      </c>
      <c r="B13795" s="2" t="str">
        <f>IFERROR(__xludf.DUMMYFUNCTION("GOOGLETRANSLATE(A13795, ""en"", ""mt"")"),"Liema kumpanija kienet kapaċi tixxandar reklami multipli bi skont qawwi?")</f>
        <v>Liema kumpanija kienet kapaċi tixxandar reklami multipli bi skont qawwi?</v>
      </c>
    </row>
    <row r="13796" ht="15.75" customHeight="1">
      <c r="A13796" s="2" t="s">
        <v>13796</v>
      </c>
      <c r="B13796" s="2" t="str">
        <f>IFERROR(__xludf.DUMMYFUNCTION("GOOGLETRANSLATE(A13796, ""en"", ""mt"")"),"Vetra u jien Germanica u XX Valeria kienu ż-żewġ leġjuni għal xiex?")</f>
        <v>Vetra u jien Germanica u XX Valeria kienu ż-żewġ leġjuni għal xiex?</v>
      </c>
    </row>
    <row r="13797" ht="15.75" customHeight="1">
      <c r="A13797" s="2" t="s">
        <v>13797</v>
      </c>
      <c r="B13797" s="2" t="str">
        <f>IFERROR(__xludf.DUMMYFUNCTION("GOOGLETRANSLATE(A13797, ""en"", ""mt"")"),"Madwar 3.5 biljun persuna")</f>
        <v>Madwar 3.5 biljun persuna</v>
      </c>
    </row>
    <row r="13798" ht="15.75" customHeight="1">
      <c r="A13798" s="2" t="s">
        <v>13798</v>
      </c>
      <c r="B13798" s="2" t="str">
        <f>IFERROR(__xludf.DUMMYFUNCTION("GOOGLETRANSLATE(A13798, ""en"", ""mt"")"),"Abercrombie")</f>
        <v>Abercrombie</v>
      </c>
    </row>
    <row r="13799" ht="15.75" customHeight="1">
      <c r="A13799" s="2" t="s">
        <v>13799</v>
      </c>
      <c r="B13799" s="2" t="str">
        <f>IFERROR(__xludf.DUMMYFUNCTION("GOOGLETRANSLATE(A13799, ""en"", ""mt"")"),"X'kien l-isem tal-kolonja primarja ta 'Franza fid-Dinja l-Ġdida?")</f>
        <v>X'kien l-isem tal-kolonja primarja ta 'Franza fid-Dinja l-Ġdida?</v>
      </c>
    </row>
    <row r="13800" ht="15.75" customHeight="1">
      <c r="A13800" s="2" t="s">
        <v>13800</v>
      </c>
      <c r="B13800" s="2" t="str">
        <f>IFERROR(__xludf.DUMMYFUNCTION("GOOGLETRANSLATE(A13800, ""en"", ""mt"")"),"F'liema tip ta 'xogħol kien Luther prolifiku?")</f>
        <v>F'liema tip ta 'xogħol kien Luther prolifiku?</v>
      </c>
    </row>
    <row r="13801" ht="15.75" customHeight="1">
      <c r="A13801" s="2" t="s">
        <v>13801</v>
      </c>
      <c r="B13801" s="2" t="str">
        <f>IFERROR(__xludf.DUMMYFUNCTION("GOOGLETRANSLATE(A13801, ""en"", ""mt"")"),"X'inhi t-traduzzjoni bl-Ingliż ta 'Kunskapskolan?")</f>
        <v>X'inhi t-traduzzjoni bl-Ingliż ta 'Kunskapskolan?</v>
      </c>
    </row>
    <row r="13802" ht="15.75" customHeight="1">
      <c r="A13802" s="2" t="s">
        <v>13802</v>
      </c>
      <c r="B13802" s="2" t="str">
        <f>IFERROR(__xludf.DUMMYFUNCTION("GOOGLETRANSLATE(A13802, ""en"", ""mt"")"),"Kif għandha l-volumi tal-bniedem is-sistema tal-librerija tal-Università ta 'Chicago?")</f>
        <v>Kif għandha l-volumi tal-bniedem is-sistema tal-librerija tal-Università ta 'Chicago?</v>
      </c>
    </row>
    <row r="13803" ht="15.75" customHeight="1">
      <c r="A13803" s="2" t="s">
        <v>13803</v>
      </c>
      <c r="B13803" s="2" t="str">
        <f>IFERROR(__xludf.DUMMYFUNCTION("GOOGLETRANSLATE(A13803, ""en"", ""mt"")"),"F'liema sena saru l-ewwel esperimenti magħrufa dwar il-kombustjoni u l-arja?")</f>
        <v>F'liema sena saru l-ewwel esperimenti magħrufa dwar il-kombustjoni u l-arja?</v>
      </c>
    </row>
    <row r="13804" ht="15.75" customHeight="1">
      <c r="A13804" s="2" t="s">
        <v>13804</v>
      </c>
      <c r="B13804" s="2" t="str">
        <f>IFERROR(__xludf.DUMMYFUNCTION("GOOGLETRANSLATE(A13804, ""en"", ""mt"")"),"X'inhi importanza kbira tan-Nofsinhar ta 'California fir-rigward ta' California u l-Istati Uniti?")</f>
        <v>X'inhi importanza kbira tan-Nofsinhar ta 'California fir-rigward ta' California u l-Istati Uniti?</v>
      </c>
    </row>
    <row r="13805" ht="15.75" customHeight="1">
      <c r="A13805" s="2" t="s">
        <v>13805</v>
      </c>
      <c r="B13805" s="2" t="str">
        <f>IFERROR(__xludf.DUMMYFUNCTION("GOOGLETRANSLATE(A13805, ""en"", ""mt"")"),"Liema sena ġie konkluż il-kunflitt mal-kanzunetta Dynasty?")</f>
        <v>Liema sena ġie konkluż il-kunflitt mal-kanzunetta Dynasty?</v>
      </c>
    </row>
    <row r="13806" ht="15.75" customHeight="1">
      <c r="A13806" s="2" t="s">
        <v>13806</v>
      </c>
      <c r="B13806" s="2" t="str">
        <f>IFERROR(__xludf.DUMMYFUNCTION("GOOGLETRANSLATE(A13806, ""en"", ""mt"")"),"Teatru tat-Torri")</f>
        <v>Teatru tat-Torri</v>
      </c>
    </row>
    <row r="13807" ht="15.75" customHeight="1">
      <c r="A13807" s="2" t="s">
        <v>13807</v>
      </c>
      <c r="B13807" s="2" t="str">
        <f>IFERROR(__xludf.DUMMYFUNCTION("GOOGLETRANSLATE(A13807, ""en"", ""mt"")"),"Dan huwa l-aktar metodu komuni ta 'akkwist tal-kostruzzjoni u huwa stabbilit sew u rikonoxxut. F'dan l-arranġament, il-perit jew l-inġinier jaġixxi bħala l-koordinatur tal-proġett. Ir-rwol tiegħu jew tagħha huwa li jiddisinja x-xogħlijiet, iħejji l-ispeċi"&amp;"fikazzjonijiet u jipproduċi tpinġijiet tal-kostruzzjoni, jamministra l-kuntratt, joffri x-xogħlijiet, u jimmaniġġja x-xogħlijiet mill-bidu sal-tlestija. Hemm rabtiet kuntrattwali diretti bejn il-klijent tal-perit u l-kuntrattur ewlieni. Kull sottokuntratt"&amp;"ur għandu relazzjoni kuntrattwali diretta mal-kuntrattur ewlieni. Il-proċedura tkompli sakemm il-bini jkun lest biex jokkupa.")</f>
        <v>Dan huwa l-aktar metodu komuni ta 'akkwist tal-kostruzzjoni u huwa stabbilit sew u rikonoxxut. F'dan l-arranġament, il-perit jew l-inġinier jaġixxi bħala l-koordinatur tal-proġett. Ir-rwol tiegħu jew tagħha huwa li jiddisinja x-xogħlijiet, iħejji l-ispeċifikazzjonijiet u jipproduċi tpinġijiet tal-kostruzzjoni, jamministra l-kuntratt, joffri x-xogħlijiet, u jimmaniġġja x-xogħlijiet mill-bidu sal-tlestija. Hemm rabtiet kuntrattwali diretti bejn il-klijent tal-perit u l-kuntrattur ewlieni. Kull sottokuntrattur għandu relazzjoni kuntrattwali diretta mal-kuntrattur ewlieni. Il-proċedura tkompli sakemm il-bini jkun lest biex jokkupa.</v>
      </c>
    </row>
    <row r="13808" ht="15.75" customHeight="1">
      <c r="A13808" s="2" t="s">
        <v>13808</v>
      </c>
      <c r="B13808" s="2" t="str">
        <f>IFERROR(__xludf.DUMMYFUNCTION("GOOGLETRANSLATE(A13808, ""en"", ""mt"")"),"il-Grigal")</f>
        <v>il-Grigal</v>
      </c>
    </row>
    <row r="13809" ht="15.75" customHeight="1">
      <c r="A13809" s="2" t="s">
        <v>13809</v>
      </c>
      <c r="B13809" s="2" t="str">
        <f>IFERROR(__xludf.DUMMYFUNCTION("GOOGLETRANSLATE(A13809, ""en"", ""mt"")"),"Kostruzzjoni tal-Bini, Kostruzzjoni ta 'Inġinerija Tqila u Ċivili, u Kuntratturi tal-Kummerċ ta' Speċjalità")</f>
        <v>Kostruzzjoni tal-Bini, Kostruzzjoni ta 'Inġinerija Tqila u Ċivili, u Kuntratturi tal-Kummerċ ta' Speċjalità</v>
      </c>
    </row>
    <row r="13810" ht="15.75" customHeight="1">
      <c r="A13810" s="2" t="s">
        <v>13810</v>
      </c>
      <c r="B13810" s="2" t="str">
        <f>IFERROR(__xludf.DUMMYFUNCTION("GOOGLETRANSLATE(A13810, ""en"", ""mt"")"),"Liema ekwipaġġ Eisele eventwalment ġie rilokat wara li kellu operazzjoni u ma għamel l-ewwel missjoni?")</f>
        <v>Liema ekwipaġġ Eisele eventwalment ġie rilokat wara li kellu operazzjoni u ma għamel l-ewwel missjoni?</v>
      </c>
    </row>
    <row r="13811" ht="15.75" customHeight="1">
      <c r="A13811" s="2" t="s">
        <v>13811</v>
      </c>
      <c r="B13811" s="2" t="str">
        <f>IFERROR(__xludf.DUMMYFUNCTION("GOOGLETRANSLATE(A13811, ""en"", ""mt"")"),"Kemm itqal l-ossiġnu 18 minn ossiġnu 16?")</f>
        <v>Kemm itqal l-ossiġnu 18 minn ossiġnu 16?</v>
      </c>
    </row>
    <row r="13812" ht="15.75" customHeight="1">
      <c r="A13812" s="2" t="s">
        <v>13812</v>
      </c>
      <c r="B13812" s="2" t="str">
        <f>IFERROR(__xludf.DUMMYFUNCTION("GOOGLETRANSLATE(A13812, ""en"", ""mt"")"),"Fejn id-daqsijiet tal-klassi tal-iskejjel huma tipikament 40 sa 50 student, iż-żamma tal-ordni fil-klassi tista 'tiddevja lill-għalliem mill-istruzzjoni, u tħalli ftit opportunità għal konċentrazzjoni u tiffoka fuq dak li qed jiġi mgħallem. Bi tweġiba, l-"&amp;"għalliema jistgħu jikkonċentraw l-attenzjoni tagħhom fuq studenti motivati, jinjoraw studenti li jfittxu l-attenzjoni u li jfixklu. Ir-riżultat ta 'dan huwa li studenti motivati, li jiffaċċjaw eżamijiet ta' dħul universitarji eżiġenti, jirċievu riżorsi sp"&amp;"roporzjonati. Minħabba l-enfasi fuq il-kisba ta 'postijiet universitarji, l-amministraturi u l-gvernaturi jistgħu jqisu din il-politika kif xieraq.")</f>
        <v>Fejn id-daqsijiet tal-klassi tal-iskejjel huma tipikament 40 sa 50 student, iż-żamma tal-ordni fil-klassi tista 'tiddevja lill-għalliem mill-istruzzjoni, u tħalli ftit opportunità għal konċentrazzjoni u tiffoka fuq dak li qed jiġi mgħallem. Bi tweġiba, l-għalliema jistgħu jikkonċentraw l-attenzjoni tagħhom fuq studenti motivati, jinjoraw studenti li jfittxu l-attenzjoni u li jfixklu. Ir-riżultat ta 'dan huwa li studenti motivati, li jiffaċċjaw eżamijiet ta' dħul universitarji eżiġenti, jirċievu riżorsi sproporzjonati. Minħabba l-enfasi fuq il-kisba ta 'postijiet universitarji, l-amministraturi u l-gvernaturi jistgħu jqisu din il-politika kif xieraq.</v>
      </c>
    </row>
    <row r="13813" ht="15.75" customHeight="1">
      <c r="A13813" s="2" t="s">
        <v>13813</v>
      </c>
      <c r="B13813" s="2" t="str">
        <f>IFERROR(__xludf.DUMMYFUNCTION("GOOGLETRANSLATE(A13813, ""en"", ""mt"")"),"L-Istati Uniti hija maqsuma f'kemm ġurisdizzjonijiet?")</f>
        <v>L-Istati Uniti hija maqsuma f'kemm ġurisdizzjonijiet?</v>
      </c>
    </row>
    <row r="13814" ht="15.75" customHeight="1">
      <c r="A13814" s="2" t="s">
        <v>13814</v>
      </c>
      <c r="B13814" s="2" t="str">
        <f>IFERROR(__xludf.DUMMYFUNCTION("GOOGLETRANSLATE(A13814, ""en"", ""mt"")"),"X’sar mal-Knisja ta ’Sant’Andrija fl-1726?")</f>
        <v>X’sar mal-Knisja ta ’Sant’Andrija fl-1726?</v>
      </c>
    </row>
    <row r="13815" ht="15.75" customHeight="1">
      <c r="A13815" s="2" t="s">
        <v>13815</v>
      </c>
      <c r="B13815" s="2" t="str">
        <f>IFERROR(__xludf.DUMMYFUNCTION("GOOGLETRANSLATE(A13815, ""en"", ""mt"")"),"Min iddikjara li l-kitbiet ta 'Luther kienu blueprint ta' azzjonijiet kontra l-Lhud?")</f>
        <v>Min iddikjara li l-kitbiet ta 'Luther kienu blueprint ta' azzjonijiet kontra l-Lhud?</v>
      </c>
    </row>
    <row r="13816" ht="15.75" customHeight="1">
      <c r="A13816" s="2" t="s">
        <v>13816</v>
      </c>
      <c r="B13816" s="2" t="str">
        <f>IFERROR(__xludf.DUMMYFUNCTION("GOOGLETRANSLATE(A13816, ""en"", ""mt"")"),"Min id-differenza fil-pagi bejn is-sessi tipprovdi vantaġġ?")</f>
        <v>Min id-differenza fil-pagi bejn is-sessi tipprovdi vantaġġ?</v>
      </c>
    </row>
    <row r="13817" ht="15.75" customHeight="1">
      <c r="A13817" s="2" t="s">
        <v>13817</v>
      </c>
      <c r="B13817" s="2" t="str">
        <f>IFERROR(__xludf.DUMMYFUNCTION("GOOGLETRANSLATE(A13817, ""en"", ""mt"")"),"Forzi b'saħħithom u dgħajfa")</f>
        <v>Forzi b'saħħithom u dgħajfa</v>
      </c>
    </row>
    <row r="13818" ht="15.75" customHeight="1">
      <c r="A13818" s="2" t="s">
        <v>13818</v>
      </c>
      <c r="B13818" s="2" t="str">
        <f>IFERROR(__xludf.DUMMYFUNCTION("GOOGLETRANSLATE(A13818, ""en"", ""mt"")"),"Huwa insista li, peress li l-maħfra kienet waħedha li tagħti, dawk li sostnew li l-indulġenzi ħelsu lix-xerrejja mill-pieni kollha u tahom is-salvazzjoni kienu bi żball. Il-Kristjani, qal, m'għandhomx imwaqqfa meta jsegwu lil Kristu minħabba tali assigura"&amp;"zzjonijiet foloz.")</f>
        <v>Huwa insista li, peress li l-maħfra kienet waħedha li tagħti, dawk li sostnew li l-indulġenzi ħelsu lix-xerrejja mill-pieni kollha u tahom is-salvazzjoni kienu bi żball. Il-Kristjani, qal, m'għandhomx imwaqqfa meta jsegwu lil Kristu minħabba tali assigurazzjonijiet foloz.</v>
      </c>
    </row>
    <row r="13819" ht="15.75" customHeight="1">
      <c r="A13819" s="2" t="s">
        <v>13819</v>
      </c>
      <c r="B13819" s="2" t="str">
        <f>IFERROR(__xludf.DUMMYFUNCTION("GOOGLETRANSLATE(A13819, ""en"", ""mt"")"),"A jew μ")</f>
        <v>A jew μ</v>
      </c>
    </row>
    <row r="13820" ht="15.75" customHeight="1">
      <c r="A13820" s="2" t="s">
        <v>13820</v>
      </c>
      <c r="B13820" s="2" t="str">
        <f>IFERROR(__xludf.DUMMYFUNCTION("GOOGLETRANSLATE(A13820, ""en"", ""mt"")"),"Movimenti Fringe jew Splinter")</f>
        <v>Movimenti Fringe jew Splinter</v>
      </c>
    </row>
    <row r="13821" ht="15.75" customHeight="1">
      <c r="A13821" s="2" t="s">
        <v>13821</v>
      </c>
      <c r="B13821" s="2" t="str">
        <f>IFERROR(__xludf.DUMMYFUNCTION("GOOGLETRANSLATE(A13821, ""en"", ""mt"")"),"Ritorn akbar tal-kapital")</f>
        <v>Ritorn akbar tal-kapital</v>
      </c>
    </row>
    <row r="13822" ht="15.75" customHeight="1">
      <c r="A13822" s="2" t="s">
        <v>13822</v>
      </c>
      <c r="B13822" s="2" t="str">
        <f>IFERROR(__xludf.DUMMYFUNCTION("GOOGLETRANSLATE(A13822, ""en"", ""mt"")"),"Fejn tinsab il-Mużew Victoria u Albert?")</f>
        <v>Fejn tinsab il-Mużew Victoria u Albert?</v>
      </c>
    </row>
    <row r="13823" ht="15.75" customHeight="1">
      <c r="A13823" s="2" t="s">
        <v>13823</v>
      </c>
      <c r="B13823" s="2" t="str">
        <f>IFERROR(__xludf.DUMMYFUNCTION("GOOGLETRANSLATE(A13823, ""en"", ""mt"")"),"Meta ġie maqtul Al-Banna?")</f>
        <v>Meta ġie maqtul Al-Banna?</v>
      </c>
    </row>
    <row r="13824" ht="15.75" customHeight="1">
      <c r="A13824" s="2" t="s">
        <v>13824</v>
      </c>
      <c r="B13824" s="2" t="str">
        <f>IFERROR(__xludf.DUMMYFUNCTION("GOOGLETRANSLATE(A13824, ""en"", ""mt"")"),"Is-sistema immunitarja adattiva evolviet fil-vertebrati bikrija u tippermetti rispons immuni aktar b'saħħtu kif ukoll memorja immunoloġika, fejn kull patoġen huwa ""mfakkar"" minn antiġen tal-firma. Ir-rispons immunitarju adattiv huwa speċifiku għall-anti"&amp;"ġen u jirrikjedi r-rikonoxximent ta 'antiġeni speċifiċi ""mhux self"" waqt proċess imsejjaħ preżentazzjoni ta' antiġen. L-ispeċifiċità tal-antiġen tippermetti l-ġenerazzjoni ta 'tweġibiet li huma mfassla għal patoġeni speċifiċi jew ċelloli infettati bil-p"&amp;"atoġeni. Il-kapaċità li jintramaw dawn ir-risponsi mfassla tinżamm fil-ġisem permezz ta '""ċelloli tal-memorja"". Jekk patoġen jinfetta l-ġisem aktar minn darba, dawn iċ-ċelloli tal-memorja speċifiċi jintużaw biex jeliminawh malajr.")</f>
        <v>Is-sistema immunitarja adattiva evolviet fil-vertebrati bikrija u tippermetti rispons immuni aktar b'saħħtu kif ukoll memorja immunoloġika, fejn kull patoġen huwa "mfakkar" minn antiġen tal-firma. Ir-rispons immunitarju adattiv huwa speċifiku għall-antiġen u jirrikjedi r-rikonoxximent ta 'antiġeni speċifiċi "mhux self" waqt proċess imsejjaħ preżentazzjoni ta' antiġen. L-ispeċifiċità tal-antiġen tippermetti l-ġenerazzjoni ta 'tweġibiet li huma mfassla għal patoġeni speċifiċi jew ċelloli infettati bil-patoġeni. Il-kapaċità li jintramaw dawn ir-risponsi mfassla tinżamm fil-ġisem permezz ta '"ċelloli tal-memorja". Jekk patoġen jinfetta l-ġisem aktar minn darba, dawn iċ-ċelloli tal-memorja speċifiċi jintużaw biex jeliminawh malajr.</v>
      </c>
    </row>
    <row r="13825" ht="15.75" customHeight="1">
      <c r="A13825" s="2" t="s">
        <v>13825</v>
      </c>
      <c r="B13825" s="2" t="str">
        <f>IFERROR(__xludf.DUMMYFUNCTION("GOOGLETRANSLATE(A13825, ""en"", ""mt"")"),"It-teoloġija ta 'Wesleyan tinsab fi toroq uniċi bejn evanġeliċi u sagramentali, bejn liturġiku u kariżmatiku, u bejn teoloġija u prattika Anglo-Kattolika u Riformata. Ġie kkaratterizzat bħala teoloġija Arminjana b'enfasi fuq ix-xogħol ta 'l-Ispirtu s-Sant"&amp;"u biex iġib il-qdusija fil-ħajja ta' min jemmen. Il-Knisja Metodista Magħquda temmen fi Prima Scriptura, tara l-Bibbja Mqaddsa bħala l-awtorità primarja fil-knisja u tuża tradizzjoni sagra, raġuni, u esperjenza biex tinterpretaha, bl-għajnuna tal-Ispirtu "&amp;"s-Santu (ara Wesleyan kwadrilaterali). Għalhekk, skond il-Ktieb tad-Dixxiplina, it-Teoloġija Metodista Magħquda hija f'daqqa ""Kattolika, Evanġelika u Riformata."" Illum, l-UMC ġeneralment huwa meqjus bħala waħda mid-denominazzjonijiet l-aktar moderati u "&amp;"tolleranti fir-rigward tar-razza, is-sess u l-ideoloġija, għalkemm id-denominazzjoni nnifisha tinkludi firxa wiesgħa ħafna ta 'attitudnijiet. Komparattivament, l-UMC tinsab fuq il-lemin ta 'gruppi Protestanti liberali u progressivi bħall-Knisja Magħquda t"&amp;"a' Kristu u l-Knisja Episkopali dwar ċerti kwistjonijiet (speċjalment fir-rigward tas-sesswalità), iżda fuq ix-xellug ta 'tradizzjonijiet evanġeliċi storikament konservattivi bħall-Battisti tan-Nofsinhar u l-Pentekostaliżmu , fir-rigward ta 'kwistjonijiet"&amp;" teoloġiċi bħall-ġustizzja soċjali u l-interpretazzjoni bibliċi. Madankollu, għandu jkun innutat li l-UMC hija magħmula minn diversità wiesgħa ta 'ħsieb, u għalhekk hemm ħafna kleru u lajċi fi ħdan l-UMC li għandhom perspettivi differenti dwar kwistjoniji"&amp;"et teoloġiċi bħal dawn.")</f>
        <v>It-teoloġija ta 'Wesleyan tinsab fi toroq uniċi bejn evanġeliċi u sagramentali, bejn liturġiku u kariżmatiku, u bejn teoloġija u prattika Anglo-Kattolika u Riformata. Ġie kkaratterizzat bħala teoloġija Arminjana b'enfasi fuq ix-xogħol ta 'l-Ispirtu s-Santu biex iġib il-qdusija fil-ħajja ta' min jemmen. Il-Knisja Metodista Magħquda temmen fi Prima Scriptura, tara l-Bibbja Mqaddsa bħala l-awtorità primarja fil-knisja u tuża tradizzjoni sagra, raġuni, u esperjenza biex tinterpretaha, bl-għajnuna tal-Ispirtu s-Santu (ara Wesleyan kwadrilaterali). Għalhekk, skond il-Ktieb tad-Dixxiplina, it-Teoloġija Metodista Magħquda hija f'daqqa "Kattolika, Evanġelika u Riformata." Illum, l-UMC ġeneralment huwa meqjus bħala waħda mid-denominazzjonijiet l-aktar moderati u tolleranti fir-rigward tar-razza, is-sess u l-ideoloġija, għalkemm id-denominazzjoni nnifisha tinkludi firxa wiesgħa ħafna ta 'attitudnijiet. Komparattivament, l-UMC tinsab fuq il-lemin ta 'gruppi Protestanti liberali u progressivi bħall-Knisja Magħquda ta' Kristu u l-Knisja Episkopali dwar ċerti kwistjonijiet (speċjalment fir-rigward tas-sesswalità), iżda fuq ix-xellug ta 'tradizzjonijiet evanġeliċi storikament konservattivi bħall-Battisti tan-Nofsinhar u l-Pentekostaliżmu , fir-rigward ta 'kwistjonijiet teoloġiċi bħall-ġustizzja soċjali u l-interpretazzjoni bibliċi. Madankollu, għandu jkun innutat li l-UMC hija magħmula minn diversità wiesgħa ta 'ħsieb, u għalhekk hemm ħafna kleru u lajċi fi ħdan l-UMC li għandhom perspettivi differenti dwar kwistjonijiet teoloġiċi bħal dawn.</v>
      </c>
    </row>
    <row r="13826" ht="15.75" customHeight="1">
      <c r="A13826" s="2" t="s">
        <v>13826</v>
      </c>
      <c r="B13826" s="2" t="str">
        <f>IFERROR(__xludf.DUMMYFUNCTION("GOOGLETRANSLATE(A13826, ""en"", ""mt"")"),"X'tip ta 'membrana ġiet mill-ospitanti?")</f>
        <v>X'tip ta 'membrana ġiet mill-ospitanti?</v>
      </c>
    </row>
    <row r="13827" ht="15.75" customHeight="1">
      <c r="A13827" s="2" t="s">
        <v>13827</v>
      </c>
      <c r="B13827" s="2" t="str">
        <f>IFERROR(__xludf.DUMMYFUNCTION("GOOGLETRANSLATE(A13827, ""en"", ""mt"")"),"Kemm staġuni spiċċat id-dgħajsa tal-imħabba?")</f>
        <v>Kemm staġuni spiċċat id-dgħajsa tal-imħabba?</v>
      </c>
    </row>
    <row r="13828" ht="15.75" customHeight="1">
      <c r="A13828" s="2" t="s">
        <v>13828</v>
      </c>
      <c r="B13828" s="2" t="str">
        <f>IFERROR(__xludf.DUMMYFUNCTION("GOOGLETRANSLATE(A13828, ""en"", ""mt"")"),"Fuq bażi gradwali")</f>
        <v>Fuq bażi gradwali</v>
      </c>
    </row>
    <row r="13829" ht="15.75" customHeight="1">
      <c r="A13829" s="2" t="s">
        <v>13829</v>
      </c>
      <c r="B13829" s="2" t="str">
        <f>IFERROR(__xludf.DUMMYFUNCTION("GOOGLETRANSLATE(A13829, ""en"", ""mt"")"),"Papa")</f>
        <v>Papa</v>
      </c>
    </row>
    <row r="13830" ht="15.75" customHeight="1">
      <c r="A13830" s="2" t="s">
        <v>13830</v>
      </c>
      <c r="B13830" s="2" t="str">
        <f>IFERROR(__xludf.DUMMYFUNCTION("GOOGLETRANSLATE(A13830, ""en"", ""mt"")"),"Iċ-ċelloli T delta gamma (ċelloli T γδ) għandhom riċettur alternattiv taċ-ċelluli T (TCR) għall-kuntrarju taċ-ċelloli T CD4 + u CD8 + (αβ) u jaqsmu l-karatteristiċi taċ-ċelloli T helper, ċelloli T ċitotossiċi u ċelloli NK. Il-kundizzjonijiet li jipproduċu"&amp;" risponsi miċ-ċelloli T γδ mhumiex mifhuma għal kollox. Bħal sottogruppi oħra taċ-ċelloli T 'mhux konvenzjonali' li għandhom TCRs invarianti, bħal ċelloli T killer naturali ristretti CD1D, ċelloli T γδ T li jwaqqfu l-fruntiera bejn l-immunità innata u ada"&amp;"ttattiva. Min-naħa l-waħda, iċ-ċelloli T γδ huma komponent ta 'immunità adattiva hekk kif jirranġaw il-ġeni TCR biex jipproduċu diversità tar-riċetturi u jistgħu jiżviluppaw ukoll fenotip tal-memorja. Min-naħa l-oħra, is-sottogruppi varji huma wkoll parti"&amp;" mis-sistema immuni innata, minħabba li r-riċetturi TCR jew NK ristretti jistgħu jintużaw bħala riċetturi ta 'rikonoxximent tal-mudelli. Pereżempju, numru kbir ta 'ċelloli T Vγ9 / Vδ2 umani jirrispondu fi ftit sigħat għal molekuli komuni prodotti minn mik"&amp;"robi, u ċelloli T Vδ1 + ristretti ħafna fl-epitelja jirrispondu għal ċelloli epiteljali stressati.")</f>
        <v>Iċ-ċelloli T delta gamma (ċelloli T γδ) għandhom riċettur alternattiv taċ-ċelluli T (TCR) għall-kuntrarju taċ-ċelloli T CD4 + u CD8 + (αβ) u jaqsmu l-karatteristiċi taċ-ċelloli T helper, ċelloli T ċitotossiċi u ċelloli NK. Il-kundizzjonijiet li jipproduċu risponsi miċ-ċelloli T γδ mhumiex mifhuma għal kollox. Bħal sottogruppi oħra taċ-ċelloli T 'mhux konvenzjonali' li għandhom TCRs invarianti, bħal ċelloli T killer naturali ristretti CD1D, ċelloli T γδ T li jwaqqfu l-fruntiera bejn l-immunità innata u adattattiva. Min-naħa l-waħda, iċ-ċelloli T γδ huma komponent ta 'immunità adattiva hekk kif jirranġaw il-ġeni TCR biex jipproduċu diversità tar-riċetturi u jistgħu jiżviluppaw ukoll fenotip tal-memorja. Min-naħa l-oħra, is-sottogruppi varji huma wkoll parti mis-sistema immuni innata, minħabba li r-riċetturi TCR jew NK ristretti jistgħu jintużaw bħala riċetturi ta 'rikonoxximent tal-mudelli. Pereżempju, numru kbir ta 'ċelloli T Vγ9 / Vδ2 umani jirrispondu fi ftit sigħat għal molekuli komuni prodotti minn mikrobi, u ċelloli T Vδ1 + ristretti ħafna fl-epitelja jirrispondu għal ċelloli epiteljali stressati.</v>
      </c>
    </row>
    <row r="13831" ht="15.75" customHeight="1">
      <c r="A13831" s="2" t="s">
        <v>13831</v>
      </c>
      <c r="B13831" s="2" t="str">
        <f>IFERROR(__xludf.DUMMYFUNCTION("GOOGLETRANSLATE(A13831, ""en"", ""mt"")"),"Chinatown")</f>
        <v>Chinatown</v>
      </c>
    </row>
    <row r="13832" ht="15.75" customHeight="1">
      <c r="A13832" s="2" t="s">
        <v>13832</v>
      </c>
      <c r="B13832" s="2" t="str">
        <f>IFERROR(__xludf.DUMMYFUNCTION("GOOGLETRANSLATE(A13832, ""en"", ""mt"")"),"X'inhi l-medja tal-pjanti tal-bijosmass?")</f>
        <v>X'inhi l-medja tal-pjanti tal-bijosmass?</v>
      </c>
    </row>
    <row r="13833" ht="15.75" customHeight="1">
      <c r="A13833" s="2" t="s">
        <v>13833</v>
      </c>
      <c r="B13833" s="2" t="str">
        <f>IFERROR(__xludf.DUMMYFUNCTION("GOOGLETRANSLATE(A13833, ""en"", ""mt"")"),"Liema kelma ġiet ikkritikata Luther talli żiedet fir-Rumans3: 28?")</f>
        <v>Liema kelma ġiet ikkritikata Luther talli żiedet fir-Rumans3: 28?</v>
      </c>
    </row>
    <row r="13834" ht="15.75" customHeight="1">
      <c r="A13834" s="2" t="s">
        <v>13834</v>
      </c>
      <c r="B13834" s="2" t="str">
        <f>IFERROR(__xludf.DUMMYFUNCTION("GOOGLETRANSLATE(A13834, ""en"", ""mt"")"),"Uħud mill-Huguenots kienu nobbli li jippruvaw jistabbilixxu ċentri ta 'poter separati fin-Nofsinhar ta' Franza")</f>
        <v>Uħud mill-Huguenots kienu nobbli li jippruvaw jistabbilixxu ċentri ta 'poter separati fin-Nofsinhar ta' Franza</v>
      </c>
    </row>
    <row r="13835" ht="15.75" customHeight="1">
      <c r="A13835" s="2" t="s">
        <v>13835</v>
      </c>
      <c r="B13835" s="2" t="str">
        <f>IFERROR(__xludf.DUMMYFUNCTION("GOOGLETRANSLATE(A13835, ""en"", ""mt"")"),"Il-Prinċep Albert jidher fl-arkata ewlenija 'l fuq mill-entrati ġemellati, ir-Reġina Victoria' l fuq mill-qafas madwar l-arkati u d-daħla, skolpita minn Alfred Drury. Dawn il-faċċati jdawru erba 'livelli ta' galleriji. Żoni oħra ddisinjati minn Webb jinkl"&amp;"udu s-sala tad-dħul u Rotunda, is-swali tal-lvant u tal-punent, iż-żoni okkupati mill-ħanut u l-galleriji Ażjatiċi kif ukoll il-gallerija tal-kostumi. L-interjuri jagħmel ħafna użu mill-irħam fis-sala tad-dħul u turġien tal-ġenb, għalkemm il-galleriji kif"&amp;" iddisinjati oriġinarjament kienu bojod b'dettall u moffa klassiċi mrażżna, b'kuntrast mad-dekorazzjoni elaborata tal-galleriji Vittorjani, għalkemm ħafna minn din id-dekorazzjoni tneħħiet fil-bidu tas-seklu 20.")</f>
        <v>Il-Prinċep Albert jidher fl-arkata ewlenija 'l fuq mill-entrati ġemellati, ir-Reġina Victoria' l fuq mill-qafas madwar l-arkati u d-daħla, skolpita minn Alfred Drury. Dawn il-faċċati jdawru erba 'livelli ta' galleriji. Żoni oħra ddisinjati minn Webb jinkludu s-sala tad-dħul u Rotunda, is-swali tal-lvant u tal-punent, iż-żoni okkupati mill-ħanut u l-galleriji Ażjatiċi kif ukoll il-gallerija tal-kostumi. L-interjuri jagħmel ħafna użu mill-irħam fis-sala tad-dħul u turġien tal-ġenb, għalkemm il-galleriji kif iddisinjati oriġinarjament kienu bojod b'dettall u moffa klassiċi mrażżna, b'kuntrast mad-dekorazzjoni elaborata tal-galleriji Vittorjani, għalkemm ħafna minn din id-dekorazzjoni tneħħiet fil-bidu tas-seklu 20.</v>
      </c>
    </row>
    <row r="13836" ht="15.75" customHeight="1">
      <c r="A13836" s="2" t="s">
        <v>13836</v>
      </c>
      <c r="B13836" s="2" t="str">
        <f>IFERROR(__xludf.DUMMYFUNCTION("GOOGLETRANSLATE(A13836, ""en"", ""mt"")"),"It-Teorija tas-Sistemi Dinjija")</f>
        <v>It-Teorija tas-Sistemi Dinjija</v>
      </c>
    </row>
    <row r="13837" ht="15.75" customHeight="1">
      <c r="A13837" s="2" t="s">
        <v>13837</v>
      </c>
      <c r="B13837" s="2" t="str">
        <f>IFERROR(__xludf.DUMMYFUNCTION("GOOGLETRANSLATE(A13837, ""en"", ""mt"")"),"Fejn kienet Shirley qed tippjana spedizzjoni?")</f>
        <v>Fejn kienet Shirley qed tippjana spedizzjoni?</v>
      </c>
    </row>
    <row r="13838" ht="15.75" customHeight="1">
      <c r="A13838" s="2" t="s">
        <v>13838</v>
      </c>
      <c r="B13838" s="2" t="str">
        <f>IFERROR(__xludf.DUMMYFUNCTION("GOOGLETRANSLATE(A13838, ""en"", ""mt"")"),"L-Età tal-Imperjalizmu, perjodu ta 'żmien li jibda madwar l-1700, rajna nazzjonijiet (ġeneralment) li jidħlu fil-proċess tal-kolonizzazzjoni, l-influwenza u l-anness ta' partijiet oħra tad-dinja sabiex jiksbu poter politiku. [Ċitazzjoni meħtieġa] għalkemm"&amp;" il-prattiki imperjalisti għandhom Eżisti għal eluf ta 'snin, it-terminu ""età ta' l-imperjalizmu"" ġeneralment jirreferi għall-attivitajiet tal-poteri Ewropej mill-bidu tas-seklu 18 sa nofs is-seklu 20, pereżempju, il- ""logħba kbira"" fl-artijiet Persja"&amp;"ni, il- """" "" Scramble għall-Afrika ""u l-"" Politika tal-Bieb Miftuħ ""fiċ-Ċina.")</f>
        <v>L-Età tal-Imperjalizmu, perjodu ta 'żmien li jibda madwar l-1700, rajna nazzjonijiet (ġeneralment) li jidħlu fil-proċess tal-kolonizzazzjoni, l-influwenza u l-anness ta' partijiet oħra tad-dinja sabiex jiksbu poter politiku. [Ċitazzjoni meħtieġa] għalkemm il-prattiki imperjalisti għandhom Eżisti għal eluf ta 'snin, it-terminu "età ta' l-imperjalizmu" ġeneralment jirreferi għall-attivitajiet tal-poteri Ewropej mill-bidu tas-seklu 18 sa nofs is-seklu 20, pereżempju, il- "logħba kbira" fl-artijiet Persjani, il- "" " Scramble għall-Afrika "u l-" Politika tal-Bieb Miftuħ "fiċ-Ċina.</v>
      </c>
    </row>
    <row r="13839" ht="15.75" customHeight="1">
      <c r="A13839" s="2" t="s">
        <v>13839</v>
      </c>
      <c r="B13839" s="2" t="str">
        <f>IFERROR(__xludf.DUMMYFUNCTION("GOOGLETRANSLATE(A13839, ""en"", ""mt"")"),"X'inhu Floridean?")</f>
        <v>X'inhu Floridean?</v>
      </c>
    </row>
    <row r="13840" ht="15.75" customHeight="1">
      <c r="A13840" s="2" t="s">
        <v>13840</v>
      </c>
      <c r="B13840" s="2" t="str">
        <f>IFERROR(__xludf.DUMMYFUNCTION("GOOGLETRANSLATE(A13840, ""en"", ""mt"")"),"Armata u l-popolazzjoni")</f>
        <v>Armata u l-popolazzjoni</v>
      </c>
    </row>
    <row r="13841" ht="15.75" customHeight="1">
      <c r="A13841" s="2" t="s">
        <v>13841</v>
      </c>
      <c r="B13841" s="2" t="str">
        <f>IFERROR(__xludf.DUMMYFUNCTION("GOOGLETRANSLATE(A13841, ""en"", ""mt"")"),"Molekuli MHC tal-Klassi II")</f>
        <v>Molekuli MHC tal-Klassi II</v>
      </c>
    </row>
    <row r="13842" ht="15.75" customHeight="1">
      <c r="A13842" s="2" t="s">
        <v>13842</v>
      </c>
      <c r="B13842" s="2" t="str">
        <f>IFERROR(__xludf.DUMMYFUNCTION("GOOGLETRANSLATE(A13842, ""en"", ""mt"")"),"Dubbidjenza ċivili mhux vjolenti")</f>
        <v>Dubbidjenza ċivili mhux vjolenti</v>
      </c>
    </row>
    <row r="13843" ht="15.75" customHeight="1">
      <c r="A13843" s="2" t="s">
        <v>13843</v>
      </c>
      <c r="B13843" s="2" t="str">
        <f>IFERROR(__xludf.DUMMYFUNCTION("GOOGLETRANSLATE(A13843, ""en"", ""mt"")"),"Min iddikjara li ried li Iżrael jisparixxi?")</f>
        <v>Min iddikjara li ried li Iżrael jisparixxi?</v>
      </c>
    </row>
    <row r="13844" ht="15.75" customHeight="1">
      <c r="A13844" s="2" t="s">
        <v>13844</v>
      </c>
      <c r="B13844" s="2" t="str">
        <f>IFERROR(__xludf.DUMMYFUNCTION("GOOGLETRANSLATE(A13844, ""en"", ""mt"")"),"biddel it-trattati eżistenti")</f>
        <v>biddel it-trattati eżistenti</v>
      </c>
    </row>
    <row r="13845" ht="15.75" customHeight="1">
      <c r="A13845" s="2" t="s">
        <v>13845</v>
      </c>
      <c r="B13845" s="2" t="str">
        <f>IFERROR(__xludf.DUMMYFUNCTION("GOOGLETRANSLATE(A13845, ""en"", ""mt"")"),"Il-pesta bubonika kienet mifruxa aktar malajr jew aktar bil-mod mill-pesta bubonika moderna?")</f>
        <v>Il-pesta bubonika kienet mifruxa aktar malajr jew aktar bil-mod mill-pesta bubonika moderna?</v>
      </c>
    </row>
    <row r="13846" ht="15.75" customHeight="1">
      <c r="A13846" s="2" t="s">
        <v>13846</v>
      </c>
      <c r="B13846" s="2" t="str">
        <f>IFERROR(__xludf.DUMMYFUNCTION("GOOGLETRANSLATE(A13846, ""en"", ""mt"")"),"X'jiġri mir-Riverside għal partijiet ogħla taċ-ċentru tal-belt?")</f>
        <v>X'jiġri mir-Riverside għal partijiet ogħla taċ-ċentru tal-belt?</v>
      </c>
    </row>
    <row r="13847" ht="15.75" customHeight="1">
      <c r="A13847" s="2" t="s">
        <v>13847</v>
      </c>
      <c r="B13847" s="2" t="str">
        <f>IFERROR(__xludf.DUMMYFUNCTION("GOOGLETRANSLATE(A13847, ""en"", ""mt"")"),"X'inhu l-isem tal-ewwel tabib min serjali?")</f>
        <v>X'inhu l-isem tal-ewwel tabib min serjali?</v>
      </c>
    </row>
    <row r="13848" ht="15.75" customHeight="1">
      <c r="A13848" s="2" t="s">
        <v>13848</v>
      </c>
      <c r="B13848" s="2" t="str">
        <f>IFERROR(__xludf.DUMMYFUNCTION("GOOGLETRANSLATE(A13848, ""en"", ""mt"")"),"George Stigler")</f>
        <v>George Stigler</v>
      </c>
    </row>
    <row r="13849" ht="15.75" customHeight="1">
      <c r="A13849" s="2" t="s">
        <v>13849</v>
      </c>
      <c r="B13849" s="2" t="str">
        <f>IFERROR(__xludf.DUMMYFUNCTION("GOOGLETRANSLATE(A13849, ""en"", ""mt"")"),"Kunsill Privat")</f>
        <v>Kunsill Privat</v>
      </c>
    </row>
    <row r="13850" ht="15.75" customHeight="1">
      <c r="A13850" s="2" t="s">
        <v>13850</v>
      </c>
      <c r="B13850" s="2" t="str">
        <f>IFERROR(__xludf.DUMMYFUNCTION("GOOGLETRANSLATE(A13850, ""en"", ""mt"")"),"Soċjetà Filosofika Amerikana")</f>
        <v>Soċjetà Filosofika Amerikana</v>
      </c>
    </row>
    <row r="13851" ht="15.75" customHeight="1">
      <c r="A13851" s="2" t="s">
        <v>13851</v>
      </c>
      <c r="B13851" s="2" t="str">
        <f>IFERROR(__xludf.DUMMYFUNCTION("GOOGLETRANSLATE(A13851, ""en"", ""mt"")"),"il-konservattivi")</f>
        <v>il-konservattivi</v>
      </c>
    </row>
    <row r="13852" ht="15.75" customHeight="1">
      <c r="A13852" s="2" t="s">
        <v>13852</v>
      </c>
      <c r="B13852" s="2" t="str">
        <f>IFERROR(__xludf.DUMMYFUNCTION("GOOGLETRANSLATE(A13852, ""en"", ""mt"")"),"Min rewwixta fir-ribelljoni tal-ISPAH?")</f>
        <v>Min rewwixta fir-ribelljoni tal-ISPAH?</v>
      </c>
    </row>
    <row r="13853" ht="15.75" customHeight="1">
      <c r="A13853" s="2" t="s">
        <v>13853</v>
      </c>
      <c r="B13853" s="2" t="str">
        <f>IFERROR(__xludf.DUMMYFUNCTION("GOOGLETRANSLATE(A13853, ""en"", ""mt"")"),"Kif jistgħu l-problemi tal-funzjoni tipikament jiġu ddikjarati mill-ġdid?")</f>
        <v>Kif jistgħu l-problemi tal-funzjoni tipikament jiġu ddikjarati mill-ġdid?</v>
      </c>
    </row>
    <row r="13854" ht="15.75" customHeight="1">
      <c r="A13854" s="2" t="s">
        <v>13854</v>
      </c>
      <c r="B13854" s="2" t="str">
        <f>IFERROR(__xludf.DUMMYFUNCTION("GOOGLETRANSLATE(A13854, ""en"", ""mt"")"),"Il-pieni kollha")</f>
        <v>Il-pieni kollha</v>
      </c>
    </row>
    <row r="13855" ht="15.75" customHeight="1">
      <c r="A13855" s="2" t="s">
        <v>13855</v>
      </c>
      <c r="B13855" s="2" t="str">
        <f>IFERROR(__xludf.DUMMYFUNCTION("GOOGLETRANSLATE(A13855, ""en"", ""mt"")"),"swamps tal-pit jew għadajjar żgħar")</f>
        <v>swamps tal-pit jew għadajjar żgħar</v>
      </c>
    </row>
    <row r="13856" ht="15.75" customHeight="1">
      <c r="A13856" s="2" t="s">
        <v>13856</v>
      </c>
      <c r="B13856" s="2" t="str">
        <f>IFERROR(__xludf.DUMMYFUNCTION("GOOGLETRANSLATE(A13856, ""en"", ""mt"")"),"Min hu l-quarterback għall-Panthers Carolina?")</f>
        <v>Min hu l-quarterback għall-Panthers Carolina?</v>
      </c>
    </row>
    <row r="13857" ht="15.75" customHeight="1">
      <c r="A13857" s="2" t="s">
        <v>13857</v>
      </c>
      <c r="B13857" s="2" t="str">
        <f>IFERROR(__xludf.DUMMYFUNCTION("GOOGLETRANSLATE(A13857, ""en"", ""mt"")"),"Liema problema tal-komputazzjoni hija komunement assoċjata mal-fatturizzazzjoni ewlenija?")</f>
        <v>Liema problema tal-komputazzjoni hija komunement assoċjata mal-fatturizzazzjoni ewlenija?</v>
      </c>
    </row>
    <row r="13858" ht="15.75" customHeight="1">
      <c r="A13858" s="2" t="s">
        <v>13858</v>
      </c>
      <c r="B13858" s="2" t="str">
        <f>IFERROR(__xludf.DUMMYFUNCTION("GOOGLETRANSLATE(A13858, ""en"", ""mt"")"),"Ibgħat email lill-Libanu, New Hampshire City Councilors")</f>
        <v>Ibgħat email lill-Libanu, New Hampshire City Councilors</v>
      </c>
    </row>
    <row r="13859" ht="15.75" customHeight="1">
      <c r="A13859" s="2" t="s">
        <v>13859</v>
      </c>
      <c r="B13859" s="2" t="str">
        <f>IFERROR(__xludf.DUMMYFUNCTION("GOOGLETRANSLATE(A13859, ""en"", ""mt"")"),"L-abolizzjoni tal-kalifat Ottoman huwa maħsub li ntemm liema sistema?")</f>
        <v>L-abolizzjoni tal-kalifat Ottoman huwa maħsub li ntemm liema sistema?</v>
      </c>
    </row>
    <row r="13860" ht="15.75" customHeight="1">
      <c r="A13860" s="2" t="s">
        <v>13860</v>
      </c>
      <c r="B13860" s="2" t="str">
        <f>IFERROR(__xludf.DUMMYFUNCTION("GOOGLETRANSLATE(A13860, ""en"", ""mt"")"),"""Dwar il-kumplessità tal-komputazzjoni tal-algoritmi""")</f>
        <v>"Dwar il-kumplessità tal-komputazzjoni tal-algoritmi"</v>
      </c>
    </row>
    <row r="13861" ht="15.75" customHeight="1">
      <c r="A13861" s="2" t="s">
        <v>13861</v>
      </c>
      <c r="B13861" s="2" t="str">
        <f>IFERROR(__xludf.DUMMYFUNCTION("GOOGLETRANSLATE(A13861, ""en"", ""mt"")"),"Unjoni Nazzjonali Afrikana tal-Kenja")</f>
        <v>Unjoni Nazzjonali Afrikana tal-Kenja</v>
      </c>
    </row>
    <row r="13862" ht="15.75" customHeight="1">
      <c r="A13862" s="2" t="s">
        <v>13862</v>
      </c>
      <c r="B13862" s="2" t="str">
        <f>IFERROR(__xludf.DUMMYFUNCTION("GOOGLETRANSLATE(A13862, ""en"", ""mt"")"),"X'kienet ir-raġuni ewlenija għall-bidla għall-fehma li l-inugwaljanza tad-dħul tagħmel ħsara lit-tkabbir?")</f>
        <v>X'kienet ir-raġuni ewlenija għall-bidla għall-fehma li l-inugwaljanza tad-dħul tagħmel ħsara lit-tkabbir?</v>
      </c>
    </row>
    <row r="13863" ht="15.75" customHeight="1">
      <c r="A13863" s="2" t="s">
        <v>13863</v>
      </c>
      <c r="B13863" s="2" t="str">
        <f>IFERROR(__xludf.DUMMYFUNCTION("GOOGLETRANSLATE(A13863, ""en"", ""mt"")"),"Sava Kosanović")</f>
        <v>Sava Kosanović</v>
      </c>
    </row>
    <row r="13864" ht="15.75" customHeight="1">
      <c r="A13864" s="2" t="s">
        <v>13864</v>
      </c>
      <c r="B13864" s="2" t="str">
        <f>IFERROR(__xludf.DUMMYFUNCTION("GOOGLETRANSLATE(A13864, ""en"", ""mt"")"),"dixxipli")</f>
        <v>dixxipli</v>
      </c>
    </row>
    <row r="13865" ht="15.75" customHeight="1">
      <c r="A13865" s="2" t="s">
        <v>13865</v>
      </c>
      <c r="B13865" s="2" t="str">
        <f>IFERROR(__xludf.DUMMYFUNCTION("GOOGLETRANSLATE(A13865, ""en"", ""mt"")"),"Il-kostruzzjoni hija l-proċess tal-kostruzzjoni ta 'bini jew infrastruttura. Il-kostruzzjoni hija differenti mill-manifattura minħabba li l-manifattura tipikament tinvolvi produzzjoni tal-massa ta 'oġġetti simili mingħajr xerrej magħżul, filwaqt li l-kost"&amp;"ruzzjoni tipikament isseħħ fuq il-post għal klijent magħruf. Il-kostruzzjoni bħala industrija tinkludi sitta sa disa 'fil-mija tal-prodott domestiku gross ta' pajjiżi żviluppati. Il-kostruzzjoni tibda bl-ippjanar, [ċitazzjoni meħtieġa] disinn, u tiffinanz"&amp;"ja u tkompli sakemm il-proġett ikun mibni u lest għall-użu.")</f>
        <v>Il-kostruzzjoni hija l-proċess tal-kostruzzjoni ta 'bini jew infrastruttura. Il-kostruzzjoni hija differenti mill-manifattura minħabba li l-manifattura tipikament tinvolvi produzzjoni tal-massa ta 'oġġetti simili mingħajr xerrej magħżul, filwaqt li l-kostruzzjoni tipikament isseħħ fuq il-post għal klijent magħruf. Il-kostruzzjoni bħala industrija tinkludi sitta sa disa 'fil-mija tal-prodott domestiku gross ta' pajjiżi żviluppati. Il-kostruzzjoni tibda bl-ippjanar, [ċitazzjoni meħtieġa] disinn, u tiffinanzja u tkompli sakemm il-proġett ikun mibni u lest għall-użu.</v>
      </c>
    </row>
    <row r="13866" ht="15.75" customHeight="1">
      <c r="A13866" s="2" t="s">
        <v>13866</v>
      </c>
      <c r="B13866" s="2" t="str">
        <f>IFERROR(__xludf.DUMMYFUNCTION("GOOGLETRANSLATE(A13866, ""en"", ""mt"")"),"in-nukleomorf tiegħu u l-iktar żewġ membrani")</f>
        <v>in-nukleomorf tiegħu u l-iktar żewġ membrani</v>
      </c>
    </row>
    <row r="13867" ht="15.75" customHeight="1">
      <c r="A13867" s="2" t="s">
        <v>13867</v>
      </c>
      <c r="B13867" s="2" t="str">
        <f>IFERROR(__xludf.DUMMYFUNCTION("GOOGLETRANSLATE(A13867, ""en"", ""mt"")"),"235")</f>
        <v>235</v>
      </c>
    </row>
    <row r="13868" ht="15.75" customHeight="1">
      <c r="A13868" s="2" t="s">
        <v>13868</v>
      </c>
      <c r="B13868" s="2" t="str">
        <f>IFERROR(__xludf.DUMMYFUNCTION("GOOGLETRANSLATE(A13868, ""en"", ""mt"")"),"impenn finanzjarju")</f>
        <v>impenn finanzjarju</v>
      </c>
    </row>
    <row r="13869" ht="15.75" customHeight="1">
      <c r="A13869" s="2" t="s">
        <v>13869</v>
      </c>
      <c r="B13869" s="2" t="str">
        <f>IFERROR(__xludf.DUMMYFUNCTION("GOOGLETRANSLATE(A13869, ""en"", ""mt"")"),"F'liema kolonja Ingliża ġew imwiegħda l-art tal-kolonizzaturi Huguenot?")</f>
        <v>F'liema kolonja Ingliża ġew imwiegħda l-art tal-kolonizzaturi Huguenot?</v>
      </c>
    </row>
    <row r="13870" ht="15.75" customHeight="1">
      <c r="A13870" s="2" t="s">
        <v>13870</v>
      </c>
      <c r="B13870" s="2" t="str">
        <f>IFERROR(__xludf.DUMMYFUNCTION("GOOGLETRANSLATE(A13870, ""en"", ""mt"")"),"X'inhu l-pjanijiet ta 'Richard biex jilħqu l-acre?")</f>
        <v>X'inhu l-pjanijiet ta 'Richard biex jilħqu l-acre?</v>
      </c>
    </row>
    <row r="13871" ht="15.75" customHeight="1">
      <c r="A13871" s="2" t="s">
        <v>13871</v>
      </c>
      <c r="B13871" s="2" t="str">
        <f>IFERROR(__xludf.DUMMYFUNCTION("GOOGLETRANSLATE(A13871, ""en"", ""mt"")"),"'l isfel")</f>
        <v>'l isfel</v>
      </c>
    </row>
    <row r="13872" ht="15.75" customHeight="1">
      <c r="A13872" s="2" t="s">
        <v>13872</v>
      </c>
      <c r="B13872" s="2" t="str">
        <f>IFERROR(__xludf.DUMMYFUNCTION("GOOGLETRANSLATE(A13872, ""en"", ""mt"")"),"F'liema direzzjoni qalu Watson li daħal l-iżball?")</f>
        <v>F'liema direzzjoni qalu Watson li daħal l-iżball?</v>
      </c>
    </row>
    <row r="13873" ht="15.75" customHeight="1">
      <c r="A13873" s="2" t="s">
        <v>13873</v>
      </c>
      <c r="B13873" s="2" t="str">
        <f>IFERROR(__xludf.DUMMYFUNCTION("GOOGLETRANSLATE(A13873, ""en"", ""mt"")"),"Charles Conrad u Alan Bean kienu fuq liema vettura spazjali għall-qamar?")</f>
        <v>Charles Conrad u Alan Bean kienu fuq liema vettura spazjali għall-qamar?</v>
      </c>
    </row>
    <row r="13874" ht="15.75" customHeight="1">
      <c r="A13874" s="2" t="s">
        <v>13874</v>
      </c>
      <c r="B13874" s="2" t="str">
        <f>IFERROR(__xludf.DUMMYFUNCTION("GOOGLETRANSLATE(A13874, ""en"", ""mt"")"),"F'liema settur qed jibdew jiżdiedu l-impjiegi?")</f>
        <v>F'liema settur qed jibdew jiżdiedu l-impjiegi?</v>
      </c>
    </row>
    <row r="13875" ht="15.75" customHeight="1">
      <c r="A13875" s="2" t="s">
        <v>13875</v>
      </c>
      <c r="B13875" s="2" t="str">
        <f>IFERROR(__xludf.DUMMYFUNCTION("GOOGLETRANSLATE(A13875, ""en"", ""mt"")"),"Eqred l-Antichrist")</f>
        <v>Eqred l-Antichrist</v>
      </c>
    </row>
    <row r="13876" ht="15.75" customHeight="1">
      <c r="A13876" s="2" t="s">
        <v>13876</v>
      </c>
      <c r="B13876" s="2" t="str">
        <f>IFERROR(__xludf.DUMMYFUNCTION("GOOGLETRANSLATE(A13876, ""en"", ""mt"")"),"Bħala riżultat, sal-1206 Temüjin kien irnexxielu jingħaqad jew jissottometti l-Merkits, Naimans, Mongoli, Keraites, Tatari, Uyghurs, u tribujiet iżgħar oħra differenti taħt il-ħakma tiegħu. Kienet proeza monumentali għall- ""Mongoli"" (kif saru magħrufa b"&amp;"'mod kollettiv). Fi Khuldai, kunsill tal-kapijiet tal-Mongolja, Temüjin ġie rikonoxxut bħala ""Khan"" tat-tribujiet konsolidati u ħa t-titlu l-ġdid ""Genghis Khan"". It-titlu Khagan ma ngħatax lil Genghis sa wara mewtu, meta ibnu u s-suċċessur, Ögedei, ħa"&amp;"du t-titlu għalih innifsu u estendew wara mewt lil missieru (kif kien ukoll ġie ddikjarat wara l-mewt il-fundatur tad-dinastija Yuan). Din l-unifikazzjoni tal-konfederazzjonijiet kollha minn Genghis Khan stabbilixxiet il-paċi bejn tribujiet li qabel kienu"&amp;" qed jiġġieldu u forza politika u militari waħda taħt Genghis Khan.")</f>
        <v>Bħala riżultat, sal-1206 Temüjin kien irnexxielu jingħaqad jew jissottometti l-Merkits, Naimans, Mongoli, Keraites, Tatari, Uyghurs, u tribujiet iżgħar oħra differenti taħt il-ħakma tiegħu. Kienet proeza monumentali għall- "Mongoli" (kif saru magħrufa b'mod kollettiv). Fi Khuldai, kunsill tal-kapijiet tal-Mongolja, Temüjin ġie rikonoxxut bħala "Khan" tat-tribujiet konsolidati u ħa t-titlu l-ġdid "Genghis Khan". It-titlu Khagan ma ngħatax lil Genghis sa wara mewtu, meta ibnu u s-suċċessur, Ögedei, ħadu t-titlu għalih innifsu u estendew wara mewt lil missieru (kif kien ukoll ġie ddikjarat wara l-mewt il-fundatur tad-dinastija Yuan). Din l-unifikazzjoni tal-konfederazzjonijiet kollha minn Genghis Khan stabbilixxiet il-paċi bejn tribujiet li qabel kienu qed jiġġieldu u forza politika u militari waħda taħt Genghis Khan.</v>
      </c>
    </row>
    <row r="13877" ht="15.75" customHeight="1">
      <c r="A13877" s="2" t="s">
        <v>13877</v>
      </c>
      <c r="B13877" s="2" t="str">
        <f>IFERROR(__xludf.DUMMYFUNCTION("GOOGLETRANSLATE(A13877, ""en"", ""mt"")"),"Il-punt ta 'Bauffet")</f>
        <v>Il-punt ta 'Bauffet</v>
      </c>
    </row>
    <row r="13878" ht="15.75" customHeight="1">
      <c r="A13878" s="2" t="s">
        <v>13878</v>
      </c>
      <c r="B13878" s="2" t="str">
        <f>IFERROR(__xludf.DUMMYFUNCTION("GOOGLETRANSLATE(A13878, ""en"", ""mt"")"),"Kemm oġġetti l-Librerija tal-Università hija d-dar?")</f>
        <v>Kemm oġġetti l-Librerija tal-Università hija d-dar?</v>
      </c>
    </row>
    <row r="13879" ht="15.75" customHeight="1">
      <c r="A13879" s="2" t="s">
        <v>13879</v>
      </c>
      <c r="B13879" s="2" t="str">
        <f>IFERROR(__xludf.DUMMYFUNCTION("GOOGLETRANSLATE(A13879, ""en"", ""mt"")"),"X'inhi ċ-ċavetta biex tinkiseb il-ħiliet meħtieġa għal impjiegi ta 'domanda għolja?")</f>
        <v>X'inhi ċ-ċavetta biex tinkiseb il-ħiliet meħtieġa għal impjiegi ta 'domanda għolja?</v>
      </c>
    </row>
    <row r="13880" ht="15.75" customHeight="1">
      <c r="A13880" s="2" t="s">
        <v>13880</v>
      </c>
      <c r="B13880" s="2" t="str">
        <f>IFERROR(__xludf.DUMMYFUNCTION("GOOGLETRANSLATE(A13880, ""en"", ""mt"")"),"Levi's Stadium fiż-Żona tal-Bajja ta 'San Francisco f'Santa Clara")</f>
        <v>Levi's Stadium fiż-Żona tal-Bajja ta 'San Francisco f'Santa Clara</v>
      </c>
    </row>
    <row r="13881" ht="15.75" customHeight="1">
      <c r="A13881" s="2" t="s">
        <v>13881</v>
      </c>
      <c r="B13881" s="2" t="str">
        <f>IFERROR(__xludf.DUMMYFUNCTION("GOOGLETRANSLATE(A13881, ""en"", ""mt"")"),"1413")</f>
        <v>1413</v>
      </c>
    </row>
    <row r="13882" ht="15.75" customHeight="1">
      <c r="A13882" s="2" t="s">
        <v>13882</v>
      </c>
      <c r="B13882" s="2" t="str">
        <f>IFERROR(__xludf.DUMMYFUNCTION("GOOGLETRANSLATE(A13882, ""en"", ""mt"")"),"Il-programm Apollo, magħruf ukoll bħala Project Apollo, kien it-tielet programm ta ’spazjali tal-bniedem tal-Istati Uniti mwettaq mill-Amministrazzjoni Nazzjonali tal-Ajrunawtika u l-Ispazju (NASA), li wettaq inżul l-ewwel bnedmin fuq il-qamar mill-1969 s"&amp;"al-1972. . L-amministrazzjoni ta 'Eisenhower bħala vettura spazjali ta' tliet persuni biex issegwi l-proġett ta 'raġel wieħed li poġġa lill-ewwel Amerikani fl-ispazju, Apollo ġie ddedikat aktar tard għall-għan nazzjonali tal-President John F. Kennedy li "&amp;"""ħatt raġel fuq il-qamar u jirritornah mingħajr periklu lejn Id-Dinja ""sa l-aħħar tas-snin 1960, li huwa ppropona fil-25 ta 'Mejju, 1961, jindirizza lill-Kungress. Il-Proġett Mercury kien segwit mill-proġett ta ’żewġ persuni Gemini (1962–66). L-ewwel ti"&amp;"tjira mgħammra ta ’Apollo kienet fl-1968.")</f>
        <v>Il-programm Apollo, magħruf ukoll bħala Project Apollo, kien it-tielet programm ta ’spazjali tal-bniedem tal-Istati Uniti mwettaq mill-Amministrazzjoni Nazzjonali tal-Ajrunawtika u l-Ispazju (NASA), li wettaq inżul l-ewwel bnedmin fuq il-qamar mill-1969 sal-1972. . L-amministrazzjoni ta 'Eisenhower bħala vettura spazjali ta' tliet persuni biex issegwi l-proġett ta 'raġel wieħed li poġġa lill-ewwel Amerikani fl-ispazju, Apollo ġie ddedikat aktar tard għall-għan nazzjonali tal-President John F. Kennedy li "ħatt raġel fuq il-qamar u jirritornah mingħajr periklu lejn Id-Dinja "sa l-aħħar tas-snin 1960, li huwa ppropona fil-25 ta 'Mejju, 1961, jindirizza lill-Kungress. Il-Proġett Mercury kien segwit mill-proġett ta ’żewġ persuni Gemini (1962–66). L-ewwel titjira mgħammra ta ’Apollo kienet fl-1968.</v>
      </c>
    </row>
    <row r="13883" ht="15.75" customHeight="1">
      <c r="A13883" s="2" t="s">
        <v>13883</v>
      </c>
      <c r="B13883" s="2" t="str">
        <f>IFERROR(__xludf.DUMMYFUNCTION("GOOGLETRANSLATE(A13883, ""en"", ""mt"")"),"1912")</f>
        <v>1912</v>
      </c>
    </row>
    <row r="13884" ht="15.75" customHeight="1">
      <c r="A13884" s="2" t="s">
        <v>13884</v>
      </c>
      <c r="B13884" s="2" t="str">
        <f>IFERROR(__xludf.DUMMYFUNCTION("GOOGLETRANSLATE(A13884, ""en"", ""mt"")"),"Il-foresta tropikali tal-Amazon saret l-aktar foresta interna madwar liema avveniment globali?")</f>
        <v>Il-foresta tropikali tal-Amazon saret l-aktar foresta interna madwar liema avveniment globali?</v>
      </c>
    </row>
    <row r="13885" ht="15.75" customHeight="1">
      <c r="A13885" s="2" t="s">
        <v>13885</v>
      </c>
      <c r="B13885" s="2" t="str">
        <f>IFERROR(__xludf.DUMMYFUNCTION("GOOGLETRANSLATE(A13885, ""en"", ""mt"")"),"in-numri kollha sa n = 2 · 1017")</f>
        <v>in-numri kollha sa n = 2 · 1017</v>
      </c>
    </row>
    <row r="13886" ht="15.75" customHeight="1">
      <c r="A13886" s="2" t="s">
        <v>13886</v>
      </c>
      <c r="B13886" s="2" t="str">
        <f>IFERROR(__xludf.DUMMYFUNCTION("GOOGLETRANSLATE(A13886, ""en"", ""mt"")"),"Klassijiet ta 'kumplessità huma ġeneralment klassifikati f'liema?")</f>
        <v>Klassijiet ta 'kumplessità huma ġeneralment klassifikati f'liema?</v>
      </c>
    </row>
    <row r="13887" ht="15.75" customHeight="1">
      <c r="A13887" s="2" t="s">
        <v>13887</v>
      </c>
      <c r="B13887" s="2" t="str">
        <f>IFERROR(__xludf.DUMMYFUNCTION("GOOGLETRANSLATE(A13887, ""en"", ""mt"")"),"Reċiproku")</f>
        <v>Reċiproku</v>
      </c>
    </row>
    <row r="13888" ht="15.75" customHeight="1">
      <c r="A13888" s="2" t="s">
        <v>13888</v>
      </c>
      <c r="B13888" s="2" t="str">
        <f>IFERROR(__xludf.DUMMYFUNCTION("GOOGLETRANSLATE(A13888, ""en"", ""mt"")"),"Meta kienet l-ewwel fratellanza pprojbita fl-Eġittu?")</f>
        <v>Meta kienet l-ewwel fratellanza pprojbita fl-Eġittu?</v>
      </c>
    </row>
    <row r="13889" ht="15.75" customHeight="1">
      <c r="A13889" s="2" t="s">
        <v>13889</v>
      </c>
      <c r="B13889" s="2" t="str">
        <f>IFERROR(__xludf.DUMMYFUNCTION("GOOGLETRANSLATE(A13889, ""en"", ""mt"")"),"Meta kienet l-aħħar Super Bowl f'Kalifornja?")</f>
        <v>Meta kienet l-aħħar Super Bowl f'Kalifornja?</v>
      </c>
    </row>
    <row r="13890" ht="15.75" customHeight="1">
      <c r="A13890" s="2" t="s">
        <v>13890</v>
      </c>
      <c r="B13890" s="2" t="str">
        <f>IFERROR(__xludf.DUMMYFUNCTION("GOOGLETRANSLATE(A13890, ""en"", ""mt"")"),"X'imkien madwar biljun sena ilu, cyanobacterium li jgħix ħieles daħal f'ċellula ewkarjotika bikrija, kemm bħala ikel jew bħala parassita interna, iżda rnexxielu jaħrab mill-vacuole fagoċitiku li kien fih. Tikkorrispondi għall-membrani ta 'barra u ta' ġeww"&amp;"a tal-ħajt taċ-ċellula gram negattiva ta 'l-antenati ta' Cyanobacterium, u mhux il-membrana fagożomali mill-ospitanti, li probabbilment kienet mitlufa. Ir-resident ċellulari l-ġdid malajr sar vantaġġ, u pprovda ikel għall-ospitanti ewkarjotiċi, li ppermet"&amp;"tilu jgħix fih. Maż-żmien, iċ-cyanobacterium ġie assimilat, u ħafna mill-ġeni tiegħu ntilfu jew ġew trasferiti għan-nukleu tal-ospitanti. Uħud mill-proteini tagħha mbagħad ġew sintetizzati fiċ-ċitoplasma taċ-ċellula ospitanti, u importati lura fil-kloropl"&amp;"ast (qabel iċ-Cyanobacterium).")</f>
        <v>X'imkien madwar biljun sena ilu, cyanobacterium li jgħix ħieles daħal f'ċellula ewkarjotika bikrija, kemm bħala ikel jew bħala parassita interna, iżda rnexxielu jaħrab mill-vacuole fagoċitiku li kien fih. Tikkorrispondi għall-membrani ta 'barra u ta' ġewwa tal-ħajt taċ-ċellula gram negattiva ta 'l-antenati ta' Cyanobacterium, u mhux il-membrana fagożomali mill-ospitanti, li probabbilment kienet mitlufa. Ir-resident ċellulari l-ġdid malajr sar vantaġġ, u pprovda ikel għall-ospitanti ewkarjotiċi, li ppermettilu jgħix fih. Maż-żmien, iċ-cyanobacterium ġie assimilat, u ħafna mill-ġeni tiegħu ntilfu jew ġew trasferiti għan-nukleu tal-ospitanti. Uħud mill-proteini tagħha mbagħad ġew sintetizzati fiċ-ċitoplasma taċ-ċellula ospitanti, u importati lura fil-kloroplast (qabel iċ-Cyanobacterium).</v>
      </c>
    </row>
    <row r="13891" ht="15.75" customHeight="1">
      <c r="A13891" s="2" t="s">
        <v>13891</v>
      </c>
      <c r="B13891" s="2" t="str">
        <f>IFERROR(__xludf.DUMMYFUNCTION("GOOGLETRANSLATE(A13891, ""en"", ""mt"")"),"Meta twaqqaf l-ABC1 minħabba telespettatur baxx?")</f>
        <v>Meta twaqqaf l-ABC1 minħabba telespettatur baxx?</v>
      </c>
    </row>
    <row r="13892" ht="15.75" customHeight="1">
      <c r="A13892" s="2" t="s">
        <v>13892</v>
      </c>
      <c r="B13892" s="2" t="str">
        <f>IFERROR(__xludf.DUMMYFUNCTION("GOOGLETRANSLATE(A13892, ""en"", ""mt"")"),"Kunflitti ta 'qsim ta' piż reġjonali")</f>
        <v>Kunflitti ta 'qsim ta' piż reġjonali</v>
      </c>
    </row>
    <row r="13893" ht="15.75" customHeight="1">
      <c r="A13893" s="2" t="s">
        <v>13893</v>
      </c>
      <c r="B13893" s="2" t="str">
        <f>IFERROR(__xludf.DUMMYFUNCTION("GOOGLETRANSLATE(A13893, ""en"", ""mt"")"),"Il-Knisja Metodista Magħquda hija tradizzjoni waħda fi ħdan il-Knisja Nisranija. Il-Knisja Metodista Magħquda hija attiva f'relazzjonijiet ekumeniċi ma 'gruppi u denominazzjonijiet Kristjani oħra. Huwa membru tal-Kunsill Nazzjonali tal-Knejjes, tal-Kunsil"&amp;"l Dinji tal-Knejjes, tal-Knejjes li jgħaqqdu fi Kristu, u l-Knejjes Kristjani flimkien. Barra minn hekk, ivvutat biex tfittex status ta 'osservatur fl-Assoċjazzjoni Nazzjonali ta' l-Evanġeliċi u fil-Fellowship Evanġeliku Dinji. Madankollu, hemm uħud fil-K"&amp;"nisja Metodista Magħquda li jħossu li l-ekumeniżmu falz jista 'jirriżulta fit- ""ċċajpar ta' differenzi teoloġiċi u konfessjonali fl-interessi ta 'l-għaqda.""")</f>
        <v>Il-Knisja Metodista Magħquda hija tradizzjoni waħda fi ħdan il-Knisja Nisranija. Il-Knisja Metodista Magħquda hija attiva f'relazzjonijiet ekumeniċi ma 'gruppi u denominazzjonijiet Kristjani oħra. Huwa membru tal-Kunsill Nazzjonali tal-Knejjes, tal-Kunsill Dinji tal-Knejjes, tal-Knejjes li jgħaqqdu fi Kristu, u l-Knejjes Kristjani flimkien. Barra minn hekk, ivvutat biex tfittex status ta 'osservatur fl-Assoċjazzjoni Nazzjonali ta' l-Evanġeliċi u fil-Fellowship Evanġeliku Dinji. Madankollu, hemm uħud fil-Knisja Metodista Magħquda li jħossu li l-ekumeniżmu falz jista 'jirriżulta fit- "ċċajpar ta' differenzi teoloġiċi u konfessjonali fl-interessi ta 'l-għaqda."</v>
      </c>
    </row>
    <row r="13894" ht="15.75" customHeight="1">
      <c r="A13894" s="2" t="s">
        <v>13894</v>
      </c>
      <c r="B13894" s="2" t="str">
        <f>IFERROR(__xludf.DUMMYFUNCTION("GOOGLETRANSLATE(A13894, ""en"", ""mt"")"),"X'inhi d-Duttrina Kattolika ta 'Fides Caritate Formata?")</f>
        <v>X'inhi d-Duttrina Kattolika ta 'Fides Caritate Formata?</v>
      </c>
    </row>
    <row r="13895" ht="15.75" customHeight="1">
      <c r="A13895" s="2" t="s">
        <v>13895</v>
      </c>
      <c r="B13895" s="2" t="str">
        <f>IFERROR(__xludf.DUMMYFUNCTION("GOOGLETRANSLATE(A13895, ""en"", ""mt"")"),"L-iżvilupp tat-tektonika tal-pjanċi pprovda bażi fiżika għal ħafna osservazzjonijiet tad-Dinja Solida. Reġjuni lineari twal ta 'karatteristiċi ġeoloġiċi jistgħu jiġu spjegati bħala konfini tal-pjanċa. Xfar ta 'nofs l-oċean, reġjuni għoljin fuq il-baħar fe"&amp;"jn jeżistu ventijiet idrotermali u vulkani, ġew spjegati bħala konfini diverġenti, fejn żewġ pjanċi jiċċaqalqu. Arki ta 'vulkani u terremoti ġew spjegati bħala konfini konverġenti, fejn pjanċa waħda tissottometti taħt l-ieħor. It-trasformazzjoni tal-konfi"&amp;"ni, bħas-sistema ta 'difetti ta' San Andreas, irriżultaw f'terremoti qawwija mifruxa. Tettonika tal-pjanċa pprovdiet ukoll mekkaniżmu għat-teorija ta 'Alfred Wegener dwar id-drift kontinentali, li fiha l-kontinenti jimxu mal-wiċċ tad-dinja matul iż-żmien "&amp;"ġeoloġiku. Huma pprovdew ukoll forza li tmexxi għad-deformazzjoni tal-qoxra, u ambjent ġdid għall-osservazzjonijiet tal-ġeoloġija strutturali. Il-poter tat-teorija tat-tektonika tal-pjanċa tinsab fil-kapaċità tagħha li tgħaqqad dawn l-osservazzjonijiet ko"&amp;"llha f'eorija waħda ta 'kif il-litosfera timxi fuq il-mantell tal-konvetti.")</f>
        <v>L-iżvilupp tat-tektonika tal-pjanċi pprovda bażi fiżika għal ħafna osservazzjonijiet tad-Dinja Solida. Reġjuni lineari twal ta 'karatteristiċi ġeoloġiċi jistgħu jiġu spjegati bħala konfini tal-pjanċa. Xfar ta 'nofs l-oċean, reġjuni għoljin fuq il-baħar fejn jeżistu ventijiet idrotermali u vulkani, ġew spjegati bħala konfini diverġenti, fejn żewġ pjanċi jiċċaqalqu. Arki ta 'vulkani u terremoti ġew spjegati bħala konfini konverġenti, fejn pjanċa waħda tissottometti taħt l-ieħor. It-trasformazzjoni tal-konfini, bħas-sistema ta 'difetti ta' San Andreas, irriżultaw f'terremoti qawwija mifruxa. Tettonika tal-pjanċa pprovdiet ukoll mekkaniżmu għat-teorija ta 'Alfred Wegener dwar id-drift kontinentali, li fiha l-kontinenti jimxu mal-wiċċ tad-dinja matul iż-żmien ġeoloġiku. Huma pprovdew ukoll forza li tmexxi għad-deformazzjoni tal-qoxra, u ambjent ġdid għall-osservazzjonijiet tal-ġeoloġija strutturali. Il-poter tat-teorija tat-tektonika tal-pjanċa tinsab fil-kapaċità tagħha li tgħaqqad dawn l-osservazzjonijiet kollha f'eorija waħda ta 'kif il-litosfera timxi fuq il-mantell tal-konvetti.</v>
      </c>
    </row>
    <row r="13896" ht="15.75" customHeight="1">
      <c r="A13896" s="2" t="s">
        <v>13896</v>
      </c>
      <c r="B13896" s="2" t="str">
        <f>IFERROR(__xludf.DUMMYFUNCTION("GOOGLETRANSLATE(A13896, ""en"", ""mt"")"),"Sistema immunitarja adattiva.")</f>
        <v>Sistema immunitarja adattiva.</v>
      </c>
    </row>
    <row r="13897" ht="15.75" customHeight="1">
      <c r="A13897" s="2" t="s">
        <v>13897</v>
      </c>
      <c r="B13897" s="2" t="str">
        <f>IFERROR(__xludf.DUMMYFUNCTION("GOOGLETRANSLATE(A13897, ""en"", ""mt"")"),"Attakk Amerikan fuq l-Iraq")</f>
        <v>Attakk Amerikan fuq l-Iraq</v>
      </c>
    </row>
    <row r="13898" ht="15.75" customHeight="1">
      <c r="A13898" s="2" t="s">
        <v>13898</v>
      </c>
      <c r="B13898" s="2" t="str">
        <f>IFERROR(__xludf.DUMMYFUNCTION("GOOGLETRANSLATE(A13898, ""en"", ""mt"")"),"Iż-żona ta ’Los Angeles")</f>
        <v>Iż-żona ta ’Los Angeles</v>
      </c>
    </row>
    <row r="13899" ht="15.75" customHeight="1">
      <c r="A13899" s="2" t="s">
        <v>13899</v>
      </c>
      <c r="B13899" s="2" t="str">
        <f>IFERROR(__xludf.DUMMYFUNCTION("GOOGLETRANSLATE(A13899, ""en"", ""mt"")"),"Henry Ives Cobb")</f>
        <v>Henry Ives Cobb</v>
      </c>
    </row>
    <row r="13900" ht="15.75" customHeight="1">
      <c r="A13900" s="2" t="s">
        <v>13900</v>
      </c>
      <c r="B13900" s="2" t="str">
        <f>IFERROR(__xludf.DUMMYFUNCTION("GOOGLETRANSLATE(A13900, ""en"", ""mt"")"),"F'liema sena lagħbu ""l-ħdax-il siegħa""?")</f>
        <v>F'liema sena lagħbu "l-ħdax-il siegħa"?</v>
      </c>
    </row>
    <row r="13901" ht="15.75" customHeight="1">
      <c r="A13901" s="2" t="s">
        <v>13901</v>
      </c>
      <c r="B13901" s="2" t="str">
        <f>IFERROR(__xludf.DUMMYFUNCTION("GOOGLETRANSLATE(A13901, ""en"", ""mt"")"),"Università tal-Popli")</f>
        <v>Università tal-Popli</v>
      </c>
    </row>
    <row r="13902" ht="15.75" customHeight="1">
      <c r="A13902" s="2" t="s">
        <v>13902</v>
      </c>
      <c r="B13902" s="2" t="str">
        <f>IFERROR(__xludf.DUMMYFUNCTION("GOOGLETRANSLATE(A13902, ""en"", ""mt"")"),"F'liema belt twieldet l-eks champion tal-WWE NXT Neville?")</f>
        <v>F'liema belt twieldet l-eks champion tal-WWE NXT Neville?</v>
      </c>
    </row>
    <row r="13903" ht="15.75" customHeight="1">
      <c r="A13903" s="2" t="s">
        <v>13903</v>
      </c>
      <c r="B13903" s="2" t="str">
        <f>IFERROR(__xludf.DUMMYFUNCTION("GOOGLETRANSLATE(A13903, ""en"", ""mt"")"),"Annimali u bnedmin differenti jwettqu diversi azzjonijiet")</f>
        <v>Annimali u bnedmin differenti jwettqu diversi azzjonijiet</v>
      </c>
    </row>
    <row r="13904" ht="15.75" customHeight="1">
      <c r="A13904" s="2" t="s">
        <v>13904</v>
      </c>
      <c r="B13904" s="2" t="str">
        <f>IFERROR(__xludf.DUMMYFUNCTION("GOOGLETRANSLATE(A13904, ""en"", ""mt"")"),"Żied sostanzjalment il-prezz mitlub")</f>
        <v>Żied sostanzjalment il-prezz mitlub</v>
      </c>
    </row>
    <row r="13905" ht="15.75" customHeight="1">
      <c r="A13905" s="2" t="s">
        <v>13905</v>
      </c>
      <c r="B13905" s="2" t="str">
        <f>IFERROR(__xludf.DUMMYFUNCTION("GOOGLETRANSLATE(A13905, ""en"", ""mt"")"),"Meta Herve serva bħala Ġenerali Biżantin?")</f>
        <v>Meta Herve serva bħala Ġenerali Biżantin?</v>
      </c>
    </row>
    <row r="13906" ht="15.75" customHeight="1">
      <c r="A13906" s="2" t="s">
        <v>13906</v>
      </c>
      <c r="B13906" s="2" t="str">
        <f>IFERROR(__xludf.DUMMYFUNCTION("GOOGLETRANSLATE(A13906, ""en"", ""mt"")"),"Liema entità oħra ġiet stabbilita fl-istess ħin bħall-Konvenzjoni Ewropea dwar id-Drittijiet tal-Bniedem?")</f>
        <v>Liema entità oħra ġiet stabbilita fl-istess ħin bħall-Konvenzjoni Ewropea dwar id-Drittijiet tal-Bniedem?</v>
      </c>
    </row>
    <row r="13907" ht="15.75" customHeight="1">
      <c r="A13907" s="2" t="s">
        <v>13907</v>
      </c>
      <c r="B13907" s="2" t="str">
        <f>IFERROR(__xludf.DUMMYFUNCTION("GOOGLETRANSLATE(A13907, ""en"", ""mt"")"),"Fejn tiltaqa 'r-Rhine huwa tributarju l-għonq?")</f>
        <v>Fejn tiltaqa 'r-Rhine huwa tributarju l-għonq?</v>
      </c>
    </row>
    <row r="13908" ht="15.75" customHeight="1">
      <c r="A13908" s="2" t="s">
        <v>13908</v>
      </c>
      <c r="B13908" s="2" t="str">
        <f>IFERROR(__xludf.DUMMYFUNCTION("GOOGLETRANSLATE(A13908, ""en"", ""mt"")"),"Xi tbassar il-kurva ta 'Kuznets dwar l-inugwaljanza tad-dħul minħabba l-ħin?")</f>
        <v>Xi tbassar il-kurva ta 'Kuznets dwar l-inugwaljanza tad-dħul minħabba l-ħin?</v>
      </c>
    </row>
    <row r="13909" ht="15.75" customHeight="1">
      <c r="A13909" s="2" t="s">
        <v>13909</v>
      </c>
      <c r="B13909" s="2" t="str">
        <f>IFERROR(__xludf.DUMMYFUNCTION("GOOGLETRANSLATE(A13909, ""en"", ""mt"")"),"Min hu l-produttur ta 'Doctor Who?")</f>
        <v>Min hu l-produttur ta 'Doctor Who?</v>
      </c>
    </row>
    <row r="13910" ht="15.75" customHeight="1">
      <c r="A13910" s="2" t="s">
        <v>13910</v>
      </c>
      <c r="B13910" s="2" t="str">
        <f>IFERROR(__xludf.DUMMYFUNCTION("GOOGLETRANSLATE(A13910, ""en"", ""mt"")"),"Min jagħżel u jikri l-aħjar ideat u kuntratturi xierqa?")</f>
        <v>Min jagħżel u jikri l-aħjar ideat u kuntratturi xierqa?</v>
      </c>
    </row>
    <row r="13911" ht="15.75" customHeight="1">
      <c r="A13911" s="2" t="s">
        <v>13911</v>
      </c>
      <c r="B13911" s="2" t="str">
        <f>IFERROR(__xludf.DUMMYFUNCTION("GOOGLETRANSLATE(A13911, ""en"", ""mt"")"),"Il-funzjoni fotosintetika kollha")</f>
        <v>Il-funzjoni fotosintetika kollha</v>
      </c>
    </row>
    <row r="13912" ht="15.75" customHeight="1">
      <c r="A13912" s="2" t="s">
        <v>13912</v>
      </c>
      <c r="B13912" s="2" t="str">
        <f>IFERROR(__xludf.DUMMYFUNCTION("GOOGLETRANSLATE(A13912, ""en"", ""mt"")"),"Apollo 8 kien ippjanat li jkun il-missjoni D f'Diċembru 1968, ekwipaġġ minn McDivitt, Scott u Schweickart, imnedija fuq Saturn V minflok żewġ Saturnu IBS. Fis-sajf kien jidher ċar li l-LM ma tkunx lesta fil-ħin. Minflok ma jaħli s-Saturn V fuq missjoni oħ"&amp;"ra sempliċi li jorbita d-Dinja, il-maniġer tal-ASPO George Low issuġġerixxa l-pass kuraġġuż li jibgħat Apollo 8 biex jorbita l-qamar minflok, jiddeferixxi l-missjoni D għall-missjoni li jmiss f'Marzu 1969, u jelimina l-missjoni E. Dan iżomm il-programm fi"&amp;"t-triq it-tajba. L-Unjoni Sovjetika kienet bagħtet annimali madwar il-qamar fil-15 ta 'Settembru, 1968, abbord Zond 5, u kien maħsub li jistgħu jirrepetu malajr il-proeza bil-kosmonawti umani. Id-deċiżjoni ma ġietx imħabbra pubblikament sakemm tlestiet b'"&amp;"suċċess ta 'Apollo 7. Veterani Gemini Frank Borman u James Lovell, u r-rookie William Anders qabdu l-attenzjoni tad-dinja billi għamlu 10 orbiti lunari f'20 siegħa, jittrasmettu ritratti televiżivi tal-wiċċ Lunar fil-Lejliet tal-Milied, u jirritornaw ming"&amp;"ħajr periklu lejn id-Dinja.")</f>
        <v>Apollo 8 kien ippjanat li jkun il-missjoni D f'Diċembru 1968, ekwipaġġ minn McDivitt, Scott u Schweickart, imnedija fuq Saturn V minflok żewġ Saturnu IBS. Fis-sajf kien jidher ċar li l-LM ma tkunx lesta fil-ħin. Minflok ma jaħli s-Saturn V fuq missjoni oħra sempliċi li jorbita d-Dinja, il-maniġer tal-ASPO George Low issuġġerixxa l-pass kuraġġuż li jibgħat Apollo 8 biex jorbita l-qamar minflok, jiddeferixxi l-missjoni D għall-missjoni li jmiss f'Marzu 1969, u jelimina l-missjoni E. Dan iżomm il-programm fit-triq it-tajba. L-Unjoni Sovjetika kienet bagħtet annimali madwar il-qamar fil-15 ta 'Settembru, 1968, abbord Zond 5, u kien maħsub li jistgħu jirrepetu malajr il-proeza bil-kosmonawti umani. Id-deċiżjoni ma ġietx imħabbra pubblikament sakemm tlestiet b'suċċess ta 'Apollo 7. Veterani Gemini Frank Borman u James Lovell, u r-rookie William Anders qabdu l-attenzjoni tad-dinja billi għamlu 10 orbiti lunari f'20 siegħa, jittrasmettu ritratti televiżivi tal-wiċċ Lunar fil-Lejliet tal-Milied, u jirritornaw mingħajr periklu lejn id-Dinja.</v>
      </c>
    </row>
    <row r="13913" ht="15.75" customHeight="1">
      <c r="A13913" s="2" t="s">
        <v>13913</v>
      </c>
      <c r="B13913" s="2" t="str">
        <f>IFERROR(__xludf.DUMMYFUNCTION("GOOGLETRANSLATE(A13913, ""en"", ""mt"")"),"Trasferiment tal-ġene endosimbjotiku")</f>
        <v>Trasferiment tal-ġene endosimbjotiku</v>
      </c>
    </row>
    <row r="13914" ht="15.75" customHeight="1">
      <c r="A13914" s="2" t="s">
        <v>13914</v>
      </c>
      <c r="B13914" s="2" t="str">
        <f>IFERROR(__xludf.DUMMYFUNCTION("GOOGLETRANSLATE(A13914, ""en"", ""mt"")"),"Tesla meta għamlet dawn it-talbiet?")</f>
        <v>Tesla meta għamlet dawn it-talbiet?</v>
      </c>
    </row>
    <row r="13915" ht="15.75" customHeight="1">
      <c r="A13915" s="2" t="s">
        <v>13915</v>
      </c>
      <c r="B13915" s="2" t="str">
        <f>IFERROR(__xludf.DUMMYFUNCTION("GOOGLETRANSLATE(A13915, ""en"", ""mt"")"),"X'tipi ta 'preparazzjoni għandhom l-ispiżjara?")</f>
        <v>X'tipi ta 'preparazzjoni għandhom l-ispiżjara?</v>
      </c>
    </row>
    <row r="13916" ht="15.75" customHeight="1">
      <c r="A13916" s="2" t="s">
        <v>13916</v>
      </c>
      <c r="B13916" s="2" t="str">
        <f>IFERROR(__xludf.DUMMYFUNCTION("GOOGLETRANSLATE(A13916, ""en"", ""mt"")"),"Il-kitbiet tagħhom ġew ikkwotati ħafna mit-Tielet Reich?")</f>
        <v>Il-kitbiet tagħhom ġew ikkwotati ħafna mit-Tielet Reich?</v>
      </c>
    </row>
    <row r="13917" ht="15.75" customHeight="1">
      <c r="A13917" s="2" t="s">
        <v>13917</v>
      </c>
      <c r="B13917" s="2" t="str">
        <f>IFERROR(__xludf.DUMMYFUNCTION("GOOGLETRANSLATE(A13917, ""en"", ""mt"")"),"Kif in-Nisrani għandu jgħix")</f>
        <v>Kif in-Nisrani għandu jgħix</v>
      </c>
    </row>
    <row r="13918" ht="15.75" customHeight="1">
      <c r="A13918" s="2" t="s">
        <v>13918</v>
      </c>
      <c r="B13918" s="2" t="str">
        <f>IFERROR(__xludf.DUMMYFUNCTION("GOOGLETRANSLATE(A13918, ""en"", ""mt"")"),"Liema kanali kien jaħseb li Frank Marx se jkun irrekordjat mill-Armata ta 'l-Istati Uniti?")</f>
        <v>Liema kanali kien jaħseb li Frank Marx se jkun irrekordjat mill-Armata ta 'l-Istati Uniti?</v>
      </c>
    </row>
    <row r="13919" ht="15.75" customHeight="1">
      <c r="A13919" s="2" t="s">
        <v>13919</v>
      </c>
      <c r="B13919" s="2" t="str">
        <f>IFERROR(__xludf.DUMMYFUNCTION("GOOGLETRANSLATE(A13919, ""en"", ""mt"")"),"Liema innovazzjoni bil-lingwa Mongoljana hija kkreditata lil Genghis Khan?")</f>
        <v>Liema innovazzjoni bil-lingwa Mongoljana hija kkreditata lil Genghis Khan?</v>
      </c>
    </row>
    <row r="13920" ht="15.75" customHeight="1">
      <c r="A13920" s="2" t="s">
        <v>13920</v>
      </c>
      <c r="B13920" s="2" t="str">
        <f>IFERROR(__xludf.DUMMYFUNCTION("GOOGLETRANSLATE(A13920, ""en"", ""mt"")"),"Studenti Internazzjonali")</f>
        <v>Studenti Internazzjonali</v>
      </c>
    </row>
    <row r="13921" ht="15.75" customHeight="1">
      <c r="A13921" s="2" t="s">
        <v>13921</v>
      </c>
      <c r="B13921" s="2" t="str">
        <f>IFERROR(__xludf.DUMMYFUNCTION("GOOGLETRANSLATE(A13921, ""en"", ""mt"")"),"X'kienet l-attitudni ta 'Tesla lejn l-idea li l-kwistjoni tista' tinbidel f'enerġija?")</f>
        <v>X'kienet l-attitudni ta 'Tesla lejn l-idea li l-kwistjoni tista' tinbidel f'enerġija?</v>
      </c>
    </row>
    <row r="13922" ht="15.75" customHeight="1">
      <c r="A13922" s="2" t="s">
        <v>13922</v>
      </c>
      <c r="B13922" s="2" t="str">
        <f>IFERROR(__xludf.DUMMYFUNCTION("GOOGLETRANSLATE(A13922, ""en"", ""mt"")"),"1769")</f>
        <v>1769</v>
      </c>
    </row>
    <row r="13923" ht="15.75" customHeight="1">
      <c r="A13923" s="2" t="s">
        <v>13923</v>
      </c>
      <c r="B13923" s="2" t="str">
        <f>IFERROR(__xludf.DUMMYFUNCTION("GOOGLETRANSLATE(A13923, ""en"", ""mt"")"),"Il-Ġermanja rreferiet għal liema żona aktar minn pajjiż attwali?")</f>
        <v>Il-Ġermanja rreferiet għal liema żona aktar minn pajjiż attwali?</v>
      </c>
    </row>
    <row r="13924" ht="15.75" customHeight="1">
      <c r="A13924" s="2" t="s">
        <v>13924</v>
      </c>
      <c r="B13924" s="2" t="str">
        <f>IFERROR(__xludf.DUMMYFUNCTION("GOOGLETRANSLATE(A13924, ""en"", ""mt"")"),"individwu")</f>
        <v>individwu</v>
      </c>
    </row>
    <row r="13925" ht="15.75" customHeight="1">
      <c r="A13925" s="2" t="s">
        <v>13925</v>
      </c>
      <c r="B13925" s="2" t="str">
        <f>IFERROR(__xludf.DUMMYFUNCTION("GOOGLETRANSLATE(A13925, ""en"", ""mt"")"),"Kemm membrani għandu l-kloroplast ta 'Durinskia?")</f>
        <v>Kemm membrani għandu l-kloroplast ta 'Durinskia?</v>
      </c>
    </row>
    <row r="13926" ht="15.75" customHeight="1">
      <c r="A13926" s="2" t="s">
        <v>13926</v>
      </c>
      <c r="B13926" s="2" t="str">
        <f>IFERROR(__xludf.DUMMYFUNCTION("GOOGLETRANSLATE(A13926, ""en"", ""mt"")"),"X'inhi l-għażla konkreta tipikament assunta mill-iktar teoremi teoretiċi tal-kumplessità?")</f>
        <v>X'inhi l-għażla konkreta tipikament assunta mill-iktar teoremi teoretiċi tal-kumplessità?</v>
      </c>
    </row>
    <row r="13927" ht="15.75" customHeight="1">
      <c r="A13927" s="2" t="s">
        <v>13927</v>
      </c>
      <c r="B13927" s="2" t="str">
        <f>IFERROR(__xludf.DUMMYFUNCTION("GOOGLETRANSLATE(A13927, ""en"", ""mt"")"),"L-IPCC kif tħejji rapporti speċjali?")</f>
        <v>L-IPCC kif tħejji rapporti speċjali?</v>
      </c>
    </row>
    <row r="13928" ht="15.75" customHeight="1">
      <c r="A13928" s="2" t="s">
        <v>13928</v>
      </c>
      <c r="B13928" s="2" t="str">
        <f>IFERROR(__xludf.DUMMYFUNCTION("GOOGLETRANSLATE(A13928, ""en"", ""mt"")"),"Il-Kumpanija Ohio")</f>
        <v>Il-Kumpanija Ohio</v>
      </c>
    </row>
    <row r="13929" ht="15.75" customHeight="1">
      <c r="A13929" s="2" t="s">
        <v>13929</v>
      </c>
      <c r="B13929" s="2" t="str">
        <f>IFERROR(__xludf.DUMMYFUNCTION("GOOGLETRANSLATE(A13929, ""en"", ""mt"")"),"Retorika Kontra l-Lhudija")</f>
        <v>Retorika Kontra l-Lhudija</v>
      </c>
    </row>
    <row r="13930" ht="15.75" customHeight="1">
      <c r="A13930" s="2" t="s">
        <v>13930</v>
      </c>
      <c r="B13930" s="2" t="str">
        <f>IFERROR(__xludf.DUMMYFUNCTION("GOOGLETRANSLATE(A13930, ""en"", ""mt"")"),"muturi elettriċi u kombustjoni interna")</f>
        <v>muturi elettriċi u kombustjoni interna</v>
      </c>
    </row>
    <row r="13931" ht="15.75" customHeight="1">
      <c r="A13931" s="2" t="s">
        <v>13931</v>
      </c>
      <c r="B13931" s="2" t="str">
        <f>IFERROR(__xludf.DUMMYFUNCTION("GOOGLETRANSLATE(A13931, ""en"", ""mt"")"),"Kumpaniji tal-milizja lokali")</f>
        <v>Kumpaniji tal-milizja lokali</v>
      </c>
    </row>
    <row r="13932" ht="15.75" customHeight="1">
      <c r="A13932" s="2" t="s">
        <v>13932</v>
      </c>
      <c r="B13932" s="2" t="str">
        <f>IFERROR(__xludf.DUMMYFUNCTION("GOOGLETRANSLATE(A13932, ""en"", ""mt"")"),"ċirkulari")</f>
        <v>ċirkulari</v>
      </c>
    </row>
    <row r="13933" ht="15.75" customHeight="1">
      <c r="A13933" s="2" t="s">
        <v>13933</v>
      </c>
      <c r="B13933" s="2" t="str">
        <f>IFERROR(__xludf.DUMMYFUNCTION("GOOGLETRANSLATE(A13933, ""en"", ""mt"")"),"L-innijiet ta 'Luther ġew inklużi fl-innijiet tal-Luterani bikrija u xerrdu l-ideat tar-Riforma. Huwa pprovda erba 'minn tmien kanzunetti tal-ewwel innu Luteran Achtliederbuch, 18 minn 26 kanzunetta ta' l-Erfurt Enchiridion, u 24 mit-32 kanzunetta fl-Ewwe"&amp;"l Innu Korali bl-issettjar minn Johann Walter, Eyn Geystlich Gesangk Buchleyn, kollha ppubblikati fl-1524.")</f>
        <v>L-innijiet ta 'Luther ġew inklużi fl-innijiet tal-Luterani bikrija u xerrdu l-ideat tar-Riforma. Huwa pprovda erba 'minn tmien kanzunetti tal-ewwel innu Luteran Achtliederbuch, 18 minn 26 kanzunetta ta' l-Erfurt Enchiridion, u 24 mit-32 kanzunetta fl-Ewwel Innu Korali bl-issettjar minn Johann Walter, Eyn Geystlich Gesangk Buchleyn, kollha ppubblikati fl-1524.</v>
      </c>
    </row>
    <row r="13934" ht="15.75" customHeight="1">
      <c r="A13934" s="2" t="s">
        <v>13934</v>
      </c>
      <c r="B13934" s="2" t="str">
        <f>IFERROR(__xludf.DUMMYFUNCTION("GOOGLETRANSLATE(A13934, ""en"", ""mt"")"),"Grand Canal D'Alsace")</f>
        <v>Grand Canal D'Alsace</v>
      </c>
    </row>
    <row r="13935" ht="15.75" customHeight="1">
      <c r="A13935" s="2" t="s">
        <v>13935</v>
      </c>
      <c r="B13935" s="2" t="str">
        <f>IFERROR(__xludf.DUMMYFUNCTION("GOOGLETRANSLATE(A13935, ""en"", ""mt"")"),"Il-Parlament Skoċċiż")</f>
        <v>Il-Parlament Skoċċiż</v>
      </c>
    </row>
    <row r="13936" ht="15.75" customHeight="1">
      <c r="A13936" s="2" t="s">
        <v>13936</v>
      </c>
      <c r="B13936" s="2" t="str">
        <f>IFERROR(__xludf.DUMMYFUNCTION("GOOGLETRANSLATE(A13936, ""en"", ""mt"")"),"Aħna tallab,")</f>
        <v>Aħna tallab,</v>
      </c>
    </row>
    <row r="13937" ht="15.75" customHeight="1">
      <c r="A13937" s="2" t="s">
        <v>13937</v>
      </c>
      <c r="B13937" s="2" t="str">
        <f>IFERROR(__xludf.DUMMYFUNCTION("GOOGLETRANSLATE(A13937, ""en"", ""mt"")"),"L-ispiżerija tal-mili għandha responsabbiltà korrispondenti biex tiżgura li l-preskrizzjoni tkun valida")</f>
        <v>L-ispiżerija tal-mili għandha responsabbiltà korrispondenti biex tiżgura li l-preskrizzjoni tkun valida</v>
      </c>
    </row>
    <row r="13938" ht="15.75" customHeight="1">
      <c r="A13938" s="2" t="s">
        <v>13938</v>
      </c>
      <c r="B13938" s="2" t="str">
        <f>IFERROR(__xludf.DUMMYFUNCTION("GOOGLETRANSLATE(A13938, ""en"", ""mt"")"),"Boulevard Huntington")</f>
        <v>Boulevard Huntington</v>
      </c>
    </row>
    <row r="13939" ht="15.75" customHeight="1">
      <c r="A13939" s="2" t="s">
        <v>13939</v>
      </c>
      <c r="B13939" s="2" t="str">
        <f>IFERROR(__xludf.DUMMYFUNCTION("GOOGLETRANSLATE(A13939, ""en"", ""mt"")"),"L-Ewropa tal-Punent")</f>
        <v>L-Ewropa tal-Punent</v>
      </c>
    </row>
    <row r="13940" ht="15.75" customHeight="1">
      <c r="A13940" s="2" t="s">
        <v>13940</v>
      </c>
      <c r="B13940" s="2" t="str">
        <f>IFERROR(__xludf.DUMMYFUNCTION("GOOGLETRANSLATE(A13940, ""en"", ""mt"")"),"Liema marda kkuntratt Tesla fl-1873?")</f>
        <v>Liema marda kkuntratt Tesla fl-1873?</v>
      </c>
    </row>
    <row r="13941" ht="15.75" customHeight="1">
      <c r="A13941" s="2" t="s">
        <v>13941</v>
      </c>
      <c r="B13941" s="2" t="str">
        <f>IFERROR(__xludf.DUMMYFUNCTION("GOOGLETRANSLATE(A13941, ""en"", ""mt"")"),"l-aħħar tas-1340s")</f>
        <v>l-aħħar tas-1340s</v>
      </c>
    </row>
    <row r="13942" ht="15.75" customHeight="1">
      <c r="A13942" s="2" t="s">
        <v>13942</v>
      </c>
      <c r="B13942" s="2" t="str">
        <f>IFERROR(__xludf.DUMMYFUNCTION("GOOGLETRANSLATE(A13942, ""en"", ""mt"")"),"żagħżugħ u anzjani")</f>
        <v>żagħżugħ u anzjani</v>
      </c>
    </row>
    <row r="13943" ht="15.75" customHeight="1">
      <c r="A13943" s="2" t="s">
        <v>13943</v>
      </c>
      <c r="B13943" s="2" t="str">
        <f>IFERROR(__xludf.DUMMYFUNCTION("GOOGLETRANSLATE(A13943, ""en"", ""mt"")"),"X'tlef il-lepidodinium viride?")</f>
        <v>X'tlef il-lepidodinium viride?</v>
      </c>
    </row>
    <row r="13944" ht="15.75" customHeight="1">
      <c r="A13944" s="2" t="s">
        <v>13944</v>
      </c>
      <c r="B13944" s="2" t="str">
        <f>IFERROR(__xludf.DUMMYFUNCTION("GOOGLETRANSLATE(A13944, ""en"", ""mt"")"),"Rendezvous - ħalli waħdu docking")</f>
        <v>Rendezvous - ħalli waħdu docking</v>
      </c>
    </row>
    <row r="13945" ht="15.75" customHeight="1">
      <c r="A13945" s="2" t="s">
        <v>13945</v>
      </c>
      <c r="B13945" s="2" t="str">
        <f>IFERROR(__xludf.DUMMYFUNCTION("GOOGLETRANSLATE(A13945, ""en"", ""mt"")"),"Speċi Oċeanika")</f>
        <v>Speċi Oċeanika</v>
      </c>
    </row>
    <row r="13946" ht="15.75" customHeight="1">
      <c r="A13946" s="2" t="s">
        <v>13946</v>
      </c>
      <c r="B13946" s="2" t="str">
        <f>IFERROR(__xludf.DUMMYFUNCTION("GOOGLETRANSLATE(A13946, ""en"", ""mt"")"),"Fil-qoxra baxxa")</f>
        <v>Fil-qoxra baxxa</v>
      </c>
    </row>
    <row r="13947" ht="15.75" customHeight="1">
      <c r="A13947" s="2" t="s">
        <v>13947</v>
      </c>
      <c r="B13947" s="2" t="str">
        <f>IFERROR(__xludf.DUMMYFUNCTION("GOOGLETRANSLATE(A13947, ""en"", ""mt"")"),"18–49")</f>
        <v>18–49</v>
      </c>
    </row>
    <row r="13948" ht="15.75" customHeight="1">
      <c r="A13948" s="2" t="s">
        <v>13948</v>
      </c>
      <c r="B13948" s="2" t="str">
        <f>IFERROR(__xludf.DUMMYFUNCTION("GOOGLETRANSLATE(A13948, ""en"", ""mt"")"),"(WBMA-LD")</f>
        <v>(WBMA-LD</v>
      </c>
    </row>
    <row r="13949" ht="15.75" customHeight="1">
      <c r="A13949" s="2" t="s">
        <v>13949</v>
      </c>
      <c r="B13949" s="2" t="str">
        <f>IFERROR(__xludf.DUMMYFUNCTION("GOOGLETRANSLATE(A13949, ""en"", ""mt"")"),"S.W.A.T.")</f>
        <v>S.W.A.T.</v>
      </c>
    </row>
    <row r="13950" ht="15.75" customHeight="1">
      <c r="A13950" s="2" t="s">
        <v>13950</v>
      </c>
      <c r="B13950" s="2" t="str">
        <f>IFERROR(__xludf.DUMMYFUNCTION("GOOGLETRANSLATE(A13950, ""en"", ""mt"")"),"Id-diżubbidjenza ċivili titwettaq prinċipalment minn liema grupp ta 'popolazzjoni?")</f>
        <v>Id-diżubbidjenza ċivili titwettaq prinċipalment minn liema grupp ta 'popolazzjoni?</v>
      </c>
    </row>
    <row r="13951" ht="15.75" customHeight="1">
      <c r="A13951" s="2" t="s">
        <v>13951</v>
      </c>
      <c r="B13951" s="2" t="str">
        <f>IFERROR(__xludf.DUMMYFUNCTION("GOOGLETRANSLATE(A13951, ""en"", ""mt"")"),"X'tip ta 'insett juża l-użu ta' numri ewlenin fl-istrateġija evoluzzjonarja tiegħu?")</f>
        <v>X'tip ta 'insett juża l-użu ta' numri ewlenin fl-istrateġija evoluzzjonarja tiegħu?</v>
      </c>
    </row>
    <row r="13952" ht="15.75" customHeight="1">
      <c r="A13952" s="2" t="s">
        <v>13952</v>
      </c>
      <c r="B13952" s="2" t="str">
        <f>IFERROR(__xludf.DUMMYFUNCTION("GOOGLETRANSLATE(A13952, ""en"", ""mt"")"),"Doctor Who Isegwi l-Avventuri tal-Karattru Primarju, A Lord Time Rogue mill-Pjaneta Gallifrey, li sempliċement imur bl-isem ""It-Tabib"". Huwa ħarab minn Gallifrey f'marka misruqa I tat-Tip 40 Tardis - ""Ħin u Dimensjoni Relattiva fl-Ispazju"" - magna tal"&amp;"-ħin li tippermettilu jivvjaġġa matul il-ħin u l-ispazju. It-tardi għandu ""ċirkwit tal-kamaleont"" li normalment jippermetti lill-magna tieħu d-dehra ta 'oġġetti lokali bħala travestiment. Madankollu, it-Tardis tat-Tabib jibqa 'ffissat bħala kaxxa tal-pu"&amp;"lizija Ingliża blu minħabba malfunzjoni fiċ-ċirkwit tal-kamaleont.")</f>
        <v>Doctor Who Isegwi l-Avventuri tal-Karattru Primarju, A Lord Time Rogue mill-Pjaneta Gallifrey, li sempliċement imur bl-isem "It-Tabib". Huwa ħarab minn Gallifrey f'marka misruqa I tat-Tip 40 Tardis - "Ħin u Dimensjoni Relattiva fl-Ispazju" - magna tal-ħin li tippermettilu jivvjaġġa matul il-ħin u l-ispazju. It-tardi għandu "ċirkwit tal-kamaleont" li normalment jippermetti lill-magna tieħu d-dehra ta 'oġġetti lokali bħala travestiment. Madankollu, it-Tardis tat-Tabib jibqa 'ffissat bħala kaxxa tal-pulizija Ingliża blu minħabba malfunzjoni fiċ-ċirkwit tal-kamaleont.</v>
      </c>
    </row>
    <row r="13953" ht="15.75" customHeight="1">
      <c r="A13953" s="2" t="s">
        <v>13953</v>
      </c>
      <c r="B13953" s="2" t="str">
        <f>IFERROR(__xludf.DUMMYFUNCTION("GOOGLETRANSLATE(A13953, ""en"", ""mt"")"),"L-imperjalizmu kulturali huwa meta l-influwenza ta 'pajjiż tinħass fiċ-ċrieki soċjali u kulturali, i.e. il-poter artab tiegħu, tali li tbiddel il-fehma tad-dinja morali, kulturali u tas-soċjetà ta' ieħor. Dan huwa iktar minn sempliċement mużika, televiżjo"&amp;"ni jew film ""barranin"" li qed isiru popolari maż-żgħażagħ, iżda dik il-kultura popolari tbiddel l-aspettattivi tagħhom stess tal-ħajja u x-xewqa tagħhom għal pajjiżhom stess biex isiru aktar bħall-pajjiż barrani mpinġi. Pereżempju, rappreżentazzjonijiet"&amp;" ta 'stili ta' ħajja Amerikani opulenti fis-sapun ta 'Dallas matul il-Gwerra Bierda biddlu l-aspettattivi tar-Rumeni; Eżempju aktar reċenti huwa l-influwenza tas-serje tad-drama tal-Korea t'Isfel fil-Korea ta 'Fuq. L-importanza tal-poter artab ma tintilif"&amp;"x fuq reġimi awtoritarji, tiġġieled din l-influwenza ma 'projbizzjonijiet fuq kultura popolari barranija, kontroll tal-internet u platti satellitari mhux awtorizzati eċċ. Lanqas ma jkun riċenti tali użu tal-kultura, bħala parti mill-imperjalizmu Ruman li "&amp;"l-elite lokali Esposti għall-benefiċċji u l-lussu tal-kultura u l-istil ta 'ħajja Rumani, bil-għan li mbagħad isiru parteċipanti lesti.")</f>
        <v>L-imperjalizmu kulturali huwa meta l-influwenza ta 'pajjiż tinħass fiċ-ċrieki soċjali u kulturali, i.e. il-poter artab tiegħu, tali li tbiddel il-fehma tad-dinja morali, kulturali u tas-soċjetà ta' ieħor. Dan huwa iktar minn sempliċement mużika, televiżjoni jew film "barranin" li qed isiru popolari maż-żgħażagħ, iżda dik il-kultura popolari tbiddel l-aspettattivi tagħhom stess tal-ħajja u x-xewqa tagħhom għal pajjiżhom stess biex isiru aktar bħall-pajjiż barrani mpinġi. Pereżempju, rappreżentazzjonijiet ta 'stili ta' ħajja Amerikani opulenti fis-sapun ta 'Dallas matul il-Gwerra Bierda biddlu l-aspettattivi tar-Rumeni; Eżempju aktar reċenti huwa l-influwenza tas-serje tad-drama tal-Korea t'Isfel fil-Korea ta 'Fuq. L-importanza tal-poter artab ma tintilifx fuq reġimi awtoritarji, tiġġieled din l-influwenza ma 'projbizzjonijiet fuq kultura popolari barranija, kontroll tal-internet u platti satellitari mhux awtorizzati eċċ. Lanqas ma jkun riċenti tali użu tal-kultura, bħala parti mill-imperjalizmu Ruman li l-elite lokali Esposti għall-benefiċċji u l-lussu tal-kultura u l-istil ta 'ħajja Rumani, bil-għan li mbagħad isiru parteċipanti lesti.</v>
      </c>
    </row>
    <row r="13954" ht="15.75" customHeight="1">
      <c r="A13954" s="2" t="s">
        <v>13954</v>
      </c>
      <c r="B13954" s="2" t="str">
        <f>IFERROR(__xludf.DUMMYFUNCTION("GOOGLETRANSLATE(A13954, ""en"", ""mt"")"),"Fl-aħħar tas-snin 1870")</f>
        <v>Fl-aħħar tas-snin 1870</v>
      </c>
    </row>
    <row r="13955" ht="15.75" customHeight="1">
      <c r="A13955" s="2" t="s">
        <v>13955</v>
      </c>
      <c r="B13955" s="2" t="str">
        <f>IFERROR(__xludf.DUMMYFUNCTION("GOOGLETRANSLATE(A13955, ""en"", ""mt"")"),"Ir-Repubblika tal-Kenja")</f>
        <v>Ir-Repubblika tal-Kenja</v>
      </c>
    </row>
    <row r="13956" ht="15.75" customHeight="1">
      <c r="A13956" s="2" t="s">
        <v>13956</v>
      </c>
      <c r="B13956" s="2" t="str">
        <f>IFERROR(__xludf.DUMMYFUNCTION("GOOGLETRANSLATE(A13956, ""en"", ""mt"")"),"skart ta 'riżorsi")</f>
        <v>skart ta 'riżorsi</v>
      </c>
    </row>
    <row r="13957" ht="15.75" customHeight="1">
      <c r="A13957" s="2" t="s">
        <v>13957</v>
      </c>
      <c r="B13957" s="2" t="str">
        <f>IFERROR(__xludf.DUMMYFUNCTION("GOOGLETRANSLATE(A13957, ""en"", ""mt"")"),"Tettonika tal-pjanċa tista 'titqies bħala l-akkoppjar intimu bejn pjanċi riġidi fuq il-wiċċ tad-dinja u xiex?")</f>
        <v>Tettonika tal-pjanċa tista 'titqies bħala l-akkoppjar intimu bejn pjanċi riġidi fuq il-wiċċ tad-dinja u xiex?</v>
      </c>
    </row>
    <row r="13958" ht="15.75" customHeight="1">
      <c r="A13958" s="2" t="s">
        <v>13958</v>
      </c>
      <c r="B13958" s="2" t="str">
        <f>IFERROR(__xludf.DUMMYFUNCTION("GOOGLETRANSLATE(A13958, ""en"", ""mt"")"),"aktar riżorsi mhux tas-soltu")</f>
        <v>aktar riżorsi mhux tas-soltu</v>
      </c>
    </row>
    <row r="13959" ht="15.75" customHeight="1">
      <c r="A13959" s="2" t="s">
        <v>13959</v>
      </c>
      <c r="B13959" s="2" t="str">
        <f>IFERROR(__xludf.DUMMYFUNCTION("GOOGLETRANSLATE(A13959, ""en"", ""mt"")"),"Fi żminijiet moderni, id-ditti jistgħu joffru lilhom infushom bħala dak għal proġett ta 'kostruzzjoni?")</f>
        <v>Fi żminijiet moderni, id-ditti jistgħu joffru lilhom infushom bħala dak għal proġett ta 'kostruzzjoni?</v>
      </c>
    </row>
    <row r="13960" ht="15.75" customHeight="1">
      <c r="A13960" s="2" t="s">
        <v>13960</v>
      </c>
      <c r="B13960" s="2" t="str">
        <f>IFERROR(__xludf.DUMMYFUNCTION("GOOGLETRANSLATE(A13960, ""en"", ""mt"")"),"Eżekuttiv tat-Trasport tal-Passiġġieri")</f>
        <v>Eżekuttiv tat-Trasport tal-Passiġġieri</v>
      </c>
    </row>
    <row r="13961" ht="15.75" customHeight="1">
      <c r="A13961" s="2" t="s">
        <v>13961</v>
      </c>
      <c r="B13961" s="2" t="str">
        <f>IFERROR(__xludf.DUMMYFUNCTION("GOOGLETRANSLATE(A13961, ""en"", ""mt"")"),"jew għal thylakoid jew ma 'plastoglobulus ieħor imwaħħal ma' thylakoid")</f>
        <v>jew għal thylakoid jew ma 'plastoglobulus ieħor imwaħħal ma' thylakoid</v>
      </c>
    </row>
    <row r="13962" ht="15.75" customHeight="1">
      <c r="A13962" s="2" t="s">
        <v>13962</v>
      </c>
      <c r="B13962" s="2" t="str">
        <f>IFERROR(__xludf.DUMMYFUNCTION("GOOGLETRANSLATE(A13962, ""en"", ""mt"")"),"Sa meta l-biċċa l-kbira tal-kolonji ta ’Franza kisbu l-indipendenza?")</f>
        <v>Sa meta l-biċċa l-kbira tal-kolonji ta ’Franza kisbu l-indipendenza?</v>
      </c>
    </row>
    <row r="13963" ht="15.75" customHeight="1">
      <c r="A13963" s="2" t="s">
        <v>13963</v>
      </c>
      <c r="B13963" s="2" t="str">
        <f>IFERROR(__xludf.DUMMYFUNCTION("GOOGLETRANSLATE(A13963, ""en"", ""mt"")"),"Xi ngħidu dwar Luther naqas hekk kif żdied l-antisemitiżmu tiegħu?")</f>
        <v>Xi ngħidu dwar Luther naqas hekk kif żdied l-antisemitiżmu tiegħu?</v>
      </c>
    </row>
    <row r="13964" ht="15.75" customHeight="1">
      <c r="A13964" s="2" t="s">
        <v>13964</v>
      </c>
      <c r="B13964" s="2" t="str">
        <f>IFERROR(__xludf.DUMMYFUNCTION("GOOGLETRANSLATE(A13964, ""en"", ""mt"")"),"X'tip ta 'ħamrija huwa meqjus bħala prodott tal-ġestjoni tal-ħamrija minn popli indiġeni fil-foresta tal-Amażonja?")</f>
        <v>X'tip ta 'ħamrija huwa meqjus bħala prodott tal-ġestjoni tal-ħamrija minn popli indiġeni fil-foresta tal-Amażonja?</v>
      </c>
    </row>
    <row r="13965" ht="15.75" customHeight="1">
      <c r="A13965" s="2" t="s">
        <v>13965</v>
      </c>
      <c r="B13965" s="2" t="str">
        <f>IFERROR(__xludf.DUMMYFUNCTION("GOOGLETRANSLATE(A13965, ""en"", ""mt"")"),"Id-djakni huma msejħa minn Alla, affermati mill-Knisja, u ordnati minn isqof għal tmexxija ta ’qaddej fil-knisja. Huma ordnati lill-ministeri tal-kelma, servizz, kompassjoni, u ġustizzja. Jistgħu jinħatru għall-ministeru fil-knisja lokali jew għal ministe"&amp;"ru ta 'estensjoni li jappoġġja l-missjoni tal-knisja. Id-djakni jagħtu tmexxija, jippridkaw il-kelma, jikkontribwixxu fil-qima, imexxu ż-żwiġijiet, jindifnu l-mejtin, u jgħinu lill-knisja biex tinkorpora l-missjoni tagħha fid-dinja. Id-djakni jgħinu lill-"&amp;"anzjani fis-sagramenti tat-Tqarbin Imqaddes u l-Magħmudija, u jistgħu jingħataw awtorità sagramentali jekk jinħatru bħala r-ragħaj fi knisja lokali. Id-djakni jservu terminu ta '2-3 snin bħala djakni proviżorji qabel l-ordinazzjoni tagħhom.")</f>
        <v>Id-djakni huma msejħa minn Alla, affermati mill-Knisja, u ordnati minn isqof għal tmexxija ta ’qaddej fil-knisja. Huma ordnati lill-ministeri tal-kelma, servizz, kompassjoni, u ġustizzja. Jistgħu jinħatru għall-ministeru fil-knisja lokali jew għal ministeru ta 'estensjoni li jappoġġja l-missjoni tal-knisja. Id-djakni jagħtu tmexxija, jippridkaw il-kelma, jikkontribwixxu fil-qima, imexxu ż-żwiġijiet, jindifnu l-mejtin, u jgħinu lill-knisja biex tinkorpora l-missjoni tagħha fid-dinja. Id-djakni jgħinu lill-anzjani fis-sagramenti tat-Tqarbin Imqaddes u l-Magħmudija, u jistgħu jingħataw awtorità sagramentali jekk jinħatru bħala r-ragħaj fi knisja lokali. Id-djakni jservu terminu ta '2-3 snin bħala djakni proviżorji qabel l-ordinazzjoni tagħhom.</v>
      </c>
    </row>
    <row r="13966" ht="15.75" customHeight="1">
      <c r="A13966" s="2" t="s">
        <v>13966</v>
      </c>
      <c r="B13966" s="2" t="str">
        <f>IFERROR(__xludf.DUMMYFUNCTION("GOOGLETRANSLATE(A13966, ""en"", ""mt"")"),"Meta Tesla ppruvat tirreġistra lil Mark Twain, x'kienet l-unika ħaġa li ħarġet fuq l-immaġni?")</f>
        <v>Meta Tesla ppruvat tirreġistra lil Mark Twain, x'kienet l-unika ħaġa li ħarġet fuq l-immaġni?</v>
      </c>
    </row>
    <row r="13967" ht="15.75" customHeight="1">
      <c r="A13967" s="2" t="s">
        <v>13967</v>
      </c>
      <c r="B13967" s="2" t="str">
        <f>IFERROR(__xludf.DUMMYFUNCTION("GOOGLETRANSLATE(A13967, ""en"", ""mt"")"),"Ċentru Ekonomiku")</f>
        <v>Ċentru Ekonomiku</v>
      </c>
    </row>
    <row r="13968" ht="15.75" customHeight="1">
      <c r="A13968" s="2" t="s">
        <v>13968</v>
      </c>
      <c r="B13968" s="2" t="str">
        <f>IFERROR(__xludf.DUMMYFUNCTION("GOOGLETRANSLATE(A13968, ""en"", ""mt"")"),"Kemm huma meħtieġa l-istudenti biex jitgħallmu l-Welsh?")</f>
        <v>Kemm huma meħtieġa l-istudenti biex jitgħallmu l-Welsh?</v>
      </c>
    </row>
    <row r="13969" ht="15.75" customHeight="1">
      <c r="A13969" s="2" t="s">
        <v>13969</v>
      </c>
      <c r="B13969" s="2" t="str">
        <f>IFERROR(__xludf.DUMMYFUNCTION("GOOGLETRANSLATE(A13969, ""en"", ""mt"")"),"David Suzuki,")</f>
        <v>David Suzuki,</v>
      </c>
    </row>
    <row r="13970" ht="15.75" customHeight="1">
      <c r="A13970" s="2" t="s">
        <v>13970</v>
      </c>
      <c r="B13970" s="2" t="str">
        <f>IFERROR(__xludf.DUMMYFUNCTION("GOOGLETRANSLATE(A13970, ""en"", ""mt"")"),"X'kien ir-rwol ta 'William Johnson fil-militar Brittaniku?")</f>
        <v>X'kien ir-rwol ta 'William Johnson fil-militar Brittaniku?</v>
      </c>
    </row>
    <row r="13971" ht="15.75" customHeight="1">
      <c r="A13971" s="2" t="s">
        <v>13971</v>
      </c>
      <c r="B13971" s="2" t="str">
        <f>IFERROR(__xludf.DUMMYFUNCTION("GOOGLETRANSLATE(A13971, ""en"", ""mt"")"),"korruzzjoni u tixħim")</f>
        <v>korruzzjoni u tixħim</v>
      </c>
    </row>
    <row r="13972" ht="15.75" customHeight="1">
      <c r="A13972" s="2" t="s">
        <v>13972</v>
      </c>
      <c r="B13972" s="2" t="str">
        <f>IFERROR(__xludf.DUMMYFUNCTION("GOOGLETRANSLATE(A13972, ""en"", ""mt"")"),"F'liema sena Harvard temm il-programm ta 'ammissjoni bikrija tiegħu?")</f>
        <v>F'liema sena Harvard temm il-programm ta 'ammissjoni bikrija tiegħu?</v>
      </c>
    </row>
    <row r="13973" ht="15.75" customHeight="1">
      <c r="A13973" s="2" t="s">
        <v>13973</v>
      </c>
      <c r="B13973" s="2" t="str">
        <f>IFERROR(__xludf.DUMMYFUNCTION("GOOGLETRANSLATE(A13973, ""en"", ""mt"")"),"Suċċessjoni faunal")</f>
        <v>Suċċessjoni faunal</v>
      </c>
    </row>
    <row r="13974" ht="15.75" customHeight="1">
      <c r="A13974" s="2" t="s">
        <v>13974</v>
      </c>
      <c r="B13974" s="2" t="str">
        <f>IFERROR(__xludf.DUMMYFUNCTION("GOOGLETRANSLATE(A13974, ""en"", ""mt"")"),"""Fir-rigward tat-taħrika li tibgħatli biex nirtira, ma naħsibx lili nnifsi obbligat li nobdiha.""")</f>
        <v>"Fir-rigward tat-taħrika li tibgħatli biex nirtira, ma naħsibx lili nnifsi obbligat li nobdiha."</v>
      </c>
    </row>
    <row r="13975" ht="15.75" customHeight="1">
      <c r="A13975" s="2" t="s">
        <v>13975</v>
      </c>
      <c r="B13975" s="2" t="str">
        <f>IFERROR(__xludf.DUMMYFUNCTION("GOOGLETRANSLATE(A13975, ""en"", ""mt"")"),"Kemm huwa Jacksonville minn Miami?")</f>
        <v>Kemm huwa Jacksonville minn Miami?</v>
      </c>
    </row>
    <row r="13976" ht="15.75" customHeight="1">
      <c r="A13976" s="2" t="s">
        <v>13976</v>
      </c>
      <c r="B13976" s="2" t="str">
        <f>IFERROR(__xludf.DUMMYFUNCTION("GOOGLETRANSLATE(A13976, ""en"", ""mt"")"),"Telnet inbiegħ lil")</f>
        <v>Telnet inbiegħ lil</v>
      </c>
    </row>
    <row r="13977" ht="15.75" customHeight="1">
      <c r="A13977" s="2" t="s">
        <v>13977</v>
      </c>
      <c r="B13977" s="2" t="str">
        <f>IFERROR(__xludf.DUMMYFUNCTION("GOOGLETRANSLATE(A13977, ""en"", ""mt"")"),"il-provinċji tagħha ta ’l-Amerika")</f>
        <v>il-provinċji tagħha ta ’l-Amerika</v>
      </c>
    </row>
    <row r="13978" ht="15.75" customHeight="1">
      <c r="A13978" s="2" t="s">
        <v>13978</v>
      </c>
      <c r="B13978" s="2" t="str">
        <f>IFERROR(__xludf.DUMMYFUNCTION("GOOGLETRANSLATE(A13978, ""en"", ""mt"")"),"Kemm hija frekwenti l-borra fil-Lbiċ ta 'l-Istat?")</f>
        <v>Kemm hija frekwenti l-borra fil-Lbiċ ta 'l-Istat?</v>
      </c>
    </row>
    <row r="13979" ht="15.75" customHeight="1">
      <c r="A13979" s="2" t="s">
        <v>13979</v>
      </c>
      <c r="B13979" s="2" t="str">
        <f>IFERROR(__xludf.DUMMYFUNCTION("GOOGLETRANSLATE(A13979, ""en"", ""mt"")"),"kinematiku")</f>
        <v>kinematiku</v>
      </c>
    </row>
    <row r="13980" ht="15.75" customHeight="1">
      <c r="A13980" s="2" t="s">
        <v>13980</v>
      </c>
      <c r="B13980" s="2" t="str">
        <f>IFERROR(__xludf.DUMMYFUNCTION("GOOGLETRANSLATE(A13980, ""en"", ""mt"")"),"Viżjoni 2030")</f>
        <v>Viżjoni 2030</v>
      </c>
    </row>
    <row r="13981" ht="15.75" customHeight="1">
      <c r="A13981" s="2" t="s">
        <v>13981</v>
      </c>
      <c r="B13981" s="2" t="str">
        <f>IFERROR(__xludf.DUMMYFUNCTION("GOOGLETRANSLATE(A13981, ""en"", ""mt"")"),"Kemm tfal kellhom Luther u martu?")</f>
        <v>Kemm tfal kellhom Luther u martu?</v>
      </c>
    </row>
    <row r="13982" ht="15.75" customHeight="1">
      <c r="A13982" s="2" t="s">
        <v>13982</v>
      </c>
      <c r="B13982" s="2" t="str">
        <f>IFERROR(__xludf.DUMMYFUNCTION("GOOGLETRANSLATE(A13982, ""en"", ""mt"")"),"Meta arpnet u sita saru operattivi")</f>
        <v>Meta arpnet u sita saru operattivi</v>
      </c>
    </row>
    <row r="13983" ht="15.75" customHeight="1">
      <c r="A13983" s="2" t="s">
        <v>13983</v>
      </c>
      <c r="B13983" s="2" t="str">
        <f>IFERROR(__xludf.DUMMYFUNCTION("GOOGLETRANSLATE(A13983, ""en"", ""mt"")"),"X'jiġri meta Bathocyroe u Ocyropsis jaqbdu l-lobi tagħhom flimkien?")</f>
        <v>X'jiġri meta Bathocyroe u Ocyropsis jaqbdu l-lobi tagħhom flimkien?</v>
      </c>
    </row>
    <row r="13984" ht="15.75" customHeight="1">
      <c r="A13984" s="2" t="s">
        <v>13984</v>
      </c>
      <c r="B13984" s="2" t="str">
        <f>IFERROR(__xludf.DUMMYFUNCTION("GOOGLETRANSLATE(A13984, ""en"", ""mt"")"),"McGann u Eccleston's")</f>
        <v>McGann u Eccleston's</v>
      </c>
    </row>
    <row r="13985" ht="15.75" customHeight="1">
      <c r="A13985" s="2" t="s">
        <v>13985</v>
      </c>
      <c r="B13985" s="2" t="str">
        <f>IFERROR(__xludf.DUMMYFUNCTION("GOOGLETRANSLATE(A13985, ""en"", ""mt"")"),"Kemm jiswa l-Istitut Milton Friedman bejn wieħed u ieħor?")</f>
        <v>Kemm jiswa l-Istitut Milton Friedman bejn wieħed u ieħor?</v>
      </c>
    </row>
    <row r="13986" ht="15.75" customHeight="1">
      <c r="A13986" s="2" t="s">
        <v>13986</v>
      </c>
      <c r="B13986" s="2" t="str">
        <f>IFERROR(__xludf.DUMMYFUNCTION("GOOGLETRANSLATE(A13986, ""en"", ""mt"")"),"X'tip ta 'kloroplasti għandhom id-dijatomi?")</f>
        <v>X'tip ta 'kloroplasti għandhom id-dijatomi?</v>
      </c>
    </row>
    <row r="13987" ht="15.75" customHeight="1">
      <c r="A13987" s="2" t="s">
        <v>13987</v>
      </c>
      <c r="B13987" s="2" t="str">
        <f>IFERROR(__xludf.DUMMYFUNCTION("GOOGLETRANSLATE(A13987, ""en"", ""mt"")"),"Għal liema livell il-ġerarkija tal-ħin polinomjali tiġġarraf jekk l-isomorfiżmu tal-graff huwa komplut NP?")</f>
        <v>Għal liema livell il-ġerarkija tal-ħin polinomjali tiġġarraf jekk l-isomorfiżmu tal-graff huwa komplut NP?</v>
      </c>
    </row>
    <row r="13988" ht="15.75" customHeight="1">
      <c r="A13988" s="2" t="s">
        <v>13988</v>
      </c>
      <c r="B13988" s="2" t="str">
        <f>IFERROR(__xludf.DUMMYFUNCTION("GOOGLETRANSLATE(A13988, ""en"", ""mt"")"),"Bejn l-1859 u l-1865")</f>
        <v>Bejn l-1859 u l-1865</v>
      </c>
    </row>
    <row r="13989" ht="15.75" customHeight="1">
      <c r="A13989" s="2" t="s">
        <v>13989</v>
      </c>
      <c r="B13989" s="2" t="str">
        <f>IFERROR(__xludf.DUMMYFUNCTION("GOOGLETRANSLATE(A13989, ""en"", ""mt"")"),"X'inhu l-laqam għall-faċilità ABC mibnija fi Columbus Avenue u West 66th Street?")</f>
        <v>X'inhu l-laqam għall-faċilità ABC mibnija fi Columbus Avenue u West 66th Street?</v>
      </c>
    </row>
    <row r="13990" ht="15.75" customHeight="1">
      <c r="A13990" s="2" t="s">
        <v>13990</v>
      </c>
      <c r="B13990" s="2" t="str">
        <f>IFERROR(__xludf.DUMMYFUNCTION("GOOGLETRANSLATE(A13990, ""en"", ""mt"")"),"żieda fil-komunikazzjoni u l-kummerċ")</f>
        <v>żieda fil-komunikazzjoni u l-kummerċ</v>
      </c>
    </row>
    <row r="13991" ht="15.75" customHeight="1">
      <c r="A13991" s="2" t="s">
        <v>13991</v>
      </c>
      <c r="B13991" s="2" t="str">
        <f>IFERROR(__xludf.DUMMYFUNCTION("GOOGLETRANSLATE(A13991, ""en"", ""mt"")"),"50")</f>
        <v>50</v>
      </c>
    </row>
    <row r="13992" ht="15.75" customHeight="1">
      <c r="A13992" s="2" t="s">
        <v>13992</v>
      </c>
      <c r="B13992" s="2" t="str">
        <f>IFERROR(__xludf.DUMMYFUNCTION("GOOGLETRANSLATE(A13992, ""en"", ""mt"")"),"Noble akkwista self minn liema entità jżomm ABC Solvent fl-1951?")</f>
        <v>Noble akkwista self minn liema entità jżomm ABC Solvent fl-1951?</v>
      </c>
    </row>
    <row r="13993" ht="15.75" customHeight="1">
      <c r="A13993" s="2" t="s">
        <v>13993</v>
      </c>
      <c r="B13993" s="2" t="str">
        <f>IFERROR(__xludf.DUMMYFUNCTION("GOOGLETRANSLATE(A13993, ""en"", ""mt"")"),"X'inhu l-isem għal forma ta 'ossiġnu li fiha l-elettroni huma mqabbla?")</f>
        <v>X'inhu l-isem għal forma ta 'ossiġnu li fiha l-elettroni huma mqabbla?</v>
      </c>
    </row>
    <row r="13994" ht="15.75" customHeight="1">
      <c r="A13994" s="2" t="s">
        <v>13994</v>
      </c>
      <c r="B13994" s="2" t="str">
        <f>IFERROR(__xludf.DUMMYFUNCTION("GOOGLETRANSLATE(A13994, ""en"", ""mt"")"),"1525")</f>
        <v>1525</v>
      </c>
    </row>
    <row r="13995" ht="15.75" customHeight="1">
      <c r="A13995" s="2" t="s">
        <v>13995</v>
      </c>
      <c r="B13995" s="2" t="str">
        <f>IFERROR(__xludf.DUMMYFUNCTION("GOOGLETRANSLATE(A13995, ""en"", ""mt"")"),"Għaliex il-klijenti jistgħu jordnaw mill-ispiżeriji tal-internet?")</f>
        <v>Għaliex il-klijenti jistgħu jordnaw mill-ispiżeriji tal-internet?</v>
      </c>
    </row>
    <row r="13996" ht="15.75" customHeight="1">
      <c r="A13996" s="2" t="s">
        <v>13996</v>
      </c>
      <c r="B13996" s="2" t="str">
        <f>IFERROR(__xludf.DUMMYFUNCTION("GOOGLETRANSLATE(A13996, ""en"", ""mt"")"),"Kif huwa dokumentat il-ftuħ tas-suq Grainger fil-Laing Art Gallery?")</f>
        <v>Kif huwa dokumentat il-ftuħ tas-suq Grainger fil-Laing Art Gallery?</v>
      </c>
    </row>
    <row r="13997" ht="15.75" customHeight="1">
      <c r="A13997" s="2" t="s">
        <v>13997</v>
      </c>
      <c r="B13997" s="2" t="str">
        <f>IFERROR(__xludf.DUMMYFUNCTION("GOOGLETRANSLATE(A13997, ""en"", ""mt"")"),"X'kien qed jistudja Iqbal fl-Ingilterra u l-Ġermanja?")</f>
        <v>X'kien qed jistudja Iqbal fl-Ingilterra u l-Ġermanja?</v>
      </c>
    </row>
    <row r="13998" ht="15.75" customHeight="1">
      <c r="A13998" s="2" t="s">
        <v>13998</v>
      </c>
      <c r="B13998" s="2" t="str">
        <f>IFERROR(__xludf.DUMMYFUNCTION("GOOGLETRANSLATE(A13998, ""en"", ""mt"")"),"Impatt negattiv fit-tul fuq is-saħħa")</f>
        <v>Impatt negattiv fit-tul fuq is-saħħa</v>
      </c>
    </row>
    <row r="13999" ht="15.75" customHeight="1">
      <c r="A13999" s="2" t="s">
        <v>13999</v>
      </c>
      <c r="B13999" s="2" t="str">
        <f>IFERROR(__xludf.DUMMYFUNCTION("GOOGLETRANSLATE(A13999, ""en"", ""mt"")"),"Minbarra li jħossu l-lokalità tiegħu, għal xiex hi popolari l-Palm Springs?")</f>
        <v>Minbarra li jħossu l-lokalità tiegħu, għal xiex hi popolari l-Palm Springs?</v>
      </c>
    </row>
    <row r="14000" ht="15.75" customHeight="1">
      <c r="A14000" s="2" t="s">
        <v>14000</v>
      </c>
      <c r="B14000" s="2" t="str">
        <f>IFERROR(__xludf.DUMMYFUNCTION("GOOGLETRANSLATE(A14000, ""en"", ""mt"")"),"L-ugwaljanza legali tal-individwi kollha, inklużi n-nisa")</f>
        <v>L-ugwaljanza legali tal-individwi kollha, inklużi n-nisa</v>
      </c>
    </row>
    <row r="14001" ht="15.75" customHeight="1">
      <c r="A14001" s="2" t="s">
        <v>14001</v>
      </c>
      <c r="B14001" s="2" t="str">
        <f>IFERROR(__xludf.DUMMYFUNCTION("GOOGLETRANSLATE(A14001, ""en"", ""mt"")"),"Dijossidu tal-karbonju")</f>
        <v>Dijossidu tal-karbonju</v>
      </c>
    </row>
    <row r="14002" ht="15.75" customHeight="1">
      <c r="A14002" s="2" t="s">
        <v>14002</v>
      </c>
      <c r="B14002" s="2" t="str">
        <f>IFERROR(__xludf.DUMMYFUNCTION("GOOGLETRANSLATE(A14002, ""en"", ""mt"")"),"Kemm bijomolekuli ma fihom l-ebda ossiġnu?")</f>
        <v>Kemm bijomolekuli ma fihom l-ebda ossiġnu?</v>
      </c>
    </row>
    <row r="14003" ht="15.75" customHeight="1">
      <c r="A14003" s="2" t="s">
        <v>14003</v>
      </c>
      <c r="B14003" s="2" t="str">
        <f>IFERROR(__xludf.DUMMYFUNCTION("GOOGLETRANSLATE(A14003, ""en"", ""mt"")"),"Liema rwol kellu Luther fil-knejjes ta 'oqsma oħra?")</f>
        <v>Liema rwol kellu Luther fil-knejjes ta 'oqsma oħra?</v>
      </c>
    </row>
    <row r="14004" ht="15.75" customHeight="1">
      <c r="A14004" s="2" t="s">
        <v>14004</v>
      </c>
      <c r="B14004" s="2" t="str">
        <f>IFERROR(__xludf.DUMMYFUNCTION("GOOGLETRANSLATE(A14004, ""en"", ""mt"")"),"Meta l-Ġermanja bdiet tibni l-imperu kolonjali tagħha stess")</f>
        <v>Meta l-Ġermanja bdiet tibni l-imperu kolonjali tagħha stess</v>
      </c>
    </row>
    <row r="14005" ht="15.75" customHeight="1">
      <c r="A14005" s="2" t="s">
        <v>14005</v>
      </c>
      <c r="B14005" s="2" t="str">
        <f>IFERROR(__xludf.DUMMYFUNCTION("GOOGLETRANSLATE(A14005, ""en"", ""mt"")"),"X'kien ir-riżultat tad-diżubbidjenza li tipprotesta s-sit nukleari?")</f>
        <v>X'kien ir-riżultat tad-diżubbidjenza li tipprotesta s-sit nukleari?</v>
      </c>
    </row>
    <row r="14006" ht="15.75" customHeight="1">
      <c r="A14006" s="2" t="s">
        <v>14006</v>
      </c>
      <c r="B14006" s="2" t="str">
        <f>IFERROR(__xludf.DUMMYFUNCTION("GOOGLETRANSLATE(A14006, ""en"", ""mt"")"),"Fl-1564 grupp ta 'Norman Huguenots taħt it-tmexxija ta' Jean Ribault stabbilixxa l-kolonja żgħira ta 'Fort Caroline fuq il-banek tax-Xmara San Ġwann f'dak li llum huwa Jacksonville, Florida. L-isforz kien l-ewwel wieħed fi kwalunkwe soluzzjoni Ewropea per"&amp;"manenti fl-Istati Uniti kontinentali preżenti, iżda baqa 'ħaj biss ftit żmien. Attakk navali Franċiż ta 'Settembru 1565 kontra l-kolonja Spanjola l-ġdida f'San Wistin falla meta l-vapuri tagħha ntlaqtu minn uragan fi triqthom lejn l-akkampjar Spanjol fil-"&amp;"Fort Matanzas. Mijiet ta 'suldati Franċiżi kienu mitluqin u ċeduti lill-forzi Spanjoli numerikament inferjuri mmexxija minn Pedro Menendez. Menendez ipproċeda għall-massakru l-Huguenots bla difiża, u wara ħassar il-Garrison ta 'Fort Caroline.")</f>
        <v>Fl-1564 grupp ta 'Norman Huguenots taħt it-tmexxija ta' Jean Ribault stabbilixxa l-kolonja żgħira ta 'Fort Caroline fuq il-banek tax-Xmara San Ġwann f'dak li llum huwa Jacksonville, Florida. L-isforz kien l-ewwel wieħed fi kwalunkwe soluzzjoni Ewropea permanenti fl-Istati Uniti kontinentali preżenti, iżda baqa 'ħaj biss ftit żmien. Attakk navali Franċiż ta 'Settembru 1565 kontra l-kolonja Spanjola l-ġdida f'San Wistin falla meta l-vapuri tagħha ntlaqtu minn uragan fi triqthom lejn l-akkampjar Spanjol fil-Fort Matanzas. Mijiet ta 'suldati Franċiżi kienu mitluqin u ċeduti lill-forzi Spanjoli numerikament inferjuri mmexxija minn Pedro Menendez. Menendez ipproċeda għall-massakru l-Huguenots bla difiża, u wara ħassar il-Garrison ta 'Fort Caroline.</v>
      </c>
    </row>
    <row r="14007" ht="15.75" customHeight="1">
      <c r="A14007" s="2" t="s">
        <v>14007</v>
      </c>
      <c r="B14007" s="2" t="str">
        <f>IFERROR(__xludf.DUMMYFUNCTION("GOOGLETRANSLATE(A14007, ""en"", ""mt"")"),"Ħin tal-komputazzjoni")</f>
        <v>Ħin tal-komputazzjoni</v>
      </c>
    </row>
    <row r="14008" ht="15.75" customHeight="1">
      <c r="A14008" s="2" t="s">
        <v>14008</v>
      </c>
      <c r="B14008" s="2" t="str">
        <f>IFERROR(__xludf.DUMMYFUNCTION("GOOGLETRANSLATE(A14008, ""en"", ""mt"")"),"X'kien l-Islam apolitiku?")</f>
        <v>X'kien l-Islam apolitiku?</v>
      </c>
    </row>
    <row r="14009" ht="15.75" customHeight="1">
      <c r="A14009" s="2" t="s">
        <v>14009</v>
      </c>
      <c r="B14009" s="2" t="str">
        <f>IFERROR(__xludf.DUMMYFUNCTION("GOOGLETRANSLATE(A14009, ""en"", ""mt"")"),"Skulturi Ħindu u Buddisti raffinati")</f>
        <v>Skulturi Ħindu u Buddisti raffinati</v>
      </c>
    </row>
    <row r="14010" ht="15.75" customHeight="1">
      <c r="A14010" s="2" t="s">
        <v>14010</v>
      </c>
      <c r="B14010" s="2" t="str">
        <f>IFERROR(__xludf.DUMMYFUNCTION("GOOGLETRANSLATE(A14010, ""en"", ""mt"")"),"Problemi semantiċi")</f>
        <v>Problemi semantiċi</v>
      </c>
    </row>
    <row r="14011" ht="15.75" customHeight="1">
      <c r="A14011" s="2" t="s">
        <v>14011</v>
      </c>
      <c r="B14011" s="2" t="str">
        <f>IFERROR(__xludf.DUMMYFUNCTION("GOOGLETRANSLATE(A14011, ""en"", ""mt"")"),"10 ta ’Novembru 1483")</f>
        <v>10 ta ’Novembru 1483</v>
      </c>
    </row>
    <row r="14012" ht="15.75" customHeight="1">
      <c r="A14012" s="2" t="s">
        <v>14012</v>
      </c>
      <c r="B14012" s="2" t="str">
        <f>IFERROR(__xludf.DUMMYFUNCTION("GOOGLETRANSLATE(A14012, ""en"", ""mt"")"),"X'kien ippubblikat fi Frar tal-2007?")</f>
        <v>X'kien ippubblikat fi Frar tal-2007?</v>
      </c>
    </row>
    <row r="14013" ht="15.75" customHeight="1">
      <c r="A14013" s="2" t="s">
        <v>14013</v>
      </c>
      <c r="B14013" s="2" t="str">
        <f>IFERROR(__xludf.DUMMYFUNCTION("GOOGLETRANSLATE(A14013, ""en"", ""mt"")"),"Erba 'skejjel charter pubbliċi")</f>
        <v>Erba 'skejjel charter pubbliċi</v>
      </c>
    </row>
    <row r="14014" ht="15.75" customHeight="1">
      <c r="A14014" s="2" t="s">
        <v>14014</v>
      </c>
      <c r="B14014" s="2" t="str">
        <f>IFERROR(__xludf.DUMMYFUNCTION("GOOGLETRANSLATE(A14014, ""en"", ""mt"")"),"Meta l-Futbol tal-Ħadd filgħaxija ħareġ, għal liema netwerk miexi l-futbol it-Tnejn filgħaxija?")</f>
        <v>Meta l-Futbol tal-Ħadd filgħaxija ħareġ, għal liema netwerk miexi l-futbol it-Tnejn filgħaxija?</v>
      </c>
    </row>
    <row r="14015" ht="15.75" customHeight="1">
      <c r="A14015" s="2" t="s">
        <v>14015</v>
      </c>
      <c r="B14015" s="2" t="str">
        <f>IFERROR(__xludf.DUMMYFUNCTION("GOOGLETRANSLATE(A14015, ""en"", ""mt"")"),"X'kienet Warsz?")</f>
        <v>X'kienet Warsz?</v>
      </c>
    </row>
    <row r="14016" ht="15.75" customHeight="1">
      <c r="A14016" s="2" t="s">
        <v>14016</v>
      </c>
      <c r="B14016" s="2" t="str">
        <f>IFERROR(__xludf.DUMMYFUNCTION("GOOGLETRANSLATE(A14016, ""en"", ""mt"")"),"Min kien l-MVP tas-Super Bowl XLI?")</f>
        <v>Min kien l-MVP tas-Super Bowl XLI?</v>
      </c>
    </row>
    <row r="14017" ht="15.75" customHeight="1">
      <c r="A14017" s="2" t="s">
        <v>14017</v>
      </c>
      <c r="B14017" s="2" t="str">
        <f>IFERROR(__xludf.DUMMYFUNCTION("GOOGLETRANSLATE(A14017, ""en"", ""mt"")"),"Bl-introduzzjoni aċċidentali tal-Mnemiopsis li tiekol l-Amerika ta ’Fuq Ctenophore Beroe Ovata,")</f>
        <v>Bl-introduzzjoni aċċidentali tal-Mnemiopsis li tiekol l-Amerika ta ’Fuq Ctenophore Beroe Ovata,</v>
      </c>
    </row>
    <row r="14018" ht="15.75" customHeight="1">
      <c r="A14018" s="2" t="s">
        <v>14018</v>
      </c>
      <c r="B14018" s="2" t="str">
        <f>IFERROR(__xludf.DUMMYFUNCTION("GOOGLETRANSLATE(A14018, ""en"", ""mt"")"),"Liberali")</f>
        <v>Liberali</v>
      </c>
    </row>
    <row r="14019" ht="15.75" customHeight="1">
      <c r="A14019" s="2" t="s">
        <v>14019</v>
      </c>
      <c r="B14019" s="2" t="str">
        <f>IFERROR(__xludf.DUMMYFUNCTION("GOOGLETRANSLATE(A14019, ""en"", ""mt"")"),"Ingredjenti għall-mediċini, mibjugħa mediċini tat-tabakk u tal-privattivi")</f>
        <v>Ingredjenti għall-mediċini, mibjugħa mediċini tat-tabakk u tal-privattivi</v>
      </c>
    </row>
    <row r="14020" ht="15.75" customHeight="1">
      <c r="A14020" s="2" t="s">
        <v>14020</v>
      </c>
      <c r="B14020" s="2" t="str">
        <f>IFERROR(__xludf.DUMMYFUNCTION("GOOGLETRANSLATE(A14020, ""en"", ""mt"")"),"swieq")</f>
        <v>swieq</v>
      </c>
    </row>
    <row r="14021" ht="15.75" customHeight="1">
      <c r="A14021" s="2" t="s">
        <v>14021</v>
      </c>
      <c r="B14021" s="2" t="str">
        <f>IFERROR(__xludf.DUMMYFUNCTION("GOOGLETRANSLATE(A14021, ""en"", ""mt"")"),"Renu Romantiku")</f>
        <v>Renu Romantiku</v>
      </c>
    </row>
    <row r="14022" ht="15.75" customHeight="1">
      <c r="A14022" s="2" t="s">
        <v>14022</v>
      </c>
      <c r="B14022" s="2" t="str">
        <f>IFERROR(__xludf.DUMMYFUNCTION("GOOGLETRANSLATE(A14022, ""en"", ""mt"")"),"Perjodu Pliocene")</f>
        <v>Perjodu Pliocene</v>
      </c>
    </row>
    <row r="14023" ht="15.75" customHeight="1">
      <c r="A14023" s="2" t="s">
        <v>14023</v>
      </c>
      <c r="B14023" s="2" t="str">
        <f>IFERROR(__xludf.DUMMYFUNCTION("GOOGLETRANSLATE(A14023, ""en"", ""mt"")"),"Liema imperu mhux Ċiniż irnexxielu d-dinastija Yuan?")</f>
        <v>Liema imperu mhux Ċiniż irnexxielu d-dinastija Yuan?</v>
      </c>
    </row>
    <row r="14024" ht="15.75" customHeight="1">
      <c r="A14024" s="2" t="s">
        <v>14024</v>
      </c>
      <c r="B14024" s="2" t="str">
        <f>IFERROR(__xludf.DUMMYFUNCTION("GOOGLETRANSLATE(A14024, ""en"", ""mt"")"),"moderat")</f>
        <v>moderat</v>
      </c>
    </row>
    <row r="14025" ht="15.75" customHeight="1">
      <c r="A14025" s="2" t="s">
        <v>14025</v>
      </c>
      <c r="B14025" s="2" t="str">
        <f>IFERROR(__xludf.DUMMYFUNCTION("GOOGLETRANSLATE(A14025, ""en"", ""mt"")"),"X'għandhom ħafna membri tal-HT iggradwaw biex jingħaqdu?")</f>
        <v>X'għandhom ħafna membri tal-HT iggradwaw biex jingħaqdu?</v>
      </c>
    </row>
    <row r="14026" ht="15.75" customHeight="1">
      <c r="A14026" s="2" t="s">
        <v>14026</v>
      </c>
      <c r="B14026" s="2" t="str">
        <f>IFERROR(__xludf.DUMMYFUNCTION("GOOGLETRANSLATE(A14026, ""en"", ""mt"")"),"Minn fejn imxew Kublai l-kapitali Mongolja?")</f>
        <v>Minn fejn imxew Kublai l-kapitali Mongolja?</v>
      </c>
    </row>
    <row r="14027" ht="15.75" customHeight="1">
      <c r="A14027" s="2" t="s">
        <v>14027</v>
      </c>
      <c r="B14027" s="2" t="str">
        <f>IFERROR(__xludf.DUMMYFUNCTION("GOOGLETRANSLATE(A14027, ""en"", ""mt"")"),"il-ġurnata li jmiss")</f>
        <v>il-ġurnata li jmiss</v>
      </c>
    </row>
    <row r="14028" ht="15.75" customHeight="1">
      <c r="A14028" s="2" t="s">
        <v>14028</v>
      </c>
      <c r="B14028" s="2" t="str">
        <f>IFERROR(__xludf.DUMMYFUNCTION("GOOGLETRANSLATE(A14028, ""en"", ""mt"")"),"Sal-1897, kemm irċieva Tesla, Brown, u Peck fir-royalties u l-liċenzji fuq il-privattivi?")</f>
        <v>Sal-1897, kemm irċieva Tesla, Brown, u Peck fir-royalties u l-liċenzji fuq il-privattivi?</v>
      </c>
    </row>
    <row r="14029" ht="15.75" customHeight="1">
      <c r="A14029" s="2" t="s">
        <v>14029</v>
      </c>
      <c r="B14029" s="2" t="str">
        <f>IFERROR(__xludf.DUMMYFUNCTION("GOOGLETRANSLATE(A14029, ""en"", ""mt"")"),"Il-V &amp; A qed tfittex li tiftaħ gallerija tad-ditta f'liema belt fl-Iskozja?")</f>
        <v>Il-V &amp; A qed tfittex li tiftaħ gallerija tad-ditta f'liema belt fl-Iskozja?</v>
      </c>
    </row>
    <row r="14030" ht="15.75" customHeight="1">
      <c r="A14030" s="2" t="s">
        <v>14030</v>
      </c>
      <c r="B14030" s="2" t="str">
        <f>IFERROR(__xludf.DUMMYFUNCTION("GOOGLETRANSLATE(A14030, ""en"", ""mt"")"),"Kemm mill-PGD kienet l-agrikoltura fl-2005?")</f>
        <v>Kemm mill-PGD kienet l-agrikoltura fl-2005?</v>
      </c>
    </row>
    <row r="14031" ht="15.75" customHeight="1">
      <c r="A14031" s="2" t="s">
        <v>14031</v>
      </c>
      <c r="B14031" s="2" t="str">
        <f>IFERROR(__xludf.DUMMYFUNCTION("GOOGLETRANSLATE(A14031, ""en"", ""mt"")"),"Sa 30%")</f>
        <v>Sa 30%</v>
      </c>
    </row>
    <row r="14032" ht="15.75" customHeight="1">
      <c r="A14032" s="2" t="s">
        <v>14032</v>
      </c>
      <c r="B14032" s="2" t="str">
        <f>IFERROR(__xludf.DUMMYFUNCTION("GOOGLETRANSLATE(A14032, ""en"", ""mt"")"),"Partiċelli tal-punt idealizzati")</f>
        <v>Partiċelli tal-punt idealizzati</v>
      </c>
    </row>
    <row r="14033" ht="15.75" customHeight="1">
      <c r="A14033" s="2" t="s">
        <v>14033</v>
      </c>
      <c r="B14033" s="2" t="str">
        <f>IFERROR(__xludf.DUMMYFUNCTION("GOOGLETRANSLATE(A14033, ""en"", ""mt"")"),"Kien hemm ukoll ħafna referenzi għal Doctor Who fil-kultura popolari u fantaxjenza oħra, inkluż Star Trek: The Next Generation (""The Newtral Zone"") u l-ingranaġġ. Fis-serje Channel 4 Queer bħala Folk (maħluqa mill-produttur eżekuttiv ta 'Doctor Who Russ"&amp;"ell T. Davies), il-karattru ta' Vince kien deskritt bħala fan ta 'Doctor Who, b'referenzi li jidhru ħafna drabi matul il-forma ta' klipps mill-programm. B'mod simili, il-karattru ta 'Oliver fuq l-akkoppjar (maħluq u miktub mir-runner tal-ispettaklu attwal"&amp;"i Steven Moffat) huwa deskritt bħala tabib li kollettur u entużjast. Referenzi għal Doctor Who dehru wkoll fir-rumanzi tal-fantasija adulti żgħażagħ Brisingr u High Wizardry, il-video game rock band, The Soap Opera Eastenders, The Adult Swim Comedy Show R"&amp;"obot Chicken, l-episodji tal-Family Guy ""Blue Harvest"" u ""420"", U l-logħba runescape. Ġie rreferut ukoll biex teqred il-bnedmin kollha! 2, minn persuni ċivili fil-varjazzjoni tal-logħba tal-Ingilterra, u fl-Apollo Justice: Ace Avukat.")</f>
        <v>Kien hemm ukoll ħafna referenzi għal Doctor Who fil-kultura popolari u fantaxjenza oħra, inkluż Star Trek: The Next Generation ("The Newtral Zone") u l-ingranaġġ. Fis-serje Channel 4 Queer bħala Folk (maħluqa mill-produttur eżekuttiv ta 'Doctor Who Russell T. Davies), il-karattru ta' Vince kien deskritt bħala fan ta 'Doctor Who, b'referenzi li jidhru ħafna drabi matul il-forma ta' klipps mill-programm. B'mod simili, il-karattru ta 'Oliver fuq l-akkoppjar (maħluq u miktub mir-runner tal-ispettaklu attwali Steven Moffat) huwa deskritt bħala tabib li kollettur u entużjast. Referenzi għal Doctor Who dehru wkoll fir-rumanzi tal-fantasija adulti żgħażagħ Brisingr u High Wizardry, il-video game rock band, The Soap Opera Eastenders, The Adult Swim Comedy Show Robot Chicken, l-episodji tal-Family Guy "Blue Harvest" u "420", U l-logħba runescape. Ġie rreferut ukoll biex teqred il-bnedmin kollha! 2, minn persuni ċivili fil-varjazzjoni tal-logħba tal-Ingilterra, u fl-Apollo Justice: Ace Avukat.</v>
      </c>
    </row>
    <row r="14034" ht="15.75" customHeight="1">
      <c r="A14034" s="2" t="s">
        <v>14034</v>
      </c>
      <c r="B14034" s="2" t="str">
        <f>IFERROR(__xludf.DUMMYFUNCTION("GOOGLETRANSLATE(A14034, ""en"", ""mt"")"),"Id-djakni jservu terminu ta '2-3 snin bħala djakni proviżorji qabel l-ordinazzjoni tagħhom.")</f>
        <v>Id-djakni jservu terminu ta '2-3 snin bħala djakni proviżorji qabel l-ordinazzjoni tagħhom.</v>
      </c>
    </row>
    <row r="14035" ht="15.75" customHeight="1">
      <c r="A14035" s="2" t="s">
        <v>14035</v>
      </c>
      <c r="B14035" s="2" t="str">
        <f>IFERROR(__xludf.DUMMYFUNCTION("GOOGLETRANSLATE(A14035, ""en"", ""mt"")"),"Liema relay tal-qafas sostitwit u x.25")</f>
        <v>Liema relay tal-qafas sostitwit u x.25</v>
      </c>
    </row>
    <row r="14036" ht="15.75" customHeight="1">
      <c r="A14036" s="2" t="s">
        <v>14036</v>
      </c>
      <c r="B14036" s="2" t="str">
        <f>IFERROR(__xludf.DUMMYFUNCTION("GOOGLETRANSLATE(A14036, ""en"", ""mt"")"),"Priestley")</f>
        <v>Priestley</v>
      </c>
    </row>
    <row r="14037" ht="15.75" customHeight="1">
      <c r="A14037" s="2" t="s">
        <v>14037</v>
      </c>
      <c r="B14037" s="2" t="str">
        <f>IFERROR(__xludf.DUMMYFUNCTION("GOOGLETRANSLATE(A14037, ""en"", ""mt"")"),", 23–16,")</f>
        <v>, 23–16,</v>
      </c>
    </row>
    <row r="14038" ht="15.75" customHeight="1">
      <c r="A14038" s="2" t="s">
        <v>14038</v>
      </c>
      <c r="B14038" s="2" t="str">
        <f>IFERROR(__xludf.DUMMYFUNCTION("GOOGLETRANSLATE(A14038, ""en"", ""mt"")"),"Fil-firxa bejn l-1980 u l-1990, x'tagħmel id-domanda biex tikber?")</f>
        <v>Fil-firxa bejn l-1980 u l-1990, x'tagħmel id-domanda biex tikber?</v>
      </c>
    </row>
    <row r="14039" ht="15.75" customHeight="1">
      <c r="A14039" s="2" t="s">
        <v>14039</v>
      </c>
      <c r="B14039" s="2" t="str">
        <f>IFERROR(__xludf.DUMMYFUNCTION("GOOGLETRANSLATE(A14039, ""en"", ""mt"")"),"Min jiddeċiedi min jasal biex jindirizza lill-membri tal-Parlament biex jaqsmu l-ħsibijiet tagħhom dwar kwistjonijiet ta 'fidi?")</f>
        <v>Min jiddeċiedi min jasal biex jindirizza lill-membri tal-Parlament biex jaqsmu l-ħsibijiet tagħhom dwar kwistjonijiet ta 'fidi?</v>
      </c>
    </row>
    <row r="14040" ht="15.75" customHeight="1">
      <c r="A14040" s="2" t="s">
        <v>14040</v>
      </c>
      <c r="B14040" s="2" t="str">
        <f>IFERROR(__xludf.DUMMYFUNCTION("GOOGLETRANSLATE(A14040, ""en"", ""mt"")"),"Ed Lee")</f>
        <v>Ed Lee</v>
      </c>
    </row>
    <row r="14041" ht="15.75" customHeight="1">
      <c r="A14041" s="2" t="s">
        <v>14041</v>
      </c>
      <c r="B14041" s="2" t="str">
        <f>IFERROR(__xludf.DUMMYFUNCTION("GOOGLETRANSLATE(A14041, ""en"", ""mt"")"),"biex isservi u tipproteġi l-interess pubbliku")</f>
        <v>biex isservi u tipproteġi l-interess pubbliku</v>
      </c>
    </row>
    <row r="14042" ht="15.75" customHeight="1">
      <c r="A14042" s="2" t="s">
        <v>14042</v>
      </c>
      <c r="B14042" s="2" t="str">
        <f>IFERROR(__xludf.DUMMYFUNCTION("GOOGLETRANSLATE(A14042, ""en"", ""mt"")"),"Il-kostruzzjoni taċ-ċentru tmexxiet minn Kurt H. Debus, membru ta 'Dr Wernher von Braun's")</f>
        <v>Il-kostruzzjoni taċ-ċentru tmexxiet minn Kurt H. Debus, membru ta 'Dr Wernher von Braun's</v>
      </c>
    </row>
    <row r="14043" ht="15.75" customHeight="1">
      <c r="A14043" s="2" t="s">
        <v>14043</v>
      </c>
      <c r="B14043" s="2" t="str">
        <f>IFERROR(__xludf.DUMMYFUNCTION("GOOGLETRANSLATE(A14043, ""en"", ""mt"")"),"X'inhuma magni li jużaw erba 'stadji ta' espansjoni magħrufa bħala?")</f>
        <v>X'inhuma magni li jużaw erba 'stadji ta' espansjoni magħrufa bħala?</v>
      </c>
    </row>
    <row r="14044" ht="15.75" customHeight="1">
      <c r="A14044" s="2" t="s">
        <v>14044</v>
      </c>
      <c r="B14044" s="2" t="str">
        <f>IFERROR(__xludf.DUMMYFUNCTION("GOOGLETRANSLATE(A14044, ""en"", ""mt"")"),"tutur")</f>
        <v>tutur</v>
      </c>
    </row>
    <row r="14045" ht="15.75" customHeight="1">
      <c r="A14045" s="2" t="s">
        <v>14045</v>
      </c>
      <c r="B14045" s="2" t="str">
        <f>IFERROR(__xludf.DUMMYFUNCTION("GOOGLETRANSLATE(A14045, ""en"", ""mt"")"),"aktar minn 100")</f>
        <v>aktar minn 100</v>
      </c>
    </row>
    <row r="14046" ht="15.75" customHeight="1">
      <c r="A14046" s="2" t="s">
        <v>14046</v>
      </c>
      <c r="B14046" s="2" t="str">
        <f>IFERROR(__xludf.DUMMYFUNCTION("GOOGLETRANSLATE(A14046, ""en"", ""mt"")"),"65.5 miljun sena ilu")</f>
        <v>65.5 miljun sena ilu</v>
      </c>
    </row>
    <row r="14047" ht="15.75" customHeight="1">
      <c r="A14047" s="2" t="s">
        <v>14047</v>
      </c>
      <c r="B14047" s="2" t="str">
        <f>IFERROR(__xludf.DUMMYFUNCTION("GOOGLETRANSLATE(A14047, ""en"", ""mt"")"),"sfruttament tal-assi u l-provvisti siewja tan-nazzjon li ġie maħkum")</f>
        <v>sfruttament tal-assi u l-provvisti siewja tan-nazzjon li ġie maħkum</v>
      </c>
    </row>
    <row r="14048" ht="15.75" customHeight="1">
      <c r="A14048" s="2" t="s">
        <v>14048</v>
      </c>
      <c r="B14048" s="2" t="str">
        <f>IFERROR(__xludf.DUMMYFUNCTION("GOOGLETRANSLATE(A14048, ""en"", ""mt"")"),"#P")</f>
        <v>#P</v>
      </c>
    </row>
    <row r="14049" ht="15.75" customHeight="1">
      <c r="A14049" s="2" t="s">
        <v>14049</v>
      </c>
      <c r="B14049" s="2" t="str">
        <f>IFERROR(__xludf.DUMMYFUNCTION("GOOGLETRANSLATE(A14049, ""en"", ""mt"")"),"ifejjaq spiritwali")</f>
        <v>ifejjaq spiritwali</v>
      </c>
    </row>
    <row r="14050" ht="15.75" customHeight="1">
      <c r="A14050" s="2" t="s">
        <v>14050</v>
      </c>
      <c r="B14050" s="2" t="str">
        <f>IFERROR(__xludf.DUMMYFUNCTION("GOOGLETRANSLATE(A14050, ""en"", ""mt"")"),"Istituzzjonijiet Metodisti jistgħu jiġu msemmijin wara figura bibliċi (e.g., ""San Ġakbu UMC""). Metodisti jonoraw ukoll eroj u eroini notevoli tal-fidi Nisranija u jħarsu lil dawn il-qaddisin prominenti bħala li jipprovdu eżempji ta ’għajxien qaddis u im"&amp;"penn lejn Kristu li jistħoqqilhom imitazzjoni (ara 1 Korintin 11: 1). Qaddisin eżemplari jinkludu martri, konfessuri tal-fidi, evanġelisti, jew figuri bibliċi importanti bħal San Mattew, teologu Luteran u martri lejn in-Nazis Dietrich Bonhoeffer, il-funda"&amp;"tur tal-Armata tas-Salvazzjoni William Booth, il-missjunarju Afrikan David Livingstone u l-fundatur revered tal-Metodism huma fost Ħafna kkwotaw bħala Qaddisin Protestanti.")</f>
        <v>Istituzzjonijiet Metodisti jistgħu jiġu msemmijin wara figura bibliċi (e.g., "San Ġakbu UMC"). Metodisti jonoraw ukoll eroj u eroini notevoli tal-fidi Nisranija u jħarsu lil dawn il-qaddisin prominenti bħala li jipprovdu eżempji ta ’għajxien qaddis u impenn lejn Kristu li jistħoqqilhom imitazzjoni (ara 1 Korintin 11: 1). Qaddisin eżemplari jinkludu martri, konfessuri tal-fidi, evanġelisti, jew figuri bibliċi importanti bħal San Mattew, teologu Luteran u martri lejn in-Nazis Dietrich Bonhoeffer, il-fundatur tal-Armata tas-Salvazzjoni William Booth, il-missjunarju Afrikan David Livingstone u l-fundatur revered tal-Metodism huma fost Ħafna kkwotaw bħala Qaddisin Protestanti.</v>
      </c>
    </row>
    <row r="14051" ht="15.75" customHeight="1">
      <c r="A14051" s="2" t="s">
        <v>14051</v>
      </c>
      <c r="B14051" s="2" t="str">
        <f>IFERROR(__xludf.DUMMYFUNCTION("GOOGLETRANSLATE(A14051, ""en"", ""mt"")"),"Is-servizzi ta 'fejqan jinvolvu t-tqegħid ta' l-idejn u x'iktar?")</f>
        <v>Is-servizzi ta 'fejqan jinvolvu t-tqegħid ta' l-idejn u x'iktar?</v>
      </c>
    </row>
    <row r="14052" ht="15.75" customHeight="1">
      <c r="A14052" s="2" t="s">
        <v>14052</v>
      </c>
      <c r="B14052" s="2" t="str">
        <f>IFERROR(__xludf.DUMMYFUNCTION("GOOGLETRANSLATE(A14052, ""en"", ""mt"")"),"Rivoluzzjoni Amerikana")</f>
        <v>Rivoluzzjoni Amerikana</v>
      </c>
    </row>
    <row r="14053" ht="15.75" customHeight="1">
      <c r="A14053" s="2" t="s">
        <v>14053</v>
      </c>
      <c r="B14053" s="2" t="str">
        <f>IFERROR(__xludf.DUMMYFUNCTION("GOOGLETRANSLATE(A14053, ""en"", ""mt"")"),"Kemm hi għolja l-Muntanja Bogong tar-Rabat?")</f>
        <v>Kemm hi għolja l-Muntanja Bogong tar-Rabat?</v>
      </c>
    </row>
    <row r="14054" ht="15.75" customHeight="1">
      <c r="A14054" s="2" t="s">
        <v>14054</v>
      </c>
      <c r="B14054" s="2" t="str">
        <f>IFERROR(__xludf.DUMMYFUNCTION("GOOGLETRANSLATE(A14054, ""en"", ""mt"")"),"Pleurobrachia, Beroe u Mnemiopsis")</f>
        <v>Pleurobrachia, Beroe u Mnemiopsis</v>
      </c>
    </row>
    <row r="14055" ht="15.75" customHeight="1">
      <c r="A14055" s="2" t="s">
        <v>14055</v>
      </c>
      <c r="B14055" s="2" t="str">
        <f>IFERROR(__xludf.DUMMYFUNCTION("GOOGLETRANSLATE(A14055, ""en"", ""mt"")"),"Għaliex GM, Ford u Chrysler introduċew karozzi effiċjenti fil-fjuwil u żgħar fis-suq tal-Istati Uniti?")</f>
        <v>Għaliex GM, Ford u Chrysler introduċew karozzi effiċjenti fil-fjuwil u żgħar fis-suq tal-Istati Uniti?</v>
      </c>
    </row>
    <row r="14056" ht="15.75" customHeight="1">
      <c r="A14056" s="2" t="s">
        <v>14056</v>
      </c>
      <c r="B14056" s="2" t="str">
        <f>IFERROR(__xludf.DUMMYFUNCTION("GOOGLETRANSLATE(A14056, ""en"", ""mt"")"),"Thompson")</f>
        <v>Thompson</v>
      </c>
    </row>
    <row r="14057" ht="15.75" customHeight="1">
      <c r="A14057" s="2" t="s">
        <v>14057</v>
      </c>
      <c r="B14057" s="2" t="str">
        <f>IFERROR(__xludf.DUMMYFUNCTION("GOOGLETRANSLATE(A14057, ""en"", ""mt"")"),"Is-sistema immunitarja hija sistema ta 'ħafna strutturi u proċessi bijoloġiċi fi ħdan organiżmu li jipproteġi kontra l-mard. Biex tiffunzjona kif suppost, sistema immuni għandha tiskopri varjetà wiesgħa ta 'aġenti, magħrufa bħala patoġeni, minn viruses għ"&amp;"al dud parassitiku, u tiddistingwihom mit-tessut b'saħħtu tal-organiżmu stess. F’ħafna speċi, is-sistema immunitarja tista ’tiġi kklassifikata f’subsistemi, bħas-sistema immuni innata kontra s-sistema immunitarja adattiva, jew l-immunità umoristika kontra"&amp;" l-immunità medjata miċ-ċelloli. Fil-bnedmin, il-barriera tad-demm-moħħ, l-ostaklu tal-fluwidu tad-demm-cerebrospinali, u l-ostakli simili tal-moħħ fluwidu jisseparaw is-sistema immuni periferali mis-sistema newroimmuni li tipproteġi l-moħħ.")</f>
        <v>Is-sistema immunitarja hija sistema ta 'ħafna strutturi u proċessi bijoloġiċi fi ħdan organiżmu li jipproteġi kontra l-mard. Biex tiffunzjona kif suppost, sistema immuni għandha tiskopri varjetà wiesgħa ta 'aġenti, magħrufa bħala patoġeni, minn viruses għal dud parassitiku, u tiddistingwihom mit-tessut b'saħħtu tal-organiżmu stess. F’ħafna speċi, is-sistema immunitarja tista ’tiġi kklassifikata f’subsistemi, bħas-sistema immuni innata kontra s-sistema immunitarja adattiva, jew l-immunità umoristika kontra l-immunità medjata miċ-ċelloli. Fil-bnedmin, il-barriera tad-demm-moħħ, l-ostaklu tal-fluwidu tad-demm-cerebrospinali, u l-ostakli simili tal-moħħ fluwidu jisseparaw is-sistema immuni periferali mis-sistema newroimmuni li tipproteġi l-moħħ.</v>
      </c>
    </row>
    <row r="14058" ht="15.75" customHeight="1">
      <c r="A14058" s="2" t="s">
        <v>14058</v>
      </c>
      <c r="B14058" s="2" t="str">
        <f>IFERROR(__xludf.DUMMYFUNCTION("GOOGLETRANSLATE(A14058, ""en"", ""mt"")"),"X'kien il-kunsens ġenerali li Johnson wasal fir-rigward tal-progress tal-Amerika dwar l-ispazju u jilħaq pożizzjoni ta 'tmexxija?")</f>
        <v>X'kien il-kunsens ġenerali li Johnson wasal fir-rigward tal-progress tal-Amerika dwar l-ispazju u jilħaq pożizzjoni ta 'tmexxija?</v>
      </c>
    </row>
    <row r="14059" ht="15.75" customHeight="1">
      <c r="A14059" s="2" t="s">
        <v>14059</v>
      </c>
      <c r="B14059" s="2" t="str">
        <f>IFERROR(__xludf.DUMMYFUNCTION("GOOGLETRANSLATE(A14059, ""en"", ""mt"")"),"Teorija tar-Relatività")</f>
        <v>Teorija tar-Relatività</v>
      </c>
    </row>
    <row r="14060" ht="15.75" customHeight="1">
      <c r="A14060" s="2" t="s">
        <v>14060</v>
      </c>
      <c r="B14060" s="2" t="str">
        <f>IFERROR(__xludf.DUMMYFUNCTION("GOOGLETRANSLATE(A14060, ""en"", ""mt"")"),"fil-fruntieri ta 'Varsavja")</f>
        <v>fil-fruntieri ta 'Varsavja</v>
      </c>
    </row>
    <row r="14061" ht="15.75" customHeight="1">
      <c r="A14061" s="2" t="s">
        <v>14061</v>
      </c>
      <c r="B14061" s="2" t="str">
        <f>IFERROR(__xludf.DUMMYFUNCTION("GOOGLETRANSLATE(A14061, ""en"", ""mt"")"),"residwu tal-forza")</f>
        <v>residwu tal-forza</v>
      </c>
    </row>
    <row r="14062" ht="15.75" customHeight="1">
      <c r="A14062" s="2" t="s">
        <v>14062</v>
      </c>
      <c r="B14062" s="2" t="str">
        <f>IFERROR(__xludf.DUMMYFUNCTION("GOOGLETRANSLATE(A14062, ""en"", ""mt"")"),"Matul l-istorja tagħha, il-Knisja Metodista Magħquda għamlet enfasi kbira fuq l-importanza tal-edukazzjoni. Bħala tali, il-Knisja Metodista Magħquda stabbiliet u hija affiljata ma 'madwar mitt kulleġġ u universitajiet fl-Istati Uniti, inkluża l-Università"&amp;" ta' Syracuse, Università ta 'Boston, Università Emory, Università Duke, Drew University, University of Denver, University of Evansville, u Southern Methodist Università. Ħafna huma membri tal-Assoċjazzjoni Internazzjonali tal-Iskejjel, Kulleġġi u Univers"&amp;"itajiet relatati mal-Metodisti. Il-knisja topera tliet mija u sittin skola u istituzzjonijiet barranin.")</f>
        <v>Matul l-istorja tagħha, il-Knisja Metodista Magħquda għamlet enfasi kbira fuq l-importanza tal-edukazzjoni. Bħala tali, il-Knisja Metodista Magħquda stabbiliet u hija affiljata ma 'madwar mitt kulleġġ u universitajiet fl-Istati Uniti, inkluża l-Università ta' Syracuse, Università ta 'Boston, Università Emory, Università Duke, Drew University, University of Denver, University of Evansville, u Southern Methodist Università. Ħafna huma membri tal-Assoċjazzjoni Internazzjonali tal-Iskejjel, Kulleġġi u Universitajiet relatati mal-Metodisti. Il-knisja topera tliet mija u sittin skola u istituzzjonijiet barranin.</v>
      </c>
    </row>
    <row r="14063" ht="15.75" customHeight="1">
      <c r="A14063" s="2" t="s">
        <v>14063</v>
      </c>
      <c r="B14063" s="2" t="str">
        <f>IFERROR(__xludf.DUMMYFUNCTION("GOOGLETRANSLATE(A14063, ""en"", ""mt"")"),"Liema linebacker mexxa l-Broncos fl-indirizz?")</f>
        <v>Liema linebacker mexxa l-Broncos fl-indirizz?</v>
      </c>
    </row>
    <row r="14064" ht="15.75" customHeight="1">
      <c r="A14064" s="2" t="s">
        <v>14064</v>
      </c>
      <c r="B14064" s="2" t="str">
        <f>IFERROR(__xludf.DUMMYFUNCTION("GOOGLETRANSLATE(A14064, ""en"", ""mt"")"),"Liema teknika kienet użata biex iżejnu n-naħa tal-lvant tal-bini?")</f>
        <v>Liema teknika kienet użata biex iżejnu n-naħa tal-lvant tal-bini?</v>
      </c>
    </row>
    <row r="14065" ht="15.75" customHeight="1">
      <c r="A14065" s="2" t="s">
        <v>14065</v>
      </c>
      <c r="B14065" s="2" t="str">
        <f>IFERROR(__xludf.DUMMYFUNCTION("GOOGLETRANSLATE(A14065, ""en"", ""mt"")"),"sezzjoni moderna kanalizzata")</f>
        <v>sezzjoni moderna kanalizzata</v>
      </c>
    </row>
    <row r="14066" ht="15.75" customHeight="1">
      <c r="A14066" s="2" t="s">
        <v>14066</v>
      </c>
      <c r="B14066" s="2" t="str">
        <f>IFERROR(__xludf.DUMMYFUNCTION("GOOGLETRANSLATE(A14066, ""en"", ""mt"")"),"L-S-IVB-200 intuża f'liema stadju tas-Saturn V?")</f>
        <v>L-S-IVB-200 intuża f'liema stadju tas-Saturn V?</v>
      </c>
    </row>
    <row r="14067" ht="15.75" customHeight="1">
      <c r="A14067" s="2" t="s">
        <v>14067</v>
      </c>
      <c r="B14067" s="2" t="str">
        <f>IFERROR(__xludf.DUMMYFUNCTION("GOOGLETRANSLATE(A14067, ""en"", ""mt"")"),"Xi jfisser li għoqda tkun ikkunsidrata indekomponibbli?")</f>
        <v>Xi jfisser li għoqda tkun ikkunsidrata indekomponibbli?</v>
      </c>
    </row>
    <row r="14068" ht="15.75" customHeight="1">
      <c r="A14068" s="2" t="s">
        <v>14068</v>
      </c>
      <c r="B14068" s="2" t="str">
        <f>IFERROR(__xludf.DUMMYFUNCTION("GOOGLETRANSLATE(A14068, ""en"", ""mt"")"),"Strang hija kelma Anglo-Sassona li tfisser dak bl-Ingliż modern?")</f>
        <v>Strang hija kelma Anglo-Sassona li tfisser dak bl-Ingliż modern?</v>
      </c>
    </row>
    <row r="14069" ht="15.75" customHeight="1">
      <c r="A14069" s="2" t="s">
        <v>14069</v>
      </c>
      <c r="B14069" s="2" t="str">
        <f>IFERROR(__xludf.DUMMYFUNCTION("GOOGLETRANSLATE(A14069, ""en"", ""mt"")"),"Ladner")</f>
        <v>Ladner</v>
      </c>
    </row>
    <row r="14070" ht="15.75" customHeight="1">
      <c r="A14070" s="2" t="s">
        <v>14070</v>
      </c>
      <c r="B14070" s="2" t="str">
        <f>IFERROR(__xludf.DUMMYFUNCTION("GOOGLETRANSLATE(A14070, ""en"", ""mt"")"),"Fost l-aktar esperimenti magħrufa fil-ġeoloġija strutturali hemm dawk li jinvolvu kunjardi orogeniċi, li huma żoni li fihom huma mibnija l-muntanji tul il-konfini konverġenti tal-pjanċa tettonika. Fil-verżjonijiet analoġiċi ta 'dawn l-esperimenti, saffi o"&amp;"rizzontali ta' ramel jinġibdu tul wiċċ aktar baxx f'waqfa ta 'wara, li tirriżulta f'disinji ta' ħsarat li jħarsu realistiċi u t-tkabbir ta 'lewn kritiku għax-xejn (l-angoli kollha jibqgħu l-istess) feles orogenic. Mudelli numeriċi jaħdmu bl-istess mod bħa"&amp;"l dawn il-mudelli analogi, għalkemm ħafna drabi huma aktar sofistikati u jistgħu jinkludu xejriet ta 'erożjoni u uplift fiċ-ċinturin tal-muntanji. Dan jgħin biex juri r-relazzjoni bejn l-erożjoni u l-forma tal-firxa tal-muntanji. Dawn l-istudji jistgħu wk"&amp;"oll jagħtu informazzjoni utli dwar il-mogħdijiet għall-metamorfiżmu permezz ta 'pressjoni, temperatura, spazju, u ħin.")</f>
        <v>Fost l-aktar esperimenti magħrufa fil-ġeoloġija strutturali hemm dawk li jinvolvu kunjardi orogeniċi, li huma żoni li fihom huma mibnija l-muntanji tul il-konfini konverġenti tal-pjanċa tettonika. Fil-verżjonijiet analoġiċi ta 'dawn l-esperimenti, saffi orizzontali ta' ramel jinġibdu tul wiċċ aktar baxx f'waqfa ta 'wara, li tirriżulta f'disinji ta' ħsarat li jħarsu realistiċi u t-tkabbir ta 'lewn kritiku għax-xejn (l-angoli kollha jibqgħu l-istess) feles orogenic. Mudelli numeriċi jaħdmu bl-istess mod bħal dawn il-mudelli analogi, għalkemm ħafna drabi huma aktar sofistikati u jistgħu jinkludu xejriet ta 'erożjoni u uplift fiċ-ċinturin tal-muntanji. Dan jgħin biex juri r-relazzjoni bejn l-erożjoni u l-forma tal-firxa tal-muntanji. Dawn l-istudji jistgħu wkoll jagħtu informazzjoni utli dwar il-mogħdijiet għall-metamorfiżmu permezz ta 'pressjoni, temperatura, spazju, u ħin.</v>
      </c>
    </row>
    <row r="14071" ht="15.75" customHeight="1">
      <c r="A14071" s="2" t="s">
        <v>14071</v>
      </c>
      <c r="B14071" s="2" t="str">
        <f>IFERROR(__xludf.DUMMYFUNCTION("GOOGLETRANSLATE(A14071, ""en"", ""mt"")"),"Min iddisinja l-iskrin Hereford?")</f>
        <v>Min iddisinja l-iskrin Hereford?</v>
      </c>
    </row>
    <row r="14072" ht="15.75" customHeight="1">
      <c r="A14072" s="2" t="s">
        <v>14072</v>
      </c>
      <c r="B14072" s="2" t="str">
        <f>IFERROR(__xludf.DUMMYFUNCTION("GOOGLETRANSLATE(A14072, ""en"", ""mt"")"),"il-ħbiberija tiegħu")</f>
        <v>il-ħbiberija tiegħu</v>
      </c>
    </row>
    <row r="14073" ht="15.75" customHeight="1">
      <c r="A14073" s="2" t="s">
        <v>14073</v>
      </c>
      <c r="B14073" s="2" t="str">
        <f>IFERROR(__xludf.DUMMYFUNCTION("GOOGLETRANSLATE(A14073, ""en"", ""mt"")"),"Liema qasam tax-xjenza tal-kompjuter huwa kkonċernat primarjament bid-determinazzjoni tal-probabbiltà ta 'jekk problema tistax tissolva jew le bl-użu ta' algoritmi?")</f>
        <v>Liema qasam tax-xjenza tal-kompjuter huwa kkonċernat primarjament bid-determinazzjoni tal-probabbiltà ta 'jekk problema tistax tissolva jew le bl-użu ta' algoritmi?</v>
      </c>
    </row>
    <row r="14074" ht="15.75" customHeight="1">
      <c r="A14074" s="2" t="s">
        <v>14074</v>
      </c>
      <c r="B14074" s="2" t="str">
        <f>IFERROR(__xludf.DUMMYFUNCTION("GOOGLETRANSLATE(A14074, ""en"", ""mt"")"),"vapuri merkantili.")</f>
        <v>vapuri merkantili.</v>
      </c>
    </row>
    <row r="14075" ht="15.75" customHeight="1">
      <c r="A14075" s="2" t="s">
        <v>14075</v>
      </c>
      <c r="B14075" s="2" t="str">
        <f>IFERROR(__xludf.DUMMYFUNCTION("GOOGLETRANSLATE(A14075, ""en"", ""mt"")"),"Vjaġġaturi tal-Fond")</f>
        <v>Vjaġġaturi tal-Fond</v>
      </c>
    </row>
    <row r="14076" ht="15.75" customHeight="1">
      <c r="A14076" s="2" t="s">
        <v>14076</v>
      </c>
      <c r="B14076" s="2" t="str">
        <f>IFERROR(__xludf.DUMMYFUNCTION("GOOGLETRANSLATE(A14076, ""en"", ""mt"")"),"is-sistema immuni")</f>
        <v>is-sistema immuni</v>
      </c>
    </row>
    <row r="14077" ht="15.75" customHeight="1">
      <c r="A14077" s="2" t="s">
        <v>14077</v>
      </c>
      <c r="B14077" s="2" t="str">
        <f>IFERROR(__xludf.DUMMYFUNCTION("GOOGLETRANSLATE(A14077, ""en"", ""mt"")"),"X'kienet ikkunsidrata r-Rhine għall-invażuri fid-WWII?")</f>
        <v>X'kienet ikkunsidrata r-Rhine għall-invażuri fid-WWII?</v>
      </c>
    </row>
    <row r="14078" ht="15.75" customHeight="1">
      <c r="A14078" s="2" t="s">
        <v>14078</v>
      </c>
      <c r="B14078" s="2" t="str">
        <f>IFERROR(__xludf.DUMMYFUNCTION("GOOGLETRANSLATE(A14078, ""en"", ""mt"")"),"Golovin")</f>
        <v>Golovin</v>
      </c>
    </row>
    <row r="14079" ht="15.75" customHeight="1">
      <c r="A14079" s="2" t="s">
        <v>14079</v>
      </c>
      <c r="B14079" s="2" t="str">
        <f>IFERROR(__xludf.DUMMYFUNCTION("GOOGLETRANSLATE(A14079, ""en"", ""mt"")"),"Meta r-Rhine joħroġ mill-Lag Constance b'liema triq joħroġ?")</f>
        <v>Meta r-Rhine joħroġ mill-Lag Constance b'liema triq joħroġ?</v>
      </c>
    </row>
    <row r="14080" ht="15.75" customHeight="1">
      <c r="A14080" s="2" t="s">
        <v>14080</v>
      </c>
      <c r="B14080" s="2" t="str">
        <f>IFERROR(__xludf.DUMMYFUNCTION("GOOGLETRANSLATE(A14080, ""en"", ""mt"")"),"Minbarra l-ipoteżi ta 'Riemann, ħafna iktar konġetturi li jduru dwar il-primes ġew maħluqa. Ħafna drabi jkollhom formulazzjoni elementari, ħafna minn dawn il-konġetturi rreżistew prova għal għexieren ta 'snin: l-erba' problemi ta 'Landau mill-1912 għadhom"&amp;" mhux solvuti. Waħda minnhom hija l-konġettura ta 'Goldbach, li tafferma li kull numru sħiħ n akbar minn 2 jista' jinkiteb bħala somma ta 'żewġ primes. Minn Frar 2011 [aġġornament], din il-konġettura ġiet ivverifikata għan-numri kollha sa n = 2 · 1017. Di"&amp;"kjarazzjonijiet aktar dgħajfa minn dan ġew ippruvati, pereżempju t-teorema ta 'Vinogradov tgħid li kull numru sħiħ fard kbir biżżejjed jista' jinkiteb bħala somma ta ' tliet primes. It-teorema ta 'Chen tgħid li kull numru kbir biżżejjed uniformi jista' ji"&amp;"ġi espress bħala s-somma ta 'prim u semiprime, il-prodott ta' żewġ primes. Ukoll, kwalunkwe numru sħiħ jista 'jinkiteb bħala s-somma ta' sitt primes. Il-fergħa tat-teorija tan-numri li tistudja dawn il-mistoqsijiet tissejjaħ teorija tan-numru tal-addittiv"&amp;".")</f>
        <v>Minbarra l-ipoteżi ta 'Riemann, ħafna iktar konġetturi li jduru dwar il-primes ġew maħluqa. Ħafna drabi jkollhom formulazzjoni elementari, ħafna minn dawn il-konġetturi rreżistew prova għal għexieren ta 'snin: l-erba' problemi ta 'Landau mill-1912 għadhom mhux solvuti. Waħda minnhom hija l-konġettura ta 'Goldbach, li tafferma li kull numru sħiħ n akbar minn 2 jista' jinkiteb bħala somma ta 'żewġ primes. Minn Frar 2011 [aġġornament], din il-konġettura ġiet ivverifikata għan-numri kollha sa n = 2 · 1017. Dikjarazzjonijiet aktar dgħajfa minn dan ġew ippruvati, pereżempju t-teorema ta 'Vinogradov tgħid li kull numru sħiħ fard kbir biżżejjed jista' jinkiteb bħala somma ta ' tliet primes. It-teorema ta 'Chen tgħid li kull numru kbir biżżejjed uniformi jista' jiġi espress bħala s-somma ta 'prim u semiprime, il-prodott ta' żewġ primes. Ukoll, kwalunkwe numru sħiħ jista 'jinkiteb bħala s-somma ta' sitt primes. Il-fergħa tat-teorija tan-numri li tistudja dawn il-mistoqsijiet tissejjaħ teorija tan-numru tal-addittiv.</v>
      </c>
    </row>
    <row r="14081" ht="15.75" customHeight="1">
      <c r="A14081" s="2" t="s">
        <v>14081</v>
      </c>
      <c r="B14081" s="2" t="str">
        <f>IFERROR(__xludf.DUMMYFUNCTION("GOOGLETRANSLATE(A14081, ""en"", ""mt"")"),"il-Moselle")</f>
        <v>il-Moselle</v>
      </c>
    </row>
    <row r="14082" ht="15.75" customHeight="1">
      <c r="A14082" s="2" t="s">
        <v>14082</v>
      </c>
      <c r="B14082" s="2" t="str">
        <f>IFERROR(__xludf.DUMMYFUNCTION("GOOGLETRANSLATE(A14082, ""en"", ""mt"")"),"Liema teorija waslet fl-1811 li ppreżentat is-suppożizzjoni ta 'molekuli diatomiċi?")</f>
        <v>Liema teorija waslet fl-1811 li ppreżentat is-suppożizzjoni ta 'molekuli diatomiċi?</v>
      </c>
    </row>
    <row r="14083" ht="15.75" customHeight="1">
      <c r="A14083" s="2" t="s">
        <v>14083</v>
      </c>
      <c r="B14083" s="2" t="str">
        <f>IFERROR(__xludf.DUMMYFUNCTION("GOOGLETRANSLATE(A14083, ""en"", ""mt"")"),"Ibbażat fuq l-opportunità")</f>
        <v>Ibbażat fuq l-opportunità</v>
      </c>
    </row>
    <row r="14084" ht="15.75" customHeight="1">
      <c r="A14084" s="2" t="s">
        <v>14084</v>
      </c>
      <c r="B14084" s="2" t="str">
        <f>IFERROR(__xludf.DUMMYFUNCTION("GOOGLETRANSLATE(A14084, ""en"", ""mt"")"),"F'liema sena spiċċa l-programm ta 'affiljat?")</f>
        <v>F'liema sena spiċċa l-programm ta 'affiljat?</v>
      </c>
    </row>
    <row r="14085" ht="15.75" customHeight="1">
      <c r="A14085" s="2" t="s">
        <v>14085</v>
      </c>
      <c r="B14085" s="2" t="str">
        <f>IFERROR(__xludf.DUMMYFUNCTION("GOOGLETRANSLATE(A14085, ""en"", ""mt"")"),"Il-Fall tal-1937")</f>
        <v>Il-Fall tal-1937</v>
      </c>
    </row>
    <row r="14086" ht="15.75" customHeight="1">
      <c r="A14086" s="2" t="s">
        <v>14086</v>
      </c>
      <c r="B14086" s="2" t="str">
        <f>IFERROR(__xludf.DUMMYFUNCTION("GOOGLETRANSLATE(A14086, ""en"", ""mt"")"),"Biex tirkupra s-sehem tas-suq")</f>
        <v>Biex tirkupra s-sehem tas-suq</v>
      </c>
    </row>
    <row r="14087" ht="15.75" customHeight="1">
      <c r="A14087" s="2" t="s">
        <v>14087</v>
      </c>
      <c r="B14087" s="2" t="str">
        <f>IFERROR(__xludf.DUMMYFUNCTION("GOOGLETRANSLATE(A14087, ""en"", ""mt"")"),"L-ekonomija tan-Nofsinhar ta 'California hija diversa u waħda mill-ikbar fl-Istati Uniti. Huwa ddominat u jiddependi ħafna mill-abbundanza ta 'pitrolju, għall-kuntrarju ta' reġjuni oħra fejn il-karozzi mhumiex daqshekk dominanti, il-maġġoranza l-kbira tat"&amp;"-trasport jimxu fuq dan il-fjuwil. In-Nofsinhar ta ’California huwa famuż għat-Turiżmu u Hollywood (film, televiżjoni, u mużika). Industriji oħra jinkludu softwer, karozzi, portijiet, finanzi, turiżmu, bijomediku, u loġistika reġjonali. Ir-reġjun kien mex"&amp;"xej fil-bużżieqa tad-djar 2001-2007, u ġie milqut ħafna mill-ħabta tad-djar.")</f>
        <v>L-ekonomija tan-Nofsinhar ta 'California hija diversa u waħda mill-ikbar fl-Istati Uniti. Huwa ddominat u jiddependi ħafna mill-abbundanza ta 'pitrolju, għall-kuntrarju ta' reġjuni oħra fejn il-karozzi mhumiex daqshekk dominanti, il-maġġoranza l-kbira tat-trasport jimxu fuq dan il-fjuwil. In-Nofsinhar ta ’California huwa famuż għat-Turiżmu u Hollywood (film, televiżjoni, u mużika). Industriji oħra jinkludu softwer, karozzi, portijiet, finanzi, turiżmu, bijomediku, u loġistika reġjonali. Ir-reġjun kien mexxej fil-bużżieqa tad-djar 2001-2007, u ġie milqut ħafna mill-ħabta tad-djar.</v>
      </c>
    </row>
    <row r="14088" ht="15.75" customHeight="1">
      <c r="A14088" s="2" t="s">
        <v>14088</v>
      </c>
      <c r="B14088" s="2" t="str">
        <f>IFERROR(__xludf.DUMMYFUNCTION("GOOGLETRANSLATE(A14088, ""en"", ""mt"")"),"Konsorzju ta ’diversi kuntratturi")</f>
        <v>Konsorzju ta ’diversi kuntratturi</v>
      </c>
    </row>
    <row r="14089" ht="15.75" customHeight="1">
      <c r="A14089" s="2" t="s">
        <v>14089</v>
      </c>
      <c r="B14089" s="2" t="str">
        <f>IFERROR(__xludf.DUMMYFUNCTION("GOOGLETRANSLATE(A14089, ""en"", ""mt"")"),"Klassi Olimpika")</f>
        <v>Klassi Olimpika</v>
      </c>
    </row>
    <row r="14090" ht="15.75" customHeight="1">
      <c r="A14090" s="2" t="s">
        <v>14090</v>
      </c>
      <c r="B14090" s="2" t="str">
        <f>IFERROR(__xludf.DUMMYFUNCTION("GOOGLETRANSLATE(A14090, ""en"", ""mt"")"),"ditti tas-servizzi tal-kostruzzjoni (per eżempju, inġinerija, arkitettura) u maniġers tal-kostruzzjoni")</f>
        <v>ditti tas-servizzi tal-kostruzzjoni (per eżempju, inġinerija, arkitettura) u maniġers tal-kostruzzjoni</v>
      </c>
    </row>
    <row r="14091" ht="15.75" customHeight="1">
      <c r="A14091" s="2" t="s">
        <v>14091</v>
      </c>
      <c r="B14091" s="2" t="str">
        <f>IFERROR(__xludf.DUMMYFUNCTION("GOOGLETRANSLATE(A14091, ""en"", ""mt"")"),"Xi jfisser il-mudell għall-kontijiet mgħoddija mill-Parlament Skoċċiż?")</f>
        <v>Xi jfisser il-mudell għall-kontijiet mgħoddija mill-Parlament Skoċċiż?</v>
      </c>
    </row>
    <row r="14092" ht="15.75" customHeight="1">
      <c r="A14092" s="2" t="s">
        <v>14092</v>
      </c>
      <c r="B14092" s="2" t="str">
        <f>IFERROR(__xludf.DUMMYFUNCTION("GOOGLETRANSLATE(A14092, ""en"", ""mt"")"),"Baiju")</f>
        <v>Baiju</v>
      </c>
    </row>
    <row r="14093" ht="15.75" customHeight="1">
      <c r="A14093" s="2" t="s">
        <v>14093</v>
      </c>
      <c r="B14093" s="2" t="str">
        <f>IFERROR(__xludf.DUMMYFUNCTION("GOOGLETRANSLATE(A14093, ""en"", ""mt"")"),"Il-Kummissjoni Santer")</f>
        <v>Il-Kummissjoni Santer</v>
      </c>
    </row>
    <row r="14094" ht="15.75" customHeight="1">
      <c r="A14094" s="2" t="s">
        <v>14094</v>
      </c>
      <c r="B14094" s="2" t="str">
        <f>IFERROR(__xludf.DUMMYFUNCTION("GOOGLETRANSLATE(A14094, ""en"", ""mt"")"),"F'liema direzzjoni tinsab in-naħa tal-punent tal-viċinat ta 'Fresno għad-99 Freeway?")</f>
        <v>F'liema direzzjoni tinsab in-naħa tal-punent tal-viċinat ta 'Fresno għad-99 Freeway?</v>
      </c>
    </row>
    <row r="14095" ht="15.75" customHeight="1">
      <c r="A14095" s="2" t="s">
        <v>14095</v>
      </c>
      <c r="B14095" s="2" t="str">
        <f>IFERROR(__xludf.DUMMYFUNCTION("GOOGLETRANSLATE(A14095, ""en"", ""mt"")"),"Meta ġie abolit il-kalifat Ottoman?")</f>
        <v>Meta ġie abolit il-kalifat Ottoman?</v>
      </c>
    </row>
    <row r="14096" ht="15.75" customHeight="1">
      <c r="A14096" s="2" t="s">
        <v>14096</v>
      </c>
      <c r="B14096" s="2" t="str">
        <f>IFERROR(__xludf.DUMMYFUNCTION("GOOGLETRANSLATE(A14096, ""en"", ""mt"")"),"Liema duttrina ppromwoviet id-duttrina tal-prinċipji tal-ġeoloġija?")</f>
        <v>Liema duttrina ppromwoviet id-duttrina tal-prinċipji tal-ġeoloġija?</v>
      </c>
    </row>
    <row r="14097" ht="15.75" customHeight="1">
      <c r="A14097" s="2" t="s">
        <v>14097</v>
      </c>
      <c r="B14097" s="2" t="str">
        <f>IFERROR(__xludf.DUMMYFUNCTION("GOOGLETRANSLATE(A14097, ""en"", ""mt"")"),"Il-foresta tropikali fiha diversi speċi li jistgħu joħolqu periklu. Fost l-akbar kreaturi predatorji hemm il-Caiman Iswed, Jaguar, Cougar, u Anaconda. Fix-xmara, is-sallur elettriku jista 'jipproduċi xokk elettriku li jista' jinqata 'jew joqtol, filwaqt l"&amp;"i Piranha huma magħrufa li gidma u jweġġgħu lill-bnedmin. Diversi speċi ta 'żrinġijiet tal-velenu jnixxu tossini alkalojdi lipofiliċi minn laħamhom. Hemm ukoll bosta parassiti u vettori tal-mard. Il-friefet il-lejl tal-vampire joqogħdu fil-foresta tropika"&amp;"li u jistgħu jxerrdu l-virus tar-rabbja. Il-malarja, id-deni isfar u d-deni tad-dengue jistgħu wkoll jiġu kkuntrattati fir-reġjun tal-Amażonja.")</f>
        <v>Il-foresta tropikali fiha diversi speċi li jistgħu joħolqu periklu. Fost l-akbar kreaturi predatorji hemm il-Caiman Iswed, Jaguar, Cougar, u Anaconda. Fix-xmara, is-sallur elettriku jista 'jipproduċi xokk elettriku li jista' jinqata 'jew joqtol, filwaqt li Piranha huma magħrufa li gidma u jweġġgħu lill-bnedmin. Diversi speċi ta 'żrinġijiet tal-velenu jnixxu tossini alkalojdi lipofiliċi minn laħamhom. Hemm ukoll bosta parassiti u vettori tal-mard. Il-friefet il-lejl tal-vampire joqogħdu fil-foresta tropikali u jistgħu jxerrdu l-virus tar-rabbja. Il-malarja, id-deni isfar u d-deni tad-dengue jistgħu wkoll jiġu kkuntrattati fir-reġjun tal-Amażonja.</v>
      </c>
    </row>
    <row r="14098" ht="15.75" customHeight="1">
      <c r="A14098" s="2" t="s">
        <v>14098</v>
      </c>
      <c r="B14098" s="2" t="str">
        <f>IFERROR(__xludf.DUMMYFUNCTION("GOOGLETRANSLATE(A14098, ""en"", ""mt"")"),"moxt ġelatina.")</f>
        <v>moxt ġelatina.</v>
      </c>
    </row>
    <row r="14099" ht="15.75" customHeight="1">
      <c r="A14099" s="2" t="s">
        <v>14099</v>
      </c>
      <c r="B14099" s="2" t="str">
        <f>IFERROR(__xludf.DUMMYFUNCTION("GOOGLETRANSLATE(A14099, ""en"", ""mt"")"),"Min kien il-fundatur ta 'CBS?")</f>
        <v>Min kien il-fundatur ta 'CBS?</v>
      </c>
    </row>
    <row r="14100" ht="15.75" customHeight="1">
      <c r="A14100" s="2" t="s">
        <v>14100</v>
      </c>
      <c r="B14100" s="2" t="str">
        <f>IFERROR(__xludf.DUMMYFUNCTION("GOOGLETRANSLATE(A14100, ""en"", ""mt"")"),"ABC Sports")</f>
        <v>ABC Sports</v>
      </c>
    </row>
    <row r="14101" ht="15.75" customHeight="1">
      <c r="A14101" s="2" t="s">
        <v>14101</v>
      </c>
      <c r="B14101" s="2" t="str">
        <f>IFERROR(__xludf.DUMMYFUNCTION("GOOGLETRANSLATE(A14101, ""en"", ""mt"")"),"Widener")</f>
        <v>Widener</v>
      </c>
    </row>
    <row r="14102" ht="15.75" customHeight="1">
      <c r="A14102" s="2" t="s">
        <v>14102</v>
      </c>
      <c r="B14102" s="2" t="str">
        <f>IFERROR(__xludf.DUMMYFUNCTION("GOOGLETRANSLATE(A14102, ""en"", ""mt"")"),"Aktar minn 26,000 kilometru kwadru (10,000 sq mi) ta 'art agrikola Vittorjana jinżergħu għall-qamħ, l-aktar fil-punent tal-istat. Aktar minn 50% ta 'din iż-żona hija miżrugħa għall-qamħ, 33% għal xgħir u 7% għall-ħafur. 6,000 kilometru kwadru ieħor (2,300"&amp;" sq mi) jinżergħu għall-ħuxlief. Fl-2003–04, il-bdiewa Vittorjani pproduċew aktar minn 3 miljun tunnellata ta 'qamħ u 2 miljun tunnellata ta' xgħir. L-irziezet Vittorjani jipproduċu kważi 90% tal-lanġas Awstraljani u t-tielet tuffieħ. Huwa wkoll mexxej fi"&amp;"l-produzzjoni tal-frott tal-ġebel. L-uċuħ tal-ħaxix ewlenin jinkludu l-ispraġ, il-brokkoli, il-karrotti, il-patata u t-tadam. Is-sena li għaddiet, ġew prodotti 121,200 tunnellata ta ’lanġas u 270,000 tunnellata tadam.")</f>
        <v>Aktar minn 26,000 kilometru kwadru (10,000 sq mi) ta 'art agrikola Vittorjana jinżergħu għall-qamħ, l-aktar fil-punent tal-istat. Aktar minn 50% ta 'din iż-żona hija miżrugħa għall-qamħ, 33% għal xgħir u 7% għall-ħafur. 6,000 kilometru kwadru ieħor (2,300 sq mi) jinżergħu għall-ħuxlief. Fl-2003–04, il-bdiewa Vittorjani pproduċew aktar minn 3 miljun tunnellata ta 'qamħ u 2 miljun tunnellata ta' xgħir. L-irziezet Vittorjani jipproduċu kważi 90% tal-lanġas Awstraljani u t-tielet tuffieħ. Huwa wkoll mexxej fil-produzzjoni tal-frott tal-ġebel. L-uċuħ tal-ħaxix ewlenin jinkludu l-ispraġ, il-brokkoli, il-karrotti, il-patata u t-tadam. Is-sena li għaddiet, ġew prodotti 121,200 tunnellata ta ’lanġas u 270,000 tunnellata tadam.</v>
      </c>
    </row>
    <row r="14103" ht="15.75" customHeight="1">
      <c r="A14103" s="2" t="s">
        <v>14103</v>
      </c>
      <c r="B14103" s="2" t="str">
        <f>IFERROR(__xludf.DUMMYFUNCTION("GOOGLETRANSLATE(A14103, ""en"", ""mt"")"),"Min għandu t-tort talli aġixxa inġustament?")</f>
        <v>Min għandu t-tort talli aġixxa inġustament?</v>
      </c>
    </row>
    <row r="14104" ht="15.75" customHeight="1">
      <c r="A14104" s="2" t="s">
        <v>14104</v>
      </c>
      <c r="B14104" s="2" t="str">
        <f>IFERROR(__xludf.DUMMYFUNCTION("GOOGLETRANSLATE(A14104, ""en"", ""mt"")"),"bitti")</f>
        <v>bitti</v>
      </c>
    </row>
    <row r="14105" ht="15.75" customHeight="1">
      <c r="A14105" s="2" t="s">
        <v>14105</v>
      </c>
      <c r="B14105" s="2" t="str">
        <f>IFERROR(__xludf.DUMMYFUNCTION("GOOGLETRANSLATE(A14105, ""en"", ""mt"")"),"55 mph")</f>
        <v>55 mph</v>
      </c>
    </row>
    <row r="14106" ht="15.75" customHeight="1">
      <c r="A14106" s="2" t="s">
        <v>14106</v>
      </c>
      <c r="B14106" s="2" t="str">
        <f>IFERROR(__xludf.DUMMYFUNCTION("GOOGLETRANSLATE(A14106, ""en"", ""mt"")"),"George B. Storer")</f>
        <v>George B. Storer</v>
      </c>
    </row>
    <row r="14107" ht="15.75" customHeight="1">
      <c r="A14107" s="2" t="s">
        <v>14107</v>
      </c>
      <c r="B14107" s="2" t="str">
        <f>IFERROR(__xludf.DUMMYFUNCTION("GOOGLETRANSLATE(A14107, ""en"", ""mt"")"),"Klassi I MHC")</f>
        <v>Klassi I MHC</v>
      </c>
    </row>
    <row r="14108" ht="15.75" customHeight="1">
      <c r="A14108" s="2" t="s">
        <v>14108</v>
      </c>
      <c r="B14108" s="2" t="str">
        <f>IFERROR(__xludf.DUMMYFUNCTION("GOOGLETRANSLATE(A14108, ""en"", ""mt"")"),"€ 27,814")</f>
        <v>€ 27,814</v>
      </c>
    </row>
    <row r="14109" ht="15.75" customHeight="1">
      <c r="A14109" s="2" t="s">
        <v>14109</v>
      </c>
      <c r="B14109" s="2" t="str">
        <f>IFERROR(__xludf.DUMMYFUNCTION("GOOGLETRANSLATE(A14109, ""en"", ""mt"")"),"Albany")</f>
        <v>Albany</v>
      </c>
    </row>
    <row r="14110" ht="15.75" customHeight="1">
      <c r="A14110" s="2" t="s">
        <v>14110</v>
      </c>
      <c r="B14110" s="2" t="str">
        <f>IFERROR(__xludf.DUMMYFUNCTION("GOOGLETRANSLATE(A14110, ""en"", ""mt"")"),"arrest")</f>
        <v>arrest</v>
      </c>
    </row>
    <row r="14111" ht="15.75" customHeight="1">
      <c r="A14111" s="2" t="s">
        <v>14111</v>
      </c>
      <c r="B14111" s="2" t="str">
        <f>IFERROR(__xludf.DUMMYFUNCTION("GOOGLETRANSLATE(A14111, ""en"", ""mt"")"),"Melbourne Cricket Ground")</f>
        <v>Melbourne Cricket Ground</v>
      </c>
    </row>
    <row r="14112" ht="15.75" customHeight="1">
      <c r="A14112" s="2" t="s">
        <v>14112</v>
      </c>
      <c r="B14112" s="2" t="str">
        <f>IFERROR(__xludf.DUMMYFUNCTION("GOOGLETRANSLATE(A14112, ""en"", ""mt"")"),"Wara l-1850")</f>
        <v>Wara l-1850</v>
      </c>
    </row>
    <row r="14113" ht="15.75" customHeight="1">
      <c r="A14113" s="2" t="s">
        <v>14113</v>
      </c>
      <c r="B14113" s="2" t="str">
        <f>IFERROR(__xludf.DUMMYFUNCTION("GOOGLETRANSLATE(A14113, ""en"", ""mt"")"),"F'liema sena Luther kiseb il-grad tiegħu?")</f>
        <v>F'liema sena Luther kiseb il-grad tiegħu?</v>
      </c>
    </row>
    <row r="14114" ht="15.75" customHeight="1">
      <c r="A14114" s="2" t="s">
        <v>14114</v>
      </c>
      <c r="B14114" s="2" t="str">
        <f>IFERROR(__xludf.DUMMYFUNCTION("GOOGLETRANSLATE(A14114, ""en"", ""mt"")"),"Il-gass tal-ossiġnu jista 'jiġi prodott ukoll permezz ta' elettroliżi ta 'l-ilma f'ossiġenu molekulari u idroġenu. L-elettriku DC għandu jintuża: Jekk jintuża AC, il-gassijiet f'kull parti tikkonsistu minn idroġenu u ossiġenu fil-proporzjon splussiv 2: 1."&amp;" Kuntrarju għat-twemmin popolari, il-proporzjon 2: 1 osservat fl-elettroliżi DC ta 'ilma aċidifikat ma jipprovax li l-formula empirika ta' l-ilma hija H2O sakemm ma jsirux ċerti suppożizzjonijiet dwar il-formuli molekulari ta 'l-idroġenu u l-ossiġenu nfus"&amp;"hom. Metodu simili huwa l-o elettrokatalitiku
2 Evoluzzjoni minn ossidi u oxoacids. Katalizzaturi kimiċi jistgħu jintużaw ukoll, bħal fil-ġeneraturi tal-ossiġnu kimiku jew xemgħat ta 'ossiġnu li jintużaw bħala parti mit-tagħmir ta' appoġġ għall-ħajja fuq "&amp;"sottomarini, u għadhom parti minn tagħmir standard fuq linji tal-ajru kummerċjali f'każ ta 'emerġenzi ta' depressurizzazzjoni. Teknoloġija oħra ta 'separazzjoni ta' l-arja tinvolvi li l-arja tinħall permezz ta 'membrani taċ-ċeramika bbażati fuq dijossidu "&amp;"taż-żirkonju jew bi pressjoni għolja jew minn kurrent elettriku, biex tipproduċi kważi o pur
2 gass.")</f>
        <v>Il-gass tal-ossiġnu jista 'jiġi prodott ukoll permezz ta' elettroliżi ta 'l-ilma f'ossiġenu molekulari u idroġenu. L-elettriku DC għandu jintuża: Jekk jintuża AC, il-gassijiet f'kull parti tikkonsistu minn idroġenu u ossiġenu fil-proporzjon splussiv 2: 1. Kuntrarju għat-twemmin popolari, il-proporzjon 2: 1 osservat fl-elettroliżi DC ta 'ilma aċidifikat ma jipprovax li l-formula empirika ta' l-ilma hija H2O sakemm ma jsirux ċerti suppożizzjonijiet dwar il-formuli molekulari ta 'l-idroġenu u l-ossiġenu nfushom. Metodu simili huwa l-o elettrokatalitiku
2 Evoluzzjoni minn ossidi u oxoacids. Katalizzaturi kimiċi jistgħu jintużaw ukoll, bħal fil-ġeneraturi tal-ossiġnu kimiku jew xemgħat ta 'ossiġnu li jintużaw bħala parti mit-tagħmir ta' appoġġ għall-ħajja fuq sottomarini, u għadhom parti minn tagħmir standard fuq linji tal-ajru kummerċjali f'każ ta 'emerġenzi ta' depressurizzazzjoni. Teknoloġija oħra ta 'separazzjoni ta' l-arja tinvolvi li l-arja tinħall permezz ta 'membrani taċ-ċeramika bbażati fuq dijossidu taż-żirkonju jew bi pressjoni għolja jew minn kurrent elettriku, biex tipproduċi kważi o pur
2 gass.</v>
      </c>
    </row>
    <row r="14115" ht="15.75" customHeight="1">
      <c r="A14115" s="2" t="s">
        <v>14115</v>
      </c>
      <c r="B14115" s="2" t="str">
        <f>IFERROR(__xludf.DUMMYFUNCTION("GOOGLETRANSLATE(A14115, ""en"", ""mt"")"),"marġinalment aktar min-normal")</f>
        <v>marġinalment aktar min-normal</v>
      </c>
    </row>
    <row r="14116" ht="15.75" customHeight="1">
      <c r="A14116" s="2" t="s">
        <v>14116</v>
      </c>
      <c r="B14116" s="2" t="str">
        <f>IFERROR(__xludf.DUMMYFUNCTION("GOOGLETRANSLATE(A14116, ""en"", ""mt"")"),"Fil-ħarifa ta 'l-1949, ABC sab ruħu fil-pożizzjoni ta' barrani, b'inqas kopertura minn tnejn min-netwerks li jikkompetu, CBS u NBC, minkejja li kienet fl-istess mod magħhom f'xi bliet kbar u kellha headstart fuq it-tielet rivali tagħha Dak iż-żmien, in-Ne"&amp;"twerk tat-Televiżjoni Dumont. Qabel ma ntemmet l-iffriżar fl-1952, kien hemm biss 108 stazzjonijiet tat-televiżjoni eżistenti fl-Istati Uniti; Ftit bliet kbar (bħal Boston) kellhom biss żewġ stazzjonijiet televiżivi, ħafna bliet oħra (bħal Pittsburgh u St"&amp;" Louis) kellhom waħda biss, u għadhom ħafna oħrajn (bħal Denver u Portland) għadhom ma kellhom l-ebda servizz televiżiv. Ir-riżultat kien perjodu stramb fejn it-televiżjoni iffjorixxa f'ċerti oqsma u r-radju tan-netwerk baqa 's-sors ewlieni ta' divertimen"&amp;"t u aħbarijiet ta 'xandir f'oħrajn.")</f>
        <v>Fil-ħarifa ta 'l-1949, ABC sab ruħu fil-pożizzjoni ta' barrani, b'inqas kopertura minn tnejn min-netwerks li jikkompetu, CBS u NBC, minkejja li kienet fl-istess mod magħhom f'xi bliet kbar u kellha headstart fuq it-tielet rivali tagħha Dak iż-żmien, in-Netwerk tat-Televiżjoni Dumont. Qabel ma ntemmet l-iffriżar fl-1952, kien hemm biss 108 stazzjonijiet tat-televiżjoni eżistenti fl-Istati Uniti; Ftit bliet kbar (bħal Boston) kellhom biss żewġ stazzjonijiet televiżivi, ħafna bliet oħra (bħal Pittsburgh u St Louis) kellhom waħda biss, u għadhom ħafna oħrajn (bħal Denver u Portland) għadhom ma kellhom l-ebda servizz televiżiv. Ir-riżultat kien perjodu stramb fejn it-televiżjoni iffjorixxa f'ċerti oqsma u r-radju tan-netwerk baqa 's-sors ewlieni ta' divertiment u aħbarijiet ta 'xandir f'oħrajn.</v>
      </c>
    </row>
    <row r="14117" ht="15.75" customHeight="1">
      <c r="A14117" s="2" t="s">
        <v>14117</v>
      </c>
      <c r="B14117" s="2" t="str">
        <f>IFERROR(__xludf.DUMMYFUNCTION("GOOGLETRANSLATE(A14117, ""en"", ""mt"")"),"X’kritika Lindzen dwar is-sommarju għal dawk li jfasslu l-politika?")</f>
        <v>X’kritika Lindzen dwar is-sommarju għal dawk li jfasslu l-politika?</v>
      </c>
    </row>
    <row r="14118" ht="15.75" customHeight="1">
      <c r="A14118" s="2" t="s">
        <v>14118</v>
      </c>
      <c r="B14118" s="2" t="str">
        <f>IFERROR(__xludf.DUMMYFUNCTION("GOOGLETRANSLATE(A14118, ""en"", ""mt"")"),"Mediċini ġodda li għandhom bżonn jinħażnu kif suppost, amministrati, immonitorjati bir-reqqa, u ġestiti klinikament")</f>
        <v>Mediċini ġodda li għandhom bżonn jinħażnu kif suppost, amministrati, immonitorjati bir-reqqa, u ġestiti klinikament</v>
      </c>
    </row>
    <row r="14119" ht="15.75" customHeight="1">
      <c r="A14119" s="2" t="s">
        <v>14119</v>
      </c>
      <c r="B14119" s="2" t="str">
        <f>IFERROR(__xludf.DUMMYFUNCTION("GOOGLETRANSLATE(A14119, ""en"", ""mt"")"),"Il-kapaċità attwali tal-fluss spazjali uman tan-NASA, u l-kostruzzjoni ffinanzjata taċ-Ċentru Spazjali Johnson u ċ-Ċentru Spazjali Kennedy tagħha")</f>
        <v>Il-kapaċità attwali tal-fluss spazjali uman tan-NASA, u l-kostruzzjoni ffinanzjata taċ-Ċentru Spazjali Johnson u ċ-Ċentru Spazjali Kennedy tagħha</v>
      </c>
    </row>
    <row r="14120" ht="15.75" customHeight="1">
      <c r="A14120" s="2" t="s">
        <v>14120</v>
      </c>
      <c r="B14120" s="2" t="str">
        <f>IFERROR(__xludf.DUMMYFUNCTION("GOOGLETRANSLATE(A14120, ""en"", ""mt"")"),"Skond l-Uffiċċju taċ-Ċensiment ta 'l-Istati Uniti, il-belt għandha erja totali ta' 874.3 mil kwadru (2,264 km2), li tagħmel lil Jacksonville l-akbar belt fiż-żona tal-art fl-Istati Uniti kontigwi; Minn dan, 86.66% (757.7 sq mi jew 1,962 km2) huwa art u; 1"&amp;"3.34% (116.7 sq mi jew 302 km2) huwa ilma. Jacksonville jdawwar il-belt ta ’Baldwin. Il-Kontea ta 'Nassau tinsab fit-tramuntana, il-Kontea ta' Baker tinsab fil-punent, u Clay u San Ġwann County jinsabu fin-nofsinhar; L-Oċean Atlantiku jinsab lejn il-lvant"&amp;", flimkien mal-bajjiet ta 'Jacksonville. Ix-Xmara San Ġwann taqsam il-belt. Ix-Xmara Trout, tributarju ewlieni tax-Xmara San Ġwann, tinsab kompletament ġewwa Jacksonville.")</f>
        <v>Skond l-Uffiċċju taċ-Ċensiment ta 'l-Istati Uniti, il-belt għandha erja totali ta' 874.3 mil kwadru (2,264 km2), li tagħmel lil Jacksonville l-akbar belt fiż-żona tal-art fl-Istati Uniti kontigwi; Minn dan, 86.66% (757.7 sq mi jew 1,962 km2) huwa art u; 13.34% (116.7 sq mi jew 302 km2) huwa ilma. Jacksonville jdawwar il-belt ta ’Baldwin. Il-Kontea ta 'Nassau tinsab fit-tramuntana, il-Kontea ta' Baker tinsab fil-punent, u Clay u San Ġwann County jinsabu fin-nofsinhar; L-Oċean Atlantiku jinsab lejn il-lvant, flimkien mal-bajjiet ta 'Jacksonville. Ix-Xmara San Ġwann taqsam il-belt. Ix-Xmara Trout, tributarju ewlieni tax-Xmara San Ġwann, tinsab kompletament ġewwa Jacksonville.</v>
      </c>
    </row>
    <row r="14121" ht="15.75" customHeight="1">
      <c r="A14121" s="2" t="s">
        <v>14121</v>
      </c>
      <c r="B14121" s="2" t="str">
        <f>IFERROR(__xludf.DUMMYFUNCTION("GOOGLETRANSLATE(A14121, ""en"", ""mt"")"),"Kif bdiet il-gwerra?")</f>
        <v>Kif bdiet il-gwerra?</v>
      </c>
    </row>
    <row r="14122" ht="15.75" customHeight="1">
      <c r="A14122" s="2" t="s">
        <v>14122</v>
      </c>
      <c r="B14122" s="2" t="str">
        <f>IFERROR(__xludf.DUMMYFUNCTION("GOOGLETRANSLATE(A14122, ""en"", ""mt"")"),"Fl-2009, Disney laħqet ftehim biex tixtri liema perċentwali sehem f'Hulu?")</f>
        <v>Fl-2009, Disney laħqet ftehim biex tixtri liema perċentwali sehem f'Hulu?</v>
      </c>
    </row>
    <row r="14123" ht="15.75" customHeight="1">
      <c r="A14123" s="2" t="s">
        <v>14123</v>
      </c>
      <c r="B14123" s="2" t="str">
        <f>IFERROR(__xludf.DUMMYFUNCTION("GOOGLETRANSLATE(A14123, ""en"", ""mt"")"),"Liema sena kienet l-aħħar darba li seħħet ir-ritorn fumble bħal dan?")</f>
        <v>Liema sena kienet l-aħħar darba li seħħet ir-ritorn fumble bħal dan?</v>
      </c>
    </row>
    <row r="14124" ht="15.75" customHeight="1">
      <c r="A14124" s="2" t="s">
        <v>14124</v>
      </c>
      <c r="B14124" s="2" t="str">
        <f>IFERROR(__xludf.DUMMYFUNCTION("GOOGLETRANSLATE(A14124, ""en"", ""mt"")"),"Tabib tal-Ispiżerija (Pharm. D.)")</f>
        <v>Tabib tal-Ispiżerija (Pharm. D.)</v>
      </c>
    </row>
    <row r="14125" ht="15.75" customHeight="1">
      <c r="A14125" s="2" t="s">
        <v>14125</v>
      </c>
      <c r="B14125" s="2" t="str">
        <f>IFERROR(__xludf.DUMMYFUNCTION("GOOGLETRANSLATE(A14125, ""en"", ""mt"")"),"Espost għall-iskrutinju.")</f>
        <v>Espost għall-iskrutinju.</v>
      </c>
    </row>
    <row r="14126" ht="15.75" customHeight="1">
      <c r="A14126" s="2" t="s">
        <v>14126</v>
      </c>
      <c r="B14126" s="2" t="str">
        <f>IFERROR(__xludf.DUMMYFUNCTION("GOOGLETRANSLATE(A14126, ""en"", ""mt"")"),"L-Ungeriżi taħt Ferenc Deák")</f>
        <v>L-Ungeriżi taħt Ferenc Deák</v>
      </c>
    </row>
    <row r="14127" ht="15.75" customHeight="1">
      <c r="A14127" s="2" t="s">
        <v>14127</v>
      </c>
      <c r="B14127" s="2" t="str">
        <f>IFERROR(__xludf.DUMMYFUNCTION("GOOGLETRANSLATE(A14127, ""en"", ""mt"")"),"F’xi iljieli kif ħadmet Tesla tard sa?")</f>
        <v>F’xi iljieli kif ħadmet Tesla tard sa?</v>
      </c>
    </row>
    <row r="14128" ht="15.75" customHeight="1">
      <c r="A14128" s="2" t="s">
        <v>14128</v>
      </c>
      <c r="B14128" s="2" t="str">
        <f>IFERROR(__xludf.DUMMYFUNCTION("GOOGLETRANSLATE(A14128, ""en"", ""mt"")"),"X'kien il-pjan ta 'Tesla biex l-istudenti ""jleqqu""?")</f>
        <v>X'kien il-pjan ta 'Tesla biex l-istudenti "jleqqu"?</v>
      </c>
    </row>
    <row r="14129" ht="15.75" customHeight="1">
      <c r="A14129" s="2" t="s">
        <v>14129</v>
      </c>
      <c r="B14129" s="2" t="str">
        <f>IFERROR(__xludf.DUMMYFUNCTION("GOOGLETRANSLATE(A14129, ""en"", ""mt"")"),"Meta spiċċat id-dinastija Jin?")</f>
        <v>Meta spiċċat id-dinastija Jin?</v>
      </c>
    </row>
    <row r="14130" ht="15.75" customHeight="1">
      <c r="A14130" s="2" t="s">
        <v>14130</v>
      </c>
      <c r="B14130" s="2" t="str">
        <f>IFERROR(__xludf.DUMMYFUNCTION("GOOGLETRANSLATE(A14130, ""en"", ""mt"")"),"2p + 1 bi P prim")</f>
        <v>2p + 1 bi P prim</v>
      </c>
    </row>
    <row r="14131" ht="15.75" customHeight="1">
      <c r="A14131" s="2" t="s">
        <v>14131</v>
      </c>
      <c r="B14131" s="2" t="str">
        <f>IFERROR(__xludf.DUMMYFUNCTION("GOOGLETRANSLATE(A14131, ""en"", ""mt"")"),"Dynamo Electric Machine Commutaturi")</f>
        <v>Dynamo Electric Machine Commutaturi</v>
      </c>
    </row>
    <row r="14132" ht="15.75" customHeight="1">
      <c r="A14132" s="2" t="s">
        <v>14132</v>
      </c>
      <c r="B14132" s="2" t="str">
        <f>IFERROR(__xludf.DUMMYFUNCTION("GOOGLETRANSLATE(A14132, ""en"", ""mt"")"),"Xi Huguenots stabbilixxew f'Bedfordshire, wieħed miċ-ċentri ewlenin tal-industrija tal-bizzilla Ingliża dak iż-żmien. Għalkemm is-sorsi tas-seklu 19 affermaw li wħud minn dawn ir-refuġjati kienu lacemakers u kkontribwew għall-industrija tal-bizzilla tal-E"&amp;"ast Midlands, dan huwa kontenzjuż. L-unika referenza għall-lacemakers immigranti f'dan il-perjodu hija ta 'ħamsa u għoxrin romol li stabbilixxew f'Dover, u m'hemm l-ebda dokumentazzjoni kontemporanja biex tappoġġja li jkun hemm Huguenot Lacemakers f'Bedfo"&amp;"rdshire. L-implikazzjoni li l-istil tal-bizzilla magħruf bħala 'Bucks Point' juri influwenza ta 'Huguenot, li hija ""kombinazzjoni ta' mudelli ta 'mechlin fuq Lille Ground"", hija falza: dak li issa huwa magħruf bħala Mechlin Lace ma żviluppax sal-ewwel n"&amp;"ofs tas-seklu tmintax U l-bizzilla b'disinji ta 'Mechlin u Lille Ground ma dehritx sal-aħħar tas-seklu 18, meta ġiet ikkupjata ħafna fl-Ewropa kollha.")</f>
        <v>Xi Huguenots stabbilixxew f'Bedfordshire, wieħed miċ-ċentri ewlenin tal-industrija tal-bizzilla Ingliża dak iż-żmien. Għalkemm is-sorsi tas-seklu 19 affermaw li wħud minn dawn ir-refuġjati kienu lacemakers u kkontribwew għall-industrija tal-bizzilla tal-East Midlands, dan huwa kontenzjuż. L-unika referenza għall-lacemakers immigranti f'dan il-perjodu hija ta 'ħamsa u għoxrin romol li stabbilixxew f'Dover, u m'hemm l-ebda dokumentazzjoni kontemporanja biex tappoġġja li jkun hemm Huguenot Lacemakers f'Bedfordshire. L-implikazzjoni li l-istil tal-bizzilla magħruf bħala 'Bucks Point' juri influwenza ta 'Huguenot, li hija "kombinazzjoni ta' mudelli ta 'mechlin fuq Lille Ground", hija falza: dak li issa huwa magħruf bħala Mechlin Lace ma żviluppax sal-ewwel nofs tas-seklu tmintax U l-bizzilla b'disinji ta 'Mechlin u Lille Ground ma dehritx sal-aħħar tas-seklu 18, meta ġiet ikkupjata ħafna fl-Ewropa kollha.</v>
      </c>
    </row>
    <row r="14133" ht="15.75" customHeight="1">
      <c r="A14133" s="2" t="s">
        <v>14133</v>
      </c>
      <c r="B14133" s="2" t="str">
        <f>IFERROR(__xludf.DUMMYFUNCTION("GOOGLETRANSLATE(A14133, ""en"", ""mt"")"),"Kemm hemm ġeni li jikkodifikaw il-proteini fid-DNA tal-kromatofor?")</f>
        <v>Kemm hemm ġeni li jikkodifikaw il-proteini fid-DNA tal-kromatofor?</v>
      </c>
    </row>
    <row r="14134" ht="15.75" customHeight="1">
      <c r="A14134" s="2" t="s">
        <v>14134</v>
      </c>
      <c r="B14134" s="2" t="str">
        <f>IFERROR(__xludf.DUMMYFUNCTION("GOOGLETRANSLATE(A14134, ""en"", ""mt"")"),"X'jistgħu jipproduċu l-forom reattivi ta 'ossiġnu fl-organiżmi?")</f>
        <v>X'jistgħu jipproduċu l-forom reattivi ta 'ossiġnu fl-organiżmi?</v>
      </c>
    </row>
    <row r="14135" ht="15.75" customHeight="1">
      <c r="A14135" s="2" t="s">
        <v>14135</v>
      </c>
      <c r="B14135" s="2" t="str">
        <f>IFERROR(__xludf.DUMMYFUNCTION("GOOGLETRANSLATE(A14135, ""en"", ""mt"")"),"żieda fl-użu tat-teknoloġija")</f>
        <v>żieda fl-użu tat-teknoloġija</v>
      </c>
    </row>
    <row r="14136" ht="15.75" customHeight="1">
      <c r="A14136" s="2" t="s">
        <v>14136</v>
      </c>
      <c r="B14136" s="2" t="str">
        <f>IFERROR(__xludf.DUMMYFUNCTION("GOOGLETRANSLATE(A14136, ""en"", ""mt"")"),"X'kien prodott fil-kumpanija ta 'Tesla?")</f>
        <v>X'kien prodott fil-kumpanija ta 'Tesla?</v>
      </c>
    </row>
    <row r="14137" ht="15.75" customHeight="1">
      <c r="A14137" s="2" t="s">
        <v>14137</v>
      </c>
      <c r="B14137" s="2" t="str">
        <f>IFERROR(__xludf.DUMMYFUNCTION("GOOGLETRANSLATE(A14137, ""en"", ""mt"")"),"ċelloli T tal-għajnuna, ċelloli T ċitotossiċi")</f>
        <v>ċelloli T tal-għajnuna, ċelloli T ċitotossiċi</v>
      </c>
    </row>
    <row r="14138" ht="15.75" customHeight="1">
      <c r="A14138" s="2" t="s">
        <v>14138</v>
      </c>
      <c r="B14138" s="2" t="str">
        <f>IFERROR(__xludf.DUMMYFUNCTION("GOOGLETRANSLATE(A14138, ""en"", ""mt"")"),"38")</f>
        <v>38</v>
      </c>
    </row>
    <row r="14139" ht="15.75" customHeight="1">
      <c r="A14139" s="2" t="s">
        <v>14139</v>
      </c>
      <c r="B14139" s="2" t="str">
        <f>IFERROR(__xludf.DUMMYFUNCTION("GOOGLETRANSLATE(A14139, ""en"", ""mt"")"),"NFL")</f>
        <v>NFL</v>
      </c>
    </row>
    <row r="14140" ht="15.75" customHeight="1">
      <c r="A14140" s="2" t="s">
        <v>14140</v>
      </c>
      <c r="B14140" s="2" t="str">
        <f>IFERROR(__xludf.DUMMYFUNCTION("GOOGLETRANSLATE(A14140, ""en"", ""mt"")"),"Ma 'min kien Ralph inkarigat li qiegħed fil-gwerra?")</f>
        <v>Ma 'min kien Ralph inkarigat li qiegħed fil-gwerra?</v>
      </c>
    </row>
    <row r="14141" ht="15.75" customHeight="1">
      <c r="A14141" s="2" t="s">
        <v>14141</v>
      </c>
      <c r="B14141" s="2" t="str">
        <f>IFERROR(__xludf.DUMMYFUNCTION("GOOGLETRANSLATE(A14141, ""en"", ""mt"")"),"Al-Muwaffaq")</f>
        <v>Al-Muwaffaq</v>
      </c>
    </row>
    <row r="14142" ht="15.75" customHeight="1">
      <c r="A14142" s="2" t="s">
        <v>14142</v>
      </c>
      <c r="B14142" s="2" t="str">
        <f>IFERROR(__xludf.DUMMYFUNCTION("GOOGLETRANSLATE(A14142, ""en"", ""mt"")"),"99.4")</f>
        <v>99.4</v>
      </c>
    </row>
    <row r="14143" ht="15.75" customHeight="1">
      <c r="A14143" s="2" t="s">
        <v>14143</v>
      </c>
      <c r="B14143" s="2" t="str">
        <f>IFERROR(__xludf.DUMMYFUNCTION("GOOGLETRANSLATE(A14143, ""en"", ""mt"")"),"352 vot")</f>
        <v>352 vot</v>
      </c>
    </row>
    <row r="14144" ht="15.75" customHeight="1">
      <c r="A14144" s="2" t="s">
        <v>14144</v>
      </c>
      <c r="B14144" s="2" t="str">
        <f>IFERROR(__xludf.DUMMYFUNCTION("GOOGLETRANSLATE(A14144, ""en"", ""mt"")"),"Fuq in-naħa tal-punent")</f>
        <v>Fuq in-naħa tal-punent</v>
      </c>
    </row>
    <row r="14145" ht="15.75" customHeight="1">
      <c r="A14145" s="2" t="s">
        <v>14145</v>
      </c>
      <c r="B14145" s="2" t="str">
        <f>IFERROR(__xludf.DUMMYFUNCTION("GOOGLETRANSLATE(A14145, ""en"", ""mt"")"),"Min jekk il-Kummissarju tal-NFL?")</f>
        <v>Min jekk il-Kummissarju tal-NFL?</v>
      </c>
    </row>
    <row r="14146" ht="15.75" customHeight="1">
      <c r="A14146" s="2" t="s">
        <v>14146</v>
      </c>
      <c r="B14146" s="2" t="str">
        <f>IFERROR(__xludf.DUMMYFUNCTION("GOOGLETRANSLATE(A14146, ""en"", ""mt"")"),"Kummentarju dwar il-Ġenesi")</f>
        <v>Kummentarju dwar il-Ġenesi</v>
      </c>
    </row>
    <row r="14147" ht="15.75" customHeight="1">
      <c r="A14147" s="2" t="s">
        <v>14147</v>
      </c>
      <c r="B14147" s="2" t="str">
        <f>IFERROR(__xludf.DUMMYFUNCTION("GOOGLETRANSLATE(A14147, ""en"", ""mt"")"),"id-diatom kollu endosymbiont")</f>
        <v>id-diatom kollu endosymbiont</v>
      </c>
    </row>
    <row r="14148" ht="15.75" customHeight="1">
      <c r="A14148" s="2" t="s">
        <v>14148</v>
      </c>
      <c r="B14148" s="2" t="str">
        <f>IFERROR(__xludf.DUMMYFUNCTION("GOOGLETRANSLATE(A14148, ""en"", ""mt"")"),"Dotazzjonijiet")</f>
        <v>Dotazzjonijiet</v>
      </c>
    </row>
    <row r="14149" ht="15.75" customHeight="1">
      <c r="A14149" s="2" t="s">
        <v>14149</v>
      </c>
      <c r="B14149" s="2" t="str">
        <f>IFERROR(__xludf.DUMMYFUNCTION("GOOGLETRANSLATE(A14149, ""en"", ""mt"")"),"bronż gilt")</f>
        <v>bronż gilt</v>
      </c>
    </row>
    <row r="14150" ht="15.75" customHeight="1">
      <c r="A14150" s="2" t="s">
        <v>14150</v>
      </c>
      <c r="B14150" s="2" t="str">
        <f>IFERROR(__xludf.DUMMYFUNCTION("GOOGLETRANSLATE(A14150, ""en"", ""mt"")"),"Kemm jiem ta 'vaganza mħallsa d-direttiva tal-ħin tax-xogħol teħtieġ li l-ħaddiema jkollhom kull sena?")</f>
        <v>Kemm jiem ta 'vaganza mħallsa d-direttiva tal-ħin tax-xogħol teħtieġ li l-ħaddiema jkollhom kull sena?</v>
      </c>
    </row>
    <row r="14151" ht="15.75" customHeight="1">
      <c r="A14151" s="2" t="s">
        <v>14151</v>
      </c>
      <c r="B14151" s="2" t="str">
        <f>IFERROR(__xludf.DUMMYFUNCTION("GOOGLETRANSLATE(A14151, ""en"", ""mt"")"),"Min irkupra l-fumble ta 'Tolbert?")</f>
        <v>Min irkupra l-fumble ta 'Tolbert?</v>
      </c>
    </row>
    <row r="14152" ht="15.75" customHeight="1">
      <c r="A14152" s="2" t="s">
        <v>14152</v>
      </c>
      <c r="B14152" s="2" t="str">
        <f>IFERROR(__xludf.DUMMYFUNCTION("GOOGLETRANSLATE(A14152, ""en"", ""mt"")"),"Għal kull wieħed mit-28 stat membru, kemm il-kummissarju huma rappreżentati għal kull wieħed?")</f>
        <v>Għal kull wieħed mit-28 stat membru, kemm il-kummissarju huma rappreżentati għal kull wieħed?</v>
      </c>
    </row>
    <row r="14153" ht="15.75" customHeight="1">
      <c r="A14153" s="2" t="s">
        <v>14153</v>
      </c>
      <c r="B14153" s="2" t="str">
        <f>IFERROR(__xludf.DUMMYFUNCTION("GOOGLETRANSLATE(A14153, ""en"", ""mt"")"),"Liema tubu tal-vakwu tat-terminal ta 'enerġija għolja ta' Tesla mħaddma?")</f>
        <v>Liema tubu tal-vakwu tat-terminal ta 'enerġija għolja ta' Tesla mħaddma?</v>
      </c>
    </row>
    <row r="14154" ht="15.75" customHeight="1">
      <c r="A14154" s="2" t="s">
        <v>14154</v>
      </c>
      <c r="B14154" s="2" t="str">
        <f>IFERROR(__xludf.DUMMYFUNCTION("GOOGLETRANSLATE(A14154, ""en"", ""mt"")"),"1973–74")</f>
        <v>1973–74</v>
      </c>
    </row>
    <row r="14155" ht="15.75" customHeight="1">
      <c r="A14155" s="2" t="s">
        <v>14155</v>
      </c>
      <c r="B14155" s="2" t="str">
        <f>IFERROR(__xludf.DUMMYFUNCTION("GOOGLETRANSLATE(A14155, ""en"", ""mt"")"),"Il-Golf tal-Kampjonat Miftuħ u t-Tournaments tat-Tennis ta 'Wimbledon")</f>
        <v>Il-Golf tal-Kampjonat Miftuħ u t-Tournaments tat-Tennis ta 'Wimbledon</v>
      </c>
    </row>
    <row r="14156" ht="15.75" customHeight="1">
      <c r="A14156" s="2" t="s">
        <v>14156</v>
      </c>
      <c r="B14156" s="2" t="str">
        <f>IFERROR(__xludf.DUMMYFUNCTION("GOOGLETRANSLATE(A14156, ""en"", ""mt"")"),"Mill-invenzjoni tagħha fl-1269, l-iskrittura 'Phags-Pa, skript unifikat għall-ortografija tal-lingwi Mongoljani, Tibetani u Ċiniżi, ġiet ippreservata fil-qorti sa tmiem id-dinastija. Ħafna mill-imperaturi ma setgħux jaħkmu Ċiniż miktub, iżda ġeneralment j"&amp;"istgħu jitkellmu sew fil-lingwa. Id-drawwa tal-Mongolja ta ’Alleanza ta’ Quda / Żwieġ fit-tul mal-Klann Mongoljani, l-Onggirat, u l-Ikeres, żammew id-demm imperjali purament Mongolja sakemm ir-renju ta ’Tugh Temur, li l-omm tagħha kienet tangut concubine."&amp;" L-imperaturi tal-Mongolja kienu bnew palazzi u pavaljuni kbar, iżda xi wħud xorta baqgħu jgħixu bħala nomadi xi drabi. Madankollu, ftit imperaturi oħra tal-Yuan sponsorjaw attivitajiet kulturali; Eżempju huwa Tugh Temur (Imperatur Wenzong), li kiteb poeż"&amp;"ija, miżbugħa, qara testi klassiċi Ċiniżi, u ordna l-kumpilazzjoni tal-kotba.")</f>
        <v>Mill-invenzjoni tagħha fl-1269, l-iskrittura 'Phags-Pa, skript unifikat għall-ortografija tal-lingwi Mongoljani, Tibetani u Ċiniżi, ġiet ippreservata fil-qorti sa tmiem id-dinastija. Ħafna mill-imperaturi ma setgħux jaħkmu Ċiniż miktub, iżda ġeneralment jistgħu jitkellmu sew fil-lingwa. Id-drawwa tal-Mongolja ta ’Alleanza ta’ Quda / Żwieġ fit-tul mal-Klann Mongoljani, l-Onggirat, u l-Ikeres, żammew id-demm imperjali purament Mongolja sakemm ir-renju ta ’Tugh Temur, li l-omm tagħha kienet tangut concubine. L-imperaturi tal-Mongolja kienu bnew palazzi u pavaljuni kbar, iżda xi wħud xorta baqgħu jgħixu bħala nomadi xi drabi. Madankollu, ftit imperaturi oħra tal-Yuan sponsorjaw attivitajiet kulturali; Eżempju huwa Tugh Temur (Imperatur Wenzong), li kiteb poeżija, miżbugħa, qara testi klassiċi Ċiniżi, u ordna l-kumpilazzjoni tal-kotba.</v>
      </c>
    </row>
    <row r="14157" ht="15.75" customHeight="1">
      <c r="A14157" s="2" t="s">
        <v>14157</v>
      </c>
      <c r="B14157" s="2" t="str">
        <f>IFERROR(__xludf.DUMMYFUNCTION("GOOGLETRANSLATE(A14157, ""en"", ""mt"")"),"X'inhu ġeneralment ikkunsidrat bħala l-iktar iterazzjoni bażika ta 'magna tat-Turing?")</f>
        <v>X'inhu ġeneralment ikkunsidrat bħala l-iktar iterazzjoni bażika ta 'magna tat-Turing?</v>
      </c>
    </row>
    <row r="14158" ht="15.75" customHeight="1">
      <c r="A14158" s="2" t="s">
        <v>14158</v>
      </c>
      <c r="B14158" s="2" t="str">
        <f>IFERROR(__xludf.DUMMYFUNCTION("GOOGLETRANSLATE(A14158, ""en"", ""mt"")"),"Definizzjoni għolja 720p")</f>
        <v>Definizzjoni għolja 720p</v>
      </c>
    </row>
    <row r="14159" ht="15.75" customHeight="1">
      <c r="A14159" s="2" t="s">
        <v>14159</v>
      </c>
      <c r="B14159" s="2" t="str">
        <f>IFERROR(__xludf.DUMMYFUNCTION("GOOGLETRANSLATE(A14159, ""en"", ""mt"")"),"Liema sena Newton żamm il-pożizzjoni ta 'pick abbozz numru wieħed?")</f>
        <v>Liema sena Newton żamm il-pożizzjoni ta 'pick abbozz numru wieħed?</v>
      </c>
    </row>
    <row r="14160" ht="15.75" customHeight="1">
      <c r="A14160" s="2" t="s">
        <v>14160</v>
      </c>
      <c r="B14160" s="2" t="str">
        <f>IFERROR(__xludf.DUMMYFUNCTION("GOOGLETRANSLATE(A14160, ""en"", ""mt"")"),"Il-lobata għandhom par ta 'lobi, li huma estensjonijiet muskolari u cuplike tal-ġisem li jipproġettaw lil hinn mill-ħalq. It-tentakli li ma jidhrux tagħhom joriġinaw mill-kantunieri tal-ħalq, li jimxu fi skanalaturi konvoluti u jinfirxu fuq il-wiċċ ta 'ġe"&amp;"wwa tal-lobi (aktar milli jimxu' l bogħod lura, bħal fiċ-Cydippida). Bejn il-lobi fuq kull naħa tal-ħalq, ħafna speċi ta 'lobati għandhom erba' arikoli, projezzjonijiet ġelatinużi maħduma b'ċili li jipproduċu kurrenti tal-ilma li jgħinu l-priża mikroskopi"&amp;"ka diretta lejn il-ħalq. Din il-kombinazzjoni ta 'strutturi tippermetti lill-lobati jitimgħu kontinwament fuq priża planktonika sospiża.")</f>
        <v>Il-lobata għandhom par ta 'lobi, li huma estensjonijiet muskolari u cuplike tal-ġisem li jipproġettaw lil hinn mill-ħalq. It-tentakli li ma jidhrux tagħhom joriġinaw mill-kantunieri tal-ħalq, li jimxu fi skanalaturi konvoluti u jinfirxu fuq il-wiċċ ta 'ġewwa tal-lobi (aktar milli jimxu' l bogħod lura, bħal fiċ-Cydippida). Bejn il-lobi fuq kull naħa tal-ħalq, ħafna speċi ta 'lobati għandhom erba' arikoli, projezzjonijiet ġelatinużi maħduma b'ċili li jipproduċu kurrenti tal-ilma li jgħinu l-priża mikroskopika diretta lejn il-ħalq. Din il-kombinazzjoni ta 'strutturi tippermetti lill-lobati jitimgħu kontinwament fuq priża planktonika sospiża.</v>
      </c>
    </row>
    <row r="14161" ht="15.75" customHeight="1">
      <c r="A14161" s="2" t="s">
        <v>14161</v>
      </c>
      <c r="B14161" s="2" t="str">
        <f>IFERROR(__xludf.DUMMYFUNCTION("GOOGLETRANSLATE(A14161, ""en"", ""mt"")"),"Fil-bidu tas-snin sebgħin, ABC temm it-tranżizzjoni tagħha għall-kulur; Id-deċennju kollu kemm hu kien jimmarka żvolta għal ABC, peress li beda jgħaddi CBS u NBC fil-klassifikazzjonijiet biex isiru l-ewwel post tan-netwerk. Beda wkoll juża dejta ta 'mġieb"&amp;"a u demografika biex jiddetermina aħjar liema tipi ta' sponsors ibigħu slots ta 'reklamar lil u jipprovdu programmazzjoni li tappella lejn ċerti udjenzi. Il-qligħ ta 'ABC fis-sehem tal-udjenza ġew megħjuna ħafna mill-fatt li diversi swieq iżgħar kibru kba"&amp;"r biżżejjed biex jippermettu affiljazzjonijiet full-time mit-tliet netwerks kollha.")</f>
        <v>Fil-bidu tas-snin sebgħin, ABC temm it-tranżizzjoni tagħha għall-kulur; Id-deċennju kollu kemm hu kien jimmarka żvolta għal ABC, peress li beda jgħaddi CBS u NBC fil-klassifikazzjonijiet biex isiru l-ewwel post tan-netwerk. Beda wkoll juża dejta ta 'mġieba u demografika biex jiddetermina aħjar liema tipi ta' sponsors ibigħu slots ta 'reklamar lil u jipprovdu programmazzjoni li tappella lejn ċerti udjenzi. Il-qligħ ta 'ABC fis-sehem tal-udjenza ġew megħjuna ħafna mill-fatt li diversi swieq iżgħar kibru kbar biżżejjed biex jippermettu affiljazzjonijiet full-time mit-tliet netwerks kollha.</v>
      </c>
    </row>
    <row r="14162" ht="15.75" customHeight="1">
      <c r="A14162" s="2" t="s">
        <v>14162</v>
      </c>
      <c r="B14162" s="2" t="str">
        <f>IFERROR(__xludf.DUMMYFUNCTION("GOOGLETRANSLATE(A14162, ""en"", ""mt"")"),"Rinaxximent")</f>
        <v>Rinaxximent</v>
      </c>
    </row>
    <row r="14163" ht="15.75" customHeight="1">
      <c r="A14163" s="2" t="s">
        <v>14163</v>
      </c>
      <c r="B14163" s="2" t="str">
        <f>IFERROR(__xludf.DUMMYFUNCTION("GOOGLETRANSLATE(A14163, ""en"", ""mt"")"),"Tracy Wolfson")</f>
        <v>Tracy Wolfson</v>
      </c>
    </row>
    <row r="14164" ht="15.75" customHeight="1">
      <c r="A14164" s="2" t="s">
        <v>14164</v>
      </c>
      <c r="B14164" s="2" t="str">
        <f>IFERROR(__xludf.DUMMYFUNCTION("GOOGLETRANSLATE(A14164, ""en"", ""mt"")"),"Min jieħu ħatra formali jew deċiżjonijiet ta 'tkeċċija?")</f>
        <v>Min jieħu ħatra formali jew deċiżjonijiet ta 'tkeċċija?</v>
      </c>
    </row>
    <row r="14165" ht="15.75" customHeight="1">
      <c r="A14165" s="2" t="s">
        <v>14165</v>
      </c>
      <c r="B14165" s="2" t="str">
        <f>IFERROR(__xludf.DUMMYFUNCTION("GOOGLETRANSLATE(A14165, ""en"", ""mt"")"),"Liema klassi hija l-iktar komunement mhux attribwita għall-problema tal-isomorfiżmu tal-graff minkejja d-determinazzjoni definittiva?")</f>
        <v>Liema klassi hija l-iktar komunement mhux attribwita għall-problema tal-isomorfiżmu tal-graff minkejja d-determinazzjoni definittiva?</v>
      </c>
    </row>
    <row r="14166" ht="15.75" customHeight="1">
      <c r="A14166" s="2" t="s">
        <v>14166</v>
      </c>
      <c r="B14166" s="2" t="str">
        <f>IFERROR(__xludf.DUMMYFUNCTION("GOOGLETRANSLATE(A14166, ""en"", ""mt"")"),"X'inhi l-firxa tal-ħlas għall-aċċess għall-EPG ta 'BSKYB?")</f>
        <v>X'inhi l-firxa tal-ħlas għall-aċċess għall-EPG ta 'BSKYB?</v>
      </c>
    </row>
    <row r="14167" ht="15.75" customHeight="1">
      <c r="A14167" s="2" t="s">
        <v>14167</v>
      </c>
      <c r="B14167" s="2" t="str">
        <f>IFERROR(__xludf.DUMMYFUNCTION("GOOGLETRANSLATE(A14167, ""en"", ""mt"")"),"Min kien il-quarterback għall-istaġun Broncos 2015?")</f>
        <v>Min kien il-quarterback għall-istaġun Broncos 2015?</v>
      </c>
    </row>
    <row r="14168" ht="15.75" customHeight="1">
      <c r="A14168" s="2" t="s">
        <v>14168</v>
      </c>
      <c r="B14168" s="2" t="str">
        <f>IFERROR(__xludf.DUMMYFUNCTION("GOOGLETRANSLATE(A14168, ""en"", ""mt"")"),"F'kuntest modern")</f>
        <v>F'kuntest modern</v>
      </c>
    </row>
    <row r="14169" ht="15.75" customHeight="1">
      <c r="A14169" s="2" t="s">
        <v>14169</v>
      </c>
      <c r="B14169" s="2" t="str">
        <f>IFERROR(__xludf.DUMMYFUNCTION("GOOGLETRANSLATE(A14169, ""en"", ""mt"")"),"Veritajiet Ċentrali tal-Kristjaneżmu")</f>
        <v>Veritajiet Ċentrali tal-Kristjaneżmu</v>
      </c>
    </row>
    <row r="14170" ht="15.75" customHeight="1">
      <c r="A14170" s="2" t="s">
        <v>14170</v>
      </c>
      <c r="B14170" s="2" t="str">
        <f>IFERROR(__xludf.DUMMYFUNCTION("GOOGLETRANSLATE(A14170, ""en"", ""mt"")"),"Fir-renju tar-Re Ġorġ")</f>
        <v>Fir-renju tar-Re Ġorġ</v>
      </c>
    </row>
    <row r="14171" ht="15.75" customHeight="1">
      <c r="A14171" s="2" t="s">
        <v>14171</v>
      </c>
      <c r="B14171" s="2" t="str">
        <f>IFERROR(__xludf.DUMMYFUNCTION("GOOGLETRANSLATE(A14171, ""en"", ""mt"")"),"Kunflitt ferm akbar bejn Franza u l-Gran Brittanja")</f>
        <v>Kunflitt ferm akbar bejn Franza u l-Gran Brittanja</v>
      </c>
    </row>
    <row r="14172" ht="15.75" customHeight="1">
      <c r="A14172" s="2" t="s">
        <v>14172</v>
      </c>
      <c r="B14172" s="2" t="str">
        <f>IFERROR(__xludf.DUMMYFUNCTION("GOOGLETRANSLATE(A14172, ""en"", ""mt"")"),"il-belt l-iktar storbjuża fir-Renju Unit kollha")</f>
        <v>il-belt l-iktar storbjuża fir-Renju Unit kollha</v>
      </c>
    </row>
    <row r="14173" ht="15.75" customHeight="1">
      <c r="A14173" s="2" t="s">
        <v>14173</v>
      </c>
      <c r="B14173" s="2" t="str">
        <f>IFERROR(__xludf.DUMMYFUNCTION("GOOGLETRANSLATE(A14173, ""en"", ""mt"")"),"Pont Ċentrali")</f>
        <v>Pont Ċentrali</v>
      </c>
    </row>
    <row r="14174" ht="15.75" customHeight="1">
      <c r="A14174" s="2" t="s">
        <v>14174</v>
      </c>
      <c r="B14174" s="2" t="str">
        <f>IFERROR(__xludf.DUMMYFUNCTION("GOOGLETRANSLATE(A14174, ""en"", ""mt"")"),"Formula ta 'interpolazzjoni kubika")</f>
        <v>Formula ta 'interpolazzjoni kubika</v>
      </c>
    </row>
    <row r="14175" ht="15.75" customHeight="1">
      <c r="A14175" s="2" t="s">
        <v>14175</v>
      </c>
      <c r="B14175" s="2" t="str">
        <f>IFERROR(__xludf.DUMMYFUNCTION("GOOGLETRANSLATE(A14175, ""en"", ""mt"")"),"6.4 Nanometri")</f>
        <v>6.4 Nanometri</v>
      </c>
    </row>
    <row r="14176" ht="15.75" customHeight="1">
      <c r="A14176" s="2" t="s">
        <v>14176</v>
      </c>
      <c r="B14176" s="2" t="str">
        <f>IFERROR(__xludf.DUMMYFUNCTION("GOOGLETRANSLATE(A14176, ""en"", ""mt"")"),"Dwar kemm metri kubiċi ta 'ilma make-up jintuża minn impjant ta' l-enerġija li jaħdem bil-faħam ta '700 megawatt għal tkessiħ evaporattiv kull siegħa?")</f>
        <v>Dwar kemm metri kubiċi ta 'ilma make-up jintuża minn impjant ta' l-enerġija li jaħdem bil-faħam ta '700 megawatt għal tkessiħ evaporattiv kull siegħa?</v>
      </c>
    </row>
    <row r="14177" ht="15.75" customHeight="1">
      <c r="A14177" s="2" t="s">
        <v>14177</v>
      </c>
      <c r="B14177" s="2" t="str">
        <f>IFERROR(__xludf.DUMMYFUNCTION("GOOGLETRANSLATE(A14177, ""en"", ""mt"")"),"L-Istitut Amerikan tal-Inġiniera Elettriċi")</f>
        <v>L-Istitut Amerikan tal-Inġiniera Elettriċi</v>
      </c>
    </row>
    <row r="14178" ht="15.75" customHeight="1">
      <c r="A14178" s="2" t="s">
        <v>14178</v>
      </c>
      <c r="B14178" s="2" t="str">
        <f>IFERROR(__xludf.DUMMYFUNCTION("GOOGLETRANSLATE(A14178, ""en"", ""mt"")"),"Puritan")</f>
        <v>Puritan</v>
      </c>
    </row>
    <row r="14179" ht="15.75" customHeight="1">
      <c r="A14179" s="2" t="s">
        <v>14179</v>
      </c>
      <c r="B14179" s="2" t="str">
        <f>IFERROR(__xludf.DUMMYFUNCTION("GOOGLETRANSLATE(A14179, ""en"", ""mt"")"),"X'kien l-isem tal-episodju tal-ewwel tabib ta 'Simpson Who Score?")</f>
        <v>X'kien l-isem tal-episodju tal-ewwel tabib ta 'Simpson Who Score?</v>
      </c>
    </row>
    <row r="14180" ht="15.75" customHeight="1">
      <c r="A14180" s="2" t="s">
        <v>14180</v>
      </c>
      <c r="B14180" s="2" t="str">
        <f>IFERROR(__xludf.DUMMYFUNCTION("GOOGLETRANSLATE(A14180, ""en"", ""mt"")"),"2.666 miljun")</f>
        <v>2.666 miljun</v>
      </c>
    </row>
    <row r="14181" ht="15.75" customHeight="1">
      <c r="A14181" s="2" t="s">
        <v>14181</v>
      </c>
      <c r="B14181" s="2" t="str">
        <f>IFERROR(__xludf.DUMMYFUNCTION("GOOGLETRANSLATE(A14181, ""en"", ""mt"")"),"Servizz tas-Sema")</f>
        <v>Servizz tas-Sema</v>
      </c>
    </row>
    <row r="14182" ht="15.75" customHeight="1">
      <c r="A14182" s="2" t="s">
        <v>14182</v>
      </c>
      <c r="B14182" s="2" t="str">
        <f>IFERROR(__xludf.DUMMYFUNCTION("GOOGLETRANSLATE(A14182, ""en"", ""mt"")"),"£ 26,719")</f>
        <v>£ 26,719</v>
      </c>
    </row>
    <row r="14183" ht="15.75" customHeight="1">
      <c r="A14183" s="2" t="s">
        <v>14183</v>
      </c>
      <c r="B14183" s="2" t="str">
        <f>IFERROR(__xludf.DUMMYFUNCTION("GOOGLETRANSLATE(A14183, ""en"", ""mt"")"),"Liema kanal nediet ABC fl-1981 li ffoka fuq l-ipprogrammar kulturali u tal-arti?")</f>
        <v>Liema kanal nediet ABC fl-1981 li ffoka fuq l-ipprogrammar kulturali u tal-arti?</v>
      </c>
    </row>
    <row r="14184" ht="15.75" customHeight="1">
      <c r="A14184" s="2" t="s">
        <v>14184</v>
      </c>
      <c r="B14184" s="2" t="str">
        <f>IFERROR(__xludf.DUMMYFUNCTION("GOOGLETRANSLATE(A14184, ""en"", ""mt"")"),"Ibgħat l-għajnuna u xi kultant imorru lilhom infushom biex jiġġieldu għall-fidi tagħhom")</f>
        <v>Ibgħat l-għajnuna u xi kultant imorru lilhom infushom biex jiġġieldu għall-fidi tagħhom</v>
      </c>
    </row>
    <row r="14185" ht="15.75" customHeight="1">
      <c r="A14185" s="2" t="s">
        <v>14185</v>
      </c>
      <c r="B14185" s="2" t="str">
        <f>IFERROR(__xludf.DUMMYFUNCTION("GOOGLETRANSLATE(A14185, ""en"", ""mt"")"),"Tyneside Classical")</f>
        <v>Tyneside Classical</v>
      </c>
    </row>
    <row r="14186" ht="15.75" customHeight="1">
      <c r="A14186" s="2" t="s">
        <v>14186</v>
      </c>
      <c r="B14186" s="2" t="str">
        <f>IFERROR(__xludf.DUMMYFUNCTION("GOOGLETRANSLATE(A14186, ""en"", ""mt"")"),"tagħbija tas-sediment")</f>
        <v>tagħbija tas-sediment</v>
      </c>
    </row>
    <row r="14187" ht="15.75" customHeight="1">
      <c r="A14187" s="2" t="s">
        <v>14187</v>
      </c>
      <c r="B14187" s="2" t="str">
        <f>IFERROR(__xludf.DUMMYFUNCTION("GOOGLETRANSLATE(A14187, ""en"", ""mt"")"),"Trofew Vince Lombardi")</f>
        <v>Trofew Vince Lombardi</v>
      </c>
    </row>
    <row r="14188" ht="15.75" customHeight="1">
      <c r="A14188" s="2" t="s">
        <v>14188</v>
      </c>
      <c r="B14188" s="2" t="str">
        <f>IFERROR(__xludf.DUMMYFUNCTION("GOOGLETRANSLATE(A14188, ""en"", ""mt"")"),"ċili")</f>
        <v>ċili</v>
      </c>
    </row>
    <row r="14189" ht="15.75" customHeight="1">
      <c r="A14189" s="2" t="s">
        <v>14189</v>
      </c>
      <c r="B14189" s="2" t="str">
        <f>IFERROR(__xludf.DUMMYFUNCTION("GOOGLETRANSLATE(A14189, ""en"", ""mt"")"),"X'qed issostitwixxa l-bini ta 'ex-trasport bil-baħar?")</f>
        <v>X'qed issostitwixxa l-bini ta 'ex-trasport bil-baħar?</v>
      </c>
    </row>
    <row r="14190" ht="15.75" customHeight="1">
      <c r="A14190" s="2" t="s">
        <v>14190</v>
      </c>
      <c r="B14190" s="2" t="str">
        <f>IFERROR(__xludf.DUMMYFUNCTION("GOOGLETRANSLATE(A14190, ""en"", ""mt"")"),"Ix-xejra moderna fid-disinn hija lejn l-integrazzjoni ta 'xiex?")</f>
        <v>Ix-xejra moderna fid-disinn hija lejn l-integrazzjoni ta 'xiex?</v>
      </c>
    </row>
    <row r="14191" ht="15.75" customHeight="1">
      <c r="A14191" s="2" t="s">
        <v>14191</v>
      </c>
      <c r="B14191" s="2" t="str">
        <f>IFERROR(__xludf.DUMMYFUNCTION("GOOGLETRANSLATE(A14191, ""en"", ""mt"")"),"Għal liema post ġab il-ħamiem imweġġa 'biex jieħu ħsiebhom?")</f>
        <v>Għal liema post ġab il-ħamiem imweġġa 'biex jieħu ħsiebhom?</v>
      </c>
    </row>
    <row r="14192" ht="15.75" customHeight="1">
      <c r="A14192" s="2" t="s">
        <v>14192</v>
      </c>
      <c r="B14192" s="2" t="str">
        <f>IFERROR(__xludf.DUMMYFUNCTION("GOOGLETRANSLATE(A14192, ""en"", ""mt"")"),"X'inhi t-tifsira oriġinali tal-kelma Norman?")</f>
        <v>X'inhi t-tifsira oriġinali tal-kelma Norman?</v>
      </c>
    </row>
    <row r="14193" ht="15.75" customHeight="1">
      <c r="A14193" s="2" t="s">
        <v>14193</v>
      </c>
      <c r="B14193" s="2" t="str">
        <f>IFERROR(__xludf.DUMMYFUNCTION("GOOGLETRANSLATE(A14193, ""en"", ""mt"")"),"Camp Pendleton")</f>
        <v>Camp Pendleton</v>
      </c>
    </row>
    <row r="14194" ht="15.75" customHeight="1">
      <c r="A14194" s="2" t="s">
        <v>14194</v>
      </c>
      <c r="B14194" s="2" t="str">
        <f>IFERROR(__xludf.DUMMYFUNCTION("GOOGLETRANSLATE(A14194, ""en"", ""mt"")"),"Il-qoxra tad-Dinja")</f>
        <v>Il-qoxra tad-Dinja</v>
      </c>
    </row>
    <row r="14195" ht="15.75" customHeight="1">
      <c r="A14195" s="2" t="s">
        <v>14195</v>
      </c>
      <c r="B14195" s="2" t="str">
        <f>IFERROR(__xludf.DUMMYFUNCTION("GOOGLETRANSLATE(A14195, ""en"", ""mt"")"),"X'inhi l-akbar fergħa ewlenija tar-Renu?")</f>
        <v>X'inhi l-akbar fergħa ewlenija tar-Renu?</v>
      </c>
    </row>
    <row r="14196" ht="15.75" customHeight="1">
      <c r="A14196" s="2" t="s">
        <v>14196</v>
      </c>
      <c r="B14196" s="2" t="str">
        <f>IFERROR(__xludf.DUMMYFUNCTION("GOOGLETRANSLATE(A14196, ""en"", ""mt"")"),"Is-serje The Deadly Assassin u Mawdryn Undead u l-film tat-TV tal-1996 aktar tard jistabbilixxu li Lord Time jista 'jirriġenera biss 12-il darba, għal total ta '13 -il inkarnazzjoni. Din il-linja saret mwaħħla fil-kuxjenza pubblika minkejja li ma kinitx r"&amp;"ipetuta ħafna drabi, u kienet rikonoxxuta mill-produtturi tal-ispettaklu bħala ostaklu tal-plott għal meta l-ispettaklu fl-aħħar kellu jirriġenera lit-tabib tlettax-il darba. L-episodju ""The Time of the Doctor"" juri lit-tabib li akkwista ċiklu ġdid ta '"&amp;"riġenerazzjonijiet, li jibda mit-tnax-il tabib, minħabba li l-ħdax-il tabib kien il-prodott tat-tnax-il riġenerazzjoni tat-tabib mis-sett oriġinali tiegħu.")</f>
        <v>Is-serje The Deadly Assassin u Mawdryn Undead u l-film tat-TV tal-1996 aktar tard jistabbilixxu li Lord Time jista 'jirriġenera biss 12-il darba, għal total ta '13 -il inkarnazzjoni. Din il-linja saret mwaħħla fil-kuxjenza pubblika minkejja li ma kinitx ripetuta ħafna drabi, u kienet rikonoxxuta mill-produtturi tal-ispettaklu bħala ostaklu tal-plott għal meta l-ispettaklu fl-aħħar kellu jirriġenera lit-tabib tlettax-il darba. L-episodju "The Time of the Doctor" juri lit-tabib li akkwista ċiklu ġdid ta 'riġenerazzjonijiet, li jibda mit-tnax-il tabib, minħabba li l-ħdax-il tabib kien il-prodott tat-tnax-il riġenerazzjoni tat-tabib mis-sett oriġinali tiegħu.</v>
      </c>
    </row>
    <row r="14197" ht="15.75" customHeight="1">
      <c r="A14197" s="2" t="s">
        <v>14197</v>
      </c>
      <c r="B14197" s="2" t="str">
        <f>IFERROR(__xludf.DUMMYFUNCTION("GOOGLETRANSLATE(A14197, ""en"", ""mt"")"),"Sopravivenza")</f>
        <v>Sopravivenza</v>
      </c>
    </row>
    <row r="14198" ht="15.75" customHeight="1">
      <c r="A14198" s="2" t="s">
        <v>14198</v>
      </c>
      <c r="B14198" s="2" t="str">
        <f>IFERROR(__xludf.DUMMYFUNCTION("GOOGLETRANSLATE(A14198, ""en"", ""mt"")"),"Lil Luther, x’kienu meqjusa l-insara kollha mgħammdin?")</f>
        <v>Lil Luther, x’kienu meqjusa l-insara kollha mgħammdin?</v>
      </c>
    </row>
    <row r="14199" ht="15.75" customHeight="1">
      <c r="A14199" s="2" t="s">
        <v>14199</v>
      </c>
      <c r="B14199" s="2" t="str">
        <f>IFERROR(__xludf.DUMMYFUNCTION("GOOGLETRANSLATE(A14199, ""en"", ""mt"")"),"Id-Diviżjoni tad-Divertiment")</f>
        <v>Id-Diviżjoni tad-Divertiment</v>
      </c>
    </row>
    <row r="14200" ht="15.75" customHeight="1">
      <c r="A14200" s="2" t="s">
        <v>14200</v>
      </c>
      <c r="B14200" s="2" t="str">
        <f>IFERROR(__xludf.DUMMYFUNCTION("GOOGLETRANSLATE(A14200, ""en"", ""mt"")"),"Min jista 'jibdel id-data sa xahar, fuq il-proposta tal-PO?")</f>
        <v>Min jista 'jibdel id-data sa xahar, fuq il-proposta tal-PO?</v>
      </c>
    </row>
    <row r="14201" ht="15.75" customHeight="1">
      <c r="A14201" s="2" t="s">
        <v>14201</v>
      </c>
      <c r="B14201" s="2" t="str">
        <f>IFERROR(__xludf.DUMMYFUNCTION("GOOGLETRANSLATE(A14201, ""en"", ""mt"")"),"Ir-Renju Unit, l-Awstralja, il-Kanada u l-Istati Uniti")</f>
        <v>Ir-Renju Unit, l-Awstralja, il-Kanada u l-Istati Uniti</v>
      </c>
    </row>
    <row r="14202" ht="15.75" customHeight="1">
      <c r="A14202" s="2" t="s">
        <v>14202</v>
      </c>
      <c r="B14202" s="2" t="str">
        <f>IFERROR(__xludf.DUMMYFUNCTION("GOOGLETRANSLATE(A14202, ""en"", ""mt"")"),"$ 37.6 biljun")</f>
        <v>$ 37.6 biljun</v>
      </c>
    </row>
    <row r="14203" ht="15.75" customHeight="1">
      <c r="A14203" s="2" t="s">
        <v>14203</v>
      </c>
      <c r="B14203" s="2" t="str">
        <f>IFERROR(__xludf.DUMMYFUNCTION("GOOGLETRANSLATE(A14203, ""en"", ""mt"")"),"X'inhu beta carotene?")</f>
        <v>X'inhu beta carotene?</v>
      </c>
    </row>
    <row r="14204" ht="15.75" customHeight="1">
      <c r="A14204" s="2" t="s">
        <v>14204</v>
      </c>
      <c r="B14204" s="2" t="str">
        <f>IFERROR(__xludf.DUMMYFUNCTION("GOOGLETRANSLATE(A14204, ""en"", ""mt"")"),"F'liema sena ġiet prodotta l-ewwel mappa ġeoloġika ta 'l-Istati Uniti?")</f>
        <v>F'liema sena ġiet prodotta l-ewwel mappa ġeoloġika ta 'l-Istati Uniti?</v>
      </c>
    </row>
    <row r="14205" ht="15.75" customHeight="1">
      <c r="A14205" s="2" t="s">
        <v>14205</v>
      </c>
      <c r="B14205" s="2" t="str">
        <f>IFERROR(__xludf.DUMMYFUNCTION("GOOGLETRANSLATE(A14205, ""en"", ""mt"")"),"armat")</f>
        <v>armat</v>
      </c>
    </row>
    <row r="14206" ht="15.75" customHeight="1">
      <c r="A14206" s="2" t="s">
        <v>14206</v>
      </c>
      <c r="B14206" s="2" t="str">
        <f>IFERROR(__xludf.DUMMYFUNCTION("GOOGLETRANSLATE(A14206, ""en"", ""mt"")"),"X'kien l-ewwel avveniment internazzjonali mxandar minn ABC?")</f>
        <v>X'kien l-ewwel avveniment internazzjonali mxandar minn ABC?</v>
      </c>
    </row>
    <row r="14207" ht="15.75" customHeight="1">
      <c r="A14207" s="2" t="s">
        <v>14207</v>
      </c>
      <c r="B14207" s="2" t="str">
        <f>IFERROR(__xludf.DUMMYFUNCTION("GOOGLETRANSLATE(A14207, ""en"", ""mt"")"),"Montpellier kien fost l-aktar importanti mis-66 ""Ville de Sûreté"" li l-editt tal-1598 ingħata lill-Huguenots. L-istituzzjonijiet politiċi tal-belt u l-università ngħataw lill-Huguenots. It-tensjoni ma 'Pariġi wasslet għal assedju mill-Armata Rjali fl-16"&amp;"22. It-termini tal-paċi talbu ż-żarmar tal-fortifikazzjonijiet tal-belt. Inbniet Ċittadella rjali u l-università u l-konsulat ittieħdu mill-Partit Kattoliku. Anke qabel l-Editt ta 'Alès (1629), il-ħakma Protestanta kienet mejta u l-Ville de Sûreté ma kien"&amp;"x aktar. [Ċitazzjoni meħtieġa]")</f>
        <v>Montpellier kien fost l-aktar importanti mis-66 "Ville de Sûreté" li l-editt tal-1598 ingħata lill-Huguenots. L-istituzzjonijiet politiċi tal-belt u l-università ngħataw lill-Huguenots. It-tensjoni ma 'Pariġi wasslet għal assedju mill-Armata Rjali fl-1622. It-termini tal-paċi talbu ż-żarmar tal-fortifikazzjonijiet tal-belt. Inbniet Ċittadella rjali u l-università u l-konsulat ittieħdu mill-Partit Kattoliku. Anke qabel l-Editt ta 'Alès (1629), il-ħakma Protestanta kienet mejta u l-Ville de Sûreté ma kienx aktar. [Ċitazzjoni meħtieġa]</v>
      </c>
    </row>
    <row r="14208" ht="15.75" customHeight="1">
      <c r="A14208" s="2" t="s">
        <v>14208</v>
      </c>
      <c r="B14208" s="2" t="str">
        <f>IFERROR(__xludf.DUMMYFUNCTION("GOOGLETRANSLATE(A14208, ""en"", ""mt"")"),"""ċellulari"" u ""umoriżmu""")</f>
        <v>"ċellulari" u "umoriżmu"</v>
      </c>
    </row>
    <row r="14209" ht="15.75" customHeight="1">
      <c r="A14209" s="2" t="s">
        <v>14209</v>
      </c>
      <c r="B14209" s="2" t="str">
        <f>IFERROR(__xludf.DUMMYFUNCTION("GOOGLETRANSLATE(A14209, ""en"", ""mt"")"),"1748")</f>
        <v>1748</v>
      </c>
    </row>
    <row r="14210" ht="15.75" customHeight="1">
      <c r="A14210" s="2" t="s">
        <v>14210</v>
      </c>
      <c r="B14210" s="2" t="str">
        <f>IFERROR(__xludf.DUMMYFUNCTION("GOOGLETRANSLATE(A14210, ""en"", ""mt"")"),"Min għamel l-ewwel li jkejjel il-valur tal-kostanti tal-gravitazzjoni universali ta ’Newton?")</f>
        <v>Min għamel l-ewwel li jkejjel il-valur tal-kostanti tal-gravitazzjoni universali ta ’Newton?</v>
      </c>
    </row>
    <row r="14211" ht="15.75" customHeight="1">
      <c r="A14211" s="2" t="s">
        <v>14211</v>
      </c>
      <c r="B14211" s="2" t="str">
        <f>IFERROR(__xludf.DUMMYFUNCTION("GOOGLETRANSLATE(A14211, ""en"", ""mt"")"),"X'jista 'jikkawża li s-salarji jmorru ogħla mill-firxa?")</f>
        <v>X'jista 'jikkawża li s-salarji jmorru ogħla mill-firxa?</v>
      </c>
    </row>
    <row r="14212" ht="15.75" customHeight="1">
      <c r="A14212" s="2" t="s">
        <v>14212</v>
      </c>
      <c r="B14212" s="2" t="str">
        <f>IFERROR(__xludf.DUMMYFUNCTION("GOOGLETRANSLATE(A14212, ""en"", ""mt"")"),"X'inhu l-isem tal-istadium f'Miami li kien ikkunsidrat?")</f>
        <v>X'inhu l-isem tal-istadium f'Miami li kien ikkunsidrat?</v>
      </c>
    </row>
    <row r="14213" ht="15.75" customHeight="1">
      <c r="A14213" s="2" t="s">
        <v>14213</v>
      </c>
      <c r="B14213" s="2" t="str">
        <f>IFERROR(__xludf.DUMMYFUNCTION("GOOGLETRANSLATE(A14213, ""en"", ""mt"")"),"irjieħ")</f>
        <v>irjieħ</v>
      </c>
    </row>
    <row r="14214" ht="15.75" customHeight="1">
      <c r="A14214" s="2" t="s">
        <v>14214</v>
      </c>
      <c r="B14214" s="2" t="str">
        <f>IFERROR(__xludf.DUMMYFUNCTION("GOOGLETRANSLATE(A14214, ""en"", ""mt"")"),"tliet kwarti")</f>
        <v>tliet kwarti</v>
      </c>
    </row>
    <row r="14215" ht="15.75" customHeight="1">
      <c r="A14215" s="2" t="s">
        <v>14215</v>
      </c>
      <c r="B14215" s="2" t="str">
        <f>IFERROR(__xludf.DUMMYFUNCTION("GOOGLETRANSLATE(A14215, ""en"", ""mt"")"),"Liema Sala ntużat bħala kamra tal-kumitat tal-Prinċipju tal-Parlament?")</f>
        <v>Liema Sala ntużat bħala kamra tal-kumitat tal-Prinċipju tal-Parlament?</v>
      </c>
    </row>
    <row r="14216" ht="15.75" customHeight="1">
      <c r="A14216" s="2" t="s">
        <v>14216</v>
      </c>
      <c r="B14216" s="2" t="str">
        <f>IFERROR(__xludf.DUMMYFUNCTION("GOOGLETRANSLATE(A14216, ""en"", ""mt"")"),"Gvern Skoċċiż.")</f>
        <v>Gvern Skoċċiż.</v>
      </c>
    </row>
    <row r="14217" ht="15.75" customHeight="1">
      <c r="A14217" s="2" t="s">
        <v>14217</v>
      </c>
      <c r="B14217" s="2" t="str">
        <f>IFERROR(__xludf.DUMMYFUNCTION("GOOGLETRANSLATE(A14217, ""en"", ""mt"")"),"Minħabba s-saħħa tal-forzi Franċiżi fi Louisbourg, x’għamel Loudoun?")</f>
        <v>Minħabba s-saħħa tal-forzi Franċiżi fi Louisbourg, x’għamel Loudoun?</v>
      </c>
    </row>
    <row r="14218" ht="15.75" customHeight="1">
      <c r="A14218" s="2" t="s">
        <v>14218</v>
      </c>
      <c r="B14218" s="2" t="str">
        <f>IFERROR(__xludf.DUMMYFUNCTION("GOOGLETRANSLATE(A14218, ""en"", ""mt"")"),"Deċiżjoni importanti għal diżubbidjenti ċivili hija jekk hux se jinvoka ħati jew le. Hemm ħafna dibattitu dwar dan il-punt, għax xi wħud jemmnu li huwa d-dmir ta 'diżubbidjenti ċivili li jissottometti l-piena preskritt mil-liġi, filwaqt li oħrajn jemmnu l"&amp;"i d-difiża ta' ruħha fil-qorti se żżid il-possibbiltà li tinbidel il-liġi inġusta. Ġie argumentat ukoll li kwalunkwe għażla hija kompatibbli mal-ispirtu ta 'diżubbidjenza ċivili. Il-manwal tat-taħriġ tad-diżubbidjenza ċivili ta 'ACT-UP jiddikjara li diżub"&amp;"bidjenti ċivili li jinvoka ħati huwa essenzjalment jiddikjara, ""Iva, impenjat l-att li takkuża lili. Jien ma niċħadx; fil-fatt, jien kburi bih. Inħoss Jien għamilt l-aħjar ħaġa billi kiser din il-liġi partikolari; jien ħati bħala akkużat, ""imma li nvolv"&amp;"i li mhux ħati jibgħat messaġġ ta ',"" il-ħtija timplika ħażin. Inħoss li għamilt l-ebda ħażin. Jista' jkolli kiser xi liġijiet speċifiċi , imma jien ħati li ma għamilt l-ebda ħażin. Għalhekk jien inqajjem ħati. "" Motiv ta 'l-ebda konkors huwa xi kultant"&amp;" meqjus bħala kompromess bejn it-tnejn. Wieħed mill-akkużat akkużat li pprotesta illegalment l-enerġija nukleari, meta mitlub jidħol fl-eċċezzjoni tiegħu, iddikjara, ""Jiena nitlob għas-sbuħija li jdawwarna""; Dan huwa magħruf bħala ""motiv kreattiv,"" u "&amp;"ġeneralment ikun interpretat bħala motiv ta 'mhux ħati.")</f>
        <v>Deċiżjoni importanti għal diżubbidjenti ċivili hija jekk hux se jinvoka ħati jew le. Hemm ħafna dibattitu dwar dan il-punt, għax xi wħud jemmnu li huwa d-dmir ta 'diżubbidjenti ċivili li jissottometti l-piena preskritt mil-liġi, filwaqt li oħrajn jemmnu li d-difiża ta' ruħha fil-qorti se żżid il-possibbiltà li tinbidel il-liġi inġusta. Ġie argumentat ukoll li kwalunkwe għażla hija kompatibbli mal-ispirtu ta 'diżubbidjenza ċivili. Il-manwal tat-taħriġ tad-diżubbidjenza ċivili ta 'ACT-UP jiddikjara li diżubbidjenti ċivili li jinvoka ħati huwa essenzjalment jiddikjara, "Iva, impenjat l-att li takkuża lili. Jien ma niċħadx; fil-fatt, jien kburi bih. Inħoss Jien għamilt l-aħjar ħaġa billi kiser din il-liġi partikolari; jien ħati bħala akkużat, "imma li nvolvi li mhux ħati jibgħat messaġġ ta '," il-ħtija timplika ħażin. Inħoss li għamilt l-ebda ħażin. Jista' jkolli kiser xi liġijiet speċifiċi , imma jien ħati li ma għamilt l-ebda ħażin. Għalhekk jien inqajjem ħati. " Motiv ta 'l-ebda konkors huwa xi kultant meqjus bħala kompromess bejn it-tnejn. Wieħed mill-akkużat akkużat li pprotesta illegalment l-enerġija nukleari, meta mitlub jidħol fl-eċċezzjoni tiegħu, iddikjara, "Jiena nitlob għas-sbuħija li jdawwarna"; Dan huwa magħruf bħala "motiv kreattiv," u ġeneralment ikun interpretat bħala motiv ta 'mhux ħati.</v>
      </c>
    </row>
    <row r="14219" ht="15.75" customHeight="1">
      <c r="A14219" s="2" t="s">
        <v>14219</v>
      </c>
      <c r="B14219" s="2" t="str">
        <f>IFERROR(__xludf.DUMMYFUNCTION("GOOGLETRANSLATE(A14219, ""en"", ""mt"")"),"1978")</f>
        <v>1978</v>
      </c>
    </row>
    <row r="14220" ht="15.75" customHeight="1">
      <c r="A14220" s="2" t="s">
        <v>14220</v>
      </c>
      <c r="B14220" s="2" t="str">
        <f>IFERROR(__xludf.DUMMYFUNCTION("GOOGLETRANSLATE(A14220, ""en"", ""mt"")"),"Qrib it-tmiem ta ’ħajtu, Tesla tlaqt il-park kuljum biex titma’ l-ħamiem u saħansitra ġabet lil dawk midruba fil-kamra tal-lukanda tiegħu biex infermiera lura għas-saħħa. Huwa qal li kien żar minn ħamiem abjad midruba speċifiku kuljum. Tesla nefqet aktar "&amp;"minn $ 2,000, inkluż il-bini ta 'apparat li appoġġjaha bil-kumdità sabiex l-għadam tagħha jkun jista' jfejjaq, biex jiffissa l-ġwienaħ u s-sieq miksura tagħha. Tesla ddikjarat,")</f>
        <v>Qrib it-tmiem ta ’ħajtu, Tesla tlaqt il-park kuljum biex titma’ l-ħamiem u saħansitra ġabet lil dawk midruba fil-kamra tal-lukanda tiegħu biex infermiera lura għas-saħħa. Huwa qal li kien żar minn ħamiem abjad midruba speċifiku kuljum. Tesla nefqet aktar minn $ 2,000, inkluż il-bini ta 'apparat li appoġġjaha bil-kumdità sabiex l-għadam tagħha jkun jista' jfejjaq, biex jiffissa l-ġwienaħ u s-sieq miksura tagħha. Tesla ddikjarat,</v>
      </c>
    </row>
    <row r="14221" ht="15.75" customHeight="1">
      <c r="A14221" s="2" t="s">
        <v>14221</v>
      </c>
      <c r="B14221" s="2" t="str">
        <f>IFERROR(__xludf.DUMMYFUNCTION("GOOGLETRANSLATE(A14221, ""en"", ""mt"")"),"Sherwood Boehlert, President tal-Kumitat tax-Xjenza tal-Kamra")</f>
        <v>Sherwood Boehlert, President tal-Kumitat tax-Xjenza tal-Kamra</v>
      </c>
    </row>
    <row r="14222" ht="15.75" customHeight="1">
      <c r="A14222" s="2" t="s">
        <v>14222</v>
      </c>
      <c r="B14222" s="2" t="str">
        <f>IFERROR(__xludf.DUMMYFUNCTION("GOOGLETRANSLATE(A14222, ""en"", ""mt"")"),"X'tip ta 'impatt għandu l-intraprenditorija bbażata fuq l-opportunità li għandha fuq it-tkabbir ekonomiku?")</f>
        <v>X'tip ta 'impatt għandu l-intraprenditorija bbażata fuq l-opportunità li għandha fuq it-tkabbir ekonomiku?</v>
      </c>
    </row>
    <row r="14223" ht="15.75" customHeight="1">
      <c r="A14223" s="2" t="s">
        <v>14223</v>
      </c>
      <c r="B14223" s="2" t="str">
        <f>IFERROR(__xludf.DUMMYFUNCTION("GOOGLETRANSLATE(A14223, ""en"", ""mt"")"),"X'tip ta 'kloroplasti għandhom l-euglenofiti?")</f>
        <v>X'tip ta 'kloroplasti għandhom l-euglenofiti?</v>
      </c>
    </row>
    <row r="14224" ht="15.75" customHeight="1">
      <c r="A14224" s="2" t="s">
        <v>14224</v>
      </c>
      <c r="B14224" s="2" t="str">
        <f>IFERROR(__xludf.DUMMYFUNCTION("GOOGLETRANSLATE(A14224, ""en"", ""mt"")"),"Kemm nazzjonijiet fihom ""Amazonas"" f'isimhom?")</f>
        <v>Kemm nazzjonijiet fihom "Amazonas" f'isimhom?</v>
      </c>
    </row>
    <row r="14225" ht="15.75" customHeight="1">
      <c r="A14225" s="2" t="s">
        <v>14225</v>
      </c>
      <c r="B14225" s="2" t="str">
        <f>IFERROR(__xludf.DUMMYFUNCTION("GOOGLETRANSLATE(A14225, ""en"", ""mt"")"),"f'diversi postijiet madwar id-dinja.")</f>
        <v>f'diversi postijiet madwar id-dinja.</v>
      </c>
    </row>
    <row r="14226" ht="15.75" customHeight="1">
      <c r="A14226" s="2" t="s">
        <v>14226</v>
      </c>
      <c r="B14226" s="2" t="str">
        <f>IFERROR(__xludf.DUMMYFUNCTION("GOOGLETRANSLATE(A14226, ""en"", ""mt"")"),"1981")</f>
        <v>1981</v>
      </c>
    </row>
    <row r="14227" ht="15.75" customHeight="1">
      <c r="A14227" s="2" t="s">
        <v>14227</v>
      </c>
      <c r="B14227" s="2" t="str">
        <f>IFERROR(__xludf.DUMMYFUNCTION("GOOGLETRANSLATE(A14227, ""en"", ""mt"")"),"f'nofs is-snin sittin")</f>
        <v>f'nofs is-snin sittin</v>
      </c>
    </row>
    <row r="14228" ht="15.75" customHeight="1">
      <c r="A14228" s="2" t="s">
        <v>14228</v>
      </c>
      <c r="B14228" s="2" t="str">
        <f>IFERROR(__xludf.DUMMYFUNCTION("GOOGLETRANSLATE(A14228, ""en"", ""mt"")"),"L-ebda truppi tal-Armata Regolari Franċiżi ma kienu stazzjonati fl-Amerika ta ’Fuq,")</f>
        <v>L-ebda truppi tal-Armata Regolari Franċiżi ma kienu stazzjonati fl-Amerika ta ’Fuq,</v>
      </c>
    </row>
    <row r="14229" ht="15.75" customHeight="1">
      <c r="A14229" s="2" t="s">
        <v>14229</v>
      </c>
      <c r="B14229" s="2" t="str">
        <f>IFERROR(__xludf.DUMMYFUNCTION("GOOGLETRANSLATE(A14229, ""en"", ""mt"")"),"100,000 suldat")</f>
        <v>100,000 suldat</v>
      </c>
    </row>
    <row r="14230" ht="15.75" customHeight="1">
      <c r="A14230" s="2" t="s">
        <v>14230</v>
      </c>
      <c r="B14230" s="2" t="str">
        <f>IFERROR(__xludf.DUMMYFUNCTION("GOOGLETRANSLATE(A14230, ""en"", ""mt"")"),"Iċ-Ċensiment tal-Istati Uniti tal-2010 irrapporta li Fresno kellu popolazzjoni ta ’494,665. Id-densità tal-popolazzjoni kienet ta ’4,404.5 persuni kull mil kwadru (1,700.6 / km²). L-għamla razzjali ta 'Fresno kienet 245,306 (49.6%) bajda, 40.960 (8,3%) Af"&amp;"rikana Amerikana, 8,525 (1.7%) Native American, 62,528 (12,6%) Ażjatiċi (3.6% hmong, 1.7% Indjan, 1.2% Filippin, 1.2% Laotian, 1.0% Tajlandiż, 0.8% Kambodjan, 0.7% Ċiniż, 0.5% Ġappuniż, 0.4% Vjetnamiż, 0.2% Korean), 849 (0.2%) Pacific Islander, 111.984 (2"&amp;"2,6%) minn razez oħra, u 24,513 (5.0%) (5.0%) minn żewġ tiġrijiet jew aktar. Hispanic jew Latino ta 'kwalunkwe razza kienu 232,055 persuna (46.9%). Fost il-popolazzjoni Ispanika, 42.7% tal-popolazzjoni totali huma Messikani, 0.4% Salvadoran, u 0.4% Puerto"&amp;" Rican. L-abjad mhux Spanjoli kienu 30.0% tal-popolazzjoni fl-2010, 'l isfel minn 72.6% fl-1970.")</f>
        <v>Iċ-Ċensiment tal-Istati Uniti tal-2010 irrapporta li Fresno kellu popolazzjoni ta ’494,665. Id-densità tal-popolazzjoni kienet ta ’4,404.5 persuni kull mil kwadru (1,700.6 / km²). L-għamla razzjali ta 'Fresno kienet 245,306 (49.6%) bajda, 40.960 (8,3%) Afrikana Amerikana, 8,525 (1.7%) Native American, 62,528 (12,6%) Ażjatiċi (3.6% hmong, 1.7% Indjan, 1.2% Filippin, 1.2% Laotian, 1.0% Tajlandiż, 0.8% Kambodjan, 0.7% Ċiniż, 0.5% Ġappuniż, 0.4% Vjetnamiż, 0.2% Korean), 849 (0.2%) Pacific Islander, 111.984 (22,6%) minn razez oħra, u 24,513 (5.0%) (5.0%) minn żewġ tiġrijiet jew aktar. Hispanic jew Latino ta 'kwalunkwe razza kienu 232,055 persuna (46.9%). Fost il-popolazzjoni Ispanika, 42.7% tal-popolazzjoni totali huma Messikani, 0.4% Salvadoran, u 0.4% Puerto Rican. L-abjad mhux Spanjoli kienu 30.0% tal-popolazzjoni fl-2010, 'l isfel minn 72.6% fl-1970.</v>
      </c>
    </row>
    <row r="14231" ht="15.75" customHeight="1">
      <c r="A14231" s="2" t="s">
        <v>14231</v>
      </c>
      <c r="B14231" s="2" t="str">
        <f>IFERROR(__xludf.DUMMYFUNCTION("GOOGLETRANSLATE(A14231, ""en"", ""mt"")"),"Paċi Mongolja")</f>
        <v>Paċi Mongolja</v>
      </c>
    </row>
    <row r="14232" ht="15.75" customHeight="1">
      <c r="A14232" s="2" t="s">
        <v>14232</v>
      </c>
      <c r="B14232" s="2" t="str">
        <f>IFERROR(__xludf.DUMMYFUNCTION("GOOGLETRANSLATE(A14232, ""en"", ""mt"")"),"X'jistgħu jitgħallmu l-istudenti fil-klassijiet ta 'konferma u preparazzjoni tas-sħubija?")</f>
        <v>X'jistgħu jitgħallmu l-istudenti fil-klassijiet ta 'konferma u preparazzjoni tas-sħubija?</v>
      </c>
    </row>
    <row r="14233" ht="15.75" customHeight="1">
      <c r="A14233" s="2" t="s">
        <v>14233</v>
      </c>
      <c r="B14233" s="2" t="str">
        <f>IFERROR(__xludf.DUMMYFUNCTION("GOOGLETRANSLATE(A14233, ""en"", ""mt"")"),"Midalja tas-servizz distinta,")</f>
        <v>Midalja tas-servizz distinta,</v>
      </c>
    </row>
    <row r="14234" ht="15.75" customHeight="1">
      <c r="A14234" s="2" t="s">
        <v>14234</v>
      </c>
      <c r="B14234" s="2" t="str">
        <f>IFERROR(__xludf.DUMMYFUNCTION("GOOGLETRANSLATE(A14234, ""en"", ""mt"")"),"Liema kejl użaw ix-xjenzati biex jiddeterminaw il-kwalità tal-ilma?")</f>
        <v>Liema kejl użaw ix-xjenzati biex jiddeterminaw il-kwalità tal-ilma?</v>
      </c>
    </row>
    <row r="14235" ht="15.75" customHeight="1">
      <c r="A14235" s="2" t="s">
        <v>14235</v>
      </c>
      <c r="B14235" s="2" t="str">
        <f>IFERROR(__xludf.DUMMYFUNCTION("GOOGLETRANSLATE(A14235, ""en"", ""mt"")"),"Għaliex Tesla marret Karlovac?")</f>
        <v>Għaliex Tesla marret Karlovac?</v>
      </c>
    </row>
    <row r="14236" ht="15.75" customHeight="1">
      <c r="A14236" s="2" t="s">
        <v>14236</v>
      </c>
      <c r="B14236" s="2" t="str">
        <f>IFERROR(__xludf.DUMMYFUNCTION("GOOGLETRANSLATE(A14236, ""en"", ""mt"")"),"Li r-rwol tagħhom huwa li tiddisinja x-xogħlijiet, tħejji l-ispeċifikazzjonijiet u tipproduċi tpinġijiet tal-kostruzzjoni, tamministra l-kuntratt, tenera x-xogħlijiet, u timmaniġġja x-xogħlijiet mill-bidu sal-tlestija")</f>
        <v>Li r-rwol tagħhom huwa li tiddisinja x-xogħlijiet, tħejji l-ispeċifikazzjonijiet u tipproduċi tpinġijiet tal-kostruzzjoni, tamministra l-kuntratt, tenera x-xogħlijiet, u timmaniġġja x-xogħlijiet mill-bidu sal-tlestija</v>
      </c>
    </row>
    <row r="14237" ht="15.75" customHeight="1">
      <c r="A14237" s="2" t="s">
        <v>14237</v>
      </c>
      <c r="B14237" s="2" t="str">
        <f>IFERROR(__xludf.DUMMYFUNCTION("GOOGLETRANSLATE(A14237, ""en"", ""mt"")"),"Sistema newroimmuni")</f>
        <v>Sistema newroimmuni</v>
      </c>
    </row>
    <row r="14238" ht="15.75" customHeight="1">
      <c r="A14238" s="2" t="s">
        <v>14238</v>
      </c>
      <c r="B14238" s="2" t="str">
        <f>IFERROR(__xludf.DUMMYFUNCTION("GOOGLETRANSLATE(A14238, ""en"", ""mt"")"),"$ 474 miljun")</f>
        <v>$ 474 miljun</v>
      </c>
    </row>
    <row r="14239" ht="15.75" customHeight="1">
      <c r="A14239" s="2" t="s">
        <v>14239</v>
      </c>
      <c r="B14239" s="2" t="str">
        <f>IFERROR(__xludf.DUMMYFUNCTION("GOOGLETRANSLATE(A14239, ""en"", ""mt"")"),"F'Jannar 2010")</f>
        <v>F'Jannar 2010</v>
      </c>
    </row>
    <row r="14240" ht="15.75" customHeight="1">
      <c r="A14240" s="2" t="s">
        <v>14240</v>
      </c>
      <c r="B14240" s="2" t="str">
        <f>IFERROR(__xludf.DUMMYFUNCTION("GOOGLETRANSLATE(A14240, ""en"", ""mt"")"),"1 ta ’Awwissu 1944")</f>
        <v>1 ta ’Awwissu 1944</v>
      </c>
    </row>
    <row r="14241" ht="15.75" customHeight="1">
      <c r="A14241" s="2" t="s">
        <v>14241</v>
      </c>
      <c r="B14241" s="2" t="str">
        <f>IFERROR(__xludf.DUMMYFUNCTION("GOOGLETRANSLATE(A14241, ""en"", ""mt"")"),"6 ta 'Ġunju, 1951")</f>
        <v>6 ta 'Ġunju, 1951</v>
      </c>
    </row>
    <row r="14242" ht="15.75" customHeight="1">
      <c r="A14242" s="2" t="s">
        <v>14242</v>
      </c>
      <c r="B14242" s="2" t="str">
        <f>IFERROR(__xludf.DUMMYFUNCTION("GOOGLETRANSLATE(A14242, ""en"", ""mt"")"),"It-Tieni Liġi ta 'Newton")</f>
        <v>It-Tieni Liġi ta 'Newton</v>
      </c>
    </row>
    <row r="14243" ht="15.75" customHeight="1">
      <c r="A14243" s="2" t="s">
        <v>14243</v>
      </c>
      <c r="B14243" s="2" t="str">
        <f>IFERROR(__xludf.DUMMYFUNCTION("GOOGLETRANSLATE(A14243, ""en"", ""mt"")"),"Il-logo oriġinali użat għall-ewwel tabib")</f>
        <v>Il-logo oriġinali użat għall-ewwel tabib</v>
      </c>
    </row>
    <row r="14244" ht="15.75" customHeight="1">
      <c r="A14244" s="2" t="s">
        <v>14244</v>
      </c>
      <c r="B14244" s="2" t="str">
        <f>IFERROR(__xludf.DUMMYFUNCTION("GOOGLETRANSLATE(A14244, ""en"", ""mt"")"),"Il-komunità tal-Internet2, fi sħubija ma 'QWest")</f>
        <v>Il-komunità tal-Internet2, fi sħubija ma 'QWest</v>
      </c>
    </row>
    <row r="14245" ht="15.75" customHeight="1">
      <c r="A14245" s="2" t="s">
        <v>14245</v>
      </c>
      <c r="B14245" s="2" t="str">
        <f>IFERROR(__xludf.DUMMYFUNCTION("GOOGLETRANSLATE(A14245, ""en"", ""mt"")"),"Fl-1523, Luther kiteb li Ġesù Kristu twieled Lhudi li skoraġġixxa t-trattament ħażin tal-Lhud u kien favur il-konverżjoni tagħhom billi wera li t-Testment il-Qadim jista ’jintwera li jitkellem dwar Ġesù Kristu. Madankollu, hekk kif kompliet ir-riforma, Lu"&amp;"ther beda jitlef it-tama fil-konverżjoni Lhudija fuq skala kbira għall-Kristjaneżmu. Fis-snin ta 'wara tiegħu, Luther kiber aktar ostili lejn il-Lhud, billi kiteb kontrihom bit-tip ta' velenu li kien diġà ħareġ fuq l-Anabaptisti, iż-Żwinglianism, u l-papa"&amp;"t. It-trattat tiegħu tal-1543 von den Juden und Ihren Lügen (fuq il-Lhud u l-gideb tagħhom) ħa postu fost letteratura oħra anti-Lhudija taż-żminijiet, għalkemm l-istoriċi jirrikonoxxu li dan it-trattat kien partikolarment estrem, anke skont l-istandards t"&amp;"as-seklu sittax tal-Ewropa. Fiha, huwa jieħu linja iebsa kontra l-Ġudaiżmu, jikteb li s-sinagogi u d-djar tal-Lhud għandhom jinqerdu, il-flus tagħhom ikkonfiskati, u l-libertà mnaqqsa. Dawn id-dikjarazzjonijiet u l-influwenza tagħhom fuq l-antisemitiżmu k"&amp;"kontribwew għall-istatus kontroversjali tiegħu.")</f>
        <v>Fl-1523, Luther kiteb li Ġesù Kristu twieled Lhudi li skoraġġixxa t-trattament ħażin tal-Lhud u kien favur il-konverżjoni tagħhom billi wera li t-Testment il-Qadim jista ’jintwera li jitkellem dwar Ġesù Kristu. Madankollu, hekk kif kompliet ir-riforma, Luther beda jitlef it-tama fil-konverżjoni Lhudija fuq skala kbira għall-Kristjaneżmu. Fis-snin ta 'wara tiegħu, Luther kiber aktar ostili lejn il-Lhud, billi kiteb kontrihom bit-tip ta' velenu li kien diġà ħareġ fuq l-Anabaptisti, iż-Żwinglianism, u l-papat. It-trattat tiegħu tal-1543 von den Juden und Ihren Lügen (fuq il-Lhud u l-gideb tagħhom) ħa postu fost letteratura oħra anti-Lhudija taż-żminijiet, għalkemm l-istoriċi jirrikonoxxu li dan it-trattat kien partikolarment estrem, anke skont l-istandards tas-seklu sittax tal-Ewropa. Fiha, huwa jieħu linja iebsa kontra l-Ġudaiżmu, jikteb li s-sinagogi u d-djar tal-Lhud għandhom jinqerdu, il-flus tagħhom ikkonfiskati, u l-libertà mnaqqsa. Dawn id-dikjarazzjonijiet u l-influwenza tagħhom fuq l-antisemitiżmu kkontribwew għall-istatus kontroversjali tiegħu.</v>
      </c>
    </row>
    <row r="14246" ht="15.75" customHeight="1">
      <c r="A14246" s="2" t="s">
        <v>14246</v>
      </c>
      <c r="B14246" s="2" t="str">
        <f>IFERROR(__xludf.DUMMYFUNCTION("GOOGLETRANSLATE(A14246, ""en"", ""mt"")"),"kaċċa")</f>
        <v>kaċċa</v>
      </c>
    </row>
    <row r="14247" ht="15.75" customHeight="1">
      <c r="A14247" s="2" t="s">
        <v>14247</v>
      </c>
      <c r="B14247" s="2" t="str">
        <f>IFERROR(__xludf.DUMMYFUNCTION("GOOGLETRANSLATE(A14247, ""en"", ""mt"")"),"reċiprokanti")</f>
        <v>reċiprokanti</v>
      </c>
    </row>
    <row r="14248" ht="15.75" customHeight="1">
      <c r="A14248" s="2" t="s">
        <v>14248</v>
      </c>
      <c r="B14248" s="2" t="str">
        <f>IFERROR(__xludf.DUMMYFUNCTION("GOOGLETRANSLATE(A14248, ""en"", ""mt"")"),"Il-Qara Khitai, il-Kawkasu, l-Imperu Khwarezmid, il-Punent Xia u Jin Dynasties")</f>
        <v>Il-Qara Khitai, il-Kawkasu, l-Imperu Khwarezmid, il-Punent Xia u Jin Dynasties</v>
      </c>
    </row>
    <row r="14249" ht="15.75" customHeight="1">
      <c r="A14249" s="2" t="s">
        <v>14249</v>
      </c>
      <c r="B14249" s="2" t="str">
        <f>IFERROR(__xludf.DUMMYFUNCTION("GOOGLETRANSLATE(A14249, ""en"", ""mt"")"),"Lag Rhine")</f>
        <v>Lag Rhine</v>
      </c>
    </row>
    <row r="14250" ht="15.75" customHeight="1">
      <c r="A14250" s="2" t="s">
        <v>14250</v>
      </c>
      <c r="B14250" s="2" t="str">
        <f>IFERROR(__xludf.DUMMYFUNCTION("GOOGLETRANSLATE(A14250, ""en"", ""mt"")"),"X’tesla kitbet Tesla?")</f>
        <v>X’tesla kitbet Tesla?</v>
      </c>
    </row>
    <row r="14251" ht="15.75" customHeight="1">
      <c r="A14251" s="2" t="s">
        <v>14251</v>
      </c>
      <c r="B14251" s="2" t="str">
        <f>IFERROR(__xludf.DUMMYFUNCTION("GOOGLETRANSLATE(A14251, ""en"", ""mt"")"),"biex tnaddafhom minn pjanti u sedimenti")</f>
        <v>biex tnaddafhom minn pjanti u sedimenti</v>
      </c>
    </row>
    <row r="14252" ht="15.75" customHeight="1">
      <c r="A14252" s="2" t="s">
        <v>14252</v>
      </c>
      <c r="B14252" s="2" t="str">
        <f>IFERROR(__xludf.DUMMYFUNCTION("GOOGLETRANSLATE(A14252, ""en"", ""mt"")"),"X'żieda żdied it-tkabbir tas-sedimenti u d-delta wkoll fir-Renu?")</f>
        <v>X'żieda żdied it-tkabbir tas-sedimenti u d-delta wkoll fir-Renu?</v>
      </c>
    </row>
    <row r="14253" ht="15.75" customHeight="1">
      <c r="A14253" s="2" t="s">
        <v>14253</v>
      </c>
      <c r="B14253" s="2" t="str">
        <f>IFERROR(__xludf.DUMMYFUNCTION("GOOGLETRANSLATE(A14253, ""en"", ""mt"")"),"Meta nħoloq id-Dipartiment tal-Enerġija fil-Livell tal-Kabinett?")</f>
        <v>Meta nħoloq id-Dipartiment tal-Enerġija fil-Livell tal-Kabinett?</v>
      </c>
    </row>
    <row r="14254" ht="15.75" customHeight="1">
      <c r="A14254" s="2" t="s">
        <v>14254</v>
      </c>
      <c r="B14254" s="2" t="str">
        <f>IFERROR(__xludf.DUMMYFUNCTION("GOOGLETRANSLATE(A14254, ""en"", ""mt"")"),"Meta kienu n-Normanni fin-Normandija?")</f>
        <v>Meta kienu n-Normanni fin-Normandija?</v>
      </c>
    </row>
    <row r="14255" ht="15.75" customHeight="1">
      <c r="A14255" s="2" t="s">
        <v>14255</v>
      </c>
      <c r="B14255" s="2" t="str">
        <f>IFERROR(__xludf.DUMMYFUNCTION("GOOGLETRANSLATE(A14255, ""en"", ""mt"")"),"Workshop Radjofoniku tal-BBC")</f>
        <v>Workshop Radjofoniku tal-BBC</v>
      </c>
    </row>
    <row r="14256" ht="15.75" customHeight="1">
      <c r="A14256" s="2" t="s">
        <v>14256</v>
      </c>
      <c r="B14256" s="2" t="str">
        <f>IFERROR(__xludf.DUMMYFUNCTION("GOOGLETRANSLATE(A14256, ""en"", ""mt"")"),"Fejn marret Tesla biex tevita l-abbozz tal-armata?")</f>
        <v>Fejn marret Tesla biex tevita l-abbozz tal-armata?</v>
      </c>
    </row>
    <row r="14257" ht="15.75" customHeight="1">
      <c r="A14257" s="2" t="s">
        <v>14257</v>
      </c>
      <c r="B14257" s="2" t="str">
        <f>IFERROR(__xludf.DUMMYFUNCTION("GOOGLETRANSLATE(A14257, ""en"", ""mt"")"),"Kemm-il sena tkopri l-kollezzjoni tal-ħġieġ V&amp;A?")</f>
        <v>Kemm-il sena tkopri l-kollezzjoni tal-ħġieġ V&amp;A?</v>
      </c>
    </row>
    <row r="14258" ht="15.75" customHeight="1">
      <c r="A14258" s="2" t="s">
        <v>14258</v>
      </c>
      <c r="B14258" s="2" t="str">
        <f>IFERROR(__xludf.DUMMYFUNCTION("GOOGLETRANSLATE(A14258, ""en"", ""mt"")"),"Xi klassijiet ta 'kumplessità")</f>
        <v>Xi klassijiet ta 'kumplessità</v>
      </c>
    </row>
    <row r="14259" ht="15.75" customHeight="1">
      <c r="A14259" s="2" t="s">
        <v>14259</v>
      </c>
      <c r="B14259" s="2" t="str">
        <f>IFERROR(__xludf.DUMMYFUNCTION("GOOGLETRANSLATE(A14259, ""en"", ""mt"")"),"Tiġdid ta 'ostilitajiet fil-kunflitt Għarbi-Iżraeljan")</f>
        <v>Tiġdid ta 'ostilitajiet fil-kunflitt Għarbi-Iżraeljan</v>
      </c>
    </row>
    <row r="14260" ht="15.75" customHeight="1">
      <c r="A14260" s="2" t="s">
        <v>14260</v>
      </c>
      <c r="B14260" s="2" t="str">
        <f>IFERROR(__xludf.DUMMYFUNCTION("GOOGLETRANSLATE(A14260, ""en"", ""mt"")"),"Is-sistema immunitarja adattiva tirrikonoxxi antiġeni mhux awto waqt proċess imsejjaħ?")</f>
        <v>Is-sistema immunitarja adattiva tirrikonoxxi antiġeni mhux awto waqt proċess imsejjaħ?</v>
      </c>
    </row>
    <row r="14261" ht="15.75" customHeight="1">
      <c r="A14261" s="2" t="s">
        <v>14261</v>
      </c>
      <c r="B14261" s="2" t="str">
        <f>IFERROR(__xludf.DUMMYFUNCTION("GOOGLETRANSLATE(A14261, ""en"", ""mt"")"),"Test ta 'Lucas-Lehmer")</f>
        <v>Test ta 'Lucas-Lehmer</v>
      </c>
    </row>
    <row r="14262" ht="15.75" customHeight="1">
      <c r="A14262" s="2" t="s">
        <v>14262</v>
      </c>
      <c r="B14262" s="2" t="str">
        <f>IFERROR(__xludf.DUMMYFUNCTION("GOOGLETRANSLATE(A14262, ""en"", ""mt"")"),"Meta eventwalment inħall id-diviżjoni tal-istampi ABC?")</f>
        <v>Meta eventwalment inħall id-diviżjoni tal-istampi ABC?</v>
      </c>
    </row>
    <row r="14263" ht="15.75" customHeight="1">
      <c r="A14263" s="2" t="s">
        <v>14263</v>
      </c>
      <c r="B14263" s="2" t="str">
        <f>IFERROR(__xludf.DUMMYFUNCTION("GOOGLETRANSLATE(A14263, ""en"", ""mt"")"),"Il-Franċiżi akkwistaw kopja tal-pjanijiet tal-gwerra Ingliżi, inklużi l-attivitajiet ta ’Shirley u Johnson. L-isforzi ta 'Shirley biex tissaħħaħ lil Oswego ġew imrażżna f'diffikultajiet loġistiċi, aggravati mill-esperjenza ta' Shirley fil-ġestjoni ta 'spe"&amp;"dizzjonijiet kbar. Flimkien, Shirley kien konxju li l-Franċiżi kienu qed jimmanifestaw għal attakk fuq Fort Oswego fl-assenza tiegħu meta ppjana li jattakka Fort Niagara. Bħala tweġiba, Shirley ħalla l-garrisons f'Oswego, Fort Bull, u Fort Williams (it-tn"&amp;"ejn tal-aħħar li jinsabu fuq il-Carry Oneida bejn ix-Xmara Mohawk u Wood Creek fil-preżent Ruma, New York). Il-provvisti għall-użu fl-attakk proġettat fuq Niagara ġew cache fil-Fort Bull.")</f>
        <v>Il-Franċiżi akkwistaw kopja tal-pjanijiet tal-gwerra Ingliżi, inklużi l-attivitajiet ta ’Shirley u Johnson. L-isforzi ta 'Shirley biex tissaħħaħ lil Oswego ġew imrażżna f'diffikultajiet loġistiċi, aggravati mill-esperjenza ta' Shirley fil-ġestjoni ta 'spedizzjonijiet kbar. Flimkien, Shirley kien konxju li l-Franċiżi kienu qed jimmanifestaw għal attakk fuq Fort Oswego fl-assenza tiegħu meta ppjana li jattakka Fort Niagara. Bħala tweġiba, Shirley ħalla l-garrisons f'Oswego, Fort Bull, u Fort Williams (it-tnejn tal-aħħar li jinsabu fuq il-Carry Oneida bejn ix-Xmara Mohawk u Wood Creek fil-preżent Ruma, New York). Il-provvisti għall-użu fl-attakk proġettat fuq Niagara ġew cache fil-Fort Bull.</v>
      </c>
    </row>
    <row r="14264" ht="15.75" customHeight="1">
      <c r="A14264" s="2" t="s">
        <v>14264</v>
      </c>
      <c r="B14264" s="2" t="str">
        <f>IFERROR(__xludf.DUMMYFUNCTION("GOOGLETRANSLATE(A14264, ""en"", ""mt"")"),"Infinit")</f>
        <v>Infinit</v>
      </c>
    </row>
    <row r="14265" ht="15.75" customHeight="1">
      <c r="A14265" s="2" t="s">
        <v>14265</v>
      </c>
      <c r="B14265" s="2" t="str">
        <f>IFERROR(__xludf.DUMMYFUNCTION("GOOGLETRANSLATE(A14265, ""en"", ""mt"")"),"kopertura ta 'veġetazzjoni tropikali niedja mnaqqsa fil-baċin")</f>
        <v>kopertura ta 'veġetazzjoni tropikali niedja mnaqqsa fil-baċin</v>
      </c>
    </row>
    <row r="14266" ht="15.75" customHeight="1">
      <c r="A14266" s="2" t="s">
        <v>14266</v>
      </c>
      <c r="B14266" s="2" t="str">
        <f>IFERROR(__xludf.DUMMYFUNCTION("GOOGLETRANSLATE(A14266, ""en"", ""mt"")"),"Ir-rally safari famuż fid-dinja")</f>
        <v>Ir-rally safari famuż fid-dinja</v>
      </c>
    </row>
    <row r="14267" ht="15.75" customHeight="1">
      <c r="A14267" s="2" t="s">
        <v>14267</v>
      </c>
      <c r="B14267" s="2" t="str">
        <f>IFERROR(__xludf.DUMMYFUNCTION("GOOGLETRANSLATE(A14267, ""en"", ""mt"")"),"allotrope")</f>
        <v>allotrope</v>
      </c>
    </row>
    <row r="14268" ht="15.75" customHeight="1">
      <c r="A14268" s="2" t="s">
        <v>14268</v>
      </c>
      <c r="B14268" s="2" t="str">
        <f>IFERROR(__xludf.DUMMYFUNCTION("GOOGLETRANSLATE(A14268, ""en"", ""mt"")"),"Rhine Gutter")</f>
        <v>Rhine Gutter</v>
      </c>
    </row>
    <row r="14269" ht="15.75" customHeight="1">
      <c r="A14269" s="2" t="s">
        <v>14269</v>
      </c>
      <c r="B14269" s="2" t="str">
        <f>IFERROR(__xludf.DUMMYFUNCTION("GOOGLETRANSLATE(A14269, ""en"", ""mt"")"),"132 miljun tunnellata")</f>
        <v>132 miljun tunnellata</v>
      </c>
    </row>
    <row r="14270" ht="15.75" customHeight="1">
      <c r="A14270" s="2" t="s">
        <v>14270</v>
      </c>
      <c r="B14270" s="2" t="str">
        <f>IFERROR(__xludf.DUMMYFUNCTION("GOOGLETRANSLATE(A14270, ""en"", ""mt"")"),"il-bażi flared distintiva tagħha")</f>
        <v>il-bażi flared distintiva tagħha</v>
      </c>
    </row>
    <row r="14271" ht="15.75" customHeight="1">
      <c r="A14271" s="2" t="s">
        <v>14271</v>
      </c>
      <c r="B14271" s="2" t="str">
        <f>IFERROR(__xludf.DUMMYFUNCTION("GOOGLETRANSLATE(A14271, ""en"", ""mt"")"),"Imperu Intern")</f>
        <v>Imperu Intern</v>
      </c>
    </row>
    <row r="14272" ht="15.75" customHeight="1">
      <c r="A14272" s="2" t="s">
        <v>14272</v>
      </c>
      <c r="B14272" s="2" t="str">
        <f>IFERROR(__xludf.DUMMYFUNCTION("GOOGLETRANSLATE(A14272, ""en"", ""mt"")"),"Ċentru Ekonomiku Maġġuri")</f>
        <v>Ċentru Ekonomiku Maġġuri</v>
      </c>
    </row>
    <row r="14273" ht="15.75" customHeight="1">
      <c r="A14273" s="2" t="s">
        <v>14273</v>
      </c>
      <c r="B14273" s="2" t="str">
        <f>IFERROR(__xludf.DUMMYFUNCTION("GOOGLETRANSLATE(A14273, ""en"", ""mt"")"),"Kemm kilometri kwadri huwa l-Baċin tal-Amażonja?")</f>
        <v>Kemm kilometri kwadri huwa l-Baċin tal-Amażonja?</v>
      </c>
    </row>
    <row r="14274" ht="15.75" customHeight="1">
      <c r="A14274" s="2" t="s">
        <v>14274</v>
      </c>
      <c r="B14274" s="2" t="str">
        <f>IFERROR(__xludf.DUMMYFUNCTION("GOOGLETRANSLATE(A14274, ""en"", ""mt"")"),"awto u mhux innifsu")</f>
        <v>awto u mhux innifsu</v>
      </c>
    </row>
    <row r="14275" ht="15.75" customHeight="1">
      <c r="A14275" s="2" t="s">
        <v>14275</v>
      </c>
      <c r="B14275" s="2" t="str">
        <f>IFERROR(__xludf.DUMMYFUNCTION("GOOGLETRANSLATE(A14275, ""en"", ""mt"")"),"individwu")</f>
        <v>individwu</v>
      </c>
    </row>
    <row r="14276" ht="15.75" customHeight="1">
      <c r="A14276" s="2" t="s">
        <v>14276</v>
      </c>
      <c r="B14276" s="2" t="str">
        <f>IFERROR(__xludf.DUMMYFUNCTION("GOOGLETRANSLATE(A14276, ""en"", ""mt"")"),"Alfred Drury")</f>
        <v>Alfred Drury</v>
      </c>
    </row>
    <row r="14277" ht="15.75" customHeight="1">
      <c r="A14277" s="2" t="s">
        <v>14277</v>
      </c>
      <c r="B14277" s="2" t="str">
        <f>IFERROR(__xludf.DUMMYFUNCTION("GOOGLETRANSLATE(A14277, ""en"", ""mt"")"),"Liema kunċett modern tal-matematika ma ħademx lil Zhu Shijie?")</f>
        <v>Liema kunċett modern tal-matematika ma ħademx lil Zhu Shijie?</v>
      </c>
    </row>
    <row r="14278" ht="15.75" customHeight="1">
      <c r="A14278" s="2" t="s">
        <v>14278</v>
      </c>
      <c r="B14278" s="2" t="str">
        <f>IFERROR(__xludf.DUMMYFUNCTION("GOOGLETRANSLATE(A14278, ""en"", ""mt"")"),"Jerome Wiesner")</f>
        <v>Jerome Wiesner</v>
      </c>
    </row>
    <row r="14279" ht="15.75" customHeight="1">
      <c r="A14279" s="2" t="s">
        <v>14279</v>
      </c>
      <c r="B14279" s="2" t="str">
        <f>IFERROR(__xludf.DUMMYFUNCTION("GOOGLETRANSLATE(A14279, ""en"", ""mt"")"),"kompetizzjoni bejn sistemi ta 'dawl rivali")</f>
        <v>kompetizzjoni bejn sistemi ta 'dawl rivali</v>
      </c>
    </row>
    <row r="14280" ht="15.75" customHeight="1">
      <c r="A14280" s="2" t="s">
        <v>14280</v>
      </c>
      <c r="B14280" s="2" t="str">
        <f>IFERROR(__xludf.DUMMYFUNCTION("GOOGLETRANSLATE(A14280, ""en"", ""mt"")"),"24 ta 'Lulju.")</f>
        <v>24 ta 'Lulju.</v>
      </c>
    </row>
    <row r="14281" ht="15.75" customHeight="1">
      <c r="A14281" s="2" t="s">
        <v>14281</v>
      </c>
      <c r="B14281" s="2" t="str">
        <f>IFERROR(__xludf.DUMMYFUNCTION("GOOGLETRANSLATE(A14281, ""en"", ""mt"")"),"fihom id-DNA tagħhom stess")</f>
        <v>fihom id-DNA tagħhom stess</v>
      </c>
    </row>
    <row r="14282" ht="15.75" customHeight="1">
      <c r="A14282" s="2" t="s">
        <v>14282</v>
      </c>
      <c r="B14282" s="2" t="str">
        <f>IFERROR(__xludf.DUMMYFUNCTION("GOOGLETRANSLATE(A14282, ""en"", ""mt"")"),"fl-1259")</f>
        <v>fl-1259</v>
      </c>
    </row>
    <row r="14283" ht="15.75" customHeight="1">
      <c r="A14283" s="2" t="s">
        <v>14283</v>
      </c>
      <c r="B14283" s="2" t="str">
        <f>IFERROR(__xludf.DUMMYFUNCTION("GOOGLETRANSLATE(A14283, ""en"", ""mt"")"),"popolazzjoni mxerrda u distanza")</f>
        <v>popolazzjoni mxerrda u distanza</v>
      </c>
    </row>
    <row r="14284" ht="15.75" customHeight="1">
      <c r="A14284" s="2" t="s">
        <v>14284</v>
      </c>
      <c r="B14284" s="2" t="str">
        <f>IFERROR(__xludf.DUMMYFUNCTION("GOOGLETRANSLATE(A14284, ""en"", ""mt"")"),"Draftsman")</f>
        <v>Draftsman</v>
      </c>
    </row>
    <row r="14285" ht="15.75" customHeight="1">
      <c r="A14285" s="2" t="s">
        <v>14285</v>
      </c>
      <c r="B14285" s="2" t="str">
        <f>IFERROR(__xludf.DUMMYFUNCTION("GOOGLETRANSLATE(A14285, ""en"", ""mt"")"),"mhux speċifikament riservat")</f>
        <v>mhux speċifikament riservat</v>
      </c>
    </row>
    <row r="14286" ht="15.75" customHeight="1">
      <c r="A14286" s="2" t="s">
        <v>14286</v>
      </c>
      <c r="B14286" s="2" t="str">
        <f>IFERROR(__xludf.DUMMYFUNCTION("GOOGLETRANSLATE(A14286, ""en"", ""mt"")"),"Molekuli ta 'tliet karbonji")</f>
        <v>Molekuli ta 'tliet karbonji</v>
      </c>
    </row>
    <row r="14287" ht="15.75" customHeight="1">
      <c r="A14287" s="2" t="s">
        <v>14287</v>
      </c>
      <c r="B14287" s="2" t="str">
        <f>IFERROR(__xludf.DUMMYFUNCTION("GOOGLETRANSLATE(A14287, ""en"", ""mt"")"),"In-nota tal-President Mongoljan Tsakhiagian Elbegdorj kienet ikkastigata b'mod sinifikanti mil-liġijiet ta 'Genghis Khan?")</f>
        <v>In-nota tal-President Mongoljan Tsakhiagian Elbegdorj kienet ikkastigata b'mod sinifikanti mil-liġijiet ta 'Genghis Khan?</v>
      </c>
    </row>
    <row r="14288" ht="15.75" customHeight="1">
      <c r="A14288" s="2" t="s">
        <v>14288</v>
      </c>
      <c r="B14288" s="2" t="str">
        <f>IFERROR(__xludf.DUMMYFUNCTION("GOOGLETRANSLATE(A14288, ""en"", ""mt"")"),"Dwar liema sena ġiet ivvintata l-magna atmosferika?")</f>
        <v>Dwar liema sena ġiet ivvintata l-magna atmosferika?</v>
      </c>
    </row>
    <row r="14289" ht="15.75" customHeight="1">
      <c r="A14289" s="2" t="s">
        <v>14289</v>
      </c>
      <c r="B14289" s="2" t="str">
        <f>IFERROR(__xludf.DUMMYFUNCTION("GOOGLETRANSLATE(A14289, ""en"", ""mt"")"),"Kull Ġunju")</f>
        <v>Kull Ġunju</v>
      </c>
    </row>
    <row r="14290" ht="15.75" customHeight="1">
      <c r="A14290" s="2" t="s">
        <v>14290</v>
      </c>
      <c r="B14290" s="2" t="str">
        <f>IFERROR(__xludf.DUMMYFUNCTION("GOOGLETRANSLATE(A14290, ""en"", ""mt"")"),"308")</f>
        <v>308</v>
      </c>
    </row>
    <row r="14291" ht="15.75" customHeight="1">
      <c r="A14291" s="2" t="s">
        <v>14291</v>
      </c>
      <c r="B14291" s="2" t="str">
        <f>IFERROR(__xludf.DUMMYFUNCTION("GOOGLETRANSLATE(A14291, ""en"", ""mt"")"),"L-Orkestra Nazzjonali tal-BBC ta 'Wales")</f>
        <v>L-Orkestra Nazzjonali tal-BBC ta 'Wales</v>
      </c>
    </row>
    <row r="14292" ht="15.75" customHeight="1">
      <c r="A14292" s="2" t="s">
        <v>14292</v>
      </c>
      <c r="B14292" s="2" t="str">
        <f>IFERROR(__xludf.DUMMYFUNCTION("GOOGLETRANSLATE(A14292, ""en"", ""mt"")"),"Fid-difiża tiegħu ta 'Doctor Who, x'qabbel Philip Howard mas-Suq tal-Propjetà ta' Londra?")</f>
        <v>Fid-difiża tiegħu ta 'Doctor Who, x'qabbel Philip Howard mas-Suq tal-Propjetà ta' Londra?</v>
      </c>
    </row>
    <row r="14293" ht="15.75" customHeight="1">
      <c r="A14293" s="2" t="s">
        <v>14293</v>
      </c>
      <c r="B14293" s="2" t="str">
        <f>IFERROR(__xludf.DUMMYFUNCTION("GOOGLETRANSLATE(A14293, ""en"", ""mt"")"),"Kemm hemm fergħat li l-fergħa tar-Rhine tidħol?")</f>
        <v>Kemm hemm fergħat li l-fergħa tar-Rhine tidħol?</v>
      </c>
    </row>
    <row r="14294" ht="15.75" customHeight="1">
      <c r="A14294" s="2" t="s">
        <v>14294</v>
      </c>
      <c r="B14294" s="2" t="str">
        <f>IFERROR(__xludf.DUMMYFUNCTION("GOOGLETRANSLATE(A14294, ""en"", ""mt"")"),"il-mezzi tiegħu biex jaħtfu l-poter")</f>
        <v>il-mezzi tiegħu biex jaħtfu l-poter</v>
      </c>
    </row>
    <row r="14295" ht="15.75" customHeight="1">
      <c r="A14295" s="2" t="s">
        <v>14295</v>
      </c>
      <c r="B14295" s="2" t="str">
        <f>IFERROR(__xludf.DUMMYFUNCTION("GOOGLETRANSLATE(A14295, ""en"", ""mt"")"),"Jekk ma tafx kemm il-kobor kif ukoll id-direzzjoni ta 'żewġ forzi fuq oġġett, x'sejjaħ dik is-sitwazzjoni?")</f>
        <v>Jekk ma tafx kemm il-kobor kif ukoll id-direzzjoni ta 'żewġ forzi fuq oġġett, x'sejjaħ dik is-sitwazzjoni?</v>
      </c>
    </row>
    <row r="14296" ht="15.75" customHeight="1">
      <c r="A14296" s="2" t="s">
        <v>14296</v>
      </c>
      <c r="B14296" s="2" t="str">
        <f>IFERROR(__xludf.DUMMYFUNCTION("GOOGLETRANSLATE(A14296, ""en"", ""mt"")"),"Duttrina ta 'trans-startjazzjoni matul il-massa")</f>
        <v>Duttrina ta 'trans-startjazzjoni matul il-massa</v>
      </c>
    </row>
    <row r="14297" ht="15.75" customHeight="1">
      <c r="A14297" s="2" t="s">
        <v>14297</v>
      </c>
      <c r="B14297" s="2" t="str">
        <f>IFERROR(__xludf.DUMMYFUNCTION("GOOGLETRANSLATE(A14297, ""en"", ""mt"")"),"Liema gwerra tal-Istati Uniti kkawżat ammont għoli ta 'diżubbidjenza ċivili?")</f>
        <v>Liema gwerra tal-Istati Uniti kkawżat ammont għoli ta 'diżubbidjenza ċivili?</v>
      </c>
    </row>
    <row r="14298" ht="15.75" customHeight="1">
      <c r="A14298" s="2" t="s">
        <v>14298</v>
      </c>
      <c r="B14298" s="2" t="str">
        <f>IFERROR(__xludf.DUMMYFUNCTION("GOOGLETRANSLATE(A14298, ""en"", ""mt"")"),"retorika")</f>
        <v>retorika</v>
      </c>
    </row>
    <row r="14299" ht="15.75" customHeight="1">
      <c r="A14299" s="2" t="s">
        <v>14299</v>
      </c>
      <c r="B14299" s="2" t="str">
        <f>IFERROR(__xludf.DUMMYFUNCTION("GOOGLETRANSLATE(A14299, ""en"", ""mt"")"),"Taliban")</f>
        <v>Taliban</v>
      </c>
    </row>
    <row r="14300" ht="15.75" customHeight="1">
      <c r="A14300" s="2" t="s">
        <v>14300</v>
      </c>
      <c r="B14300" s="2" t="str">
        <f>IFERROR(__xludf.DUMMYFUNCTION("GOOGLETRANSLATE(A14300, ""en"", ""mt"")"),"X'inhi l-iktar karatteristika distintiva ta 'Ctenophora?")</f>
        <v>X'inhi l-iktar karatteristika distintiva ta 'Ctenophora?</v>
      </c>
    </row>
    <row r="14301" ht="15.75" customHeight="1">
      <c r="A14301" s="2" t="s">
        <v>14301</v>
      </c>
      <c r="B14301" s="2" t="str">
        <f>IFERROR(__xludf.DUMMYFUNCTION("GOOGLETRANSLATE(A14301, ""en"", ""mt"")"),"1735")</f>
        <v>1735</v>
      </c>
    </row>
    <row r="14302" ht="15.75" customHeight="1">
      <c r="A14302" s="2" t="s">
        <v>14302</v>
      </c>
      <c r="B14302" s="2" t="str">
        <f>IFERROR(__xludf.DUMMYFUNCTION("GOOGLETRANSLATE(A14302, ""en"", ""mt"")"),"VA, is-Servizz tas-Saħħa Indjana, u NIH")</f>
        <v>VA, is-Servizz tas-Saħħa Indjana, u NIH</v>
      </c>
    </row>
    <row r="14303" ht="15.75" customHeight="1">
      <c r="A14303" s="2" t="s">
        <v>14303</v>
      </c>
      <c r="B14303" s="2" t="str">
        <f>IFERROR(__xludf.DUMMYFUNCTION("GOOGLETRANSLATE(A14303, ""en"", ""mt"")"),"neputi")</f>
        <v>neputi</v>
      </c>
    </row>
    <row r="14304" ht="15.75" customHeight="1">
      <c r="A14304" s="2" t="s">
        <v>14304</v>
      </c>
      <c r="B14304" s="2" t="str">
        <f>IFERROR(__xludf.DUMMYFUNCTION("GOOGLETRANSLATE(A14304, ""en"", ""mt"")"),"Liema ipoteżi hija assoċjata mal-klassi ta 'kumplessità ta' P meqjusa bħala astrazzjoni matematika ma 'funzjonalità algoritmika effiċjenti?")</f>
        <v>Liema ipoteżi hija assoċjata mal-klassi ta 'kumplessità ta' P meqjusa bħala astrazzjoni matematika ma 'funzjonalità algoritmika effiċjenti?</v>
      </c>
    </row>
    <row r="14305" ht="15.75" customHeight="1">
      <c r="A14305" s="2" t="s">
        <v>14305</v>
      </c>
      <c r="B14305" s="2" t="str">
        <f>IFERROR(__xludf.DUMMYFUNCTION("GOOGLETRANSLATE(A14305, ""en"", ""mt"")"),"l-imħallfin")</f>
        <v>l-imħallfin</v>
      </c>
    </row>
    <row r="14306" ht="15.75" customHeight="1">
      <c r="A14306" s="2" t="s">
        <v>14306</v>
      </c>
      <c r="B14306" s="2" t="str">
        <f>IFERROR(__xludf.DUMMYFUNCTION("GOOGLETRANSLATE(A14306, ""en"", ""mt"")"),"QUTB")</f>
        <v>QUTB</v>
      </c>
    </row>
    <row r="14307" ht="15.75" customHeight="1">
      <c r="A14307" s="2" t="s">
        <v>14307</v>
      </c>
      <c r="B14307" s="2" t="str">
        <f>IFERROR(__xludf.DUMMYFUNCTION("GOOGLETRANSLATE(A14307, ""en"", ""mt"")"),"Immaniġġja d-Dipartiment tal-Ispiżerija")</f>
        <v>Immaniġġja d-Dipartiment tal-Ispiżerija</v>
      </c>
    </row>
    <row r="14308" ht="15.75" customHeight="1">
      <c r="A14308" s="2" t="s">
        <v>14308</v>
      </c>
      <c r="B14308" s="2" t="str">
        <f>IFERROR(__xludf.DUMMYFUNCTION("GOOGLETRANSLATE(A14308, ""en"", ""mt"")"),"X’jagħmel battering waqt l-assedju ta ’Newcastle?")</f>
        <v>X’jagħmel battering waqt l-assedju ta ’Newcastle?</v>
      </c>
    </row>
    <row r="14309" ht="15.75" customHeight="1">
      <c r="A14309" s="2" t="s">
        <v>14309</v>
      </c>
      <c r="B14309" s="2" t="str">
        <f>IFERROR(__xludf.DUMMYFUNCTION("GOOGLETRANSLATE(A14309, ""en"", ""mt"")"),"munita fiċ-ċrieki tal-coffer, ir-ruħ mill-purgatorju")</f>
        <v>munita fiċ-ċrieki tal-coffer, ir-ruħ mill-purgatorju</v>
      </c>
    </row>
    <row r="14310" ht="15.75" customHeight="1">
      <c r="A14310" s="2" t="s">
        <v>14310</v>
      </c>
      <c r="B14310" s="2" t="str">
        <f>IFERROR(__xludf.DUMMYFUNCTION("GOOGLETRANSLATE(A14310, ""en"", ""mt"")"),"0.519")</f>
        <v>0.519</v>
      </c>
    </row>
    <row r="14311" ht="15.75" customHeight="1">
      <c r="A14311" s="2" t="s">
        <v>14311</v>
      </c>
      <c r="B14311" s="2" t="str">
        <f>IFERROR(__xludf.DUMMYFUNCTION("GOOGLETRANSLATE(A14311, ""en"", ""mt"")"),"X'qal Houghton huwa meħtieġ għal xi tibdil fl-SPM?")</f>
        <v>X'qal Houghton huwa meħtieġ għal xi tibdil fl-SPM?</v>
      </c>
    </row>
    <row r="14312" ht="15.75" customHeight="1">
      <c r="A14312" s="2" t="s">
        <v>14312</v>
      </c>
      <c r="B14312" s="2" t="str">
        <f>IFERROR(__xludf.DUMMYFUNCTION("GOOGLETRANSLATE(A14312, ""en"", ""mt"")"),"F'liema stil inbena l-edifiċju tal-Filarmonija ta 'Varsavja?")</f>
        <v>F'liema stil inbena l-edifiċju tal-Filarmonija ta 'Varsavja?</v>
      </c>
    </row>
    <row r="14313" ht="15.75" customHeight="1">
      <c r="A14313" s="2" t="s">
        <v>14313</v>
      </c>
      <c r="B14313" s="2" t="str">
        <f>IFERROR(__xludf.DUMMYFUNCTION("GOOGLETRANSLATE(A14313, ""en"", ""mt"")"),"Dak li kiteb il-Grieg bikri dwar esperimenti dwar l-arja u l-kombustjoni?")</f>
        <v>Dak li kiteb il-Grieg bikri dwar esperimenti dwar l-arja u l-kombustjoni?</v>
      </c>
    </row>
    <row r="14314" ht="15.75" customHeight="1">
      <c r="A14314" s="2" t="s">
        <v>14314</v>
      </c>
      <c r="B14314" s="2" t="str">
        <f>IFERROR(__xludf.DUMMYFUNCTION("GOOGLETRANSLATE(A14314, ""en"", ""mt"")"),"East End")</f>
        <v>East End</v>
      </c>
    </row>
    <row r="14315" ht="15.75" customHeight="1">
      <c r="A14315" s="2" t="s">
        <v>14315</v>
      </c>
      <c r="B14315" s="2" t="str">
        <f>IFERROR(__xludf.DUMMYFUNCTION("GOOGLETRANSLATE(A14315, ""en"", ""mt"")"),", għen biex jiżdiedu l-prezzijiet tal-produtturi lokali b'20-25%")</f>
        <v>, għen biex jiżdiedu l-prezzijiet tal-produtturi lokali b'20-25%</v>
      </c>
    </row>
    <row r="14316" ht="15.75" customHeight="1">
      <c r="A14316" s="2" t="s">
        <v>14316</v>
      </c>
      <c r="B14316" s="2" t="str">
        <f>IFERROR(__xludf.DUMMYFUNCTION("GOOGLETRANSLATE(A14316, ""en"", ""mt"")"),"Sybilla")</f>
        <v>Sybilla</v>
      </c>
    </row>
    <row r="14317" ht="15.75" customHeight="1">
      <c r="A14317" s="2" t="s">
        <v>14317</v>
      </c>
      <c r="B14317" s="2" t="str">
        <f>IFERROR(__xludf.DUMMYFUNCTION("GOOGLETRANSLATE(A14317, ""en"", ""mt"")"),"is-siġill tal-Kummissjoni Federali tal-Komunikazzjonijiet")</f>
        <v>is-siġill tal-Kummissjoni Federali tal-Komunikazzjonijiet</v>
      </c>
    </row>
    <row r="14318" ht="15.75" customHeight="1">
      <c r="A14318" s="2" t="s">
        <v>14318</v>
      </c>
      <c r="B14318" s="2" t="str">
        <f>IFERROR(__xludf.DUMMYFUNCTION("GOOGLETRANSLATE(A14318, ""en"", ""mt"")"),"Domanda mnaqqsa tal-konsumatur")</f>
        <v>Domanda mnaqqsa tal-konsumatur</v>
      </c>
    </row>
    <row r="14319" ht="15.75" customHeight="1">
      <c r="A14319" s="2" t="s">
        <v>14319</v>
      </c>
      <c r="B14319" s="2" t="str">
        <f>IFERROR(__xludf.DUMMYFUNCTION("GOOGLETRANSLATE(A14319, ""en"", ""mt"")"),"malajr")</f>
        <v>malajr</v>
      </c>
    </row>
    <row r="14320" ht="15.75" customHeight="1">
      <c r="A14320" s="2" t="s">
        <v>14320</v>
      </c>
      <c r="B14320" s="2" t="str">
        <f>IFERROR(__xludf.DUMMYFUNCTION("GOOGLETRANSLATE(A14320, ""en"", ""mt"")"),"attakka l-kolonna Ingliża, qatel u qabad diversi mijiet ta 'rġiel, nisa, tfal, u skjavi.")</f>
        <v>attakka l-kolonna Ingliża, qatel u qabad diversi mijiet ta 'rġiel, nisa, tfal, u skjavi.</v>
      </c>
    </row>
    <row r="14321" ht="15.75" customHeight="1">
      <c r="A14321" s="2" t="s">
        <v>14321</v>
      </c>
      <c r="B14321" s="2" t="str">
        <f>IFERROR(__xludf.DUMMYFUNCTION("GOOGLETRANSLATE(A14321, ""en"", ""mt"")"),"Konferenza Ġenerali tal-1996 Il -")</f>
        <v>Konferenza Ġenerali tal-1996 Il -</v>
      </c>
    </row>
    <row r="14322" ht="15.75" customHeight="1">
      <c r="A14322" s="2" t="s">
        <v>14322</v>
      </c>
      <c r="B14322" s="2" t="str">
        <f>IFERROR(__xludf.DUMMYFUNCTION("GOOGLETRANSLATE(A14322, ""en"", ""mt"")"),"xi spejjeż żejda")</f>
        <v>xi spejjeż żejda</v>
      </c>
    </row>
    <row r="14323" ht="15.75" customHeight="1">
      <c r="A14323" s="2" t="s">
        <v>14323</v>
      </c>
      <c r="B14323" s="2" t="str">
        <f>IFERROR(__xludf.DUMMYFUNCTION("GOOGLETRANSLATE(A14323, ""en"", ""mt"")"),"Fi Frar 2010, bi tweġiba għal kontroversji rigward talbiet fir-Raba 'Rapport ta' Valutazzjoni, ħames xjenzati dwar il-klima - l-awturi kollha li jikkontribwixxu jew iwasslu għall-IPCC - kitbu fil-ġurnal Nature li jitolbu bidliet fl-IPCC. Huma ssuġġerew fi"&amp;"rxa ta 'għażliet organizzattivi ġodda, mill-issikkar tal-għażla ta' awturi ewlenin u kontributuri, biex jarmuha favur korp permanenti żgħir, jew saħansitra jibdlu l-proċess kollu ta 'valutazzjoni tax-xjenza dwar il-klima f'wikipedia-IPCC moderat ""ħaj"". "&amp;"Rakkomandazzjonijiet oħra inkludew li l-bord jimpjega persunal full-time u jneħħi s-sorveljanza tal-gvern mill-proċessi tiegħu biex tevita interferenza politika.")</f>
        <v>Fi Frar 2010, bi tweġiba għal kontroversji rigward talbiet fir-Raba 'Rapport ta' Valutazzjoni, ħames xjenzati dwar il-klima - l-awturi kollha li jikkontribwixxu jew iwasslu għall-IPCC - kitbu fil-ġurnal Nature li jitolbu bidliet fl-IPCC. Huma ssuġġerew firxa ta 'għażliet organizzattivi ġodda, mill-issikkar tal-għażla ta' awturi ewlenin u kontributuri, biex jarmuha favur korp permanenti żgħir, jew saħansitra jibdlu l-proċess kollu ta 'valutazzjoni tax-xjenza dwar il-klima f'wikipedia-IPCC moderat "ħaj". Rakkomandazzjonijiet oħra inkludew li l-bord jimpjega persunal full-time u jneħħi s-sorveljanza tal-gvern mill-proċessi tiegħu biex tevita interferenza politika.</v>
      </c>
    </row>
    <row r="14324" ht="15.75" customHeight="1">
      <c r="A14324" s="2" t="s">
        <v>14324</v>
      </c>
      <c r="B14324" s="2" t="str">
        <f>IFERROR(__xludf.DUMMYFUNCTION("GOOGLETRANSLATE(A14324, ""en"", ""mt"")"),"estensjoni tas-saqaf")</f>
        <v>estensjoni tas-saqaf</v>
      </c>
    </row>
    <row r="14325" ht="15.75" customHeight="1">
      <c r="A14325" s="2" t="s">
        <v>14325</v>
      </c>
      <c r="B14325" s="2" t="str">
        <f>IFERROR(__xludf.DUMMYFUNCTION("GOOGLETRANSLATE(A14325, ""en"", ""mt"")"),"X'tip ta 'motivaturi huma kkunsidrati l-kisba u d-determinazzjoni tal-awto?")</f>
        <v>X'tip ta 'motivaturi huma kkunsidrati l-kisba u d-determinazzjoni tal-awto?</v>
      </c>
    </row>
    <row r="14326" ht="15.75" customHeight="1">
      <c r="A14326" s="2" t="s">
        <v>14326</v>
      </c>
      <c r="B14326" s="2" t="str">
        <f>IFERROR(__xludf.DUMMYFUNCTION("GOOGLETRANSLATE(A14326, ""en"", ""mt"")"),"In-Nofsinhar ta 'California, ħafna drabi mqassra SoCal, huwa reġjun ġeografiku u kulturali li ġeneralment jinkludi l-iktar 10 kontej tan-nofsinhar ta' California. Ir-reġjun huwa tradizzjonalment deskritt bħala ""tmien kontej"", ibbażat fuq demografija u r"&amp;"abtiet ekonomiċi: Imperial, Los Angeles, Orange, Riverside, San Bernardino, San Diego, Santa Barbara, u Ventura. Id-definizzjoni aktar estensiva ta '10 kontea, inklużi l-kontej Kern u San Luis Obispo, tintuża wkoll abbażi ta 'diviżjonijiet politiċi storiċ"&amp;"i. In-Nofsinhar ta ’California huwa ċentru ekonomiku ewlieni għall-Istat ta’ Kalifornja u l-Istati Uniti.")</f>
        <v>In-Nofsinhar ta 'California, ħafna drabi mqassra SoCal, huwa reġjun ġeografiku u kulturali li ġeneralment jinkludi l-iktar 10 kontej tan-nofsinhar ta' California. Ir-reġjun huwa tradizzjonalment deskritt bħala "tmien kontej", ibbażat fuq demografija u rabtiet ekonomiċi: Imperial, Los Angeles, Orange, Riverside, San Bernardino, San Diego, Santa Barbara, u Ventura. Id-definizzjoni aktar estensiva ta '10 kontea, inklużi l-kontej Kern u San Luis Obispo, tintuża wkoll abbażi ta 'diviżjonijiet politiċi storiċi. In-Nofsinhar ta ’California huwa ċentru ekonomiku ewlieni għall-Istat ta’ Kalifornja u l-Istati Uniti.</v>
      </c>
    </row>
    <row r="14327" ht="15.75" customHeight="1">
      <c r="A14327" s="2" t="s">
        <v>14327</v>
      </c>
      <c r="B14327" s="2" t="str">
        <f>IFERROR(__xludf.DUMMYFUNCTION("GOOGLETRANSLATE(A14327, ""en"", ""mt"")"),"Fejn ċempel il-Brittaniku l-qadim id-dar?")</f>
        <v>Fejn ċempel il-Brittaniku l-qadim id-dar?</v>
      </c>
    </row>
    <row r="14328" ht="15.75" customHeight="1">
      <c r="A14328" s="2" t="s">
        <v>14328</v>
      </c>
      <c r="B14328" s="2" t="str">
        <f>IFERROR(__xludf.DUMMYFUNCTION("GOOGLETRANSLATE(A14328, ""en"", ""mt"")"),"Karità u Xogħlijiet Tajba")</f>
        <v>Karità u Xogħlijiet Tajba</v>
      </c>
    </row>
    <row r="14329" ht="15.75" customHeight="1">
      <c r="A14329" s="2" t="s">
        <v>14329</v>
      </c>
      <c r="B14329" s="2" t="str">
        <f>IFERROR(__xludf.DUMMYFUNCTION("GOOGLETRANSLATE(A14329, ""en"", ""mt"")"),"6 miljun lira")</f>
        <v>6 miljun lira</v>
      </c>
    </row>
    <row r="14330" ht="15.75" customHeight="1">
      <c r="A14330" s="2" t="s">
        <v>14330</v>
      </c>
      <c r="B14330" s="2" t="str">
        <f>IFERROR(__xludf.DUMMYFUNCTION("GOOGLETRANSLATE(A14330, ""en"", ""mt"")"),"fotoni")</f>
        <v>fotoni</v>
      </c>
    </row>
    <row r="14331" ht="15.75" customHeight="1">
      <c r="A14331" s="2" t="s">
        <v>14331</v>
      </c>
      <c r="B14331" s="2" t="str">
        <f>IFERROR(__xludf.DUMMYFUNCTION("GOOGLETRANSLATE(A14331, ""en"", ""mt"")"),"Min kellu ħames xkejjer f'disa 'logħbiet bħala starter ta' Carolina Panthers?")</f>
        <v>Min kellu ħames xkejjer f'disa 'logħbiet bħala starter ta' Carolina Panthers?</v>
      </c>
    </row>
    <row r="14332" ht="15.75" customHeight="1">
      <c r="A14332" s="2" t="s">
        <v>14332</v>
      </c>
      <c r="B14332" s="2" t="str">
        <f>IFERROR(__xludf.DUMMYFUNCTION("GOOGLETRANSLATE(A14332, ""en"", ""mt"")"),"Monarka")</f>
        <v>Monarka</v>
      </c>
    </row>
    <row r="14333" ht="15.75" customHeight="1">
      <c r="A14333" s="2" t="s">
        <v>14333</v>
      </c>
      <c r="B14333" s="2" t="str">
        <f>IFERROR(__xludf.DUMMYFUNCTION("GOOGLETRANSLATE(A14333, ""en"", ""mt"")"),"Fejn kienu jinsabu oriġinarjament it-tribujiet Ġermaniċi?")</f>
        <v>Fejn kienu jinsabu oriġinarjament it-tribujiet Ġermaniċi?</v>
      </c>
    </row>
    <row r="14334" ht="15.75" customHeight="1">
      <c r="A14334" s="2" t="s">
        <v>14334</v>
      </c>
      <c r="B14334" s="2" t="str">
        <f>IFERROR(__xludf.DUMMYFUNCTION("GOOGLETRANSLATE(A14334, ""en"", ""mt"")"),"Oscillating")</f>
        <v>Oscillating</v>
      </c>
    </row>
    <row r="14335" ht="15.75" customHeight="1">
      <c r="A14335" s="2" t="s">
        <v>14335</v>
      </c>
      <c r="B14335" s="2" t="str">
        <f>IFERROR(__xludf.DUMMYFUNCTION("GOOGLETRANSLATE(A14335, ""en"", ""mt"")"),"Dispensazzjoni papali")</f>
        <v>Dispensazzjoni papali</v>
      </c>
    </row>
    <row r="14336" ht="15.75" customHeight="1">
      <c r="A14336" s="2" t="s">
        <v>14336</v>
      </c>
      <c r="B14336" s="2" t="str">
        <f>IFERROR(__xludf.DUMMYFUNCTION("GOOGLETRANSLATE(A14336, ""en"", ""mt"")"),"fejn l-ilma jiswa ħafna")</f>
        <v>fejn l-ilma jiswa ħafna</v>
      </c>
    </row>
    <row r="14337" ht="15.75" customHeight="1">
      <c r="A14337" s="2" t="s">
        <v>14337</v>
      </c>
      <c r="B14337" s="2" t="str">
        <f>IFERROR(__xludf.DUMMYFUNCTION("GOOGLETRANSLATE(A14337, ""en"", ""mt"")"),"Duka William II")</f>
        <v>Duka William II</v>
      </c>
    </row>
    <row r="14338" ht="15.75" customHeight="1">
      <c r="A14338" s="2" t="s">
        <v>14338</v>
      </c>
      <c r="B14338" s="2" t="str">
        <f>IFERROR(__xludf.DUMMYFUNCTION("GOOGLETRANSLATE(A14338, ""en"", ""mt"")"),"X'kien l-isem tat-tieni tifel maskili ta 'Börte?")</f>
        <v>X'kien l-isem tat-tieni tifel maskili ta 'Börte?</v>
      </c>
    </row>
    <row r="14339" ht="15.75" customHeight="1">
      <c r="A14339" s="2" t="s">
        <v>14339</v>
      </c>
      <c r="B14339" s="2" t="str">
        <f>IFERROR(__xludf.DUMMYFUNCTION("GOOGLETRANSLATE(A14339, ""en"", ""mt"")"),"Xandir taċ-Ċittadella")</f>
        <v>Xandir taċ-Ċittadella</v>
      </c>
    </row>
    <row r="14340" ht="15.75" customHeight="1">
      <c r="A14340" s="2" t="s">
        <v>14340</v>
      </c>
      <c r="B14340" s="2" t="str">
        <f>IFERROR(__xludf.DUMMYFUNCTION("GOOGLETRANSLATE(A14340, ""en"", ""mt"")"),"Liema suċċessur ta 'Henry reġa' beda l-persekuzzjoni tal-Huguenots?")</f>
        <v>Liema suċċessur ta 'Henry reġa' beda l-persekuzzjoni tal-Huguenots?</v>
      </c>
    </row>
    <row r="14341" ht="15.75" customHeight="1">
      <c r="A14341" s="2" t="s">
        <v>14341</v>
      </c>
      <c r="B14341" s="2" t="str">
        <f>IFERROR(__xludf.DUMMYFUNCTION("GOOGLETRANSLATE(A14341, ""en"", ""mt"")"),"Madankollu, il-foresta tropikali xorta rnexxielha tiffjorixxi matul dawn il-perjodi glaċjali, li tippermetti s-sopravivenza u l-evoluzzjoni ta 'diversità wiesgħa ta' speċi.")</f>
        <v>Madankollu, il-foresta tropikali xorta rnexxielha tiffjorixxi matul dawn il-perjodi glaċjali, li tippermetti s-sopravivenza u l-evoluzzjoni ta 'diversità wiesgħa ta' speċi.</v>
      </c>
    </row>
    <row r="14342" ht="15.75" customHeight="1">
      <c r="A14342" s="2" t="s">
        <v>14342</v>
      </c>
      <c r="B14342" s="2" t="str">
        <f>IFERROR(__xludf.DUMMYFUNCTION("GOOGLETRANSLATE(A14342, ""en"", ""mt"")"),"Fejn hemm żewġ terzi tar-Rhine barra mill-Ġermanja?")</f>
        <v>Fejn hemm żewġ terzi tar-Rhine barra mill-Ġermanja?</v>
      </c>
    </row>
    <row r="14343" ht="15.75" customHeight="1">
      <c r="A14343" s="2" t="s">
        <v>14343</v>
      </c>
      <c r="B14343" s="2" t="str">
        <f>IFERROR(__xludf.DUMMYFUNCTION("GOOGLETRANSLATE(A14343, ""en"", ""mt"")"),"Liema industrija kienet iċċentrata f'Bedfordshire?")</f>
        <v>Liema industrija kienet iċċentrata f'Bedfordshire?</v>
      </c>
    </row>
    <row r="14344" ht="15.75" customHeight="1">
      <c r="A14344" s="2" t="s">
        <v>14344</v>
      </c>
      <c r="B14344" s="2" t="str">
        <f>IFERROR(__xludf.DUMMYFUNCTION("GOOGLETRANSLATE(A14344, ""en"", ""mt"")"),"F'kemm postijiet jinħażen l-ossiġnu fiċ-ċiklu tiegħu?")</f>
        <v>F'kemm postijiet jinħażen l-ossiġnu fiċ-ċiklu tiegħu?</v>
      </c>
    </row>
    <row r="14345" ht="15.75" customHeight="1">
      <c r="A14345" s="2" t="s">
        <v>14345</v>
      </c>
      <c r="B14345" s="2" t="str">
        <f>IFERROR(__xludf.DUMMYFUNCTION("GOOGLETRANSLATE(A14345, ""en"", ""mt"")"),"Min issellef il-karikaturi ta 'Raphael lill-mużew?")</f>
        <v>Min issellef il-karikaturi ta 'Raphael lill-mużew?</v>
      </c>
    </row>
    <row r="14346" ht="15.75" customHeight="1">
      <c r="A14346" s="2" t="s">
        <v>14346</v>
      </c>
      <c r="B14346" s="2" t="str">
        <f>IFERROR(__xludf.DUMMYFUNCTION("GOOGLETRANSLATE(A14346, ""en"", ""mt"")"),"Min qatel lil Begter, in-nofs ħuh ta 'Temüjin?")</f>
        <v>Min qatel lil Begter, in-nofs ħuh ta 'Temüjin?</v>
      </c>
    </row>
    <row r="14347" ht="15.75" customHeight="1">
      <c r="A14347" s="2" t="s">
        <v>14347</v>
      </c>
      <c r="B14347" s="2" t="str">
        <f>IFERROR(__xludf.DUMMYFUNCTION("GOOGLETRANSLATE(A14347, ""en"", ""mt"")"),"1816")</f>
        <v>1816</v>
      </c>
    </row>
    <row r="14348" ht="15.75" customHeight="1">
      <c r="A14348" s="2" t="s">
        <v>14348</v>
      </c>
      <c r="B14348" s="2" t="str">
        <f>IFERROR(__xludf.DUMMYFUNCTION("GOOGLETRANSLATE(A14348, ""en"", ""mt"")"),"Royal Borough of Kensington u Chelsea")</f>
        <v>Royal Borough of Kensington u Chelsea</v>
      </c>
    </row>
    <row r="14349" ht="15.75" customHeight="1">
      <c r="A14349" s="2" t="s">
        <v>14349</v>
      </c>
      <c r="B14349" s="2" t="str">
        <f>IFERROR(__xludf.DUMMYFUNCTION("GOOGLETRANSLATE(A14349, ""en"", ""mt"")"),"Liema stazzjon tar-radju lokali jixxandar mill-korporazzjoni mill-Palazz Pink?")</f>
        <v>Liema stazzjon tar-radju lokali jixxandar mill-korporazzjoni mill-Palazz Pink?</v>
      </c>
    </row>
    <row r="14350" ht="15.75" customHeight="1">
      <c r="A14350" s="2" t="s">
        <v>14350</v>
      </c>
      <c r="B14350" s="2" t="str">
        <f>IFERROR(__xludf.DUMMYFUNCTION("GOOGLETRANSLATE(A14350, ""en"", ""mt"")"),"X'inhuma l-aġenti li s-sistema immunitarja tiskopri magħrufa bħala?")</f>
        <v>X'inhuma l-aġenti li s-sistema immunitarja tiskopri magħrufa bħala?</v>
      </c>
    </row>
    <row r="14351" ht="15.75" customHeight="1">
      <c r="A14351" s="2" t="s">
        <v>14351</v>
      </c>
      <c r="B14351" s="2" t="str">
        <f>IFERROR(__xludf.DUMMYFUNCTION("GOOGLETRANSLATE(A14351, ""en"", ""mt"")"),"X'jiġri trasferit lil studenti li huma riċettivi għall-għalliem?")</f>
        <v>X'jiġri trasferit lil studenti li huma riċettivi għall-għalliem?</v>
      </c>
    </row>
    <row r="14352" ht="15.75" customHeight="1">
      <c r="A14352" s="2" t="s">
        <v>14352</v>
      </c>
      <c r="B14352" s="2" t="str">
        <f>IFERROR(__xludf.DUMMYFUNCTION("GOOGLETRANSLATE(A14352, ""en"", ""mt"")"),"Chaffee")</f>
        <v>Chaffee</v>
      </c>
    </row>
    <row r="14353" ht="15.75" customHeight="1">
      <c r="A14353" s="2" t="s">
        <v>14353</v>
      </c>
      <c r="B14353" s="2" t="str">
        <f>IFERROR(__xludf.DUMMYFUNCTION("GOOGLETRANSLATE(A14353, ""en"", ""mt"")"),"Il-kostanti tal-gravitazzjoni universali ta 'Newton,")</f>
        <v>Il-kostanti tal-gravitazzjoni universali ta 'Newton,</v>
      </c>
    </row>
    <row r="14354" ht="15.75" customHeight="1">
      <c r="A14354" s="2" t="s">
        <v>14354</v>
      </c>
      <c r="B14354" s="2" t="str">
        <f>IFERROR(__xludf.DUMMYFUNCTION("GOOGLETRANSLATE(A14354, ""en"", ""mt"")"),"ABC News jipprovdi kontenut għall-istazzjonijiet tar-radju li huma proprjetà ta 'liema kumpanija?")</f>
        <v>ABC News jipprovdi kontenut għall-istazzjonijiet tar-radju li huma proprjetà ta 'liema kumpanija?</v>
      </c>
    </row>
    <row r="14355" ht="15.75" customHeight="1">
      <c r="A14355" s="2" t="s">
        <v>14355</v>
      </c>
      <c r="B14355" s="2" t="str">
        <f>IFERROR(__xludf.DUMMYFUNCTION("GOOGLETRANSLATE(A14355, ""en"", ""mt"")"),"Każ tal-Qorti Suprema tal-Fondazzjoni FCC v. Pacifica")</f>
        <v>Każ tal-Qorti Suprema tal-Fondazzjoni FCC v. Pacifica</v>
      </c>
    </row>
    <row r="14356" ht="15.75" customHeight="1">
      <c r="A14356" s="2" t="s">
        <v>14356</v>
      </c>
      <c r="B14356" s="2" t="str">
        <f>IFERROR(__xludf.DUMMYFUNCTION("GOOGLETRANSLATE(A14356, ""en"", ""mt"")"),"arti għolja u mużika folkloristika")</f>
        <v>arti għolja u mużika folkloristika</v>
      </c>
    </row>
    <row r="14357" ht="15.75" customHeight="1">
      <c r="A14357" s="2" t="s">
        <v>14357</v>
      </c>
      <c r="B14357" s="2" t="str">
        <f>IFERROR(__xludf.DUMMYFUNCTION("GOOGLETRANSLATE(A14357, ""en"", ""mt"")"),"tul kollu")</f>
        <v>tul kollu</v>
      </c>
    </row>
    <row r="14358" ht="15.75" customHeight="1">
      <c r="A14358" s="2" t="s">
        <v>14358</v>
      </c>
      <c r="B14358" s="2" t="str">
        <f>IFERROR(__xludf.DUMMYFUNCTION("GOOGLETRANSLATE(A14358, ""en"", ""mt"")"),"Liema statura kellha l-ispiżjara fil-qorti imperjali pre-Heian?")</f>
        <v>Liema statura kellha l-ispiżjara fil-qorti imperjali pre-Heian?</v>
      </c>
    </row>
    <row r="14359" ht="15.75" customHeight="1">
      <c r="A14359" s="2" t="s">
        <v>14359</v>
      </c>
      <c r="B14359" s="2" t="str">
        <f>IFERROR(__xludf.DUMMYFUNCTION("GOOGLETRANSLATE(A14359, ""en"", ""mt"")"),"L-aħħar tifqigħa tal-pesta ħarbgħet lil Oslo fl-1654.")</f>
        <v>L-aħħar tifqigħa tal-pesta ħarbgħet lil Oslo fl-1654.</v>
      </c>
    </row>
    <row r="14360" ht="15.75" customHeight="1">
      <c r="A14360" s="2" t="s">
        <v>14360</v>
      </c>
      <c r="B14360" s="2" t="str">
        <f>IFERROR(__xludf.DUMMYFUNCTION("GOOGLETRANSLATE(A14360, ""en"", ""mt"")"),"L-intervalli tan-numru ewlieni bejn il-emerġenzi jagħmluha diffiċli ħafna għall-predaturi biex jevolvu")</f>
        <v>L-intervalli tan-numru ewlieni bejn il-emerġenzi jagħmluha diffiċli ħafna għall-predaturi biex jevolvu</v>
      </c>
    </row>
    <row r="14361" ht="15.75" customHeight="1">
      <c r="A14361" s="2" t="s">
        <v>14361</v>
      </c>
      <c r="B14361" s="2" t="str">
        <f>IFERROR(__xludf.DUMMYFUNCTION("GOOGLETRANSLATE(A14361, ""en"", ""mt"")"),"Dai Ön Ulus, mogħti wkoll bħala ikh yuan üls jew yekhe yuan ulus")</f>
        <v>Dai Ön Ulus, mogħti wkoll bħala ikh yuan üls jew yekhe yuan ulus</v>
      </c>
    </row>
    <row r="14362" ht="15.75" customHeight="1">
      <c r="A14362" s="2" t="s">
        <v>14362</v>
      </c>
      <c r="B14362" s="2" t="str">
        <f>IFERROR(__xludf.DUMMYFUNCTION("GOOGLETRANSLATE(A14362, ""en"", ""mt"")"),"pajjiżi bi inugwaljanzi ta 'dħul akbar")</f>
        <v>pajjiżi bi inugwaljanzi ta 'dħul akbar</v>
      </c>
    </row>
    <row r="14363" ht="15.75" customHeight="1">
      <c r="A14363" s="2" t="s">
        <v>14363</v>
      </c>
      <c r="B14363" s="2" t="str">
        <f>IFERROR(__xludf.DUMMYFUNCTION("GOOGLETRANSLATE(A14363, ""en"", ""mt"")"),"Minbarra l-uffiċjal kap tal-liġi tal-Iskozja, minn fejn jinġibdu l-biċċa l-kbira tal-ministri?")</f>
        <v>Minbarra l-uffiċjal kap tal-liġi tal-Iskozja, minn fejn jinġibdu l-biċċa l-kbira tal-ministri?</v>
      </c>
    </row>
    <row r="14364" ht="15.75" customHeight="1">
      <c r="A14364" s="2" t="s">
        <v>14364</v>
      </c>
      <c r="B14364" s="2" t="str">
        <f>IFERROR(__xludf.DUMMYFUNCTION("GOOGLETRANSLATE(A14364, ""en"", ""mt"")"),"Richard Trevithick")</f>
        <v>Richard Trevithick</v>
      </c>
    </row>
    <row r="14365" ht="15.75" customHeight="1">
      <c r="A14365" s="2" t="s">
        <v>14365</v>
      </c>
      <c r="B14365" s="2" t="str">
        <f>IFERROR(__xludf.DUMMYFUNCTION("GOOGLETRANSLATE(A14365, ""en"", ""mt"")"),"Kemm kienu nies fil-kolonji Franċiżi tal-Amerika ta ’Fuq?")</f>
        <v>Kemm kienu nies fil-kolonji Franċiżi tal-Amerika ta ’Fuq?</v>
      </c>
    </row>
    <row r="14366" ht="15.75" customHeight="1">
      <c r="A14366" s="2" t="s">
        <v>14366</v>
      </c>
      <c r="B14366" s="2" t="str">
        <f>IFERROR(__xludf.DUMMYFUNCTION("GOOGLETRANSLATE(A14366, ""en"", ""mt"")"),"X'inhu l-isem tal-moviment li jfittex l-użu mġedded tal-enerġija tal-fwar fl-era moderna?")</f>
        <v>X'inhu l-isem tal-moviment li jfittex l-użu mġedded tal-enerġija tal-fwar fl-era moderna?</v>
      </c>
    </row>
    <row r="14367" ht="15.75" customHeight="1">
      <c r="A14367" s="2" t="s">
        <v>14367</v>
      </c>
      <c r="B14367" s="2" t="str">
        <f>IFERROR(__xludf.DUMMYFUNCTION("GOOGLETRANSLATE(A14367, ""en"", ""mt"")"),"Dak li jgħin il-proċess tal-moviment liberu tal-merkanzija?")</f>
        <v>Dak li jgħin il-proċess tal-moviment liberu tal-merkanzija?</v>
      </c>
    </row>
    <row r="14368" ht="15.75" customHeight="1">
      <c r="A14368" s="2" t="s">
        <v>14368</v>
      </c>
      <c r="B14368" s="2" t="str">
        <f>IFERROR(__xludf.DUMMYFUNCTION("GOOGLETRANSLATE(A14368, ""en"", ""mt"")"),"Żieda sostanzjalment il-konċentrazzjonijiet atmosferiċi tal-gassijiet serra")</f>
        <v>Żieda sostanzjalment il-konċentrazzjonijiet atmosferiċi tal-gassijiet serra</v>
      </c>
    </row>
    <row r="14369" ht="15.75" customHeight="1">
      <c r="A14369" s="2" t="s">
        <v>14369</v>
      </c>
      <c r="B14369" s="2" t="str">
        <f>IFERROR(__xludf.DUMMYFUNCTION("GOOGLETRANSLATE(A14369, ""en"", ""mt"")"),"James E. Webb")</f>
        <v>James E. Webb</v>
      </c>
    </row>
    <row r="14370" ht="15.75" customHeight="1">
      <c r="A14370" s="2" t="s">
        <v>14370</v>
      </c>
      <c r="B14370" s="2" t="str">
        <f>IFERROR(__xludf.DUMMYFUNCTION("GOOGLETRANSLATE(A14370, ""en"", ""mt"")"),"Iċ-Ċentru Stubhub")</f>
        <v>Iċ-Ċentru Stubhub</v>
      </c>
    </row>
    <row r="14371" ht="15.75" customHeight="1">
      <c r="A14371" s="2" t="s">
        <v>14371</v>
      </c>
      <c r="B14371" s="2" t="str">
        <f>IFERROR(__xludf.DUMMYFUNCTION("GOOGLETRANSLATE(A14371, ""en"", ""mt"")"),"Il-Ġnien Ċentrali ġie ddisinjat mill-ġdid minn Kim Wilkie u nfetaħ bħala l-Ġnien John Makejski, fil-5 ta 'Lulju 2005. Id-disinn huwa taħlita sottili tat-tradizzjonali u modern, it-tqassim huwa formali; Hemm karatteristika tal-ilma ellittika miksija bil-ġe"&amp;"bla b'passi madwar it-tarf li jistgħu jiġu msaffija biex tuża ż-żona għal riċevimenti, laqgħat jew skopijiet ta 'esibizzjoni. Dan huwa quddiem il-bibien tal-bronż li jwasslu għall-kmamar ta 'refreshment, triq ċentrali mwarrba mill-lawns twassal għall-gall"&amp;"erija tal-iskultura; In-naħat tat-tramuntana, tal-lvant u tal-punent għandhom fruntieri erbaċej tul il-ħitan tal-mużew bil-mogħdijiet quddiemhom li jkompli tul il-faċċata tan-nofsinhar; Fiż-żewġ kantunieri mill-faċċata tat-tramuntana hemm tħawwel siġra ta"&amp;"l-ħelu Amerikan; It-truf tan-Nofsinhar, tal-Lvant u tal-Punent tal-lawns għandhom żrigħ tal-ħġieġ li fihom siġar tal-larinġ u tal-lumi fis-sajf, dawn huma sostitwiti minn siġar tal-bajja fix-xitwa.")</f>
        <v>Il-Ġnien Ċentrali ġie ddisinjat mill-ġdid minn Kim Wilkie u nfetaħ bħala l-Ġnien John Makejski, fil-5 ta 'Lulju 2005. Id-disinn huwa taħlita sottili tat-tradizzjonali u modern, it-tqassim huwa formali; Hemm karatteristika tal-ilma ellittika miksija bil-ġebla b'passi madwar it-tarf li jistgħu jiġu msaffija biex tuża ż-żona għal riċevimenti, laqgħat jew skopijiet ta 'esibizzjoni. Dan huwa quddiem il-bibien tal-bronż li jwasslu għall-kmamar ta 'refreshment, triq ċentrali mwarrba mill-lawns twassal għall-gallerija tal-iskultura; In-naħat tat-tramuntana, tal-lvant u tal-punent għandhom fruntieri erbaċej tul il-ħitan tal-mużew bil-mogħdijiet quddiemhom li jkompli tul il-faċċata tan-nofsinhar; Fiż-żewġ kantunieri mill-faċċata tat-tramuntana hemm tħawwel siġra tal-ħelu Amerikan; It-truf tan-Nofsinhar, tal-Lvant u tal-Punent tal-lawns għandhom żrigħ tal-ħġieġ li fihom siġar tal-larinġ u tal-lumi fis-sajf, dawn huma sostitwiti minn siġar tal-bajja fix-xitwa.</v>
      </c>
    </row>
    <row r="14372" ht="15.75" customHeight="1">
      <c r="A14372" s="2" t="s">
        <v>14372</v>
      </c>
      <c r="B14372" s="2" t="str">
        <f>IFERROR(__xludf.DUMMYFUNCTION("GOOGLETRANSLATE(A14372, ""en"", ""mt"")"),"Barra minn hekk, tobba multipli rritornaw f'avventuri ġodda flimkien fi drammi awdjo bbażati fuq is-serje. Peter Davison, Colin Baker u Sylvester McCoy dehru flimkien fl-avventura awdjo tal-1999 The Sirens of Time. Biex tiċċelebra l-40 anniversarju fl-200"&amp;"3, drama awdjo bit-tema Zagreus li tinkludi Paul McGann, Colin Baker, Sylvester McCoy u Peter Davison ġie rilaxxat b'reġistrazzjonijiet ta 'arkivju addizzjonali ta' Jon Pertwee. Għal darb'oħra fl-2003, Colin Baker u Sylvester McCoy dehru flimkien fil-proġ"&amp;"ett tal-avventura awdjo: Lazarus. Fl-2010, Peter Davison, Colin Baker, Sylvester McCoy u Paul McGann ingħaqdu mill-ġdid biex jidħlu fid-drama awdjo The Four Doctors.")</f>
        <v>Barra minn hekk, tobba multipli rritornaw f'avventuri ġodda flimkien fi drammi awdjo bbażati fuq is-serje. Peter Davison, Colin Baker u Sylvester McCoy dehru flimkien fl-avventura awdjo tal-1999 The Sirens of Time. Biex tiċċelebra l-40 anniversarju fl-2003, drama awdjo bit-tema Zagreus li tinkludi Paul McGann, Colin Baker, Sylvester McCoy u Peter Davison ġie rilaxxat b'reġistrazzjonijiet ta 'arkivju addizzjonali ta' Jon Pertwee. Għal darb'oħra fl-2003, Colin Baker u Sylvester McCoy dehru flimkien fil-proġett tal-avventura awdjo: Lazarus. Fl-2010, Peter Davison, Colin Baker, Sylvester McCoy u Paul McGann ingħaqdu mill-ġdid biex jidħlu fid-drama awdjo The Four Doctors.</v>
      </c>
    </row>
    <row r="14373" ht="15.75" customHeight="1">
      <c r="A14373" s="2" t="s">
        <v>14373</v>
      </c>
      <c r="B14373" s="2" t="str">
        <f>IFERROR(__xludf.DUMMYFUNCTION("GOOGLETRANSLATE(A14373, ""en"", ""mt"")"),"Meta kien hemm żieda qawwija fin-nazzjonaliżmu fl-Iskozja?")</f>
        <v>Meta kien hemm żieda qawwija fin-nazzjonaliżmu fl-Iskozja?</v>
      </c>
    </row>
    <row r="14374" ht="15.75" customHeight="1">
      <c r="A14374" s="2" t="s">
        <v>14374</v>
      </c>
      <c r="B14374" s="2" t="str">
        <f>IFERROR(__xludf.DUMMYFUNCTION("GOOGLETRANSLATE(A14374, ""en"", ""mt"")"),"tliet astronawti")</f>
        <v>tliet astronawti</v>
      </c>
    </row>
    <row r="14375" ht="15.75" customHeight="1">
      <c r="A14375" s="2" t="s">
        <v>14375</v>
      </c>
      <c r="B14375" s="2" t="str">
        <f>IFERROR(__xludf.DUMMYFUNCTION("GOOGLETRANSLATE(A14375, ""en"", ""mt"")"),"X'għan għandu l-Iżlamiżmu meta niġu għas-soċjetà u l-gvern?")</f>
        <v>X'għan għandu l-Iżlamiżmu meta niġu għas-soċjetà u l-gvern?</v>
      </c>
    </row>
    <row r="14376" ht="15.75" customHeight="1">
      <c r="A14376" s="2" t="s">
        <v>14376</v>
      </c>
      <c r="B14376" s="2" t="str">
        <f>IFERROR(__xludf.DUMMYFUNCTION("GOOGLETRANSLATE(A14376, ""en"", ""mt"")"),"Dominic Glynn")</f>
        <v>Dominic Glynn</v>
      </c>
    </row>
    <row r="14377" ht="15.75" customHeight="1">
      <c r="A14377" s="2" t="s">
        <v>14377</v>
      </c>
      <c r="B14377" s="2" t="str">
        <f>IFERROR(__xludf.DUMMYFUNCTION("GOOGLETRANSLATE(A14377, ""en"", ""mt"")"),"Id-Diviżjoni Kolleġġjata l-Ġdida")</f>
        <v>Id-Diviżjoni Kolleġġjata l-Ġdida</v>
      </c>
    </row>
    <row r="14378" ht="15.75" customHeight="1">
      <c r="A14378" s="2" t="s">
        <v>14378</v>
      </c>
      <c r="B14378" s="2" t="str">
        <f>IFERROR(__xludf.DUMMYFUNCTION("GOOGLETRANSLATE(A14378, ""en"", ""mt"")"),"Richard Allen u Absalom Jones kienu liċenzjati minn liema knisja?")</f>
        <v>Richard Allen u Absalom Jones kienu liċenzjati minn liema knisja?</v>
      </c>
    </row>
    <row r="14379" ht="15.75" customHeight="1">
      <c r="A14379" s="2" t="s">
        <v>14379</v>
      </c>
      <c r="B14379" s="2" t="str">
        <f>IFERROR(__xludf.DUMMYFUNCTION("GOOGLETRANSLATE(A14379, ""en"", ""mt"")"),"suf")</f>
        <v>suf</v>
      </c>
    </row>
    <row r="14380" ht="15.75" customHeight="1">
      <c r="A14380" s="2" t="s">
        <v>14380</v>
      </c>
      <c r="B14380" s="2" t="str">
        <f>IFERROR(__xludf.DUMMYFUNCTION("GOOGLETRANSLATE(A14380, ""en"", ""mt"")"),"Minn Frar 2011, kemm-il numri ġiet ippruvata l-konġettura ta 'Goldbach?")</f>
        <v>Minn Frar 2011, kemm-il numri ġiet ippruvata l-konġettura ta 'Goldbach?</v>
      </c>
    </row>
    <row r="14381" ht="15.75" customHeight="1">
      <c r="A14381" s="2" t="s">
        <v>14381</v>
      </c>
      <c r="B14381" s="2" t="str">
        <f>IFERROR(__xludf.DUMMYFUNCTION("GOOGLETRANSLATE(A14381, ""en"", ""mt"")"),"Apollo 17")</f>
        <v>Apollo 17</v>
      </c>
    </row>
    <row r="14382" ht="15.75" customHeight="1">
      <c r="A14382" s="2" t="s">
        <v>14382</v>
      </c>
      <c r="B14382" s="2" t="str">
        <f>IFERROR(__xludf.DUMMYFUNCTION("GOOGLETRANSLATE(A14382, ""en"", ""mt"")"),"X'inhu l-premju offrut biex tinstab soluzzjoni għal P = NP?")</f>
        <v>X'inhu l-premju offrut biex tinstab soluzzjoni għal P = NP?</v>
      </c>
    </row>
    <row r="14383" ht="15.75" customHeight="1">
      <c r="A14383" s="2" t="s">
        <v>14383</v>
      </c>
      <c r="B14383" s="2" t="str">
        <f>IFERROR(__xludf.DUMMYFUNCTION("GOOGLETRANSLATE(A14383, ""en"", ""mt"")"),"Analiżi ta 'x'tip ta' depożiti mill-fann tal-Amazon tindika bidla fix-xita fil-baċin tal-Amażonja?")</f>
        <v>Analiżi ta 'x'tip ta' depożiti mill-fann tal-Amazon tindika bidla fix-xita fil-baċin tal-Amażonja?</v>
      </c>
    </row>
    <row r="14384" ht="15.75" customHeight="1">
      <c r="A14384" s="2" t="s">
        <v>14384</v>
      </c>
      <c r="B14384" s="2" t="str">
        <f>IFERROR(__xludf.DUMMYFUNCTION("GOOGLETRANSLATE(A14384, ""en"", ""mt"")"),"Strument xjentifiku orbitali")</f>
        <v>Strument xjentifiku orbitali</v>
      </c>
    </row>
    <row r="14385" ht="15.75" customHeight="1">
      <c r="A14385" s="2" t="s">
        <v>14385</v>
      </c>
      <c r="B14385" s="2" t="str">
        <f>IFERROR(__xludf.DUMMYFUNCTION("GOOGLETRANSLATE(A14385, ""en"", ""mt"")"),"Netwerk tax-Xjenza tal-Kompjuter")</f>
        <v>Netwerk tax-Xjenza tal-Kompjuter</v>
      </c>
    </row>
    <row r="14386" ht="15.75" customHeight="1">
      <c r="A14386" s="2" t="s">
        <v>14386</v>
      </c>
      <c r="B14386" s="2" t="str">
        <f>IFERROR(__xludf.DUMMYFUNCTION("GOOGLETRANSLATE(A14386, ""en"", ""mt"")"),"X'tip ta 'kitbiet il-qari tal-Koran ħareġ f'Luther?")</f>
        <v>X'tip ta 'kitbiet il-qari tal-Koran ħareġ f'Luther?</v>
      </c>
    </row>
    <row r="14387" ht="15.75" customHeight="1">
      <c r="A14387" s="2" t="s">
        <v>14387</v>
      </c>
      <c r="B14387" s="2" t="str">
        <f>IFERROR(__xludf.DUMMYFUNCTION("GOOGLETRANSLATE(A14387, ""en"", ""mt"")"),"1191")</f>
        <v>1191</v>
      </c>
    </row>
    <row r="14388" ht="15.75" customHeight="1">
      <c r="A14388" s="2" t="s">
        <v>14388</v>
      </c>
      <c r="B14388" s="2" t="str">
        <f>IFERROR(__xludf.DUMMYFUNCTION("GOOGLETRANSLATE(A14388, ""en"", ""mt"")"),"X'kienet id-dment tad-dfin tat-tribujiet ta 'Genghis Khan?")</f>
        <v>X'kienet id-dment tad-dfin tat-tribujiet ta 'Genghis Khan?</v>
      </c>
    </row>
    <row r="14389" ht="15.75" customHeight="1">
      <c r="A14389" s="2" t="s">
        <v>14389</v>
      </c>
      <c r="B14389" s="2" t="str">
        <f>IFERROR(__xludf.DUMMYFUNCTION("GOOGLETRANSLATE(A14389, ""en"", ""mt"")"),"rari u mixtieq")</f>
        <v>rari u mixtieq</v>
      </c>
    </row>
    <row r="14390" ht="15.75" customHeight="1">
      <c r="A14390" s="2" t="s">
        <v>14390</v>
      </c>
      <c r="B14390" s="2" t="str">
        <f>IFERROR(__xludf.DUMMYFUNCTION("GOOGLETRANSLATE(A14390, ""en"", ""mt"")"),"sfruttament")</f>
        <v>sfruttament</v>
      </c>
    </row>
    <row r="14391" ht="15.75" customHeight="1">
      <c r="A14391" s="2" t="s">
        <v>14391</v>
      </c>
      <c r="B14391" s="2" t="str">
        <f>IFERROR(__xludf.DUMMYFUNCTION("GOOGLETRANSLATE(A14391, ""en"", ""mt"")"),"biex tipproteġi l-art tar-re fil-wied ta 'Ohio mill-Ingliżi")</f>
        <v>biex tipproteġi l-art tar-re fil-wied ta 'Ohio mill-Ingliżi</v>
      </c>
    </row>
    <row r="14392" ht="15.75" customHeight="1">
      <c r="A14392" s="2" t="s">
        <v>14392</v>
      </c>
      <c r="B14392" s="2" t="str">
        <f>IFERROR(__xludf.DUMMYFUNCTION("GOOGLETRANSLATE(A14392, ""en"", ""mt"")"),"Bil-kanċellazzjoni tal-2011 ta 'Supernanny, Extreme Makeover: Home Edition sar l-uniku programm li fadal fl-iskeda tan-netwerk li ġie mxandar f'4: 3 definizzjoni standard. L-ipprogrammar kollu tan-netwerk ġie ppreżentat f'HD minn Jannar 2012 (bl-eċċezzjon"&amp;"i ta 'ċerti speċjali tal-vaganzi prodotti qabel l-2005 - bħalma huma l-ispeċjalitajiet tal-karawett u s-Sena l-Ġdida tleqq ta' Rudolph - li jibqgħu jiġu ppreżentati f'4: 3 SD), meta Makeover Extreme: Home Edition temmet il-ġirja tagħha bħala serje regolar"&amp;"i u One Life to Live (li kienet ippreżentata fid-definizzjoni standard 16: 9 mill-2010) ukoll intemmet il-ġirja ABC tagħha. Is-Sibt filgħodu sindikat affiljat E / I Block Litton's Weekend Aventure huwa wkoll imxandar fl-HD, u kien l-ewwel blokka tal-progr"&amp;"amm tat-tfal fuq kwalunkwe netwerk ta 'xandir ta' l-Istati Uniti għal programmi ta 'karatteristika disponibbli fil-format fid-debutt tagħha f'Settembru 2011.")</f>
        <v>Bil-kanċellazzjoni tal-2011 ta 'Supernanny, Extreme Makeover: Home Edition sar l-uniku programm li fadal fl-iskeda tan-netwerk li ġie mxandar f'4: 3 definizzjoni standard. L-ipprogrammar kollu tan-netwerk ġie ppreżentat f'HD minn Jannar 2012 (bl-eċċezzjoni ta 'ċerti speċjali tal-vaganzi prodotti qabel l-2005 - bħalma huma l-ispeċjalitajiet tal-karawett u s-Sena l-Ġdida tleqq ta' Rudolph - li jibqgħu jiġu ppreżentati f'4: 3 SD), meta Makeover Extreme: Home Edition temmet il-ġirja tagħha bħala serje regolari u One Life to Live (li kienet ippreżentata fid-definizzjoni standard 16: 9 mill-2010) ukoll intemmet il-ġirja ABC tagħha. Is-Sibt filgħodu sindikat affiljat E / I Block Litton's Weekend Aventure huwa wkoll imxandar fl-HD, u kien l-ewwel blokka tal-programm tat-tfal fuq kwalunkwe netwerk ta 'xandir ta' l-Istati Uniti għal programmi ta 'karatteristika disponibbli fil-format fid-debutt tagħha f'Settembru 2011.</v>
      </c>
    </row>
    <row r="14393" ht="15.75" customHeight="1">
      <c r="A14393" s="2" t="s">
        <v>14393</v>
      </c>
      <c r="B14393" s="2" t="str">
        <f>IFERROR(__xludf.DUMMYFUNCTION("GOOGLETRANSLATE(A14393, ""en"", ""mt"")"),"Rati ta 'tkabbir għoljin")</f>
        <v>Rati ta 'tkabbir għoljin</v>
      </c>
    </row>
    <row r="14394" ht="15.75" customHeight="1">
      <c r="A14394" s="2" t="s">
        <v>14394</v>
      </c>
      <c r="B14394" s="2" t="str">
        <f>IFERROR(__xludf.DUMMYFUNCTION("GOOGLETRANSLATE(A14394, ""en"", ""mt"")"),"Alfred Drury.")</f>
        <v>Alfred Drury.</v>
      </c>
    </row>
    <row r="14395" ht="15.75" customHeight="1">
      <c r="A14395" s="2" t="s">
        <v>14395</v>
      </c>
      <c r="B14395" s="2" t="str">
        <f>IFERROR(__xludf.DUMMYFUNCTION("GOOGLETRANSLATE(A14395, ""en"", ""mt"")"),"Kif ġie trasferit il-faħam mill-banek tax-xmara lil Colliers?")</f>
        <v>Kif ġie trasferit il-faħam mill-banek tax-xmara lil Colliers?</v>
      </c>
    </row>
    <row r="14396" ht="15.75" customHeight="1">
      <c r="A14396" s="2" t="s">
        <v>14396</v>
      </c>
      <c r="B14396" s="2" t="str">
        <f>IFERROR(__xludf.DUMMYFUNCTION("GOOGLETRANSLATE(A14396, ""en"", ""mt"")"),"Il-kwistjonijiet ta 'talbiet territorjali konfliġġenti bejn kolonji Ingliżi u Franċiżi")</f>
        <v>Il-kwistjonijiet ta 'talbiet territorjali konfliġġenti bejn kolonji Ingliżi u Franċiżi</v>
      </c>
    </row>
    <row r="14397" ht="15.75" customHeight="1">
      <c r="A14397" s="2" t="s">
        <v>14397</v>
      </c>
      <c r="B14397" s="2" t="str">
        <f>IFERROR(__xludf.DUMMYFUNCTION("GOOGLETRANSLATE(A14397, ""en"", ""mt"")"),"X'inhuma l-ortografija Ingliża alternattiva ta 'Genghis?")</f>
        <v>X'inhuma l-ortografija Ingliża alternattiva ta 'Genghis?</v>
      </c>
    </row>
    <row r="14398" ht="15.75" customHeight="1">
      <c r="A14398" s="2" t="s">
        <v>14398</v>
      </c>
      <c r="B14398" s="2" t="str">
        <f>IFERROR(__xludf.DUMMYFUNCTION("GOOGLETRANSLATE(A14398, ""en"", ""mt"")"),"Vγ9 / Vδ2")</f>
        <v>Vγ9 / Vδ2</v>
      </c>
    </row>
    <row r="14399" ht="15.75" customHeight="1">
      <c r="A14399" s="2" t="s">
        <v>14399</v>
      </c>
      <c r="B14399" s="2" t="str">
        <f>IFERROR(__xludf.DUMMYFUNCTION("GOOGLETRANSLATE(A14399, ""en"", ""mt"")"),"X'inhi l-grazzja li ""tmur quddiemna?""")</f>
        <v>X'inhi l-grazzja li "tmur quddiemna?"</v>
      </c>
    </row>
    <row r="14400" ht="15.75" customHeight="1">
      <c r="A14400" s="2" t="s">
        <v>14400</v>
      </c>
      <c r="B14400" s="2" t="str">
        <f>IFERROR(__xludf.DUMMYFUNCTION("GOOGLETRANSLATE(A14400, ""en"", ""mt"")"),"Abbonament ta 'kull xahar")</f>
        <v>Abbonament ta 'kull xahar</v>
      </c>
    </row>
    <row r="14401" ht="15.75" customHeight="1">
      <c r="A14401" s="2" t="s">
        <v>14401</v>
      </c>
      <c r="B14401" s="2" t="str">
        <f>IFERROR(__xludf.DUMMYFUNCTION("GOOGLETRANSLATE(A14401, ""en"", ""mt"")"),"F'liema etude ta 'neumes rythmiques il-primes 41, 43, 47 u 53 jidhru?")</f>
        <v>F'liema etude ta 'neumes rythmiques il-primes 41, 43, 47 u 53 jidhru?</v>
      </c>
    </row>
    <row r="14402" ht="15.75" customHeight="1">
      <c r="A14402" s="2" t="s">
        <v>14402</v>
      </c>
      <c r="B14402" s="2" t="str">
        <f>IFERROR(__xludf.DUMMYFUNCTION("GOOGLETRANSLATE(A14402, ""en"", ""mt"")"),"X'inhi waħda mir-raġunijiet li n-nazzjonijiet sottożviluppati rċevew għajnuna mid-dħul taż-żejt?")</f>
        <v>X'inhi waħda mir-raġunijiet li n-nazzjonijiet sottożviluppati rċevew għajnuna mid-dħul taż-żejt?</v>
      </c>
    </row>
    <row r="14403" ht="15.75" customHeight="1">
      <c r="A14403" s="2" t="s">
        <v>14403</v>
      </c>
      <c r="B14403" s="2" t="str">
        <f>IFERROR(__xludf.DUMMYFUNCTION("GOOGLETRANSLATE(A14403, ""en"", ""mt"")"),"Kif tirreplika l-biċċa l-kbira tal-pjanti tal-pjanti?")</f>
        <v>Kif tirreplika l-biċċa l-kbira tal-pjanti tal-pjanti?</v>
      </c>
    </row>
    <row r="14404" ht="15.75" customHeight="1">
      <c r="A14404" s="2" t="s">
        <v>14404</v>
      </c>
      <c r="B14404" s="2" t="str">
        <f>IFERROR(__xludf.DUMMYFUNCTION("GOOGLETRANSLATE(A14404, ""en"", ""mt"")"),"Fl-1893")</f>
        <v>Fl-1893</v>
      </c>
    </row>
    <row r="14405" ht="15.75" customHeight="1">
      <c r="A14405" s="2" t="s">
        <v>14405</v>
      </c>
      <c r="B14405" s="2" t="str">
        <f>IFERROR(__xludf.DUMMYFUNCTION("GOOGLETRANSLATE(A14405, ""en"", ""mt"")"),"Injorat il-parir ta ’Kristu")</f>
        <v>Injorat il-parir ta ’Kristu</v>
      </c>
    </row>
    <row r="14406" ht="15.75" customHeight="1">
      <c r="A14406" s="2" t="s">
        <v>14406</v>
      </c>
      <c r="B14406" s="2" t="str">
        <f>IFERROR(__xludf.DUMMYFUNCTION("GOOGLETRANSLATE(A14406, ""en"", ""mt"")"),"Tribunal tas-Servizz Ċivili")</f>
        <v>Tribunal tas-Servizz Ċivili</v>
      </c>
    </row>
    <row r="14407" ht="15.75" customHeight="1">
      <c r="A14407" s="2" t="s">
        <v>14407</v>
      </c>
      <c r="B14407" s="2" t="str">
        <f>IFERROR(__xludf.DUMMYFUNCTION("GOOGLETRANSLATE(A14407, ""en"", ""mt"")"),"X'jagħmel għalliem għal xi ħadd li huwa timidu?")</f>
        <v>X'jagħmel għalliem għal xi ħadd li huwa timidu?</v>
      </c>
    </row>
    <row r="14408" ht="15.75" customHeight="1">
      <c r="A14408" s="2" t="s">
        <v>14408</v>
      </c>
      <c r="B14408" s="2" t="str">
        <f>IFERROR(__xludf.DUMMYFUNCTION("GOOGLETRANSLATE(A14408, ""en"", ""mt"")"),"1809")</f>
        <v>1809</v>
      </c>
    </row>
    <row r="14409" ht="15.75" customHeight="1">
      <c r="A14409" s="2" t="s">
        <v>14409</v>
      </c>
      <c r="B14409" s="2" t="str">
        <f>IFERROR(__xludf.DUMMYFUNCTION("GOOGLETRANSLATE(A14409, ""en"", ""mt"")"),"in-nofsinhar")</f>
        <v>in-nofsinhar</v>
      </c>
    </row>
    <row r="14410" ht="15.75" customHeight="1">
      <c r="A14410" s="2" t="s">
        <v>14410</v>
      </c>
      <c r="B14410" s="2" t="str">
        <f>IFERROR(__xludf.DUMMYFUNCTION("GOOGLETRANSLATE(A14410, ""en"", ""mt"")"),"Liema mużew kien fost dawk li ssellfu xogħlijiet aktar moderni għall-galleriji tal-iskultura l-ġodda?")</f>
        <v>Liema mużew kien fost dawk li ssellfu xogħlijiet aktar moderni għall-galleriji tal-iskultura l-ġodda?</v>
      </c>
    </row>
    <row r="14411" ht="15.75" customHeight="1">
      <c r="A14411" s="2" t="s">
        <v>14411</v>
      </c>
      <c r="B14411" s="2" t="str">
        <f>IFERROR(__xludf.DUMMYFUNCTION("GOOGLETRANSLATE(A14411, ""en"", ""mt"")"),"Kemm xkejjer solo kellu Von Miller fil-logħba?")</f>
        <v>Kemm xkejjer solo kellu Von Miller fil-logħba?</v>
      </c>
    </row>
    <row r="14412" ht="15.75" customHeight="1">
      <c r="A14412" s="2" t="s">
        <v>14412</v>
      </c>
      <c r="B14412" s="2" t="str">
        <f>IFERROR(__xludf.DUMMYFUNCTION("GOOGLETRANSLATE(A14412, ""en"", ""mt"")"),"7 ta 'Frar")</f>
        <v>7 ta 'Frar</v>
      </c>
    </row>
    <row r="14413" ht="15.75" customHeight="1">
      <c r="A14413" s="2" t="s">
        <v>14413</v>
      </c>
      <c r="B14413" s="2" t="str">
        <f>IFERROR(__xludf.DUMMYFUNCTION("GOOGLETRANSLATE(A14413, ""en"", ""mt"")"),"Għaliex mhumiex xi forom ta 'hæmatococcus pluvialis aħdar?")</f>
        <v>Għaliex mhumiex xi forom ta 'hæmatococcus pluvialis aħdar?</v>
      </c>
    </row>
    <row r="14414" ht="15.75" customHeight="1">
      <c r="A14414" s="2" t="s">
        <v>14414</v>
      </c>
      <c r="B14414" s="2" t="str">
        <f>IFERROR(__xludf.DUMMYFUNCTION("GOOGLETRANSLATE(A14414, ""en"", ""mt"")"),"Kemm tiswa biex tidħol għal laqgħa tal-Parlament?")</f>
        <v>Kemm tiswa biex tidħol għal laqgħa tal-Parlament?</v>
      </c>
    </row>
    <row r="14415" ht="15.75" customHeight="1">
      <c r="A14415" s="2" t="s">
        <v>14415</v>
      </c>
      <c r="B14415" s="2" t="str">
        <f>IFERROR(__xludf.DUMMYFUNCTION("GOOGLETRANSLATE(A14415, ""en"", ""mt"")"),"il-Baħar l-Aħmar")</f>
        <v>il-Baħar l-Aħmar</v>
      </c>
    </row>
    <row r="14416" ht="15.75" customHeight="1">
      <c r="A14416" s="2" t="s">
        <v>14416</v>
      </c>
      <c r="B14416" s="2" t="str">
        <f>IFERROR(__xludf.DUMMYFUNCTION("GOOGLETRANSLATE(A14416, ""en"", ""mt"")"),"Liema stazzjon imxandar is-Super Bowl?")</f>
        <v>Liema stazzjon imxandar is-Super Bowl?</v>
      </c>
    </row>
    <row r="14417" ht="15.75" customHeight="1">
      <c r="A14417" s="2" t="s">
        <v>14417</v>
      </c>
      <c r="B14417" s="2" t="str">
        <f>IFERROR(__xludf.DUMMYFUNCTION("GOOGLETRANSLATE(A14417, ""en"", ""mt"")"),"eqdem mit-tort")</f>
        <v>eqdem mit-tort</v>
      </c>
    </row>
    <row r="14418" ht="15.75" customHeight="1">
      <c r="A14418" s="2" t="s">
        <v>14418</v>
      </c>
      <c r="B14418" s="2" t="str">
        <f>IFERROR(__xludf.DUMMYFUNCTION("GOOGLETRANSLATE(A14418, ""en"", ""mt"")"),"Baħar Tethys")</f>
        <v>Baħar Tethys</v>
      </c>
    </row>
    <row r="14419" ht="15.75" customHeight="1">
      <c r="A14419" s="2" t="s">
        <v>14419</v>
      </c>
      <c r="B14419" s="2" t="str">
        <f>IFERROR(__xludf.DUMMYFUNCTION("GOOGLETRANSLATE(A14419, ""en"", ""mt"")"),"Mediċini aktar speċjalizzati")</f>
        <v>Mediċini aktar speċjalizzati</v>
      </c>
    </row>
    <row r="14420" ht="15.75" customHeight="1">
      <c r="A14420" s="2" t="s">
        <v>14420</v>
      </c>
      <c r="B14420" s="2" t="str">
        <f>IFERROR(__xludf.DUMMYFUNCTION("GOOGLETRANSLATE(A14420, ""en"", ""mt"")"),"X'kienet it-tip tas-soltu ta 'dixxiplina tal-iskola?")</f>
        <v>X'kienet it-tip tas-soltu ta 'dixxiplina tal-iskola?</v>
      </c>
    </row>
    <row r="14421" ht="15.75" customHeight="1">
      <c r="A14421" s="2" t="s">
        <v>14421</v>
      </c>
      <c r="B14421" s="2" t="str">
        <f>IFERROR(__xludf.DUMMYFUNCTION("GOOGLETRANSLATE(A14421, ""en"", ""mt"")"),"NL u NC")</f>
        <v>NL u NC</v>
      </c>
    </row>
    <row r="14422" ht="15.75" customHeight="1">
      <c r="A14422" s="2" t="s">
        <v>14422</v>
      </c>
      <c r="B14422" s="2" t="str">
        <f>IFERROR(__xludf.DUMMYFUNCTION("GOOGLETRANSLATE(A14422, ""en"", ""mt"")"),"Il-plateau tal-moraine sempliċi għandu biss ftit għadajjar naturali u artifiċjali u wkoll gruppi ta 'fosos tat-tafal. Ix-xejra tat-terrazzi tal-vistula hija asimmetrika. In-naħa tax-xellug tikkonsisti prinċipalment f'żewġ livelli: l-ogħla wieħed fih terra"&amp;"zzi mgħarrqa ta 'qabel u l-inqas waħda mit-terrazzin tal-pjanura tal-għargħar. It-terrazzin mgħarrqa kontemporanju għad għandu widien viżibbli u depressjonijiet tal-art bis-sistemi tal-ilma li ġejjin mill-Vistula Old - Riverbed. Huma jikkonsistu minn flus"&amp;"si u lagi li għadhom pjuttost naturali kif ukoll ix-xejra tal-fosos tad-drenaġġ. In-naħa tal-lemin ta 'Varsavja għandha xejra differenti ta' forom ġeomorfoloġiċi. Hemm diversi livelli tat-terrazzi tal-vistula sempliċi (mgħarrqa kif ukoll ta 'qabel mgħarrq"&amp;"a) u parti żgħira biss u mhux daqshekk viżibbli tal-moraine. Ramel Eoljan b'numru ta 'duni maqsuma minn swamps tal-pit jew għadajjar żgħar ikopru l-ogħla terrazzin. Dawn huma prinċipalment żoni forestali (foresta tal-arżnu).")</f>
        <v>Il-plateau tal-moraine sempliċi għandu biss ftit għadajjar naturali u artifiċjali u wkoll gruppi ta 'fosos tat-tafal. Ix-xejra tat-terrazzi tal-vistula hija asimmetrika. In-naħa tax-xellug tikkonsisti prinċipalment f'żewġ livelli: l-ogħla wieħed fih terrazzi mgħarrqa ta 'qabel u l-inqas waħda mit-terrazzin tal-pjanura tal-għargħar. It-terrazzin mgħarrqa kontemporanju għad għandu widien viżibbli u depressjonijiet tal-art bis-sistemi tal-ilma li ġejjin mill-Vistula Old - Riverbed. Huma jikkonsistu minn flussi u lagi li għadhom pjuttost naturali kif ukoll ix-xejra tal-fosos tad-drenaġġ. In-naħa tal-lemin ta 'Varsavja għandha xejra differenti ta' forom ġeomorfoloġiċi. Hemm diversi livelli tat-terrazzi tal-vistula sempliċi (mgħarrqa kif ukoll ta 'qabel mgħarrqa) u parti żgħira biss u mhux daqshekk viżibbli tal-moraine. Ramel Eoljan b'numru ta 'duni maqsuma minn swamps tal-pit jew għadajjar żgħar ikopru l-ogħla terrazzin. Dawn huma prinċipalment żoni forestali (foresta tal-arżnu).</v>
      </c>
    </row>
    <row r="14423" ht="15.75" customHeight="1">
      <c r="A14423" s="2" t="s">
        <v>14423</v>
      </c>
      <c r="B14423" s="2" t="str">
        <f>IFERROR(__xludf.DUMMYFUNCTION("GOOGLETRANSLATE(A14423, ""en"", ""mt"")"),"Teżi ta 'Cobham")</f>
        <v>Teżi ta 'Cobham</v>
      </c>
    </row>
    <row r="14424" ht="15.75" customHeight="1">
      <c r="A14424" s="2" t="s">
        <v>14424</v>
      </c>
      <c r="B14424" s="2" t="str">
        <f>IFERROR(__xludf.DUMMYFUNCTION("GOOGLETRANSLATE(A14424, ""en"", ""mt"")"),"Is-snin sebgħin")</f>
        <v>Is-snin sebgħin</v>
      </c>
    </row>
    <row r="14425" ht="15.75" customHeight="1">
      <c r="A14425" s="2" t="s">
        <v>14425</v>
      </c>
      <c r="B14425" s="2" t="str">
        <f>IFERROR(__xludf.DUMMYFUNCTION("GOOGLETRANSLATE(A14425, ""en"", ""mt"")"),"dipendenza fuq it-tagħlim ta 'sħabhom")</f>
        <v>dipendenza fuq it-tagħlim ta 'sħabhom</v>
      </c>
    </row>
    <row r="14426" ht="15.75" customHeight="1">
      <c r="A14426" s="2" t="s">
        <v>14426</v>
      </c>
      <c r="B14426" s="2" t="str">
        <f>IFERROR(__xludf.DUMMYFUNCTION("GOOGLETRANSLATE(A14426, ""en"", ""mt"")"),"Fejn Canonball waqa 'mill-bejta ta' vapur fil-fatt l-art?")</f>
        <v>Fejn Canonball waqa 'mill-bejta ta' vapur fil-fatt l-art?</v>
      </c>
    </row>
    <row r="14427" ht="15.75" customHeight="1">
      <c r="A14427" s="2" t="s">
        <v>14427</v>
      </c>
      <c r="B14427" s="2" t="str">
        <f>IFERROR(__xludf.DUMMYFUNCTION("GOOGLETRANSLATE(A14427, ""en"", ""mt"")"),"X'tip ta 'grad għandu jkollu għalliem, mill-inqas?")</f>
        <v>X'tip ta 'grad għandu jkollu għalliem, mill-inqas?</v>
      </c>
    </row>
    <row r="14428" ht="15.75" customHeight="1">
      <c r="A14428" s="2" t="s">
        <v>14428</v>
      </c>
      <c r="B14428" s="2" t="str">
        <f>IFERROR(__xludf.DUMMYFUNCTION("GOOGLETRANSLATE(A14428, ""en"", ""mt"")"),"Il-Gvernatur Robert Dinwiddie kellu investiment f'liema kumpanija sinifikanti?")</f>
        <v>Il-Gvernatur Robert Dinwiddie kellu investiment f'liema kumpanija sinifikanti?</v>
      </c>
    </row>
    <row r="14429" ht="15.75" customHeight="1">
      <c r="A14429" s="2" t="s">
        <v>14429</v>
      </c>
      <c r="B14429" s="2" t="str">
        <f>IFERROR(__xludf.DUMMYFUNCTION("GOOGLETRANSLATE(A14429, ""en"", ""mt"")"),"Fil-fokus tiegħu fuq il-kalifat, il-partit jieħu ħsieb differenti tal-istorja Musulmana minn xi Iżlamisti oħra bħal Muhammad Qutb. HT jara l-punt ta 'bidla tal-Islam l-Islam bħala li ma jseħħx mal-mewt ta' Ali, jew wieħed mill-erba 'l-oħra ta' kalifi ggwi"&amp;"dati bir-raġun fis-7 seklu, iżda bl-abolizzjoni tal-kalifat Ottoman fl-1924. Dan huwa maħsub li temm is-sistema Iżlamika vera , xi ħaġa li għaliha tort ""il-poteri kolonjali li ma jemmnux (Kafir) li taħdem permezz tal-modernist Tork Mustafa Kemal Atatürk.")</f>
        <v>Fil-fokus tiegħu fuq il-kalifat, il-partit jieħu ħsieb differenti tal-istorja Musulmana minn xi Iżlamisti oħra bħal Muhammad Qutb. HT jara l-punt ta 'bidla tal-Islam l-Islam bħala li ma jseħħx mal-mewt ta' Ali, jew wieħed mill-erba 'l-oħra ta' kalifi ggwidati bir-raġun fis-7 seklu, iżda bl-abolizzjoni tal-kalifat Ottoman fl-1924. Dan huwa maħsub li temm is-sistema Iżlamika vera , xi ħaġa li għaliha tort "il-poteri kolonjali li ma jemmnux (Kafir) li taħdem permezz tal-modernist Tork Mustafa Kemal Atatürk.</v>
      </c>
    </row>
    <row r="14430" ht="15.75" customHeight="1">
      <c r="A14430" s="2" t="s">
        <v>14430</v>
      </c>
      <c r="B14430" s="2" t="str">
        <f>IFERROR(__xludf.DUMMYFUNCTION("GOOGLETRANSLATE(A14430, ""en"", ""mt"")"),"Kemm-il darba seħħet Super Bowl fil-Sun Life Stadium ta 'Miami?")</f>
        <v>Kemm-il darba seħħet Super Bowl fil-Sun Life Stadium ta 'Miami?</v>
      </c>
    </row>
    <row r="14431" ht="15.75" customHeight="1">
      <c r="A14431" s="2" t="s">
        <v>14431</v>
      </c>
      <c r="B14431" s="2" t="str">
        <f>IFERROR(__xludf.DUMMYFUNCTION("GOOGLETRANSLATE(A14431, ""en"", ""mt"")"),"28.5 ° e")</f>
        <v>28.5 ° e</v>
      </c>
    </row>
    <row r="14432" ht="15.75" customHeight="1">
      <c r="A14432" s="2" t="s">
        <v>14432</v>
      </c>
      <c r="B14432" s="2" t="str">
        <f>IFERROR(__xludf.DUMMYFUNCTION("GOOGLETRANSLATE(A14432, ""en"", ""mt"")"),"Il-blat miġbura mill-qamar huma estremament qodma meta mqabbla mal-blat misjuba fid-dinja, imkejla minn tekniki ta 'dating radjometriċi. Huma jvarjaw fl-età minn madwar 3.2 biljun sena għall-kampjuni bażaltiċi derivati ​​mill-Lunar Maria, għal madwar 4.6 "&amp;"biljun sena għal kampjuni derivati ​​mill-qoxra tal-Highlands. Bħala tali, huma jirrappreżentaw kampjuni minn perjodu bikri ħafna fl-iżvilupp tas-sistema solari, li huma fil-biċċa l-kbira assenti fid-dinja. Rock importanti misjub waqt il-programm Apollo h"&amp;"uwa msejjaħ il-Genesis Rock, miksub mill-astronawti David Scott u James Irwin waqt il-missjoni Apollo 15. Dan il-blat anorthosite huwa magħmul kważi esklussivament mill-anorthite minerali feldspar b'ħafna kalċju, u huwa maħsub li huwa rappreżentattiv tal-"&amp;"qoxra tal-art għolja. Ġiet skoperta komponent ġeokimiku msejjaħ Kreep, li m'għandu l-ebda kontroparti terrestri magħruf. Kreep u l-kampjuni anortositiċi ntużaw biex jiddeduċu li l-porzjon ta 'barra tal-qamar darba kien imdewweb kompletament (ara Lunar Mag"&amp;"ma Ocean).")</f>
        <v>Il-blat miġbura mill-qamar huma estremament qodma meta mqabbla mal-blat misjuba fid-dinja, imkejla minn tekniki ta 'dating radjometriċi. Huma jvarjaw fl-età minn madwar 3.2 biljun sena għall-kampjuni bażaltiċi derivati ​​mill-Lunar Maria, għal madwar 4.6 biljun sena għal kampjuni derivati ​​mill-qoxra tal-Highlands. Bħala tali, huma jirrappreżentaw kampjuni minn perjodu bikri ħafna fl-iżvilupp tas-sistema solari, li huma fil-biċċa l-kbira assenti fid-dinja. Rock importanti misjub waqt il-programm Apollo huwa msejjaħ il-Genesis Rock, miksub mill-astronawti David Scott u James Irwin waqt il-missjoni Apollo 15. Dan il-blat anorthosite huwa magħmul kważi esklussivament mill-anorthite minerali feldspar b'ħafna kalċju, u huwa maħsub li huwa rappreżentattiv tal-qoxra tal-art għolja. Ġiet skoperta komponent ġeokimiku msejjaħ Kreep, li m'għandu l-ebda kontroparti terrestri magħruf. Kreep u l-kampjuni anortositiċi ntużaw biex jiddeduċu li l-porzjon ta 'barra tal-qamar darba kien imdewweb kompletament (ara Lunar Magma Ocean).</v>
      </c>
    </row>
    <row r="14433" ht="15.75" customHeight="1">
      <c r="A14433" s="2" t="s">
        <v>14433</v>
      </c>
      <c r="B14433" s="2" t="str">
        <f>IFERROR(__xludf.DUMMYFUNCTION("GOOGLETRANSLATE(A14433, ""en"", ""mt"")"),"Ir-ringiela ta 'fuq tat-twieqi")</f>
        <v>Ir-ringiela ta 'fuq tat-twieqi</v>
      </c>
    </row>
    <row r="14434" ht="15.75" customHeight="1">
      <c r="A14434" s="2" t="s">
        <v>14434</v>
      </c>
      <c r="B14434" s="2" t="str">
        <f>IFERROR(__xludf.DUMMYFUNCTION("GOOGLETRANSLATE(A14434, ""en"", ""mt"")"),"Francis Aidan Gasquet")</f>
        <v>Francis Aidan Gasquet</v>
      </c>
    </row>
    <row r="14435" ht="15.75" customHeight="1">
      <c r="A14435" s="2" t="s">
        <v>14435</v>
      </c>
      <c r="B14435" s="2" t="str">
        <f>IFERROR(__xludf.DUMMYFUNCTION("GOOGLETRANSLATE(A14435, ""en"", ""mt"")"),"Kemm irċevimenti kisbu Cotchery għall-istaġun 2015?")</f>
        <v>Kemm irċevimenti kisbu Cotchery għall-istaġun 2015?</v>
      </c>
    </row>
    <row r="14436" ht="15.75" customHeight="1">
      <c r="A14436" s="2" t="s">
        <v>14436</v>
      </c>
      <c r="B14436" s="2" t="str">
        <f>IFERROR(__xludf.DUMMYFUNCTION("GOOGLETRANSLATE(A14436, ""en"", ""mt"")"),"il-kamin li jsakkar il-metall fuq il-lenti tal-kamera")</f>
        <v>il-kamin li jsakkar il-metall fuq il-lenti tal-kamera</v>
      </c>
    </row>
    <row r="14437" ht="15.75" customHeight="1">
      <c r="A14437" s="2" t="s">
        <v>14437</v>
      </c>
      <c r="B14437" s="2" t="str">
        <f>IFERROR(__xludf.DUMMYFUNCTION("GOOGLETRANSLATE(A14437, ""en"", ""mt"")"),"Khanbaliq")</f>
        <v>Khanbaliq</v>
      </c>
    </row>
    <row r="14438" ht="15.75" customHeight="1">
      <c r="A14438" s="2" t="s">
        <v>14438</v>
      </c>
      <c r="B14438" s="2" t="str">
        <f>IFERROR(__xludf.DUMMYFUNCTION("GOOGLETRANSLATE(A14438, ""en"", ""mt"")"),"Protezzjoni tal-kreditur, drittijiet tax-xogħol biex jipparteċipaw fix-xogħol, jew l-interess pubbliku fil-ġbir tat-taxxi")</f>
        <v>Protezzjoni tal-kreditur, drittijiet tax-xogħol biex jipparteċipaw fix-xogħol, jew l-interess pubbliku fil-ġbir tat-taxxi</v>
      </c>
    </row>
    <row r="14439" ht="15.75" customHeight="1">
      <c r="A14439" s="2" t="s">
        <v>14439</v>
      </c>
      <c r="B14439" s="2" t="str">
        <f>IFERROR(__xludf.DUMMYFUNCTION("GOOGLETRANSLATE(A14439, ""en"", ""mt"")"),"Liema kundizzjoni x'għandu jkun sodisfatt sabiex 1 / p jiġi espress fil-bażi Q minflok il-bażi 10 u xorta jkollok perjodu ta 'p - 1?")</f>
        <v>Liema kundizzjoni x'għandu jkun sodisfatt sabiex 1 / p jiġi espress fil-bażi Q minflok il-bażi 10 u xorta jkollok perjodu ta 'p - 1?</v>
      </c>
    </row>
    <row r="14440" ht="15.75" customHeight="1">
      <c r="A14440" s="2" t="s">
        <v>14440</v>
      </c>
      <c r="B14440" s="2" t="str">
        <f>IFERROR(__xludf.DUMMYFUNCTION("GOOGLETRANSLATE(A14440, ""en"", ""mt"")"),"Ħalli l-awtrija ta 'l-Istati Uniti ta' 'New World'")</f>
        <v>Ħalli l-awtrija ta 'l-Istati Uniti ta' 'New World'</v>
      </c>
    </row>
    <row r="14441" ht="15.75" customHeight="1">
      <c r="A14441" s="2" t="s">
        <v>14441</v>
      </c>
      <c r="B14441" s="2" t="str">
        <f>IFERROR(__xludf.DUMMYFUNCTION("GOOGLETRANSLATE(A14441, ""en"", ""mt"")"),"Seerhein")</f>
        <v>Seerhein</v>
      </c>
    </row>
    <row r="14442" ht="15.75" customHeight="1">
      <c r="A14442" s="2" t="s">
        <v>14442</v>
      </c>
      <c r="B14442" s="2" t="str">
        <f>IFERROR(__xludf.DUMMYFUNCTION("GOOGLETRANSLATE(A14442, ""en"", ""mt"")"),"X'kienet il-horsepower imqiegħed mit-turbini fil-Waterside Power Station")</f>
        <v>X'kienet il-horsepower imqiegħed mit-turbini fil-Waterside Power Station</v>
      </c>
    </row>
    <row r="14443" ht="15.75" customHeight="1">
      <c r="A14443" s="2" t="s">
        <v>14443</v>
      </c>
      <c r="B14443" s="2" t="str">
        <f>IFERROR(__xludf.DUMMYFUNCTION("GOOGLETRANSLATE(A14443, ""en"", ""mt"")"),"X'inhi l-liġi tat-termodinamiċità assoċjata ma 'skambju ta' sħana tas-sistema magħluqa?")</f>
        <v>X'inhi l-liġi tat-termodinamiċità assoċjata ma 'skambju ta' sħana tas-sistema magħluqa?</v>
      </c>
    </row>
    <row r="14444" ht="15.75" customHeight="1">
      <c r="A14444" s="2" t="s">
        <v>14444</v>
      </c>
      <c r="B14444" s="2" t="str">
        <f>IFERROR(__xludf.DUMMYFUNCTION("GOOGLETRANSLATE(A14444, ""en"", ""mt"")"),"Tundra")</f>
        <v>Tundra</v>
      </c>
    </row>
    <row r="14445" ht="15.75" customHeight="1">
      <c r="A14445" s="2" t="s">
        <v>14445</v>
      </c>
      <c r="B14445" s="2" t="str">
        <f>IFERROR(__xludf.DUMMYFUNCTION("GOOGLETRANSLATE(A14445, ""en"", ""mt"")"),"Kemm awturi li jikkontribwixxu għandu kapitolu ta 'rapport tal-IPCC?")</f>
        <v>Kemm awturi li jikkontribwixxu għandu kapitolu ta 'rapport tal-IPCC?</v>
      </c>
    </row>
    <row r="14446" ht="15.75" customHeight="1">
      <c r="A14446" s="2" t="s">
        <v>14446</v>
      </c>
      <c r="B14446" s="2" t="str">
        <f>IFERROR(__xludf.DUMMYFUNCTION("GOOGLETRANSLATE(A14446, ""en"", ""mt"")"),"Eġizzjani kontra l-okkupazzjoni Ingliża fir-rivoluzzjoni tal-1919.")</f>
        <v>Eġizzjani kontra l-okkupazzjoni Ingliża fir-rivoluzzjoni tal-1919.</v>
      </c>
    </row>
    <row r="14447" ht="15.75" customHeight="1">
      <c r="A14447" s="2" t="s">
        <v>14447</v>
      </c>
      <c r="B14447" s="2" t="str">
        <f>IFERROR(__xludf.DUMMYFUNCTION("GOOGLETRANSLATE(A14447, ""en"", ""mt"")"),"Il-port ta 'Long Beach jappartjeni għal liema reġjun ta' Kalifornja?")</f>
        <v>Il-port ta 'Long Beach jappartjeni għal liema reġjun ta' Kalifornja?</v>
      </c>
    </row>
    <row r="14448" ht="15.75" customHeight="1">
      <c r="A14448" s="2" t="s">
        <v>14448</v>
      </c>
      <c r="B14448" s="2" t="str">
        <f>IFERROR(__xludf.DUMMYFUNCTION("GOOGLETRANSLATE(A14448, ""en"", ""mt"")"),"Marda ġenetika")</f>
        <v>Marda ġenetika</v>
      </c>
    </row>
    <row r="14449" ht="15.75" customHeight="1">
      <c r="A14449" s="2" t="s">
        <v>14449</v>
      </c>
      <c r="B14449" s="2" t="str">
        <f>IFERROR(__xludf.DUMMYFUNCTION("GOOGLETRANSLATE(A14449, ""en"", ""mt"")"),"Fl-Istati tal-Istati Uniti, x'jiġri mill-istennija tal-ħajja f'dawk inqas ekonomikament ugwali?")</f>
        <v>Fl-Istati tal-Istati Uniti, x'jiġri mill-istennija tal-ħajja f'dawk inqas ekonomikament ugwali?</v>
      </c>
    </row>
    <row r="14450" ht="15.75" customHeight="1">
      <c r="A14450" s="2" t="s">
        <v>14450</v>
      </c>
      <c r="B14450" s="2" t="str">
        <f>IFERROR(__xludf.DUMMYFUNCTION("GOOGLETRANSLATE(A14450, ""en"", ""mt"")"),"Meta l-Arċisqof Albrecht bagħat l-ittra ta ’Luther li fiha l-95 teżi lejn Ruma?")</f>
        <v>Meta l-Arċisqof Albrecht bagħat l-ittra ta ’Luther li fiha l-95 teżi lejn Ruma?</v>
      </c>
    </row>
    <row r="14451" ht="15.75" customHeight="1">
      <c r="A14451" s="2" t="s">
        <v>14451</v>
      </c>
      <c r="B14451" s="2" t="str">
        <f>IFERROR(__xludf.DUMMYFUNCTION("GOOGLETRANSLATE(A14451, ""en"", ""mt"")"),"Philo ta ’Bizanju")</f>
        <v>Philo ta ’Bizanju</v>
      </c>
    </row>
    <row r="14452" ht="15.75" customHeight="1">
      <c r="A14452" s="2" t="s">
        <v>14452</v>
      </c>
      <c r="B14452" s="2" t="str">
        <f>IFERROR(__xludf.DUMMYFUNCTION("GOOGLETRANSLATE(A14452, ""en"", ""mt"")"),"Dak li japplika għall-istess mozzjoni tal-veloċità kostanti kif jagħmel għall-mistrieħ.")</f>
        <v>Dak li japplika għall-istess mozzjoni tal-veloċità kostanti kif jagħmel għall-mistrieħ.</v>
      </c>
    </row>
    <row r="14453" ht="15.75" customHeight="1">
      <c r="A14453" s="2" t="s">
        <v>14453</v>
      </c>
      <c r="B14453" s="2" t="str">
        <f>IFERROR(__xludf.DUMMYFUNCTION("GOOGLETRANSLATE(A14453, ""en"", ""mt"")"),"5,500,000 kilometru kwadru (2,100,000 sq mi) huma koperti mill-foresta tropikali.")</f>
        <v>5,500,000 kilometru kwadru (2,100,000 sq mi) huma koperti mill-foresta tropikali.</v>
      </c>
    </row>
    <row r="14454" ht="15.75" customHeight="1">
      <c r="A14454" s="2" t="s">
        <v>14454</v>
      </c>
      <c r="B14454" s="2" t="str">
        <f>IFERROR(__xludf.DUMMYFUNCTION("GOOGLETRANSLATE(A14454, ""en"", ""mt"")"),"F'liema sena ħareġ ir-rapport Kalven?")</f>
        <v>F'liema sena ħareġ ir-rapport Kalven?</v>
      </c>
    </row>
    <row r="14455" ht="15.75" customHeight="1">
      <c r="A14455" s="2" t="s">
        <v>14455</v>
      </c>
      <c r="B14455" s="2" t="str">
        <f>IFERROR(__xludf.DUMMYFUNCTION("GOOGLETRANSLATE(A14455, ""en"", ""mt"")"),"Il-movimenti tal-lobates combs huma kkontrollati minn xiex?")</f>
        <v>Il-movimenti tal-lobates combs huma kkontrollati minn xiex?</v>
      </c>
    </row>
    <row r="14456" ht="15.75" customHeight="1">
      <c r="A14456" s="2" t="s">
        <v>14456</v>
      </c>
      <c r="B14456" s="2" t="str">
        <f>IFERROR(__xludf.DUMMYFUNCTION("GOOGLETRANSLATE(A14456, ""en"", ""mt"")"),"Fil-bajjiet")</f>
        <v>Fil-bajjiet</v>
      </c>
    </row>
    <row r="14457" ht="15.75" customHeight="1">
      <c r="A14457" s="2" t="s">
        <v>14457</v>
      </c>
      <c r="B14457" s="2" t="str">
        <f>IFERROR(__xludf.DUMMYFUNCTION("GOOGLETRANSLATE(A14457, ""en"", ""mt"")"),"Rhind Papyrus")</f>
        <v>Rhind Papyrus</v>
      </c>
    </row>
    <row r="14458" ht="15.75" customHeight="1">
      <c r="A14458" s="2" t="s">
        <v>14458</v>
      </c>
      <c r="B14458" s="2" t="str">
        <f>IFERROR(__xludf.DUMMYFUNCTION("GOOGLETRANSLATE(A14458, ""en"", ""mt"")"),"Downtown Fresno")</f>
        <v>Downtown Fresno</v>
      </c>
    </row>
    <row r="14459" ht="15.75" customHeight="1">
      <c r="A14459" s="2" t="s">
        <v>14459</v>
      </c>
      <c r="B14459" s="2" t="str">
        <f>IFERROR(__xludf.DUMMYFUNCTION("GOOGLETRANSLATE(A14459, ""en"", ""mt"")"),"Fejn twaqqfet il-Fratellanza Musulmana?")</f>
        <v>Fejn twaqqfet il-Fratellanza Musulmana?</v>
      </c>
    </row>
    <row r="14460" ht="15.75" customHeight="1">
      <c r="A14460" s="2" t="s">
        <v>14460</v>
      </c>
      <c r="B14460" s="2" t="str">
        <f>IFERROR(__xludf.DUMMYFUNCTION("GOOGLETRANSLATE(A14460, ""en"", ""mt"")"),"Liema dinastija qasmet ispirazzjoni artistika mal-wan?")</f>
        <v>Liema dinastija qasmet ispirazzjoni artistika mal-wan?</v>
      </c>
    </row>
    <row r="14461" ht="15.75" customHeight="1">
      <c r="A14461" s="2" t="s">
        <v>14461</v>
      </c>
      <c r="B14461" s="2" t="str">
        <f>IFERROR(__xludf.DUMMYFUNCTION("GOOGLETRANSLATE(A14461, ""en"", ""mt"")"),"Fis-seklu 12")</f>
        <v>Fis-seklu 12</v>
      </c>
    </row>
    <row r="14462" ht="15.75" customHeight="1">
      <c r="A14462" s="2" t="s">
        <v>14462</v>
      </c>
      <c r="B14462" s="2" t="str">
        <f>IFERROR(__xludf.DUMMYFUNCTION("GOOGLETRANSLATE(A14462, ""en"", ""mt"")"),"Kemm kienet għolja t-tema tat-Tabib Min mar fuq il-mapep tar-radju?")</f>
        <v>Kemm kienet għolja t-tema tat-Tabib Min mar fuq il-mapep tar-radju?</v>
      </c>
    </row>
    <row r="14463" ht="15.75" customHeight="1">
      <c r="A14463" s="2" t="s">
        <v>14463</v>
      </c>
      <c r="B14463" s="2" t="str">
        <f>IFERROR(__xludf.DUMMYFUNCTION("GOOGLETRANSLATE(A14463, ""en"", ""mt"")"),"Il-Markiz de Vaudreuil")</f>
        <v>Il-Markiz de Vaudreuil</v>
      </c>
    </row>
    <row r="14464" ht="15.75" customHeight="1">
      <c r="A14464" s="2" t="s">
        <v>14464</v>
      </c>
      <c r="B14464" s="2" t="str">
        <f>IFERROR(__xludf.DUMMYFUNCTION("GOOGLETRANSLATE(A14464, ""en"", ""mt"")"),"Kif kienet tissejjaħ il-kolonja Franċiża Brażiljana?")</f>
        <v>Kif kienet tissejjaħ il-kolonja Franċiża Brażiljana?</v>
      </c>
    </row>
    <row r="14465" ht="15.75" customHeight="1">
      <c r="A14465" s="2" t="s">
        <v>14465</v>
      </c>
      <c r="B14465" s="2" t="str">
        <f>IFERROR(__xludf.DUMMYFUNCTION("GOOGLETRANSLATE(A14465, ""en"", ""mt"")"),"Min għeleb lir-Rebels fil-Battalja ta 'Frankenhausen?")</f>
        <v>Min għeleb lir-Rebels fil-Battalja ta 'Frankenhausen?</v>
      </c>
    </row>
    <row r="14466" ht="15.75" customHeight="1">
      <c r="A14466" s="2" t="s">
        <v>14466</v>
      </c>
      <c r="B14466" s="2" t="str">
        <f>IFERROR(__xludf.DUMMYFUNCTION("GOOGLETRANSLATE(A14466, ""en"", ""mt"")"),"tilwima dwar il-kontroll tal-konfluwenza tax-xmajjar Allegheny u Monongahela")</f>
        <v>tilwima dwar il-kontroll tal-konfluwenza tax-xmajjar Allegheny u Monongahela</v>
      </c>
    </row>
    <row r="14467" ht="15.75" customHeight="1">
      <c r="A14467" s="2" t="s">
        <v>14467</v>
      </c>
      <c r="B14467" s="2" t="str">
        <f>IFERROR(__xludf.DUMMYFUNCTION("GOOGLETRANSLATE(A14467, ""en"", ""mt"")"),"1870")</f>
        <v>1870</v>
      </c>
    </row>
    <row r="14468" ht="15.75" customHeight="1">
      <c r="A14468" s="2" t="s">
        <v>14468</v>
      </c>
      <c r="B14468" s="2" t="str">
        <f>IFERROR(__xludf.DUMMYFUNCTION("GOOGLETRANSLATE(A14468, ""en"", ""mt"")"),"X'għamel is-sistema Apple awtomatikament")</f>
        <v>X'għamel is-sistema Apple awtomatikament</v>
      </c>
    </row>
    <row r="14469" ht="15.75" customHeight="1">
      <c r="A14469" s="2" t="s">
        <v>14469</v>
      </c>
      <c r="B14469" s="2" t="str">
        <f>IFERROR(__xludf.DUMMYFUNCTION("GOOGLETRANSLATE(A14469, ""en"", ""mt"")"),"Ix-xandir tal-WBAI ftit mill-kummiedja ta 'George Carlin eventwalment wassal għal xiex?")</f>
        <v>Ix-xandir tal-WBAI ftit mill-kummiedja ta 'George Carlin eventwalment wassal għal xiex?</v>
      </c>
    </row>
    <row r="14470" ht="15.75" customHeight="1">
      <c r="A14470" s="2" t="s">
        <v>14470</v>
      </c>
      <c r="B14470" s="2" t="str">
        <f>IFERROR(__xludf.DUMMYFUNCTION("GOOGLETRANSLATE(A14470, ""en"", ""mt"")"),"X'inhuma l-phycobilisomes?")</f>
        <v>X'inhuma l-phycobilisomes?</v>
      </c>
    </row>
    <row r="14471" ht="15.75" customHeight="1">
      <c r="A14471" s="2" t="s">
        <v>14471</v>
      </c>
      <c r="B14471" s="2" t="str">
        <f>IFERROR(__xludf.DUMMYFUNCTION("GOOGLETRANSLATE(A14471, ""en"", ""mt"")"),"L-iskultura ta 'Amida Nyorai li hija inkluża fil-kollezzjoni ta' arti Ġappuniża ta 'V&amp;A hija ddatata għal liema seklu?")</f>
        <v>L-iskultura ta 'Amida Nyorai li hija inkluża fil-kollezzjoni ta' arti Ġappuniża ta 'V&amp;A hija ddatata għal liema seklu?</v>
      </c>
    </row>
    <row r="14472" ht="15.75" customHeight="1">
      <c r="A14472" s="2" t="s">
        <v>14472</v>
      </c>
      <c r="B14472" s="2" t="str">
        <f>IFERROR(__xludf.DUMMYFUNCTION("GOOGLETRANSLATE(A14472, ""en"", ""mt"")"),"Liema persentaġġ tal-popolazzjoni ta 'Varsavja kienet Lhudija fl-1897?")</f>
        <v>Liema persentaġġ tal-popolazzjoni ta 'Varsavja kienet Lhudija fl-1897?</v>
      </c>
    </row>
    <row r="14473" ht="15.75" customHeight="1">
      <c r="A14473" s="2" t="s">
        <v>14473</v>
      </c>
      <c r="B14473" s="2" t="str">
        <f>IFERROR(__xludf.DUMMYFUNCTION("GOOGLETRANSLATE(A14473, ""en"", ""mt"")"),"Is-sistema attwali ta '8–4-4 ġiet imnedija f'Jannar 1985. Hija għamlet aktar enfasi fuq suġġetti vokazzjonali fuq is-suppożizzjoni li l-istruttura l-ġdida tippermetti tluq mill-iskejjel fil-livelli kollha jew tkun taħdem għal rasha jew biex tiżgura impjie"&amp;"g fl-informali settur. F'Jannar 2003, il-Gvern tal-Kenja ħabbar l-introduzzjoni ta 'edukazzjoni primarja ħielsa. Bħala riżultat, l-iskrizzjoni fl-iskola primarja żdiedet b'madwar 70%. L-iskrizzjoni tal-edukazzjoni sekondarja u terzjarja ma żdiedetx propor"&amp;"zjonalment minħabba li l-ħlas għadu meħtieġ għall-attendenza. Fl-2007 il-gvern ħareġ dikjarazzjoni li ddikjarat li mill-2008, l-edukazzjoni sekondarja tkun sussidjata ħafna, bil-gvern imexxi l-miżati kollha tat-tagħlim.")</f>
        <v>Is-sistema attwali ta '8–4-4 ġiet imnedija f'Jannar 1985. Hija għamlet aktar enfasi fuq suġġetti vokazzjonali fuq is-suppożizzjoni li l-istruttura l-ġdida tippermetti tluq mill-iskejjel fil-livelli kollha jew tkun taħdem għal rasha jew biex tiżgura impjieg fl-informali settur. F'Jannar 2003, il-Gvern tal-Kenja ħabbar l-introduzzjoni ta 'edukazzjoni primarja ħielsa. Bħala riżultat, l-iskrizzjoni fl-iskola primarja żdiedet b'madwar 70%. L-iskrizzjoni tal-edukazzjoni sekondarja u terzjarja ma żdiedetx proporzjonalment minħabba li l-ħlas għadu meħtieġ għall-attendenza. Fl-2007 il-gvern ħareġ dikjarazzjoni li ddikjarat li mill-2008, l-edukazzjoni sekondarja tkun sussidjata ħafna, bil-gvern imexxi l-miżati kollha tat-tagħlim.</v>
      </c>
    </row>
    <row r="14474" ht="15.75" customHeight="1">
      <c r="A14474" s="2" t="s">
        <v>14474</v>
      </c>
      <c r="B14474" s="2" t="str">
        <f>IFERROR(__xludf.DUMMYFUNCTION("GOOGLETRANSLATE(A14474, ""en"", ""mt"")"),"2,249")</f>
        <v>2,249</v>
      </c>
    </row>
    <row r="14475" ht="15.75" customHeight="1">
      <c r="A14475" s="2" t="s">
        <v>14475</v>
      </c>
      <c r="B14475" s="2" t="str">
        <f>IFERROR(__xludf.DUMMYFUNCTION("GOOGLETRANSLATE(A14475, ""en"", ""mt"")"),"impossibbli")</f>
        <v>impossibbli</v>
      </c>
    </row>
    <row r="14476" ht="15.75" customHeight="1">
      <c r="A14476" s="2" t="s">
        <v>14476</v>
      </c>
      <c r="B14476" s="2" t="str">
        <f>IFERROR(__xludf.DUMMYFUNCTION("GOOGLETRANSLATE(A14476, ""en"", ""mt"")"),"Kif jissejjaħ l-akbar port fl-Ewropa?")</f>
        <v>Kif jissejjaħ l-akbar port fl-Ewropa?</v>
      </c>
    </row>
    <row r="14477" ht="15.75" customHeight="1">
      <c r="A14477" s="2" t="s">
        <v>14477</v>
      </c>
      <c r="B14477" s="2" t="str">
        <f>IFERROR(__xludf.DUMMYFUNCTION("GOOGLETRANSLATE(A14477, ""en"", ""mt"")"),"Il-Baċellerat")</f>
        <v>Il-Baċellerat</v>
      </c>
    </row>
    <row r="14478" ht="15.75" customHeight="1">
      <c r="A14478" s="2" t="s">
        <v>14478</v>
      </c>
      <c r="B14478" s="2" t="str">
        <f>IFERROR(__xludf.DUMMYFUNCTION("GOOGLETRANSLATE(A14478, ""en"", ""mt"")"),"Kemm Prinċpijiet Rival kienu involuti fl-Assassinanti ta 'Gegeen?")</f>
        <v>Kemm Prinċpijiet Rival kienu involuti fl-Assassinanti ta 'Gegeen?</v>
      </c>
    </row>
    <row r="14479" ht="15.75" customHeight="1">
      <c r="A14479" s="2" t="s">
        <v>14479</v>
      </c>
      <c r="B14479" s="2" t="str">
        <f>IFERROR(__xludf.DUMMYFUNCTION("GOOGLETRANSLATE(A14479, ""en"", ""mt"")"),"X'kienet il-kawża għall-kwistjonijiet bil-finanzjament tal-belt?")</f>
        <v>X'kienet il-kawża għall-kwistjonijiet bil-finanzjament tal-belt?</v>
      </c>
    </row>
    <row r="14480" ht="15.75" customHeight="1">
      <c r="A14480" s="2" t="s">
        <v>14480</v>
      </c>
      <c r="B14480" s="2" t="str">
        <f>IFERROR(__xludf.DUMMYFUNCTION("GOOGLETRANSLATE(A14480, ""en"", ""mt"")"),"F'sistema ta 'sekrezzjoni tat-Tip III, il-proteini jiġu ttrasportati lejn iċ-ċellula ospitanti sabiex jagħmlu xiex?")</f>
        <v>F'sistema ta 'sekrezzjoni tat-Tip III, il-proteini jiġu ttrasportati lejn iċ-ċellula ospitanti sabiex jagħmlu xiex?</v>
      </c>
    </row>
    <row r="14481" ht="15.75" customHeight="1">
      <c r="A14481" s="2" t="s">
        <v>14481</v>
      </c>
      <c r="B14481" s="2" t="str">
        <f>IFERROR(__xludf.DUMMYFUNCTION("GOOGLETRANSLATE(A14481, ""en"", ""mt"")"),"Waqt l-irtirar mill-Fort William Henry, x’għamlu xi alleati Indjani tal-Franċiżi?")</f>
        <v>Waqt l-irtirar mill-Fort William Henry, x’għamlu xi alleati Indjani tal-Franċiżi?</v>
      </c>
    </row>
    <row r="14482" ht="15.75" customHeight="1">
      <c r="A14482" s="2" t="s">
        <v>14482</v>
      </c>
      <c r="B14482" s="2" t="str">
        <f>IFERROR(__xludf.DUMMYFUNCTION("GOOGLETRANSLATE(A14482, ""en"", ""mt"")"),"Kemm kien jiswa biex tibni l-istadium fejn kien jindaqq Super Bowl 50?")</f>
        <v>Kemm kien jiswa biex tibni l-istadium fejn kien jindaqq Super Bowl 50?</v>
      </c>
    </row>
    <row r="14483" ht="15.75" customHeight="1">
      <c r="A14483" s="2" t="s">
        <v>14483</v>
      </c>
      <c r="B14483" s="2" t="str">
        <f>IFERROR(__xludf.DUMMYFUNCTION("GOOGLETRANSLATE(A14483, ""en"", ""mt"")"),"X'inhu l-isem Latin għall-mewt sewda?")</f>
        <v>X'inhu l-isem Latin għall-mewt sewda?</v>
      </c>
    </row>
    <row r="14484" ht="15.75" customHeight="1">
      <c r="A14484" s="2" t="s">
        <v>14484</v>
      </c>
      <c r="B14484" s="2" t="str">
        <f>IFERROR(__xludf.DUMMYFUNCTION("GOOGLETRANSLATE(A14484, ""en"", ""mt"")"),"Magna b'ħafna tejp teħtieġ x'tip ta 'ħin għal soluzzjoni?")</f>
        <v>Magna b'ħafna tejp teħtieġ x'tip ta 'ħin għal soluzzjoni?</v>
      </c>
    </row>
    <row r="14485" ht="15.75" customHeight="1">
      <c r="A14485" s="2" t="s">
        <v>14485</v>
      </c>
      <c r="B14485" s="2" t="str">
        <f>IFERROR(__xludf.DUMMYFUNCTION("GOOGLETRANSLATE(A14485, ""en"", ""mt"")"),"Ir-Renju Unit")</f>
        <v>Ir-Renju Unit</v>
      </c>
    </row>
    <row r="14486" ht="15.75" customHeight="1">
      <c r="A14486" s="2" t="s">
        <v>14486</v>
      </c>
      <c r="B14486" s="2" t="str">
        <f>IFERROR(__xludf.DUMMYFUNCTION("GOOGLETRANSLATE(A14486, ""en"", ""mt"")"),"Kemm-il darba ż-żona ta 'South Florida / Miami ospitat is-Super Bowl?")</f>
        <v>Kemm-il darba ż-żona ta 'South Florida / Miami ospitat is-Super Bowl?</v>
      </c>
    </row>
    <row r="14487" ht="15.75" customHeight="1">
      <c r="A14487" s="2" t="s">
        <v>14487</v>
      </c>
      <c r="B14487" s="2" t="str">
        <f>IFERROR(__xludf.DUMMYFUNCTION("GOOGLETRANSLATE(A14487, ""en"", ""mt"")"),"Għodda tax-Xitan")</f>
        <v>Għodda tax-Xitan</v>
      </c>
    </row>
    <row r="14488" ht="15.75" customHeight="1">
      <c r="A14488" s="2" t="s">
        <v>14488</v>
      </c>
      <c r="B14488" s="2" t="str">
        <f>IFERROR(__xludf.DUMMYFUNCTION("GOOGLETRANSLATE(A14488, ""en"", ""mt"")"),"in-naħa tal-punent")</f>
        <v>in-naħa tal-punent</v>
      </c>
    </row>
    <row r="14489" ht="15.75" customHeight="1">
      <c r="A14489" s="2" t="s">
        <v>14489</v>
      </c>
      <c r="B14489" s="2" t="str">
        <f>IFERROR(__xludf.DUMMYFUNCTION("GOOGLETRANSLATE(A14489, ""en"", ""mt"")"),"Liema show tat-talk CBS ieħor lagħab, wara dak ewlieni li beda immedjatament wara Super Bowl 50?")</f>
        <v>Liema show tat-talk CBS ieħor lagħab, wara dak ewlieni li beda immedjatament wara Super Bowl 50?</v>
      </c>
    </row>
    <row r="14490" ht="15.75" customHeight="1">
      <c r="A14490" s="2" t="s">
        <v>14490</v>
      </c>
      <c r="B14490" s="2" t="str">
        <f>IFERROR(__xludf.DUMMYFUNCTION("GOOGLETRANSLATE(A14490, ""en"", ""mt"")"),"għalliema")</f>
        <v>għalliema</v>
      </c>
    </row>
    <row r="14491" ht="15.75" customHeight="1">
      <c r="A14491" s="2" t="s">
        <v>14491</v>
      </c>
      <c r="B14491" s="2" t="str">
        <f>IFERROR(__xludf.DUMMYFUNCTION("GOOGLETRANSLATE(A14491, ""en"", ""mt"")"),"Kemm ġiet miktuba letteratura rigward id-diżubbidjenza ċivili?")</f>
        <v>Kemm ġiet miktuba letteratura rigward id-diżubbidjenza ċivili?</v>
      </c>
    </row>
    <row r="14492" ht="15.75" customHeight="1">
      <c r="A14492" s="2" t="s">
        <v>14492</v>
      </c>
      <c r="B14492" s="2" t="str">
        <f>IFERROR(__xludf.DUMMYFUNCTION("GOOGLETRANSLATE(A14492, ""en"", ""mt"")"),"is-serje 'Revival fl-2005")</f>
        <v>is-serje 'Revival fl-2005</v>
      </c>
    </row>
    <row r="14493" ht="15.75" customHeight="1">
      <c r="A14493" s="2" t="s">
        <v>14493</v>
      </c>
      <c r="B14493" s="2" t="str">
        <f>IFERROR(__xludf.DUMMYFUNCTION("GOOGLETRANSLATE(A14493, ""en"", ""mt"")"),"tnaqqis wieqaf u kostanti")</f>
        <v>tnaqqis wieqaf u kostanti</v>
      </c>
    </row>
    <row r="14494" ht="15.75" customHeight="1">
      <c r="A14494" s="2" t="s">
        <v>14494</v>
      </c>
      <c r="B14494" s="2" t="str">
        <f>IFERROR(__xludf.DUMMYFUNCTION("GOOGLETRANSLATE(A14494, ""en"", ""mt"")"),"Temülen")</f>
        <v>Temülen</v>
      </c>
    </row>
    <row r="14495" ht="15.75" customHeight="1">
      <c r="A14495" s="2" t="s">
        <v>14495</v>
      </c>
      <c r="B14495" s="2" t="str">
        <f>IFERROR(__xludf.DUMMYFUNCTION("GOOGLETRANSLATE(A14495, ""en"", ""mt"")"),"K-9 u Kumpanija")</f>
        <v>K-9 u Kumpanija</v>
      </c>
    </row>
    <row r="14496" ht="15.75" customHeight="1">
      <c r="A14496" s="2" t="s">
        <v>14496</v>
      </c>
      <c r="B14496" s="2" t="str">
        <f>IFERROR(__xludf.DUMMYFUNCTION("GOOGLETRANSLATE(A14496, ""en"", ""mt"")"),"Liema investitur Kanadiż fittex l-għajnuna ta 'ABC fit-tnedija ta' stazzjon fl-1960?")</f>
        <v>Liema investitur Kanadiż fittex l-għajnuna ta 'ABC fit-tnedija ta' stazzjon fl-1960?</v>
      </c>
    </row>
    <row r="14497" ht="15.75" customHeight="1">
      <c r="A14497" s="2" t="s">
        <v>14497</v>
      </c>
      <c r="B14497" s="2" t="str">
        <f>IFERROR(__xludf.DUMMYFUNCTION("GOOGLETRANSLATE(A14497, ""en"", ""mt"")"),"Matul is-seklu 10, l-inkursjonijiet inizjalment distruttivi tal-baned tal-gwerra Norveġiżi fix-xmajjar ta 'Franza evolvew f'kampji aktar permanenti li kienu jinkludu nisa lokali u proprjetà personali. Id-Dukat tan-Normandija, li beda fl-911 bħala fiefdom,"&amp;" ġie stabbilit mit-Trattat ta 'Saint-Clair-sur-Epte bejn ir-Re Charles III ta' West Francia u l-famuż ħakkiem Viking Rollo, u kien jinsab fir-renju Frankish ta 'Neustria ta' qabel Jonqos It-trattat offra lil Rollo u l-irġiel tiegħu l-artijiet Franċiżi bej"&amp;"n ix-Xmara Epte u l-Kosta tal-Atlantiku bi skambju għall-protezzjoni tagħhom kontra aktar inkursjonijiet fil-Viking. Iż-żona kienet tikkorrispondi mal-parti tat-tramuntana tan-Normandija ta 'fuq tal-lum' l isfel lejn ix-Xmara Seine, iżda l-dukat eventwalm"&amp;"ent jestendi lejn il-punent lil hinn mis-Seine. It-territorju kien bejn wieħed u ieħor ekwivalenti għall-provinċja l-qadima ta 'Rouen, u rriproduċiet l-istruttura amministrattiva Rumana ta' Gallia lugdunensis II (parti mill-ex Gallia Lugdunensis).")</f>
        <v>Matul is-seklu 10, l-inkursjonijiet inizjalment distruttivi tal-baned tal-gwerra Norveġiżi fix-xmajjar ta 'Franza evolvew f'kampji aktar permanenti li kienu jinkludu nisa lokali u proprjetà personali. Id-Dukat tan-Normandija, li beda fl-911 bħala fiefdom, ġie stabbilit mit-Trattat ta 'Saint-Clair-sur-Epte bejn ir-Re Charles III ta' West Francia u l-famuż ħakkiem Viking Rollo, u kien jinsab fir-renju Frankish ta 'Neustria ta' qabel Jonqos It-trattat offra lil Rollo u l-irġiel tiegħu l-artijiet Franċiżi bejn ix-Xmara Epte u l-Kosta tal-Atlantiku bi skambju għall-protezzjoni tagħhom kontra aktar inkursjonijiet fil-Viking. Iż-żona kienet tikkorrispondi mal-parti tat-tramuntana tan-Normandija ta 'fuq tal-lum' l isfel lejn ix-Xmara Seine, iżda l-dukat eventwalment jestendi lejn il-punent lil hinn mis-Seine. It-territorju kien bejn wieħed u ieħor ekwivalenti għall-provinċja l-qadima ta 'Rouen, u rriproduċiet l-istruttura amministrattiva Rumana ta' Gallia lugdunensis II (parti mill-ex Gallia Lugdunensis).</v>
      </c>
    </row>
    <row r="14498" ht="15.75" customHeight="1">
      <c r="A14498" s="2" t="s">
        <v>14498</v>
      </c>
      <c r="B14498" s="2" t="str">
        <f>IFERROR(__xludf.DUMMYFUNCTION("GOOGLETRANSLATE(A14498, ""en"", ""mt"")"),"L-embargo kellu influwenza negattiva fuq l-ekonomija tal-Istati Uniti billi kkawża talbiet immedjati biex jindirizzaw it-theddid għas-sigurtà tal-enerġija tal-Istati Uniti. Fuq livell internazzjonali, iż-żidiet fil-prezz biddlu pożizzjonijiet kompetittivi"&amp;" f'ħafna industriji, bħal karozzi. Problemi makroekonomiċi kienu jikkonsistu f'impatti inflazzjonarji u deflazzjonarji. L-embargo ħalla kumpaniji taż-żejt ifittxu modi ġodda biex iżidu l-provvisti taż-żejt, anke f'art imħatteb bħall-Artiku. Is-sejba taż-ż"&amp;"ejt u l-iżvilupp ta 'oqsma ġodda ġeneralment tkun meħtieġa ħames sa għaxar snin qabel produzzjoni sinifikanti.")</f>
        <v>L-embargo kellu influwenza negattiva fuq l-ekonomija tal-Istati Uniti billi kkawża talbiet immedjati biex jindirizzaw it-theddid għas-sigurtà tal-enerġija tal-Istati Uniti. Fuq livell internazzjonali, iż-żidiet fil-prezz biddlu pożizzjonijiet kompetittivi f'ħafna industriji, bħal karozzi. Problemi makroekonomiċi kienu jikkonsistu f'impatti inflazzjonarji u deflazzjonarji. L-embargo ħalla kumpaniji taż-żejt ifittxu modi ġodda biex iżidu l-provvisti taż-żejt, anke f'art imħatteb bħall-Artiku. Is-sejba taż-żejt u l-iżvilupp ta 'oqsma ġodda ġeneralment tkun meħtieġa ħames sa għaxar snin qabel produzzjoni sinifikanti.</v>
      </c>
    </row>
    <row r="14499" ht="15.75" customHeight="1">
      <c r="A14499" s="2" t="s">
        <v>14499</v>
      </c>
      <c r="B14499" s="2" t="str">
        <f>IFERROR(__xludf.DUMMYFUNCTION("GOOGLETRANSLATE(A14499, ""en"", ""mt"")"),"Kemm mix-xemx hija magħmula minn ossiġnu?")</f>
        <v>Kemm mix-xemx hija magħmula minn ossiġnu?</v>
      </c>
    </row>
    <row r="14500" ht="15.75" customHeight="1">
      <c r="A14500" s="2" t="s">
        <v>14500</v>
      </c>
      <c r="B14500" s="2" t="str">
        <f>IFERROR(__xludf.DUMMYFUNCTION("GOOGLETRANSLATE(A14500, ""en"", ""mt"")"),"L-isem Rijn, minn hawn 'il quddiem, jintuża biss għal nixxigħat iżgħar' il bogħod lejn it-tramuntana, li flimkien iffurmaw ix-xmara ewlenija Rhine fi żminijiet Rumani. Għalkemm żammew l-isem, dawn il-flussi m'għadhomx iġorru l-ilma mir-Renu, iżda jintużaw"&amp;" biex ixxotta l-art tal-madwar u l-polders. Minn Wijk Bij Duurstede, il-fergħa l-qadima tat-Tramuntana tar-Renu tissejjaħ Kromme Rijn (""Bent Rhine"") passat Utrecht, l-ewwel Leidse Rijn (""Rhine of Leiden"") u mbagħad, Oud Rijn (""Old Rhine""). Dan tal-a"&amp;"ħħar jiċċirkola lejn il-punent ġo sluice f'Katwijk, fejn l-ilmijiet tiegħu jistgħu jiġu mormija fil-Baħar tat-Tramuntana. Din il-fergħa darba ffurmat il-linja li matulu nbnew il-Ġermaniku. Matul perjodi ta 'livelli aktar baxxi tal-baħar fi ħdan l-etajiet "&amp;"tas-silġ varji, ir-Rhine ħa dawra fuq ix-xellug, li ħoloq ix-Xmara Channel, li l-kors tiegħu issa jinsab taħt il-Kanal Ingliż.")</f>
        <v>L-isem Rijn, minn hawn 'il quddiem, jintuża biss għal nixxigħat iżgħar' il bogħod lejn it-tramuntana, li flimkien iffurmaw ix-xmara ewlenija Rhine fi żminijiet Rumani. Għalkemm żammew l-isem, dawn il-flussi m'għadhomx iġorru l-ilma mir-Renu, iżda jintużaw biex ixxotta l-art tal-madwar u l-polders. Minn Wijk Bij Duurstede, il-fergħa l-qadima tat-Tramuntana tar-Renu tissejjaħ Kromme Rijn ("Bent Rhine") passat Utrecht, l-ewwel Leidse Rijn ("Rhine of Leiden") u mbagħad, Oud Rijn ("Old Rhine"). Dan tal-aħħar jiċċirkola lejn il-punent ġo sluice f'Katwijk, fejn l-ilmijiet tiegħu jistgħu jiġu mormija fil-Baħar tat-Tramuntana. Din il-fergħa darba ffurmat il-linja li matulu nbnew il-Ġermaniku. Matul perjodi ta 'livelli aktar baxxi tal-baħar fi ħdan l-etajiet tas-silġ varji, ir-Rhine ħa dawra fuq ix-xellug, li ħoloq ix-Xmara Channel, li l-kors tiegħu issa jinsab taħt il-Kanal Ingliż.</v>
      </c>
    </row>
    <row r="14501" ht="15.75" customHeight="1">
      <c r="A14501" s="2" t="s">
        <v>14501</v>
      </c>
      <c r="B14501" s="2" t="str">
        <f>IFERROR(__xludf.DUMMYFUNCTION("GOOGLETRANSLATE(A14501, ""en"", ""mt"")"),"Min japplika l-liġi tal-Unjoni Ewropea?")</f>
        <v>Min japplika l-liġi tal-Unjoni Ewropea?</v>
      </c>
    </row>
    <row r="14502" ht="15.75" customHeight="1">
      <c r="A14502" s="2" t="s">
        <v>14502</v>
      </c>
      <c r="B14502" s="2" t="str">
        <f>IFERROR(__xludf.DUMMYFUNCTION("GOOGLETRANSLATE(A14502, ""en"", ""mt"")"),"Meta ġie ddikjarat dan l-editt?")</f>
        <v>Meta ġie ddikjarat dan l-editt?</v>
      </c>
    </row>
    <row r="14503" ht="15.75" customHeight="1">
      <c r="A14503" s="2" t="s">
        <v>14503</v>
      </c>
      <c r="B14503" s="2" t="str">
        <f>IFERROR(__xludf.DUMMYFUNCTION("GOOGLETRANSLATE(A14503, ""en"", ""mt"")"),"Xi jfisser ir-rapport tas-Sommarju tal-WG I għal dawk li jfasslu l-politika jgħidu li l-attivitajiet tal-bniedem qed jagħmlu lill-gassijiet b'effett ta 'serra?")</f>
        <v>Xi jfisser ir-rapport tas-Sommarju tal-WG I għal dawk li jfasslu l-politika jgħidu li l-attivitajiet tal-bniedem qed jagħmlu lill-gassijiet b'effett ta 'serra?</v>
      </c>
    </row>
    <row r="14504" ht="15.75" customHeight="1">
      <c r="A14504" s="2" t="s">
        <v>14504</v>
      </c>
      <c r="B14504" s="2" t="str">
        <f>IFERROR(__xludf.DUMMYFUNCTION("GOOGLETRANSLATE(A14504, ""en"", ""mt"")"),"Fuq liema kalendarju ieħor huwa kkommemorat Luther?")</f>
        <v>Fuq liema kalendarju ieħor huwa kkommemorat Luther?</v>
      </c>
    </row>
    <row r="14505" ht="15.75" customHeight="1">
      <c r="A14505" s="2" t="s">
        <v>14505</v>
      </c>
      <c r="B14505" s="2" t="str">
        <f>IFERROR(__xludf.DUMMYFUNCTION("GOOGLETRANSLATE(A14505, ""en"", ""mt"")"),"It-tieni l-iktar popolat")</f>
        <v>It-tieni l-iktar popolat</v>
      </c>
    </row>
    <row r="14506" ht="15.75" customHeight="1">
      <c r="A14506" s="2" t="s">
        <v>14506</v>
      </c>
      <c r="B14506" s="2" t="str">
        <f>IFERROR(__xludf.DUMMYFUNCTION("GOOGLETRANSLATE(A14506, ""en"", ""mt"")"),"Annam")</f>
        <v>Annam</v>
      </c>
    </row>
    <row r="14507" ht="15.75" customHeight="1">
      <c r="A14507" s="2" t="s">
        <v>14507</v>
      </c>
      <c r="B14507" s="2" t="str">
        <f>IFERROR(__xludf.DUMMYFUNCTION("GOOGLETRANSLATE(A14507, ""en"", ""mt"")"),"X'kienet l-entità korporattiva teatri Amerikani ta 'xandir ta' xandir mill-ġdid fl-1965?")</f>
        <v>X'kienet l-entità korporattiva teatri Amerikani ta 'xandir ta' xandir mill-ġdid fl-1965?</v>
      </c>
    </row>
    <row r="14508" ht="15.75" customHeight="1">
      <c r="A14508" s="2" t="s">
        <v>14508</v>
      </c>
      <c r="B14508" s="2" t="str">
        <f>IFERROR(__xludf.DUMMYFUNCTION("GOOGLETRANSLATE(A14508, ""en"", ""mt"")"),"Ċili kbar")</f>
        <v>Ċili kbar</v>
      </c>
    </row>
    <row r="14509" ht="15.75" customHeight="1">
      <c r="A14509" s="2" t="s">
        <v>14509</v>
      </c>
      <c r="B14509" s="2" t="str">
        <f>IFERROR(__xludf.DUMMYFUNCTION("GOOGLETRANSLATE(A14509, ""en"", ""mt"")"),"Filwaqt li l-kunċett ta '""ekonomija tas-suq soċjali"" ġie introdott biss fil-liġi tal-UE fl-2007, il-moviment liberu u l-kummerċ kienu ċentrali għall-iżvilupp Ewropew mit-Trattat ta' Ruma 1957. Skond it-teorija standard tal-vantaġġ komparattiv, żewġ pajj"&amp;"iżi jistgħu jibbenefikaw minn Kummerċ anke jekk wieħed minnhom għandu ekonomija inqas produttiva fl-aspetti kollha. Bħal f'organizzazzjonijiet reġjonali oħra bħall-Assoċjazzjoni tal-Kummerċ Ħieles tal-Amerika ta 'Fuq, jew l-Organizzazzjoni Dinjija tal-Kum"&amp;"merċ, tkisser l-ostakli għall-kummerċ, u t-titjib tal-moviment liberu ta' oġġetti, servizzi, xogħol u kapital, huwa maħsub biex inaqqas il-prezzijiet tal-konsumatur. Kien oriġinarjament teorizzat li żona ta 'kummerċ ħieles kellha tendenza li tagħti post g"&amp;"ħal unjoni doganali, li wasslet għal suq komuni, imbagħad unjoni monetarja, imbagħad unjoni tal-politika monetarja u fiskali, politika u eventwalment xi unjoni sħiħa karatteristika ta' stat federali - Fl-Ewropa, madankollu, dawk l-istadji kienu mħallta ko"&amp;"nsiderevolment, u għadu mhux ċar jekk il- ""endgame"" għandux ikun l-istess bħal stat, tradizzjonalment mifhum. Fil-prattika kummerċ ħieles, mingħajr standards biex jiżgura kummerċ ġust, jistgħu jibbenefikaw xi nies u gruppi ġewwa pajjiżi (partikolarment "&amp;"negozju kbir) ħafna iktar minn oħrajn, iżda se jġorru nies li m'għandhomx poter ta 'negozjar f'suq li qed jespandi, partikolarment ħaddiema, konsumaturi, negozji żgħar , li qed jiżviluppaw industriji, u komunitajiet. It-trattat dwar il-funzjonament tal-ar"&amp;"tikoli tal-Unjoni Ewropea 28 sa 37 jistabbilixxi l-prinċipju tal-moviment liberu tal-merkanzija fl-UE, filwaqt li l-artikoli 45 sa 66 jeħtieġu moviment liberu ta 'persuni, servizzi u kapital. Dawn l-hekk imsejħa ""erba 'libertajiet"" kienu maħsuba li huma"&amp;" inibiti minn ostakli fiżiċi (eż. Dwana), ostakli tekniċi (e.g. liġijiet differenti dwar is-sigurtà, l-istandards tal-konsumatur jew ambjentali) u ostakli fiskali (per eżempju rati differenti ta' taxxa fuq il-valur miżjud). It-tensjoni fil-liġi hija li l-"&amp;"moviment liberu u l-kummerċ mhux suppost jinxterdu f'liċenzja għal profitt kummerċjali mhux ristrett. It-trattati jillimitaw il-kummerċ ħieles, biex jipprijoritizzaw valuri oħra bħas-saħħa pubblika, il-protezzjoni tal-konsumatur, id-drittijiet tax-xogħol,"&amp;" kompetizzjoni ġusta, u titjib ambjentali. Kulma jmur il-Qorti tal-Ġustizzja għamlet il-fehma li l-għanijiet speċifiċi tal-kummerċ ħieles huma msejsa mill-għanijiet ġenerali tat-trattat għat-titjib tal-benesseri tan-nies.")</f>
        <v>Filwaqt li l-kunċett ta '"ekonomija tas-suq soċjali" ġie introdott biss fil-liġi tal-UE fl-2007, il-moviment liberu u l-kummerċ kienu ċentrali għall-iżvilupp Ewropew mit-Trattat ta' Ruma 1957. Skond it-teorija standard tal-vantaġġ komparattiv, żewġ pajjiżi jistgħu jibbenefikaw minn Kummerċ anke jekk wieħed minnhom għandu ekonomija inqas produttiva fl-aspetti kollha. Bħal f'organizzazzjonijiet reġjonali oħra bħall-Assoċjazzjoni tal-Kummerċ Ħieles tal-Amerika ta 'Fuq, jew l-Organizzazzjoni Dinjija tal-Kummerċ, tkisser l-ostakli għall-kummerċ, u t-titjib tal-moviment liberu ta' oġġetti, servizzi, xogħol u kapital, huwa maħsub biex inaqqas il-prezzijiet tal-konsumatur. Kien oriġinarjament teorizzat li żona ta 'kummerċ ħieles kellha tendenza li tagħti post għal unjoni doganali, li wasslet għal suq komuni, imbagħad unjoni monetarja, imbagħad unjoni tal-politika monetarja u fiskali, politika u eventwalment xi unjoni sħiħa karatteristika ta' stat federali - Fl-Ewropa, madankollu, dawk l-istadji kienu mħallta konsiderevolment, u għadu mhux ċar jekk il- "endgame" għandux ikun l-istess bħal stat, tradizzjonalment mifhum. Fil-prattika kummerċ ħieles, mingħajr standards biex jiżgura kummerċ ġust, jistgħu jibbenefikaw xi nies u gruppi ġewwa pajjiżi (partikolarment negozju kbir) ħafna iktar minn oħrajn, iżda se jġorru nies li m'għandhomx poter ta 'negozjar f'suq li qed jespandi, partikolarment ħaddiema, konsumaturi, negozji żgħar , li qed jiżviluppaw industriji, u komunitajiet. It-trattat dwar il-funzjonament tal-artikoli tal-Unjoni Ewropea 28 sa 37 jistabbilixxi l-prinċipju tal-moviment liberu tal-merkanzija fl-UE, filwaqt li l-artikoli 45 sa 66 jeħtieġu moviment liberu ta 'persuni, servizzi u kapital. Dawn l-hekk imsejħa "erba 'libertajiet" kienu maħsuba li huma inibiti minn ostakli fiżiċi (eż. Dwana), ostakli tekniċi (e.g. liġijiet differenti dwar is-sigurtà, l-istandards tal-konsumatur jew ambjentali) u ostakli fiskali (per eżempju rati differenti ta' taxxa fuq il-valur miżjud). It-tensjoni fil-liġi hija li l-moviment liberu u l-kummerċ mhux suppost jinxterdu f'liċenzja għal profitt kummerċjali mhux ristrett. It-trattati jillimitaw il-kummerċ ħieles, biex jipprijoritizzaw valuri oħra bħas-saħħa pubblika, il-protezzjoni tal-konsumatur, id-drittijiet tax-xogħol, kompetizzjoni ġusta, u titjib ambjentali. Kulma jmur il-Qorti tal-Ġustizzja għamlet il-fehma li l-għanijiet speċifiċi tal-kummerċ ħieles huma msejsa mill-għanijiet ġenerali tat-trattat għat-titjib tal-benesseri tan-nies.</v>
      </c>
    </row>
    <row r="14510" ht="15.75" customHeight="1">
      <c r="A14510" s="2" t="s">
        <v>14510</v>
      </c>
      <c r="B14510" s="2" t="str">
        <f>IFERROR(__xludf.DUMMYFUNCTION("GOOGLETRANSLATE(A14510, ""en"", ""mt"")"),"Lag Balkhash")</f>
        <v>Lag Balkhash</v>
      </c>
    </row>
    <row r="14511" ht="15.75" customHeight="1">
      <c r="A14511" s="2" t="s">
        <v>14511</v>
      </c>
      <c r="B14511" s="2" t="str">
        <f>IFERROR(__xludf.DUMMYFUNCTION("GOOGLETRANSLATE(A14511, ""en"", ""mt"")"),"sitt serje ta 'teżijiet")</f>
        <v>sitt serje ta 'teżijiet</v>
      </c>
    </row>
    <row r="14512" ht="15.75" customHeight="1">
      <c r="A14512" s="2" t="s">
        <v>14512</v>
      </c>
      <c r="B14512" s="2" t="str">
        <f>IFERROR(__xludf.DUMMYFUNCTION("GOOGLETRANSLATE(A14512, ""en"", ""mt"")"),"27,814")</f>
        <v>27,814</v>
      </c>
    </row>
    <row r="14513" ht="15.75" customHeight="1">
      <c r="A14513" s="2" t="s">
        <v>14513</v>
      </c>
      <c r="B14513" s="2" t="str">
        <f>IFERROR(__xludf.DUMMYFUNCTION("GOOGLETRANSLATE(A14513, ""en"", ""mt"")"),"26.7%")</f>
        <v>26.7%</v>
      </c>
    </row>
    <row r="14514" ht="15.75" customHeight="1">
      <c r="A14514" s="2" t="s">
        <v>14514</v>
      </c>
      <c r="B14514" s="2" t="str">
        <f>IFERROR(__xludf.DUMMYFUNCTION("GOOGLETRANSLATE(A14514, ""en"", ""mt"")"),"Upper Rhine")</f>
        <v>Upper Rhine</v>
      </c>
    </row>
    <row r="14515" ht="15.75" customHeight="1">
      <c r="A14515" s="2" t="s">
        <v>14515</v>
      </c>
      <c r="B14515" s="2" t="str">
        <f>IFERROR(__xludf.DUMMYFUNCTION("GOOGLETRANSLATE(A14515, ""en"", ""mt"")"),"Kemm ministeri tal-gvern Skoċċiż tipikament jikkorrispondu?")</f>
        <v>Kemm ministeri tal-gvern Skoċċiż tipikament jikkorrispondu?</v>
      </c>
    </row>
    <row r="14516" ht="15.75" customHeight="1">
      <c r="A14516" s="2" t="s">
        <v>14516</v>
      </c>
      <c r="B14516" s="2" t="str">
        <f>IFERROR(__xludf.DUMMYFUNCTION("GOOGLETRANSLATE(A14516, ""en"", ""mt"")"),"Konferenza Ġenerali")</f>
        <v>Konferenza Ġenerali</v>
      </c>
    </row>
    <row r="14517" ht="15.75" customHeight="1">
      <c r="A14517" s="2" t="s">
        <v>14517</v>
      </c>
      <c r="B14517" s="2" t="str">
        <f>IFERROR(__xludf.DUMMYFUNCTION("GOOGLETRANSLATE(A14517, ""en"", ""mt"")"),"Kemm ġab San Francisco biex jipprovdi servizzi għas-Super Bowl?")</f>
        <v>Kemm ġab San Francisco biex jipprovdi servizzi għas-Super Bowl?</v>
      </c>
    </row>
    <row r="14518" ht="15.75" customHeight="1">
      <c r="A14518" s="2" t="s">
        <v>14518</v>
      </c>
      <c r="B14518" s="2" t="str">
        <f>IFERROR(__xludf.DUMMYFUNCTION("GOOGLETRANSLATE(A14518, ""en"", ""mt"")"),"linja miftuħa")</f>
        <v>linja miftuħa</v>
      </c>
    </row>
    <row r="14519" ht="15.75" customHeight="1">
      <c r="A14519" s="2" t="s">
        <v>14519</v>
      </c>
      <c r="B14519" s="2" t="str">
        <f>IFERROR(__xludf.DUMMYFUNCTION("GOOGLETRANSLATE(A14519, ""en"", ""mt"")"),"Kif tista 'd-deposizzjoni ta' kumpliment toqtol iċ-ċelloli invażin direttament?")</f>
        <v>Kif tista 'd-deposizzjoni ta' kumpliment toqtol iċ-ċelloli invażin direttament?</v>
      </c>
    </row>
    <row r="14520" ht="15.75" customHeight="1">
      <c r="A14520" s="2" t="s">
        <v>14520</v>
      </c>
      <c r="B14520" s="2" t="str">
        <f>IFERROR(__xludf.DUMMYFUNCTION("GOOGLETRANSLATE(A14520, ""en"", ""mt"")"),"X'kienu l-ordnijiet ta 'Marin?")</f>
        <v>X'kienu l-ordnijiet ta 'Marin?</v>
      </c>
    </row>
    <row r="14521" ht="15.75" customHeight="1">
      <c r="A14521" s="2" t="s">
        <v>14521</v>
      </c>
      <c r="B14521" s="2" t="str">
        <f>IFERROR(__xludf.DUMMYFUNCTION("GOOGLETRANSLATE(A14521, ""en"", ""mt"")"),"28")</f>
        <v>28</v>
      </c>
    </row>
    <row r="14522" ht="15.75" customHeight="1">
      <c r="A14522" s="2" t="s">
        <v>14522</v>
      </c>
      <c r="B14522" s="2" t="str">
        <f>IFERROR(__xludf.DUMMYFUNCTION("GOOGLETRANSLATE(A14522, ""en"", ""mt"")"),"X’kien jaħdem fuq ir-raffinar sa tmiem ħajtu?")</f>
        <v>X’kien jaħdem fuq ir-raffinar sa tmiem ħajtu?</v>
      </c>
    </row>
    <row r="14523" ht="15.75" customHeight="1">
      <c r="A14523" s="2" t="s">
        <v>14523</v>
      </c>
      <c r="B14523" s="2" t="str">
        <f>IFERROR(__xludf.DUMMYFUNCTION("GOOGLETRANSLATE(A14523, ""en"", ""mt"")"),"Fußach")</f>
        <v>Fußach</v>
      </c>
    </row>
    <row r="14524" ht="15.75" customHeight="1">
      <c r="A14524" s="2" t="s">
        <v>14524</v>
      </c>
      <c r="B14524" s="2" t="str">
        <f>IFERROR(__xludf.DUMMYFUNCTION("GOOGLETRANSLATE(A14524, ""en"", ""mt"")"),"il-flail ta ’Alla")</f>
        <v>il-flail ta ’Alla</v>
      </c>
    </row>
    <row r="14525" ht="15.75" customHeight="1">
      <c r="A14525" s="2" t="s">
        <v>14525</v>
      </c>
      <c r="B14525" s="2" t="str">
        <f>IFERROR(__xludf.DUMMYFUNCTION("GOOGLETRANSLATE(A14525, ""en"", ""mt"")"),"Żoni kklerjati mill-foresta huma viżibbli għall-għajn")</f>
        <v>Żoni kklerjati mill-foresta huma viżibbli għall-għajn</v>
      </c>
    </row>
    <row r="14526" ht="15.75" customHeight="1">
      <c r="A14526" s="2" t="s">
        <v>14526</v>
      </c>
      <c r="B14526" s="2" t="str">
        <f>IFERROR(__xludf.DUMMYFUNCTION("GOOGLETRANSLATE(A14526, ""en"", ""mt"")"),"Minħabba l-fatt li l-burokrazija kienet iddominata minn El Temür, Tugh Temür huwa magħruf għall-kontribut kulturali tiegħu minflok. Huwa adotta bosta miżuri li jonoraw il-Confucianism u jippromwovu l-valuri kulturali Ċiniżi. L-isforz l-iktar konkret tiegħ"&amp;"u biex jippresonizza t-tagħlim Ċiniż kien li jwaqqaf l-Akkademja tal-Padiljun tal-Istilla tal-Letteratura (Ċiniż: 奎章閣學士院), l-ewwel stabbilit fir-rebbiegħa tal-1329 u ddisinjat biex iwettaq ""numru ta 'kompiti relatati mat-trasmissjoni ta 'kultura għolja C"&amp;"onfucian għall-istabbiliment imperjali Mongoljan "". L-akkademja kienet responsabbli biex tiġbor u tippubblika numru ta 'kotba, iżda l-iktar kisba importanti tagħha kienet il-kumpilazzjoni tagħha ta' kompendju istituzzjonali vast bl-isem ta 'Jingshi Dadia"&amp;"n (Ċiniż: 經世 經世 大典 大典 大典 經世 經世 經世 經世 經世 經世Tugh Temür appoġġa n-neo-konfuċjaniżmu ta 'Zhu Xi u ddedika ruħu wkoll fil-Buddiżmu.")</f>
        <v>Minħabba l-fatt li l-burokrazija kienet iddominata minn El Temür, Tugh Temür huwa magħruf għall-kontribut kulturali tiegħu minflok. Huwa adotta bosta miżuri li jonoraw il-Confucianism u jippromwovu l-valuri kulturali Ċiniżi. L-isforz l-iktar konkret tiegħu biex jippresonizza t-tagħlim Ċiniż kien li jwaqqaf l-Akkademja tal-Padiljun tal-Istilla tal-Letteratura (Ċiniż: 奎章閣學士院), l-ewwel stabbilit fir-rebbiegħa tal-1329 u ddisinjat biex iwettaq "numru ta 'kompiti relatati mat-trasmissjoni ta 'kultura għolja Confucian għall-istabbiliment imperjali Mongoljan ". L-akkademja kienet responsabbli biex tiġbor u tippubblika numru ta 'kotba, iżda l-iktar kisba importanti tagħha kienet il-kumpilazzjoni tagħha ta' kompendju istituzzjonali vast bl-isem ta 'Jingshi Dadian (Ċiniż: 經世 經世 大典 大典 大典 經世 經世 經世 經世 經世 經世Tugh Temür appoġġa n-neo-konfuċjaniżmu ta 'Zhu Xi u ddedika ruħu wkoll fil-Buddiżmu.</v>
      </c>
    </row>
    <row r="14527" ht="15.75" customHeight="1">
      <c r="A14527" s="2" t="s">
        <v>14527</v>
      </c>
      <c r="B14527" s="2" t="str">
        <f>IFERROR(__xludf.DUMMYFUNCTION("GOOGLETRANSLATE(A14527, ""en"", ""mt"")"),"Liema studju ta 'animazzjoni Franċiż kien xtara ABC fl-1993?")</f>
        <v>Liema studju ta 'animazzjoni Franċiż kien xtara ABC fl-1993?</v>
      </c>
    </row>
    <row r="14528" ht="15.75" customHeight="1">
      <c r="A14528" s="2" t="s">
        <v>14528</v>
      </c>
      <c r="B14528" s="2" t="str">
        <f>IFERROR(__xludf.DUMMYFUNCTION("GOOGLETRANSLATE(A14528, ""en"", ""mt"")"),"Drittijiet tat-tagħlim")</f>
        <v>Drittijiet tat-tagħlim</v>
      </c>
    </row>
    <row r="14529" ht="15.75" customHeight="1">
      <c r="A14529" s="2" t="s">
        <v>14529</v>
      </c>
      <c r="B14529" s="2" t="str">
        <f>IFERROR(__xludf.DUMMYFUNCTION("GOOGLETRANSLATE(A14529, ""en"", ""mt"")"),"Ġunju 1521")</f>
        <v>Ġunju 1521</v>
      </c>
    </row>
    <row r="14530" ht="15.75" customHeight="1">
      <c r="A14530" s="2" t="s">
        <v>14530</v>
      </c>
      <c r="B14530" s="2" t="str">
        <f>IFERROR(__xludf.DUMMYFUNCTION("GOOGLETRANSLATE(A14530, ""en"", ""mt"")"),"Tesla kif kienet taf li kien qed jintlaqat mill-partikula?")</f>
        <v>Tesla kif kienet taf li kien qed jintlaqat mill-partikula?</v>
      </c>
    </row>
    <row r="14531" ht="15.75" customHeight="1">
      <c r="A14531" s="2" t="s">
        <v>14531</v>
      </c>
      <c r="B14531" s="2" t="str">
        <f>IFERROR(__xludf.DUMMYFUNCTION("GOOGLETRANSLATE(A14531, ""en"", ""mt"")"),"Il-varjanti tal-forom tal-isem tar-Rhine fil-lingwi moderni huma kollha derivati ​​mill-isem Gaulish Rēnos, li ġie adattat fil-ġeografija tal-era Rumana (l-1 seklu QK) bħala ῥῆνος Grieg (rhēnos), Latin Rhenus. [Nota 3] l-ortografija Bir-Rh- fir-Renu Ingli"&amp;"ż kif ukoll fir-Rhein Ġermaniż u r-Rhin Franċiż huwa dovut għall-influwenza tal-ortografija Griega, filwaqt li l-vokalizzazzjoni -i- hija dovuta għall-adozzjoni proto-Ġermanika tal-isem Gaulish bħala * rīnaz, permezz ta 'Frankish qodma Old English Rín, Ol"&amp;"d High German Rīn, Olandiż Rijn (li qabel kien ukoll spelt Rhijn)). Id-diftong fir-Rhein modern Ġermaniż (adottat ukoll fir-Romansh Rein, Rain) huwa żvilupp tal-Ġermanja ċentrali tal-perjodu modern bikri, l-isem Alemannic Rī (n) li jżomm il-vokaliżmu anzj"&amp;"an, [nota 4] bħalma jagħmel ir-ripuarian, filwaqt li Palatine għandha Rhei diphtongized, Rhoi. L-Ispanjol huwa bil-Franċiż fl-adozzjoni tal-vokaliżmu Ġermaniku Rin-, filwaqt li Taljan, Occitan u Portugiż iżomm ir-Ren- Latin.")</f>
        <v>Il-varjanti tal-forom tal-isem tar-Rhine fil-lingwi moderni huma kollha derivati ​​mill-isem Gaulish Rēnos, li ġie adattat fil-ġeografija tal-era Rumana (l-1 seklu QK) bħala ῥῆνος Grieg (rhēnos), Latin Rhenus. [Nota 3] l-ortografija Bir-Rh- fir-Renu Ingliż kif ukoll fir-Rhein Ġermaniż u r-Rhin Franċiż huwa dovut għall-influwenza tal-ortografija Griega, filwaqt li l-vokalizzazzjoni -i- hija dovuta għall-adozzjoni proto-Ġermanika tal-isem Gaulish bħala * rīnaz, permezz ta 'Frankish qodma Old English Rín, Old High German Rīn, Olandiż Rijn (li qabel kien ukoll spelt Rhijn)). Id-diftong fir-Rhein modern Ġermaniż (adottat ukoll fir-Romansh Rein, Rain) huwa żvilupp tal-Ġermanja ċentrali tal-perjodu modern bikri, l-isem Alemannic Rī (n) li jżomm il-vokaliżmu anzjan, [nota 4] bħalma jagħmel ir-ripuarian, filwaqt li Palatine għandha Rhei diphtongized, Rhoi. L-Ispanjol huwa bil-Franċiż fl-adozzjoni tal-vokaliżmu Ġermaniku Rin-, filwaqt li Taljan, Occitan u Portugiż iżomm ir-Ren- Latin.</v>
      </c>
    </row>
    <row r="14532" ht="15.75" customHeight="1">
      <c r="A14532" s="2" t="s">
        <v>14532</v>
      </c>
      <c r="B14532" s="2" t="str">
        <f>IFERROR(__xludf.DUMMYFUNCTION("GOOGLETRANSLATE(A14532, ""en"", ""mt"")"),"Jim Gray")</f>
        <v>Jim Gray</v>
      </c>
    </row>
    <row r="14533" ht="15.75" customHeight="1">
      <c r="A14533" s="2" t="s">
        <v>14533</v>
      </c>
      <c r="B14533" s="2" t="str">
        <f>IFERROR(__xludf.DUMMYFUNCTION("GOOGLETRANSLATE(A14533, ""en"", ""mt"")"),"Salarji tal-Għalliema")</f>
        <v>Salarji tal-Għalliema</v>
      </c>
    </row>
    <row r="14534" ht="15.75" customHeight="1">
      <c r="A14534" s="2" t="s">
        <v>14534</v>
      </c>
      <c r="B14534" s="2" t="str">
        <f>IFERROR(__xludf.DUMMYFUNCTION("GOOGLETRANSLATE(A14534, ""en"", ""mt"")"),"Kemm-il sena għandu ragħaj lokali jattendi kors ta 'studju fis-Seminarju Approvat Metodist?")</f>
        <v>Kemm-il sena għandu ragħaj lokali jattendi kors ta 'studju fis-Seminarju Approvat Metodist?</v>
      </c>
    </row>
    <row r="14535" ht="15.75" customHeight="1">
      <c r="A14535" s="2" t="s">
        <v>14535</v>
      </c>
      <c r="B14535" s="2" t="str">
        <f>IFERROR(__xludf.DUMMYFUNCTION("GOOGLETRANSLATE(A14535, ""en"", ""mt"")"),"Min skopra l-effett Compton?")</f>
        <v>Min skopra l-effett Compton?</v>
      </c>
    </row>
    <row r="14536" ht="15.75" customHeight="1">
      <c r="A14536" s="2" t="s">
        <v>14536</v>
      </c>
      <c r="B14536" s="2" t="str">
        <f>IFERROR(__xludf.DUMMYFUNCTION("GOOGLETRANSLATE(A14536, ""en"", ""mt"")"),"X'inhu n-numru rekord ta 'touchdowns li kellu Cam Newton?")</f>
        <v>X'inhu n-numru rekord ta 'touchdowns li kellu Cam Newton?</v>
      </c>
    </row>
    <row r="14537" ht="15.75" customHeight="1">
      <c r="A14537" s="2" t="s">
        <v>14537</v>
      </c>
      <c r="B14537" s="2" t="str">
        <f>IFERROR(__xludf.DUMMYFUNCTION("GOOGLETRANSLATE(A14537, ""en"", ""mt"")"),"Meta dehret l-ewwel Bibbja tal-Lingwa Franċiża?")</f>
        <v>Meta dehret l-ewwel Bibbja tal-Lingwa Franċiża?</v>
      </c>
    </row>
    <row r="14538" ht="15.75" customHeight="1">
      <c r="A14538" s="2" t="s">
        <v>14538</v>
      </c>
      <c r="B14538" s="2" t="str">
        <f>IFERROR(__xludf.DUMMYFUNCTION("GOOGLETRANSLATE(A14538, ""en"", ""mt"")"),"CBS")</f>
        <v>CBS</v>
      </c>
    </row>
    <row r="14539" ht="15.75" customHeight="1">
      <c r="A14539" s="2" t="s">
        <v>14539</v>
      </c>
      <c r="B14539" s="2" t="str">
        <f>IFERROR(__xludf.DUMMYFUNCTION("GOOGLETRANSLATE(A14539, ""en"", ""mt"")"),"Kemm it-tieni blokk, AS-202, ivvjaġġa 'l isfel f'km?")</f>
        <v>Kemm it-tieni blokk, AS-202, ivvjaġġa 'l isfel f'km?</v>
      </c>
    </row>
    <row r="14540" ht="15.75" customHeight="1">
      <c r="A14540" s="2" t="s">
        <v>14540</v>
      </c>
      <c r="B14540" s="2" t="str">
        <f>IFERROR(__xludf.DUMMYFUNCTION("GOOGLETRANSLATE(A14540, ""en"", ""mt"")"),"Liema funzjoni hija relatata man-numri ewlenin?")</f>
        <v>Liema funzjoni hija relatata man-numri ewlenin?</v>
      </c>
    </row>
    <row r="14541" ht="15.75" customHeight="1">
      <c r="A14541" s="2" t="s">
        <v>14541</v>
      </c>
      <c r="B14541" s="2" t="str">
        <f>IFERROR(__xludf.DUMMYFUNCTION("GOOGLETRANSLATE(A14541, ""en"", ""mt"")"),"il-Welsh")</f>
        <v>il-Welsh</v>
      </c>
    </row>
    <row r="14542" ht="15.75" customHeight="1">
      <c r="A14542" s="2" t="s">
        <v>14542</v>
      </c>
      <c r="B14542" s="2" t="str">
        <f>IFERROR(__xludf.DUMMYFUNCTION("GOOGLETRANSLATE(A14542, ""en"", ""mt"")"),"Ormon sterojdi calcitriol")</f>
        <v>Ormon sterojdi calcitriol</v>
      </c>
    </row>
    <row r="14543" ht="15.75" customHeight="1">
      <c r="A14543" s="2" t="s">
        <v>14543</v>
      </c>
      <c r="B14543" s="2" t="str">
        <f>IFERROR(__xludf.DUMMYFUNCTION("GOOGLETRANSLATE(A14543, ""en"", ""mt"")"),"Inġinerija Ċivili jew Tqila Tqila")</f>
        <v>Inġinerija Ċivili jew Tqila Tqila</v>
      </c>
    </row>
    <row r="14544" ht="15.75" customHeight="1">
      <c r="A14544" s="2" t="s">
        <v>14544</v>
      </c>
      <c r="B14544" s="2" t="str">
        <f>IFERROR(__xludf.DUMMYFUNCTION("GOOGLETRANSLATE(A14544, ""en"", ""mt"")"),"Duncan")</f>
        <v>Duncan</v>
      </c>
    </row>
    <row r="14545" ht="15.75" customHeight="1">
      <c r="A14545" s="2" t="s">
        <v>14545</v>
      </c>
      <c r="B14545" s="2" t="str">
        <f>IFERROR(__xludf.DUMMYFUNCTION("GOOGLETRANSLATE(A14545, ""en"", ""mt"")"),"Kif jgħumu ċ-ċestidi?")</f>
        <v>Kif jgħumu ċ-ċestidi?</v>
      </c>
    </row>
    <row r="14546" ht="15.75" customHeight="1">
      <c r="A14546" s="2" t="s">
        <v>14546</v>
      </c>
      <c r="B14546" s="2" t="str">
        <f>IFERROR(__xludf.DUMMYFUNCTION("GOOGLETRANSLATE(A14546, ""en"", ""mt"")"),"Liema flussi bejn il-bingen u l-bonn?")</f>
        <v>Liema flussi bejn il-bingen u l-bonn?</v>
      </c>
    </row>
    <row r="14547" ht="15.75" customHeight="1">
      <c r="A14547" s="2" t="s">
        <v>14547</v>
      </c>
      <c r="B14547" s="2" t="str">
        <f>IFERROR(__xludf.DUMMYFUNCTION("GOOGLETRANSLATE(A14547, ""en"", ""mt"")"),"Ġimgħa 7")</f>
        <v>Ġimgħa 7</v>
      </c>
    </row>
    <row r="14548" ht="15.75" customHeight="1">
      <c r="A14548" s="2" t="s">
        <v>14548</v>
      </c>
      <c r="B14548" s="2" t="str">
        <f>IFERROR(__xludf.DUMMYFUNCTION("GOOGLETRANSLATE(A14548, ""en"", ""mt"")"),"Kemm-il darba iktar in-nazzjonijiet l-oħra kellhom iħallsu għaż-żejt wara l-attakk ta 'sorpriża?")</f>
        <v>Kemm-il darba iktar in-nazzjonijiet l-oħra kellhom iħallsu għaż-żejt wara l-attakk ta 'sorpriża?</v>
      </c>
    </row>
    <row r="14549" ht="15.75" customHeight="1">
      <c r="A14549" s="2" t="s">
        <v>14549</v>
      </c>
      <c r="B14549" s="2" t="str">
        <f>IFERROR(__xludf.DUMMYFUNCTION("GOOGLETRANSLATE(A14549, ""en"", ""mt"")"),"tistabbilixxi, tgħammar, tmexxi u żżomm libreriji nazzjonali u pubbliċi")</f>
        <v>tistabbilixxi, tgħammar, tmexxi u żżomm libreriji nazzjonali u pubbliċi</v>
      </c>
    </row>
    <row r="14550" ht="15.75" customHeight="1">
      <c r="A14550" s="2" t="s">
        <v>14550</v>
      </c>
      <c r="B14550" s="2" t="str">
        <f>IFERROR(__xludf.DUMMYFUNCTION("GOOGLETRANSLATE(A14550, ""en"", ""mt"")"),"Il-Melbourne Cricket Ground")</f>
        <v>Il-Melbourne Cricket Ground</v>
      </c>
    </row>
    <row r="14551" ht="15.75" customHeight="1">
      <c r="A14551" s="2" t="s">
        <v>14551</v>
      </c>
      <c r="B14551" s="2" t="str">
        <f>IFERROR(__xludf.DUMMYFUNCTION("GOOGLETRANSLATE(A14551, ""en"", ""mt"")"),"slug")</f>
        <v>slug</v>
      </c>
    </row>
    <row r="14552" ht="15.75" customHeight="1">
      <c r="A14552" s="2" t="s">
        <v>14552</v>
      </c>
      <c r="B14552" s="2" t="str">
        <f>IFERROR(__xludf.DUMMYFUNCTION("GOOGLETRANSLATE(A14552, ""en"", ""mt"")"),"Meta għaddew l-aħħar proposti leġiżlattivi għal assemblea Skoċċiża?")</f>
        <v>Meta għaddew l-aħħar proposti leġiżlattivi għal assemblea Skoċċiża?</v>
      </c>
    </row>
    <row r="14553" ht="15.75" customHeight="1">
      <c r="A14553" s="2" t="s">
        <v>14553</v>
      </c>
      <c r="B14553" s="2" t="str">
        <f>IFERROR(__xludf.DUMMYFUNCTION("GOOGLETRANSLATE(A14553, ""en"", ""mt"")"),"Sess")</f>
        <v>Sess</v>
      </c>
    </row>
    <row r="14554" ht="15.75" customHeight="1">
      <c r="A14554" s="2" t="s">
        <v>14554</v>
      </c>
      <c r="B14554" s="2" t="str">
        <f>IFERROR(__xludf.DUMMYFUNCTION("GOOGLETRANSLATE(A14554, ""en"", ""mt"")"),"silikati kumplessi")</f>
        <v>silikati kumplessi</v>
      </c>
    </row>
    <row r="14555" ht="15.75" customHeight="1">
      <c r="A14555" s="2" t="s">
        <v>14555</v>
      </c>
      <c r="B14555" s="2" t="str">
        <f>IFERROR(__xludf.DUMMYFUNCTION("GOOGLETRANSLATE(A14555, ""en"", ""mt"")"),"Liema pajjiż kien taħt il-kontroll tal-baruni Norman?")</f>
        <v>Liema pajjiż kien taħt il-kontroll tal-baruni Norman?</v>
      </c>
    </row>
    <row r="14556" ht="15.75" customHeight="1">
      <c r="A14556" s="2" t="s">
        <v>14556</v>
      </c>
      <c r="B14556" s="2" t="str">
        <f>IFERROR(__xludf.DUMMYFUNCTION("GOOGLETRANSLATE(A14556, ""en"", ""mt"")"),"Il-baħar preżenti tal-Mediterran jinżel minn liema baħar?")</f>
        <v>Il-baħar preżenti tal-Mediterran jinżel minn liema baħar?</v>
      </c>
    </row>
    <row r="14557" ht="15.75" customHeight="1">
      <c r="A14557" s="2" t="s">
        <v>14557</v>
      </c>
      <c r="B14557" s="2" t="str">
        <f>IFERROR(__xludf.DUMMYFUNCTION("GOOGLETRANSLATE(A14557, ""en"", ""mt"")"),"Konfigurazzjoni tipika hija li tmexxi IP fuq ATM jew verżjoni ta 'MPLS")</f>
        <v>Konfigurazzjoni tipika hija li tmexxi IP fuq ATM jew verżjoni ta 'MPLS</v>
      </c>
    </row>
    <row r="14558" ht="15.75" customHeight="1">
      <c r="A14558" s="2" t="s">
        <v>14558</v>
      </c>
      <c r="B14558" s="2" t="str">
        <f>IFERROR(__xludf.DUMMYFUNCTION("GOOGLETRANSLATE(A14558, ""en"", ""mt"")"),"Iktar kmieni huma ċedew lill-Mongoli")</f>
        <v>Iktar kmieni huma ċedew lill-Mongoli</v>
      </c>
    </row>
    <row r="14559" ht="15.75" customHeight="1">
      <c r="A14559" s="2" t="s">
        <v>14559</v>
      </c>
      <c r="B14559" s="2" t="str">
        <f>IFERROR(__xludf.DUMMYFUNCTION("GOOGLETRANSLATE(A14559, ""en"", ""mt"")"),"xahrejn")</f>
        <v>xahrejn</v>
      </c>
    </row>
    <row r="14560" ht="15.75" customHeight="1">
      <c r="A14560" s="2" t="s">
        <v>14560</v>
      </c>
      <c r="B14560" s="2" t="str">
        <f>IFERROR(__xludf.DUMMYFUNCTION("GOOGLETRANSLATE(A14560, ""en"", ""mt"")"),"in-nuqqas ta ’statistika affidabbli")</f>
        <v>in-nuqqas ta ’statistika affidabbli</v>
      </c>
    </row>
    <row r="14561" ht="15.75" customHeight="1">
      <c r="A14561" s="2" t="s">
        <v>14561</v>
      </c>
      <c r="B14561" s="2" t="str">
        <f>IFERROR(__xludf.DUMMYFUNCTION("GOOGLETRANSLATE(A14561, ""en"", ""mt"")"),"pH jew ħadid disponibbli")</f>
        <v>pH jew ħadid disponibbli</v>
      </c>
    </row>
    <row r="14562" ht="15.75" customHeight="1">
      <c r="A14562" s="2" t="s">
        <v>14562</v>
      </c>
      <c r="B14562" s="2" t="str">
        <f>IFERROR(__xludf.DUMMYFUNCTION("GOOGLETRANSLATE(A14562, ""en"", ""mt"")"),"Stadju 3")</f>
        <v>Stadju 3</v>
      </c>
    </row>
    <row r="14563" ht="15.75" customHeight="1">
      <c r="A14563" s="2" t="s">
        <v>14563</v>
      </c>
      <c r="B14563" s="2" t="str">
        <f>IFERROR(__xludf.DUMMYFUNCTION("GOOGLETRANSLATE(A14563, ""en"", ""mt"")"),"tropikali")</f>
        <v>tropikali</v>
      </c>
    </row>
    <row r="14564" ht="15.75" customHeight="1">
      <c r="A14564" s="2" t="s">
        <v>14564</v>
      </c>
      <c r="B14564" s="2" t="str">
        <f>IFERROR(__xludf.DUMMYFUNCTION("GOOGLETRANSLATE(A14564, ""en"", ""mt"")"),"Għaliex wieħed irid jagħti diskors?")</f>
        <v>Għaliex wieħed irid jagħti diskors?</v>
      </c>
    </row>
    <row r="14565" ht="15.75" customHeight="1">
      <c r="A14565" s="2" t="s">
        <v>14565</v>
      </c>
      <c r="B14565" s="2" t="str">
        <f>IFERROR(__xludf.DUMMYFUNCTION("GOOGLETRANSLATE(A14565, ""en"", ""mt"")"),"35")</f>
        <v>35</v>
      </c>
    </row>
    <row r="14566" ht="15.75" customHeight="1">
      <c r="A14566" s="2" t="s">
        <v>14566</v>
      </c>
      <c r="B14566" s="2" t="str">
        <f>IFERROR(__xludf.DUMMYFUNCTION("GOOGLETRANSLATE(A14566, ""en"", ""mt"")"),"Seba 'Konferenzi Ċentrali: l-Afrika, il-Kongo, l-Afrika tal-Punent, l-Ewropa Ċentrali u tan-Nofsinhar, il-Ġermanja, l-Ewropa tat-Tramuntana u l-Filippini.")</f>
        <v>Seba 'Konferenzi Ċentrali: l-Afrika, il-Kongo, l-Afrika tal-Punent, l-Ewropa Ċentrali u tan-Nofsinhar, il-Ġermanja, l-Ewropa tat-Tramuntana u l-Filippini.</v>
      </c>
    </row>
    <row r="14567" ht="15.75" customHeight="1">
      <c r="A14567" s="2" t="s">
        <v>14567</v>
      </c>
      <c r="B14567" s="2" t="str">
        <f>IFERROR(__xludf.DUMMYFUNCTION("GOOGLETRANSLATE(A14567, ""en"", ""mt"")"),"Ibn Sina")</f>
        <v>Ibn Sina</v>
      </c>
    </row>
    <row r="14568" ht="15.75" customHeight="1">
      <c r="A14568" s="2" t="s">
        <v>14568</v>
      </c>
      <c r="B14568" s="2" t="str">
        <f>IFERROR(__xludf.DUMMYFUNCTION("GOOGLETRANSLATE(A14568, ""en"", ""mt"")"),"X'inhu eżempju ta 'barriera mekkanika fuq il-weraq?")</f>
        <v>X'inhu eżempju ta 'barriera mekkanika fuq il-weraq?</v>
      </c>
    </row>
    <row r="14569" ht="15.75" customHeight="1">
      <c r="A14569" s="2" t="s">
        <v>14569</v>
      </c>
      <c r="B14569" s="2" t="str">
        <f>IFERROR(__xludf.DUMMYFUNCTION("GOOGLETRANSLATE(A14569, ""en"", ""mt"")"),"Edukattiv")</f>
        <v>Edukattiv</v>
      </c>
    </row>
    <row r="14570" ht="15.75" customHeight="1">
      <c r="A14570" s="2" t="s">
        <v>14570</v>
      </c>
      <c r="B14570" s="2" t="str">
        <f>IFERROR(__xludf.DUMMYFUNCTION("GOOGLETRANSLATE(A14570, ""en"", ""mt"")"),"12.5 acres")</f>
        <v>12.5 acres</v>
      </c>
    </row>
    <row r="14571" ht="15.75" customHeight="1">
      <c r="A14571" s="2" t="s">
        <v>14571</v>
      </c>
      <c r="B14571" s="2" t="str">
        <f>IFERROR(__xludf.DUMMYFUNCTION("GOOGLETRANSLATE(A14571, ""en"", ""mt"")"),"Dornbirner Ach")</f>
        <v>Dornbirner Ach</v>
      </c>
    </row>
    <row r="14572" ht="15.75" customHeight="1">
      <c r="A14572" s="2" t="s">
        <v>14572</v>
      </c>
      <c r="B14572" s="2" t="str">
        <f>IFERROR(__xludf.DUMMYFUNCTION("GOOGLETRANSLATE(A14572, ""en"", ""mt"")"),"Tetzel kif iddikjara li r-ruħ tista 'tħalli l-purgatorju?")</f>
        <v>Tetzel kif iddikjara li r-ruħ tista 'tħalli l-purgatorju?</v>
      </c>
    </row>
    <row r="14573" ht="15.75" customHeight="1">
      <c r="A14573" s="2" t="s">
        <v>14573</v>
      </c>
      <c r="B14573" s="2" t="str">
        <f>IFERROR(__xludf.DUMMYFUNCTION("GOOGLETRANSLATE(A14573, ""en"", ""mt"")"),"Southern_California")</f>
        <v>Southern_California</v>
      </c>
    </row>
    <row r="14574" ht="15.75" customHeight="1">
      <c r="A14574" s="2" t="s">
        <v>14574</v>
      </c>
      <c r="B14574" s="2" t="str">
        <f>IFERROR(__xludf.DUMMYFUNCTION("GOOGLETRANSLATE(A14574, ""en"", ""mt"")"),"Minn dakinhar, u s’issa, ir-Relatività Ġenerali ġiet rikonoxxuta bħala t-teorija li tispjega l-aħjar il-gravità. Fil-GR, il-gravitazzjoni mhix meqjusa bħala forza, iżda pjuttost, oġġetti li jiċċaqilqu liberament fl-għelieqi gravitazzjonali jivvjaġġaw taħt"&amp;" l-inerzja tagħhom stess f'linji dritti permezz ta 'spazju mgħawweġ - definit bħala l-iqsar triq spazjali-ħin bejn żewġ avvenimenti spazjali-ħin. Mill-perspettiva tal-oġġett, il-moviment kollu jseħħ daqs li kieku ma kien hemm l-ebda gravitazzjoni. Huwa bi"&amp;"ss meta tosserva l-moviment f'sens globali li l-kurvatura ta 'l-ispazju-ħin tista' tiġi osservata u l-forza tiġi dedotta mill-passaġġ mgħawweġ tal-oġġett. Għalhekk, it-triq tal-linja dritta fl-ispazju-ħin hija meqjusa bħala linja mgħawġa fl-ispazju, u tis"&amp;"sejjaħ it-trajettorja ballistika tal-oġġett. Pereżempju, basketball mitfugħ mill-art jiċċaqlaq f'parabola, kif inhu f'qasam gravitazzjonali uniformi. It-trajettorja spazjali-ħin tagħha (meta tiġi miżjuda d-dimensjoni CT żejda) hija kważi linja dritta, kem"&amp;"mxejn mgħawġa (bir-raġġ tal-kurvatura ta 'l-ordni ta' ftit snin ta 'dawl). Id-derivattiv tal-ħin tal-momentum li jinbidel tal-oġġett huwa dak li aħna tikketta bħala ""forza gravitazzjonali"".")</f>
        <v>Minn dakinhar, u s’issa, ir-Relatività Ġenerali ġiet rikonoxxuta bħala t-teorija li tispjega l-aħjar il-gravità. Fil-GR, il-gravitazzjoni mhix meqjusa bħala forza, iżda pjuttost, oġġetti li jiċċaqilqu liberament fl-għelieqi gravitazzjonali jivvjaġġaw taħt l-inerzja tagħhom stess f'linji dritti permezz ta 'spazju mgħawweġ - definit bħala l-iqsar triq spazjali-ħin bejn żewġ avvenimenti spazjali-ħin. Mill-perspettiva tal-oġġett, il-moviment kollu jseħħ daqs li kieku ma kien hemm l-ebda gravitazzjoni. Huwa biss meta tosserva l-moviment f'sens globali li l-kurvatura ta 'l-ispazju-ħin tista' tiġi osservata u l-forza tiġi dedotta mill-passaġġ mgħawweġ tal-oġġett. Għalhekk, it-triq tal-linja dritta fl-ispazju-ħin hija meqjusa bħala linja mgħawġa fl-ispazju, u tissejjaħ it-trajettorja ballistika tal-oġġett. Pereżempju, basketball mitfugħ mill-art jiċċaqlaq f'parabola, kif inhu f'qasam gravitazzjonali uniformi. It-trajettorja spazjali-ħin tagħha (meta tiġi miżjuda d-dimensjoni CT żejda) hija kważi linja dritta, kemmxejn mgħawġa (bir-raġġ tal-kurvatura ta 'l-ordni ta' ftit snin ta 'dawl). Id-derivattiv tal-ħin tal-momentum li jinbidel tal-oġġett huwa dak li aħna tikketta bħala "forza gravitazzjonali".</v>
      </c>
    </row>
    <row r="14575" ht="15.75" customHeight="1">
      <c r="A14575" s="2" t="s">
        <v>14575</v>
      </c>
      <c r="B14575" s="2" t="str">
        <f>IFERROR(__xludf.DUMMYFUNCTION("GOOGLETRANSLATE(A14575, ""en"", ""mt"")"),"X'tip ta 'awtorità huma l-ispiżjara tal-kura ambulatorja mogħtija fis-sistema federali tal-kura tas-saħħa ta' l-Istati Uniti?")</f>
        <v>X'tip ta 'awtorità huma l-ispiżjara tal-kura ambulatorja mogħtija fis-sistema federali tal-kura tas-saħħa ta' l-Istati Uniti?</v>
      </c>
    </row>
    <row r="14576" ht="15.75" customHeight="1">
      <c r="A14576" s="2" t="s">
        <v>14576</v>
      </c>
      <c r="B14576" s="2" t="str">
        <f>IFERROR(__xludf.DUMMYFUNCTION("GOOGLETRANSLATE(A14576, ""en"", ""mt"")"),"il-qalb")</f>
        <v>il-qalb</v>
      </c>
    </row>
    <row r="14577" ht="15.75" customHeight="1">
      <c r="A14577" s="2" t="s">
        <v>14577</v>
      </c>
      <c r="B14577" s="2" t="str">
        <f>IFERROR(__xludf.DUMMYFUNCTION("GOOGLETRANSLATE(A14577, ""en"", ""mt"")"),"Kemm mill-MVPs tas-Super Bowl preċedenti dehru flimkien waqt l-ispettaklu tal-pregame?")</f>
        <v>Kemm mill-MVPs tas-Super Bowl preċedenti dehru flimkien waqt l-ispettaklu tal-pregame?</v>
      </c>
    </row>
    <row r="14578" ht="15.75" customHeight="1">
      <c r="A14578" s="2" t="s">
        <v>14578</v>
      </c>
      <c r="B14578" s="2" t="str">
        <f>IFERROR(__xludf.DUMMYFUNCTION("GOOGLETRANSLATE(A14578, ""en"", ""mt"")"),"Min taped video intros għal Doctor Who juri fil-Kanada, dik kienet tinkludi mistoqsija trivia?")</f>
        <v>Min taped video intros għal Doctor Who juri fil-Kanada, dik kienet tinkludi mistoqsija trivia?</v>
      </c>
    </row>
    <row r="14579" ht="15.75" customHeight="1">
      <c r="A14579" s="2" t="s">
        <v>14579</v>
      </c>
      <c r="B14579" s="2" t="str">
        <f>IFERROR(__xludf.DUMMYFUNCTION("GOOGLETRANSLATE(A14579, ""en"", ""mt"")"),"Spazju ta 'ħażna ġdid għall-kotba fil-librerija tal-arti")</f>
        <v>Spazju ta 'ħażna ġdid għall-kotba fil-librerija tal-arti</v>
      </c>
    </row>
    <row r="14580" ht="15.75" customHeight="1">
      <c r="A14580" s="2" t="s">
        <v>14580</v>
      </c>
      <c r="B14580" s="2" t="str">
        <f>IFERROR(__xludf.DUMMYFUNCTION("GOOGLETRANSLATE(A14580, ""en"", ""mt"")"),"Liema netwerk ġie mniedi minn ABC fl-2004?")</f>
        <v>Liema netwerk ġie mniedi minn ABC fl-2004?</v>
      </c>
    </row>
    <row r="14581" ht="15.75" customHeight="1">
      <c r="A14581" s="2" t="s">
        <v>14581</v>
      </c>
      <c r="B14581" s="2" t="str">
        <f>IFERROR(__xludf.DUMMYFUNCTION("GOOGLETRANSLATE(A14581, ""en"", ""mt"")"),"Seklu Dsatax")</f>
        <v>Seklu Dsatax</v>
      </c>
    </row>
    <row r="14582" ht="15.75" customHeight="1">
      <c r="A14582" s="2" t="s">
        <v>14582</v>
      </c>
      <c r="B14582" s="2" t="str">
        <f>IFERROR(__xludf.DUMMYFUNCTION("GOOGLETRANSLATE(A14582, ""en"", ""mt"")"),"L-iskoperta mill-ġdid ta 'Luther ta' ""Kristu u s-Salvazzjoni Tiegħu"" kienet l-ewwel waħda minn żewġ punti li saret il-pedament għar-Riforma. Il-puġġaman tiegħu kontra l-bejgħ ta 'indulġenzi kien ibbażat fuqha.")</f>
        <v>L-iskoperta mill-ġdid ta 'Luther ta' "Kristu u s-Salvazzjoni Tiegħu" kienet l-ewwel waħda minn żewġ punti li saret il-pedament għar-Riforma. Il-puġġaman tiegħu kontra l-bejgħ ta 'indulġenzi kien ibbażat fuqha.</v>
      </c>
    </row>
    <row r="14583" ht="15.75" customHeight="1">
      <c r="A14583" s="2" t="s">
        <v>14583</v>
      </c>
      <c r="B14583" s="2" t="str">
        <f>IFERROR(__xludf.DUMMYFUNCTION("GOOGLETRANSLATE(A14583, ""en"", ""mt"")"),"Madankollu, din il-qalba ta 'spiss ikkwotata ta' Tetzel ma kienet bl-ebda mod rappreżentattiva tat-tagħlim Kattoliku kontemporanju fuq indulġenzi, iżda pjuttost riflessjoni tal-kapaċità tiegħu li jesaġera. Madankollu jekk Tetzel qabeż il-kwistjoni fir-rig"&amp;"ward tal-indulġenzi għall-mejtin, it-tagħlim tiegħu fuq indulġenzi għall-għajxien kien konformi mad-dogma Kattolika ta 'dak iż-żmien.")</f>
        <v>Madankollu, din il-qalba ta 'spiss ikkwotata ta' Tetzel ma kienet bl-ebda mod rappreżentattiva tat-tagħlim Kattoliku kontemporanju fuq indulġenzi, iżda pjuttost riflessjoni tal-kapaċità tiegħu li jesaġera. Madankollu jekk Tetzel qabeż il-kwistjoni fir-rigward tal-indulġenzi għall-mejtin, it-tagħlim tiegħu fuq indulġenzi għall-għajxien kien konformi mad-dogma Kattolika ta 'dak iż-żmien.</v>
      </c>
    </row>
    <row r="14584" ht="15.75" customHeight="1">
      <c r="A14584" s="2" t="s">
        <v>14584</v>
      </c>
      <c r="B14584" s="2" t="str">
        <f>IFERROR(__xludf.DUMMYFUNCTION("GOOGLETRANSLATE(A14584, ""en"", ""mt"")"),"B'liema veloċità topera t-turbina?")</f>
        <v>B'liema veloċità topera t-turbina?</v>
      </c>
    </row>
    <row r="14585" ht="15.75" customHeight="1">
      <c r="A14585" s="2" t="s">
        <v>14585</v>
      </c>
      <c r="B14585" s="2" t="str">
        <f>IFERROR(__xludf.DUMMYFUNCTION("GOOGLETRANSLATE(A14585, ""en"", ""mt"")"),"15,100 kg")</f>
        <v>15,100 kg</v>
      </c>
    </row>
    <row r="14586" ht="15.75" customHeight="1">
      <c r="A14586" s="2" t="s">
        <v>14586</v>
      </c>
      <c r="B14586" s="2" t="str">
        <f>IFERROR(__xludf.DUMMYFUNCTION("GOOGLETRANSLATE(A14586, ""en"", ""mt"")"),"Il-kunċett distribwit blokka ta 'messaġġi adattivi")</f>
        <v>Il-kunċett distribwit blokka ta 'messaġġi adattivi</v>
      </c>
    </row>
    <row r="14587" ht="15.75" customHeight="1">
      <c r="A14587" s="2" t="s">
        <v>14587</v>
      </c>
      <c r="B14587" s="2" t="str">
        <f>IFERROR(__xludf.DUMMYFUNCTION("GOOGLETRANSLATE(A14587, ""en"", ""mt"")"),"Liema komposti fl-istonku jipproteġu kontra patoġeni inġeriti?")</f>
        <v>Liema komposti fl-istonku jipproteġu kontra patoġeni inġeriti?</v>
      </c>
    </row>
    <row r="14588" ht="15.75" customHeight="1">
      <c r="A14588" s="2" t="s">
        <v>14588</v>
      </c>
      <c r="B14588" s="2" t="str">
        <f>IFERROR(__xludf.DUMMYFUNCTION("GOOGLETRANSLATE(A14588, ""en"", ""mt"")"),"Triplet-stacked")</f>
        <v>Triplet-stacked</v>
      </c>
    </row>
    <row r="14589" ht="15.75" customHeight="1">
      <c r="A14589" s="2" t="s">
        <v>14589</v>
      </c>
      <c r="B14589" s="2" t="str">
        <f>IFERROR(__xludf.DUMMYFUNCTION("GOOGLETRANSLATE(A14589, ""en"", ""mt"")"),"45,000 lira")</f>
        <v>45,000 lira</v>
      </c>
    </row>
    <row r="14590" ht="15.75" customHeight="1">
      <c r="A14590" s="2" t="s">
        <v>14590</v>
      </c>
      <c r="B14590" s="2" t="str">
        <f>IFERROR(__xludf.DUMMYFUNCTION("GOOGLETRANSLATE(A14590, ""en"", ""mt"")"),"agħar")</f>
        <v>agħar</v>
      </c>
    </row>
    <row r="14591" ht="15.75" customHeight="1">
      <c r="A14591" s="2" t="s">
        <v>14591</v>
      </c>
      <c r="B14591" s="2" t="str">
        <f>IFERROR(__xludf.DUMMYFUNCTION("GOOGLETRANSLATE(A14591, ""en"", ""mt"")"),"kompost b'erba 'karbonju")</f>
        <v>kompost b'erba 'karbonju</v>
      </c>
    </row>
    <row r="14592" ht="15.75" customHeight="1">
      <c r="A14592" s="2" t="s">
        <v>14592</v>
      </c>
      <c r="B14592" s="2" t="str">
        <f>IFERROR(__xludf.DUMMYFUNCTION("GOOGLETRANSLATE(A14592, ""en"", ""mt"")"),"mewt")</f>
        <v>mewt</v>
      </c>
    </row>
    <row r="14593" ht="15.75" customHeight="1">
      <c r="A14593" s="2" t="s">
        <v>14593</v>
      </c>
      <c r="B14593" s="2" t="str">
        <f>IFERROR(__xludf.DUMMYFUNCTION("GOOGLETRANSLATE(A14593, ""en"", ""mt"")"),"""Apologie""")</f>
        <v>"Apologie"</v>
      </c>
    </row>
    <row r="14594" ht="15.75" customHeight="1">
      <c r="A14594" s="2" t="s">
        <v>14594</v>
      </c>
      <c r="B14594" s="2" t="str">
        <f>IFERROR(__xludf.DUMMYFUNCTION("GOOGLETRANSLATE(A14594, ""en"", ""mt"")"),"Von Lettow kif mexxa l-grupp tiegħu?")</f>
        <v>Von Lettow kif mexxa l-grupp tiegħu?</v>
      </c>
    </row>
    <row r="14595" ht="15.75" customHeight="1">
      <c r="A14595" s="2" t="s">
        <v>14595</v>
      </c>
      <c r="B14595" s="2" t="str">
        <f>IFERROR(__xludf.DUMMYFUNCTION("GOOGLETRANSLATE(A14595, ""en"", ""mt"")"),"Żamma tal-paċi")</f>
        <v>Żamma tal-paċi</v>
      </c>
    </row>
    <row r="14596" ht="15.75" customHeight="1">
      <c r="A14596" s="2" t="s">
        <v>14596</v>
      </c>
      <c r="B14596" s="2" t="str">
        <f>IFERROR(__xludf.DUMMYFUNCTION("GOOGLETRANSLATE(A14596, ""en"", ""mt"")"),"Min sfrutta l-Gran Brittanja fl-Indja?")</f>
        <v>Min sfrutta l-Gran Brittanja fl-Indja?</v>
      </c>
    </row>
    <row r="14597" ht="15.75" customHeight="1">
      <c r="A14597" s="2" t="s">
        <v>14597</v>
      </c>
      <c r="B14597" s="2" t="str">
        <f>IFERROR(__xludf.DUMMYFUNCTION("GOOGLETRANSLATE(A14597, ""en"", ""mt"")"),"Cengiz Han")</f>
        <v>Cengiz Han</v>
      </c>
    </row>
    <row r="14598" ht="15.75" customHeight="1">
      <c r="A14598" s="2" t="s">
        <v>14598</v>
      </c>
      <c r="B14598" s="2" t="str">
        <f>IFERROR(__xludf.DUMMYFUNCTION("GOOGLETRANSLATE(A14598, ""en"", ""mt"")"),"Profeta Mohammad")</f>
        <v>Profeta Mohammad</v>
      </c>
    </row>
    <row r="14599" ht="15.75" customHeight="1">
      <c r="A14599" s="2" t="s">
        <v>14599</v>
      </c>
      <c r="B14599" s="2" t="str">
        <f>IFERROR(__xludf.DUMMYFUNCTION("GOOGLETRANSLATE(A14599, ""en"", ""mt"")"),"Mainau")</f>
        <v>Mainau</v>
      </c>
    </row>
    <row r="14600" ht="15.75" customHeight="1">
      <c r="A14600" s="2" t="s">
        <v>14600</v>
      </c>
      <c r="B14600" s="2" t="str">
        <f>IFERROR(__xludf.DUMMYFUNCTION("GOOGLETRANSLATE(A14600, ""en"", ""mt"")"),"X'kien l-isem tal-liġijiet ta 'Temüjin?")</f>
        <v>X'kien l-isem tal-liġijiet ta 'Temüjin?</v>
      </c>
    </row>
    <row r="14601" ht="15.75" customHeight="1">
      <c r="A14601" s="2" t="s">
        <v>14601</v>
      </c>
      <c r="B14601" s="2" t="str">
        <f>IFERROR(__xludf.DUMMYFUNCTION("GOOGLETRANSLATE(A14601, ""en"", ""mt"")"),"Meta Tesla ġiet mibgħuta lura għand Gospic?")</f>
        <v>Meta Tesla ġiet mibgħuta lura għand Gospic?</v>
      </c>
    </row>
    <row r="14602" ht="15.75" customHeight="1">
      <c r="A14602" s="2" t="s">
        <v>14602</v>
      </c>
      <c r="B14602" s="2" t="str">
        <f>IFERROR(__xludf.DUMMYFUNCTION("GOOGLETRANSLATE(A14602, ""en"", ""mt"")"),"In-Naimans")</f>
        <v>In-Naimans</v>
      </c>
    </row>
    <row r="14603" ht="15.75" customHeight="1">
      <c r="A14603" s="2" t="s">
        <v>14603</v>
      </c>
      <c r="B14603" s="2" t="str">
        <f>IFERROR(__xludf.DUMMYFUNCTION("GOOGLETRANSLATE(A14603, ""en"", ""mt"")"),"Tkabbir ogħla tal-PGD")</f>
        <v>Tkabbir ogħla tal-PGD</v>
      </c>
    </row>
    <row r="14604" ht="15.75" customHeight="1">
      <c r="A14604" s="2" t="s">
        <v>14604</v>
      </c>
      <c r="B14604" s="2" t="str">
        <f>IFERROR(__xludf.DUMMYFUNCTION("GOOGLETRANSLATE(A14604, ""en"", ""mt"")"),"Fl-Istati Uniti, kull stat jiddetermina r-rekwiżiti biex tinkiseb liċenzja biex tgħallem fl-iskejjel pubbliċi. Iċ-ċertifikazzjoni tat-tagħlim ġeneralment iddum tliet snin, iżda l-għalliema jistgħu jirċievu ċertifikati li jdumu sa għaxar snin. L-għalliema "&amp;"tal-iskejjel pubbliċi huma meħtieġa li jkollhom baċellerat u l-maġġoranza għandhom ikunu ċċertifikati mill-istat li fih jgħallmu. Bosta skejjel charter ma jirrikjedux li l-għalliema tagħhom jiġu ċċertifikati, sakemm jissodisfaw l-istandards biex ikunu kwa"&amp;"lifikati ħafna kif stabbilit minn ebda tifel u tifla li tħallew warajhom. Barra minn hekk, ir-rekwiżiti għal għalliema sostituti / temporanji ġeneralment mhumiex daqshekk rigorużi bħal dawk għal professjonisti full-time. L-Uffiċċju tal-Istatistika tax-Xog"&amp;"ħol jistma li hemm 1.4 miljun għalliem tal-iskola elementari, 674,000 għalliem tal-iskola tan-nofs, u 1 miljun għalliem tal-iskola sekondarja impjegati fl-Istati Uniti.")</f>
        <v>Fl-Istati Uniti, kull stat jiddetermina r-rekwiżiti biex tinkiseb liċenzja biex tgħallem fl-iskejjel pubbliċi. Iċ-ċertifikazzjoni tat-tagħlim ġeneralment iddum tliet snin, iżda l-għalliema jistgħu jirċievu ċertifikati li jdumu sa għaxar snin. L-għalliema tal-iskejjel pubbliċi huma meħtieġa li jkollhom baċellerat u l-maġġoranza għandhom ikunu ċċertifikati mill-istat li fih jgħallmu. Bosta skejjel charter ma jirrikjedux li l-għalliema tagħhom jiġu ċċertifikati, sakemm jissodisfaw l-istandards biex ikunu kwalifikati ħafna kif stabbilit minn ebda tifel u tifla li tħallew warajhom. Barra minn hekk, ir-rekwiżiti għal għalliema sostituti / temporanji ġeneralment mhumiex daqshekk rigorużi bħal dawk għal professjonisti full-time. L-Uffiċċju tal-Istatistika tax-Xogħol jistma li hemm 1.4 miljun għalliem tal-iskola elementari, 674,000 għalliem tal-iskola tan-nofs, u 1 miljun għalliem tal-iskola sekondarja impjegati fl-Istati Uniti.</v>
      </c>
    </row>
    <row r="14605" ht="15.75" customHeight="1">
      <c r="A14605" s="2" t="s">
        <v>14605</v>
      </c>
      <c r="B14605" s="2" t="str">
        <f>IFERROR(__xludf.DUMMYFUNCTION("GOOGLETRANSLATE(A14605, ""en"", ""mt"")"),"Magni ta 'aċċess każwali")</f>
        <v>Magni ta 'aċċess każwali</v>
      </c>
    </row>
    <row r="14606" ht="15.75" customHeight="1">
      <c r="A14606" s="2" t="s">
        <v>14606</v>
      </c>
      <c r="B14606" s="2" t="str">
        <f>IFERROR(__xludf.DUMMYFUNCTION("GOOGLETRANSLATE(A14606, ""en"", ""mt"")"),"Sensers orbitali lunari u kameras")</f>
        <v>Sensers orbitali lunari u kameras</v>
      </c>
    </row>
    <row r="14607" ht="15.75" customHeight="1">
      <c r="A14607" s="2" t="s">
        <v>14607</v>
      </c>
      <c r="B14607" s="2" t="str">
        <f>IFERROR(__xludf.DUMMYFUNCTION("GOOGLETRANSLATE(A14607, ""en"", ""mt"")"),"Trasferiment mgħaġġel ta 'kontenut aċċessat")</f>
        <v>Trasferiment mgħaġġel ta 'kontenut aċċessat</v>
      </c>
    </row>
    <row r="14608" ht="15.75" customHeight="1">
      <c r="A14608" s="2" t="s">
        <v>14608</v>
      </c>
      <c r="B14608" s="2" t="str">
        <f>IFERROR(__xludf.DUMMYFUNCTION("GOOGLETRANSLATE(A14608, ""en"", ""mt"")"),"Il-livelli tal-popolazzjoni jibdew jonqsu għal livell sostenibbli")</f>
        <v>Il-livelli tal-popolazzjoni jibdew jonqsu għal livell sostenibbli</v>
      </c>
    </row>
    <row r="14609" ht="15.75" customHeight="1">
      <c r="A14609" s="2" t="s">
        <v>14609</v>
      </c>
      <c r="B14609" s="2" t="str">
        <f>IFERROR(__xludf.DUMMYFUNCTION("GOOGLETRANSLATE(A14609, ""en"", ""mt"")"),"Kemm wiegħed Silas B. Cobb lill-università?")</f>
        <v>Kemm wiegħed Silas B. Cobb lill-università?</v>
      </c>
    </row>
    <row r="14610" ht="15.75" customHeight="1">
      <c r="A14610" s="2" t="s">
        <v>14610</v>
      </c>
      <c r="B14610" s="2" t="str">
        <f>IFERROR(__xludf.DUMMYFUNCTION("GOOGLETRANSLATE(A14610, ""en"", ""mt"")"),"Alpha Phi Omega")</f>
        <v>Alpha Phi Omega</v>
      </c>
    </row>
    <row r="14611" ht="15.75" customHeight="1">
      <c r="A14611" s="2" t="s">
        <v>14611</v>
      </c>
      <c r="B14611" s="2" t="str">
        <f>IFERROR(__xludf.DUMMYFUNCTION("GOOGLETRANSLATE(A14611, ""en"", ""mt"")"),"L-ossiġnu huwa l-ossidant")</f>
        <v>L-ossiġnu huwa l-ossidant</v>
      </c>
    </row>
    <row r="14612" ht="15.75" customHeight="1">
      <c r="A14612" s="2" t="s">
        <v>14612</v>
      </c>
      <c r="B14612" s="2" t="str">
        <f>IFERROR(__xludf.DUMMYFUNCTION("GOOGLETRANSLATE(A14612, ""en"", ""mt"")"),"riflessiva")</f>
        <v>riflessiva</v>
      </c>
    </row>
    <row r="14613" ht="15.75" customHeight="1">
      <c r="A14613" s="2" t="s">
        <v>14613</v>
      </c>
      <c r="B14613" s="2" t="str">
        <f>IFERROR(__xludf.DUMMYFUNCTION("GOOGLETRANSLATE(A14613, ""en"", ""mt"")"),"Min se jġorr il-logħba fl-Amerika kollha kollha?")</f>
        <v>Min se jġorr il-logħba fl-Amerika kollha kollha?</v>
      </c>
    </row>
    <row r="14614" ht="15.75" customHeight="1">
      <c r="A14614" s="2" t="s">
        <v>14614</v>
      </c>
      <c r="B14614" s="2" t="str">
        <f>IFERROR(__xludf.DUMMYFUNCTION("GOOGLETRANSLATE(A14614, ""en"", ""mt"")"),"X'għandha l-Beroida minflok ma titma 'l-appendiċi?")</f>
        <v>X'għandha l-Beroida minflok ma titma 'l-appendiċi?</v>
      </c>
    </row>
    <row r="14615" ht="15.75" customHeight="1">
      <c r="A14615" s="2" t="s">
        <v>14615</v>
      </c>
      <c r="B14615" s="2" t="str">
        <f>IFERROR(__xludf.DUMMYFUNCTION("GOOGLETRANSLATE(A14615, ""en"", ""mt"")"),"Għal liema okkażjoni tpoġġa fuq il-qoxra?")</f>
        <v>Għal liema okkażjoni tpoġġa fuq il-qoxra?</v>
      </c>
    </row>
    <row r="14616" ht="15.75" customHeight="1">
      <c r="A14616" s="2" t="s">
        <v>14616</v>
      </c>
      <c r="B14616" s="2" t="str">
        <f>IFERROR(__xludf.DUMMYFUNCTION("GOOGLETRANSLATE(A14616, ""en"", ""mt"")"),"Kemm affiljati primarji kellhom CBS fl-1954?")</f>
        <v>Kemm affiljati primarji kellhom CBS fl-1954?</v>
      </c>
    </row>
    <row r="14617" ht="15.75" customHeight="1">
      <c r="A14617" s="2" t="s">
        <v>14617</v>
      </c>
      <c r="B14617" s="2" t="str">
        <f>IFERROR(__xludf.DUMMYFUNCTION("GOOGLETRANSLATE(A14617, ""en"", ""mt"")"),"Musulmani tal-Punent")</f>
        <v>Musulmani tal-Punent</v>
      </c>
    </row>
    <row r="14618" ht="15.75" customHeight="1">
      <c r="A14618" s="2" t="s">
        <v>14618</v>
      </c>
      <c r="B14618" s="2" t="str">
        <f>IFERROR(__xludf.DUMMYFUNCTION("GOOGLETRANSLATE(A14618, ""en"", ""mt"")"),"Meta mqabbel ma 'bliet oħra Awstraljani, x'inhu d-daqs ta' Melbourne?")</f>
        <v>Meta mqabbel ma 'bliet oħra Awstraljani, x'inhu d-daqs ta' Melbourne?</v>
      </c>
    </row>
    <row r="14619" ht="15.75" customHeight="1">
      <c r="A14619" s="2" t="s">
        <v>14619</v>
      </c>
      <c r="B14619" s="2" t="str">
        <f>IFERROR(__xludf.DUMMYFUNCTION("GOOGLETRANSLATE(A14619, ""en"", ""mt"")"),"Fil-meristemi apikali ta 'pjanta adulta")</f>
        <v>Fil-meristemi apikali ta 'pjanta adulta</v>
      </c>
    </row>
    <row r="14620" ht="15.75" customHeight="1">
      <c r="A14620" s="2" t="s">
        <v>14620</v>
      </c>
      <c r="B14620" s="2" t="str">
        <f>IFERROR(__xludf.DUMMYFUNCTION("GOOGLETRANSLATE(A14620, ""en"", ""mt"")"),"Fejn hu l-Pont Rhine?")</f>
        <v>Fejn hu l-Pont Rhine?</v>
      </c>
    </row>
    <row r="14621" ht="15.75" customHeight="1">
      <c r="A14621" s="2" t="s">
        <v>14621</v>
      </c>
      <c r="B14621" s="2" t="str">
        <f>IFERROR(__xludf.DUMMYFUNCTION("GOOGLETRANSLATE(A14621, ""en"", ""mt"")"),"Għaliex ir-riċerkaturi qed jitħabtu biex jidentifikaw l-istorja tal-pesta?")</f>
        <v>Għaliex ir-riċerkaturi qed jitħabtu biex jidentifikaw l-istorja tal-pesta?</v>
      </c>
    </row>
    <row r="14622" ht="15.75" customHeight="1">
      <c r="A14622" s="2" t="s">
        <v>14622</v>
      </c>
      <c r="B14622" s="2" t="str">
        <f>IFERROR(__xludf.DUMMYFUNCTION("GOOGLETRANSLATE(A14622, ""en"", ""mt"")"),"Stephen Eilmann jistaqsi għaliex turi diżubbidjenza ċivili pubblika minflok x'inhi idea aħjar?")</f>
        <v>Stephen Eilmann jistaqsi għaliex turi diżubbidjenza ċivili pubblika minflok x'inhi idea aħjar?</v>
      </c>
    </row>
    <row r="14623" ht="15.75" customHeight="1">
      <c r="A14623" s="2" t="s">
        <v>14623</v>
      </c>
      <c r="B14623" s="2" t="str">
        <f>IFERROR(__xludf.DUMMYFUNCTION("GOOGLETRANSLATE(A14623, ""en"", ""mt"")"),"In-Nazzjonijiet Uniti")</f>
        <v>In-Nazzjonijiet Uniti</v>
      </c>
    </row>
    <row r="14624" ht="15.75" customHeight="1">
      <c r="A14624" s="2" t="s">
        <v>14624</v>
      </c>
      <c r="B14624" s="2" t="str">
        <f>IFERROR(__xludf.DUMMYFUNCTION("GOOGLETRANSLATE(A14624, ""en"", ""mt"")"),"Inerzja")</f>
        <v>Inerzja</v>
      </c>
    </row>
    <row r="14625" ht="15.75" customHeight="1">
      <c r="A14625" s="2" t="s">
        <v>14625</v>
      </c>
      <c r="B14625" s="2" t="str">
        <f>IFERROR(__xludf.DUMMYFUNCTION("GOOGLETRANSLATE(A14625, ""en"", ""mt"")"),"kien aktar attiv u għex itwal")</f>
        <v>kien aktar attiv u għex itwal</v>
      </c>
    </row>
    <row r="14626" ht="15.75" customHeight="1">
      <c r="A14626" s="2" t="s">
        <v>14626</v>
      </c>
      <c r="B14626" s="2" t="str">
        <f>IFERROR(__xludf.DUMMYFUNCTION("GOOGLETRANSLATE(A14626, ""en"", ""mt"")"),"X'inhu l-isem tal-kowċ ewlieni tal-Bronco, li kien mikri wara John Fox?")</f>
        <v>X'inhu l-isem tal-kowċ ewlieni tal-Bronco, li kien mikri wara John Fox?</v>
      </c>
    </row>
    <row r="14627" ht="15.75" customHeight="1">
      <c r="A14627" s="2" t="s">
        <v>14627</v>
      </c>
      <c r="B14627" s="2" t="str">
        <f>IFERROR(__xludf.DUMMYFUNCTION("GOOGLETRANSLATE(A14627, ""en"", ""mt"")"),"Luther kif wessa 'r-Riforma f'termini ta' profezija?")</f>
        <v>Luther kif wessa 'r-Riforma f'termini ta' profezija?</v>
      </c>
    </row>
    <row r="14628" ht="15.75" customHeight="1">
      <c r="A14628" s="2" t="s">
        <v>14628</v>
      </c>
      <c r="B14628" s="2" t="str">
        <f>IFERROR(__xludf.DUMMYFUNCTION("GOOGLETRANSLATE(A14628, ""en"", ""mt"")"),"Solari")</f>
        <v>Solari</v>
      </c>
    </row>
    <row r="14629" ht="15.75" customHeight="1">
      <c r="A14629" s="2" t="s">
        <v>14629</v>
      </c>
      <c r="B14629" s="2" t="str">
        <f>IFERROR(__xludf.DUMMYFUNCTION("GOOGLETRANSLATE(A14629, ""en"", ""mt"")"),"konsum")</f>
        <v>konsum</v>
      </c>
    </row>
    <row r="14630" ht="15.75" customHeight="1">
      <c r="A14630" s="2" t="s">
        <v>14630</v>
      </c>
      <c r="B14630" s="2" t="str">
        <f>IFERROR(__xludf.DUMMYFUNCTION("GOOGLETRANSLATE(A14630, ""en"", ""mt"")"),"Monument tar-rewwixta ta 'Varsavja")</f>
        <v>Monument tar-rewwixta ta 'Varsavja</v>
      </c>
    </row>
    <row r="14631" ht="15.75" customHeight="1">
      <c r="A14631" s="2" t="s">
        <v>14631</v>
      </c>
      <c r="B14631" s="2" t="str">
        <f>IFERROR(__xludf.DUMMYFUNCTION("GOOGLETRANSLATE(A14631, ""en"", ""mt"")"),"l-inqas preġudikat")</f>
        <v>l-inqas preġudikat</v>
      </c>
    </row>
    <row r="14632" ht="15.75" customHeight="1">
      <c r="A14632" s="2" t="s">
        <v>14632</v>
      </c>
      <c r="B14632" s="2" t="str">
        <f>IFERROR(__xludf.DUMMYFUNCTION("GOOGLETRANSLATE(A14632, ""en"", ""mt"")"),"X'inhi r-rata tal-ħin tal-bidla tal-ħlas elettriku?")</f>
        <v>X'inhi r-rata tal-ħin tal-bidla tal-ħlas elettriku?</v>
      </c>
    </row>
    <row r="14633" ht="15.75" customHeight="1">
      <c r="A14633" s="2" t="s">
        <v>14633</v>
      </c>
      <c r="B14633" s="2" t="str">
        <f>IFERROR(__xludf.DUMMYFUNCTION("GOOGLETRANSLATE(A14633, ""en"", ""mt"")"),"modulari")</f>
        <v>modulari</v>
      </c>
    </row>
    <row r="14634" ht="15.75" customHeight="1">
      <c r="A14634" s="2" t="s">
        <v>14634</v>
      </c>
      <c r="B14634" s="2" t="str">
        <f>IFERROR(__xludf.DUMMYFUNCTION("GOOGLETRANSLATE(A14634, ""en"", ""mt"")"),"Appoġġ miċ-Ċina għal ferrovija ppjanata ta '$ 2.5 biljun")</f>
        <v>Appoġġ miċ-Ċina għal ferrovija ppjanata ta '$ 2.5 biljun</v>
      </c>
    </row>
    <row r="14635" ht="15.75" customHeight="1">
      <c r="A14635" s="2" t="s">
        <v>14635</v>
      </c>
      <c r="B14635" s="2" t="str">
        <f>IFERROR(__xludf.DUMMYFUNCTION("GOOGLETRANSLATE(A14635, ""en"", ""mt"")"),"Mill-1980s")</f>
        <v>Mill-1980s</v>
      </c>
    </row>
    <row r="14636" ht="15.75" customHeight="1">
      <c r="A14636" s="2" t="s">
        <v>14636</v>
      </c>
      <c r="B14636" s="2" t="str">
        <f>IFERROR(__xludf.DUMMYFUNCTION("GOOGLETRANSLATE(A14636, ""en"", ""mt"")"),"Nukleomorf u barra żewġ membrani")</f>
        <v>Nukleomorf u barra żewġ membrani</v>
      </c>
    </row>
    <row r="14637" ht="15.75" customHeight="1">
      <c r="A14637" s="2" t="s">
        <v>14637</v>
      </c>
      <c r="B14637" s="2" t="str">
        <f>IFERROR(__xludf.DUMMYFUNCTION("GOOGLETRANSLATE(A14637, ""en"", ""mt"")"),"Għal xiex wassal l-użu tal-magni tal-fwar fil-biedja?")</f>
        <v>Għal xiex wassal l-użu tal-magni tal-fwar fil-biedja?</v>
      </c>
    </row>
    <row r="14638" ht="15.75" customHeight="1">
      <c r="A14638" s="2" t="s">
        <v>14638</v>
      </c>
      <c r="B14638" s="2" t="str">
        <f>IFERROR(__xludf.DUMMYFUNCTION("GOOGLETRANSLATE(A14638, ""en"", ""mt"")"),"Sermoni Invocavit")</f>
        <v>Sermoni Invocavit</v>
      </c>
    </row>
    <row r="14639" ht="15.75" customHeight="1">
      <c r="A14639" s="2" t="s">
        <v>14639</v>
      </c>
      <c r="B14639" s="2" t="str">
        <f>IFERROR(__xludf.DUMMYFUNCTION("GOOGLETRANSLATE(A14639, ""en"", ""mt"")"),"L-epoka tal-Pleistocene sseħħ matul liema perjodu?")</f>
        <v>L-epoka tal-Pleistocene sseħħ matul liema perjodu?</v>
      </c>
    </row>
    <row r="14640" ht="15.75" customHeight="1">
      <c r="A14640" s="2" t="s">
        <v>14640</v>
      </c>
      <c r="B14640" s="2" t="str">
        <f>IFERROR(__xludf.DUMMYFUNCTION("GOOGLETRANSLATE(A14640, ""en"", ""mt"")"),"jirreżisti li jwieġbu għall-mistoqsijiet tal-investigaturi")</f>
        <v>jirreżisti li jwieġbu għall-mistoqsijiet tal-investigaturi</v>
      </c>
    </row>
    <row r="14641" ht="15.75" customHeight="1">
      <c r="A14641" s="2" t="s">
        <v>14641</v>
      </c>
      <c r="B14641" s="2" t="str">
        <f>IFERROR(__xludf.DUMMYFUNCTION("GOOGLETRANSLATE(A14641, ""en"", ""mt"")"),"Fuq xiex kien jiddependi l-mekkaniżmu tal-pesta bubonika?")</f>
        <v>Fuq xiex kien jiddependi l-mekkaniżmu tal-pesta bubonika?</v>
      </c>
    </row>
    <row r="14642" ht="15.75" customHeight="1">
      <c r="A14642" s="2" t="s">
        <v>14642</v>
      </c>
      <c r="B14642" s="2" t="str">
        <f>IFERROR(__xludf.DUMMYFUNCTION("GOOGLETRANSLATE(A14642, ""en"", ""mt"")"),"Franċiż_and_indian_war")</f>
        <v>Franċiż_and_indian_war</v>
      </c>
    </row>
    <row r="14643" ht="15.75" customHeight="1">
      <c r="A14643" s="2" t="s">
        <v>14643</v>
      </c>
      <c r="B14643" s="2" t="str">
        <f>IFERROR(__xludf.DUMMYFUNCTION("GOOGLETRANSLATE(A14643, ""en"", ""mt"")"),"Pjanti planktoniċi")</f>
        <v>Pjanti planktoniċi</v>
      </c>
    </row>
    <row r="14644" ht="15.75" customHeight="1">
      <c r="A14644" s="2" t="s">
        <v>14644</v>
      </c>
      <c r="B14644" s="2" t="str">
        <f>IFERROR(__xludf.DUMMYFUNCTION("GOOGLETRANSLATE(A14644, ""en"", ""mt"")"),"Il-Qorti Ewropea tal-Ġustizzja")</f>
        <v>Il-Qorti Ewropea tal-Ġustizzja</v>
      </c>
    </row>
    <row r="14645" ht="15.75" customHeight="1">
      <c r="A14645" s="2" t="s">
        <v>14645</v>
      </c>
      <c r="B14645" s="2" t="str">
        <f>IFERROR(__xludf.DUMMYFUNCTION("GOOGLETRANSLATE(A14645, ""en"", ""mt"")"),"il-metrocentre")</f>
        <v>il-metrocentre</v>
      </c>
    </row>
    <row r="14646" ht="15.75" customHeight="1">
      <c r="A14646" s="2" t="s">
        <v>14646</v>
      </c>
      <c r="B14646" s="2" t="str">
        <f>IFERROR(__xludf.DUMMYFUNCTION("GOOGLETRANSLATE(A14646, ""en"", ""mt"")"),"It-tensjoni tal-istress")</f>
        <v>It-tensjoni tal-istress</v>
      </c>
    </row>
    <row r="14647" ht="15.75" customHeight="1">
      <c r="A14647" s="2" t="s">
        <v>14647</v>
      </c>
      <c r="B14647" s="2" t="str">
        <f>IFERROR(__xludf.DUMMYFUNCTION("GOOGLETRANSLATE(A14647, ""en"", ""mt"")"),"profezija tal-ħorn żgħir")</f>
        <v>profezija tal-ħorn żgħir</v>
      </c>
    </row>
    <row r="14648" ht="15.75" customHeight="1">
      <c r="A14648" s="2" t="s">
        <v>14648</v>
      </c>
      <c r="B14648" s="2" t="str">
        <f>IFERROR(__xludf.DUMMYFUNCTION("GOOGLETRANSLATE(A14648, ""en"", ""mt"")"),"Min kien il-pilota oriġinali għall-ewwel missjoni Apollo?")</f>
        <v>Min kien il-pilota oriġinali għall-ewwel missjoni Apollo?</v>
      </c>
    </row>
    <row r="14649" ht="15.75" customHeight="1">
      <c r="A14649" s="2" t="s">
        <v>14649</v>
      </c>
      <c r="B14649" s="2" t="str">
        <f>IFERROR(__xludf.DUMMYFUNCTION("GOOGLETRANSLATE(A14649, ""en"", ""mt"")"),"Min keċċa lil Newton bi 11-il sekonda xellug fl-ewwel taqsima?")</f>
        <v>Min keċċa lil Newton bi 11-il sekonda xellug fl-ewwel taqsima?</v>
      </c>
    </row>
    <row r="14650" ht="15.75" customHeight="1">
      <c r="A14650" s="2" t="s">
        <v>14650</v>
      </c>
      <c r="B14650" s="2" t="str">
        <f>IFERROR(__xludf.DUMMYFUNCTION("GOOGLETRANSLATE(A14650, ""en"", ""mt"")"),"Żomm veloċità stabbilita")</f>
        <v>Żomm veloċità stabbilita</v>
      </c>
    </row>
    <row r="14651" ht="15.75" customHeight="1">
      <c r="A14651" s="2" t="s">
        <v>14651</v>
      </c>
      <c r="B14651" s="2" t="str">
        <f>IFERROR(__xludf.DUMMYFUNCTION("GOOGLETRANSLATE(A14651, ""en"", ""mt"")"),"Fit-28 ta 'Frar 2008, Kibaki u Odinga ffirmaw ftehim dwar il-formazzjoni ta' gvern ta 'koalizzjoni li fih Odinga se jsir it-tieni Prim Ministru tal-Kenja. Taħt il-ftehim, il-president jaħtar ministri tal-kabinett kemm mill-kampijiet tal-PNU kif ukoll mill"&amp;"-ODM skont is-saħħa ta 'kull parti fil-Parlament. Il-ftehim stipulat li l-kabinett ikun jinkludi viċi-president u żewġ deputat prim ministri. Wara dibattiti, ġie mgħoddi mill-Parlament, il-koalizzjoni kienet iżżomm sa tmiem il-Parlament attwali jew jekk w"&amp;"aħda mill-partijiet tirtira mill-ftehim qabel dakinhar.")</f>
        <v>Fit-28 ta 'Frar 2008, Kibaki u Odinga ffirmaw ftehim dwar il-formazzjoni ta' gvern ta 'koalizzjoni li fih Odinga se jsir it-tieni Prim Ministru tal-Kenja. Taħt il-ftehim, il-president jaħtar ministri tal-kabinett kemm mill-kampijiet tal-PNU kif ukoll mill-ODM skont is-saħħa ta 'kull parti fil-Parlament. Il-ftehim stipulat li l-kabinett ikun jinkludi viċi-president u żewġ deputat prim ministri. Wara dibattiti, ġie mgħoddi mill-Parlament, il-koalizzjoni kienet iżżomm sa tmiem il-Parlament attwali jew jekk waħda mill-partijiet tirtira mill-ftehim qabel dakinhar.</v>
      </c>
    </row>
    <row r="14652" ht="15.75" customHeight="1">
      <c r="A14652" s="2" t="s">
        <v>14652</v>
      </c>
      <c r="B14652" s="2" t="str">
        <f>IFERROR(__xludf.DUMMYFUNCTION("GOOGLETRANSLATE(A14652, ""en"", ""mt"")"),"Liema entità żviluppat il-prinċipji tal-liġi tal-Unjoni Ewropea?")</f>
        <v>Liema entità żviluppat il-prinċipji tal-liġi tal-Unjoni Ewropea?</v>
      </c>
    </row>
    <row r="14653" ht="15.75" customHeight="1">
      <c r="A14653" s="2" t="s">
        <v>14653</v>
      </c>
      <c r="B14653" s="2" t="str">
        <f>IFERROR(__xludf.DUMMYFUNCTION("GOOGLETRANSLATE(A14653, ""en"", ""mt"")"),"Il-kors naturali tax-xmara minħabba numru ta 'proġetti ta' kanalizzazzjoni kompluti fis-seklu 19 u 20")</f>
        <v>Il-kors naturali tax-xmara minħabba numru ta 'proġetti ta' kanalizzazzjoni kompluti fis-seklu 19 u 20</v>
      </c>
    </row>
    <row r="14654" ht="15.75" customHeight="1">
      <c r="A14654" s="2" t="s">
        <v>14654</v>
      </c>
      <c r="B14654" s="2" t="str">
        <f>IFERROR(__xludf.DUMMYFUNCTION("GOOGLETRANSLATE(A14654, ""en"", ""mt"")"),"X'inhu r-rekord tat-temperatura l-iktar sħun għal Fresno?")</f>
        <v>X'inhu r-rekord tat-temperatura l-iktar sħun għal Fresno?</v>
      </c>
    </row>
    <row r="14655" ht="15.75" customHeight="1">
      <c r="A14655" s="2" t="s">
        <v>14655</v>
      </c>
      <c r="B14655" s="2" t="str">
        <f>IFERROR(__xludf.DUMMYFUNCTION("GOOGLETRANSLATE(A14655, ""en"", ""mt"")"),"Id-Direttiva tal-Kunsill tax-Xogħlijiet tal-1994")</f>
        <v>Id-Direttiva tal-Kunsill tax-Xogħlijiet tal-1994</v>
      </c>
    </row>
    <row r="14656" ht="15.75" customHeight="1">
      <c r="A14656" s="2" t="s">
        <v>14656</v>
      </c>
      <c r="B14656" s="2" t="str">
        <f>IFERROR(__xludf.DUMMYFUNCTION("GOOGLETRANSLATE(A14656, ""en"", ""mt"")"),"Appoġġ politiku")</f>
        <v>Appoġġ politiku</v>
      </c>
    </row>
    <row r="14657" ht="15.75" customHeight="1">
      <c r="A14657" s="2" t="s">
        <v>14657</v>
      </c>
      <c r="B14657" s="2" t="str">
        <f>IFERROR(__xludf.DUMMYFUNCTION("GOOGLETRANSLATE(A14657, ""en"", ""mt"")"),"Ikh Zasag")</f>
        <v>Ikh Zasag</v>
      </c>
    </row>
    <row r="14658" ht="15.75" customHeight="1">
      <c r="A14658" s="2" t="s">
        <v>14658</v>
      </c>
      <c r="B14658" s="2" t="str">
        <f>IFERROR(__xludf.DUMMYFUNCTION("GOOGLETRANSLATE(A14658, ""en"", ""mt"")"),"Kemm il-ħatt tar-Rhine fil-fruntiera Olandiża?")</f>
        <v>Kemm il-ħatt tar-Rhine fil-fruntiera Olandiża?</v>
      </c>
    </row>
    <row r="14659" ht="15.75" customHeight="1">
      <c r="A14659" s="2" t="s">
        <v>14659</v>
      </c>
      <c r="B14659" s="2" t="str">
        <f>IFERROR(__xludf.DUMMYFUNCTION("GOOGLETRANSLATE(A14659, ""en"", ""mt"")"),"Reġjun ta 'Cévennes fin-Nofsinhar")</f>
        <v>Reġjun ta 'Cévennes fin-Nofsinhar</v>
      </c>
    </row>
    <row r="14660" ht="15.75" customHeight="1">
      <c r="A14660" s="2" t="s">
        <v>14660</v>
      </c>
      <c r="B14660" s="2" t="str">
        <f>IFERROR(__xludf.DUMMYFUNCTION("GOOGLETRANSLATE(A14660, ""en"", ""mt"")"),"Raghuram Rajan")</f>
        <v>Raghuram Rajan</v>
      </c>
    </row>
    <row r="14661" ht="15.75" customHeight="1">
      <c r="A14661" s="2" t="s">
        <v>14661</v>
      </c>
      <c r="B14661" s="2" t="str">
        <f>IFERROR(__xludf.DUMMYFUNCTION("GOOGLETRANSLATE(A14661, ""en"", ""mt"")"),"l-iktar")</f>
        <v>l-iktar</v>
      </c>
    </row>
    <row r="14662" ht="15.75" customHeight="1">
      <c r="A14662" s="2" t="s">
        <v>14662</v>
      </c>
      <c r="B14662" s="2" t="str">
        <f>IFERROR(__xludf.DUMMYFUNCTION("GOOGLETRANSLATE(A14662, ""en"", ""mt"")"),"Liema belt aktar tard saret Beijing?")</f>
        <v>Liema belt aktar tard saret Beijing?</v>
      </c>
    </row>
    <row r="14663" ht="15.75" customHeight="1">
      <c r="A14663" s="2" t="s">
        <v>14663</v>
      </c>
      <c r="B14663" s="2" t="str">
        <f>IFERROR(__xludf.DUMMYFUNCTION("GOOGLETRANSLATE(A14663, ""en"", ""mt"")"),"1767")</f>
        <v>1767</v>
      </c>
    </row>
    <row r="14664" ht="15.75" customHeight="1">
      <c r="A14664" s="2" t="s">
        <v>14664</v>
      </c>
      <c r="B14664" s="2" t="str">
        <f>IFERROR(__xludf.DUMMYFUNCTION("GOOGLETRANSLATE(A14664, ""en"", ""mt"")"),"X’taħseb li kienet il-pesta Gasquet?")</f>
        <v>X’taħseb li kienet il-pesta Gasquet?</v>
      </c>
    </row>
    <row r="14665" ht="15.75" customHeight="1">
      <c r="A14665" s="2" t="s">
        <v>14665</v>
      </c>
      <c r="B14665" s="2" t="str">
        <f>IFERROR(__xludf.DUMMYFUNCTION("GOOGLETRANSLATE(A14665, ""en"", ""mt"")"),"Mibnija kompluta fuq l-art")</f>
        <v>Mibnija kompluta fuq l-art</v>
      </c>
    </row>
    <row r="14666" ht="15.75" customHeight="1">
      <c r="A14666" s="2" t="s">
        <v>14666</v>
      </c>
      <c r="B14666" s="2" t="str">
        <f>IFERROR(__xludf.DUMMYFUNCTION("GOOGLETRANSLATE(A14666, ""en"", ""mt"")"),"Batu")</f>
        <v>Batu</v>
      </c>
    </row>
    <row r="14667" ht="15.75" customHeight="1">
      <c r="A14667" s="2" t="s">
        <v>14667</v>
      </c>
      <c r="B14667" s="2" t="str">
        <f>IFERROR(__xludf.DUMMYFUNCTION("GOOGLETRANSLATE(A14667, ""en"", ""mt"")"),"Il-Premier Mahmud Fami Naqrashi tal-Eġittu")</f>
        <v>Il-Premier Mahmud Fami Naqrashi tal-Eġittu</v>
      </c>
    </row>
    <row r="14668" ht="15.75" customHeight="1">
      <c r="A14668" s="2" t="s">
        <v>14668</v>
      </c>
      <c r="B14668" s="2" t="str">
        <f>IFERROR(__xludf.DUMMYFUNCTION("GOOGLETRANSLATE(A14668, ""en"", ""mt"")"),"Kemm kien hemm diviżjonijiet tal-klassi tas-soċjetà fil-pjan li Kublai miċħuda?")</f>
        <v>Kemm kien hemm diviżjonijiet tal-klassi tas-soċjetà fil-pjan li Kublai miċħuda?</v>
      </c>
    </row>
    <row r="14669" ht="15.75" customHeight="1">
      <c r="A14669" s="2" t="s">
        <v>14669</v>
      </c>
      <c r="B14669" s="2" t="str">
        <f>IFERROR(__xludf.DUMMYFUNCTION("GOOGLETRANSLATE(A14669, ""en"", ""mt"")"),"30% telf")</f>
        <v>30% telf</v>
      </c>
    </row>
    <row r="14670" ht="15.75" customHeight="1">
      <c r="A14670" s="2" t="s">
        <v>14670</v>
      </c>
      <c r="B14670" s="2" t="str">
        <f>IFERROR(__xludf.DUMMYFUNCTION("GOOGLETRANSLATE(A14670, ""en"", ""mt"")"),"6800")</f>
        <v>6800</v>
      </c>
    </row>
    <row r="14671" ht="15.75" customHeight="1">
      <c r="A14671" s="2" t="s">
        <v>14671</v>
      </c>
      <c r="B14671" s="2" t="str">
        <f>IFERROR(__xludf.DUMMYFUNCTION("GOOGLETRANSLATE(A14671, ""en"", ""mt"")"),"Min hu parodjat fuq programmi bħal Saturday Night Live u The Simpsons?")</f>
        <v>Min hu parodjat fuq programmi bħal Saturday Night Live u The Simpsons?</v>
      </c>
    </row>
    <row r="14672" ht="15.75" customHeight="1">
      <c r="A14672" s="2" t="s">
        <v>14672</v>
      </c>
      <c r="B14672" s="2" t="str">
        <f>IFERROR(__xludf.DUMMYFUNCTION("GOOGLETRANSLATE(A14672, ""en"", ""mt"")"),"Rivoluzzjonarju")</f>
        <v>Rivoluzzjonarju</v>
      </c>
    </row>
    <row r="14673" ht="15.75" customHeight="1">
      <c r="A14673" s="2" t="s">
        <v>14673</v>
      </c>
      <c r="B14673" s="2" t="str">
        <f>IFERROR(__xludf.DUMMYFUNCTION("GOOGLETRANSLATE(A14673, ""en"", ""mt"")"),"Forza elettromanjetika")</f>
        <v>Forza elettromanjetika</v>
      </c>
    </row>
    <row r="14674" ht="15.75" customHeight="1">
      <c r="A14674" s="2" t="s">
        <v>14674</v>
      </c>
      <c r="B14674" s="2" t="str">
        <f>IFERROR(__xludf.DUMMYFUNCTION("GOOGLETRANSLATE(A14674, ""en"", ""mt"")"),"Kif qabbel ir-rapport tal-IPCC tal-2001 mar-realtà għall-2001-2006?")</f>
        <v>Kif qabbel ir-rapport tal-IPCC tal-2001 mar-realtà għall-2001-2006?</v>
      </c>
    </row>
    <row r="14675" ht="15.75" customHeight="1">
      <c r="A14675" s="2" t="s">
        <v>14675</v>
      </c>
      <c r="B14675" s="2" t="str">
        <f>IFERROR(__xludf.DUMMYFUNCTION("GOOGLETRANSLATE(A14675, ""en"", ""mt"")"),"X'tip ta 'awtorità jippreferu l-iskejjel ta' Sudbury?")</f>
        <v>X'tip ta 'awtorità jippreferu l-iskejjel ta' Sudbury?</v>
      </c>
    </row>
    <row r="14676" ht="15.75" customHeight="1">
      <c r="A14676" s="2" t="s">
        <v>14676</v>
      </c>
      <c r="B14676" s="2" t="str">
        <f>IFERROR(__xludf.DUMMYFUNCTION("GOOGLETRANSLATE(A14676, ""en"", ""mt"")"),"sa 3 sold fil-lira")</f>
        <v>sa 3 sold fil-lira</v>
      </c>
    </row>
    <row r="14677" ht="15.75" customHeight="1">
      <c r="A14677" s="2" t="s">
        <v>14677</v>
      </c>
      <c r="B14677" s="2" t="str">
        <f>IFERROR(__xludf.DUMMYFUNCTION("GOOGLETRANSLATE(A14677, ""en"", ""mt"")"),"Stħarriġ dwar ir-riċerka tal-udjenza tal-BBC li sar fl-1972 sab li, bid-definizzjoni tagħhom stess ta 'vjolenza (""kwalunkwe att [i] li jista' jikkawża korriment fiżiku u / jew psikoloġiku, weġgħa jew mewt lil persuni, annimali jew proprjetà, kemm jekk in"&amp;"tenzjonali jew aċċidentali"") Doctor Who kien l-iktar vjolenti mill-programmi tad-drama li l-korporazzjoni pproduċiet dak iż-żmien. L-istess rapport sab li 3% tal-udjenza mistħarrġa kkunsidraw l-ispettaklu bħala ""mhux tajjeb ħafna"" għall-wiri tal-familj"&amp;"a. Meta wieġeb għas-sejbiet tal-istħarriġ fil-gazzetta tat-Times, il-ġurnalist Philip Howard sostna li, ""biex tqabbel il-vjolenza ta 'Dr Who, sired minn laugh taż-żwiemel barra minn ħmarillejl, bil-vjolenza aktar realistika ta' serje televiżivi oħra, fej"&amp;"n l-atturi li jidhru qishom bnedmin fsada żebgħa li tidher qisha demm, huwa bħal li tqabbel il-monopolju mas-suq tal-propjetà f'Londra: it-tnejn huma fantasiji, iżda waħda hija maħsuba biex tittieħed bis-serjetà. """)</f>
        <v>Stħarriġ dwar ir-riċerka tal-udjenza tal-BBC li sar fl-1972 sab li, bid-definizzjoni tagħhom stess ta 'vjolenza ("kwalunkwe att [i] li jista' jikkawża korriment fiżiku u / jew psikoloġiku, weġgħa jew mewt lil persuni, annimali jew proprjetà, kemm jekk intenzjonali jew aċċidentali") Doctor Who kien l-iktar vjolenti mill-programmi tad-drama li l-korporazzjoni pproduċiet dak iż-żmien. L-istess rapport sab li 3% tal-udjenza mistħarrġa kkunsidraw l-ispettaklu bħala "mhux tajjeb ħafna" għall-wiri tal-familja. Meta wieġeb għas-sejbiet tal-istħarriġ fil-gazzetta tat-Times, il-ġurnalist Philip Howard sostna li, "biex tqabbel il-vjolenza ta 'Dr Who, sired minn laugh taż-żwiemel barra minn ħmarillejl, bil-vjolenza aktar realistika ta' serje televiżivi oħra, fejn l-atturi li jidhru qishom bnedmin fsada żebgħa li tidher qisha demm, huwa bħal li tqabbel il-monopolju mas-suq tal-propjetà f'Londra: it-tnejn huma fantasiji, iżda waħda hija maħsuba biex tittieħed bis-serjetà. "</v>
      </c>
    </row>
    <row r="14678" ht="15.75" customHeight="1">
      <c r="A14678" s="2" t="s">
        <v>14678</v>
      </c>
      <c r="B14678" s="2" t="str">
        <f>IFERROR(__xludf.DUMMYFUNCTION("GOOGLETRANSLATE(A14678, ""en"", ""mt"")"),"It-teorija tal-kumplessità tikklassifika problemi bbażati fuq liema attribut primarju?")</f>
        <v>It-teorija tal-kumplessità tikklassifika problemi bbażati fuq liema attribut primarju?</v>
      </c>
    </row>
    <row r="14679" ht="15.75" customHeight="1">
      <c r="A14679" s="2" t="s">
        <v>14679</v>
      </c>
      <c r="B14679" s="2" t="str">
        <f>IFERROR(__xludf.DUMMYFUNCTION("GOOGLETRANSLATE(A14679, ""en"", ""mt"")"),"X'jista 'jibqa' problemi mhux solvuti bil-protokoll ta 'Kyoto?")</f>
        <v>X'jista 'jibqa' problemi mhux solvuti bil-protokoll ta 'Kyoto?</v>
      </c>
    </row>
    <row r="14680" ht="15.75" customHeight="1">
      <c r="A14680" s="2" t="s">
        <v>14680</v>
      </c>
      <c r="B14680" s="2" t="str">
        <f>IFERROR(__xludf.DUMMYFUNCTION("GOOGLETRANSLATE(A14680, ""en"", ""mt"")"),"Liema artikoli tar-regolament tal-moviment liberu tal-ħaddiema stabbilixxew id-dispożizzjonijiet primarji dwar trattament ugwali tal-ħaddiema?")</f>
        <v>Liema artikoli tar-regolament tal-moviment liberu tal-ħaddiema stabbilixxew id-dispożizzjonijiet primarji dwar trattament ugwali tal-ħaddiema?</v>
      </c>
    </row>
    <row r="14681" ht="15.75" customHeight="1">
      <c r="A14681" s="2" t="s">
        <v>14681</v>
      </c>
      <c r="B14681" s="2" t="str">
        <f>IFERROR(__xludf.DUMMYFUNCTION("GOOGLETRANSLATE(A14681, ""en"", ""mt"")"),"X'inhu l-akbar pont ta 'sospensjoni fil-Ġermanja?")</f>
        <v>X'inhu l-akbar pont ta 'sospensjoni fil-Ġermanja?</v>
      </c>
    </row>
    <row r="14682" ht="15.75" customHeight="1">
      <c r="A14682" s="2" t="s">
        <v>14682</v>
      </c>
      <c r="B14682" s="2" t="str">
        <f>IFERROR(__xludf.DUMMYFUNCTION("GOOGLETRANSLATE(A14682, ""en"", ""mt"")"),"X.25 juża liema tip ta 'netwerk tat-tip")</f>
        <v>X.25 juża liema tip ta 'netwerk tat-tip</v>
      </c>
    </row>
    <row r="14683" ht="15.75" customHeight="1">
      <c r="A14683" s="2" t="s">
        <v>14683</v>
      </c>
      <c r="B14683" s="2" t="str">
        <f>IFERROR(__xludf.DUMMYFUNCTION("GOOGLETRANSLATE(A14683, ""en"", ""mt"")"),"Magna tal-Modulu tas-Servizz")</f>
        <v>Magna tal-Modulu tas-Servizz</v>
      </c>
    </row>
    <row r="14684" ht="15.75" customHeight="1">
      <c r="A14684" s="2" t="s">
        <v>14684</v>
      </c>
      <c r="B14684" s="2" t="str">
        <f>IFERROR(__xludf.DUMMYFUNCTION("GOOGLETRANSLATE(A14684, ""en"", ""mt"")"),"primes sa 10,006,721")</f>
        <v>primes sa 10,006,721</v>
      </c>
    </row>
    <row r="14685" ht="15.75" customHeight="1">
      <c r="A14685" s="2" t="s">
        <v>14685</v>
      </c>
      <c r="B14685" s="2" t="str">
        <f>IFERROR(__xludf.DUMMYFUNCTION("GOOGLETRANSLATE(A14685, ""en"", ""mt"")"),"Kemm hemm nazzjonijiet fil-Baċin tal-Amażonja?")</f>
        <v>Kemm hemm nazzjonijiet fil-Baċin tal-Amażonja?</v>
      </c>
    </row>
    <row r="14686" ht="15.75" customHeight="1">
      <c r="A14686" s="2" t="s">
        <v>14686</v>
      </c>
      <c r="B14686" s="2" t="str">
        <f>IFERROR(__xludf.DUMMYFUNCTION("GOOGLETRANSLATE(A14686, ""en"", ""mt"")"),"Xi joħloq l-iskambju tal-boson w u z?")</f>
        <v>Xi joħloq l-iskambju tal-boson w u z?</v>
      </c>
    </row>
    <row r="14687" ht="15.75" customHeight="1">
      <c r="A14687" s="2" t="s">
        <v>14687</v>
      </c>
      <c r="B14687" s="2" t="str">
        <f>IFERROR(__xludf.DUMMYFUNCTION("GOOGLETRANSLATE(A14687, ""en"", ""mt"")"),"Meta Polonia Varsavja rebħet il-kampjonat tal-pajjiż qabel l-2000?")</f>
        <v>Meta Polonia Varsavja rebħet il-kampjonat tal-pajjiż qabel l-2000?</v>
      </c>
    </row>
    <row r="14688" ht="15.75" customHeight="1">
      <c r="A14688" s="2" t="s">
        <v>14688</v>
      </c>
      <c r="B14688" s="2" t="str">
        <f>IFERROR(__xludf.DUMMYFUNCTION("GOOGLETRANSLATE(A14688, ""en"", ""mt"")"),"Il-kawża kienet forma ta ’antrax")</f>
        <v>Il-kawża kienet forma ta ’antrax</v>
      </c>
    </row>
    <row r="14689" ht="15.75" customHeight="1">
      <c r="A14689" s="2" t="s">
        <v>14689</v>
      </c>
      <c r="B14689" s="2" t="str">
        <f>IFERROR(__xludf.DUMMYFUNCTION("GOOGLETRANSLATE(A14689, ""en"", ""mt"")"),"Tniġġis tal-ilma")</f>
        <v>Tniġġis tal-ilma</v>
      </c>
    </row>
    <row r="14690" ht="15.75" customHeight="1">
      <c r="A14690" s="2" t="s">
        <v>14690</v>
      </c>
      <c r="B14690" s="2" t="str">
        <f>IFERROR(__xludf.DUMMYFUNCTION("GOOGLETRANSLATE(A14690, ""en"", ""mt"")"),"Dawl aħdar ta 'kwalità fqira")</f>
        <v>Dawl aħdar ta 'kwalità fqira</v>
      </c>
    </row>
    <row r="14691" ht="15.75" customHeight="1">
      <c r="A14691" s="2" t="s">
        <v>14691</v>
      </c>
      <c r="B14691" s="2" t="str">
        <f>IFERROR(__xludf.DUMMYFUNCTION("GOOGLETRANSLATE(A14691, ""en"", ""mt"")"),"Problema tal-funzjoni hija eżempju ta 'xiex?")</f>
        <v>Problema tal-funzjoni hija eżempju ta 'xiex?</v>
      </c>
    </row>
    <row r="14692" ht="15.75" customHeight="1">
      <c r="A14692" s="2" t="s">
        <v>14692</v>
      </c>
      <c r="B14692" s="2" t="str">
        <f>IFERROR(__xludf.DUMMYFUNCTION("GOOGLETRANSLATE(A14692, ""en"", ""mt"")"),"3,468")</f>
        <v>3,468</v>
      </c>
    </row>
    <row r="14693" ht="15.75" customHeight="1">
      <c r="A14693" s="2" t="s">
        <v>14693</v>
      </c>
      <c r="B14693" s="2" t="str">
        <f>IFERROR(__xludf.DUMMYFUNCTION("GOOGLETRANSLATE(A14693, ""en"", ""mt"")"),"John Wesley,")</f>
        <v>John Wesley,</v>
      </c>
    </row>
    <row r="14694" ht="15.75" customHeight="1">
      <c r="A14694" s="2" t="s">
        <v>14694</v>
      </c>
      <c r="B14694" s="2" t="str">
        <f>IFERROR(__xludf.DUMMYFUNCTION("GOOGLETRANSLATE(A14694, ""en"", ""mt"")"),"Sit tal-Wirt Dinji")</f>
        <v>Sit tal-Wirt Dinji</v>
      </c>
    </row>
    <row r="14695" ht="15.75" customHeight="1">
      <c r="A14695" s="2" t="s">
        <v>14695</v>
      </c>
      <c r="B14695" s="2" t="str">
        <f>IFERROR(__xludf.DUMMYFUNCTION("GOOGLETRANSLATE(A14695, ""en"", ""mt"")"),"Jikkonsma ATP u Ossiġenu, jirrilaxxa s-CO2, u ma jipproduċi l-ebda zokkor")</f>
        <v>Jikkonsma ATP u Ossiġenu, jirrilaxxa s-CO2, u ma jipproduċi l-ebda zokkor</v>
      </c>
    </row>
    <row r="14696" ht="15.75" customHeight="1">
      <c r="A14696" s="2" t="s">
        <v>14696</v>
      </c>
      <c r="B14696" s="2" t="str">
        <f>IFERROR(__xludf.DUMMYFUNCTION("GOOGLETRANSLATE(A14696, ""en"", ""mt"")"),"X'jista 'jkun ir-riżultat ta' bidla f'organizzazzjoni?")</f>
        <v>X'jista 'jkun ir-riżultat ta' bidla f'organizzazzjoni?</v>
      </c>
    </row>
    <row r="14697" ht="15.75" customHeight="1">
      <c r="A14697" s="2" t="s">
        <v>14697</v>
      </c>
      <c r="B14697" s="2" t="str">
        <f>IFERROR(__xludf.DUMMYFUNCTION("GOOGLETRANSLATE(A14697, ""en"", ""mt"")"),"Elettriku, ilma, drenaġġ, telefon, u faċilitajiet tal-kejbil")</f>
        <v>Elettriku, ilma, drenaġġ, telefon, u faċilitajiet tal-kejbil</v>
      </c>
    </row>
    <row r="14698" ht="15.75" customHeight="1">
      <c r="A14698" s="2" t="s">
        <v>14698</v>
      </c>
      <c r="B14698" s="2" t="str">
        <f>IFERROR(__xludf.DUMMYFUNCTION("GOOGLETRANSLATE(A14698, ""en"", ""mt"")"),"ħamiem")</f>
        <v>ħamiem</v>
      </c>
    </row>
    <row r="14699" ht="15.75" customHeight="1">
      <c r="A14699" s="2" t="s">
        <v>14699</v>
      </c>
      <c r="B14699" s="2" t="str">
        <f>IFERROR(__xludf.DUMMYFUNCTION("GOOGLETRANSLATE(A14699, ""en"", ""mt"")"),"Meta jkun meħtieġ ħin estensiv biex issortja interi, dan jirrappreżenta liema kumplessità tal-każ?")</f>
        <v>Meta jkun meħtieġ ħin estensiv biex issortja interi, dan jirrappreżenta liema kumplessità tal-każ?</v>
      </c>
    </row>
    <row r="14700" ht="15.75" customHeight="1">
      <c r="A14700" s="2" t="s">
        <v>14700</v>
      </c>
      <c r="B14700" s="2" t="str">
        <f>IFERROR(__xludf.DUMMYFUNCTION("GOOGLETRANSLATE(A14700, ""en"", ""mt"")"),"Golden Gate Bridge.")</f>
        <v>Golden Gate Bridge.</v>
      </c>
    </row>
    <row r="14701" ht="15.75" customHeight="1">
      <c r="A14701" s="2" t="s">
        <v>14701</v>
      </c>
      <c r="B14701" s="2" t="str">
        <f>IFERROR(__xludf.DUMMYFUNCTION("GOOGLETRANSLATE(A14701, ""en"", ""mt"")"),"bajjiet")</f>
        <v>bajjiet</v>
      </c>
    </row>
    <row r="14702" ht="15.75" customHeight="1">
      <c r="A14702" s="2" t="s">
        <v>14702</v>
      </c>
      <c r="B14702" s="2" t="str">
        <f>IFERROR(__xludf.DUMMYFUNCTION("GOOGLETRANSLATE(A14702, ""en"", ""mt"")"),"Min rebaħ l-elezzjonijiet fl-1992 u fl-1997?")</f>
        <v>Min rebaħ l-elezzjonijiet fl-1992 u fl-1997?</v>
      </c>
    </row>
    <row r="14703" ht="15.75" customHeight="1">
      <c r="A14703" s="2" t="s">
        <v>14703</v>
      </c>
      <c r="B14703" s="2" t="str">
        <f>IFERROR(__xludf.DUMMYFUNCTION("GOOGLETRANSLATE(A14703, ""en"", ""mt"")"),"Radar ta 'apertura sintetika (SAR)")</f>
        <v>Radar ta 'apertura sintetika (SAR)</v>
      </c>
    </row>
    <row r="14704" ht="15.75" customHeight="1">
      <c r="A14704" s="2" t="s">
        <v>14704</v>
      </c>
      <c r="B14704" s="2" t="str">
        <f>IFERROR(__xludf.DUMMYFUNCTION("GOOGLETRANSLATE(A14704, ""en"", ""mt"")"),"Il-logo oriġinali użat għall-ewwel tabib (u fil-qosor għat-tieni tabib) intuża mill-ġdid f'format kemmxejn modifikat għall-50 anniversarju speċjali ""The Day of the Doctor"" matul il-ħdax-il tabib. Il-logo użat fil-film televiżiv li fih it-tmien tabib kie"&amp;"n verżjoni aġġornata tal-logo użat għat-tielet tabib. Il-logo mill-1973–80 intuża għall-aħħar staġun tat-tielet tabib u għall-maġġoranza tar-raba 'mandat tat-tabib. Il-logo li ġej, filwaqt li l-iktar assoċjat mal-ħames tabib, intuża wkoll għall-aħħar staġ"&amp;"un tar-raba 'tabib. Il-logo użat għad-disa 'tabib kien kemmxejn editjat għall-għaxar tabib, iżda żamm l-istess dehra ġenerali. Il-logo użat għall-ħdax-il tabib kellu l-insinji ""DW"" Tardis imqiegħda fuq il-lemin fl-2012, iżda l-istess font baqa ', għalke"&amp;"mm b'edit żgħir għan-nisġa f'kull episodju, bit-tessut għandu x'jaqsam ma' xi aspett tal-istorja. Il-logo għat-Tnax-il Tabib kellu l-insinji ""DW"" Tardis imneħħija u t-tipa ġiet mibdula b'mod sottili, kif ukoll għamlet kemmxejn ikbar. Mill-2014, il-logo "&amp;"użat għat-tielet u t-tmien tobba huwa l-logo primarju użat fuq il-midja u l-merkanzija kollha relatati mat-tobba tal-passat, u l-logo attwali Doctor Who jintuża għall-merkanzija kollha relatata mat-tabib attwali.")</f>
        <v>Il-logo oriġinali użat għall-ewwel tabib (u fil-qosor għat-tieni tabib) intuża mill-ġdid f'format kemmxejn modifikat għall-50 anniversarju speċjali "The Day of the Doctor" matul il-ħdax-il tabib. Il-logo użat fil-film televiżiv li fih it-tmien tabib kien verżjoni aġġornata tal-logo użat għat-tielet tabib. Il-logo mill-1973–80 intuża għall-aħħar staġun tat-tielet tabib u għall-maġġoranza tar-raba 'mandat tat-tabib. Il-logo li ġej, filwaqt li l-iktar assoċjat mal-ħames tabib, intuża wkoll għall-aħħar staġun tar-raba 'tabib. Il-logo użat għad-disa 'tabib kien kemmxejn editjat għall-għaxar tabib, iżda żamm l-istess dehra ġenerali. Il-logo użat għall-ħdax-il tabib kellu l-insinji "DW" Tardis imqiegħda fuq il-lemin fl-2012, iżda l-istess font baqa ', għalkemm b'edit żgħir għan-nisġa f'kull episodju, bit-tessut għandu x'jaqsam ma' xi aspett tal-istorja. Il-logo għat-Tnax-il Tabib kellu l-insinji "DW" Tardis imneħħija u t-tipa ġiet mibdula b'mod sottili, kif ukoll għamlet kemmxejn ikbar. Mill-2014, il-logo użat għat-tielet u t-tmien tobba huwa l-logo primarju użat fuq il-midja u l-merkanzija kollha relatati mat-tobba tal-passat, u l-logo attwali Doctor Who jintuża għall-merkanzija kollha relatata mat-tabib attwali.</v>
      </c>
    </row>
    <row r="14705" ht="15.75" customHeight="1">
      <c r="A14705" s="2" t="s">
        <v>14705</v>
      </c>
      <c r="B14705" s="2" t="str">
        <f>IFERROR(__xludf.DUMMYFUNCTION("GOOGLETRANSLATE(A14705, ""en"", ""mt"")"),"X’kontribwixxa għas-severità tal-pesta?")</f>
        <v>X’kontribwixxa għas-severità tal-pesta?</v>
      </c>
    </row>
    <row r="14706" ht="15.75" customHeight="1">
      <c r="A14706" s="2" t="s">
        <v>14706</v>
      </c>
      <c r="B14706" s="2" t="str">
        <f>IFERROR(__xludf.DUMMYFUNCTION("GOOGLETRANSLATE(A14706, ""en"", ""mt"")"),"X'inhu jiddelimita d-Delta tar-Renu fil-Lvant?")</f>
        <v>X'inhu jiddelimita d-Delta tar-Renu fil-Lvant?</v>
      </c>
    </row>
    <row r="14707" ht="15.75" customHeight="1">
      <c r="A14707" s="2" t="s">
        <v>14707</v>
      </c>
      <c r="B14707" s="2" t="str">
        <f>IFERROR(__xludf.DUMMYFUNCTION("GOOGLETRANSLATE(A14707, ""en"", ""mt"")"),"Kemm irrapportaw il-Bliet Kapitali / ABC fid-dħul fl-1990?")</f>
        <v>Kemm irrapportaw il-Bliet Kapitali / ABC fid-dħul fl-1990?</v>
      </c>
    </row>
    <row r="14708" ht="15.75" customHeight="1">
      <c r="A14708" s="2" t="s">
        <v>14708</v>
      </c>
      <c r="B14708" s="2" t="str">
        <f>IFERROR(__xludf.DUMMYFUNCTION("GOOGLETRANSLATE(A14708, ""en"", ""mt"")"),"avvenimenti")</f>
        <v>avvenimenti</v>
      </c>
    </row>
    <row r="14709" ht="15.75" customHeight="1">
      <c r="A14709" s="2" t="s">
        <v>14709</v>
      </c>
      <c r="B14709" s="2" t="str">
        <f>IFERROR(__xludf.DUMMYFUNCTION("GOOGLETRANSLATE(A14709, ""en"", ""mt"")"),"Assoċjazzjoni Nazzjonali tad-Dawl Elettriku")</f>
        <v>Assoċjazzjoni Nazzjonali tad-Dawl Elettriku</v>
      </c>
    </row>
    <row r="14710" ht="15.75" customHeight="1">
      <c r="A14710" s="2" t="s">
        <v>14710</v>
      </c>
      <c r="B14710" s="2" t="str">
        <f>IFERROR(__xludf.DUMMYFUNCTION("GOOGLETRANSLATE(A14710, ""en"", ""mt"")"),"art tal-gvern")</f>
        <v>art tal-gvern</v>
      </c>
    </row>
    <row r="14711" ht="15.75" customHeight="1">
      <c r="A14711" s="2" t="s">
        <v>14711</v>
      </c>
      <c r="B14711" s="2" t="str">
        <f>IFERROR(__xludf.DUMMYFUNCTION("GOOGLETRANSLATE(A14711, ""en"", ""mt"")"),"X'kien Nicholas Storch?")</f>
        <v>X'kien Nicholas Storch?</v>
      </c>
    </row>
    <row r="14712" ht="15.75" customHeight="1">
      <c r="A14712" s="2" t="s">
        <v>14712</v>
      </c>
      <c r="B14712" s="2" t="str">
        <f>IFERROR(__xludf.DUMMYFUNCTION("GOOGLETRANSLATE(A14712, ""en"", ""mt"")"),"X'tip ta 'impjant tal-manifattura dalwaqt qed titlef?")</f>
        <v>X'tip ta 'impjant tal-manifattura dalwaqt qed titlef?</v>
      </c>
    </row>
    <row r="14713" ht="15.75" customHeight="1">
      <c r="A14713" s="2" t="s">
        <v>14713</v>
      </c>
      <c r="B14713" s="2" t="str">
        <f>IFERROR(__xludf.DUMMYFUNCTION("GOOGLETRANSLATE(A14713, ""en"", ""mt"")"),"1368–1644")</f>
        <v>1368–1644</v>
      </c>
    </row>
    <row r="14714" ht="15.75" customHeight="1">
      <c r="A14714" s="2" t="s">
        <v>14714</v>
      </c>
      <c r="B14714" s="2" t="str">
        <f>IFERROR(__xludf.DUMMYFUNCTION("GOOGLETRANSLATE(A14714, ""en"", ""mt"")"),"Il-forzi kollha fl-univers huma bbażati fuq erba 'interazzjonijiet fundamentali. Il-forzi b'saħħithom u dgħajfa huma forzi nukleari li jaġixxu biss fuq distanzi qosra ħafna, u huma responsabbli għall-interazzjonijiet bejn partiċelli subatomiċi, inklużi nu"&amp;"kleoni u nuklei komposti. Il-forza elettromanjetika taġixxi bejn il-piżijiet elettriċi, u l-forza gravitazzjonali taġixxi bejn il-mases. Il-forzi l-oħra kollha fin-natura joħorġu minn dawn l-erba 'interazzjonijiet fundamentali. Pereżempju, il-frizzjoni hi"&amp;"ja manifestazzjoni tal-forza elettromanjetika li taġixxi bejn l-atomi ta 'żewġ uċuħ, u l-prinċipju ta' esklużjoni ta 'Pauli, li ma jippermettix li l-atomi jgħaddu minn xulxin. Bl-istess mod, il-forzi fil-molol, immudellati mil-liġi ta 'Hooke, huma r-riżul"&amp;"tat tal-forzi elettromanjetiċi u l-prinċipju ta' esklużjoni li jaġixxu flimkien biex jirritornaw oġġett għall-pożizzjoni ta 'ekwilibriju tiegħu. Il-forzi ċentrifugali huma forzi ta 'aċċellerazzjoni li jinqalgħu sempliċement mill-aċċellerazzjoni ta' frejms"&amp;" li jduru ta 'referenza.: 12-11:359")</f>
        <v>Il-forzi kollha fl-univers huma bbażati fuq erba 'interazzjonijiet fundamentali. Il-forzi b'saħħithom u dgħajfa huma forzi nukleari li jaġixxu biss fuq distanzi qosra ħafna, u huma responsabbli għall-interazzjonijiet bejn partiċelli subatomiċi, inklużi nukleoni u nuklei komposti. Il-forza elettromanjetika taġixxi bejn il-piżijiet elettriċi, u l-forza gravitazzjonali taġixxi bejn il-mases. Il-forzi l-oħra kollha fin-natura joħorġu minn dawn l-erba 'interazzjonijiet fundamentali. Pereżempju, il-frizzjoni hija manifestazzjoni tal-forza elettromanjetika li taġixxi bejn l-atomi ta 'żewġ uċuħ, u l-prinċipju ta' esklużjoni ta 'Pauli, li ma jippermettix li l-atomi jgħaddu minn xulxin. Bl-istess mod, il-forzi fil-molol, immudellati mil-liġi ta 'Hooke, huma r-riżultat tal-forzi elettromanjetiċi u l-prinċipju ta' esklużjoni li jaġixxu flimkien biex jirritornaw oġġett għall-pożizzjoni ta 'ekwilibriju tiegħu. Il-forzi ċentrifugali huma forzi ta 'aċċellerazzjoni li jinqalgħu sempliċement mill-aċċellerazzjoni ta' frejms li jduru ta 'referenza.: 12-11:359</v>
      </c>
    </row>
    <row r="14715" ht="15.75" customHeight="1">
      <c r="A14715" s="2" t="s">
        <v>14715</v>
      </c>
      <c r="B14715" s="2" t="str">
        <f>IFERROR(__xludf.DUMMYFUNCTION("GOOGLETRANSLATE(A14715, ""en"", ""mt"")"),"Fejn ġiet miġġielda l-gwerra?")</f>
        <v>Fejn ġiet miġġielda l-gwerra?</v>
      </c>
    </row>
    <row r="14716" ht="15.75" customHeight="1">
      <c r="A14716" s="2" t="s">
        <v>14716</v>
      </c>
      <c r="B14716" s="2" t="str">
        <f>IFERROR(__xludf.DUMMYFUNCTION("GOOGLETRANSLATE(A14716, ""en"", ""mt"")"),"Park ujazdowski")</f>
        <v>Park ujazdowski</v>
      </c>
    </row>
    <row r="14717" ht="15.75" customHeight="1">
      <c r="A14717" s="2" t="s">
        <v>14717</v>
      </c>
      <c r="B14717" s="2" t="str">
        <f>IFERROR(__xludf.DUMMYFUNCTION("GOOGLETRANSLATE(A14717, ""en"", ""mt"")"),"Stabbilizza l-kumplament tal-kloroplast")</f>
        <v>Stabbilizza l-kumplament tal-kloroplast</v>
      </c>
    </row>
    <row r="14718" ht="15.75" customHeight="1">
      <c r="A14718" s="2" t="s">
        <v>14718</v>
      </c>
      <c r="B14718" s="2" t="str">
        <f>IFERROR(__xludf.DUMMYFUNCTION("GOOGLETRANSLATE(A14718, ""en"", ""mt"")"),"fihom muskolu strijat")</f>
        <v>fihom muskolu strijat</v>
      </c>
    </row>
    <row r="14719" ht="15.75" customHeight="1">
      <c r="A14719" s="2" t="s">
        <v>14719</v>
      </c>
      <c r="B14719" s="2" t="str">
        <f>IFERROR(__xludf.DUMMYFUNCTION("GOOGLETRANSLATE(A14719, ""en"", ""mt"")"),"Il-Kaptan Francis Fowke")</f>
        <v>Il-Kaptan Francis Fowke</v>
      </c>
    </row>
    <row r="14720" ht="15.75" customHeight="1">
      <c r="A14720" s="2" t="s">
        <v>14720</v>
      </c>
      <c r="B14720" s="2" t="str">
        <f>IFERROR(__xludf.DUMMYFUNCTION("GOOGLETRANSLATE(A14720, ""en"", ""mt"")"),"It-Tieni Prim Ministru")</f>
        <v>It-Tieni Prim Ministru</v>
      </c>
    </row>
    <row r="14721" ht="15.75" customHeight="1">
      <c r="A14721" s="2" t="s">
        <v>14721</v>
      </c>
      <c r="B14721" s="2" t="str">
        <f>IFERROR(__xludf.DUMMYFUNCTION("GOOGLETRANSLATE(A14721, ""en"", ""mt"")"),"1564")</f>
        <v>1564</v>
      </c>
    </row>
    <row r="14722" ht="15.75" customHeight="1">
      <c r="A14722" s="2" t="s">
        <v>14722</v>
      </c>
      <c r="B14722" s="2" t="str">
        <f>IFERROR(__xludf.DUMMYFUNCTION("GOOGLETRANSLATE(A14722, ""en"", ""mt"")"),"Ġieħ tajjeb għall-waqgħa ta 'Varsavja u l-Istorja tal-Polonja jista' jinstab fil-Mużew tar-Rebbiegħa ta 'Varsavja u fil-Mużew Katyń li jippreserva l-memorja tal-kriminalità. Il-Mużew tar-Reviżjoni ta 'Varsavja jopera wkoll teatru sterjoskopiku storiku ppr"&amp;"eservat u rari, il-Varsavja Fotoplastikon. Il-Mużew tal-Indipendenza jippreserva oġġetti patrijottiċi u politiċi konnessi mal-ġlidiet tal-Polonja għall-indipendenza. Li tmur lura għall-1936 Il-Mużew Storiku ta ’Varsavja fih 60 kmamar li jospitaw wirja per"&amp;"manenti tal-istorja ta’ Varsavja mill-oriġini tagħha sal-lum.")</f>
        <v>Ġieħ tajjeb għall-waqgħa ta 'Varsavja u l-Istorja tal-Polonja jista' jinstab fil-Mużew tar-Rebbiegħa ta 'Varsavja u fil-Mużew Katyń li jippreserva l-memorja tal-kriminalità. Il-Mużew tar-Reviżjoni ta 'Varsavja jopera wkoll teatru sterjoskopiku storiku ppreservat u rari, il-Varsavja Fotoplastikon. Il-Mużew tal-Indipendenza jippreserva oġġetti patrijottiċi u politiċi konnessi mal-ġlidiet tal-Polonja għall-indipendenza. Li tmur lura għall-1936 Il-Mużew Storiku ta ’Varsavja fih 60 kmamar li jospitaw wirja permanenti tal-istorja ta’ Varsavja mill-oriġini tagħha sal-lum.</v>
      </c>
    </row>
    <row r="14723" ht="15.75" customHeight="1">
      <c r="A14723" s="2" t="s">
        <v>14723</v>
      </c>
      <c r="B14723" s="2" t="str">
        <f>IFERROR(__xludf.DUMMYFUNCTION("GOOGLETRANSLATE(A14723, ""en"", ""mt"")"),"X'għandu spinta lill-manifattura f'dawn l-aħħar snin?")</f>
        <v>X'għandu spinta lill-manifattura f'dawn l-aħħar snin?</v>
      </c>
    </row>
    <row r="14724" ht="15.75" customHeight="1">
      <c r="A14724" s="2" t="s">
        <v>14724</v>
      </c>
      <c r="B14724" s="2" t="str">
        <f>IFERROR(__xludf.DUMMYFUNCTION("GOOGLETRANSLATE(A14724, ""en"", ""mt"")"),"X'inhu meqjus bħala l-epitome tar-Romine Romanticism?")</f>
        <v>X'inhu meqjus bħala l-epitome tar-Romine Romanticism?</v>
      </c>
    </row>
    <row r="14725" ht="15.75" customHeight="1">
      <c r="A14725" s="2" t="s">
        <v>14725</v>
      </c>
      <c r="B14725" s="2" t="str">
        <f>IFERROR(__xludf.DUMMYFUNCTION("GOOGLETRANSLATE(A14725, ""en"", ""mt"")"),"Lippe")</f>
        <v>Lippe</v>
      </c>
    </row>
    <row r="14726" ht="15.75" customHeight="1">
      <c r="A14726" s="2" t="s">
        <v>14726</v>
      </c>
      <c r="B14726" s="2" t="str">
        <f>IFERROR(__xludf.DUMMYFUNCTION("GOOGLETRANSLATE(A14726, ""en"", ""mt"")"),"1878")</f>
        <v>1878</v>
      </c>
    </row>
    <row r="14727" ht="15.75" customHeight="1">
      <c r="A14727" s="2" t="s">
        <v>14727</v>
      </c>
      <c r="B14727" s="2" t="str">
        <f>IFERROR(__xludf.DUMMYFUNCTION("GOOGLETRANSLATE(A14727, ""en"", ""mt"")"),"Is-Saturn V fi tliet stadji kien iddisinjat biex jibgħat CSM u LM kompletament alimentati lill-qamar. Kien ta '33 pied (10.1 m) fid-dijametru u kien 363 pied (110.6 m) tall bl-ammont ta 'tagħbija lunari ta' 96,800 lira (43,900 kg). Il-kapaċità tagħha kibr"&amp;"et għal 103,600 lira (47,000 kg) għall-iżbark Lunar avvanzat aktar tard. L-ewwel stadju S-IC maħruq RP-1 / LOX għal imbottatura nominali ta '7,500,000 lira-forza (33,400 kN), li ġiet aġġornata għal 7,610,000 libbra-forza (33,900 kN). It-tieni u t-tielet s"&amp;"tadji maħruqin idroġenu likwidu, u t-tielet stadju kien verżjoni modifikata tal-S-IVB, bl-imbuttatura żdiedet għal 230,000 LBF (1,020 kN) u l-kapaċità li terġa 'tibda l-magna għall-injezzjoni tat-tradott wara li laħqet orbita ta' parkeġġ.")</f>
        <v>Is-Saturn V fi tliet stadji kien iddisinjat biex jibgħat CSM u LM kompletament alimentati lill-qamar. Kien ta '33 pied (10.1 m) fid-dijametru u kien 363 pied (110.6 m) tall bl-ammont ta 'tagħbija lunari ta' 96,800 lira (43,900 kg). Il-kapaċità tagħha kibret għal 103,600 lira (47,000 kg) għall-iżbark Lunar avvanzat aktar tard. L-ewwel stadju S-IC maħruq RP-1 / LOX għal imbottatura nominali ta '7,500,000 lira-forza (33,400 kN), li ġiet aġġornata għal 7,610,000 libbra-forza (33,900 kN). It-tieni u t-tielet stadji maħruqin idroġenu likwidu, u t-tielet stadju kien verżjoni modifikata tal-S-IVB, bl-imbuttatura żdiedet għal 230,000 LBF (1,020 kN) u l-kapaċità li terġa 'tibda l-magna għall-injezzjoni tat-tradott wara li laħqet orbita ta' parkeġġ.</v>
      </c>
    </row>
    <row r="14728" ht="15.75" customHeight="1">
      <c r="A14728" s="2" t="s">
        <v>14728</v>
      </c>
      <c r="B14728" s="2" t="str">
        <f>IFERROR(__xludf.DUMMYFUNCTION("GOOGLETRANSLATE(A14728, ""en"", ""mt"")"),"rivoluzzjoni jew invażjoni")</f>
        <v>rivoluzzjoni jew invażjoni</v>
      </c>
    </row>
    <row r="14729" ht="15.75" customHeight="1">
      <c r="A14729" s="2" t="s">
        <v>14729</v>
      </c>
      <c r="B14729" s="2" t="str">
        <f>IFERROR(__xludf.DUMMYFUNCTION("GOOGLETRANSLATE(A14729, ""en"", ""mt"")"),"Teżijiet kontra Agricola")</f>
        <v>Teżijiet kontra Agricola</v>
      </c>
    </row>
    <row r="14730" ht="15.75" customHeight="1">
      <c r="A14730" s="2" t="s">
        <v>14730</v>
      </c>
      <c r="B14730" s="2" t="str">
        <f>IFERROR(__xludf.DUMMYFUNCTION("GOOGLETRANSLATE(A14730, ""en"", ""mt"")"),"Mazda, Mitsushi u Isuzu ngħaqdu ma 'sħubija ma' liema kumpanija tal-karozzi Amerikani?")</f>
        <v>Mazda, Mitsushi u Isuzu ngħaqdu ma 'sħubija ma' liema kumpanija tal-karozzi Amerikani?</v>
      </c>
    </row>
    <row r="14731" ht="15.75" customHeight="1">
      <c r="A14731" s="2" t="s">
        <v>14731</v>
      </c>
      <c r="B14731" s="2" t="str">
        <f>IFERROR(__xludf.DUMMYFUNCTION("GOOGLETRANSLATE(A14731, ""en"", ""mt"")"),"L-LM kienet maħsuba biex tirritorna fid-Dinja?")</f>
        <v>L-LM kienet maħsuba biex tirritorna fid-Dinja?</v>
      </c>
    </row>
    <row r="14732" ht="15.75" customHeight="1">
      <c r="A14732" s="2" t="s">
        <v>14732</v>
      </c>
      <c r="B14732" s="2" t="str">
        <f>IFERROR(__xludf.DUMMYFUNCTION("GOOGLETRANSLATE(A14732, ""en"", ""mt"")"),"Spazju")</f>
        <v>Spazju</v>
      </c>
    </row>
    <row r="14733" ht="15.75" customHeight="1">
      <c r="A14733" s="2" t="s">
        <v>14733</v>
      </c>
      <c r="B14733" s="2" t="str">
        <f>IFERROR(__xludf.DUMMYFUNCTION("GOOGLETRANSLATE(A14733, ""en"", ""mt"")"),"Downtown Riverside")</f>
        <v>Downtown Riverside</v>
      </c>
    </row>
    <row r="14734" ht="15.75" customHeight="1">
      <c r="A14734" s="2" t="s">
        <v>14734</v>
      </c>
      <c r="B14734" s="2" t="str">
        <f>IFERROR(__xludf.DUMMYFUNCTION("GOOGLETRANSLATE(A14734, ""en"", ""mt"")"),"Żvilupp, Skjerament u Ottimizzazzjoni tas-Sistema ta 'Ġestjoni tal-Medikazzjoni")</f>
        <v>Żvilupp, Skjerament u Ottimizzazzjoni tas-Sistema ta 'Ġestjoni tal-Medikazzjoni</v>
      </c>
    </row>
    <row r="14735" ht="15.75" customHeight="1">
      <c r="A14735" s="2" t="s">
        <v>14735</v>
      </c>
      <c r="B14735" s="2" t="str">
        <f>IFERROR(__xludf.DUMMYFUNCTION("GOOGLETRANSLATE(A14735, ""en"", ""mt"")"),"Min poġġa esibizzjoni ta 'Doctor Who fl-1991?")</f>
        <v>Min poġġa esibizzjoni ta 'Doctor Who fl-1991?</v>
      </c>
    </row>
    <row r="14736" ht="15.75" customHeight="1">
      <c r="A14736" s="2" t="s">
        <v>14736</v>
      </c>
      <c r="B14736" s="2" t="str">
        <f>IFERROR(__xludf.DUMMYFUNCTION("GOOGLETRANSLATE(A14736, ""en"", ""mt"")"),"X'jista 'jirriżulta minn disturbi tas-sistema immuni?")</f>
        <v>X'jista 'jirriżulta minn disturbi tas-sistema immuni?</v>
      </c>
    </row>
    <row r="14737" ht="15.75" customHeight="1">
      <c r="A14737" s="2" t="s">
        <v>14737</v>
      </c>
      <c r="B14737" s="2" t="str">
        <f>IFERROR(__xludf.DUMMYFUNCTION("GOOGLETRANSLATE(A14737, ""en"", ""mt"")"),"Meta s-soltu ssir il-ġurnata tal-midja tal-logħba?")</f>
        <v>Meta s-soltu ssir il-ġurnata tal-midja tal-logħba?</v>
      </c>
    </row>
    <row r="14738" ht="15.75" customHeight="1">
      <c r="A14738" s="2" t="s">
        <v>14738</v>
      </c>
      <c r="B14738" s="2" t="str">
        <f>IFERROR(__xludf.DUMMYFUNCTION("GOOGLETRANSLATE(A14738, ""en"", ""mt"")"),"Ir-Renu jifforma delta interna f'liema lag?")</f>
        <v>Ir-Renu jifforma delta interna f'liema lag?</v>
      </c>
    </row>
    <row r="14739" ht="15.75" customHeight="1">
      <c r="A14739" s="2" t="s">
        <v>14739</v>
      </c>
      <c r="B14739" s="2" t="str">
        <f>IFERROR(__xludf.DUMMYFUNCTION("GOOGLETRANSLATE(A14739, ""en"", ""mt"")"),"rinnovazzjonijiet żgħar")</f>
        <v>rinnovazzjonijiet żgħar</v>
      </c>
    </row>
    <row r="14740" ht="15.75" customHeight="1">
      <c r="A14740" s="2" t="s">
        <v>14740</v>
      </c>
      <c r="B14740" s="2" t="str">
        <f>IFERROR(__xludf.DUMMYFUNCTION("GOOGLETRANSLATE(A14740, ""en"", ""mt"")"),"Liema metall intuża fl-eżekuzzjoni ta 'Inalchuq?")</f>
        <v>Liema metall intuża fl-eżekuzzjoni ta 'Inalchuq?</v>
      </c>
    </row>
    <row r="14741" ht="15.75" customHeight="1">
      <c r="A14741" s="2" t="s">
        <v>14741</v>
      </c>
      <c r="B14741" s="2" t="str">
        <f>IFERROR(__xludf.DUMMYFUNCTION("GOOGLETRANSLATE(A14741, ""en"", ""mt"")"),"Prestazzjoni ta 'tlieta sa ħames miljun telespettatur kienet meqjusa bħala fqira")</f>
        <v>Prestazzjoni ta 'tlieta sa ħames miljun telespettatur kienet meqjusa bħala fqira</v>
      </c>
    </row>
    <row r="14742" ht="15.75" customHeight="1">
      <c r="A14742" s="2" t="s">
        <v>14742</v>
      </c>
      <c r="B14742" s="2" t="str">
        <f>IFERROR(__xludf.DUMMYFUNCTION("GOOGLETRANSLATE(A14742, ""en"", ""mt"")"),"Liema denominazzjoni għandha aktar sensiela individwalistika?")</f>
        <v>Liema denominazzjoni għandha aktar sensiela individwalistika?</v>
      </c>
    </row>
    <row r="14743" ht="15.75" customHeight="1">
      <c r="A14743" s="2" t="s">
        <v>14743</v>
      </c>
      <c r="B14743" s="2" t="str">
        <f>IFERROR(__xludf.DUMMYFUNCTION("GOOGLETRANSLATE(A14743, ""en"", ""mt"")"),"B'mod ċar, xi tumuri jevadu s-sistema immuni u jkomplu jsiru kanċer. Iċ-ċelloli tat-tumur spiss ikollhom numru imnaqqas ta 'molekuli tal-klassi I MHC fuq il-wiċċ tagħhom, u b'hekk jevitaw is-sejbien minn ċelloli T qattiel. Xi ċelloli tat-tumur jirrilaxxaw"&amp;" ukoll prodotti li jinibixxu r-rispons immuni; Pereżempju billi tnixxi ċ-ċitokina TGF-β, li trażżan l-attività ta 'makrofaġi u limfoċiti. Barra minn hekk, it-tolleranza immunoloġika tista 'tiżviluppa kontra antiġeni tat-tumur, u għalhekk is-sistema immuni"&amp;"tarja ma tibqax tattakka ċ-ċelloli tat-tumur.")</f>
        <v>B'mod ċar, xi tumuri jevadu s-sistema immuni u jkomplu jsiru kanċer. Iċ-ċelloli tat-tumur spiss ikollhom numru imnaqqas ta 'molekuli tal-klassi I MHC fuq il-wiċċ tagħhom, u b'hekk jevitaw is-sejbien minn ċelloli T qattiel. Xi ċelloli tat-tumur jirrilaxxaw ukoll prodotti li jinibixxu r-rispons immuni; Pereżempju billi tnixxi ċ-ċitokina TGF-β, li trażżan l-attività ta 'makrofaġi u limfoċiti. Barra minn hekk, it-tolleranza immunoloġika tista 'tiżviluppa kontra antiġeni tat-tumur, u għalhekk is-sistema immunitarja ma tibqax tattakka ċ-ċelloli tat-tumur.</v>
      </c>
    </row>
    <row r="14744" ht="15.75" customHeight="1">
      <c r="A14744" s="2" t="s">
        <v>14744</v>
      </c>
      <c r="B14744" s="2" t="str">
        <f>IFERROR(__xludf.DUMMYFUNCTION("GOOGLETRANSLATE(A14744, ""en"", ""mt"")"),"Il-kategorija l-oħra ta 'skejjel huma dawk immexxija u parzjalment jew kompletament iffinanzjati minn individwi privati, organizzazzjonijiet privati ​​u gruppi reliġjużi. Dawk li jaċċettaw fondi tal-gvern huma msejħa skejjel 'megħjuna'. L-iskejjel privati"&amp;" ​​'mhux megħjuna' huma ffinanzjati bis-sħiħ minn partijiet privati. L-istandard u l-kwalità tal-edukazzjoni huma pjuttost għoljin. Teknikament, dawn jiġu kklassifikati bħala skejjel privati, iżda ħafna minnhom għandhom l-isem ""skola pubblika"" mehmuża m"&amp;"agħhom, e.g., l-Iskola Pubblika Galaxy f'Katmandu. Ħafna mill-familji tal-klassi tan-nofs jibagħtu lil uliedhom fi skejjel bħal dawn, li jistgħu jkunu fil-belt tagħhom stess jew 'il bogħod, bħall-iskejjel tal-imbarkazzjoni. Il-mezz ta 'edukazzjoni huwa l-"&amp;"Ingliż, iżda bħala suġġett obbligatorju, in-Nepali u / jew il-lingwa uffiċjali tal-istat huwa mgħallem ukoll. L-edukazzjoni qabel l-iskola hija l-aktar limitata għal skejjel organizzati tal-viċinat tal-viċinat.")</f>
        <v>Il-kategorija l-oħra ta 'skejjel huma dawk immexxija u parzjalment jew kompletament iffinanzjati minn individwi privati, organizzazzjonijiet privati ​​u gruppi reliġjużi. Dawk li jaċċettaw fondi tal-gvern huma msejħa skejjel 'megħjuna'. L-iskejjel privati ​​'mhux megħjuna' huma ffinanzjati bis-sħiħ minn partijiet privati. L-istandard u l-kwalità tal-edukazzjoni huma pjuttost għoljin. Teknikament, dawn jiġu kklassifikati bħala skejjel privati, iżda ħafna minnhom għandhom l-isem "skola pubblika" mehmuża magħhom, e.g., l-Iskola Pubblika Galaxy f'Katmandu. Ħafna mill-familji tal-klassi tan-nofs jibagħtu lil uliedhom fi skejjel bħal dawn, li jistgħu jkunu fil-belt tagħhom stess jew 'il bogħod, bħall-iskejjel tal-imbarkazzjoni. Il-mezz ta 'edukazzjoni huwa l-Ingliż, iżda bħala suġġett obbligatorju, in-Nepali u / jew il-lingwa uffiċjali tal-istat huwa mgħallem ukoll. L-edukazzjoni qabel l-iskola hija l-aktar limitata għal skejjel organizzati tal-viċinat tal-viċinat.</v>
      </c>
    </row>
    <row r="14745" ht="15.75" customHeight="1">
      <c r="A14745" s="2" t="s">
        <v>14745</v>
      </c>
      <c r="B14745" s="2" t="str">
        <f>IFERROR(__xludf.DUMMYFUNCTION("GOOGLETRANSLATE(A14745, ""en"", ""mt"")"),"Romana")</f>
        <v>Romana</v>
      </c>
    </row>
    <row r="14746" ht="15.75" customHeight="1">
      <c r="A14746" s="2" t="s">
        <v>14746</v>
      </c>
      <c r="B14746" s="2" t="str">
        <f>IFERROR(__xludf.DUMMYFUNCTION("GOOGLETRANSLATE(A14746, ""en"", ""mt"")"),"Keraite")</f>
        <v>Keraite</v>
      </c>
    </row>
    <row r="14747" ht="15.75" customHeight="1">
      <c r="A14747" s="2" t="s">
        <v>14747</v>
      </c>
      <c r="B14747" s="2" t="str">
        <f>IFERROR(__xludf.DUMMYFUNCTION("GOOGLETRANSLATE(A14747, ""en"", ""mt"")"),"565 ° C.")</f>
        <v>565 ° C.</v>
      </c>
    </row>
    <row r="14748" ht="15.75" customHeight="1">
      <c r="A14748" s="2" t="s">
        <v>14748</v>
      </c>
      <c r="B14748" s="2" t="str">
        <f>IFERROR(__xludf.DUMMYFUNCTION("GOOGLETRANSLATE(A14748, ""en"", ""mt"")"),"L-Artikolu 34 kien ifisser li stati jistgħu jkunu responsabbli għal xiex?")</f>
        <v>L-Artikolu 34 kien ifisser li stati jistgħu jkunu responsabbli għal xiex?</v>
      </c>
    </row>
    <row r="14749" ht="15.75" customHeight="1">
      <c r="A14749" s="2" t="s">
        <v>14749</v>
      </c>
      <c r="B14749" s="2" t="str">
        <f>IFERROR(__xludf.DUMMYFUNCTION("GOOGLETRANSLATE(A14749, ""en"", ""mt"")"),"X'inhuma FTSZ1 u FTSZ2?")</f>
        <v>X'inhuma FTSZ1 u FTSZ2?</v>
      </c>
    </row>
    <row r="14750" ht="15.75" customHeight="1">
      <c r="A14750" s="2" t="s">
        <v>14750</v>
      </c>
      <c r="B14750" s="2" t="str">
        <f>IFERROR(__xludf.DUMMYFUNCTION("GOOGLETRANSLATE(A14750, ""en"", ""mt"")"),"X'inhuma l-ambjentalisti mħassba dwar li ġew rilaxxati mir-reġjun tal-Amażonja?")</f>
        <v>X'inhuma l-ambjentalisti mħassba dwar li ġew rilaxxati mir-reġjun tal-Amażonja?</v>
      </c>
    </row>
    <row r="14751" ht="15.75" customHeight="1">
      <c r="A14751" s="2" t="s">
        <v>14751</v>
      </c>
      <c r="B14751" s="2" t="str">
        <f>IFERROR(__xludf.DUMMYFUNCTION("GOOGLETRANSLATE(A14751, ""en"", ""mt"")"),"X'taħseb li Tesla tista 'ttejjeb l-intelliġenza tal-moħħ?")</f>
        <v>X'taħseb li Tesla tista 'ttejjeb l-intelliġenza tal-moħħ?</v>
      </c>
    </row>
    <row r="14752" ht="15.75" customHeight="1">
      <c r="A14752" s="2" t="s">
        <v>14752</v>
      </c>
      <c r="B14752" s="2" t="str">
        <f>IFERROR(__xludf.DUMMYFUNCTION("GOOGLETRANSLATE(A14752, ""en"", ""mt"")"),"Liema skola tal-politika pubblika sabet id-dar tagħha fil-bini li ddisinja Ludwig Mies van der Rohe?")</f>
        <v>Liema skola tal-politika pubblika sabet id-dar tagħha fil-bini li ddisinja Ludwig Mies van der Rohe?</v>
      </c>
    </row>
    <row r="14753" ht="15.75" customHeight="1">
      <c r="A14753" s="2" t="s">
        <v>14753</v>
      </c>
      <c r="B14753" s="2" t="str">
        <f>IFERROR(__xludf.DUMMYFUNCTION("GOOGLETRANSLATE(A14753, ""en"", ""mt"")"),"L-elezzjoni tal-Partit Laburista tar-Renju Unit għall-Gvern fl-1997")</f>
        <v>L-elezzjoni tal-Partit Laburista tar-Renju Unit għall-Gvern fl-1997</v>
      </c>
    </row>
    <row r="14754" ht="15.75" customHeight="1">
      <c r="A14754" s="2" t="s">
        <v>14754</v>
      </c>
      <c r="B14754" s="2" t="str">
        <f>IFERROR(__xludf.DUMMYFUNCTION("GOOGLETRANSLATE(A14754, ""en"", ""mt"")"),"Qabel ma l-fondazzjoni tkun tista 'titħaffer, il-kuntratturi huma tipikament meħtieġa biex jivverifikaw u jkollhom linji ta' utilità eżistenti mmarkati, jew mill-utilitajiet infushom jew permezz ta 'kumpanija li tispeċjalizza f'dawn is-servizzi. Dan inaqq"&amp;"as il-probabbiltà ta 'ħsara lill-faċilitajiet elettriċi, tad-drenaġġ, tat-telefon u tal-kejbil eżistenti, li jistgħu jikkawżaw qtugħ u sitwazzjonijiet potenzjalment perikolużi. Matul il-kostruzzjoni ta 'bini, l-ispettur tal-bini muniċipali jispezzjona l-b"&amp;"ini perjodikament biex jiżgura li l-kostruzzjoni taderixxi mal-pjanijiet approvati u l-kodiċi tal-bini lokali. Ladarba l-kostruzzjoni tkun kompluta u ġiet mgħoddija spezzjoni finali, jista 'jinħareġ permess ta' okkupazzjoni.")</f>
        <v>Qabel ma l-fondazzjoni tkun tista 'titħaffer, il-kuntratturi huma tipikament meħtieġa biex jivverifikaw u jkollhom linji ta' utilità eżistenti mmarkati, jew mill-utilitajiet infushom jew permezz ta 'kumpanija li tispeċjalizza f'dawn is-servizzi. Dan inaqqas il-probabbiltà ta 'ħsara lill-faċilitajiet elettriċi, tad-drenaġġ, tat-telefon u tal-kejbil eżistenti, li jistgħu jikkawżaw qtugħ u sitwazzjonijiet potenzjalment perikolużi. Matul il-kostruzzjoni ta 'bini, l-ispettur tal-bini muniċipali jispezzjona l-bini perjodikament biex jiżgura li l-kostruzzjoni taderixxi mal-pjanijiet approvati u l-kodiċi tal-bini lokali. Ladarba l-kostruzzjoni tkun kompluta u ġiet mgħoddija spezzjoni finali, jista 'jinħareġ permess ta' okkupazzjoni.</v>
      </c>
    </row>
    <row r="14755" ht="15.75" customHeight="1">
      <c r="A14755" s="2" t="s">
        <v>14755</v>
      </c>
      <c r="B14755" s="2" t="str">
        <f>IFERROR(__xludf.DUMMYFUNCTION("GOOGLETRANSLATE(A14755, ""en"", ""mt"")"),"Besh Baliq, Almaliq, u Samarqand")</f>
        <v>Besh Baliq, Almaliq, u Samarqand</v>
      </c>
    </row>
    <row r="14756" ht="15.75" customHeight="1">
      <c r="A14756" s="2" t="s">
        <v>14756</v>
      </c>
      <c r="B14756" s="2" t="str">
        <f>IFERROR(__xludf.DUMMYFUNCTION("GOOGLETRANSLATE(A14756, ""en"", ""mt"")"),"X'tip ta 'antenna ntużat għall-komunikazzjoni fuq it-titjiriet Lunar?")</f>
        <v>X'tip ta 'antenna ntużat għall-komunikazzjoni fuq it-titjiriet Lunar?</v>
      </c>
    </row>
    <row r="14757" ht="15.75" customHeight="1">
      <c r="A14757" s="2" t="s">
        <v>14757</v>
      </c>
      <c r="B14757" s="2" t="str">
        <f>IFERROR(__xludf.DUMMYFUNCTION("GOOGLETRANSLATE(A14757, ""en"", ""mt"")"),"invaginazzjonijiet")</f>
        <v>invaginazzjonijiet</v>
      </c>
    </row>
    <row r="14758" ht="15.75" customHeight="1">
      <c r="A14758" s="2" t="s">
        <v>14758</v>
      </c>
      <c r="B14758" s="2" t="str">
        <f>IFERROR(__xludf.DUMMYFUNCTION("GOOGLETRANSLATE(A14758, ""en"", ""mt"")"),"Liema Fort inbena mill-ġdid fl-1964?")</f>
        <v>Liema Fort inbena mill-ġdid fl-1964?</v>
      </c>
    </row>
    <row r="14759" ht="15.75" customHeight="1">
      <c r="A14759" s="2" t="s">
        <v>14759</v>
      </c>
      <c r="B14759" s="2" t="str">
        <f>IFERROR(__xludf.DUMMYFUNCTION("GOOGLETRANSLATE(A14759, ""en"", ""mt"")"),"X'inhi l-akbar reliġjon mhux Kristjana tar-Rabat?")</f>
        <v>X'inhi l-akbar reliġjon mhux Kristjana tar-Rabat?</v>
      </c>
    </row>
    <row r="14760" ht="15.75" customHeight="1">
      <c r="A14760" s="2" t="s">
        <v>14760</v>
      </c>
      <c r="B14760" s="2" t="str">
        <f>IFERROR(__xludf.DUMMYFUNCTION("GOOGLETRANSLATE(A14760, ""en"", ""mt"")"),"Liema grupp jista 'jemenda l-Kostituzzjoni Vittorjana?")</f>
        <v>Liema grupp jista 'jemenda l-Kostituzzjoni Vittorjana?</v>
      </c>
    </row>
    <row r="14761" ht="15.75" customHeight="1">
      <c r="A14761" s="2" t="s">
        <v>14761</v>
      </c>
      <c r="B14761" s="2" t="str">
        <f>IFERROR(__xludf.DUMMYFUNCTION("GOOGLETRANSLATE(A14761, ""en"", ""mt"")"),"Kemm refuġjati emigraw lejn ir-Repubblika Olandiża?")</f>
        <v>Kemm refuġjati emigraw lejn ir-Repubblika Olandiża?</v>
      </c>
    </row>
    <row r="14762" ht="15.75" customHeight="1">
      <c r="A14762" s="2" t="s">
        <v>14762</v>
      </c>
      <c r="B14762" s="2" t="str">
        <f>IFERROR(__xludf.DUMMYFUNCTION("GOOGLETRANSLATE(A14762, ""en"", ""mt"")"),"X’kontribwixxa għall-inugwaljanza mnaqqsa bejn ħaddiema mħarrġa u mhux imħarrġa?")</f>
        <v>X’kontribwixxa għall-inugwaljanza mnaqqsa bejn ħaddiema mħarrġa u mhux imħarrġa?</v>
      </c>
    </row>
    <row r="14763" ht="15.75" customHeight="1">
      <c r="A14763" s="2" t="s">
        <v>14763</v>
      </c>
      <c r="B14763" s="2" t="str">
        <f>IFERROR(__xludf.DUMMYFUNCTION("GOOGLETRANSLATE(A14763, ""en"", ""mt"")"),"Liema leġislazzjoni importanti ġiet mgħoddija mill-Kungress għall-industrija tat-televiżjoni fl-1961?")</f>
        <v>Liema leġislazzjoni importanti ġiet mgħoddija mill-Kungress għall-industrija tat-televiżjoni fl-1961?</v>
      </c>
    </row>
    <row r="14764" ht="15.75" customHeight="1">
      <c r="A14764" s="2" t="s">
        <v>14764</v>
      </c>
      <c r="B14764" s="2" t="str">
        <f>IFERROR(__xludf.DUMMYFUNCTION("GOOGLETRANSLATE(A14764, ""en"", ""mt"")"),"idea ta 'turmenti")</f>
        <v>idea ta 'turmenti</v>
      </c>
    </row>
    <row r="14765" ht="15.75" customHeight="1">
      <c r="A14765" s="2" t="s">
        <v>14765</v>
      </c>
      <c r="B14765" s="2" t="str">
        <f>IFERROR(__xludf.DUMMYFUNCTION("GOOGLETRANSLATE(A14765, ""en"", ""mt"")"),"Il-marda tal-pesta, ikkawżata minn Yersinia pestis, hija enzootika (komunement preżenti) f'popolazzjonijiet ta 'briegħed li jinġarru minn annimali gerriema mitħuna, inklużi marmots, f'diversi żoni inklużi l-Asja Ċentrali, il-Kurdistan, l-Asja tal-Punent, "&amp;"l-Asja tal-Punent, l-Indja tat-Tramuntana u l-Uganda. L-oqbra Nestorjani li jmorru għal 1338–39 ħdejn il-Lag Issyk Kul fil-Kirgiżistan għandhom skrizzjonijiet li jirreferu għall-pesta u huma maħsuba minn ħafna epidemjologi biex jimmarkaw it-tifqigħa tal-e"&amp;"pidemija, li minnha setgħet tinfirex faċilment lejn iċ-Ċina u l-Indja. F’Ottubru 2010, ġenetiċi mediċi ssuġġerew li t-tlieta mill-mewġ il-kbir tal-pesta oriġinaw fiċ-Ċina. Fiċ-Ċina, il-konkwista Mongolla tas-seklu 13 ikkawżat tnaqqis fil-biedja u l-kummer"&amp;"ċ. Madankollu, l-irkupru ekonomiku kien osservat fil-bidu tas-seklu 14. Fis-1330, numru kbir ta 'diżastri u pesti naturali wasslu għal ġuħ mifrux, li jibda fl-1331, b'pesta fatali li tasal ftit wara. Epidemiji li setgħu inkludew il-pesta qatlu madwar 25 m"&amp;"iljun Ċiniż u Asjatiċi oħra matul il-15-il sena qabel ma waslu Kostantinopli fl-1347.")</f>
        <v>Il-marda tal-pesta, ikkawżata minn Yersinia pestis, hija enzootika (komunement preżenti) f'popolazzjonijiet ta 'briegħed li jinġarru minn annimali gerriema mitħuna, inklużi marmots, f'diversi żoni inklużi l-Asja Ċentrali, il-Kurdistan, l-Asja tal-Punent, l-Asja tal-Punent, l-Indja tat-Tramuntana u l-Uganda. L-oqbra Nestorjani li jmorru għal 1338–39 ħdejn il-Lag Issyk Kul fil-Kirgiżistan għandhom skrizzjonijiet li jirreferu għall-pesta u huma maħsuba minn ħafna epidemjologi biex jimmarkaw it-tifqigħa tal-epidemija, li minnha setgħet tinfirex faċilment lejn iċ-Ċina u l-Indja. F’Ottubru 2010, ġenetiċi mediċi ssuġġerew li t-tlieta mill-mewġ il-kbir tal-pesta oriġinaw fiċ-Ċina. Fiċ-Ċina, il-konkwista Mongolla tas-seklu 13 ikkawżat tnaqqis fil-biedja u l-kummerċ. Madankollu, l-irkupru ekonomiku kien osservat fil-bidu tas-seklu 14. Fis-1330, numru kbir ta 'diżastri u pesti naturali wasslu għal ġuħ mifrux, li jibda fl-1331, b'pesta fatali li tasal ftit wara. Epidemiji li setgħu inkludew il-pesta qatlu madwar 25 miljun Ċiniż u Asjatiċi oħra matul il-15-il sena qabel ma waslu Kostantinopli fl-1347.</v>
      </c>
    </row>
    <row r="14766" ht="15.75" customHeight="1">
      <c r="A14766" s="2" t="s">
        <v>14766</v>
      </c>
      <c r="B14766" s="2" t="str">
        <f>IFERROR(__xludf.DUMMYFUNCTION("GOOGLETRANSLATE(A14766, ""en"", ""mt"")"),"Kemm hemm stazzjonijiet affiljati ABC bħalissa?")</f>
        <v>Kemm hemm stazzjonijiet affiljati ABC bħalissa?</v>
      </c>
    </row>
    <row r="14767" ht="15.75" customHeight="1">
      <c r="A14767" s="2" t="s">
        <v>14767</v>
      </c>
      <c r="B14767" s="2" t="str">
        <f>IFERROR(__xludf.DUMMYFUNCTION("GOOGLETRANSLATE(A14767, ""en"", ""mt"")"),"Silikon")</f>
        <v>Silikon</v>
      </c>
    </row>
    <row r="14768" ht="15.75" customHeight="1">
      <c r="A14768" s="2" t="s">
        <v>14768</v>
      </c>
      <c r="B14768" s="2" t="str">
        <f>IFERROR(__xludf.DUMMYFUNCTION("GOOGLETRANSLATE(A14768, ""en"", ""mt"")"),"Għaxar darbiet il-piż tagħhom stess")</f>
        <v>Għaxar darbiet il-piż tagħhom stess</v>
      </c>
    </row>
    <row r="14769" ht="15.75" customHeight="1">
      <c r="A14769" s="2" t="s">
        <v>14769</v>
      </c>
      <c r="B14769" s="2" t="str">
        <f>IFERROR(__xludf.DUMMYFUNCTION("GOOGLETRANSLATE(A14769, ""en"", ""mt"")"),"Liema belt fir-Rabat tissejjaħ il-kapitali sportiva tal-Awstralja?")</f>
        <v>Liema belt fir-Rabat tissejjaħ il-kapitali sportiva tal-Awstralja?</v>
      </c>
    </row>
    <row r="14770" ht="15.75" customHeight="1">
      <c r="A14770" s="2" t="s">
        <v>14770</v>
      </c>
      <c r="B14770" s="2" t="str">
        <f>IFERROR(__xludf.DUMMYFUNCTION("GOOGLETRANSLATE(A14770, ""en"", ""mt"")"),"Gan")</f>
        <v>Gan</v>
      </c>
    </row>
    <row r="14771" ht="15.75" customHeight="1">
      <c r="A14771" s="2" t="s">
        <v>14771</v>
      </c>
      <c r="B14771" s="2" t="str">
        <f>IFERROR(__xludf.DUMMYFUNCTION("GOOGLETRANSLATE(A14771, ""en"", ""mt"")"),"Verżjoni idealizzata u sistematizzata tad-dwana tal-villaġġ tribali konservattiv")</f>
        <v>Verżjoni idealizzata u sistematizzata tad-dwana tal-villaġġ tribali konservattiv</v>
      </c>
    </row>
    <row r="14772" ht="15.75" customHeight="1">
      <c r="A14772" s="2" t="s">
        <v>14772</v>
      </c>
      <c r="B14772" s="2" t="str">
        <f>IFERROR(__xludf.DUMMYFUNCTION("GOOGLETRANSLATE(A14772, ""en"", ""mt"")"),"Liema futboler Belġjan sostna li għandu jitħalla jittrasferixxi minn klabb tal-futbol għal ieħor meta l-kuntratt tiegħu twettaq?")</f>
        <v>Liema futboler Belġjan sostna li għandu jitħalla jittrasferixxi minn klabb tal-futbol għal ieħor meta l-kuntratt tiegħu twettaq?</v>
      </c>
    </row>
    <row r="14773" ht="15.75" customHeight="1">
      <c r="A14773" s="2" t="s">
        <v>14773</v>
      </c>
      <c r="B14773" s="2" t="str">
        <f>IFERROR(__xludf.DUMMYFUNCTION("GOOGLETRANSLATE(A14773, ""en"", ""mt"")"),"32")</f>
        <v>32</v>
      </c>
    </row>
    <row r="14774" ht="15.75" customHeight="1">
      <c r="A14774" s="2" t="s">
        <v>14774</v>
      </c>
      <c r="B14774" s="2" t="str">
        <f>IFERROR(__xludf.DUMMYFUNCTION("GOOGLETRANSLATE(A14774, ""en"", ""mt"")"),"Xi kultant jaffermaw l-istudjużi li Luther emmnu dwar liema fidi u raġuni kienu għal xulxin?")</f>
        <v>Xi kultant jaffermaw l-istudjużi li Luther emmnu dwar liema fidi u raġuni kienu għal xulxin?</v>
      </c>
    </row>
    <row r="14775" ht="15.75" customHeight="1">
      <c r="A14775" s="2" t="s">
        <v>14775</v>
      </c>
      <c r="B14775" s="2" t="str">
        <f>IFERROR(__xludf.DUMMYFUNCTION("GOOGLETRANSLATE(A14775, ""en"", ""mt"")"),"Braddock")</f>
        <v>Braddock</v>
      </c>
    </row>
    <row r="14776" ht="15.75" customHeight="1">
      <c r="A14776" s="2" t="s">
        <v>14776</v>
      </c>
      <c r="B14776" s="2" t="str">
        <f>IFERROR(__xludf.DUMMYFUNCTION("GOOGLETRANSLATE(A14776, ""en"", ""mt"")"),"Midalja tas-servizz distinta")</f>
        <v>Midalja tas-servizz distinta</v>
      </c>
    </row>
    <row r="14777" ht="15.75" customHeight="1">
      <c r="A14777" s="2" t="s">
        <v>14777</v>
      </c>
      <c r="B14777" s="2" t="str">
        <f>IFERROR(__xludf.DUMMYFUNCTION("GOOGLETRANSLATE(A14777, ""en"", ""mt"")"),"""nar fit toqba""")</f>
        <v>"nar fit toqba"</v>
      </c>
    </row>
    <row r="14778" ht="15.75" customHeight="1">
      <c r="A14778" s="2" t="s">
        <v>14778</v>
      </c>
      <c r="B14778" s="2" t="str">
        <f>IFERROR(__xludf.DUMMYFUNCTION("GOOGLETRANSLATE(A14778, ""en"", ""mt"")"),"Skejjel tal-Karta Pubblika fuq in-naħa tan-Nofsinhar ta ’Chicago")</f>
        <v>Skejjel tal-Karta Pubblika fuq in-naħa tan-Nofsinhar ta ’Chicago</v>
      </c>
    </row>
    <row r="14779" ht="15.75" customHeight="1">
      <c r="A14779" s="2" t="s">
        <v>14779</v>
      </c>
      <c r="B14779" s="2" t="str">
        <f>IFERROR(__xludf.DUMMYFUNCTION("GOOGLETRANSLATE(A14779, ""en"", ""mt"")"),"Fl-1952, meta r-rilaxx tas-sitt rapport u l-ordni tal-FCC ħabbru t-tmiem tal-iffriżar tagħha fuq applikazzjonijiet ta 'liċenzja ta' stazzjon ġodda, fost il-kwistjonijiet li l-kummissjoni kienet prevista biex tindirizza kienet jekk tapprovax l-għaqda UPT-A"&amp;"BC. Kummissarju wieħed tal-FCC ra l-possibbiltà ta 'ABC, iffinanzjat mill-UPT, li sar terz netwerk tat-televiżjoni vijabbli u kompetittiv. Fid-9 ta 'Frar, 1953, l-FCC approva x-xiri ta' ABC tal-UPT bi skambju għal $ 25 miljun f'ishma. Il-kumpanija magħqud"&amp;"a, imsejħa American Broadcasting-Paramount Theaters, Inc. u bil-kwartjieri ġenerali fil-Paramount Building fil-1501 Broadway f'Manhattan, kienet proprjetà ta 'sitta AM u diversi stazzjonijiet tar-radju FM, ħames stazzjonijiet televiżivi u 644 ċinema f'300"&amp;" belt ta' l-Istati Uniti. Biex tikkonforma mar-restrizzjonijiet tas-sjieda tal-FCC fis-seħħ fiż-żmien li jwaqqfu s-sjieda komuni ta 'żewġ stazzjonijiet tat-televiżjoni fl-istess suq, UPT biegħ l-istazzjon tat-televiżjoni tagħha f'Chicago, WBKB-TV, lil CBS"&amp;" (li sussegwentement biddel l-ittri tal-istazzjon lil WBBM-TV) Għal $ 6 miljun, waqt li żamm l-istazzjon ta 'Chicago eżistenti ta' ABC, WENR-TV. Il-kumpanija magħquda akkwistat l-ittri ta 'telefonati WBKB għal Channel 7, li eventwalment issir WLS-TV. Gold"&amp;"enson beda jbiegħ uħud mit-teatri anzjani biex jgħinu jiffinanzjaw in-netwerk tat-televiżjoni l-ġdid.")</f>
        <v>Fl-1952, meta r-rilaxx tas-sitt rapport u l-ordni tal-FCC ħabbru t-tmiem tal-iffriżar tagħha fuq applikazzjonijiet ta 'liċenzja ta' stazzjon ġodda, fost il-kwistjonijiet li l-kummissjoni kienet prevista biex tindirizza kienet jekk tapprovax l-għaqda UPT-ABC. Kummissarju wieħed tal-FCC ra l-possibbiltà ta 'ABC, iffinanzjat mill-UPT, li sar terz netwerk tat-televiżjoni vijabbli u kompetittiv. Fid-9 ta 'Frar, 1953, l-FCC approva x-xiri ta' ABC tal-UPT bi skambju għal $ 25 miljun f'ishma. Il-kumpanija magħquda, imsejħa American Broadcasting-Paramount Theaters, Inc. u bil-kwartjieri ġenerali fil-Paramount Building fil-1501 Broadway f'Manhattan, kienet proprjetà ta 'sitta AM u diversi stazzjonijiet tar-radju FM, ħames stazzjonijiet televiżivi u 644 ċinema f'300 belt ta' l-Istati Uniti. Biex tikkonforma mar-restrizzjonijiet tas-sjieda tal-FCC fis-seħħ fiż-żmien li jwaqqfu s-sjieda komuni ta 'żewġ stazzjonijiet tat-televiżjoni fl-istess suq, UPT biegħ l-istazzjon tat-televiżjoni tagħha f'Chicago, WBKB-TV, lil CBS (li sussegwentement biddel l-ittri tal-istazzjon lil WBBM-TV) Għal $ 6 miljun, waqt li żamm l-istazzjon ta 'Chicago eżistenti ta' ABC, WENR-TV. Il-kumpanija magħquda akkwistat l-ittri ta 'telefonati WBKB għal Channel 7, li eventwalment issir WLS-TV. Goldenson beda jbiegħ uħud mit-teatri anzjani biex jgħinu jiffinanzjaw in-netwerk tat-televiżjoni l-ġdid.</v>
      </c>
    </row>
    <row r="14780" ht="15.75" customHeight="1">
      <c r="A14780" s="2" t="s">
        <v>14780</v>
      </c>
      <c r="B14780" s="2" t="str">
        <f>IFERROR(__xludf.DUMMYFUNCTION("GOOGLETRANSLATE(A14780, ""en"", ""mt"")"),"X'inhi l-marka tal-isem tar-reġistratur tal-vidjow personali li toffri BSKYB?")</f>
        <v>X'inhi l-marka tal-isem tar-reġistratur tal-vidjow personali li toffri BSKYB?</v>
      </c>
    </row>
    <row r="14781" ht="15.75" customHeight="1">
      <c r="A14781" s="2" t="s">
        <v>14781</v>
      </c>
      <c r="B14781" s="2" t="str">
        <f>IFERROR(__xludf.DUMMYFUNCTION("GOOGLETRANSLATE(A14781, ""en"", ""mt"")"),"kiber fi privileġġ sostanzjali")</f>
        <v>kiber fi privileġġ sostanzjali</v>
      </c>
    </row>
    <row r="14782" ht="15.75" customHeight="1">
      <c r="A14782" s="2" t="s">
        <v>14782</v>
      </c>
      <c r="B14782" s="2" t="str">
        <f>IFERROR(__xludf.DUMMYFUNCTION("GOOGLETRANSLATE(A14782, ""en"", ""mt"")"),"Michael Mullett")</f>
        <v>Michael Mullett</v>
      </c>
    </row>
    <row r="14783" ht="15.75" customHeight="1">
      <c r="A14783" s="2" t="s">
        <v>14783</v>
      </c>
      <c r="B14783" s="2" t="str">
        <f>IFERROR(__xludf.DUMMYFUNCTION("GOOGLETRANSLATE(A14783, ""en"", ""mt"")"),"Min hu l-fundatur tal-organizzazzjoni tal-komunità moderna?")</f>
        <v>Min hu l-fundatur tal-organizzazzjoni tal-komunità moderna?</v>
      </c>
    </row>
    <row r="14784" ht="15.75" customHeight="1">
      <c r="A14784" s="2" t="s">
        <v>14784</v>
      </c>
      <c r="B14784" s="2" t="str">
        <f>IFERROR(__xludf.DUMMYFUNCTION("GOOGLETRANSLATE(A14784, ""en"", ""mt"")"),"X'inhuma ż-żewġ tipi differenti ta 'immunità?")</f>
        <v>X'inhuma ż-żewġ tipi differenti ta 'immunità?</v>
      </c>
    </row>
    <row r="14785" ht="15.75" customHeight="1">
      <c r="A14785" s="2" t="s">
        <v>14785</v>
      </c>
      <c r="B14785" s="2" t="str">
        <f>IFERROR(__xludf.DUMMYFUNCTION("GOOGLETRANSLATE(A14785, ""en"", ""mt"")"),"X'jista 'jikkonċentra l-ġid, jgħaddi l-ispejjeż ambjentali fuq is-soċjetà u jabbuża kemm lill-ħaddiema kif ukoll lill-konsumaturi?")</f>
        <v>X'jista 'jikkonċentra l-ġid, jgħaddi l-ispejjeż ambjentali fuq is-soċjetà u jabbuża kemm lill-ħaddiema kif ukoll lill-konsumaturi?</v>
      </c>
    </row>
    <row r="14786" ht="15.75" customHeight="1">
      <c r="A14786" s="2" t="s">
        <v>14786</v>
      </c>
      <c r="B14786" s="2" t="str">
        <f>IFERROR(__xludf.DUMMYFUNCTION("GOOGLETRANSLATE(A14786, ""en"", ""mt"")"),"X'inhu eżempju ta 'sustanza kkontrollata?")</f>
        <v>X'inhu eżempju ta 'sustanza kkontrollata?</v>
      </c>
    </row>
    <row r="14787" ht="15.75" customHeight="1">
      <c r="A14787" s="2" t="s">
        <v>14787</v>
      </c>
      <c r="B14787" s="2" t="str">
        <f>IFERROR(__xludf.DUMMYFUNCTION("GOOGLETRANSLATE(A14787, ""en"", ""mt"")"),"X'inhuma l-kumitati fil-Parlament Skoċċiż meta mqabbla ma 'sistemi oħra?")</f>
        <v>X'inhuma l-kumitati fil-Parlament Skoċċiż meta mqabbla ma 'sistemi oħra?</v>
      </c>
    </row>
    <row r="14788" ht="15.75" customHeight="1">
      <c r="A14788" s="2" t="s">
        <v>14788</v>
      </c>
      <c r="B14788" s="2" t="str">
        <f>IFERROR(__xludf.DUMMYFUNCTION("GOOGLETRANSLATE(A14788, ""en"", ""mt"")"),"Il-Klassi P tal-Kumplessità hija spiss meqjusa bħala astrazzjoni matematika li timmudella dawk il-kompiti tal-komputazzjoni li jammettu algoritmu effiċjenti. Din l-ipoteżi tissejjaħ it-teżi ta 'Cobham-Edmonds. Il-klassi tal-kumplessità NP, min-naħa l-oħra"&amp;", fiha ħafna problemi li n-nies jixtiequ jsolvu b'mod effiċjenti, iżda li għalih ma huwa magħruf l-ebda algoritmu effiċjenti, bħall-problema ta 'sodisfazzjon Boolean, il-problema tal-passaġġ Hamiltonjan u l-problema tal-kopertura tal-vertiċi. Peress li l-"&amp;"magni tat-Turing deterministiċi huma magni speċjali mhux deterministiċi tat-Turing, huwa faċilment osservat li kull problema f'P hija wkoll membru tal-klassi NP.")</f>
        <v>Il-Klassi P tal-Kumplessità hija spiss meqjusa bħala astrazzjoni matematika li timmudella dawk il-kompiti tal-komputazzjoni li jammettu algoritmu effiċjenti. Din l-ipoteżi tissejjaħ it-teżi ta 'Cobham-Edmonds. Il-klassi tal-kumplessità NP, min-naħa l-oħra, fiha ħafna problemi li n-nies jixtiequ jsolvu b'mod effiċjenti, iżda li għalih ma huwa magħruf l-ebda algoritmu effiċjenti, bħall-problema ta 'sodisfazzjon Boolean, il-problema tal-passaġġ Hamiltonjan u l-problema tal-kopertura tal-vertiċi. Peress li l-magni tat-Turing deterministiċi huma magni speċjali mhux deterministiċi tat-Turing, huwa faċilment osservat li kull problema f'P hija wkoll membru tal-klassi NP.</v>
      </c>
    </row>
    <row r="14789" ht="15.75" customHeight="1">
      <c r="A14789" s="2" t="s">
        <v>14789</v>
      </c>
      <c r="B14789" s="2" t="str">
        <f>IFERROR(__xludf.DUMMYFUNCTION("GOOGLETRANSLATE(A14789, ""en"", ""mt"")"),"X'inhu fattur importanti li jikkontribwixxi għall-inugwaljanza għall-individwi?")</f>
        <v>X'inhu fattur importanti li jikkontribwixxi għall-inugwaljanza għall-individwi?</v>
      </c>
    </row>
    <row r="14790" ht="15.75" customHeight="1">
      <c r="A14790" s="2" t="s">
        <v>14790</v>
      </c>
      <c r="B14790" s="2" t="str">
        <f>IFERROR(__xludf.DUMMYFUNCTION("GOOGLETRANSLATE(A14790, ""en"", ""mt"")"),"Riċerkaturi konservattivi argumentaw li l-inugwaljanza fid-dħul mhix sinifikanti minħabba li l-konsum, aktar milli d-dħul għandu jkun il-miżura ta 'l-inugwaljanza, u l-inugwaljanza tal-konsum hija inqas estrema mill-inugwaljanza tad-dħul fl-Istati Uniti. "&amp;"Wilkinson mill-Istitut Libertarian Cato se jiddikjara li ""l-piż tal-evidenza juri li t-tmexxija fl-inugwaljanza fil-konsum kienet konsiderevolment inqas drammatika miż-żieda fl-inugwaljanza tad-dħul,"" u l-konsum huwa iktar importanti mid-dħul. Skond Joh"&amp;"nson, Smeeding, u Tory, l-inugwaljanza fil-konsum kienet attwalment aktar baxxa fl-2001 milli kienet fl-1986. Id-dibattitu huwa mqassar f '""Il-Prosperità Moħbija tal-Fqar"" mill-ġurnalist Thomas B. Edsall. Studji oħra ma sabux inugwaljanza fil-konsum inq"&amp;"as drammatika mill-inugwaljanza fid-dħul tad-djar, u l-istudju tas-CBO sab dejta dwar il-konsum mhux ""b'mod adegwat"" li taqbad ""konsum minn djar bi dħul għoli"" bħalma jagħmel id-dħul tagħhom, għalkemm huwa jaqbel li n-numri tal-konsum tad-djar juru ak"&amp;"tar Distribuzzjoni ugwali mid-dħul tad-dar.")</f>
        <v>Riċerkaturi konservattivi argumentaw li l-inugwaljanza fid-dħul mhix sinifikanti minħabba li l-konsum, aktar milli d-dħul għandu jkun il-miżura ta 'l-inugwaljanza, u l-inugwaljanza tal-konsum hija inqas estrema mill-inugwaljanza tad-dħul fl-Istati Uniti. Wilkinson mill-Istitut Libertarian Cato se jiddikjara li "l-piż tal-evidenza juri li t-tmexxija fl-inugwaljanza fil-konsum kienet konsiderevolment inqas drammatika miż-żieda fl-inugwaljanza tad-dħul," u l-konsum huwa iktar importanti mid-dħul. Skond Johnson, Smeeding, u Tory, l-inugwaljanza fil-konsum kienet attwalment aktar baxxa fl-2001 milli kienet fl-1986. Id-dibattitu huwa mqassar f '"Il-Prosperità Moħbija tal-Fqar" mill-ġurnalist Thomas B. Edsall. Studji oħra ma sabux inugwaljanza fil-konsum inqas drammatika mill-inugwaljanza fid-dħul tad-djar, u l-istudju tas-CBO sab dejta dwar il-konsum mhux "b'mod adegwat" li taqbad "konsum minn djar bi dħul għoli" bħalma jagħmel id-dħul tagħhom, għalkemm huwa jaqbel li n-numri tal-konsum tad-djar juru aktar Distribuzzjoni ugwali mid-dħul tad-dar.</v>
      </c>
    </row>
    <row r="14791" ht="15.75" customHeight="1">
      <c r="A14791" s="2" t="s">
        <v>14791</v>
      </c>
      <c r="B14791" s="2" t="str">
        <f>IFERROR(__xludf.DUMMYFUNCTION("GOOGLETRANSLATE(A14791, ""en"", ""mt"")"),"Għal liema invenzjoni ngħatat il-privattiva tal-Istati Uniti 1,655,114?")</f>
        <v>Għal liema invenzjoni ngħatat il-privattiva tal-Istati Uniti 1,655,114?</v>
      </c>
    </row>
    <row r="14792" ht="15.75" customHeight="1">
      <c r="A14792" s="2" t="s">
        <v>14792</v>
      </c>
      <c r="B14792" s="2" t="str">
        <f>IFERROR(__xludf.DUMMYFUNCTION("GOOGLETRANSLATE(A14792, ""en"", ""mt"")"),"Sutcliffe")</f>
        <v>Sutcliffe</v>
      </c>
    </row>
    <row r="14793" ht="15.75" customHeight="1">
      <c r="A14793" s="2" t="s">
        <v>14793</v>
      </c>
      <c r="B14793" s="2" t="str">
        <f>IFERROR(__xludf.DUMMYFUNCTION("GOOGLETRANSLATE(A14793, ""en"", ""mt"")"),"X'jagħmel bidliet fl-enerġija f'sistema magħluqa?")</f>
        <v>X'jagħmel bidliet fl-enerġija f'sistema magħluqa?</v>
      </c>
    </row>
    <row r="14794" ht="15.75" customHeight="1">
      <c r="A14794" s="2" t="s">
        <v>14794</v>
      </c>
      <c r="B14794" s="2" t="str">
        <f>IFERROR(__xludf.DUMMYFUNCTION("GOOGLETRANSLATE(A14794, ""en"", ""mt"")"),"Min għen biex isib sponsors u donaturi biex jgħinu bl-ispiża?")</f>
        <v>Min għen biex isib sponsors u donaturi biex jgħinu bl-ispiża?</v>
      </c>
    </row>
    <row r="14795" ht="15.75" customHeight="1">
      <c r="A14795" s="2" t="s">
        <v>14795</v>
      </c>
      <c r="B14795" s="2" t="str">
        <f>IFERROR(__xludf.DUMMYFUNCTION("GOOGLETRANSLATE(A14795, ""en"", ""mt"")"),"Salute tradizzjonali ta 'kavallier li jirbaħ bout")</f>
        <v>Salute tradizzjonali ta 'kavallier li jirbaħ bout</v>
      </c>
    </row>
    <row r="14796" ht="15.75" customHeight="1">
      <c r="A14796" s="2" t="s">
        <v>14796</v>
      </c>
      <c r="B14796" s="2" t="str">
        <f>IFERROR(__xludf.DUMMYFUNCTION("GOOGLETRANSLATE(A14796, ""en"", ""mt"")"),"qoxra")</f>
        <v>qoxra</v>
      </c>
    </row>
    <row r="14797" ht="15.75" customHeight="1">
      <c r="A14797" s="2" t="s">
        <v>14797</v>
      </c>
      <c r="B14797" s="2" t="str">
        <f>IFERROR(__xludf.DUMMYFUNCTION("GOOGLETRANSLATE(A14797, ""en"", ""mt"")"),"Peter Jennings")</f>
        <v>Peter Jennings</v>
      </c>
    </row>
    <row r="14798" ht="15.75" customHeight="1">
      <c r="A14798" s="2" t="s">
        <v>14798</v>
      </c>
      <c r="B14798" s="2" t="str">
        <f>IFERROR(__xludf.DUMMYFUNCTION("GOOGLETRANSLATE(A14798, ""en"", ""mt"")"),"Varjabbiltà tat-torque")</f>
        <v>Varjabbiltà tat-torque</v>
      </c>
    </row>
    <row r="14799" ht="15.75" customHeight="1">
      <c r="A14799" s="2" t="s">
        <v>14799</v>
      </c>
      <c r="B14799" s="2" t="str">
        <f>IFERROR(__xludf.DUMMYFUNCTION("GOOGLETRANSLATE(A14799, ""en"", ""mt"")"),"it-tieni livell")</f>
        <v>it-tieni livell</v>
      </c>
    </row>
    <row r="14800" ht="15.75" customHeight="1">
      <c r="A14800" s="2" t="s">
        <v>14800</v>
      </c>
      <c r="B14800" s="2" t="str">
        <f>IFERROR(__xludf.DUMMYFUNCTION("GOOGLETRANSLATE(A14800, ""en"", ""mt"")"),"meħtieġa għas-sopravivenza ta 'stat")</f>
        <v>meħtieġa għas-sopravivenza ta 'stat</v>
      </c>
    </row>
    <row r="14801" ht="15.75" customHeight="1">
      <c r="A14801" s="2" t="s">
        <v>14801</v>
      </c>
      <c r="B14801" s="2" t="str">
        <f>IFERROR(__xludf.DUMMYFUNCTION("GOOGLETRANSLATE(A14801, ""en"", ""mt"")"),"Il-faċċata ewlenija, mibnija minn Red Brick u Portland Stone, tinfirex 720 pied (220 m) tul il-Ġonna ta ’Cromwell u kienet iddisinjata minn Aston Webb wara li rebħet kompetizzjoni fl-1891 biex testendi l-mużew. Il-kostruzzjoni saret bejn l-1899 u l-1909. "&amp;"Stilistikament huwa ibridu stramb, għalkemm ħafna mid-dettall jappartjeni għar-Rinaxximent hemm influwenzi medjevali fuq ix-xogħol. Id-daħla ewlenija li tikkonsisti f'serje ta 'arkati baxxi sostnuti minn kolonni u niċeċ irqaq b'bibien ġemellati separati m"&amp;"inn Pier hija fil-forma Rumanika iżda klassika fid-dettall. Bl-istess mod it-torri 'l fuq mid-daħla ewlenija għandu kuruna ta' xogħol miftuħa megħlub minn statwa ta 'fama, karatteristika ta' arkitettura Gotika tard u karatteristika komuni fl-Iskozja, iżda"&amp;" d-dettall huwa klassiku. It-twieqi ewlenin għall-galleriji huma wkoll imxerrda u trażomi, għal darb'oħra karatteristika Gotika, l-aqwa ringiela tat-twieqi huma mxerrda ma 'statwi ta' ħafna mill-artisti Ingliżi li x-xogħol tagħhom huwa muri fil-mużew.")</f>
        <v>Il-faċċata ewlenija, mibnija minn Red Brick u Portland Stone, tinfirex 720 pied (220 m) tul il-Ġonna ta ’Cromwell u kienet iddisinjata minn Aston Webb wara li rebħet kompetizzjoni fl-1891 biex testendi l-mużew. Il-kostruzzjoni saret bejn l-1899 u l-1909. Stilistikament huwa ibridu stramb, għalkemm ħafna mid-dettall jappartjeni għar-Rinaxximent hemm influwenzi medjevali fuq ix-xogħol. Id-daħla ewlenija li tikkonsisti f'serje ta 'arkati baxxi sostnuti minn kolonni u niċeċ irqaq b'bibien ġemellati separati minn Pier hija fil-forma Rumanika iżda klassika fid-dettall. Bl-istess mod it-torri 'l fuq mid-daħla ewlenija għandu kuruna ta' xogħol miftuħa megħlub minn statwa ta 'fama, karatteristika ta' arkitettura Gotika tard u karatteristika komuni fl-Iskozja, iżda d-dettall huwa klassiku. It-twieqi ewlenin għall-galleriji huma wkoll imxerrda u trażomi, għal darb'oħra karatteristika Gotika, l-aqwa ringiela tat-twieqi huma mxerrda ma 'statwi ta' ħafna mill-artisti Ingliżi li x-xogħol tagħhom huwa muri fil-mużew.</v>
      </c>
    </row>
    <row r="14802" ht="15.75" customHeight="1">
      <c r="A14802" s="2" t="s">
        <v>14802</v>
      </c>
      <c r="B14802" s="2" t="str">
        <f>IFERROR(__xludf.DUMMYFUNCTION("GOOGLETRANSLATE(A14802, ""en"", ""mt"")"),"Apollo 17 kien sinifikanti għal liema raġuni?")</f>
        <v>Apollo 17 kien sinifikanti għal liema raġuni?</v>
      </c>
    </row>
    <row r="14803" ht="15.75" customHeight="1">
      <c r="A14803" s="2" t="s">
        <v>14803</v>
      </c>
      <c r="B14803" s="2" t="str">
        <f>IFERROR(__xludf.DUMMYFUNCTION("GOOGLETRANSLATE(A14803, ""en"", ""mt"")"),"Paul Baran żviluppa l-kunċett distribwit blokka ta 'messaġġi adattivi")</f>
        <v>Paul Baran żviluppa l-kunċett distribwit blokka ta 'messaġġi adattivi</v>
      </c>
    </row>
    <row r="14804" ht="15.75" customHeight="1">
      <c r="A14804" s="2" t="s">
        <v>14804</v>
      </c>
      <c r="B14804" s="2" t="str">
        <f>IFERROR(__xludf.DUMMYFUNCTION("GOOGLETRANSLATE(A14804, ""en"", ""mt"")"),"Komposti Organiċi")</f>
        <v>Komposti Organiċi</v>
      </c>
    </row>
    <row r="14805" ht="15.75" customHeight="1">
      <c r="A14805" s="2" t="s">
        <v>14805</v>
      </c>
      <c r="B14805" s="2" t="str">
        <f>IFERROR(__xludf.DUMMYFUNCTION("GOOGLETRANSLATE(A14805, ""en"", ""mt"")"),"Fejn jinstabu s-soltu l-proplastidi?")</f>
        <v>Fejn jinstabu s-soltu l-proplastidi?</v>
      </c>
    </row>
    <row r="14806" ht="15.75" customHeight="1">
      <c r="A14806" s="2" t="s">
        <v>14806</v>
      </c>
      <c r="B14806" s="2" t="str">
        <f>IFERROR(__xludf.DUMMYFUNCTION("GOOGLETRANSLATE(A14806, ""en"", ""mt"")"),"Il-frizzjoni statika tibbilanċja liema forza meta ma jkun hemm l-ebda moviment ta 'oġġett fuq wiċċ?")</f>
        <v>Il-frizzjoni statika tibbilanċja liema forza meta ma jkun hemm l-ebda moviment ta 'oġġett fuq wiċċ?</v>
      </c>
    </row>
    <row r="14807" ht="15.75" customHeight="1">
      <c r="A14807" s="2" t="s">
        <v>14807</v>
      </c>
      <c r="B14807" s="2" t="str">
        <f>IFERROR(__xludf.DUMMYFUNCTION("GOOGLETRANSLATE(A14807, ""en"", ""mt"")"),"L-OPEC għolla l-prezz stazzjonat taż-żejt")</f>
        <v>L-OPEC għolla l-prezz stazzjonat taż-żejt</v>
      </c>
    </row>
    <row r="14808" ht="15.75" customHeight="1">
      <c r="A14808" s="2" t="s">
        <v>14808</v>
      </c>
      <c r="B14808" s="2" t="str">
        <f>IFERROR(__xludf.DUMMYFUNCTION("GOOGLETRANSLATE(A14808, ""en"", ""mt"")"),"il-vokazzjonijiet tiegħu jew tagħha kuljum")</f>
        <v>il-vokazzjonijiet tiegħu jew tagħha kuljum</v>
      </c>
    </row>
    <row r="14809" ht="15.75" customHeight="1">
      <c r="A14809" s="2" t="s">
        <v>14809</v>
      </c>
      <c r="B14809" s="2" t="str">
        <f>IFERROR(__xludf.DUMMYFUNCTION("GOOGLETRANSLATE(A14809, ""en"", ""mt"")"),"Rigal b'xejn")</f>
        <v>Rigal b'xejn</v>
      </c>
    </row>
    <row r="14810" ht="15.75" customHeight="1">
      <c r="A14810" s="2" t="s">
        <v>14810</v>
      </c>
      <c r="B14810" s="2" t="str">
        <f>IFERROR(__xludf.DUMMYFUNCTION("GOOGLETRANSLATE(A14810, ""en"", ""mt"")"),"qabdet il-sirena")</f>
        <v>qabdet il-sirena</v>
      </c>
    </row>
    <row r="14811" ht="15.75" customHeight="1">
      <c r="A14811" s="2" t="s">
        <v>14811</v>
      </c>
      <c r="B14811" s="2" t="str">
        <f>IFERROR(__xludf.DUMMYFUNCTION("GOOGLETRANSLATE(A14811, ""en"", ""mt"")"),"Kemm Kenjani qed jgħixu taħt il-livell tal-faqar?")</f>
        <v>Kemm Kenjani qed jgħixu taħt il-livell tal-faqar?</v>
      </c>
    </row>
    <row r="14812" ht="15.75" customHeight="1">
      <c r="A14812" s="2" t="s">
        <v>14812</v>
      </c>
      <c r="B14812" s="2" t="str">
        <f>IFERROR(__xludf.DUMMYFUNCTION("GOOGLETRANSLATE(A14812, ""en"", ""mt"")"),"numru Prim")</f>
        <v>numru Prim</v>
      </c>
    </row>
    <row r="14813" ht="15.75" customHeight="1">
      <c r="A14813" s="2" t="s">
        <v>14813</v>
      </c>
      <c r="B14813" s="2" t="str">
        <f>IFERROR(__xludf.DUMMYFUNCTION("GOOGLETRANSLATE(A14813, ""en"", ""mt"")"),"Liema ġerarkija finita timplika li l-problema tal-isomorfiżmu tal-graff hija kompluta NP?")</f>
        <v>Liema ġerarkija finita timplika li l-problema tal-isomorfiżmu tal-graff hija kompluta NP?</v>
      </c>
    </row>
    <row r="14814" ht="15.75" customHeight="1">
      <c r="A14814" s="2" t="s">
        <v>14814</v>
      </c>
      <c r="B14814" s="2" t="str">
        <f>IFERROR(__xludf.DUMMYFUNCTION("GOOGLETRANSLATE(A14814, ""en"", ""mt"")"),"Ipersensittività tat-Tip II")</f>
        <v>Ipersensittività tat-Tip II</v>
      </c>
    </row>
    <row r="14815" ht="15.75" customHeight="1">
      <c r="A14815" s="2" t="s">
        <v>14815</v>
      </c>
      <c r="B14815" s="2" t="str">
        <f>IFERROR(__xludf.DUMMYFUNCTION("GOOGLETRANSLATE(A14815, ""en"", ""mt"")"),"Kif huwa meħtieġ il-ħin biex tinkiseb is-soluzzjoni għal problema kkalkulata?")</f>
        <v>Kif huwa meħtieġ il-ħin biex tinkiseb is-soluzzjoni għal problema kkalkulata?</v>
      </c>
    </row>
    <row r="14816" ht="15.75" customHeight="1">
      <c r="A14816" s="2" t="s">
        <v>14816</v>
      </c>
      <c r="B14816" s="2" t="str">
        <f>IFERROR(__xludf.DUMMYFUNCTION("GOOGLETRANSLATE(A14816, ""en"", ""mt"")"),"Kemm timijiet kellhom rekord ta '15 -1 għall-istaġun regolari?")</f>
        <v>Kemm timijiet kellhom rekord ta '15 -1 għall-istaġun regolari?</v>
      </c>
    </row>
    <row r="14817" ht="15.75" customHeight="1">
      <c r="A14817" s="2" t="s">
        <v>14817</v>
      </c>
      <c r="B14817" s="2" t="str">
        <f>IFERROR(__xludf.DUMMYFUNCTION("GOOGLETRANSLATE(A14817, ""en"", ""mt"")"),"Għal liema sena hija l-ewwel biċċa magħrufa ta 'fidda Ingliża b'daqqa ta' l-isfond?")</f>
        <v>Għal liema sena hija l-ewwel biċċa magħrufa ta 'fidda Ingliża b'daqqa ta' l-isfond?</v>
      </c>
    </row>
    <row r="14818" ht="15.75" customHeight="1">
      <c r="A14818" s="2" t="s">
        <v>14818</v>
      </c>
      <c r="B14818" s="2" t="str">
        <f>IFERROR(__xludf.DUMMYFUNCTION("GOOGLETRANSLATE(A14818, ""en"", ""mt"")"),"23 ta ’Novembru 1963")</f>
        <v>23 ta ’Novembru 1963</v>
      </c>
    </row>
    <row r="14819" ht="15.75" customHeight="1">
      <c r="A14819" s="2" t="s">
        <v>14819</v>
      </c>
      <c r="B14819" s="2" t="str">
        <f>IFERROR(__xludf.DUMMYFUNCTION("GOOGLETRANSLATE(A14819, ""en"", ""mt"")"),"""kwantitajiet ta 'vettur""")</f>
        <v>"kwantitajiet ta 'vettur"</v>
      </c>
    </row>
    <row r="14820" ht="15.75" customHeight="1">
      <c r="A14820" s="2" t="s">
        <v>14820</v>
      </c>
      <c r="B14820" s="2" t="str">
        <f>IFERROR(__xludf.DUMMYFUNCTION("GOOGLETRANSLATE(A14820, ""en"", ""mt"")"),"mukus")</f>
        <v>mukus</v>
      </c>
    </row>
    <row r="14821" ht="15.75" customHeight="1">
      <c r="A14821" s="2" t="s">
        <v>14821</v>
      </c>
      <c r="B14821" s="2" t="str">
        <f>IFERROR(__xludf.DUMMYFUNCTION("GOOGLETRANSLATE(A14821, ""en"", ""mt"")"),"puplesija")</f>
        <v>puplesija</v>
      </c>
    </row>
    <row r="14822" ht="15.75" customHeight="1">
      <c r="A14822" s="2" t="s">
        <v>14822</v>
      </c>
      <c r="B14822" s="2" t="str">
        <f>IFERROR(__xludf.DUMMYFUNCTION("GOOGLETRANSLATE(A14822, ""en"", ""mt"")"),"sistema magħluqa")</f>
        <v>sistema magħluqa</v>
      </c>
    </row>
    <row r="14823" ht="15.75" customHeight="1">
      <c r="A14823" s="2" t="s">
        <v>14823</v>
      </c>
      <c r="B14823" s="2" t="str">
        <f>IFERROR(__xludf.DUMMYFUNCTION("GOOGLETRANSLATE(A14823, ""en"", ""mt"")"),"Tensor tal-istress")</f>
        <v>Tensor tal-istress</v>
      </c>
    </row>
    <row r="14824" ht="15.75" customHeight="1">
      <c r="A14824" s="2" t="s">
        <v>14824</v>
      </c>
      <c r="B14824" s="2" t="str">
        <f>IFERROR(__xludf.DUMMYFUNCTION("GOOGLETRANSLATE(A14824, ""en"", ""mt"")"),"ċentripetal")</f>
        <v>ċentripetal</v>
      </c>
    </row>
    <row r="14825" ht="15.75" customHeight="1">
      <c r="A14825" s="2" t="s">
        <v>14825</v>
      </c>
      <c r="B14825" s="2" t="str">
        <f>IFERROR(__xludf.DUMMYFUNCTION("GOOGLETRANSLATE(A14825, ""en"", ""mt"")"),"Kemm hemm tipi moderni ta 'testijiet ta' primalità għal numri ġenerali n?")</f>
        <v>Kemm hemm tipi moderni ta 'testijiet ta' primalità għal numri ġenerali n?</v>
      </c>
    </row>
    <row r="14826" ht="15.75" customHeight="1">
      <c r="A14826" s="2" t="s">
        <v>14826</v>
      </c>
      <c r="B14826" s="2" t="str">
        <f>IFERROR(__xludf.DUMMYFUNCTION("GOOGLETRANSLATE(A14826, ""en"", ""mt"")"),"Wara liema avveniment l-Ispanjol ikkonċedi lil Florida lill-Gran Brittanja?")</f>
        <v>Wara liema avveniment l-Ispanjol ikkonċedi lil Florida lill-Gran Brittanja?</v>
      </c>
    </row>
    <row r="14827" ht="15.75" customHeight="1">
      <c r="A14827" s="2" t="s">
        <v>14827</v>
      </c>
      <c r="B14827" s="2" t="str">
        <f>IFERROR(__xludf.DUMMYFUNCTION("GOOGLETRANSLATE(A14827, ""en"", ""mt"")"),"Flimkien mal-imtieħen u l-minjieri, f'liema postijiet industrijali ssuq il-magni?")</f>
        <v>Flimkien mal-imtieħen u l-minjieri, f'liema postijiet industrijali ssuq il-magni?</v>
      </c>
    </row>
    <row r="14828" ht="15.75" customHeight="1">
      <c r="A14828" s="2" t="s">
        <v>14828</v>
      </c>
      <c r="B14828" s="2" t="str">
        <f>IFERROR(__xludf.DUMMYFUNCTION("GOOGLETRANSLATE(A14828, ""en"", ""mt"")"),"Liema kumpanija tal-pitrolju kienet sponsor tas-Super Bowl?")</f>
        <v>Liema kumpanija tal-pitrolju kienet sponsor tas-Super Bowl?</v>
      </c>
    </row>
    <row r="14829" ht="15.75" customHeight="1">
      <c r="A14829" s="2" t="s">
        <v>14829</v>
      </c>
      <c r="B14829" s="2" t="str">
        <f>IFERROR(__xludf.DUMMYFUNCTION("GOOGLETRANSLATE(A14829, ""en"", ""mt"")"),"Liema netwerk juża verżjoni ħamra tal-logo ABC il-ġdid?")</f>
        <v>Liema netwerk juża verżjoni ħamra tal-logo ABC il-ġdid?</v>
      </c>
    </row>
    <row r="14830" ht="15.75" customHeight="1">
      <c r="A14830" s="2" t="s">
        <v>14830</v>
      </c>
      <c r="B14830" s="2" t="str">
        <f>IFERROR(__xludf.DUMMYFUNCTION("GOOGLETRANSLATE(A14830, ""en"", ""mt"")"),"mgħoddi")</f>
        <v>mgħoddi</v>
      </c>
    </row>
    <row r="14831" ht="15.75" customHeight="1">
      <c r="A14831" s="2" t="s">
        <v>14831</v>
      </c>
      <c r="B14831" s="2" t="str">
        <f>IFERROR(__xludf.DUMMYFUNCTION("GOOGLETRANSLATE(A14831, ""en"", ""mt"")"),"MERWEDE-OUDE MAAS")</f>
        <v>MERWEDE-OUDE MAAS</v>
      </c>
    </row>
    <row r="14832" ht="15.75" customHeight="1">
      <c r="A14832" s="2" t="s">
        <v>14832</v>
      </c>
      <c r="B14832" s="2" t="str">
        <f>IFERROR(__xludf.DUMMYFUNCTION("GOOGLETRANSLATE(A14832, ""en"", ""mt"")"),"SCOTTISH_PARLIAMENT")</f>
        <v>SCOTTISH_PARLIAMENT</v>
      </c>
    </row>
    <row r="14833" ht="15.75" customHeight="1">
      <c r="A14833" s="2" t="s">
        <v>14833</v>
      </c>
      <c r="B14833" s="2" t="str">
        <f>IFERROR(__xludf.DUMMYFUNCTION("GOOGLETRANSLATE(A14833, ""en"", ""mt"")"),"X'insabu l-fossili fis-shale Burgess?")</f>
        <v>X'insabu l-fossili fis-shale Burgess?</v>
      </c>
    </row>
    <row r="14834" ht="15.75" customHeight="1">
      <c r="A14834" s="2" t="s">
        <v>14834</v>
      </c>
      <c r="B14834" s="2" t="str">
        <f>IFERROR(__xludf.DUMMYFUNCTION("GOOGLETRANSLATE(A14834, ""en"", ""mt"")"),"bejn 1268 u 1273")</f>
        <v>bejn 1268 u 1273</v>
      </c>
    </row>
    <row r="14835" ht="15.75" customHeight="1">
      <c r="A14835" s="2" t="s">
        <v>14835</v>
      </c>
      <c r="B14835" s="2" t="str">
        <f>IFERROR(__xludf.DUMMYFUNCTION("GOOGLETRANSLATE(A14835, ""en"", ""mt"")"),"Ministru tal-Intern")</f>
        <v>Ministru tal-Intern</v>
      </c>
    </row>
    <row r="14836" ht="15.75" customHeight="1">
      <c r="A14836" s="2" t="s">
        <v>14836</v>
      </c>
      <c r="B14836" s="2" t="str">
        <f>IFERROR(__xludf.DUMMYFUNCTION("GOOGLETRANSLATE(A14836, ""en"", ""mt"")"),"il-ħames, is-sitt u s-seba 'tobba")</f>
        <v>il-ħames, is-sitt u s-seba 'tobba</v>
      </c>
    </row>
    <row r="14837" ht="15.75" customHeight="1">
      <c r="A14837" s="2" t="s">
        <v>14837</v>
      </c>
      <c r="B14837" s="2" t="str">
        <f>IFERROR(__xludf.DUMMYFUNCTION("GOOGLETRANSLATE(A14837, ""en"", ""mt"")"),"Il-monitoraġġ tal-livelli ta 'ossiġnu atmosferiku juri xejra' l isfel globali")</f>
        <v>Il-monitoraġġ tal-livelli ta 'ossiġnu atmosferiku juri xejra' l isfel globali</v>
      </c>
    </row>
    <row r="14838" ht="15.75" customHeight="1">
      <c r="A14838" s="2" t="s">
        <v>14838</v>
      </c>
      <c r="B14838" s="2" t="str">
        <f>IFERROR(__xludf.DUMMYFUNCTION("GOOGLETRANSLATE(A14838, ""en"", ""mt"")"),"Meta l-Ingliżi telfa ġodda Franza?")</f>
        <v>Meta l-Ingliżi telfa ġodda Franza?</v>
      </c>
    </row>
    <row r="14839" ht="15.75" customHeight="1">
      <c r="A14839" s="2" t="s">
        <v>14839</v>
      </c>
      <c r="B14839" s="2" t="str">
        <f>IFERROR(__xludf.DUMMYFUNCTION("GOOGLETRANSLATE(A14839, ""en"", ""mt"")"),"Għal xi għexieren ta ’snin qabel l-ewwel Palestina Intifada fl-1987, il-Fratellanza Musulmana fil-Palestina ħadet pożizzjoni"" kwieti ”lejn l-Iżrael, li tiffoka fuq il-predikazzjoni, l-edukazzjoni u s-servizzi soċjali, u tibbenefika minn"" indulġenza ""ta"&amp;"l-Iżrael biex tibni netwerk ta 'moskej u Organizzazzjonijiet ta 'karità. Hekk kif l-ewwel intifada ġabret il-momentum u x-xerrejja Palestinjani għalqu l-ħwienet tagħhom b'appoġġ għar-rewwixta, il-fratellanza ħabbret il-formazzjoni tal-Ħamas (""Zeal""), id"&amp;"dedikata għall-jihad kontra l-Iżrael. Minflok ma kien aktar moderat mill-PLO, il-Karta tal-Hamas tal-1988 ħadet pożizzjoni aktar mingħajr kompromess, li talbet il-qerda ta 'l-Iżrael u t-twaqqif ta' stat Iżlamiku fil-Palestina. Malajr kien qed jikkompeti m"&amp;"a 'u mbagħad qabeż il-PLO għall-kontroll tal-intifada. Il-bażi tal-Fratellanza tal-klassi tan-nofs devota sabet kawża komuni maż-żgħażagħ fqar tal-Intifada fil-konservattiviżmu kulturali tagħhom u l-antipatija għal attivitajiet tal-klassi tan-nofs sekular"&amp;"i bħal tixrob l-alkoħol u għaddejjin mingħajr hijab.")</f>
        <v>Għal xi għexieren ta ’snin qabel l-ewwel Palestina Intifada fl-1987, il-Fratellanza Musulmana fil-Palestina ħadet pożizzjoni" kwieti ”lejn l-Iżrael, li tiffoka fuq il-predikazzjoni, l-edukazzjoni u s-servizzi soċjali, u tibbenefika minn" indulġenza "tal-Iżrael biex tibni netwerk ta 'moskej u Organizzazzjonijiet ta 'karità. Hekk kif l-ewwel intifada ġabret il-momentum u x-xerrejja Palestinjani għalqu l-ħwienet tagħhom b'appoġġ għar-rewwixta, il-fratellanza ħabbret il-formazzjoni tal-Ħamas ("Zeal"), iddedikata għall-jihad kontra l-Iżrael. Minflok ma kien aktar moderat mill-PLO, il-Karta tal-Hamas tal-1988 ħadet pożizzjoni aktar mingħajr kompromess, li talbet il-qerda ta 'l-Iżrael u t-twaqqif ta' stat Iżlamiku fil-Palestina. Malajr kien qed jikkompeti ma 'u mbagħad qabeż il-PLO għall-kontroll tal-intifada. Il-bażi tal-Fratellanza tal-klassi tan-nofs devota sabet kawża komuni maż-żgħażagħ fqar tal-Intifada fil-konservattiviżmu kulturali tagħhom u l-antipatija għal attivitajiet tal-klassi tan-nofs sekulari bħal tixrob l-alkoħol u għaddejjin mingħajr hijab.</v>
      </c>
    </row>
    <row r="14840" ht="15.75" customHeight="1">
      <c r="A14840" s="2" t="s">
        <v>14840</v>
      </c>
      <c r="B14840" s="2" t="str">
        <f>IFERROR(__xludf.DUMMYFUNCTION("GOOGLETRANSLATE(A14840, ""en"", ""mt"")"),"ippuntat fix-Xemx.")</f>
        <v>ippuntat fix-Xemx.</v>
      </c>
    </row>
    <row r="14841" ht="15.75" customHeight="1">
      <c r="A14841" s="2" t="s">
        <v>14841</v>
      </c>
      <c r="B14841" s="2" t="str">
        <f>IFERROR(__xludf.DUMMYFUNCTION("GOOGLETRANSLATE(A14841, ""en"", ""mt"")"),"Fejn saret l-Espożizzjoni tal-Kolumbja Dinjija tal-1893?")</f>
        <v>Fejn saret l-Espożizzjoni tal-Kolumbja Dinjija tal-1893?</v>
      </c>
    </row>
    <row r="14842" ht="15.75" customHeight="1">
      <c r="A14842" s="2" t="s">
        <v>14842</v>
      </c>
      <c r="B14842" s="2" t="str">
        <f>IFERROR(__xludf.DUMMYFUNCTION("GOOGLETRANSLATE(A14842, ""en"", ""mt"")"),"Jekk it-tkissir tal-liġi ma jsirx f'manor pubbliku mhuwiex ikkunsidrat liema terminu?")</f>
        <v>Jekk it-tkissir tal-liġi ma jsirx f'manor pubbliku mhuwiex ikkunsidrat liema terminu?</v>
      </c>
    </row>
    <row r="14843" ht="15.75" customHeight="1">
      <c r="A14843" s="2" t="s">
        <v>14843</v>
      </c>
      <c r="B14843" s="2" t="str">
        <f>IFERROR(__xludf.DUMMYFUNCTION("GOOGLETRANSLATE(A14843, ""en"", ""mt"")"),"Liema xahar, kull erba 'snin, qed jinżammu l-elezzjonijiet ġenerali ordinarji?")</f>
        <v>Liema xahar, kull erba 'snin, qed jinżammu l-elezzjonijiet ġenerali ordinarji?</v>
      </c>
    </row>
    <row r="14844" ht="15.75" customHeight="1">
      <c r="A14844" s="2" t="s">
        <v>14844</v>
      </c>
      <c r="B14844" s="2" t="str">
        <f>IFERROR(__xludf.DUMMYFUNCTION("GOOGLETRANSLATE(A14844, ""en"", ""mt"")"),"Kemm għandu parks pubbliċi kbar Fresno?")</f>
        <v>Kemm għandu parks pubbliċi kbar Fresno?</v>
      </c>
    </row>
    <row r="14845" ht="15.75" customHeight="1">
      <c r="A14845" s="2" t="s">
        <v>14845</v>
      </c>
      <c r="B14845" s="2" t="str">
        <f>IFERROR(__xludf.DUMMYFUNCTION("GOOGLETRANSLATE(A14845, ""en"", ""mt"")"),"Dak li ġie żviluppat għall-Air Force")</f>
        <v>Dak li ġie żviluppat għall-Air Force</v>
      </c>
    </row>
    <row r="14846" ht="15.75" customHeight="1">
      <c r="A14846" s="2" t="s">
        <v>14846</v>
      </c>
      <c r="B14846" s="2" t="str">
        <f>IFERROR(__xludf.DUMMYFUNCTION("GOOGLETRANSLATE(A14846, ""en"", ""mt"")"),"Mużew")</f>
        <v>Mużew</v>
      </c>
    </row>
    <row r="14847" ht="15.75" customHeight="1">
      <c r="A14847" s="2" t="s">
        <v>14847</v>
      </c>
      <c r="B14847" s="2" t="str">
        <f>IFERROR(__xludf.DUMMYFUNCTION("GOOGLETRANSLATE(A14847, ""en"", ""mt"")"),"Legrande jikteb li ""l-formulazzjoni ta 'definizzjoni waħda li tiġbor fiha t-terminu hija estremament diffiċli, jekk mhux impossibbli. Meta tirrevedi l-letteratura voluminuża dwar is-suġġett, l-istudent ta' diżubbidjenza ċivili malajr isib ruħu mdawwar mi"&amp;"nn labirint ta 'problemi semantiċi u grammatikali Niceties. Bħal Alice in Wonderland, huwa spiss isib li t-terminoloġija speċifika m'għandhiex aktar (jew xejn inqas) tifsira minn dak li l-orator individwali għandu l-intenzjoni li jkollu. "" Huwa jinkoraġġ"&amp;"ixxi distinzjoni bejn dimostrazzjoni ta 'protesta legali, diżubbidjenza ċivili mhux vjolenti, u diżubbidjenza ċivili vjolenti.")</f>
        <v>Legrande jikteb li "l-formulazzjoni ta 'definizzjoni waħda li tiġbor fiha t-terminu hija estremament diffiċli, jekk mhux impossibbli. Meta tirrevedi l-letteratura voluminuża dwar is-suġġett, l-istudent ta' diżubbidjenza ċivili malajr isib ruħu mdawwar minn labirint ta 'problemi semantiċi u grammatikali Niceties. Bħal Alice in Wonderland, huwa spiss isib li t-terminoloġija speċifika m'għandhiex aktar (jew xejn inqas) tifsira minn dak li l-orator individwali għandu l-intenzjoni li jkollu. " Huwa jinkoraġġixxi distinzjoni bejn dimostrazzjoni ta 'protesta legali, diżubbidjenza ċivili mhux vjolenti, u diżubbidjenza ċivili vjolenti.</v>
      </c>
    </row>
    <row r="14848" ht="15.75" customHeight="1">
      <c r="A14848" s="2" t="s">
        <v>14848</v>
      </c>
      <c r="B14848" s="2" t="str">
        <f>IFERROR(__xludf.DUMMYFUNCTION("GOOGLETRANSLATE(A14848, ""en"", ""mt"")"),"X'inhu riżultat wieħed ta 'ribelljoni ċivili?")</f>
        <v>X'inhu riżultat wieħed ta 'ribelljoni ċivili?</v>
      </c>
    </row>
    <row r="14849" ht="15.75" customHeight="1">
      <c r="A14849" s="2" t="s">
        <v>14849</v>
      </c>
      <c r="B14849" s="2" t="str">
        <f>IFERROR(__xludf.DUMMYFUNCTION("GOOGLETRANSLATE(A14849, ""en"", ""mt"")"),"Il-Kunsill tal-Belt")</f>
        <v>Il-Kunsill tal-Belt</v>
      </c>
    </row>
    <row r="14850" ht="15.75" customHeight="1">
      <c r="A14850" s="2" t="s">
        <v>14850</v>
      </c>
      <c r="B14850" s="2" t="str">
        <f>IFERROR(__xludf.DUMMYFUNCTION("GOOGLETRANSLATE(A14850, ""en"", ""mt"")"),"It-tentakli ta 'ctenophores cydippid huma tipikament fringed bit-tentilla (""ftit tentakli""), għalkemm ftit ġeneri għandhom tentakli sempliċi mingħajr dawn il-sidebranches. It-tentakli u t-tentilla huma densament mgħottija b'kolloblasti mikroskopiċi li j"&amp;"aqbdu l-priża billi jeħlu magħha. Il-kolloblasti huma ċelloli speċjalizzati f'forma ta 'faqqiegħ fis-saff ta' barra ta 'l-epidermide, u għandhom tliet komponenti ewlenin: ras koppla bil-vesikuli (kmamar) li fihom kolla; zokk li jankra ċ-ċellula fis-saff t"&amp;"'isfel tal-epidermide jew fil-mesoglea; u ħajta spirali li tgħaqqad iz-zokk u hija mwaħħla mar-ras u mal-għerq taz-zokk. Il-funzjoni tal-ħajt spirali hija inċerta, iżda tista 'tassorbi l-istress meta l-priża tipprova taħrab, u b'hekk tipprevjeni li l-koll"&amp;"obast jinqata'. Minbarra l-kolloblasti, il-membri tal-ġeneru Haeckelia, li jitimgħu prinċipalment fuq il-bram, jinkorporaw in-nematokiti tal-vittmi tagħhom fit-tentakli tagħhom stess - xi nudibranchs li jieklu cnidaria bl-istess mod jinkorporaw nematokiti"&amp;" fil-korpi tagħhom għad-difiża. It-tentilla ta 'euplokamis tvarja b'mod sinifikanti minn dawk ta' ċidippidi oħra: fihom muskolu strijat, tip ta 'ċellula mod ieħor mhux magħruf fil-phylum ctenophora; U huma mkebbsa meta jkunu rilassati, waqt li t-tentilla "&amp;"tal-ctenophores l-oħra kollha tawwalija meta jkunu rilassati. It-tentilla ta 'Euplokamis għandhom tliet tipi ta' moviment li jintużaw fil-qbid tal-priża: jistgħu joħorġu malajr ħafna (f'40 sa 60 millisekonda); Jistgħu jikbru, li jistgħu jattiraw il-priża "&amp;"billi jġibu ruħhom bħal dud żgħir planktoniku; U huma coil priża tonda. Il-flicking uniku huwa moviment li ma joħroġx imħaddem mill-kontrazzjoni tal-muskolu strijat. Il-moviment tat-tikmix huwa prodott minn muskoli lixxi, iżda ta 'tip speċjalizzat ħafna. "&amp;"Il-coiling madwar il-priża jitwettaq fil-biċċa l-kbira mir-ritorn tat-tentilla għall-istat inattiv tagħhom, iżda l-kolji jistgħu jiġu ssikkati mill-muskolu lixx.")</f>
        <v>It-tentakli ta 'ctenophores cydippid huma tipikament fringed bit-tentilla ("ftit tentakli"), għalkemm ftit ġeneri għandhom tentakli sempliċi mingħajr dawn il-sidebranches. It-tentakli u t-tentilla huma densament mgħottija b'kolloblasti mikroskopiċi li jaqbdu l-priża billi jeħlu magħha. Il-kolloblasti huma ċelloli speċjalizzati f'forma ta 'faqqiegħ fis-saff ta' barra ta 'l-epidermide, u għandhom tliet komponenti ewlenin: ras koppla bil-vesikuli (kmamar) li fihom kolla; zokk li jankra ċ-ċellula fis-saff t'isfel tal-epidermide jew fil-mesoglea; u ħajta spirali li tgħaqqad iz-zokk u hija mwaħħla mar-ras u mal-għerq taz-zokk. Il-funzjoni tal-ħajt spirali hija inċerta, iżda tista 'tassorbi l-istress meta l-priża tipprova taħrab, u b'hekk tipprevjeni li l-kollobast jinqata'. Minbarra l-kolloblasti, il-membri tal-ġeneru Haeckelia, li jitimgħu prinċipalment fuq il-bram, jinkorporaw in-nematokiti tal-vittmi tagħhom fit-tentakli tagħhom stess - xi nudibranchs li jieklu cnidaria bl-istess mod jinkorporaw nematokiti fil-korpi tagħhom għad-difiża. It-tentilla ta 'euplokamis tvarja b'mod sinifikanti minn dawk ta' ċidippidi oħra: fihom muskolu strijat, tip ta 'ċellula mod ieħor mhux magħruf fil-phylum ctenophora; U huma mkebbsa meta jkunu rilassati, waqt li t-tentilla tal-ctenophores l-oħra kollha tawwalija meta jkunu rilassati. It-tentilla ta 'Euplokamis għandhom tliet tipi ta' moviment li jintużaw fil-qbid tal-priża: jistgħu joħorġu malajr ħafna (f'40 sa 60 millisekonda); Jistgħu jikbru, li jistgħu jattiraw il-priża billi jġibu ruħhom bħal dud żgħir planktoniku; U huma coil priża tonda. Il-flicking uniku huwa moviment li ma joħroġx imħaddem mill-kontrazzjoni tal-muskolu strijat. Il-moviment tat-tikmix huwa prodott minn muskoli lixxi, iżda ta 'tip speċjalizzat ħafna. Il-coiling madwar il-priża jitwettaq fil-biċċa l-kbira mir-ritorn tat-tentilla għall-istat inattiv tagħhom, iżda l-kolji jistgħu jiġu ssikkati mill-muskolu lixx.</v>
      </c>
    </row>
    <row r="14851" ht="15.75" customHeight="1">
      <c r="A14851" s="2" t="s">
        <v>14851</v>
      </c>
      <c r="B14851" s="2" t="str">
        <f>IFERROR(__xludf.DUMMYFUNCTION("GOOGLETRANSLATE(A14851, ""en"", ""mt"")"),"Kemm kontej inizjalment għamlu d-definizzjoni tan-Nofsinhar ta 'California?")</f>
        <v>Kemm kontej inizjalment għamlu d-definizzjoni tan-Nofsinhar ta 'California?</v>
      </c>
    </row>
    <row r="14852" ht="15.75" customHeight="1">
      <c r="A14852" s="2" t="s">
        <v>14852</v>
      </c>
      <c r="B14852" s="2" t="str">
        <f>IFERROR(__xludf.DUMMYFUNCTION("GOOGLETRANSLATE(A14852, ""en"", ""mt"")"),"ġustizzja")</f>
        <v>ġustizzja</v>
      </c>
    </row>
    <row r="14853" ht="15.75" customHeight="1">
      <c r="A14853" s="2" t="s">
        <v>14853</v>
      </c>
      <c r="B14853" s="2" t="str">
        <f>IFERROR(__xludf.DUMMYFUNCTION("GOOGLETRANSLATE(A14853, ""en"", ""mt"")"),"Il-park tan-negozju tal-watermark")</f>
        <v>Il-park tan-negozju tal-watermark</v>
      </c>
    </row>
    <row r="14854" ht="15.75" customHeight="1">
      <c r="A14854" s="2" t="s">
        <v>14854</v>
      </c>
      <c r="B14854" s="2" t="str">
        <f>IFERROR(__xludf.DUMMYFUNCTION("GOOGLETRANSLATE(A14854, ""en"", ""mt"")"),"Neil Shubin u Paul Sereno")</f>
        <v>Neil Shubin u Paul Sereno</v>
      </c>
    </row>
    <row r="14855" ht="15.75" customHeight="1">
      <c r="A14855" s="2" t="s">
        <v>14855</v>
      </c>
      <c r="B14855" s="2" t="str">
        <f>IFERROR(__xludf.DUMMYFUNCTION("GOOGLETRANSLATE(A14855, ""en"", ""mt"")"),"Fejn jinsab il-Kulleġġ ta 'San Aloysius?")</f>
        <v>Fejn jinsab il-Kulleġġ ta 'San Aloysius?</v>
      </c>
    </row>
    <row r="14856" ht="15.75" customHeight="1">
      <c r="A14856" s="2" t="s">
        <v>14856</v>
      </c>
      <c r="B14856" s="2" t="str">
        <f>IFERROR(__xludf.DUMMYFUNCTION("GOOGLETRANSLATE(A14856, ""en"", ""mt"")"),"X'inhi l-ħarba tal-fwar x'aktarx ma twettaqx kollha ħlief l-iżgħar bojlers?")</f>
        <v>X'inhi l-ħarba tal-fwar x'aktarx ma twettaqx kollha ħlief l-iżgħar bojlers?</v>
      </c>
    </row>
    <row r="14857" ht="15.75" customHeight="1">
      <c r="A14857" s="2" t="s">
        <v>14857</v>
      </c>
      <c r="B14857" s="2" t="str">
        <f>IFERROR(__xludf.DUMMYFUNCTION("GOOGLETRANSLATE(A14857, ""en"", ""mt"")"),"madwar 50% kompożizzjoni ta 'ossiġnu bi pressjoni standard")</f>
        <v>madwar 50% kompożizzjoni ta 'ossiġnu bi pressjoni standard</v>
      </c>
    </row>
    <row r="14858" ht="15.75" customHeight="1">
      <c r="A14858" s="2" t="s">
        <v>14858</v>
      </c>
      <c r="B14858" s="2" t="str">
        <f>IFERROR(__xludf.DUMMYFUNCTION("GOOGLETRANSLATE(A14858, ""en"", ""mt"")"),"Analiżi tal-Algoritmi u t-Teorija tal-Kompjuter")</f>
        <v>Analiżi tal-Algoritmi u t-Teorija tal-Kompjuter</v>
      </c>
    </row>
    <row r="14859" ht="15.75" customHeight="1">
      <c r="A14859" s="2" t="s">
        <v>14859</v>
      </c>
      <c r="B14859" s="2" t="str">
        <f>IFERROR(__xludf.DUMMYFUNCTION("GOOGLETRANSLATE(A14859, ""en"", ""mt"")"),"Meta tintuża l-vjolenza, kif tissejjaħ kultant id-diżubbidjenza ċivili?")</f>
        <v>Meta tintuża l-vjolenza, kif tissejjaħ kultant id-diżubbidjenza ċivili?</v>
      </c>
    </row>
    <row r="14860" ht="15.75" customHeight="1">
      <c r="A14860" s="2" t="s">
        <v>14860</v>
      </c>
      <c r="B14860" s="2" t="str">
        <f>IFERROR(__xludf.DUMMYFUNCTION("GOOGLETRANSLATE(A14860, ""en"", ""mt"")"),"gruppi terroristiċi")</f>
        <v>gruppi terroristiċi</v>
      </c>
    </row>
    <row r="14861" ht="15.75" customHeight="1">
      <c r="A14861" s="2" t="s">
        <v>14861</v>
      </c>
      <c r="B14861" s="2" t="str">
        <f>IFERROR(__xludf.DUMMYFUNCTION("GOOGLETRANSLATE(A14861, ""en"", ""mt"")"),"Għal xiex jużaw il-kloroplasti tagħhom?")</f>
        <v>Għal xiex jużaw il-kloroplasti tagħhom?</v>
      </c>
    </row>
    <row r="14862" ht="15.75" customHeight="1">
      <c r="A14862" s="2" t="s">
        <v>14862</v>
      </c>
      <c r="B14862" s="2" t="str">
        <f>IFERROR(__xludf.DUMMYFUNCTION("GOOGLETRANSLATE(A14862, ""en"", ""mt"")"),"Min ħoloq l-ewwel komunità tal-avjazzjoni tan-nazzjon?")</f>
        <v>Min ħoloq l-ewwel komunità tal-avjazzjoni tan-nazzjon?</v>
      </c>
    </row>
    <row r="14863" ht="15.75" customHeight="1">
      <c r="A14863" s="2" t="s">
        <v>14863</v>
      </c>
      <c r="B14863" s="2" t="str">
        <f>IFERROR(__xludf.DUMMYFUNCTION("GOOGLETRANSLATE(A14863, ""en"", ""mt"")"),"relattivament ugwali")</f>
        <v>relattivament ugwali</v>
      </c>
    </row>
    <row r="14864" ht="15.75" customHeight="1">
      <c r="A14864" s="2" t="s">
        <v>14864</v>
      </c>
      <c r="B14864" s="2" t="str">
        <f>IFERROR(__xludf.DUMMYFUNCTION("GOOGLETRANSLATE(A14864, ""en"", ""mt"")"),"X'jiġri mal-pakkett fid-destinazzjoni")</f>
        <v>X'jiġri mal-pakkett fid-destinazzjoni</v>
      </c>
    </row>
    <row r="14865" ht="15.75" customHeight="1">
      <c r="A14865" s="2" t="s">
        <v>14865</v>
      </c>
      <c r="B14865" s="2" t="str">
        <f>IFERROR(__xludf.DUMMYFUNCTION("GOOGLETRANSLATE(A14865, ""en"", ""mt"")"),"Esperiment Miller - Urey")</f>
        <v>Esperiment Miller - Urey</v>
      </c>
    </row>
    <row r="14866" ht="15.75" customHeight="1">
      <c r="A14866" s="2" t="s">
        <v>14866</v>
      </c>
      <c r="B14866" s="2" t="str">
        <f>IFERROR(__xludf.DUMMYFUNCTION("GOOGLETRANSLATE(A14866, ""en"", ""mt"")"),"fqir")</f>
        <v>fqir</v>
      </c>
    </row>
    <row r="14867" ht="15.75" customHeight="1">
      <c r="A14867" s="2" t="s">
        <v>14867</v>
      </c>
      <c r="B14867" s="2" t="str">
        <f>IFERROR(__xludf.DUMMYFUNCTION("GOOGLETRANSLATE(A14867, ""en"", ""mt"")"),"Edmonton, il-Kanada")</f>
        <v>Edmonton, il-Kanada</v>
      </c>
    </row>
    <row r="14868" ht="15.75" customHeight="1">
      <c r="A14868" s="2" t="s">
        <v>14868</v>
      </c>
      <c r="B14868" s="2" t="str">
        <f>IFERROR(__xludf.DUMMYFUNCTION("GOOGLETRANSLATE(A14868, ""en"", ""mt"")"),"16 Akkademji Nazzjonali tax-Xjenza")</f>
        <v>16 Akkademji Nazzjonali tax-Xjenza</v>
      </c>
    </row>
    <row r="14869" ht="15.75" customHeight="1">
      <c r="A14869" s="2" t="s">
        <v>14869</v>
      </c>
      <c r="B14869" s="2" t="str">
        <f>IFERROR(__xludf.DUMMYFUNCTION("GOOGLETRANSLATE(A14869, ""en"", ""mt"")"),"Il-kunċett determiniżmu ambjentali serva bħala ġustifikazzjoni morali għad-dominazzjoni ta 'ċerti territorji u popli. Kien maħsub li l-imġieba ta 'ċerta persuna kienu determinati mill-ambjent li kienu jgħixu u b'hekk ivvalidaw il-ħakma tagħhom. Pereżempju"&amp;", nies li jgħixu f'ambjenti tropikali kienu meqjusa bħala ""inqas ċivilizzati"" u għalhekk jiġġustifikaw il-kontroll kolonjali bħala missjoni ċivilizzanti. Madwar it-tliet mewġ ta 'kolonjaliżmu Ewropew (l-ewwel fl-Amerika, it-tieni fl-Asja u fl-aħħar fl-A"&amp;"frika), id-determiniżmu ambjentali ntuża biex ipoġġi kategorikament nies indiġeni f'ġerarkija razzjali. Dan jieħu żewġ forom, l-orjentaliżmu u t-tropiċità.")</f>
        <v>Il-kunċett determiniżmu ambjentali serva bħala ġustifikazzjoni morali għad-dominazzjoni ta 'ċerti territorji u popli. Kien maħsub li l-imġieba ta 'ċerta persuna kienu determinati mill-ambjent li kienu jgħixu u b'hekk ivvalidaw il-ħakma tagħhom. Pereżempju, nies li jgħixu f'ambjenti tropikali kienu meqjusa bħala "inqas ċivilizzati" u għalhekk jiġġustifikaw il-kontroll kolonjali bħala missjoni ċivilizzanti. Madwar it-tliet mewġ ta 'kolonjaliżmu Ewropew (l-ewwel fl-Amerika, it-tieni fl-Asja u fl-aħħar fl-Afrika), id-determiniżmu ambjentali ntuża biex ipoġġi kategorikament nies indiġeni f'ġerarkija razzjali. Dan jieħu żewġ forom, l-orjentaliżmu u t-tropiċità.</v>
      </c>
    </row>
    <row r="14870" ht="15.75" customHeight="1">
      <c r="A14870" s="2" t="s">
        <v>14870</v>
      </c>
      <c r="B14870" s="2" t="str">
        <f>IFERROR(__xludf.DUMMYFUNCTION("GOOGLETRANSLATE(A14870, ""en"", ""mt"")"),"Katekiżmu żgħir")</f>
        <v>Katekiżmu żgħir</v>
      </c>
    </row>
    <row r="14871" ht="15.75" customHeight="1">
      <c r="A14871" s="2" t="s">
        <v>14871</v>
      </c>
      <c r="B14871" s="2" t="str">
        <f>IFERROR(__xludf.DUMMYFUNCTION("GOOGLETRANSLATE(A14871, ""en"", ""mt"")"),"Dawk li diġà għandhom il-ġid")</f>
        <v>Dawk li diġà għandhom il-ġid</v>
      </c>
    </row>
    <row r="14872" ht="15.75" customHeight="1">
      <c r="A14872" s="2" t="s">
        <v>14872</v>
      </c>
      <c r="B14872" s="2" t="str">
        <f>IFERROR(__xludf.DUMMYFUNCTION("GOOGLETRANSLATE(A14872, ""en"", ""mt"")"),"Luther ittrattat il-Lhud bl-istess mod hekk kif ittratta liema grupp?")</f>
        <v>Luther ittrattat il-Lhud bl-istess mod hekk kif ittratta liema grupp?</v>
      </c>
    </row>
    <row r="14873" ht="15.75" customHeight="1">
      <c r="A14873" s="2" t="s">
        <v>14873</v>
      </c>
      <c r="B14873" s="2" t="str">
        <f>IFERROR(__xludf.DUMMYFUNCTION("GOOGLETRANSLATE(A14873, ""en"", ""mt"")"),"X'inhu l-isem tal-gallerija ddedikata għall-arti Ċiniża?")</f>
        <v>X'inhu l-isem tal-gallerija ddedikata għall-arti Ċiniża?</v>
      </c>
    </row>
    <row r="14874" ht="15.75" customHeight="1">
      <c r="A14874" s="2" t="s">
        <v>14874</v>
      </c>
      <c r="B14874" s="2" t="str">
        <f>IFERROR(__xludf.DUMMYFUNCTION("GOOGLETRANSLATE(A14874, ""en"", ""mt"")"),"L-armata ta ’min ħabbet lil Varsavja fl-1806?")</f>
        <v>L-armata ta ’min ħabbet lil Varsavja fl-1806?</v>
      </c>
    </row>
    <row r="14875" ht="15.75" customHeight="1">
      <c r="A14875" s="2" t="s">
        <v>14875</v>
      </c>
      <c r="B14875" s="2" t="str">
        <f>IFERROR(__xludf.DUMMYFUNCTION("GOOGLETRANSLATE(A14875, ""en"", ""mt"")"),"Luther meta rċieva grad fi studji bibliċi?")</f>
        <v>Luther meta rċieva grad fi studji bibliċi?</v>
      </c>
    </row>
    <row r="14876" ht="15.75" customHeight="1">
      <c r="A14876" s="2" t="s">
        <v>14876</v>
      </c>
      <c r="B14876" s="2" t="str">
        <f>IFERROR(__xludf.DUMMYFUNCTION("GOOGLETRANSLATE(A14876, ""en"", ""mt"")"),"Kif kienu l-irġiel li għamlu kompiti bħal dawk tal-ispiżjara tal-lum fil-Ġappun fil-perjodi ta 'Asuka u Nara?")</f>
        <v>Kif kienu l-irġiel li għamlu kompiti bħal dawk tal-ispiżjara tal-lum fil-Ġappun fil-perjodi ta 'Asuka u Nara?</v>
      </c>
    </row>
    <row r="14877" ht="15.75" customHeight="1">
      <c r="A14877" s="2" t="s">
        <v>14877</v>
      </c>
      <c r="B14877" s="2" t="str">
        <f>IFERROR(__xludf.DUMMYFUNCTION("GOOGLETRANSLATE(A14877, ""en"", ""mt"")"),"It-taħlita ta 'Varsavja ta' stili arkitettoniċi tirrifletti l-istorja mqallba tal-belt u l-pajjiż. Matul it-Tieni Gwerra Dinjija, Varsavja kienet imqaxxra mal-art billi bombi r-rejds u l-qerda ppjanata. Wara l-liberazzjoni, il-bini mill-ġdid beda bħal fi "&amp;"bliet oħra tal-PRL immexxi mill-komunista. Il-biċċa l-kbira tal-binjiet storiċi ġew rikostruwiti sewwa. Madankollu, uħud mill-binjiet mis-seklu 19 li kienu ġew ippreservati f'forma raġonevolment rikostructible ġew madankollu meqruda fl-1950 u l-1960 (e.g."&amp;" il-Palazz Leopold Kronenberg). Inbnew blokki residenzjali tal-massa, b'disinn bażiku tipiku tal-pajjiżi tal-Blokk tal-Lvant.")</f>
        <v>It-taħlita ta 'Varsavja ta' stili arkitettoniċi tirrifletti l-istorja mqallba tal-belt u l-pajjiż. Matul it-Tieni Gwerra Dinjija, Varsavja kienet imqaxxra mal-art billi bombi r-rejds u l-qerda ppjanata. Wara l-liberazzjoni, il-bini mill-ġdid beda bħal fi bliet oħra tal-PRL immexxi mill-komunista. Il-biċċa l-kbira tal-binjiet storiċi ġew rikostruwiti sewwa. Madankollu, uħud mill-binjiet mis-seklu 19 li kienu ġew ippreservati f'forma raġonevolment rikostructible ġew madankollu meqruda fl-1950 u l-1960 (e.g. il-Palazz Leopold Kronenberg). Inbnew blokki residenzjali tal-massa, b'disinn bażiku tipiku tal-pajjiżi tal-Blokk tal-Lvant.</v>
      </c>
    </row>
    <row r="14878" ht="15.75" customHeight="1">
      <c r="A14878" s="2" t="s">
        <v>14878</v>
      </c>
      <c r="B14878" s="2" t="str">
        <f>IFERROR(__xludf.DUMMYFUNCTION("GOOGLETRANSLATE(A14878, ""en"", ""mt"")"),"kummerċjali")</f>
        <v>kummerċjali</v>
      </c>
    </row>
    <row r="14879" ht="15.75" customHeight="1">
      <c r="A14879" s="2" t="s">
        <v>14879</v>
      </c>
      <c r="B14879" s="2" t="str">
        <f>IFERROR(__xludf.DUMMYFUNCTION("GOOGLETRANSLATE(A14879, ""en"", ""mt"")"),"Il-Gwerra Williamite")</f>
        <v>Il-Gwerra Williamite</v>
      </c>
    </row>
    <row r="14880" ht="15.75" customHeight="1">
      <c r="A14880" s="2" t="s">
        <v>14880</v>
      </c>
      <c r="B14880" s="2" t="str">
        <f>IFERROR(__xludf.DUMMYFUNCTION("GOOGLETRANSLATE(A14880, ""en"", ""mt"")"),"Ir-Russja tal-Majjistral")</f>
        <v>Ir-Russja tal-Majjistral</v>
      </c>
    </row>
    <row r="14881" ht="15.75" customHeight="1">
      <c r="A14881" s="2" t="s">
        <v>14881</v>
      </c>
      <c r="B14881" s="2" t="str">
        <f>IFERROR(__xludf.DUMMYFUNCTION("GOOGLETRANSLATE(A14881, ""en"", ""mt"")"),"Moviment tat-Temperanza")</f>
        <v>Moviment tat-Temperanza</v>
      </c>
    </row>
    <row r="14882" ht="15.75" customHeight="1">
      <c r="A14882" s="2" t="s">
        <v>14882</v>
      </c>
      <c r="B14882" s="2" t="str">
        <f>IFERROR(__xludf.DUMMYFUNCTION("GOOGLETRANSLATE(A14882, ""en"", ""mt"")"),"Meta l-membri jipproċedu jivvutaw dwar jekk jaqblux mal-prinċipji tal-abbozz finali?")</f>
        <v>Meta l-membri jipproċedu jivvutaw dwar jekk jaqblux mal-prinċipji tal-abbozz finali?</v>
      </c>
    </row>
    <row r="14883" ht="15.75" customHeight="1">
      <c r="A14883" s="2" t="s">
        <v>14883</v>
      </c>
      <c r="B14883" s="2" t="str">
        <f>IFERROR(__xludf.DUMMYFUNCTION("GOOGLETRANSLATE(A14883, ""en"", ""mt"")"),"Liema perjodu fetaħ l-Oċean Tethys?")</f>
        <v>Liema perjodu fetaħ l-Oċean Tethys?</v>
      </c>
    </row>
    <row r="14884" ht="15.75" customHeight="1">
      <c r="A14884" s="2" t="s">
        <v>14884</v>
      </c>
      <c r="B14884" s="2" t="str">
        <f>IFERROR(__xludf.DUMMYFUNCTION("GOOGLETRANSLATE(A14884, ""en"", ""mt"")"),"fil-kumitat")</f>
        <v>fil-kumitat</v>
      </c>
    </row>
    <row r="14885" ht="15.75" customHeight="1">
      <c r="A14885" s="2" t="s">
        <v>14885</v>
      </c>
      <c r="B14885" s="2" t="str">
        <f>IFERROR(__xludf.DUMMYFUNCTION("GOOGLETRANSLATE(A14885, ""en"", ""mt"")"),"Xogħlijiet anti-Luteru ta 'Luther")</f>
        <v>Xogħlijiet anti-Luteru ta 'Luther</v>
      </c>
    </row>
    <row r="14886" ht="15.75" customHeight="1">
      <c r="A14886" s="2" t="s">
        <v>14886</v>
      </c>
      <c r="B14886" s="2" t="str">
        <f>IFERROR(__xludf.DUMMYFUNCTION("GOOGLETRANSLATE(A14886, ""en"", ""mt"")"),"Il-ħodor")</f>
        <v>Il-ħodor</v>
      </c>
    </row>
    <row r="14887" ht="15.75" customHeight="1">
      <c r="A14887" s="2" t="s">
        <v>14887</v>
      </c>
      <c r="B14887" s="2" t="str">
        <f>IFERROR(__xludf.DUMMYFUNCTION("GOOGLETRANSLATE(A14887, ""en"", ""mt"")"),"Il-forma tad-delta tar-Rhine hija determinata minn żewġ bifurcations: l-ewwel, f'Millingen Aan de Rijn, ir-Rhine jinqasam f'Waal u Pannerdens Kanaal, li jibdel isimha għal Nederrijn f'Rangen, u t-tieni ħdejn Arnhem, l-IJSSEL fergħat barra mill-Nederrijn -"&amp;" Dan joħloq tliet flussi ewlenin, li tnejn minnhom ibiddlu ismijiet pjuttost spiss. L-akbar fergħa ewlenija u fin-Nofsinhar tibda bħala Waal u tkompli bħala Boven MerWede (""Upper MerWede""), Beneden MerWede (""Lower MerWede""), Noord River (""North River"&amp;"""), Nieuwe Maas (""New Meuse""), Het Scheur (""The RIP"") u Nieuwe Waterweg (""New Waterway""). Il-fluss tan-nofs jibda bħala Nederrijn, imbagħad jinbidel f'Lek, imbagħad jingħaqad mal-Noord, u b'hekk jifforma Nieuwe Maas. Il-fluss tat-tramuntana jżomm l"&amp;"-isem IJSSEL sakemm jgħaddi fil-Lag IJsselmeer. Tliet flussi oħra jġorru ammonti sinifikanti ta 'ilma: in-Nieuwe MerWede (""New MerWede""), li fergħat mill-fergħa tan-Nofsinhar fejn tinbidel minn Boven għal Beneden MerWede; L-Oude Maas (""Old Meuse""), li"&amp;" fergħat mill-fergħa tan-Nofsinhar fejn tinbidel minn Beneden MerWede f'Noord, u Dordtse Kil, li fergħat minn Oude Maas.")</f>
        <v>Il-forma tad-delta tar-Rhine hija determinata minn żewġ bifurcations: l-ewwel, f'Millingen Aan de Rijn, ir-Rhine jinqasam f'Waal u Pannerdens Kanaal, li jibdel isimha għal Nederrijn f'Rangen, u t-tieni ħdejn Arnhem, l-IJSSEL fergħat barra mill-Nederrijn - Dan joħloq tliet flussi ewlenin, li tnejn minnhom ibiddlu ismijiet pjuttost spiss. L-akbar fergħa ewlenija u fin-Nofsinhar tibda bħala Waal u tkompli bħala Boven MerWede ("Upper MerWede"), Beneden MerWede ("Lower MerWede"), Noord River ("North River"), Nieuwe Maas ("New Meuse"), Het Scheur ("The RIP") u Nieuwe Waterweg ("New Waterway"). Il-fluss tan-nofs jibda bħala Nederrijn, imbagħad jinbidel f'Lek, imbagħad jingħaqad mal-Noord, u b'hekk jifforma Nieuwe Maas. Il-fluss tat-tramuntana jżomm l-isem IJSSEL sakemm jgħaddi fil-Lag IJsselmeer. Tliet flussi oħra jġorru ammonti sinifikanti ta 'ilma: in-Nieuwe MerWede ("New MerWede"), li fergħat mill-fergħa tan-Nofsinhar fejn tinbidel minn Boven għal Beneden MerWede; L-Oude Maas ("Old Meuse"), li fergħat mill-fergħa tan-Nofsinhar fejn tinbidel minn Beneden MerWede f'Noord, u Dordtse Kil, li fergħat minn Oude Maas.</v>
      </c>
    </row>
    <row r="14888" ht="15.75" customHeight="1">
      <c r="A14888" s="2" t="s">
        <v>14888</v>
      </c>
      <c r="B14888" s="2" t="str">
        <f>IFERROR(__xludf.DUMMYFUNCTION("GOOGLETRANSLATE(A14888, ""en"", ""mt"")"),"3,600")</f>
        <v>3,600</v>
      </c>
    </row>
    <row r="14889" ht="15.75" customHeight="1">
      <c r="A14889" s="2" t="s">
        <v>14889</v>
      </c>
      <c r="B14889" s="2" t="str">
        <f>IFERROR(__xludf.DUMMYFUNCTION("GOOGLETRANSLATE(A14889, ""en"", ""mt"")"),"Il-parti ta ’barra tas-CM kienet koperta f’liema tip ta’ materjal?")</f>
        <v>Il-parti ta ’barra tas-CM kienet koperta f’liema tip ta’ materjal?</v>
      </c>
    </row>
    <row r="14890" ht="15.75" customHeight="1">
      <c r="A14890" s="2" t="s">
        <v>14890</v>
      </c>
      <c r="B14890" s="2" t="str">
        <f>IFERROR(__xludf.DUMMYFUNCTION("GOOGLETRANSLATE(A14890, ""en"", ""mt"")"),"sediment")</f>
        <v>sediment</v>
      </c>
    </row>
    <row r="14891" ht="15.75" customHeight="1">
      <c r="A14891" s="2" t="s">
        <v>14891</v>
      </c>
      <c r="B14891" s="2" t="str">
        <f>IFERROR(__xludf.DUMMYFUNCTION("GOOGLETRANSLATE(A14891, ""en"", ""mt"")"),"It-Trattat ta 'Lisbona huwa wieħed li jbiddel it-trattati eżistenti jew jibdilhom?")</f>
        <v>It-Trattat ta 'Lisbona huwa wieħed li jbiddel it-trattati eżistenti jew jibdilhom?</v>
      </c>
    </row>
    <row r="14892" ht="15.75" customHeight="1">
      <c r="A14892" s="2" t="s">
        <v>14892</v>
      </c>
      <c r="B14892" s="2" t="str">
        <f>IFERROR(__xludf.DUMMYFUNCTION("GOOGLETRANSLATE(A14892, ""en"", ""mt"")"),"Temüjin beda t-tlugħ tiegħu għall-poter billi joffri lilu nnifsu bħala alleat (jew, skond sorsi oħra, vassall) għall-Anda ta 'missieru (ħu ġuramentat jew ħu d-demm) Toghrul, li kien Khan tal-Keraites, u huwa magħruf aħjar miċ-Ċiniżi Titlu ""Wang Khan"", l"&amp;"i d-dinastija Jurchen Jin tah fl-1197. Din ir-relazzjoni ġiet imsaħħa l-ewwel meta Börte ġie maqbud mill-Merkits. Temüjin daru lejn Toghrul għall-appoġġ, u bi tweġiba, Toghrul offra l-vassall tiegħu 20,000 mill-ġellieda Keraite tiegħu u ssuġġerixxa li jin"&amp;"volvi wkoll il-ħabib tat-tfulija tiegħu Jamukha, li kien innifsu sar Khan (ħakkiem) tat-tribù tiegħu stess, il-Jadaran.")</f>
        <v>Temüjin beda t-tlugħ tiegħu għall-poter billi joffri lilu nnifsu bħala alleat (jew, skond sorsi oħra, vassall) għall-Anda ta 'missieru (ħu ġuramentat jew ħu d-demm) Toghrul, li kien Khan tal-Keraites, u huwa magħruf aħjar miċ-Ċiniżi Titlu "Wang Khan", li d-dinastija Jurchen Jin tah fl-1197. Din ir-relazzjoni ġiet imsaħħa l-ewwel meta Börte ġie maqbud mill-Merkits. Temüjin daru lejn Toghrul għall-appoġġ, u bi tweġiba, Toghrul offra l-vassall tiegħu 20,000 mill-ġellieda Keraite tiegħu u ssuġġerixxa li jinvolvi wkoll il-ħabib tat-tfulija tiegħu Jamukha, li kien innifsu sar Khan (ħakkiem) tat-tribù tiegħu stess, il-Jadaran.</v>
      </c>
    </row>
    <row r="14893" ht="15.75" customHeight="1">
      <c r="A14893" s="2" t="s">
        <v>14893</v>
      </c>
      <c r="B14893" s="2" t="str">
        <f>IFERROR(__xludf.DUMMYFUNCTION("GOOGLETRANSLATE(A14893, ""en"", ""mt"")"),"Agrikoltura u Silvikultura")</f>
        <v>Agrikoltura u Silvikultura</v>
      </c>
    </row>
    <row r="14894" ht="15.75" customHeight="1">
      <c r="A14894" s="2" t="s">
        <v>14894</v>
      </c>
      <c r="B14894" s="2" t="str">
        <f>IFERROR(__xludf.DUMMYFUNCTION("GOOGLETRANSLATE(A14894, ""en"", ""mt"")"),"Għaliex ġie ffurmat in-netwerk tal-mertu fil-Michigan")</f>
        <v>Għaliex ġie ffurmat in-netwerk tal-mertu fil-Michigan</v>
      </c>
    </row>
    <row r="14895" ht="15.75" customHeight="1">
      <c r="A14895" s="2" t="s">
        <v>14895</v>
      </c>
      <c r="B14895" s="2" t="str">
        <f>IFERROR(__xludf.DUMMYFUNCTION("GOOGLETRANSLATE(A14895, ""en"", ""mt"")"),"Pharma")</f>
        <v>Pharma</v>
      </c>
    </row>
    <row r="14896" ht="15.75" customHeight="1">
      <c r="A14896" s="2" t="s">
        <v>14896</v>
      </c>
      <c r="B14896" s="2" t="str">
        <f>IFERROR(__xludf.DUMMYFUNCTION("GOOGLETRANSLATE(A14896, ""en"", ""mt"")"),"£ 42,090")</f>
        <v>£ 42,090</v>
      </c>
    </row>
    <row r="14897" ht="15.75" customHeight="1">
      <c r="A14897" s="2" t="s">
        <v>14897</v>
      </c>
      <c r="B14897" s="2" t="str">
        <f>IFERROR(__xludf.DUMMYFUNCTION("GOOGLETRANSLATE(A14897, ""en"", ""mt"")"),"Fejn huma maqsuma r-Renu ta 'Fuq u d-Danubju ta' Fuq?")</f>
        <v>Fejn huma maqsuma r-Renu ta 'Fuq u d-Danubju ta' Fuq?</v>
      </c>
    </row>
    <row r="14898" ht="15.75" customHeight="1">
      <c r="A14898" s="2" t="s">
        <v>14898</v>
      </c>
      <c r="B14898" s="2" t="str">
        <f>IFERROR(__xludf.DUMMYFUNCTION("GOOGLETRANSLATE(A14898, ""en"", ""mt"")"),"Aħbarijiet taż-żewġ battalji waslu l-Ingilterra f’Awwissu. Wara diversi xhur ta ’negozjati, il-gvern tad-Duka ta’ Newcastle iddeċieda li jibgħat spedizzjoni tal-Armata s-sena ta ’wara biex jiżvela lill-Franċiżi. Huma għażlu l-Ġeneral Maġġur Edward Braddoc"&amp;"k biex imexxi l-ispedizzjoni. Kelma tal-pjanijiet militari Ingliżi nixxew lejn Franza sew qabel it-tluq ta 'Braddock għall-Amerika ta' Fuq. Bi tweġiba, ir-Re Louis XV bagħat sitt reġimenti lejn Franza Ġdida taħt il-kmand tal-Baruni Dieskau fl-1755. Il-Bri"&amp;"ttaniċi, li biħsiebhom jimblokkaw il-portijiet Franċiżi, bagħtu l-flotta tagħhom fi Frar 1755, iżda l-flotta Franċiża kienet diġà baħħret. L-Ammirall Edward Hawke qala ’skwadra mgħaġġla lejn l-Amerika ta’ Fuq f’tentattiv biex jinterċetta lill-Franċiżi.")</f>
        <v>Aħbarijiet taż-żewġ battalji waslu l-Ingilterra f’Awwissu. Wara diversi xhur ta ’negozjati, il-gvern tad-Duka ta’ Newcastle iddeċieda li jibgħat spedizzjoni tal-Armata s-sena ta ’wara biex jiżvela lill-Franċiżi. Huma għażlu l-Ġeneral Maġġur Edward Braddock biex imexxi l-ispedizzjoni. Kelma tal-pjanijiet militari Ingliżi nixxew lejn Franza sew qabel it-tluq ta 'Braddock għall-Amerika ta' Fuq. Bi tweġiba, ir-Re Louis XV bagħat sitt reġimenti lejn Franza Ġdida taħt il-kmand tal-Baruni Dieskau fl-1755. Il-Brittaniċi, li biħsiebhom jimblokkaw il-portijiet Franċiżi, bagħtu l-flotta tagħhom fi Frar 1755, iżda l-flotta Franċiża kienet diġà baħħret. L-Ammirall Edward Hawke qala ’skwadra mgħaġġla lejn l-Amerika ta’ Fuq f’tentattiv biex jinterċetta lill-Franċiżi.</v>
      </c>
    </row>
    <row r="14899" ht="15.75" customHeight="1">
      <c r="A14899" s="2" t="s">
        <v>14899</v>
      </c>
      <c r="B14899" s="2" t="str">
        <f>IFERROR(__xludf.DUMMYFUNCTION("GOOGLETRANSLATE(A14899, ""en"", ""mt"")"),"Għal min iddikjara t-Tramuntana matul il-Gwerra Ċivili Ingliża?")</f>
        <v>Għal min iddikjara t-Tramuntana matul il-Gwerra Ċivili Ingliża?</v>
      </c>
    </row>
    <row r="14900" ht="15.75" customHeight="1">
      <c r="A14900" s="2" t="s">
        <v>14900</v>
      </c>
      <c r="B14900" s="2" t="str">
        <f>IFERROR(__xludf.DUMMYFUNCTION("GOOGLETRANSLATE(A14900, ""en"", ""mt"")"),"Liema fruntiera testendi l-megaregion?")</f>
        <v>Liema fruntiera testendi l-megaregion?</v>
      </c>
    </row>
    <row r="14901" ht="15.75" customHeight="1">
      <c r="A14901" s="2" t="s">
        <v>14901</v>
      </c>
      <c r="B14901" s="2" t="str">
        <f>IFERROR(__xludf.DUMMYFUNCTION("GOOGLETRANSLATE(A14901, ""en"", ""mt"")"),"Taħt 0 ° C (32 ° F)")</f>
        <v>Taħt 0 ° C (32 ° F)</v>
      </c>
    </row>
    <row r="14902" ht="15.75" customHeight="1">
      <c r="A14902" s="2" t="s">
        <v>14902</v>
      </c>
      <c r="B14902" s="2" t="str">
        <f>IFERROR(__xludf.DUMMYFUNCTION("GOOGLETRANSLATE(A14902, ""en"", ""mt"")"),"Mantell")</f>
        <v>Mantell</v>
      </c>
    </row>
    <row r="14903" ht="15.75" customHeight="1">
      <c r="A14903" s="2" t="s">
        <v>14903</v>
      </c>
      <c r="B14903" s="2" t="str">
        <f>IFERROR(__xludf.DUMMYFUNCTION("GOOGLETRANSLATE(A14903, ""en"", ""mt"")"),"Fl-1530s u l-1540s, immaġini stampati ta 'Luther li enfasizzaw id-daqs monumentali tiegħu kienu kruċjali għat-tixrid tal-Protestantiżmu. B'kuntrast ma 'immaġini ta' qaddisin Kattoliċi fraġli, Luther ġie ppreżentat bħala raġel stout b '""geddum doppju, ħal"&amp;"q qawwi, li jtaqqab l-għajnejn fil-fond, wiċċ imlaħħam, u għonq squat."" Huwa ntwera li kien fiżikament imponenti, ugwali fl-istatura għall-prinċpijiet Ġermaniżi sekulari li magħhom kien jingħaqad biex ixerred il-Luteraniżmu. Il-ġisem kbir tiegħu wkoll ħa"&amp;"lli lit-telespettatur ikun jaf li hu ma shunx pjaċiri tad-dinja bħax-xorb - imġieba li kienet kuntrast qawwi mal-ħajja aċetika tal-ordnijiet reliġjużi medjevali. Immaġini famużi minn dan il-perjodu jinkludu l-Woodcuts minn Hans Brosamer (1530) u Lucas Cra"&amp;"nach the Elder u Lucas Cranach The Younger (1546).")</f>
        <v>Fl-1530s u l-1540s, immaġini stampati ta 'Luther li enfasizzaw id-daqs monumentali tiegħu kienu kruċjali għat-tixrid tal-Protestantiżmu. B'kuntrast ma 'immaġini ta' qaddisin Kattoliċi fraġli, Luther ġie ppreżentat bħala raġel stout b '"geddum doppju, ħalq qawwi, li jtaqqab l-għajnejn fil-fond, wiċċ imlaħħam, u għonq squat." Huwa ntwera li kien fiżikament imponenti, ugwali fl-istatura għall-prinċpijiet Ġermaniżi sekulari li magħhom kien jingħaqad biex ixerred il-Luteraniżmu. Il-ġisem kbir tiegħu wkoll ħalli lit-telespettatur ikun jaf li hu ma shunx pjaċiri tad-dinja bħax-xorb - imġieba li kienet kuntrast qawwi mal-ħajja aċetika tal-ordnijiet reliġjużi medjevali. Immaġini famużi minn dan il-perjodu jinkludu l-Woodcuts minn Hans Brosamer (1530) u Lucas Cranach the Elder u Lucas Cranach The Younger (1546).</v>
      </c>
    </row>
    <row r="14904" ht="15.75" customHeight="1">
      <c r="A14904" s="2" t="s">
        <v>14904</v>
      </c>
      <c r="B14904" s="2" t="str">
        <f>IFERROR(__xludf.DUMMYFUNCTION("GOOGLETRANSLATE(A14904, ""en"", ""mt"")"),"Klijenti 2.4m")</f>
        <v>Klijenti 2.4m</v>
      </c>
    </row>
    <row r="14905" ht="15.75" customHeight="1">
      <c r="A14905" s="2" t="s">
        <v>14905</v>
      </c>
      <c r="B14905" s="2" t="str">
        <f>IFERROR(__xludf.DUMMYFUNCTION("GOOGLETRANSLATE(A14905, ""en"", ""mt"")"),"arbli")</f>
        <v>arbli</v>
      </c>
    </row>
    <row r="14906" ht="15.75" customHeight="1">
      <c r="A14906" s="2" t="s">
        <v>14906</v>
      </c>
      <c r="B14906" s="2" t="str">
        <f>IFERROR(__xludf.DUMMYFUNCTION("GOOGLETRANSLATE(A14906, ""en"", ""mt"")"),"Eliminazzjoni tal-poter Franċiż")</f>
        <v>Eliminazzjoni tal-poter Franċiż</v>
      </c>
    </row>
    <row r="14907" ht="15.75" customHeight="1">
      <c r="A14907" s="2" t="s">
        <v>14907</v>
      </c>
      <c r="B14907" s="2" t="str">
        <f>IFERROR(__xludf.DUMMYFUNCTION("GOOGLETRANSLATE(A14907, ""en"", ""mt"")"),"Pesta ta 'Ateni fl-430 QK")</f>
        <v>Pesta ta 'Ateni fl-430 QK</v>
      </c>
    </row>
    <row r="14908" ht="15.75" customHeight="1">
      <c r="A14908" s="2" t="s">
        <v>14908</v>
      </c>
      <c r="B14908" s="2" t="str">
        <f>IFERROR(__xludf.DUMMYFUNCTION("GOOGLETRANSLATE(A14908, ""en"", ""mt"")"),"Fl-1844,")</f>
        <v>Fl-1844,</v>
      </c>
    </row>
    <row r="14909" ht="15.75" customHeight="1">
      <c r="A14909" s="2" t="s">
        <v>14909</v>
      </c>
      <c r="B14909" s="2" t="str">
        <f>IFERROR(__xludf.DUMMYFUNCTION("GOOGLETRANSLATE(A14909, ""en"", ""mt"")"),"Bill Aken")</f>
        <v>Bill Aken</v>
      </c>
    </row>
    <row r="14910" ht="15.75" customHeight="1">
      <c r="A14910" s="2" t="s">
        <v>14910</v>
      </c>
      <c r="B14910" s="2" t="str">
        <f>IFERROR(__xludf.DUMMYFUNCTION("GOOGLETRANSLATE(A14910, ""en"", ""mt"")"),"stat tal-moħħ li qed jonqos")</f>
        <v>stat tal-moħħ li qed jonqos</v>
      </c>
    </row>
    <row r="14911" ht="15.75" customHeight="1">
      <c r="A14911" s="2" t="s">
        <v>14911</v>
      </c>
      <c r="B14911" s="2" t="str">
        <f>IFERROR(__xludf.DUMMYFUNCTION("GOOGLETRANSLATE(A14911, ""en"", ""mt"")"),"mibjugħa")</f>
        <v>mibjugħa</v>
      </c>
    </row>
    <row r="14912" ht="15.75" customHeight="1">
      <c r="A14912" s="2" t="s">
        <v>14912</v>
      </c>
      <c r="B14912" s="2" t="str">
        <f>IFERROR(__xludf.DUMMYFUNCTION("GOOGLETRANSLATE(A14912, ""en"", ""mt"")"),"X'inhu l-isem għal problema li tissodisfa l-affermazzjoni ta 'Ladner?")</f>
        <v>X'inhu l-isem għal problema li tissodisfa l-affermazzjoni ta 'Ladner?</v>
      </c>
    </row>
    <row r="14913" ht="15.75" customHeight="1">
      <c r="A14913" s="2" t="s">
        <v>14913</v>
      </c>
      <c r="B14913" s="2" t="str">
        <f>IFERROR(__xludf.DUMMYFUNCTION("GOOGLETRANSLATE(A14913, ""en"", ""mt"")"),"Telespettaturi tad-dar li għamlu tejp reġistrazzjonijiet tal-ispettaklu")</f>
        <v>Telespettaturi tad-dar li għamlu tejp reġistrazzjonijiet tal-ispettaklu</v>
      </c>
    </row>
    <row r="14914" ht="15.75" customHeight="1">
      <c r="A14914" s="2" t="s">
        <v>14914</v>
      </c>
      <c r="B14914" s="2" t="str">
        <f>IFERROR(__xludf.DUMMYFUNCTION("GOOGLETRANSLATE(A14914, ""en"", ""mt"")"),"X'kien l-isem tas-serje fejn jidher il-Valeyard?")</f>
        <v>X'kien l-isem tas-serje fejn jidher il-Valeyard?</v>
      </c>
    </row>
    <row r="14915" ht="15.75" customHeight="1">
      <c r="A14915" s="2" t="s">
        <v>14915</v>
      </c>
      <c r="B14915" s="2" t="str">
        <f>IFERROR(__xludf.DUMMYFUNCTION("GOOGLETRANSLATE(A14915, ""en"", ""mt"")"),"X'inhi kundizzjoni waħda li element P ta 'R għandu jissodisfa sabiex ikun ikkunsidrat bħala element ewlieni?")</f>
        <v>X'inhi kundizzjoni waħda li element P ta 'R għandu jissodisfa sabiex ikun ikkunsidrat bħala element ewlieni?</v>
      </c>
    </row>
    <row r="14916" ht="15.75" customHeight="1">
      <c r="A14916" s="2" t="s">
        <v>14916</v>
      </c>
      <c r="B14916" s="2" t="str">
        <f>IFERROR(__xludf.DUMMYFUNCTION("GOOGLETRANSLATE(A14916, ""en"", ""mt"")"),"X'kienu l-oriġini kulturali tal-inġiniera u t-teknoloġija adottati mill-militar Mongoljan?")</f>
        <v>X'kienu l-oriġini kulturali tal-inġiniera u t-teknoloġija adottati mill-militar Mongoljan?</v>
      </c>
    </row>
    <row r="14917" ht="15.75" customHeight="1">
      <c r="A14917" s="2" t="s">
        <v>14917</v>
      </c>
      <c r="B14917" s="2" t="str">
        <f>IFERROR(__xludf.DUMMYFUNCTION("GOOGLETRANSLATE(A14917, ""en"", ""mt"")"),"Otilling")</f>
        <v>Otilling</v>
      </c>
    </row>
    <row r="14918" ht="15.75" customHeight="1">
      <c r="A14918" s="2" t="s">
        <v>14918</v>
      </c>
      <c r="B14918" s="2" t="str">
        <f>IFERROR(__xludf.DUMMYFUNCTION("GOOGLETRANSLATE(A14918, ""en"", ""mt"")"),"Għal madwar kemm idum il-LM estiż jippermetti wiċċ jibqa 'fuq il-qamar?")</f>
        <v>Għal madwar kemm idum il-LM estiż jippermetti wiċċ jibqa 'fuq il-qamar?</v>
      </c>
    </row>
    <row r="14919" ht="15.75" customHeight="1">
      <c r="A14919" s="2" t="s">
        <v>14919</v>
      </c>
      <c r="B14919" s="2" t="str">
        <f>IFERROR(__xludf.DUMMYFUNCTION("GOOGLETRANSLATE(A14919, ""en"", ""mt"")"),"Min keċċa lil Cam Newton fi tmiem in-nofs?")</f>
        <v>Min keċċa lil Cam Newton fi tmiem in-nofs?</v>
      </c>
    </row>
    <row r="14920" ht="15.75" customHeight="1">
      <c r="A14920" s="2" t="s">
        <v>14920</v>
      </c>
      <c r="B14920" s="2" t="str">
        <f>IFERROR(__xludf.DUMMYFUNCTION("GOOGLETRANSLATE(A14920, ""en"", ""mt"")"),"L-ispiżjara huma mistennija jsiru aktar integrali fis-sistema tal-kura tas-saħħa")</f>
        <v>L-ispiżjara huma mistennija jsiru aktar integrali fis-sistema tal-kura tas-saħħa</v>
      </c>
    </row>
    <row r="14921" ht="15.75" customHeight="1">
      <c r="A14921" s="2" t="s">
        <v>14921</v>
      </c>
      <c r="B14921" s="2" t="str">
        <f>IFERROR(__xludf.DUMMYFUNCTION("GOOGLETRANSLATE(A14921, ""en"", ""mt"")"),"Liema phylum huwa iktar kumpless minn sponoż?")</f>
        <v>Liema phylum huwa iktar kumpless minn sponoż?</v>
      </c>
    </row>
    <row r="14922" ht="15.75" customHeight="1">
      <c r="A14922" s="2" t="s">
        <v>14922</v>
      </c>
      <c r="B14922" s="2" t="str">
        <f>IFERROR(__xludf.DUMMYFUNCTION("GOOGLETRANSLATE(A14922, ""en"", ""mt"")"),"Min hu elett biex iservi bħala l-uffiċjal li jippresiedi fil-bidu ta 'kull sessjoni parlamentari?")</f>
        <v>Min hu elett biex iservi bħala l-uffiċjal li jippresiedi fil-bidu ta 'kull sessjoni parlamentari?</v>
      </c>
    </row>
    <row r="14923" ht="15.75" customHeight="1">
      <c r="A14923" s="2" t="s">
        <v>14923</v>
      </c>
      <c r="B14923" s="2" t="str">
        <f>IFERROR(__xludf.DUMMYFUNCTION("GOOGLETRANSLATE(A14923, ""en"", ""mt"")"),"Mediċina Musulmana")</f>
        <v>Mediċina Musulmana</v>
      </c>
    </row>
    <row r="14924" ht="15.75" customHeight="1">
      <c r="A14924" s="2" t="s">
        <v>14924</v>
      </c>
      <c r="B14924" s="2" t="str">
        <f>IFERROR(__xludf.DUMMYFUNCTION("GOOGLETRANSLATE(A14924, ""en"", ""mt"")"),"Pjanċi taċ-ċomb midfuna")</f>
        <v>Pjanċi taċ-ċomb midfuna</v>
      </c>
    </row>
    <row r="14925" ht="15.75" customHeight="1">
      <c r="A14925" s="2" t="s">
        <v>14925</v>
      </c>
      <c r="B14925" s="2" t="str">
        <f>IFERROR(__xludf.DUMMYFUNCTION("GOOGLETRANSLATE(A14925, ""en"", ""mt"")"),"Mermaid waqfet tistrieħ fuq il-bajja bir-ramel minn liema raħal?")</f>
        <v>Mermaid waqfet tistrieħ fuq il-bajja bir-ramel minn liema raħal?</v>
      </c>
    </row>
    <row r="14926" ht="15.75" customHeight="1">
      <c r="A14926" s="2" t="s">
        <v>14926</v>
      </c>
      <c r="B14926" s="2" t="str">
        <f>IFERROR(__xludf.DUMMYFUNCTION("GOOGLETRANSLATE(A14926, ""en"", ""mt"")"),"Liema post ta 'Kalifornja kien wieħed minn tlieta meqjus għal Super Bowl 50?")</f>
        <v>Liema post ta 'Kalifornja kien wieħed minn tlieta meqjus għal Super Bowl 50?</v>
      </c>
    </row>
    <row r="14927" ht="15.75" customHeight="1">
      <c r="A14927" s="2" t="s">
        <v>14927</v>
      </c>
      <c r="B14927" s="2" t="str">
        <f>IFERROR(__xludf.DUMMYFUNCTION("GOOGLETRANSLATE(A14927, ""en"", ""mt"")"),"żdied b'0.3 sa 0.6 ° C")</f>
        <v>żdied b'0.3 sa 0.6 ° C</v>
      </c>
    </row>
    <row r="14928" ht="15.75" customHeight="1">
      <c r="A14928" s="2" t="s">
        <v>14928</v>
      </c>
      <c r="B14928" s="2" t="str">
        <f>IFERROR(__xludf.DUMMYFUNCTION("GOOGLETRANSLATE(A14928, ""en"", ""mt"")"),"Is-Santa Clara Marriott")</f>
        <v>Is-Santa Clara Marriott</v>
      </c>
    </row>
    <row r="14929" ht="15.75" customHeight="1">
      <c r="A14929" s="2" t="s">
        <v>14929</v>
      </c>
      <c r="B14929" s="2" t="str">
        <f>IFERROR(__xludf.DUMMYFUNCTION("GOOGLETRANSLATE(A14929, ""en"", ""mt"")"),"Il-ġeoloġi planetarji kejlu abbundanzi differenti ta 'iżotopi ta' ossiġenu f'kampjuni mid-dinja, il-qamar, Mars, u meteoriti, iżda ma setgħux jiksbu valuri ta 'referenza għall-proporzjonijiet ta' iżotopi fix-xemx, maħsuba li huma l-istess bħal dawk tas-so"&amp;"lari primordjali Nebula. Analiżi ta 'wejfer tas-silikon espost għar-riħ solari fl-ispazju u rritornat mill-vettura spazjali Ġenesi ġġarraf uriet li x-xemx għandha proporzjon ogħla ta' ossiġnu-16 milli tagħmel id-dinja. Il-kejl jimplika li proċess mhux mag"&amp;"ħruf ossiġnu-16 mid-diska tax-xemx ta 'materjal protoplanetarju qabel il-koexxenza ta' ħbub tat-trab li ffurmaw id-dinja.")</f>
        <v>Il-ġeoloġi planetarji kejlu abbundanzi differenti ta 'iżotopi ta' ossiġenu f'kampjuni mid-dinja, il-qamar, Mars, u meteoriti, iżda ma setgħux jiksbu valuri ta 'referenza għall-proporzjonijiet ta' iżotopi fix-xemx, maħsuba li huma l-istess bħal dawk tas-solari primordjali Nebula. Analiżi ta 'wejfer tas-silikon espost għar-riħ solari fl-ispazju u rritornat mill-vettura spazjali Ġenesi ġġarraf uriet li x-xemx għandha proporzjon ogħla ta' ossiġnu-16 milli tagħmel id-dinja. Il-kejl jimplika li proċess mhux magħruf ossiġnu-16 mid-diska tax-xemx ta 'materjal protoplanetarju qabel il-koexxenza ta' ħbub tat-trab li ffurmaw id-dinja.</v>
      </c>
    </row>
    <row r="14930" ht="15.75" customHeight="1">
      <c r="A14930" s="2" t="s">
        <v>14930</v>
      </c>
      <c r="B14930" s="2" t="str">
        <f>IFERROR(__xludf.DUMMYFUNCTION("GOOGLETRANSLATE(A14930, ""en"", ""mt"")"),"2.5 biljun sena ilu")</f>
        <v>2.5 biljun sena ilu</v>
      </c>
    </row>
    <row r="14931" ht="15.75" customHeight="1">
      <c r="A14931" s="2" t="s">
        <v>14931</v>
      </c>
      <c r="B14931" s="2" t="str">
        <f>IFERROR(__xludf.DUMMYFUNCTION("GOOGLETRANSLATE(A14931, ""en"", ""mt"")"),"Pleurobrachia")</f>
        <v>Pleurobrachia</v>
      </c>
    </row>
    <row r="14932" ht="15.75" customHeight="1">
      <c r="A14932" s="2" t="s">
        <v>14932</v>
      </c>
      <c r="B14932" s="2" t="str">
        <f>IFERROR(__xludf.DUMMYFUNCTION("GOOGLETRANSLATE(A14932, ""en"", ""mt"")"),"Massakru Peterloo")</f>
        <v>Massakru Peterloo</v>
      </c>
    </row>
    <row r="14933" ht="15.75" customHeight="1">
      <c r="A14933" s="2" t="s">
        <v>14933</v>
      </c>
      <c r="B14933" s="2" t="str">
        <f>IFERROR(__xludf.DUMMYFUNCTION("GOOGLETRANSLATE(A14933, ""en"", ""mt"")"),"il-metodu ewlieni tagħhom ta 'lokomozzjoni")</f>
        <v>il-metodu ewlieni tagħhom ta 'lokomozzjoni</v>
      </c>
    </row>
    <row r="14934" ht="15.75" customHeight="1">
      <c r="A14934" s="2" t="s">
        <v>14934</v>
      </c>
      <c r="B14934" s="2" t="str">
        <f>IFERROR(__xludf.DUMMYFUNCTION("GOOGLETRANSLATE(A14934, ""en"", ""mt"")"),"Kemm għandu jkun hemm maġġoranza tal-vot li jkun hemm biex tiċċensura b'mod effettiv il-kummissjoni?")</f>
        <v>Kemm għandu jkun hemm maġġoranza tal-vot li jkun hemm biex tiċċensura b'mod effettiv il-kummissjoni?</v>
      </c>
    </row>
    <row r="14935" ht="15.75" customHeight="1">
      <c r="A14935" s="2" t="s">
        <v>14935</v>
      </c>
      <c r="B14935" s="2" t="str">
        <f>IFERROR(__xludf.DUMMYFUNCTION("GOOGLETRANSLATE(A14935, ""en"", ""mt"")"),"X'inhu d-dmir tas-CJEU?")</f>
        <v>X'inhu d-dmir tas-CJEU?</v>
      </c>
    </row>
    <row r="14936" ht="15.75" customHeight="1">
      <c r="A14936" s="2" t="s">
        <v>14936</v>
      </c>
      <c r="B14936" s="2" t="str">
        <f>IFERROR(__xludf.DUMMYFUNCTION("GOOGLETRANSLATE(A14936, ""en"", ""mt"")"),"F'liema sena bdiet il-kaċċa tal-kennies?")</f>
        <v>F'liema sena bdiet il-kaċċa tal-kennies?</v>
      </c>
    </row>
    <row r="14937" ht="15.75" customHeight="1">
      <c r="A14937" s="2" t="s">
        <v>14937</v>
      </c>
      <c r="B14937" s="2" t="str">
        <f>IFERROR(__xludf.DUMMYFUNCTION("GOOGLETRANSLATE(A14937, ""en"", ""mt"")"),"Kemm hemm risponsi immuni kbar li għandhom il-pjanti?")</f>
        <v>Kemm hemm risponsi immuni kbar li għandhom il-pjanti?</v>
      </c>
    </row>
    <row r="14938" ht="15.75" customHeight="1">
      <c r="A14938" s="2" t="s">
        <v>14938</v>
      </c>
      <c r="B14938" s="2" t="str">
        <f>IFERROR(__xludf.DUMMYFUNCTION("GOOGLETRANSLATE(A14938, ""en"", ""mt"")"),"X'inhuma l-fatturi li qed jikkontribwixxu għax-xewqa li l-SR 99 jitjiebu biex ikunu ta 'standards bejn l-istati?")</f>
        <v>X'inhuma l-fatturi li qed jikkontribwixxu għax-xewqa li l-SR 99 jitjiebu biex ikunu ta 'standards bejn l-istati?</v>
      </c>
    </row>
    <row r="14939" ht="15.75" customHeight="1">
      <c r="A14939" s="2" t="s">
        <v>14939</v>
      </c>
      <c r="B14939" s="2" t="str">
        <f>IFERROR(__xludf.DUMMYFUNCTION("GOOGLETRANSLATE(A14939, ""en"", ""mt"")"),"biex jagħżlu l-istudenti tagħhom")</f>
        <v>biex jagħżlu l-istudenti tagħhom</v>
      </c>
    </row>
    <row r="14940" ht="15.75" customHeight="1">
      <c r="A14940" s="2" t="s">
        <v>14940</v>
      </c>
      <c r="B14940" s="2" t="str">
        <f>IFERROR(__xludf.DUMMYFUNCTION("GOOGLETRANSLATE(A14940, ""en"", ""mt"")"),"X'għandek taqsam biex tilħaq il-kloroplast f'ħafna plastidi sekondarji?")</f>
        <v>X'għandek taqsam biex tilħaq il-kloroplast f'ħafna plastidi sekondarji?</v>
      </c>
    </row>
    <row r="14941" ht="15.75" customHeight="1">
      <c r="A14941" s="2" t="s">
        <v>14941</v>
      </c>
      <c r="B14941" s="2" t="str">
        <f>IFERROR(__xludf.DUMMYFUNCTION("GOOGLETRANSLATE(A14941, ""en"", ""mt"")"),"April sa Ottubru, 6am sal-10pm u minn Novembru sa Marzu, 6am sas-7pm")</f>
        <v>April sa Ottubru, 6am sal-10pm u minn Novembru sa Marzu, 6am sas-7pm</v>
      </c>
    </row>
    <row r="14942" ht="15.75" customHeight="1">
      <c r="A14942" s="2" t="s">
        <v>14942</v>
      </c>
      <c r="B14942" s="2" t="str">
        <f>IFERROR(__xludf.DUMMYFUNCTION("GOOGLETRANSLATE(A14942, ""en"", ""mt"")"),"Meta ġie maħsub il-proġett Apollo?")</f>
        <v>Meta ġie maħsub il-proġett Apollo?</v>
      </c>
    </row>
    <row r="14943" ht="15.75" customHeight="1">
      <c r="A14943" s="2" t="s">
        <v>14943</v>
      </c>
      <c r="B14943" s="2" t="str">
        <f>IFERROR(__xludf.DUMMYFUNCTION("GOOGLETRANSLATE(A14943, ""en"", ""mt"")"),"Wara li saħħaħ il-gvern tiegħu fit-Tramuntana taċ-Ċina, Kublai segwa politika espansjonista f'konformità mat-tradizzjoni tal-Mongolja u l-imperjalizmu Ċiniż. Huwa ġedded sewqan massiv kontra d-dinastija tal-kanzunetta fin-nofsinhar. Kublai assedja lil Xia"&amp;"ngyang bejn l-1268 u l-1273, l-aħħar ostaklu fi triqtu biex jaqbad il-baċin tax-Xmara Rich Yangzi. Sar spedizzjoni navali li ma rnexxietx kontra l-Ġappun fl-1274. Kublai qabad il-kanzunetta tal-kapitali ta 'Hangzhou fl-1276, l-iktar belt sinjura taċ-Ċina."&amp;" Kanzunetta Loyalists ħarbu mill-kapitali u enfasizzaw tifel żgħir bħala l-Imperatur Bing tal-Kanzunetta. Il-Mongoli għelbu lill-Loyalists fil-Battalja ta ’Yamen fl-1279. L-aħħar kanzunetta imperatur għerqet, u ġab fi tmiem id-dinastija tal-kanzunetta. Il"&amp;"-konkwista tal-kanzunetta reġgħet ingħaqdet iċ-Ċina tat-Tramuntana u tan-Nofsinhar għall-ewwel darba fi tliet mitt sena.")</f>
        <v>Wara li saħħaħ il-gvern tiegħu fit-Tramuntana taċ-Ċina, Kublai segwa politika espansjonista f'konformità mat-tradizzjoni tal-Mongolja u l-imperjalizmu Ċiniż. Huwa ġedded sewqan massiv kontra d-dinastija tal-kanzunetta fin-nofsinhar. Kublai assedja lil Xiangyang bejn l-1268 u l-1273, l-aħħar ostaklu fi triqtu biex jaqbad il-baċin tax-Xmara Rich Yangzi. Sar spedizzjoni navali li ma rnexxietx kontra l-Ġappun fl-1274. Kublai qabad il-kanzunetta tal-kapitali ta 'Hangzhou fl-1276, l-iktar belt sinjura taċ-Ċina. Kanzunetta Loyalists ħarbu mill-kapitali u enfasizzaw tifel żgħir bħala l-Imperatur Bing tal-Kanzunetta. Il-Mongoli għelbu lill-Loyalists fil-Battalja ta ’Yamen fl-1279. L-aħħar kanzunetta imperatur għerqet, u ġab fi tmiem id-dinastija tal-kanzunetta. Il-konkwista tal-kanzunetta reġgħet ingħaqdet iċ-Ċina tat-Tramuntana u tan-Nofsinhar għall-ewwel darba fi tliet mitt sena.</v>
      </c>
    </row>
    <row r="14944" ht="15.75" customHeight="1">
      <c r="A14944" s="2" t="s">
        <v>14944</v>
      </c>
      <c r="B14944" s="2" t="str">
        <f>IFERROR(__xludf.DUMMYFUNCTION("GOOGLETRANSLATE(A14944, ""en"", ""mt"")"),"X'taħseb li l-kunsill lokali jittama se jgħin biex tnaqqas il-konġestjoni tat-traffiku fi Newcastle?")</f>
        <v>X'taħseb li l-kunsill lokali jittama se jgħin biex tnaqqas il-konġestjoni tat-traffiku fi Newcastle?</v>
      </c>
    </row>
    <row r="14945" ht="15.75" customHeight="1">
      <c r="A14945" s="2" t="s">
        <v>14945</v>
      </c>
      <c r="B14945" s="2" t="str">
        <f>IFERROR(__xludf.DUMMYFUNCTION("GOOGLETRANSLATE(A14945, ""en"", ""mt"")"),"Ġenerazzjoni ta 'enerġija elettrika")</f>
        <v>Ġenerazzjoni ta 'enerġija elettrika</v>
      </c>
    </row>
    <row r="14946" ht="15.75" customHeight="1">
      <c r="A14946" s="2" t="s">
        <v>14946</v>
      </c>
      <c r="B14946" s="2" t="str">
        <f>IFERROR(__xludf.DUMMYFUNCTION("GOOGLETRANSLATE(A14946, ""en"", ""mt"")"),"1775")</f>
        <v>1775</v>
      </c>
    </row>
    <row r="14947" ht="15.75" customHeight="1">
      <c r="A14947" s="2" t="s">
        <v>14947</v>
      </c>
      <c r="B14947" s="2" t="str">
        <f>IFERROR(__xludf.DUMMYFUNCTION("GOOGLETRANSLATE(A14947, ""en"", ""mt"")"),"X'inhi waħda mill-ikbar u l-aktar istituzzjonijiet onkoloġiċi moderni fl-Ewropa?")</f>
        <v>X'inhi waħda mill-ikbar u l-aktar istituzzjonijiet onkoloġiċi moderni fl-Ewropa?</v>
      </c>
    </row>
    <row r="14948" ht="15.75" customHeight="1">
      <c r="A14948" s="2" t="s">
        <v>14948</v>
      </c>
      <c r="B14948" s="2" t="str">
        <f>IFERROR(__xludf.DUMMYFUNCTION("GOOGLETRANSLATE(A14948, ""en"", ""mt"")"),"Wara r-revoka tal-Kuruna Franċiża ta 'l-Editt ta' Nantes, ħafna Huguenots stabbilixxew fl-Irlanda fl-aħħar tas-sekli 17 u kmieni fit-18-il seklu, imħeġġa minn Att tal-Parlament għall-Protestanti li joqogħdu fl-Irlanda. Ir-reġimenti Huguenot iġġieldu għal "&amp;"William ta 'Orange fil-Gwerra ta' Williamite fl-Irlanda, li għalihom ġew ippremjati b'għotjiet u titli tal-art, ħafna joqogħdu f'Dublin. L-insedjamenti sinifikanti ta 'Huguenot kienu f'Dublin, Cork, Portarlington, Lisburn, Waterford u Youghal. L-insedjame"&amp;"nti iżgħar, li kienu jinkludu Killeshandra fil-Kontea ta 'Cavan, ikkontribwew għall-espansjoni tal-kultivazzjoni tal-kittien u t-tkabbir tal-industrija tal-bjankerija Irlandiża.")</f>
        <v>Wara r-revoka tal-Kuruna Franċiża ta 'l-Editt ta' Nantes, ħafna Huguenots stabbilixxew fl-Irlanda fl-aħħar tas-sekli 17 u kmieni fit-18-il seklu, imħeġġa minn Att tal-Parlament għall-Protestanti li joqogħdu fl-Irlanda. Ir-reġimenti Huguenot iġġieldu għal William ta 'Orange fil-Gwerra ta' Williamite fl-Irlanda, li għalihom ġew ippremjati b'għotjiet u titli tal-art, ħafna joqogħdu f'Dublin. L-insedjamenti sinifikanti ta 'Huguenot kienu f'Dublin, Cork, Portarlington, Lisburn, Waterford u Youghal. L-insedjamenti iżgħar, li kienu jinkludu Killeshandra fil-Kontea ta 'Cavan, ikkontribwew għall-espansjoni tal-kultivazzjoni tal-kittien u t-tkabbir tal-industrija tal-bjankerija Irlandiża.</v>
      </c>
    </row>
    <row r="14949" ht="15.75" customHeight="1">
      <c r="A14949" s="2" t="s">
        <v>14949</v>
      </c>
      <c r="B14949" s="2" t="str">
        <f>IFERROR(__xludf.DUMMYFUNCTION("GOOGLETRANSLATE(A14949, ""en"", ""mt"")"),"Harrison Schmitt")</f>
        <v>Harrison Schmitt</v>
      </c>
    </row>
    <row r="14950" ht="15.75" customHeight="1">
      <c r="A14950" s="2" t="s">
        <v>14950</v>
      </c>
      <c r="B14950" s="2" t="str">
        <f>IFERROR(__xludf.DUMMYFUNCTION("GOOGLETRANSLATE(A14950, ""en"", ""mt"")"),"Kemm intefqu flus fuq festi oħra fiż-Żona tal-Bajja biex jgħinu jiċċelebraw is-Super Bowl 50 li ġej?")</f>
        <v>Kemm intefqu flus fuq festi oħra fiż-Żona tal-Bajja biex jgħinu jiċċelebraw is-Super Bowl 50 li ġej?</v>
      </c>
    </row>
    <row r="14951" ht="15.75" customHeight="1">
      <c r="A14951" s="2" t="s">
        <v>14951</v>
      </c>
      <c r="B14951" s="2" t="str">
        <f>IFERROR(__xludf.DUMMYFUNCTION("GOOGLETRANSLATE(A14951, ""en"", ""mt"")"),"IPCC")</f>
        <v>IPCC</v>
      </c>
    </row>
    <row r="14952" ht="15.75" customHeight="1">
      <c r="A14952" s="2" t="s">
        <v>14952</v>
      </c>
      <c r="B14952" s="2" t="str">
        <f>IFERROR(__xludf.DUMMYFUNCTION("GOOGLETRANSLATE(A14952, ""en"", ""mt"")"),"Materjali kombustibbli ħafna li jħallu ftit residwi, bħall-injam jew il-faħam, kienu maħsuba li huma magħmula l-aktar minn phlogiston; billi sustanzi mhux kombustibbli li jissaddad, bħall-ħadid, fihom ftit. L-AIR ma kellhiex rwol fit-teorija tal-phlogisto"&amp;"n, u lanqas ma saru l-ebda esperimenti kwantitattivi inizjali biex jiġu ttestjati l-idea; Minflok, kien ibbażat fuq osservazzjonijiet ta 'dak li jiġri meta tinħaraq xi ħaġa, li l-iktar oġġetti komuni jidhru li jsiru eħfef u jidhru li jitilfu xi ħaġa fil-p"&amp;"roċess. Il-fatt li sustanza bħall-injam jikseb piż ġenerali fil-ħruq kien moħbi mill-galleġġjatura tal-prodotti tal-kombustjoni gassuża. Tassew, waħda mill-ewwel ħjiel li t-teorija tal-phlogiston ma kinitx korretta kienet li l-metalli, ukoll, żiedu l-piż "&amp;"fit-tħawwil (meta suppost kienu qed jitilfu l-phlogiston).")</f>
        <v>Materjali kombustibbli ħafna li jħallu ftit residwi, bħall-injam jew il-faħam, kienu maħsuba li huma magħmula l-aktar minn phlogiston; billi sustanzi mhux kombustibbli li jissaddad, bħall-ħadid, fihom ftit. L-AIR ma kellhiex rwol fit-teorija tal-phlogiston, u lanqas ma saru l-ebda esperimenti kwantitattivi inizjali biex jiġu ttestjati l-idea; Minflok, kien ibbażat fuq osservazzjonijiet ta 'dak li jiġri meta tinħaraq xi ħaġa, li l-iktar oġġetti komuni jidhru li jsiru eħfef u jidhru li jitilfu xi ħaġa fil-proċess. Il-fatt li sustanza bħall-injam jikseb piż ġenerali fil-ħruq kien moħbi mill-galleġġjatura tal-prodotti tal-kombustjoni gassuża. Tassew, waħda mill-ewwel ħjiel li t-teorija tal-phlogiston ma kinitx korretta kienet li l-metalli, ukoll, żiedu l-piż fit-tħawwil (meta suppost kienu qed jitilfu l-phlogiston).</v>
      </c>
    </row>
    <row r="14953" ht="15.75" customHeight="1">
      <c r="A14953" s="2" t="s">
        <v>14953</v>
      </c>
      <c r="B14953" s="2" t="str">
        <f>IFERROR(__xludf.DUMMYFUNCTION("GOOGLETRANSLATE(A14953, ""en"", ""mt"")"),"Steelers")</f>
        <v>Steelers</v>
      </c>
    </row>
    <row r="14954" ht="15.75" customHeight="1">
      <c r="A14954" s="2" t="s">
        <v>14954</v>
      </c>
      <c r="B14954" s="2" t="str">
        <f>IFERROR(__xludf.DUMMYFUNCTION("GOOGLETRANSLATE(A14954, ""en"", ""mt"")"),"Liema omen ġie rrappurtat li Genghis Khan ra li jassigura r-rebħa li ġejja tiegħu kontra t-Tanguts?")</f>
        <v>Liema omen ġie rrappurtat li Genghis Khan ra li jassigura r-rebħa li ġejja tiegħu kontra t-Tanguts?</v>
      </c>
    </row>
    <row r="14955" ht="15.75" customHeight="1">
      <c r="A14955" s="2" t="s">
        <v>14955</v>
      </c>
      <c r="B14955" s="2" t="str">
        <f>IFERROR(__xludf.DUMMYFUNCTION("GOOGLETRANSLATE(A14955, ""en"", ""mt"")"),"Mill-inqas 40%")</f>
        <v>Mill-inqas 40%</v>
      </c>
    </row>
    <row r="14956" ht="15.75" customHeight="1">
      <c r="A14956" s="2" t="s">
        <v>14956</v>
      </c>
      <c r="B14956" s="2" t="str">
        <f>IFERROR(__xludf.DUMMYFUNCTION("GOOGLETRANSLATE(A14956, ""en"", ""mt"")"),"il-kurrikulu kollu")</f>
        <v>il-kurrikulu kollu</v>
      </c>
    </row>
    <row r="14957" ht="15.75" customHeight="1">
      <c r="A14957" s="2" t="s">
        <v>14957</v>
      </c>
      <c r="B14957" s="2" t="str">
        <f>IFERROR(__xludf.DUMMYFUNCTION("GOOGLETRANSLATE(A14957, ""en"", ""mt"")"),"Samuel C. Phillips")</f>
        <v>Samuel C. Phillips</v>
      </c>
    </row>
    <row r="14958" ht="15.75" customHeight="1">
      <c r="A14958" s="2" t="s">
        <v>14958</v>
      </c>
      <c r="B14958" s="2" t="str">
        <f>IFERROR(__xludf.DUMMYFUNCTION("GOOGLETRANSLATE(A14958, ""en"", ""mt"")"),"Teoremi tal-Ġerarkija tal-Ħin u l-Ispazju")</f>
        <v>Teoremi tal-Ġerarkija tal-Ħin u l-Ispazju</v>
      </c>
    </row>
    <row r="14959" ht="15.75" customHeight="1">
      <c r="A14959" s="2" t="s">
        <v>14959</v>
      </c>
      <c r="B14959" s="2" t="str">
        <f>IFERROR(__xludf.DUMMYFUNCTION("GOOGLETRANSLATE(A14959, ""en"", ""mt"")"),"Minbarra l-Konfucjaniżmu, il-Buddiżmu, u l-Iżlam, liema reliġjonijiet ġew ittollerati matul il-wan?")</f>
        <v>Minbarra l-Konfucjaniżmu, il-Buddiżmu, u l-Iżlam, liema reliġjonijiet ġew ittollerati matul il-wan?</v>
      </c>
    </row>
    <row r="14960" ht="15.75" customHeight="1">
      <c r="A14960" s="2" t="s">
        <v>14960</v>
      </c>
      <c r="B14960" s="2" t="str">
        <f>IFERROR(__xludf.DUMMYFUNCTION("GOOGLETRANSLATE(A14960, ""en"", ""mt"")"),"Imperjalizmu formali")</f>
        <v>Imperjalizmu formali</v>
      </c>
    </row>
    <row r="14961" ht="15.75" customHeight="1">
      <c r="A14961" s="2" t="s">
        <v>14961</v>
      </c>
      <c r="B14961" s="2" t="str">
        <f>IFERROR(__xludf.DUMMYFUNCTION("GOOGLETRANSLATE(A14961, ""en"", ""mt"")"),"Osservazzjonijiet dwar il-Ġeoloġija ta 'l-Istati Uniti Spjegazzjoni ta' Mappa Ġeoloġika")</f>
        <v>Osservazzjonijiet dwar il-Ġeoloġija ta 'l-Istati Uniti Spjegazzjoni ta' Mappa Ġeoloġika</v>
      </c>
    </row>
    <row r="14962" ht="15.75" customHeight="1">
      <c r="A14962" s="2" t="s">
        <v>14962</v>
      </c>
      <c r="B14962" s="2" t="str">
        <f>IFERROR(__xludf.DUMMYFUNCTION("GOOGLETRANSLATE(A14962, ""en"", ""mt"")"),"Loop tal-ispostament doppju")</f>
        <v>Loop tal-ispostament doppju</v>
      </c>
    </row>
    <row r="14963" ht="15.75" customHeight="1">
      <c r="A14963" s="2" t="s">
        <v>14963</v>
      </c>
      <c r="B14963" s="2" t="str">
        <f>IFERROR(__xludf.DUMMYFUNCTION("GOOGLETRANSLATE(A14963, ""en"", ""mt"")"),"Merkurju")</f>
        <v>Merkurju</v>
      </c>
    </row>
    <row r="14964" ht="15.75" customHeight="1">
      <c r="A14964" s="2" t="s">
        <v>14964</v>
      </c>
      <c r="B14964" s="2" t="str">
        <f>IFERROR(__xludf.DUMMYFUNCTION("GOOGLETRANSLATE(A14964, ""en"", ""mt"")"),"il-punent")</f>
        <v>il-punent</v>
      </c>
    </row>
    <row r="14965" ht="15.75" customHeight="1">
      <c r="A14965" s="2" t="s">
        <v>14965</v>
      </c>
      <c r="B14965" s="2" t="str">
        <f>IFERROR(__xludf.DUMMYFUNCTION("GOOGLETRANSLATE(A14965, ""en"", ""mt"")"),"biex orbita l-qamar")</f>
        <v>biex orbita l-qamar</v>
      </c>
    </row>
    <row r="14966" ht="15.75" customHeight="1">
      <c r="A14966" s="2" t="s">
        <v>14966</v>
      </c>
      <c r="B14966" s="2" t="str">
        <f>IFERROR(__xludf.DUMMYFUNCTION("GOOGLETRANSLATE(A14966, ""en"", ""mt"")"),"TIMUCUA")</f>
        <v>TIMUCUA</v>
      </c>
    </row>
    <row r="14967" ht="15.75" customHeight="1">
      <c r="A14967" s="2" t="s">
        <v>14967</v>
      </c>
      <c r="B14967" s="2" t="str">
        <f>IFERROR(__xludf.DUMMYFUNCTION("GOOGLETRANSLATE(A14967, ""en"", ""mt"")"),"X'inhu l-isem tar-Re attwali ta 'Thebes fid-dramm?")</f>
        <v>X'inhu l-isem tar-Re attwali ta 'Thebes fid-dramm?</v>
      </c>
    </row>
    <row r="14968" ht="15.75" customHeight="1">
      <c r="A14968" s="2" t="s">
        <v>14968</v>
      </c>
      <c r="B14968" s="2" t="str">
        <f>IFERROR(__xludf.DUMMYFUNCTION("GOOGLETRANSLATE(A14968, ""en"", ""mt"")"),"Fl-2011 u l-2012")</f>
        <v>Fl-2011 u l-2012</v>
      </c>
    </row>
    <row r="14969" ht="15.75" customHeight="1">
      <c r="A14969" s="2" t="s">
        <v>14969</v>
      </c>
      <c r="B14969" s="2" t="str">
        <f>IFERROR(__xludf.DUMMYFUNCTION("GOOGLETRANSLATE(A14969, ""en"", ""mt"")"),"Kemm għandu katidrali ta 'Newcastle?")</f>
        <v>Kemm għandu katidrali ta 'Newcastle?</v>
      </c>
    </row>
    <row r="14970" ht="15.75" customHeight="1">
      <c r="A14970" s="2" t="s">
        <v>14970</v>
      </c>
      <c r="B14970" s="2" t="str">
        <f>IFERROR(__xludf.DUMMYFUNCTION("GOOGLETRANSLATE(A14970, ""en"", ""mt"")"),"Il-fossili sabu li kienu maħsuba li kienu ċ-ċtenofori kemm kellhom?")</f>
        <v>Il-fossili sabu li kienu maħsuba li kienu ċ-ċtenofori kemm kellhom?</v>
      </c>
    </row>
    <row r="14971" ht="15.75" customHeight="1">
      <c r="A14971" s="2" t="s">
        <v>14971</v>
      </c>
      <c r="B14971" s="2" t="str">
        <f>IFERROR(__xludf.DUMMYFUNCTION("GOOGLETRANSLATE(A14971, ""en"", ""mt"")"),"12.5")</f>
        <v>12.5</v>
      </c>
    </row>
    <row r="14972" ht="15.75" customHeight="1">
      <c r="A14972" s="2" t="s">
        <v>14972</v>
      </c>
      <c r="B14972" s="2" t="str">
        <f>IFERROR(__xludf.DUMMYFUNCTION("GOOGLETRANSLATE(A14972, ""en"", ""mt"")"),"Għaliex jeżistu stromules?")</f>
        <v>Għaliex jeżistu stromules?</v>
      </c>
    </row>
    <row r="14973" ht="15.75" customHeight="1">
      <c r="A14973" s="2" t="s">
        <v>14973</v>
      </c>
      <c r="B14973" s="2" t="str">
        <f>IFERROR(__xludf.DUMMYFUNCTION("GOOGLETRANSLATE(A14973, ""en"", ""mt"")"),"Ingliżi u Ewropej li kienu bbażati fil-Gran Brittanja")</f>
        <v>Ingliżi u Ewropej li kienu bbażati fil-Gran Brittanja</v>
      </c>
    </row>
    <row r="14974" ht="15.75" customHeight="1">
      <c r="A14974" s="2" t="s">
        <v>14974</v>
      </c>
      <c r="B14974" s="2" t="str">
        <f>IFERROR(__xludf.DUMMYFUNCTION("GOOGLETRANSLATE(A14974, ""en"", ""mt"")"),"Tiddisturbax ""Sinjal")</f>
        <v>Tiddisturbax "Sinjal</v>
      </c>
    </row>
    <row r="14975" ht="15.75" customHeight="1">
      <c r="A14975" s="2" t="s">
        <v>14975</v>
      </c>
      <c r="B14975" s="2" t="str">
        <f>IFERROR(__xludf.DUMMYFUNCTION("GOOGLETRANSLATE(A14975, ""en"", ""mt"")"),"United_methodist_church")</f>
        <v>United_methodist_church</v>
      </c>
    </row>
    <row r="14976" ht="15.75" customHeight="1">
      <c r="A14976" s="2" t="s">
        <v>14976</v>
      </c>
      <c r="B14976" s="2" t="str">
        <f>IFERROR(__xludf.DUMMYFUNCTION("GOOGLETRANSLATE(A14976, ""en"", ""mt"")"),"It-tliet tobba")</f>
        <v>It-tliet tobba</v>
      </c>
    </row>
    <row r="14977" ht="15.75" customHeight="1">
      <c r="A14977" s="2" t="s">
        <v>14977</v>
      </c>
      <c r="B14977" s="2" t="str">
        <f>IFERROR(__xludf.DUMMYFUNCTION("GOOGLETRANSLATE(A14977, ""en"", ""mt"")"),"Is-Soċjetà tal-Edukazzjoni Battista Amerikana")</f>
        <v>Is-Soċjetà tal-Edukazzjoni Battista Amerikana</v>
      </c>
    </row>
    <row r="14978" ht="15.75" customHeight="1">
      <c r="A14978" s="2" t="s">
        <v>14978</v>
      </c>
      <c r="B14978" s="2" t="str">
        <f>IFERROR(__xludf.DUMMYFUNCTION("GOOGLETRANSLATE(A14978, ""en"", ""mt"")"),"1968")</f>
        <v>1968</v>
      </c>
    </row>
    <row r="14979" ht="15.75" customHeight="1">
      <c r="A14979" s="2" t="s">
        <v>14979</v>
      </c>
      <c r="B14979" s="2" t="str">
        <f>IFERROR(__xludf.DUMMYFUNCTION("GOOGLETRANSLATE(A14979, ""en"", ""mt"")"),"Minbarra l-vinikultura, x'inhu s-settur ekonomiku li jiddomina l-ieħor fin-nofs tar-Renu?")</f>
        <v>Minbarra l-vinikultura, x'inhu s-settur ekonomiku li jiddomina l-ieħor fin-nofs tar-Renu?</v>
      </c>
    </row>
    <row r="14980" ht="15.75" customHeight="1">
      <c r="A14980" s="2" t="s">
        <v>14980</v>
      </c>
      <c r="B14980" s="2" t="str">
        <f>IFERROR(__xludf.DUMMYFUNCTION("GOOGLETRANSLATE(A14980, ""en"", ""mt"")"),"Liema episodju kien l-aħħar wieħed ta 'Matt Smith bħala Doctor Who?")</f>
        <v>Liema episodju kien l-aħħar wieħed ta 'Matt Smith bħala Doctor Who?</v>
      </c>
    </row>
    <row r="14981" ht="15.75" customHeight="1">
      <c r="A14981" s="2" t="s">
        <v>14981</v>
      </c>
      <c r="B14981" s="2" t="str">
        <f>IFERROR(__xludf.DUMMYFUNCTION("GOOGLETRANSLATE(A14981, ""en"", ""mt"")"),"Min hu kkreditat bl-isem modern għal din is-sistema")</f>
        <v>Min hu kkreditat bl-isem modern għal din is-sistema</v>
      </c>
    </row>
    <row r="14982" ht="15.75" customHeight="1">
      <c r="A14982" s="2" t="s">
        <v>14982</v>
      </c>
      <c r="B14982" s="2" t="str">
        <f>IFERROR(__xludf.DUMMYFUNCTION("GOOGLETRANSLATE(A14982, ""en"", ""mt"")"),"Kemm kellha fatturat Cam Newton?")</f>
        <v>Kemm kellha fatturat Cam Newton?</v>
      </c>
    </row>
    <row r="14983" ht="15.75" customHeight="1">
      <c r="A14983" s="2" t="s">
        <v>14983</v>
      </c>
      <c r="B14983" s="2" t="str">
        <f>IFERROR(__xludf.DUMMYFUNCTION("GOOGLETRANSLATE(A14983, ""en"", ""mt"")"),"f'Mejju 1888")</f>
        <v>f'Mejju 1888</v>
      </c>
    </row>
    <row r="14984" ht="15.75" customHeight="1">
      <c r="A14984" s="2" t="s">
        <v>14984</v>
      </c>
      <c r="B14984" s="2" t="str">
        <f>IFERROR(__xludf.DUMMYFUNCTION("GOOGLETRANSLATE(A14984, ""en"", ""mt"")"),"X’sejjaħ il-Ġermaniżi skejjel privati?")</f>
        <v>X’sejjaħ il-Ġermaniżi skejjel privati?</v>
      </c>
    </row>
    <row r="14985" ht="15.75" customHeight="1">
      <c r="A14985" s="2" t="s">
        <v>14985</v>
      </c>
      <c r="B14985" s="2" t="str">
        <f>IFERROR(__xludf.DUMMYFUNCTION("GOOGLETRANSLATE(A14985, ""en"", ""mt"")"),"Westinghouse")</f>
        <v>Westinghouse</v>
      </c>
    </row>
    <row r="14986" ht="15.75" customHeight="1">
      <c r="A14986" s="2" t="s">
        <v>14986</v>
      </c>
      <c r="B14986" s="2" t="str">
        <f>IFERROR(__xludf.DUMMYFUNCTION("GOOGLETRANSLATE(A14986, ""en"", ""mt"")"),"bidla fil-qalb")</f>
        <v>bidla fil-qalb</v>
      </c>
    </row>
    <row r="14987" ht="15.75" customHeight="1">
      <c r="A14987" s="2" t="s">
        <v>14987</v>
      </c>
      <c r="B14987" s="2" t="str">
        <f>IFERROR(__xludf.DUMMYFUNCTION("GOOGLETRANSLATE(A14987, ""en"", ""mt"")"),"Sa 1.5 metri (4.9 ft) twal")</f>
        <v>Sa 1.5 metri (4.9 ft) twal</v>
      </c>
    </row>
    <row r="14988" ht="15.75" customHeight="1">
      <c r="A14988" s="2" t="s">
        <v>14988</v>
      </c>
      <c r="B14988" s="2" t="str">
        <f>IFERROR(__xludf.DUMMYFUNCTION("GOOGLETRANSLATE(A14988, ""en"", ""mt"")"),"X'tikseb meta tidher is-somma tal-forzi b'żieda fil-vettur?")</f>
        <v>X'tikseb meta tidher is-somma tal-forzi b'żieda fil-vettur?</v>
      </c>
    </row>
    <row r="14989" ht="15.75" customHeight="1">
      <c r="A14989" s="2" t="s">
        <v>14989</v>
      </c>
      <c r="B14989" s="2" t="str">
        <f>IFERROR(__xludf.DUMMYFUNCTION("GOOGLETRANSLATE(A14989, ""en"", ""mt"")"),"Il-muntanji jvarjaw id-denb f'liema tip ta 'formazzjoni ġeografika?")</f>
        <v>Il-muntanji jvarjaw id-denb f'liema tip ta 'formazzjoni ġeografika?</v>
      </c>
    </row>
    <row r="14990" ht="15.75" customHeight="1">
      <c r="A14990" s="2" t="s">
        <v>14990</v>
      </c>
      <c r="B14990" s="2" t="str">
        <f>IFERROR(__xludf.DUMMYFUNCTION("GOOGLETRANSLATE(A14990, ""en"", ""mt"")"),"Guy de Lusignan")</f>
        <v>Guy de Lusignan</v>
      </c>
    </row>
    <row r="14991" ht="15.75" customHeight="1">
      <c r="A14991" s="2" t="s">
        <v>14991</v>
      </c>
      <c r="B14991" s="2" t="str">
        <f>IFERROR(__xludf.DUMMYFUNCTION("GOOGLETRANSLATE(A14991, ""en"", ""mt"")"),"Meta l-ewwel Brittanja kellha politika imperjalista?")</f>
        <v>Meta l-ewwel Brittanja kellha politika imperjalista?</v>
      </c>
    </row>
    <row r="14992" ht="15.75" customHeight="1">
      <c r="A14992" s="2" t="s">
        <v>14992</v>
      </c>
      <c r="B14992" s="2" t="str">
        <f>IFERROR(__xludf.DUMMYFUNCTION("GOOGLETRANSLATE(A14992, ""en"", ""mt"")"),"X'inhu l-isem tad-donatur li għen biex jistabbilixxi l-Hutchinson Commons?")</f>
        <v>X'inhu l-isem tad-donatur li għen biex jistabbilixxi l-Hutchinson Commons?</v>
      </c>
    </row>
    <row r="14993" ht="15.75" customHeight="1">
      <c r="A14993" s="2" t="s">
        <v>14993</v>
      </c>
      <c r="B14993" s="2" t="str">
        <f>IFERROR(__xludf.DUMMYFUNCTION("GOOGLETRANSLATE(A14993, ""en"", ""mt"")"),"Madankollu, fl-1883–84 il-Ġermanja bdiet tibni imperu kolonjali fl-Afrika u fil-Paċifiku t'Isfel, qabel ma tilfet l-interess fl-imperjalizmu. L-istoriċi ddiskutew eżattament għaliex il-Ġermanja għamlet din il-mossa f'daqqa u b'ħajja qasira. [Verifika meħt"&amp;"ieġa] Bismarck kienet konxja li l-opinjoni pubblika kienet bdiet titlob kolonji għal raġunijiet ta 'prestiġju Ġermaniż. Huwa kien influwenzat minn negozjanti u negozjanti ta 'Hamburg, il-ġirien tiegħu fi Friedrichsruh. It-twaqqif tal-Imperu Kolonjali Ġerm"&amp;"aniż ipproċeda bla xkiel, u beda bil-Guinea Ġermaniża Ġermaniża fl-1884.")</f>
        <v>Madankollu, fl-1883–84 il-Ġermanja bdiet tibni imperu kolonjali fl-Afrika u fil-Paċifiku t'Isfel, qabel ma tilfet l-interess fl-imperjalizmu. L-istoriċi ddiskutew eżattament għaliex il-Ġermanja għamlet din il-mossa f'daqqa u b'ħajja qasira. [Verifika meħtieġa] Bismarck kienet konxja li l-opinjoni pubblika kienet bdiet titlob kolonji għal raġunijiet ta 'prestiġju Ġermaniż. Huwa kien influwenzat minn negozjanti u negozjanti ta 'Hamburg, il-ġirien tiegħu fi Friedrichsruh. It-twaqqif tal-Imperu Kolonjali Ġermaniż ipproċeda bla xkiel, u beda bil-Guinea Ġermaniża Ġermaniża fl-1884.</v>
      </c>
    </row>
    <row r="14994" ht="15.75" customHeight="1">
      <c r="A14994" s="2" t="s">
        <v>14994</v>
      </c>
      <c r="B14994" s="2" t="str">
        <f>IFERROR(__xludf.DUMMYFUNCTION("GOOGLETRANSLATE(A14994, ""en"", ""mt"")"),"Shark Tank kien ibbażat fuq liema reality show ieħor?")</f>
        <v>Shark Tank kien ibbażat fuq liema reality show ieħor?</v>
      </c>
    </row>
    <row r="14995" ht="15.75" customHeight="1">
      <c r="A14995" s="2" t="s">
        <v>14995</v>
      </c>
      <c r="B14995" s="2" t="str">
        <f>IFERROR(__xludf.DUMMYFUNCTION("GOOGLETRANSLATE(A14995, ""en"", ""mt"")"),"Lag tal-ilma ħelu")</f>
        <v>Lag tal-ilma ħelu</v>
      </c>
    </row>
    <row r="14996" ht="15.75" customHeight="1">
      <c r="A14996" s="2" t="s">
        <v>14996</v>
      </c>
      <c r="B14996" s="2" t="str">
        <f>IFERROR(__xludf.DUMMYFUNCTION("GOOGLETRANSLATE(A14996, ""en"", ""mt"")"),"Calipso")</f>
        <v>Calipso</v>
      </c>
    </row>
    <row r="14997" ht="15.75" customHeight="1">
      <c r="A14997" s="2" t="s">
        <v>14997</v>
      </c>
      <c r="B14997" s="2" t="str">
        <f>IFERROR(__xludf.DUMMYFUNCTION("GOOGLETRANSLATE(A14997, ""en"", ""mt"")"),"korp ta 'trattati u leġislazzjoni")</f>
        <v>korp ta 'trattati u leġislazzjoni</v>
      </c>
    </row>
    <row r="14998" ht="15.75" customHeight="1">
      <c r="A14998" s="2" t="s">
        <v>14998</v>
      </c>
      <c r="B14998" s="2" t="str">
        <f>IFERROR(__xludf.DUMMYFUNCTION("GOOGLETRANSLATE(A14998, ""en"", ""mt"")"),"Kemm huma 'l bogħod minn xulxin il-filamenti taċ-ċirku PD ta' barra?")</f>
        <v>Kemm huma 'l bogħod minn xulxin il-filamenti taċ-ċirku PD ta' barra?</v>
      </c>
    </row>
    <row r="14999" ht="15.75" customHeight="1">
      <c r="A14999" s="2" t="s">
        <v>14999</v>
      </c>
      <c r="B14999" s="2" t="str">
        <f>IFERROR(__xludf.DUMMYFUNCTION("GOOGLETRANSLATE(A14999, ""en"", ""mt"")"),"Liema rwol kellu Michael Oppenheimer fir-rapporti tal-IPCC?")</f>
        <v>Liema rwol kellu Michael Oppenheimer fir-rapporti tal-IPCC?</v>
      </c>
    </row>
    <row r="15000" ht="15.75" customHeight="1">
      <c r="A15000" s="2" t="s">
        <v>15000</v>
      </c>
      <c r="B15000" s="2" t="str">
        <f>IFERROR(__xludf.DUMMYFUNCTION("GOOGLETRANSLATE(A15000, ""en"", ""mt"")"),"1281")</f>
        <v>1281</v>
      </c>
    </row>
    <row r="15001" ht="15.75" customHeight="1">
      <c r="A15001" s="2" t="s">
        <v>15001</v>
      </c>
      <c r="B15001" s="2" t="str">
        <f>IFERROR(__xludf.DUMMYFUNCTION("GOOGLETRANSLATE(A15001, ""en"", ""mt"")"),"Perjodu ġeoloġiku tal-etajiet tas-silġ")</f>
        <v>Perjodu ġeoloġiku tal-etajiet tas-silġ</v>
      </c>
    </row>
    <row r="15002" ht="15.75" customHeight="1">
      <c r="A15002" s="2" t="s">
        <v>15002</v>
      </c>
      <c r="B15002" s="2" t="str">
        <f>IFERROR(__xludf.DUMMYFUNCTION("GOOGLETRANSLATE(A15002, ""en"", ""mt"")"),"in-naħa tan-nofsinhar tal-ġnien")</f>
        <v>in-naħa tan-nofsinhar tal-ġnien</v>
      </c>
    </row>
    <row r="15003" ht="15.75" customHeight="1">
      <c r="A15003" s="2" t="s">
        <v>15003</v>
      </c>
      <c r="B15003" s="2" t="str">
        <f>IFERROR(__xludf.DUMMYFUNCTION("GOOGLETRANSLATE(A15003, ""en"", ""mt"")"),"Fejn jinsabu ħafna spiżeriji fl-isptar?")</f>
        <v>Fejn jinsabu ħafna spiżeriji fl-isptar?</v>
      </c>
    </row>
    <row r="15004" ht="15.75" customHeight="1">
      <c r="A15004" s="2" t="s">
        <v>15004</v>
      </c>
      <c r="B15004" s="2" t="str">
        <f>IFERROR(__xludf.DUMMYFUNCTION("GOOGLETRANSLATE(A15004, ""en"", ""mt"")"),"Il-wirt ta ’Tesla ġarrab fil-kotba, films, radju, TV, mużika, teatru live, komiks u logħob tal-kompjuter. L-impatt tat-teknoloġiji ivvintati jew maħsuba minn Tesla hija tema rikurrenti f'diversi tipi ta 'fantaxjenza.")</f>
        <v>Il-wirt ta ’Tesla ġarrab fil-kotba, films, radju, TV, mużika, teatru live, komiks u logħob tal-kompjuter. L-impatt tat-teknoloġiji ivvintati jew maħsuba minn Tesla hija tema rikurrenti f'diversi tipi ta 'fantaxjenza.</v>
      </c>
    </row>
    <row r="15005" ht="15.75" customHeight="1">
      <c r="A15005" s="2" t="s">
        <v>15005</v>
      </c>
      <c r="B15005" s="2" t="str">
        <f>IFERROR(__xludf.DUMMYFUNCTION("GOOGLETRANSLATE(A15005, ""en"", ""mt"")"),"Iċ-ċirkwit tiegħu u apparat li jipproduċi r-raġġi X b'node wieħed")</f>
        <v>Iċ-ċirkwit tiegħu u apparat li jipproduċi r-raġġi X b'node wieħed</v>
      </c>
    </row>
    <row r="15006" ht="15.75" customHeight="1">
      <c r="A15006" s="2" t="s">
        <v>15006</v>
      </c>
      <c r="B15006" s="2" t="str">
        <f>IFERROR(__xludf.DUMMYFUNCTION("GOOGLETRANSLATE(A15006, ""en"", ""mt"")"),"X'inhu msemmi bħala l-Istrixxa tad-Djamanti?")</f>
        <v>X'inhu msemmi bħala l-Istrixxa tad-Djamanti?</v>
      </c>
    </row>
    <row r="15007" ht="15.75" customHeight="1">
      <c r="A15007" s="2" t="s">
        <v>15007</v>
      </c>
      <c r="B15007" s="2" t="str">
        <f>IFERROR(__xludf.DUMMYFUNCTION("GOOGLETRANSLATE(A15007, ""en"", ""mt"")"),"Min iddisinja x-xogħol tal-ġibs fil-librerija tal-arti?")</f>
        <v>Min iddisinja x-xogħol tal-ġibs fil-librerija tal-arti?</v>
      </c>
    </row>
    <row r="15008" ht="15.75" customHeight="1">
      <c r="A15008" s="2" t="s">
        <v>15008</v>
      </c>
      <c r="B15008" s="2" t="str">
        <f>IFERROR(__xludf.DUMMYFUNCTION("GOOGLETRANSLATE(A15008, ""en"", ""mt"")"),"sekulari")</f>
        <v>sekulari</v>
      </c>
    </row>
    <row r="15009" ht="15.75" customHeight="1">
      <c r="A15009" s="2" t="s">
        <v>15009</v>
      </c>
      <c r="B15009" s="2" t="str">
        <f>IFERROR(__xludf.DUMMYFUNCTION("GOOGLETRANSLATE(A15009, ""en"", ""mt"")"),"bejn Franza l-ġdida u l-kolonji Ingliżi")</f>
        <v>bejn Franza l-ġdida u l-kolonji Ingliżi</v>
      </c>
    </row>
    <row r="15010" ht="15.75" customHeight="1">
      <c r="A15010" s="2" t="s">
        <v>15010</v>
      </c>
      <c r="B15010" s="2" t="str">
        <f>IFERROR(__xludf.DUMMYFUNCTION("GOOGLETRANSLATE(A15010, ""en"", ""mt"")"),"Kmamar tal-ossiġnu")</f>
        <v>Kmamar tal-ossiġnu</v>
      </c>
    </row>
    <row r="15011" ht="15.75" customHeight="1">
      <c r="A15011" s="2" t="s">
        <v>15011</v>
      </c>
      <c r="B15011" s="2" t="str">
        <f>IFERROR(__xludf.DUMMYFUNCTION("GOOGLETRANSLATE(A15011, ""en"", ""mt"")"),"Tank tal-ossiġnu ġie mfassal mill-ġdid")</f>
        <v>Tank tal-ossiġnu ġie mfassal mill-ġdid</v>
      </c>
    </row>
    <row r="15012" ht="15.75" customHeight="1">
      <c r="A15012" s="2" t="s">
        <v>15012</v>
      </c>
      <c r="B15012" s="2" t="str">
        <f>IFERROR(__xludf.DUMMYFUNCTION("GOOGLETRANSLATE(A15012, ""en"", ""mt"")"),"Ted Heath")</f>
        <v>Ted Heath</v>
      </c>
    </row>
    <row r="15013" ht="15.75" customHeight="1">
      <c r="A15013" s="2" t="s">
        <v>15013</v>
      </c>
      <c r="B15013" s="2" t="str">
        <f>IFERROR(__xludf.DUMMYFUNCTION("GOOGLETRANSLATE(A15013, ""en"", ""mt"")"),"Liema distrett fi Fresno huwa magħruf bħala ċ-ċentru għall-komunità tal-metall tqil?")</f>
        <v>Liema distrett fi Fresno huwa magħruf bħala ċ-ċentru għall-komunità tal-metall tqil?</v>
      </c>
    </row>
    <row r="15014" ht="15.75" customHeight="1">
      <c r="A15014" s="2" t="s">
        <v>15014</v>
      </c>
      <c r="B15014" s="2" t="str">
        <f>IFERROR(__xludf.DUMMYFUNCTION("GOOGLETRANSLATE(A15014, ""en"", ""mt"")"),"Xi xerrejja lmentaw id-daqs żgħir tal-ewwel kumpatti Ġappuniżi, u kemm Toyota kif ukoll Nissan (dak iż-żmien magħrufa bħala Datsun) introduċew karozzi ikbar bħalma huma t-Toyota Corona Mark II, it-Toyota Cressida, il-Mazda 616 u Datsun 810, li żiedu l-isp"&amp;"azju tal-passiġġieri u Il-faċilitajiet bħall-kondizzjonament tal-arja, l-isteering tal-enerġija, ir-radji AM-FM, u anke t-twieqi tal-enerġija u l-illokkjar ċentrali mingħajr ma jiżdied il-prezz tal-vettura. Għaxar snin wara l-kriżi taż-żejt tal-1973, Hond"&amp;"a, Toyota u Nissan, affettwati mir-restrizzjonijiet volontarji tal-esportazzjoni tal-1981, fetħu impjanti tal-assemblaġġ tal-Istati Uniti u stabbilixxew id-diviżjonijiet lussużi tagħhom (Acura, Lexus u Infiniti, rispettivament) biex jiddistingwu ruħhom mi"&amp;"ll-marki tas-suq tal-massa tagħhom.")</f>
        <v>Xi xerrejja lmentaw id-daqs żgħir tal-ewwel kumpatti Ġappuniżi, u kemm Toyota kif ukoll Nissan (dak iż-żmien magħrufa bħala Datsun) introduċew karozzi ikbar bħalma huma t-Toyota Corona Mark II, it-Toyota Cressida, il-Mazda 616 u Datsun 810, li żiedu l-ispazju tal-passiġġieri u Il-faċilitajiet bħall-kondizzjonament tal-arja, l-isteering tal-enerġija, ir-radji AM-FM, u anke t-twieqi tal-enerġija u l-illokkjar ċentrali mingħajr ma jiżdied il-prezz tal-vettura. Għaxar snin wara l-kriżi taż-żejt tal-1973, Honda, Toyota u Nissan, affettwati mir-restrizzjonijiet volontarji tal-esportazzjoni tal-1981, fetħu impjanti tal-assemblaġġ tal-Istati Uniti u stabbilixxew id-diviżjonijiet lussużi tagħhom (Acura, Lexus u Infiniti, rispettivament) biex jiddistingwu ruħhom mill-marki tas-suq tal-massa tagħhom.</v>
      </c>
    </row>
    <row r="15015" ht="15.75" customHeight="1">
      <c r="A15015" s="2" t="s">
        <v>15015</v>
      </c>
      <c r="B15015" s="2" t="str">
        <f>IFERROR(__xludf.DUMMYFUNCTION("GOOGLETRANSLATE(A15015, ""en"", ""mt"")"),"Khan kbir")</f>
        <v>Khan kbir</v>
      </c>
    </row>
    <row r="15016" ht="15.75" customHeight="1">
      <c r="A15016" s="2" t="s">
        <v>15016</v>
      </c>
      <c r="B15016" s="2" t="str">
        <f>IFERROR(__xludf.DUMMYFUNCTION("GOOGLETRANSLATE(A15016, ""en"", ""mt"")"),"Il-maġġoranza l-kbira tal-Kenjani huma Kristjani (83%), b'47.7% rigward lilhom infushom bħala Protestanti u 23.5% bħala Kattolika Rumana tar-Rit Latin. Il-Knisja Presbiterjana tal-Afrika tal-Lvant għandha 3 miljun segwaċi fil-Kenja u l-pajjiżi tal-madwar."&amp;" Hemm knejjes riformati konservattivi iżgħar, il-Knisja Presbiterjana Evanġelika tal-Afrika, il-Knisja Presbiterjana Indipendenti fil-Kenja, u l-Knisja Riformata tal-Afrika tal-Lvant. 621,200 tal-Kenjani huma Kristjani Ortodossi. Notevolment, il-Kenja għa"&amp;"ndha l-ogħla numru ta 'Quakers fid-dinja, b'madwar 133,000 membru. L-unika sinagoga Lhudija fil-pajjiż tinsab fil-kapitali, Nairobi.")</f>
        <v>Il-maġġoranza l-kbira tal-Kenjani huma Kristjani (83%), b'47.7% rigward lilhom infushom bħala Protestanti u 23.5% bħala Kattolika Rumana tar-Rit Latin. Il-Knisja Presbiterjana tal-Afrika tal-Lvant għandha 3 miljun segwaċi fil-Kenja u l-pajjiżi tal-madwar. Hemm knejjes riformati konservattivi iżgħar, il-Knisja Presbiterjana Evanġelika tal-Afrika, il-Knisja Presbiterjana Indipendenti fil-Kenja, u l-Knisja Riformata tal-Afrika tal-Lvant. 621,200 tal-Kenjani huma Kristjani Ortodossi. Notevolment, il-Kenja għandha l-ogħla numru ta 'Quakers fid-dinja, b'madwar 133,000 membru. L-unika sinagoga Lhudija fil-pajjiż tinsab fil-kapitali, Nairobi.</v>
      </c>
    </row>
    <row r="15017" ht="15.75" customHeight="1">
      <c r="A15017" s="2" t="s">
        <v>15017</v>
      </c>
      <c r="B15017" s="2" t="str">
        <f>IFERROR(__xludf.DUMMYFUNCTION("GOOGLETRANSLATE(A15017, ""en"", ""mt"")"),", John F. Kennedy")</f>
        <v>, John F. Kennedy</v>
      </c>
    </row>
    <row r="15018" ht="15.75" customHeight="1">
      <c r="A15018" s="2" t="s">
        <v>15018</v>
      </c>
      <c r="B15018" s="2" t="str">
        <f>IFERROR(__xludf.DUMMYFUNCTION("GOOGLETRANSLATE(A15018, ""en"", ""mt"")"),"Terra Nullius")</f>
        <v>Terra Nullius</v>
      </c>
    </row>
    <row r="15019" ht="15.75" customHeight="1">
      <c r="A15019" s="2" t="s">
        <v>15019</v>
      </c>
      <c r="B15019" s="2" t="str">
        <f>IFERROR(__xludf.DUMMYFUNCTION("GOOGLETRANSLATE(A15019, ""en"", ""mt"")"),"X'kienet il-BBC bit-tama li ditta ta 'produzzjoni indipendenti tagħmel għal Doctor Who?")</f>
        <v>X'kienet il-BBC bit-tama li ditta ta 'produzzjoni indipendenti tagħmel għal Doctor Who?</v>
      </c>
    </row>
    <row r="15020" ht="15.75" customHeight="1">
      <c r="A15020" s="2" t="s">
        <v>15020</v>
      </c>
      <c r="B15020" s="2" t="str">
        <f>IFERROR(__xludf.DUMMYFUNCTION("GOOGLETRANSLATE(A15020, ""en"", ""mt"")"),"1995.")</f>
        <v>1995.</v>
      </c>
    </row>
    <row r="15021" ht="15.75" customHeight="1">
      <c r="A15021" s="2" t="s">
        <v>15021</v>
      </c>
      <c r="B15021" s="2" t="str">
        <f>IFERROR(__xludf.DUMMYFUNCTION("GOOGLETRANSLATE(A15021, ""en"", ""mt"")"),"Trevathan")</f>
        <v>Trevathan</v>
      </c>
    </row>
    <row r="15022" ht="15.75" customHeight="1">
      <c r="A15022" s="2" t="s">
        <v>15022</v>
      </c>
      <c r="B15022" s="2" t="str">
        <f>IFERROR(__xludf.DUMMYFUNCTION("GOOGLETRANSLATE(A15022, ""en"", ""mt"")"),"għargħar kostanti u sedimentazzjoni qawwija")</f>
        <v>għargħar kostanti u sedimentazzjoni qawwija</v>
      </c>
    </row>
    <row r="15023" ht="15.75" customHeight="1">
      <c r="A15023" s="2" t="s">
        <v>15023</v>
      </c>
      <c r="B15023" s="2" t="str">
        <f>IFERROR(__xludf.DUMMYFUNCTION("GOOGLETRANSLATE(A15023, ""en"", ""mt"")"),"Reklamar tas-sigaretti minn kull netwerks tat-televiżjoni u tar-radju")</f>
        <v>Reklamar tas-sigaretti minn kull netwerks tat-televiżjoni u tar-radju</v>
      </c>
    </row>
    <row r="15024" ht="15.75" customHeight="1">
      <c r="A15024" s="2" t="s">
        <v>15024</v>
      </c>
      <c r="B15024" s="2" t="str">
        <f>IFERROR(__xludf.DUMMYFUNCTION("GOOGLETRANSLATE(A15024, ""en"", ""mt"")"),"Libertà Reliġjuża fil-Commonwealth Pollakka-Litwana")</f>
        <v>Libertà Reliġjuża fil-Commonwealth Pollakka-Litwana</v>
      </c>
    </row>
    <row r="15025" ht="15.75" customHeight="1">
      <c r="A15025" s="2" t="s">
        <v>15025</v>
      </c>
      <c r="B15025" s="2" t="str">
        <f>IFERROR(__xludf.DUMMYFUNCTION("GOOGLETRANSLATE(A15025, ""en"", ""mt"")"),"fl-Università ta ’Stanford")</f>
        <v>fl-Università ta ’Stanford</v>
      </c>
    </row>
    <row r="15026" ht="15.75" customHeight="1">
      <c r="A15026" s="2" t="s">
        <v>15026</v>
      </c>
      <c r="B15026" s="2" t="str">
        <f>IFERROR(__xludf.DUMMYFUNCTION("GOOGLETRANSLATE(A15026, ""en"", ""mt"")"),"X'inhu l-polipeptidu tal-kloroplast sintetizzati?")</f>
        <v>X'inhu l-polipeptidu tal-kloroplast sintetizzati?</v>
      </c>
    </row>
    <row r="15027" ht="15.75" customHeight="1">
      <c r="A15027" s="2" t="s">
        <v>15027</v>
      </c>
      <c r="B15027" s="2" t="str">
        <f>IFERROR(__xludf.DUMMYFUNCTION("GOOGLETRANSLATE(A15027, ""en"", ""mt"")"),"31 ta ’Ottubru")</f>
        <v>31 ta ’Ottubru</v>
      </c>
    </row>
    <row r="15028" ht="15.75" customHeight="1">
      <c r="A15028" s="2" t="s">
        <v>15028</v>
      </c>
      <c r="B15028" s="2" t="str">
        <f>IFERROR(__xludf.DUMMYFUNCTION("GOOGLETRANSLATE(A15028, ""en"", ""mt"")"),"X'inhi abbrevjazzjoni għall-Knisja ta 'Ġesù Kristu tal-Qaddisin tal-Aħħar Jum?")</f>
        <v>X'inhi abbrevjazzjoni għall-Knisja ta 'Ġesù Kristu tal-Qaddisin tal-Aħħar Jum?</v>
      </c>
    </row>
    <row r="15029" ht="15.75" customHeight="1">
      <c r="A15029" s="2" t="s">
        <v>15029</v>
      </c>
      <c r="B15029" s="2" t="str">
        <f>IFERROR(__xludf.DUMMYFUNCTION("GOOGLETRANSLATE(A15029, ""en"", ""mt"")"),"Min għelbu l-Panthers fir-rawnd diviżjonali?")</f>
        <v>Min għelbu l-Panthers fir-rawnd diviżjonali?</v>
      </c>
    </row>
    <row r="15030" ht="15.75" customHeight="1">
      <c r="A15030" s="2" t="s">
        <v>15030</v>
      </c>
      <c r="B15030" s="2" t="str">
        <f>IFERROR(__xludf.DUMMYFUNCTION("GOOGLETRANSLATE(A15030, ""en"", ""mt"")"),"Liema mill-missirijiet tal-Ġeneral Ġenerali futur tiegħu għenu lil Temüjin jaħrab mit-Tayichi'ud?")</f>
        <v>Liema mill-missirijiet tal-Ġeneral Ġenerali futur tiegħu għenu lil Temüjin jaħrab mit-Tayichi'ud?</v>
      </c>
    </row>
    <row r="15031" ht="15.75" customHeight="1">
      <c r="A15031" s="2" t="s">
        <v>15031</v>
      </c>
      <c r="B15031" s="2" t="str">
        <f>IFERROR(__xludf.DUMMYFUNCTION("GOOGLETRANSLATE(A15031, ""en"", ""mt"")"),"Flimkien ma 'skejjel pubbliċi, x'tip ta' skola ġiet rikonoxxuta taħt l-Att dwar l-Iskejjel ta 'l-Afrika t'Isfel?")</f>
        <v>Flimkien ma 'skejjel pubbliċi, x'tip ta' skola ġiet rikonoxxuta taħt l-Att dwar l-Iskejjel ta 'l-Afrika t'Isfel?</v>
      </c>
    </row>
    <row r="15032" ht="15.75" customHeight="1">
      <c r="A15032" s="2" t="s">
        <v>15032</v>
      </c>
      <c r="B15032" s="2" t="str">
        <f>IFERROR(__xludf.DUMMYFUNCTION("GOOGLETRANSLATE(A15032, ""en"", ""mt"")"),"Meta s-servizz tal-lanċa tad-DFDS għall-operazzjoni tal-każ tal-Isvezja?")</f>
        <v>Meta s-servizz tal-lanċa tad-DFDS għall-operazzjoni tal-każ tal-Isvezja?</v>
      </c>
    </row>
    <row r="15033" ht="15.75" customHeight="1">
      <c r="A15033" s="2" t="s">
        <v>15033</v>
      </c>
      <c r="B15033" s="2" t="str">
        <f>IFERROR(__xludf.DUMMYFUNCTION("GOOGLETRANSLATE(A15033, ""en"", ""mt"")"),"X'inhi attribwita għall-inugwaljanza tad-dħul fl-Istati Uniti?")</f>
        <v>X'inhi attribwita għall-inugwaljanza tad-dħul fl-Istati Uniti?</v>
      </c>
    </row>
    <row r="15034" ht="15.75" customHeight="1">
      <c r="A15034" s="2" t="s">
        <v>15034</v>
      </c>
      <c r="B15034" s="2" t="str">
        <f>IFERROR(__xludf.DUMMYFUNCTION("GOOGLETRANSLATE(A15034, ""en"", ""mt"")"),"Filippini")</f>
        <v>Filippini</v>
      </c>
    </row>
    <row r="15035" ht="15.75" customHeight="1">
      <c r="A15035" s="2" t="s">
        <v>15035</v>
      </c>
      <c r="B15035" s="2" t="str">
        <f>IFERROR(__xludf.DUMMYFUNCTION("GOOGLETRANSLATE(A15035, ""en"", ""mt"")"),"Fejn mar Luther fis-17 ta 'Lulju 1505?")</f>
        <v>Fejn mar Luther fis-17 ta 'Lulju 1505?</v>
      </c>
    </row>
    <row r="15036" ht="15.75" customHeight="1">
      <c r="A15036" s="2" t="s">
        <v>15036</v>
      </c>
      <c r="B15036" s="2" t="str">
        <f>IFERROR(__xludf.DUMMYFUNCTION("GOOGLETRANSLATE(A15036, ""en"", ""mt"")"),"Meristems Apical tal-Pjanti għall-Adulti")</f>
        <v>Meristems Apical tal-Pjanti għall-Adulti</v>
      </c>
    </row>
    <row r="15037" ht="15.75" customHeight="1">
      <c r="A15037" s="2" t="s">
        <v>15037</v>
      </c>
      <c r="B15037" s="2" t="str">
        <f>IFERROR(__xludf.DUMMYFUNCTION("GOOGLETRANSLATE(A15037, ""en"", ""mt"")"),"""Rhine-kilometri""")</f>
        <v>"Rhine-kilometri"</v>
      </c>
    </row>
    <row r="15038" ht="15.75" customHeight="1">
      <c r="A15038" s="2" t="s">
        <v>15038</v>
      </c>
      <c r="B15038" s="2" t="str">
        <f>IFERROR(__xludf.DUMMYFUNCTION("GOOGLETRANSLATE(A15038, ""en"", ""mt"")"),"uffiċjal pubbliku")</f>
        <v>uffiċjal pubbliku</v>
      </c>
    </row>
    <row r="15039" ht="15.75" customHeight="1">
      <c r="A15039" s="2" t="s">
        <v>15039</v>
      </c>
      <c r="B15039" s="2" t="str">
        <f>IFERROR(__xludf.DUMMYFUNCTION("GOOGLETRANSLATE(A15039, ""en"", ""mt"")"),"Dipartiment tal-Kelma u l-Immaġni")</f>
        <v>Dipartiment tal-Kelma u l-Immaġni</v>
      </c>
    </row>
    <row r="15040" ht="15.75" customHeight="1">
      <c r="A15040" s="2" t="s">
        <v>15040</v>
      </c>
      <c r="B15040" s="2" t="str">
        <f>IFERROR(__xludf.DUMMYFUNCTION("GOOGLETRANSLATE(A15040, ""en"", ""mt"")"),"Xi jfisser is-settur magħruf bħala Jua Kali?")</f>
        <v>Xi jfisser is-settur magħruf bħala Jua Kali?</v>
      </c>
    </row>
    <row r="15041" ht="15.75" customHeight="1">
      <c r="A15041" s="2" t="s">
        <v>15041</v>
      </c>
      <c r="B15041" s="2" t="str">
        <f>IFERROR(__xludf.DUMMYFUNCTION("GOOGLETRANSLATE(A15041, ""en"", ""mt"")"),"X'kienet il-porzjon ta 'l-Amerika ta' Fuq tal-Gwerra ta 'Suċċessjoni Awstrijaka?")</f>
        <v>X'kienet il-porzjon ta 'l-Amerika ta' Fuq tal-Gwerra ta 'Suċċessjoni Awstrijaka?</v>
      </c>
    </row>
    <row r="15042" ht="15.75" customHeight="1">
      <c r="A15042" s="2" t="s">
        <v>15042</v>
      </c>
      <c r="B15042" s="2" t="str">
        <f>IFERROR(__xludf.DUMMYFUNCTION("GOOGLETRANSLATE(A15042, ""en"", ""mt"")"),"Ħsara dejjiema")</f>
        <v>Ħsara dejjiema</v>
      </c>
    </row>
    <row r="15043" ht="15.75" customHeight="1">
      <c r="A15043" s="2" t="s">
        <v>15043</v>
      </c>
      <c r="B15043" s="2" t="str">
        <f>IFERROR(__xludf.DUMMYFUNCTION("GOOGLETRANSLATE(A15043, ""en"", ""mt"")"),"grana normali u thylakoids")</f>
        <v>grana normali u thylakoids</v>
      </c>
    </row>
    <row r="15044" ht="15.75" customHeight="1">
      <c r="A15044" s="2" t="s">
        <v>15044</v>
      </c>
      <c r="B15044" s="2" t="str">
        <f>IFERROR(__xludf.DUMMYFUNCTION("GOOGLETRANSLATE(A15044, ""en"", ""mt"")"),"Fejn kien l-irvellijiet tal-1857?")</f>
        <v>Fejn kien l-irvellijiet tal-1857?</v>
      </c>
    </row>
    <row r="15045" ht="15.75" customHeight="1">
      <c r="A15045" s="2" t="s">
        <v>15045</v>
      </c>
      <c r="B15045" s="2" t="str">
        <f>IFERROR(__xludf.DUMMYFUNCTION("GOOGLETRANSLATE(A15045, ""en"", ""mt"")"),"koppla trasparenti magħmula minn ċili twil u immobbli")</f>
        <v>koppla trasparenti magħmula minn ċili twil u immobbli</v>
      </c>
    </row>
    <row r="15046" ht="15.75" customHeight="1">
      <c r="A15046" s="2" t="s">
        <v>15046</v>
      </c>
      <c r="B15046" s="2" t="str">
        <f>IFERROR(__xludf.DUMMYFUNCTION("GOOGLETRANSLATE(A15046, ""en"", ""mt"")"),"Kurunell (aktar tard Ġeneral Maġġur) Henry Young Darracott Scott")</f>
        <v>Kurunell (aktar tard Ġeneral Maġġur) Henry Young Darracott Scott</v>
      </c>
    </row>
    <row r="15047" ht="15.75" customHeight="1">
      <c r="A15047" s="2" t="s">
        <v>15047</v>
      </c>
      <c r="B15047" s="2" t="str">
        <f>IFERROR(__xludf.DUMMYFUNCTION("GOOGLETRANSLATE(A15047, ""en"", ""mt"")"),"Difiża tal-ħtieġa")</f>
        <v>Difiża tal-ħtieġa</v>
      </c>
    </row>
    <row r="15048" ht="15.75" customHeight="1">
      <c r="A15048" s="2" t="s">
        <v>15048</v>
      </c>
      <c r="B15048" s="2" t="str">
        <f>IFERROR(__xludf.DUMMYFUNCTION("GOOGLETRANSLATE(A15048, ""en"", ""mt"")"),"Kemm tista 'l-SP tbiddel it-taxxa fuq id-dħul fl-Iskozja?")</f>
        <v>Kemm tista 'l-SP tbiddel it-taxxa fuq id-dħul fl-Iskozja?</v>
      </c>
    </row>
    <row r="15049" ht="15.75" customHeight="1">
      <c r="A15049" s="2" t="s">
        <v>15049</v>
      </c>
      <c r="B15049" s="2" t="str">
        <f>IFERROR(__xludf.DUMMYFUNCTION("GOOGLETRANSLATE(A15049, ""en"", ""mt"")"),"F'liema belt hija l-aħħar kongregazzjoni Huguenot fl-Istati Uniti?")</f>
        <v>F'liema belt hija l-aħħar kongregazzjoni Huguenot fl-Istati Uniti?</v>
      </c>
    </row>
    <row r="15050" ht="15.75" customHeight="1">
      <c r="A15050" s="2" t="s">
        <v>15050</v>
      </c>
      <c r="B15050" s="2" t="str">
        <f>IFERROR(__xludf.DUMMYFUNCTION("GOOGLETRANSLATE(A15050, ""en"", ""mt"")"),"Min kienu mistednin speċjali għas-Super Bowl Halftime Show?")</f>
        <v>Min kienu mistednin speċjali għas-Super Bowl Halftime Show?</v>
      </c>
    </row>
    <row r="15051" ht="15.75" customHeight="1">
      <c r="A15051" s="2" t="s">
        <v>15051</v>
      </c>
      <c r="B15051" s="2" t="str">
        <f>IFERROR(__xludf.DUMMYFUNCTION("GOOGLETRANSLATE(A15051, ""en"", ""mt"")"),"Min telaq minn Shirley f'Oswego?")</f>
        <v>Min telaq minn Shirley f'Oswego?</v>
      </c>
    </row>
    <row r="15052" ht="15.75" customHeight="1">
      <c r="A15052" s="2" t="s">
        <v>15052</v>
      </c>
      <c r="B15052" s="2" t="str">
        <f>IFERROR(__xludf.DUMMYFUNCTION("GOOGLETRANSLATE(A15052, ""en"", ""mt"")"),"F'liema sena miet missier Tesla?")</f>
        <v>F'liema sena miet missier Tesla?</v>
      </c>
    </row>
    <row r="15053" ht="15.75" customHeight="1">
      <c r="A15053" s="2" t="s">
        <v>15053</v>
      </c>
      <c r="B15053" s="2" t="str">
        <f>IFERROR(__xludf.DUMMYFUNCTION("GOOGLETRANSLATE(A15053, ""en"", ""mt"")"),"Super Bowl 50 deher bosta rekords minn individwi u timijiet. Denver rebaħ minkejja li kien immexxi bil-kbir fil-btieħi totali (315 sa 194) u l-ewwel downs (21 sa 11). L-194 tarzni tagħhom u l-ewwel 11-il downs kienu t-tnejn l-inqas totali li qatt kien hem"&amp;"m minn tim rebbieħ tas-Super Bowl. Ir-rekord preċedenti kien 244 tarzni mill-Baltimore Ravens fis-Super Bowl XXXV. Seba 'timijiet oħra biss qatt kisbu inqas minn 200 jarda fis-Super Bowl, u kollha tilfu. Is-seba 'xkejjer ta' Broncos ġabu rekord ta 'Super "&amp;"Bowl stabbilit mill-Bears ta' Chicago fis-Super Bowl XX. Kony Ealy ġab rekord tas-Super Bowl bi tliet xkejjer. Ir-ritorn tal-punt 61-tarzna ta 'Jordan Norwood waqqaf rekord ġdid, li qabeż ir-rekord il-qadim ta '45 tarzni stabbiliti minn John Taylor fis-Su"&amp;"per Bowl XXIII. Denver kien biss 1-of-14 fit-tielet l-isfel, filwaqt li Carolina bilkemm kienet aħjar fi 3-of-15. Il-persentaġġ ta 'konverżjoni tat-tielet timijiet ikkombinati fit-tielet ta' 13.8 kien Super Bowl baxx. Manning u Newton kellhom klassifikazz"&amp;"jonijiet tal-passer tal-quarterback ta '56 .6 u 55.4, rispettivament, u t-total miżjud tagħhom ta '112 huwa rekord ta' klassifikazzjoni tal-passer aggregat l-iktar baxx għal Super Bowl. Manning sar l-eqdem quarterback li qatt rebaħ Super Bowl fl-età ta '3"&amp;"9, u l-ewwel quarterback li qatt rebaħ Super Bowl b'żewġ timijiet differenti, filwaqt li Gary Kubiak sar l-ewwel kowċ ewlieni li rebaħ Super Bowl bl-istess franchise huwa mar għalih Is-Super Bowl ma 'bħala plejer.")</f>
        <v>Super Bowl 50 deher bosta rekords minn individwi u timijiet. Denver rebaħ minkejja li kien immexxi bil-kbir fil-btieħi totali (315 sa 194) u l-ewwel downs (21 sa 11). L-194 tarzni tagħhom u l-ewwel 11-il downs kienu t-tnejn l-inqas totali li qatt kien hemm minn tim rebbieħ tas-Super Bowl. Ir-rekord preċedenti kien 244 tarzni mill-Baltimore Ravens fis-Super Bowl XXXV. Seba 'timijiet oħra biss qatt kisbu inqas minn 200 jarda fis-Super Bowl, u kollha tilfu. Is-seba 'xkejjer ta' Broncos ġabu rekord ta 'Super Bowl stabbilit mill-Bears ta' Chicago fis-Super Bowl XX. Kony Ealy ġab rekord tas-Super Bowl bi tliet xkejjer. Ir-ritorn tal-punt 61-tarzna ta 'Jordan Norwood waqqaf rekord ġdid, li qabeż ir-rekord il-qadim ta '45 tarzni stabbiliti minn John Taylor fis-Super Bowl XXIII. Denver kien biss 1-of-14 fit-tielet l-isfel, filwaqt li Carolina bilkemm kienet aħjar fi 3-of-15. Il-persentaġġ ta 'konverżjoni tat-tielet timijiet ikkombinati fit-tielet ta' 13.8 kien Super Bowl baxx. Manning u Newton kellhom klassifikazzjonijiet tal-passer tal-quarterback ta '56 .6 u 55.4, rispettivament, u t-total miżjud tagħhom ta '112 huwa rekord ta' klassifikazzjoni tal-passer aggregat l-iktar baxx għal Super Bowl. Manning sar l-eqdem quarterback li qatt rebaħ Super Bowl fl-età ta '39, u l-ewwel quarterback li qatt rebaħ Super Bowl b'żewġ timijiet differenti, filwaqt li Gary Kubiak sar l-ewwel kowċ ewlieni li rebaħ Super Bowl bl-istess franchise huwa mar għalih Is-Super Bowl ma 'bħala plejer.</v>
      </c>
    </row>
    <row r="15054" ht="15.75" customHeight="1">
      <c r="A15054" s="2" t="s">
        <v>15054</v>
      </c>
      <c r="B15054" s="2" t="str">
        <f>IFERROR(__xludf.DUMMYFUNCTION("GOOGLETRANSLATE(A15054, ""en"", ""mt"")"),"Kapaċi tivvota fuq leġislazzjoni domestika li tapplika biss għall-Ingilterra, Wales u l-Irlanda ta 'Fuq")</f>
        <v>Kapaċi tivvota fuq leġislazzjoni domestika li tapplika biss għall-Ingilterra, Wales u l-Irlanda ta 'Fuq</v>
      </c>
    </row>
    <row r="15055" ht="15.75" customHeight="1">
      <c r="A15055" s="2" t="s">
        <v>15055</v>
      </c>
      <c r="B15055" s="2" t="str">
        <f>IFERROR(__xludf.DUMMYFUNCTION("GOOGLETRANSLATE(A15055, ""en"", ""mt"")"),"Kultant imsejħa alka blu-aħdar")</f>
        <v>Kultant imsejħa alka blu-aħdar</v>
      </c>
    </row>
    <row r="15056" ht="15.75" customHeight="1">
      <c r="A15056" s="2" t="s">
        <v>15056</v>
      </c>
      <c r="B15056" s="2" t="str">
        <f>IFERROR(__xludf.DUMMYFUNCTION("GOOGLETRANSLATE(A15056, ""en"", ""mt"")"),"X'għandu jippermetti li r-reġjun tas-savanna jespandi fit-tropiċi?")</f>
        <v>X'għandu jippermetti li r-reġjun tas-savanna jespandi fit-tropiċi?</v>
      </c>
    </row>
    <row r="15057" ht="15.75" customHeight="1">
      <c r="A15057" s="2" t="s">
        <v>15057</v>
      </c>
      <c r="B15057" s="2" t="str">
        <f>IFERROR(__xludf.DUMMYFUNCTION("GOOGLETRANSLATE(A15057, ""en"", ""mt"")"),"Liema logo kellu l-insinji tad-DW Tardis imneħħija?")</f>
        <v>Liema logo kellu l-insinji tad-DW Tardis imneħħija?</v>
      </c>
    </row>
    <row r="15058" ht="15.75" customHeight="1">
      <c r="A15058" s="2" t="s">
        <v>15058</v>
      </c>
      <c r="B15058" s="2" t="str">
        <f>IFERROR(__xludf.DUMMYFUNCTION("GOOGLETRANSLATE(A15058, ""en"", ""mt"")"),"Min imexxi l-iskola lura għall-istituzzjoni ta 'riċerka ewlenija fis-seklu 2oth?")</f>
        <v>Min imexxi l-iskola lura għall-istituzzjoni ta 'riċerka ewlenija fis-seklu 2oth?</v>
      </c>
    </row>
    <row r="15059" ht="15.75" customHeight="1">
      <c r="A15059" s="2" t="s">
        <v>15059</v>
      </c>
      <c r="B15059" s="2" t="str">
        <f>IFERROR(__xludf.DUMMYFUNCTION("GOOGLETRANSLATE(A15059, ""en"", ""mt"")"),"Downtown")</f>
        <v>Downtown</v>
      </c>
    </row>
    <row r="15060" ht="15.75" customHeight="1">
      <c r="A15060" s="2" t="s">
        <v>15060</v>
      </c>
      <c r="B15060" s="2" t="str">
        <f>IFERROR(__xludf.DUMMYFUNCTION("GOOGLETRANSLATE(A15060, ""en"", ""mt"")"),"xi 2,000")</f>
        <v>xi 2,000</v>
      </c>
    </row>
    <row r="15061" ht="15.75" customHeight="1">
      <c r="A15061" s="2" t="s">
        <v>15061</v>
      </c>
      <c r="B15061" s="2" t="str">
        <f>IFERROR(__xludf.DUMMYFUNCTION("GOOGLETRANSLATE(A15061, ""en"", ""mt"")"),"Fi ħdan l-UE, liema qorti temmen li għandhom il-kelma finali li jiddeċiedu dwar il-kompetenza tal-UE?")</f>
        <v>Fi ħdan l-UE, liema qorti temmen li għandhom il-kelma finali li jiddeċiedu dwar il-kompetenza tal-UE?</v>
      </c>
    </row>
    <row r="15062" ht="15.75" customHeight="1">
      <c r="A15062" s="2" t="s">
        <v>15062</v>
      </c>
      <c r="B15062" s="2" t="str">
        <f>IFERROR(__xludf.DUMMYFUNCTION("GOOGLETRANSLATE(A15062, ""en"", ""mt"")"),"Ġudikat ""Ħażin"" minn kuxjenza individwali")</f>
        <v>Ġudikat "Ħażin" minn kuxjenza individwali</v>
      </c>
    </row>
    <row r="15063" ht="15.75" customHeight="1">
      <c r="A15063" s="2" t="s">
        <v>15063</v>
      </c>
      <c r="B15063" s="2" t="str">
        <f>IFERROR(__xludf.DUMMYFUNCTION("GOOGLETRANSLATE(A15063, ""en"", ""mt"")"),"Sport uffiċjali tal-iskola")</f>
        <v>Sport uffiċjali tal-iskola</v>
      </c>
    </row>
    <row r="15064" ht="15.75" customHeight="1">
      <c r="A15064" s="2" t="s">
        <v>15064</v>
      </c>
      <c r="B15064" s="2" t="str">
        <f>IFERROR(__xludf.DUMMYFUNCTION("GOOGLETRANSLATE(A15064, ""en"", ""mt"")"),"97")</f>
        <v>97</v>
      </c>
    </row>
    <row r="15065" ht="15.75" customHeight="1">
      <c r="A15065" s="2" t="s">
        <v>15065</v>
      </c>
      <c r="B15065" s="2" t="str">
        <f>IFERROR(__xludf.DUMMYFUNCTION("GOOGLETRANSLATE(A15065, ""en"", ""mt"")"),"Peter Capaldi")</f>
        <v>Peter Capaldi</v>
      </c>
    </row>
    <row r="15066" ht="15.75" customHeight="1">
      <c r="A15066" s="2" t="s">
        <v>15066</v>
      </c>
      <c r="B15066" s="2" t="str">
        <f>IFERROR(__xludf.DUMMYFUNCTION("GOOGLETRANSLATE(A15066, ""en"", ""mt"")"),"Dwar il-kummenti tagħhom hija bbażata l-istazzjonar fuq il-bieb?")</f>
        <v>Dwar il-kummenti tagħhom hija bbażata l-istazzjonar fuq il-bieb?</v>
      </c>
    </row>
    <row r="15067" ht="15.75" customHeight="1">
      <c r="A15067" s="2" t="s">
        <v>15067</v>
      </c>
      <c r="B15067" s="2" t="str">
        <f>IFERROR(__xludf.DUMMYFUNCTION("GOOGLETRANSLATE(A15067, ""en"", ""mt"")"),"Min x'aktarx ikun qed jagħmel tagħlim formali?")</f>
        <v>Min x'aktarx ikun qed jagħmel tagħlim formali?</v>
      </c>
    </row>
    <row r="15068" ht="15.75" customHeight="1">
      <c r="A15068" s="2" t="s">
        <v>15068</v>
      </c>
      <c r="B15068" s="2" t="str">
        <f>IFERROR(__xludf.DUMMYFUNCTION("GOOGLETRANSLATE(A15068, ""en"", ""mt"")"),"X'inhu l-aħħar isem tal-plejer li finalment irkupra l-ballun li Newton tilef fir-raba 'kwart?")</f>
        <v>X'inhu l-aħħar isem tal-plejer li finalment irkupra l-ballun li Newton tilef fir-raba 'kwart?</v>
      </c>
    </row>
    <row r="15069" ht="15.75" customHeight="1">
      <c r="A15069" s="2" t="s">
        <v>15069</v>
      </c>
      <c r="B15069" s="2" t="str">
        <f>IFERROR(__xludf.DUMMYFUNCTION("GOOGLETRANSLATE(A15069, ""en"", ""mt"")"),"Kif ħassu William Shirley dwar l-avvanz Franċiż?")</f>
        <v>Kif ħassu William Shirley dwar l-avvanz Franċiż?</v>
      </c>
    </row>
    <row r="15070" ht="15.75" customHeight="1">
      <c r="A15070" s="2" t="s">
        <v>15070</v>
      </c>
      <c r="B15070" s="2" t="str">
        <f>IFERROR(__xludf.DUMMYFUNCTION("GOOGLETRANSLATE(A15070, ""en"", ""mt"")"),"It-teżi ta 'min tgħid li s-soluzzjoni għal problema tista' tissolva b'riżorsi raġonevoli jekk wieħed jassumi li jippermetti algoritmu ta 'ħin polinomjali?")</f>
        <v>It-teżi ta 'min tgħid li s-soluzzjoni għal problema tista' tissolva b'riżorsi raġonevoli jekk wieħed jassumi li jippermetti algoritmu ta 'ħin polinomjali?</v>
      </c>
    </row>
    <row r="15071" ht="15.75" customHeight="1">
      <c r="A15071" s="2" t="s">
        <v>15071</v>
      </c>
      <c r="B15071" s="2" t="str">
        <f>IFERROR(__xludf.DUMMYFUNCTION("GOOGLETRANSLATE(A15071, ""en"", ""mt"")"),"Pliocene")</f>
        <v>Pliocene</v>
      </c>
    </row>
    <row r="15072" ht="15.75" customHeight="1">
      <c r="A15072" s="2" t="s">
        <v>15072</v>
      </c>
      <c r="B15072" s="2" t="str">
        <f>IFERROR(__xludf.DUMMYFUNCTION("GOOGLETRANSLATE(A15072, ""en"", ""mt"")"),"Kif iqabblu r-riżultati akkademiċi fl-iskejjel tal-Mudell C preċedenti?")</f>
        <v>Kif iqabblu r-riżultati akkademiċi fl-iskejjel tal-Mudell C preċedenti?</v>
      </c>
    </row>
    <row r="15073" ht="15.75" customHeight="1">
      <c r="A15073" s="2" t="s">
        <v>15073</v>
      </c>
      <c r="B15073" s="2" t="str">
        <f>IFERROR(__xludf.DUMMYFUNCTION("GOOGLETRANSLATE(A15073, ""en"", ""mt"")"),"Hearst Television")</f>
        <v>Hearst Television</v>
      </c>
    </row>
    <row r="15074" ht="15.75" customHeight="1">
      <c r="A15074" s="2" t="s">
        <v>15074</v>
      </c>
      <c r="B15074" s="2" t="str">
        <f>IFERROR(__xludf.DUMMYFUNCTION("GOOGLETRANSLATE(A15074, ""en"", ""mt"")"),"Nuqqas ta 'dispjaċir")</f>
        <v>Nuqqas ta 'dispjaċir</v>
      </c>
    </row>
    <row r="15075" ht="15.75" customHeight="1">
      <c r="A15075" s="2" t="s">
        <v>15075</v>
      </c>
      <c r="B15075" s="2" t="str">
        <f>IFERROR(__xludf.DUMMYFUNCTION("GOOGLETRANSLATE(A15075, ""en"", ""mt"")"),"fil-kisba ta 'medikazzjoni kosteffikaċi u tevita l-użu bla bżonn ta' medikazzjoni li jista 'jkollha effetti sekondarji")</f>
        <v>fil-kisba ta 'medikazzjoni kosteffikaċi u tevita l-użu bla bżonn ta' medikazzjoni li jista 'jkollha effetti sekondarji</v>
      </c>
    </row>
    <row r="15076" ht="15.75" customHeight="1">
      <c r="A15076" s="2" t="s">
        <v>15076</v>
      </c>
      <c r="B15076" s="2" t="str">
        <f>IFERROR(__xludf.DUMMYFUNCTION("GOOGLETRANSLATE(A15076, ""en"", ""mt"")"),"Is-Saħta tad-Daleks")</f>
        <v>Is-Saħta tad-Daleks</v>
      </c>
    </row>
    <row r="15077" ht="15.75" customHeight="1">
      <c r="A15077" s="2" t="s">
        <v>15077</v>
      </c>
      <c r="B15077" s="2" t="str">
        <f>IFERROR(__xludf.DUMMYFUNCTION("GOOGLETRANSLATE(A15077, ""en"", ""mt"")"),"Liema grupp jopera l-Kulleġġ ta 'St Dominic f'Wanganui?")</f>
        <v>Liema grupp jopera l-Kulleġġ ta 'St Dominic f'Wanganui?</v>
      </c>
    </row>
    <row r="15078" ht="15.75" customHeight="1">
      <c r="A15078" s="2" t="s">
        <v>15078</v>
      </c>
      <c r="B15078" s="2" t="str">
        <f>IFERROR(__xludf.DUMMYFUNCTION("GOOGLETRANSLATE(A15078, ""en"", ""mt"")"),"Ir-riċetturi fuq ċellola T qattiel għandhom jorbtu ma 'kemm MHC: kumplessi ta' antiġen sabiex jattivaw iċ-ċellula?")</f>
        <v>Ir-riċetturi fuq ċellola T qattiel għandhom jorbtu ma 'kemm MHC: kumplessi ta' antiġen sabiex jattivaw iċ-ċellula?</v>
      </c>
    </row>
    <row r="15079" ht="15.75" customHeight="1">
      <c r="A15079" s="2" t="s">
        <v>15079</v>
      </c>
      <c r="B15079" s="2" t="str">
        <f>IFERROR(__xludf.DUMMYFUNCTION("GOOGLETRANSLATE(A15079, ""en"", ""mt"")"),"X'tip ta 'distrett huwa d-dar tan-Nofsinhar ta' California għal ħafna?")</f>
        <v>X'tip ta 'distrett huwa d-dar tan-Nofsinhar ta' California għal ħafna?</v>
      </c>
    </row>
    <row r="15080" ht="15.75" customHeight="1">
      <c r="A15080" s="2" t="s">
        <v>15080</v>
      </c>
      <c r="B15080" s="2" t="str">
        <f>IFERROR(__xludf.DUMMYFUNCTION("GOOGLETRANSLATE(A15080, ""en"", ""mt"")"),"Il-motto tal-Fratellanza Musulmana jispeċifika x’inhi l-kostituzzjoni tagħhom?")</f>
        <v>Il-motto tal-Fratellanza Musulmana jispeċifika x’inhi l-kostituzzjoni tagħhom?</v>
      </c>
    </row>
    <row r="15081" ht="15.75" customHeight="1">
      <c r="A15081" s="2" t="s">
        <v>15081</v>
      </c>
      <c r="B15081" s="2" t="str">
        <f>IFERROR(__xludf.DUMMYFUNCTION("GOOGLETRANSLATE(A15081, ""en"", ""mt"")"),"Dik il-qawwa li tgħinna nħobbu u jimmotivawna biex infittxu relazzjoni ma 'Alla permezz ta' Ġesù Kristu.")</f>
        <v>Dik il-qawwa li tgħinna nħobbu u jimmotivawna biex infittxu relazzjoni ma 'Alla permezz ta' Ġesù Kristu.</v>
      </c>
    </row>
    <row r="15082" ht="15.75" customHeight="1">
      <c r="A15082" s="2" t="s">
        <v>15082</v>
      </c>
      <c r="B15082" s="2" t="str">
        <f>IFERROR(__xludf.DUMMYFUNCTION("GOOGLETRANSLATE(A15082, ""en"", ""mt"")"),"13 ta 'Ġunju 1525,")</f>
        <v>13 ta 'Ġunju 1525,</v>
      </c>
    </row>
    <row r="15083" ht="15.75" customHeight="1">
      <c r="A15083" s="2" t="s">
        <v>15083</v>
      </c>
      <c r="B15083" s="2" t="str">
        <f>IFERROR(__xludf.DUMMYFUNCTION("GOOGLETRANSLATE(A15083, ""en"", ""mt"")"),"Scariest TV Show ta 'kull żmien")</f>
        <v>Scariest TV Show ta 'kull żmien</v>
      </c>
    </row>
    <row r="15084" ht="15.75" customHeight="1">
      <c r="A15084" s="2" t="s">
        <v>15084</v>
      </c>
      <c r="B15084" s="2" t="str">
        <f>IFERROR(__xludf.DUMMYFUNCTION("GOOGLETRANSLATE(A15084, ""en"", ""mt"")"),"Liema konġettura ssostni li hemm ammont infinit ta 'primes twin?")</f>
        <v>Liema konġettura ssostni li hemm ammont infinit ta 'primes twin?</v>
      </c>
    </row>
    <row r="15085" ht="15.75" customHeight="1">
      <c r="A15085" s="2" t="s">
        <v>15085</v>
      </c>
      <c r="B15085" s="2" t="str">
        <f>IFERROR(__xludf.DUMMYFUNCTION("GOOGLETRANSLATE(A15085, ""en"", ""mt"")"),"Kemm speċi ta 'siġar instabu f'kilometru kwadru ta' foresta tropikali Ekwadorjana fl-2001?")</f>
        <v>Kemm speċi ta 'siġar instabu f'kilometru kwadru ta' foresta tropikali Ekwadorjana fl-2001?</v>
      </c>
    </row>
    <row r="15086" ht="15.75" customHeight="1">
      <c r="A15086" s="2" t="s">
        <v>15086</v>
      </c>
      <c r="B15086" s="2" t="str">
        <f>IFERROR(__xludf.DUMMYFUNCTION("GOOGLETRANSLATE(A15086, ""en"", ""mt"")"),"Il-qrati mitfugħa juru kasti tal-ġibs ta 'liema oġġetti?")</f>
        <v>Il-qrati mitfugħa juru kasti tal-ġibs ta 'liema oġġetti?</v>
      </c>
    </row>
    <row r="15087" ht="15.75" customHeight="1">
      <c r="A15087" s="2" t="s">
        <v>15087</v>
      </c>
      <c r="B15087" s="2" t="str">
        <f>IFERROR(__xludf.DUMMYFUNCTION("GOOGLETRANSLATE(A15087, ""en"", ""mt"")"),"Dec oriġinarjament kellu 3 saffi iżda evolva f'kemm saffi")</f>
        <v>Dec oriġinarjament kellu 3 saffi iżda evolva f'kemm saffi</v>
      </c>
    </row>
    <row r="15088" ht="15.75" customHeight="1">
      <c r="A15088" s="2" t="s">
        <v>15088</v>
      </c>
      <c r="B15088" s="2" t="str">
        <f>IFERROR(__xludf.DUMMYFUNCTION("GOOGLETRANSLATE(A15088, ""en"", ""mt"")"),"Territorji Indiġeni")</f>
        <v>Territorji Indiġeni</v>
      </c>
    </row>
    <row r="15089" ht="15.75" customHeight="1">
      <c r="A15089" s="2" t="s">
        <v>15089</v>
      </c>
      <c r="B15089" s="2" t="str">
        <f>IFERROR(__xludf.DUMMYFUNCTION("GOOGLETRANSLATE(A15089, ""en"", ""mt"")"),"Id-Distrett tat-Torri")</f>
        <v>Id-Distrett tat-Torri</v>
      </c>
    </row>
    <row r="15090" ht="15.75" customHeight="1">
      <c r="A15090" s="2" t="s">
        <v>15090</v>
      </c>
      <c r="B15090" s="2" t="str">
        <f>IFERROR(__xludf.DUMMYFUNCTION("GOOGLETRANSLATE(A15090, ""en"", ""mt"")"),"storiċi")</f>
        <v>storiċi</v>
      </c>
    </row>
    <row r="15091" ht="15.75" customHeight="1">
      <c r="A15091" s="2" t="s">
        <v>15091</v>
      </c>
      <c r="B15091" s="2" t="str">
        <f>IFERROR(__xludf.DUMMYFUNCTION("GOOGLETRANSLATE(A15091, ""en"", ""mt"")"),"Meuse Estware")</f>
        <v>Meuse Estware</v>
      </c>
    </row>
    <row r="15092" ht="15.75" customHeight="1">
      <c r="A15092" s="2" t="s">
        <v>15092</v>
      </c>
      <c r="B15092" s="2" t="str">
        <f>IFERROR(__xludf.DUMMYFUNCTION("GOOGLETRANSLATE(A15092, ""en"", ""mt"")"),"X'tip ta 'grupp huwa l-Istat Iżlamiku?")</f>
        <v>X'tip ta 'grupp huwa l-Istat Iżlamiku?</v>
      </c>
    </row>
    <row r="15093" ht="15.75" customHeight="1">
      <c r="A15093" s="2" t="s">
        <v>15093</v>
      </c>
      <c r="B15093" s="2" t="str">
        <f>IFERROR(__xludf.DUMMYFUNCTION("GOOGLETRANSLATE(A15093, ""en"", ""mt"")"),"Annam (Dai Viet)")</f>
        <v>Annam (Dai Viet)</v>
      </c>
    </row>
    <row r="15094" ht="15.75" customHeight="1">
      <c r="A15094" s="2" t="s">
        <v>15094</v>
      </c>
      <c r="B15094" s="2" t="str">
        <f>IFERROR(__xludf.DUMMYFUNCTION("GOOGLETRANSLATE(A15094, ""en"", ""mt"")"),"Il-funzjoni zeta")</f>
        <v>Il-funzjoni zeta</v>
      </c>
    </row>
    <row r="15095" ht="15.75" customHeight="1">
      <c r="A15095" s="2" t="s">
        <v>15095</v>
      </c>
      <c r="B15095" s="2" t="str">
        <f>IFERROR(__xludf.DUMMYFUNCTION("GOOGLETRANSLATE(A15095, ""en"", ""mt"")"),"L-Ajruport Internazzjonali ta 'Chinggis Khaan")</f>
        <v>L-Ajruport Internazzjonali ta 'Chinggis Khaan</v>
      </c>
    </row>
    <row r="15096" ht="15.75" customHeight="1">
      <c r="A15096" s="2" t="s">
        <v>15096</v>
      </c>
      <c r="B15096" s="2" t="str">
        <f>IFERROR(__xludf.DUMMYFUNCTION("GOOGLETRANSLATE(A15096, ""en"", ""mt"")"),"L-Iskola Harris tal-Istudji tal-Politika Pubblika")</f>
        <v>L-Iskola Harris tal-Istudji tal-Politika Pubblika</v>
      </c>
    </row>
    <row r="15097" ht="15.75" customHeight="1">
      <c r="A15097" s="2" t="s">
        <v>15097</v>
      </c>
      <c r="B15097" s="2" t="str">
        <f>IFERROR(__xludf.DUMMYFUNCTION("GOOGLETRANSLATE(A15097, ""en"", ""mt"")"),"Min ġie miżjud mal-partit hekk kif Washington mar fit-triq?")</f>
        <v>Min ġie miżjud mal-partit hekk kif Washington mar fit-triq?</v>
      </c>
    </row>
    <row r="15098" ht="15.75" customHeight="1">
      <c r="A15098" s="2" t="s">
        <v>15098</v>
      </c>
      <c r="B15098" s="2" t="str">
        <f>IFERROR(__xludf.DUMMYFUNCTION("GOOGLETRANSLATE(A15098, ""en"", ""mt"")"),"Il-Konferenza Ġenerali tal-Knisja Metodista Magħquda")</f>
        <v>Il-Konferenza Ġenerali tal-Knisja Metodista Magħquda</v>
      </c>
    </row>
    <row r="15099" ht="15.75" customHeight="1">
      <c r="A15099" s="2" t="s">
        <v>15099</v>
      </c>
      <c r="B15099" s="2" t="str">
        <f>IFERROR(__xludf.DUMMYFUNCTION("GOOGLETRANSLATE(A15099, ""en"", ""mt"")"),"$ 465 miljun")</f>
        <v>$ 465 miljun</v>
      </c>
    </row>
    <row r="15100" ht="15.75" customHeight="1">
      <c r="A15100" s="2" t="s">
        <v>15100</v>
      </c>
      <c r="B15100" s="2" t="str">
        <f>IFERROR(__xludf.DUMMYFUNCTION("GOOGLETRANSLATE(A15100, ""en"", ""mt"")"),"Qoxra ta 'siġar taċ-ċawsli")</f>
        <v>Qoxra ta 'siġar taċ-ċawsli</v>
      </c>
    </row>
    <row r="15101" ht="15.75" customHeight="1">
      <c r="A15101" s="2" t="s">
        <v>15101</v>
      </c>
      <c r="B15101" s="2" t="str">
        <f>IFERROR(__xludf.DUMMYFUNCTION("GOOGLETRANSLATE(A15101, ""en"", ""mt"")"),"Fejn intużaw b'mod partikolari lokomottivi li ma jikkondensawx b'mod partikolari għall-ferroviji tal-passiġġieri veloċi?")</f>
        <v>Fejn intużaw b'mod partikolari lokomottivi li ma jikkondensawx b'mod partikolari għall-ferroviji tal-passiġġieri veloċi?</v>
      </c>
    </row>
    <row r="15102" ht="15.75" customHeight="1">
      <c r="A15102" s="2" t="s">
        <v>15102</v>
      </c>
      <c r="B15102" s="2" t="str">
        <f>IFERROR(__xludf.DUMMYFUNCTION("GOOGLETRANSLATE(A15102, ""en"", ""mt"")"),"Politika tal-Bieb Miftuħ")</f>
        <v>Politika tal-Bieb Miftuħ</v>
      </c>
    </row>
    <row r="15103" ht="15.75" customHeight="1">
      <c r="A15103" s="2" t="s">
        <v>15103</v>
      </c>
      <c r="B15103" s="2" t="str">
        <f>IFERROR(__xludf.DUMMYFUNCTION("GOOGLETRANSLATE(A15103, ""en"", ""mt"")"),"Fejn hija ż-żona trasversali rilevanti għall-volum li għalih qed jiġi kkalkulat it-tensjoni tal-istress. Dan il-formalizmu jinkludi termini ta 'pressjoni assoċjati ma' forzi li jaġixxu normali għaż-żona ta 'sezzjoni trasversali (id-djagonali tal-matriċi t"&amp;"at-tensjoni) kif ukoll termini ta' shear assoċjati ma 'forzi li jaġixxu paralleli maż-żona ta' sezzjoni trasversali (l-elementi barra d-djagonali). It-tensjoni tal-istress tirrappreżenta forzi li jikkawżaw ir-razez kollha (deformazzjonijiet) inklużi wkoll"&amp;" tensjonijiet u kompressjonijiet tat-tensjoni.: 133–134:38-1–38-11")</f>
        <v>Fejn hija ż-żona trasversali rilevanti għall-volum li għalih qed jiġi kkalkulat it-tensjoni tal-istress. Dan il-formalizmu jinkludi termini ta 'pressjoni assoċjati ma' forzi li jaġixxu normali għaż-żona ta 'sezzjoni trasversali (id-djagonali tal-matriċi tat-tensjoni) kif ukoll termini ta' shear assoċjati ma 'forzi li jaġixxu paralleli maż-żona ta' sezzjoni trasversali (l-elementi barra d-djagonali). It-tensjoni tal-istress tirrappreżenta forzi li jikkawżaw ir-razez kollha (deformazzjonijiet) inklużi wkoll tensjonijiet u kompressjonijiet tat-tensjoni.: 133–134:38-1–38-11</v>
      </c>
    </row>
    <row r="15104" ht="15.75" customHeight="1">
      <c r="A15104" s="2" t="s">
        <v>15104</v>
      </c>
      <c r="B15104" s="2" t="str">
        <f>IFERROR(__xludf.DUMMYFUNCTION("GOOGLETRANSLATE(A15104, ""en"", ""mt"")"),"ħafna")</f>
        <v>ħafna</v>
      </c>
    </row>
    <row r="15105" ht="15.75" customHeight="1">
      <c r="A15105" s="2" t="s">
        <v>15105</v>
      </c>
      <c r="B15105" s="2" t="str">
        <f>IFERROR(__xludf.DUMMYFUNCTION("GOOGLETRANSLATE(A15105, ""en"", ""mt"")"),"Protesti lejn il-politika pubblika")</f>
        <v>Protesti lejn il-politika pubblika</v>
      </c>
    </row>
    <row r="15106" ht="15.75" customHeight="1">
      <c r="A15106" s="2" t="s">
        <v>15106</v>
      </c>
      <c r="B15106" s="2" t="str">
        <f>IFERROR(__xludf.DUMMYFUNCTION("GOOGLETRANSLATE(A15106, ""en"", ""mt"")"),"unions")</f>
        <v>unions</v>
      </c>
    </row>
    <row r="15107" ht="15.75" customHeight="1">
      <c r="A15107" s="2" t="s">
        <v>15107</v>
      </c>
      <c r="B15107" s="2" t="str">
        <f>IFERROR(__xludf.DUMMYFUNCTION("GOOGLETRANSLATE(A15107, ""en"", ""mt"")"),"X'inhuma Chares?")</f>
        <v>X'inhuma Chares?</v>
      </c>
    </row>
    <row r="15108" ht="15.75" customHeight="1">
      <c r="A15108" s="2" t="s">
        <v>15108</v>
      </c>
      <c r="B15108" s="2" t="str">
        <f>IFERROR(__xludf.DUMMYFUNCTION("GOOGLETRANSLATE(A15108, ""en"", ""mt"")"),"Is-Saturn IB kienet verżjoni aġġornata tas-Saturn I. L-ewwel stadju S-IB żied l-ispinta għal 1,600,000 lira-forza (7,120 kN), u t-tieni stadju ħa post l-S-IV bl-S-IVB-200, imħaddem minn Magna waħda J-2 li tinħaraq fjuwil ta 'idroġenu likwidu b'LOX, biex t"&amp;"ipproduċi 200,000 lbf (890 kN) ta' l-ispinta. Verżjoni li tista 'tinbeda mill-ġdid tas-S-IVB intużat bħala t-tielet stadju tas-Saturn V. Is-Saturn IB jista' jibgħat aktar minn 40,000 lira (18,100 kg) f'orbita baxxa tad-Dinja, suffiċjenti għal CSM parzjalm"&amp;"ent alimentat jew LM. Il-vetturi u t-titjiriet tat-tnedija ta 'Saturn IB ġew innominati b'numru tas-serje AS-200, ""bħala"" li jindika ""Apollo Saturn"" u t- ""2"" li jindikaw it-tieni membru tal-familja tar-rokits Saturn.")</f>
        <v>Is-Saturn IB kienet verżjoni aġġornata tas-Saturn I. L-ewwel stadju S-IB żied l-ispinta għal 1,600,000 lira-forza (7,120 kN), u t-tieni stadju ħa post l-S-IV bl-S-IVB-200, imħaddem minn Magna waħda J-2 li tinħaraq fjuwil ta 'idroġenu likwidu b'LOX, biex tipproduċi 200,000 lbf (890 kN) ta' l-ispinta. Verżjoni li tista 'tinbeda mill-ġdid tas-S-IVB intużat bħala t-tielet stadju tas-Saturn V. Is-Saturn IB jista' jibgħat aktar minn 40,000 lira (18,100 kg) f'orbita baxxa tad-Dinja, suffiċjenti għal CSM parzjalment alimentat jew LM. Il-vetturi u t-titjiriet tat-tnedija ta 'Saturn IB ġew innominati b'numru tas-serje AS-200, "bħala" li jindika "Apollo Saturn" u t- "2" li jindikaw it-tieni membru tal-familja tar-rokits Saturn.</v>
      </c>
    </row>
    <row r="15109" ht="15.75" customHeight="1">
      <c r="A15109" s="2" t="s">
        <v>15109</v>
      </c>
      <c r="B15109" s="2" t="str">
        <f>IFERROR(__xludf.DUMMYFUNCTION("GOOGLETRANSLATE(A15109, ""en"", ""mt"")"),"Sevenfold")</f>
        <v>Sevenfold</v>
      </c>
    </row>
    <row r="15110" ht="15.75" customHeight="1">
      <c r="A15110" s="2" t="s">
        <v>15110</v>
      </c>
      <c r="B15110" s="2" t="str">
        <f>IFERROR(__xludf.DUMMYFUNCTION("GOOGLETRANSLATE(A15110, ""en"", ""mt"")"),"il-Lhud")</f>
        <v>il-Lhud</v>
      </c>
    </row>
    <row r="15111" ht="15.75" customHeight="1">
      <c r="A15111" s="2" t="s">
        <v>15111</v>
      </c>
      <c r="B15111" s="2" t="str">
        <f>IFERROR(__xludf.DUMMYFUNCTION("GOOGLETRANSLATE(A15111, ""en"", ""mt"")"),"Sema attiva")</f>
        <v>Sema attiva</v>
      </c>
    </row>
    <row r="15112" ht="15.75" customHeight="1">
      <c r="A15112" s="2" t="s">
        <v>15112</v>
      </c>
      <c r="B15112" s="2" t="str">
        <f>IFERROR(__xludf.DUMMYFUNCTION("GOOGLETRANSLATE(A15112, ""en"", ""mt"")"),"£ 21,000")</f>
        <v>£ 21,000</v>
      </c>
    </row>
    <row r="15113" ht="15.75" customHeight="1">
      <c r="A15113" s="2" t="s">
        <v>15113</v>
      </c>
      <c r="B15113" s="2" t="str">
        <f>IFERROR(__xludf.DUMMYFUNCTION("GOOGLETRANSLATE(A15113, ""en"", ""mt"")"),"bis-sinjal jidher fuq skrin fluworexxenti")</f>
        <v>bis-sinjal jidher fuq skrin fluworexxenti</v>
      </c>
    </row>
    <row r="15114" ht="15.75" customHeight="1">
      <c r="A15114" s="2" t="s">
        <v>15114</v>
      </c>
      <c r="B15114" s="2" t="str">
        <f>IFERROR(__xludf.DUMMYFUNCTION("GOOGLETRANSLATE(A15114, ""en"", ""mt"")"),"Min kienu missirijiethom Chu'tsai?")</f>
        <v>Min kienu missirijiethom Chu'tsai?</v>
      </c>
    </row>
    <row r="15115" ht="15.75" customHeight="1">
      <c r="A15115" s="2" t="s">
        <v>15115</v>
      </c>
      <c r="B15115" s="2" t="str">
        <f>IFERROR(__xludf.DUMMYFUNCTION("GOOGLETRANSLATE(A15115, ""en"", ""mt"")"),"F'kemm pajjiżi Tesla żammew il-privattivi?")</f>
        <v>F'kemm pajjiżi Tesla żammew il-privattivi?</v>
      </c>
    </row>
    <row r="15116" ht="15.75" customHeight="1">
      <c r="A15116" s="2" t="s">
        <v>15116</v>
      </c>
      <c r="B15116" s="2" t="str">
        <f>IFERROR(__xludf.DUMMYFUNCTION("GOOGLETRANSLATE(A15116, ""en"", ""mt"")"),"F'liema data ġie likwifikat l-ossiġnu f'forma stabbli?")</f>
        <v>F'liema data ġie likwifikat l-ossiġnu f'forma stabbli?</v>
      </c>
    </row>
    <row r="15117" ht="15.75" customHeight="1">
      <c r="A15117" s="2" t="s">
        <v>15117</v>
      </c>
      <c r="B15117" s="2" t="str">
        <f>IFERROR(__xludf.DUMMYFUNCTION("GOOGLETRANSLATE(A15117, ""en"", ""mt"")"),"L-istess forza tal-gravità jekk l-aċċellerazzjoni minħabba l-gravità naqset bħala liġi kwadra inversa.")</f>
        <v>L-istess forza tal-gravità jekk l-aċċellerazzjoni minħabba l-gravità naqset bħala liġi kwadra inversa.</v>
      </c>
    </row>
    <row r="15118" ht="15.75" customHeight="1">
      <c r="A15118" s="2" t="s">
        <v>15118</v>
      </c>
      <c r="B15118" s="2" t="str">
        <f>IFERROR(__xludf.DUMMYFUNCTION("GOOGLETRANSLATE(A15118, ""en"", ""mt"")"),"Gold Rushes")</f>
        <v>Gold Rushes</v>
      </c>
    </row>
    <row r="15119" ht="15.75" customHeight="1">
      <c r="A15119" s="2" t="s">
        <v>15119</v>
      </c>
      <c r="B15119" s="2" t="str">
        <f>IFERROR(__xludf.DUMMYFUNCTION("GOOGLETRANSLATE(A15119, ""en"", ""mt"")"),"F’liema sena Joseph Priestley irrikonoxxa l-ossiġnu?")</f>
        <v>F’liema sena Joseph Priestley irrikonoxxa l-ossiġnu?</v>
      </c>
    </row>
    <row r="15120" ht="15.75" customHeight="1">
      <c r="A15120" s="2" t="s">
        <v>15120</v>
      </c>
      <c r="B15120" s="2" t="str">
        <f>IFERROR(__xludf.DUMMYFUNCTION("GOOGLETRANSLATE(A15120, ""en"", ""mt"")"),"Naħal reġina")</f>
        <v>Naħal reġina</v>
      </c>
    </row>
    <row r="15121" ht="15.75" customHeight="1">
      <c r="A15121" s="2" t="s">
        <v>15121</v>
      </c>
      <c r="B15121" s="2" t="str">
        <f>IFERROR(__xludf.DUMMYFUNCTION("GOOGLETRANSLATE(A15121, ""en"", ""mt"")"),"X'kien l-isem Ċiniż tal-kalendarju ta 'Gou?")</f>
        <v>X'kien l-isem Ċiniż tal-kalendarju ta 'Gou?</v>
      </c>
    </row>
    <row r="15122" ht="15.75" customHeight="1">
      <c r="A15122" s="2" t="s">
        <v>15122</v>
      </c>
      <c r="B15122" s="2" t="str">
        <f>IFERROR(__xludf.DUMMYFUNCTION("GOOGLETRANSLATE(A15122, ""en"", ""mt"")"),"Min kien l-NFL MVP ta 'dan l-istaġun?")</f>
        <v>Min kien l-NFL MVP ta 'dan l-istaġun?</v>
      </c>
    </row>
    <row r="15123" ht="15.75" customHeight="1">
      <c r="A15123" s="2" t="s">
        <v>15123</v>
      </c>
      <c r="B15123" s="2" t="str">
        <f>IFERROR(__xludf.DUMMYFUNCTION("GOOGLETRANSLATE(A15123, ""en"", ""mt"")"),"Truppi Franċiżi waqqfu r-rewwixti tal-camisard bejn liema snin?")</f>
        <v>Truppi Franċiżi waqqfu r-rewwixti tal-camisard bejn liema snin?</v>
      </c>
    </row>
    <row r="15124" ht="15.75" customHeight="1">
      <c r="A15124" s="2" t="s">
        <v>15124</v>
      </c>
      <c r="B15124" s="2" t="str">
        <f>IFERROR(__xludf.DUMMYFUNCTION("GOOGLETRANSLATE(A15124, ""en"", ""mt"")"),"F'liema sena fetħet il-gallerija tal-arti Indjana?")</f>
        <v>F'liema sena fetħet il-gallerija tal-arti Indjana?</v>
      </c>
    </row>
    <row r="15125" ht="15.75" customHeight="1">
      <c r="A15125" s="2" t="s">
        <v>15125</v>
      </c>
      <c r="B15125" s="2" t="str">
        <f>IFERROR(__xludf.DUMMYFUNCTION("GOOGLETRANSLATE(A15125, ""en"", ""mt"")"),"Moviment tad-Drittijiet Ċivili Amerikani")</f>
        <v>Moviment tad-Drittijiet Ċivili Amerikani</v>
      </c>
    </row>
    <row r="15126" ht="15.75" customHeight="1">
      <c r="A15126" s="2" t="s">
        <v>15126</v>
      </c>
      <c r="B15126" s="2" t="str">
        <f>IFERROR(__xludf.DUMMYFUNCTION("GOOGLETRANSLATE(A15126, ""en"", ""mt"")"),"Robert Zimmer")</f>
        <v>Robert Zimmer</v>
      </c>
    </row>
    <row r="15127" ht="15.75" customHeight="1">
      <c r="A15127" s="2" t="s">
        <v>15127</v>
      </c>
      <c r="B15127" s="2" t="str">
        <f>IFERROR(__xludf.DUMMYFUNCTION("GOOGLETRANSLATE(A15127, ""en"", ""mt"")"),"Teorija tar-Relatività Ġenerali (GR)")</f>
        <v>Teorija tar-Relatività Ġenerali (GR)</v>
      </c>
    </row>
    <row r="15128" ht="15.75" customHeight="1">
      <c r="A15128" s="2" t="s">
        <v>15128</v>
      </c>
      <c r="B15128" s="2" t="str">
        <f>IFERROR(__xludf.DUMMYFUNCTION("GOOGLETRANSLATE(A15128, ""en"", ""mt"")"),"Impatti tal-mikrometeoriti.")</f>
        <v>Impatti tal-mikrometeoriti.</v>
      </c>
    </row>
    <row r="15129" ht="15.75" customHeight="1">
      <c r="A15129" s="2" t="s">
        <v>15129</v>
      </c>
      <c r="B15129" s="2" t="str">
        <f>IFERROR(__xludf.DUMMYFUNCTION("GOOGLETRANSLATE(A15129, ""en"", ""mt"")"),"Ġeokronologi")</f>
        <v>Ġeokronologi</v>
      </c>
    </row>
    <row r="15130" ht="15.75" customHeight="1">
      <c r="A15130" s="2" t="s">
        <v>15130</v>
      </c>
      <c r="B15130" s="2" t="str">
        <f>IFERROR(__xludf.DUMMYFUNCTION("GOOGLETRANSLATE(A15130, ""en"", ""mt"")"),"ħaddiema medji")</f>
        <v>ħaddiema medji</v>
      </c>
    </row>
    <row r="15131" ht="15.75" customHeight="1">
      <c r="A15131" s="2" t="s">
        <v>15131</v>
      </c>
      <c r="B15131" s="2" t="str">
        <f>IFERROR(__xludf.DUMMYFUNCTION("GOOGLETRANSLATE(A15131, ""en"", ""mt"")"),"It-Torri Mitchell huwa ddisinjat biex jidher bħal dak it-Torri ta 'Oxford?")</f>
        <v>It-Torri Mitchell huwa ddisinjat biex jidher bħal dak it-Torri ta 'Oxford?</v>
      </c>
    </row>
    <row r="15132" ht="15.75" customHeight="1">
      <c r="A15132" s="2" t="s">
        <v>15132</v>
      </c>
      <c r="B15132" s="2" t="str">
        <f>IFERROR(__xludf.DUMMYFUNCTION("GOOGLETRANSLATE(A15132, ""en"", ""mt"")"),"It-tieni Gleichschaltung")</f>
        <v>It-tieni Gleichschaltung</v>
      </c>
    </row>
    <row r="15133" ht="15.75" customHeight="1">
      <c r="A15133" s="2" t="s">
        <v>15133</v>
      </c>
      <c r="B15133" s="2" t="str">
        <f>IFERROR(__xludf.DUMMYFUNCTION("GOOGLETRANSLATE(A15133, ""en"", ""mt"")"),"Iċ-Ċirmish tal-Knisja tal-Brick")</f>
        <v>Iċ-Ċirmish tal-Knisja tal-Brick</v>
      </c>
    </row>
    <row r="15134" ht="15.75" customHeight="1">
      <c r="A15134" s="2" t="s">
        <v>15134</v>
      </c>
      <c r="B15134" s="2" t="str">
        <f>IFERROR(__xludf.DUMMYFUNCTION("GOOGLETRANSLATE(A15134, ""en"", ""mt"")"),"ċilindri u tagħmir tal-valv")</f>
        <v>ċilindri u tagħmir tal-valv</v>
      </c>
    </row>
    <row r="15135" ht="15.75" customHeight="1">
      <c r="A15135" s="2" t="s">
        <v>15135</v>
      </c>
      <c r="B15135" s="2" t="str">
        <f>IFERROR(__xludf.DUMMYFUNCTION("GOOGLETRANSLATE(A15135, ""en"", ""mt"")"),"X'inhu l-isem ta 'tip ieħor ta' prim hawn P + 1 jew P-1 jieħu ċerta forma?")</f>
        <v>X'inhu l-isem ta 'tip ieħor ta' prim hawn P + 1 jew P-1 jieħu ċerta forma?</v>
      </c>
    </row>
    <row r="15136" ht="15.75" customHeight="1">
      <c r="A15136" s="2" t="s">
        <v>15136</v>
      </c>
      <c r="B15136" s="2" t="str">
        <f>IFERROR(__xludf.DUMMYFUNCTION("GOOGLETRANSLATE(A15136, ""en"", ""mt"")"),"X'irrappreżentat Lempicka aħjar minn ħaddieħor?")</f>
        <v>X'irrappreżentat Lempicka aħjar minn ħaddieħor?</v>
      </c>
    </row>
    <row r="15137" ht="15.75" customHeight="1">
      <c r="A15137" s="2" t="s">
        <v>15137</v>
      </c>
      <c r="B15137" s="2" t="str">
        <f>IFERROR(__xludf.DUMMYFUNCTION("GOOGLETRANSLATE(A15137, ""en"", ""mt"")"),"Fl-1990, x'kien l-itwal programm ta 'divertiment primetime fl-istorja ta' ABC?")</f>
        <v>Fl-1990, x'kien l-itwal programm ta 'divertiment primetime fl-istorja ta' ABC?</v>
      </c>
    </row>
    <row r="15138" ht="15.75" customHeight="1">
      <c r="A15138" s="2" t="s">
        <v>15138</v>
      </c>
      <c r="B15138" s="2" t="str">
        <f>IFERROR(__xludf.DUMMYFUNCTION("GOOGLETRANSLATE(A15138, ""en"", ""mt"")"),"Għaliex Temüjin qatel dawk tas-segwaċi ta 'Jamukha li kienu ingannaw lill-mexxej tagħhom?")</f>
        <v>Għaliex Temüjin qatel dawk tas-segwaċi ta 'Jamukha li kienu ingannaw lill-mexxej tagħhom?</v>
      </c>
    </row>
    <row r="15139" ht="15.75" customHeight="1">
      <c r="A15139" s="2" t="s">
        <v>15139</v>
      </c>
      <c r="B15139" s="2" t="str">
        <f>IFERROR(__xludf.DUMMYFUNCTION("GOOGLETRANSLATE(A15139, ""en"", ""mt"")"),"konkret")</f>
        <v>konkret</v>
      </c>
    </row>
    <row r="15140" ht="15.75" customHeight="1">
      <c r="A15140" s="2" t="s">
        <v>15140</v>
      </c>
      <c r="B15140" s="2" t="str">
        <f>IFERROR(__xludf.DUMMYFUNCTION("GOOGLETRANSLATE(A15140, ""en"", ""mt"")"),"L-4 ċentri ta 'bejgħ u servizzi huma meqjusa bħala")</f>
        <v>L-4 ċentri ta 'bejgħ u servizzi huma meqjusa bħala</v>
      </c>
    </row>
    <row r="15141" ht="15.75" customHeight="1">
      <c r="A15141" s="2" t="s">
        <v>15141</v>
      </c>
      <c r="B15141" s="2" t="str">
        <f>IFERROR(__xludf.DUMMYFUNCTION("GOOGLETRANSLATE(A15141, ""en"", ""mt"")"),"xmara")</f>
        <v>xmara</v>
      </c>
    </row>
    <row r="15142" ht="15.75" customHeight="1">
      <c r="A15142" s="2" t="s">
        <v>15142</v>
      </c>
      <c r="B15142" s="2" t="str">
        <f>IFERROR(__xludf.DUMMYFUNCTION("GOOGLETRANSLATE(A15142, ""en"", ""mt"")"),"Kif jidhru ż-żgħażagħ Ctenophores ġenerali?")</f>
        <v>Kif jidhru ż-żgħażagħ Ctenophores ġenerali?</v>
      </c>
    </row>
    <row r="15143" ht="15.75" customHeight="1">
      <c r="A15143" s="2" t="s">
        <v>15143</v>
      </c>
      <c r="B15143" s="2" t="str">
        <f>IFERROR(__xludf.DUMMYFUNCTION("GOOGLETRANSLATE(A15143, ""en"", ""mt"")"),"Vjaġġ tad-Damned")</f>
        <v>Vjaġġ tad-Damned</v>
      </c>
    </row>
    <row r="15144" ht="15.75" customHeight="1">
      <c r="A15144" s="2" t="s">
        <v>15144</v>
      </c>
      <c r="B15144" s="2" t="str">
        <f>IFERROR(__xludf.DUMMYFUNCTION("GOOGLETRANSLATE(A15144, ""en"", ""mt"")"),"1527")</f>
        <v>1527</v>
      </c>
    </row>
    <row r="15145" ht="15.75" customHeight="1">
      <c r="A15145" s="2" t="s">
        <v>15145</v>
      </c>
      <c r="B15145" s="2" t="str">
        <f>IFERROR(__xludf.DUMMYFUNCTION("GOOGLETRANSLATE(A15145, ""en"", ""mt"")"),"Yuri Gagarin")</f>
        <v>Yuri Gagarin</v>
      </c>
    </row>
    <row r="15146" ht="15.75" customHeight="1">
      <c r="A15146" s="2" t="s">
        <v>15146</v>
      </c>
      <c r="B15146" s="2" t="str">
        <f>IFERROR(__xludf.DUMMYFUNCTION("GOOGLETRANSLATE(A15146, ""en"", ""mt"")"),"Infrastruttura mtejba ta 'transitu, shuttles possibbli miftuħa għall-pubbliku, u spazju għall-park li se jkun aċċessibbli wkoll għall-pubbliku")</f>
        <v>Infrastruttura mtejba ta 'transitu, shuttles possibbli miftuħa għall-pubbliku, u spazju għall-park li se jkun aċċessibbli wkoll għall-pubbliku</v>
      </c>
    </row>
    <row r="15147" ht="15.75" customHeight="1">
      <c r="A15147" s="2" t="s">
        <v>15147</v>
      </c>
      <c r="B15147" s="2" t="str">
        <f>IFERROR(__xludf.DUMMYFUNCTION("GOOGLETRANSLATE(A15147, ""en"", ""mt"")"),"Id-diversi gruppi etniċi tal-Kenja tipikament jitkellmu bil-lingwa materna tagħhom fil-komunitajiet tagħhom stess")</f>
        <v>Id-diversi gruppi etniċi tal-Kenja tipikament jitkellmu bil-lingwa materna tagħhom fil-komunitajiet tagħhom stess</v>
      </c>
    </row>
    <row r="15148" ht="15.75" customHeight="1">
      <c r="A15148" s="2" t="s">
        <v>15148</v>
      </c>
      <c r="B15148" s="2" t="str">
        <f>IFERROR(__xludf.DUMMYFUNCTION("GOOGLETRANSLATE(A15148, ""en"", ""mt"")"),"Biex tespandi kontinwament l-investiment, ir-riżorsi materjali u l-ħaddiema")</f>
        <v>Biex tespandi kontinwament l-investiment, ir-riżorsi materjali u l-ħaddiema</v>
      </c>
    </row>
    <row r="15149" ht="15.75" customHeight="1">
      <c r="A15149" s="2" t="s">
        <v>15149</v>
      </c>
      <c r="B15149" s="2" t="str">
        <f>IFERROR(__xludf.DUMMYFUNCTION("GOOGLETRANSLATE(A15149, ""en"", ""mt"")"),"Liema sena akkwista BSKYB Sky Italia?")</f>
        <v>Liema sena akkwista BSKYB Sky Italia?</v>
      </c>
    </row>
    <row r="15150" ht="15.75" customHeight="1">
      <c r="A15150" s="2" t="s">
        <v>15150</v>
      </c>
      <c r="B15150" s="2" t="str">
        <f>IFERROR(__xludf.DUMMYFUNCTION("GOOGLETRANSLATE(A15150, ""en"", ""mt"")"),"X'kien tip ta 'varjetà popolari ta' wirja matul il-wan?")</f>
        <v>X'kien tip ta 'varjetà popolari ta' wirja matul il-wan?</v>
      </c>
    </row>
    <row r="15151" ht="15.75" customHeight="1">
      <c r="A15151" s="2" t="s">
        <v>15151</v>
      </c>
      <c r="B15151" s="2" t="str">
        <f>IFERROR(__xludf.DUMMYFUNCTION("GOOGLETRANSLATE(A15151, ""en"", ""mt"")"),"Il-kunflitt Iżrael-Liban tal-2006")</f>
        <v>Il-kunflitt Iżrael-Liban tal-2006</v>
      </c>
    </row>
    <row r="15152" ht="15.75" customHeight="1">
      <c r="A15152" s="2" t="s">
        <v>15152</v>
      </c>
      <c r="B15152" s="2" t="str">
        <f>IFERROR(__xludf.DUMMYFUNCTION("GOOGLETRANSLATE(A15152, ""en"", ""mt"")"),"In-Nofsinhar ta ’California hija d-dar għall-Ajruport Internazzjonali ta’ Los Angeles, it-tieni ajruport l-aktar busine fl-Istati Uniti mill-volum tal-passiġġieri (ara l-ajruporti l-aktar traffikużi tad-dinja mit-traffiku tal-passiġġieri) u t-tielet mill-"&amp;"volum internazzjonali tal-passiġġieri (ara l-ajruporti l-aktar traffikużi fl-Istati Uniti bit-traffiku internazzjonali tal-passiġġieri ); L-Ajruport Internazzjonali ta 'San Diego L-Ajruport ta' Runway Uniku l-aktar bieżel fid-dinja; L-Ajruport ta 'Van Nuy"&amp;"s, l-Ajruport ta' l-Avjazzjoni Ġenerali l-aktar traffikuż fid-dinja; Ajruporti kummerċjali ewlenin fil-Kontea ta 'Orange, Bakersfield, Ontario, Burbank u Long Beach; u bosta ajruporti ta 'l-avjazzjoni kummerċjali u ġenerali iżgħar.")</f>
        <v>In-Nofsinhar ta ’California hija d-dar għall-Ajruport Internazzjonali ta’ Los Angeles, it-tieni ajruport l-aktar busine fl-Istati Uniti mill-volum tal-passiġġieri (ara l-ajruporti l-aktar traffikużi tad-dinja mit-traffiku tal-passiġġieri) u t-tielet mill-volum internazzjonali tal-passiġġieri (ara l-ajruporti l-aktar traffikużi fl-Istati Uniti bit-traffiku internazzjonali tal-passiġġieri ); L-Ajruport Internazzjonali ta 'San Diego L-Ajruport ta' Runway Uniku l-aktar bieżel fid-dinja; L-Ajruport ta 'Van Nuys, l-Ajruport ta' l-Avjazzjoni Ġenerali l-aktar traffikuż fid-dinja; Ajruporti kummerċjali ewlenin fil-Kontea ta 'Orange, Bakersfield, Ontario, Burbank u Long Beach; u bosta ajruporti ta 'l-avjazzjoni kummerċjali u ġenerali iżgħar.</v>
      </c>
    </row>
    <row r="15153" ht="15.75" customHeight="1">
      <c r="A15153" s="2" t="s">
        <v>15153</v>
      </c>
      <c r="B15153" s="2" t="str">
        <f>IFERROR(__xludf.DUMMYFUNCTION("GOOGLETRANSLATE(A15153, ""en"", ""mt"")"),"X'inhi t-traduzzjoni ta 'Siebengebirge?")</f>
        <v>X'inhi t-traduzzjoni ta 'Siebengebirge?</v>
      </c>
    </row>
    <row r="15154" ht="15.75" customHeight="1">
      <c r="A15154" s="2" t="s">
        <v>15154</v>
      </c>
      <c r="B15154" s="2" t="str">
        <f>IFERROR(__xludf.DUMMYFUNCTION("GOOGLETRANSLATE(A15154, ""en"", ""mt"")"),"Kif tinżamm propjetà mhux reġistrata f'forma informali?")</f>
        <v>Kif tinżamm propjetà mhux reġistrata f'forma informali?</v>
      </c>
    </row>
    <row r="15155" ht="15.75" customHeight="1">
      <c r="A15155" s="2" t="s">
        <v>15155</v>
      </c>
      <c r="B15155" s="2" t="str">
        <f>IFERROR(__xludf.DUMMYFUNCTION("GOOGLETRANSLATE(A15155, ""en"", ""mt"")"),"Biex tenfasizza l-akkademiċi fuq l-atletika")</f>
        <v>Biex tenfasizza l-akkademiċi fuq l-atletika</v>
      </c>
    </row>
    <row r="15156" ht="15.75" customHeight="1">
      <c r="A15156" s="2" t="s">
        <v>15156</v>
      </c>
      <c r="B15156" s="2" t="str">
        <f>IFERROR(__xludf.DUMMYFUNCTION("GOOGLETRANSLATE(A15156, ""en"", ""mt"")"),"Perjodu tan-nofs ta 'l-antikità klassika")</f>
        <v>Perjodu tan-nofs ta 'l-antikità klassika</v>
      </c>
    </row>
    <row r="15157" ht="15.75" customHeight="1">
      <c r="A15157" s="2" t="s">
        <v>15157</v>
      </c>
      <c r="B15157" s="2" t="str">
        <f>IFERROR(__xludf.DUMMYFUNCTION("GOOGLETRANSLATE(A15157, ""en"", ""mt"")"),"2,400")</f>
        <v>2,400</v>
      </c>
    </row>
    <row r="15158" ht="15.75" customHeight="1">
      <c r="A15158" s="2" t="s">
        <v>15158</v>
      </c>
      <c r="B15158" s="2" t="str">
        <f>IFERROR(__xludf.DUMMYFUNCTION("GOOGLETRANSLATE(A15158, ""en"", ""mt"")"),"Jekk l-UE ma tikkonformax mad-drittijiet u l-prinċipji kostituzzjonali bażiċi tagħha")</f>
        <v>Jekk l-UE ma tikkonformax mad-drittijiet u l-prinċipji kostituzzjonali bażiċi tagħha</v>
      </c>
    </row>
    <row r="15159" ht="15.75" customHeight="1">
      <c r="A15159" s="2" t="s">
        <v>15159</v>
      </c>
      <c r="B15159" s="2" t="str">
        <f>IFERROR(__xludf.DUMMYFUNCTION("GOOGLETRANSLATE(A15159, ""en"", ""mt"")"),"ramifikazzjoni")</f>
        <v>ramifikazzjoni</v>
      </c>
    </row>
    <row r="15160" ht="15.75" customHeight="1">
      <c r="A15160" s="2" t="s">
        <v>15160</v>
      </c>
      <c r="B15160" s="2" t="str">
        <f>IFERROR(__xludf.DUMMYFUNCTION("GOOGLETRANSLATE(A15160, ""en"", ""mt"")"),"X'inhu kultant impossibbli li timmudella?")</f>
        <v>X'inhu kultant impossibbli li timmudella?</v>
      </c>
    </row>
    <row r="15161" ht="15.75" customHeight="1">
      <c r="A15161" s="2" t="s">
        <v>15161</v>
      </c>
      <c r="B15161" s="2" t="str">
        <f>IFERROR(__xludf.DUMMYFUNCTION("GOOGLETRANSLATE(A15161, ""en"", ""mt"")"),"NASCAR")</f>
        <v>NASCAR</v>
      </c>
    </row>
    <row r="15162" ht="15.75" customHeight="1">
      <c r="A15162" s="2" t="s">
        <v>15162</v>
      </c>
      <c r="B15162" s="2" t="str">
        <f>IFERROR(__xludf.DUMMYFUNCTION("GOOGLETRANSLATE(A15162, ""en"", ""mt"")"),"QuickBooks.")</f>
        <v>QuickBooks.</v>
      </c>
    </row>
    <row r="15163" ht="15.75" customHeight="1">
      <c r="A15163" s="2" t="s">
        <v>15163</v>
      </c>
      <c r="B15163" s="2" t="str">
        <f>IFERROR(__xludf.DUMMYFUNCTION("GOOGLETRANSLATE(A15163, ""en"", ""mt"")"),"Garb tal-Kaċċatur")</f>
        <v>Garb tal-Kaċċatur</v>
      </c>
    </row>
    <row r="15164" ht="15.75" customHeight="1">
      <c r="A15164" s="2" t="s">
        <v>15164</v>
      </c>
      <c r="B15164" s="2" t="str">
        <f>IFERROR(__xludf.DUMMYFUNCTION("GOOGLETRANSLATE(A15164, ""en"", ""mt"")"),"Liema kap indiġenu vvjaġġa lejn il-forti Franċiż u hedded lil Marin?")</f>
        <v>Liema kap indiġenu vvjaġġa lejn il-forti Franċiż u hedded lil Marin?</v>
      </c>
    </row>
    <row r="15165" ht="15.75" customHeight="1">
      <c r="A15165" s="2" t="s">
        <v>15165</v>
      </c>
      <c r="B15165" s="2" t="str">
        <f>IFERROR(__xludf.DUMMYFUNCTION("GOOGLETRANSLATE(A15165, ""en"", ""mt"")"),"X'inhu l-iktar sport tat-tim ta 'suċċess fil-Kenja?")</f>
        <v>X'inhu l-iktar sport tat-tim ta 'suċċess fil-Kenja?</v>
      </c>
    </row>
    <row r="15166" ht="15.75" customHeight="1">
      <c r="A15166" s="2" t="s">
        <v>15166</v>
      </c>
      <c r="B15166" s="2" t="str">
        <f>IFERROR(__xludf.DUMMYFUNCTION("GOOGLETRANSLATE(A15166, ""en"", ""mt"")"),"kien preżenti x'imkien fl-Ewropa kull sena bejn l-1346 u l-1671")</f>
        <v>kien preżenti x'imkien fl-Ewropa kull sena bejn l-1346 u l-1671</v>
      </c>
    </row>
    <row r="15167" ht="15.75" customHeight="1">
      <c r="A15167" s="2" t="s">
        <v>15167</v>
      </c>
      <c r="B15167" s="2" t="str">
        <f>IFERROR(__xludf.DUMMYFUNCTION("GOOGLETRANSLATE(A15167, ""en"", ""mt"")"),"bidla estrema")</f>
        <v>bidla estrema</v>
      </c>
    </row>
    <row r="15168" ht="15.75" customHeight="1">
      <c r="A15168" s="2" t="s">
        <v>15168</v>
      </c>
      <c r="B15168" s="2" t="str">
        <f>IFERROR(__xludf.DUMMYFUNCTION("GOOGLETRANSLATE(A15168, ""en"", ""mt"")"),"Il-ministri jippermettu li jorganizzaw tiġijiet tal-istess sess")</f>
        <v>Il-ministri jippermettu li jorganizzaw tiġijiet tal-istess sess</v>
      </c>
    </row>
    <row r="15169" ht="15.75" customHeight="1">
      <c r="A15169" s="2" t="s">
        <v>15169</v>
      </c>
      <c r="B15169" s="2" t="str">
        <f>IFERROR(__xludf.DUMMYFUNCTION("GOOGLETRANSLATE(A15169, ""en"", ""mt"")"),"monomeri tal-glukożju fil-kloroplast")</f>
        <v>monomeri tal-glukożju fil-kloroplast</v>
      </c>
    </row>
    <row r="15170" ht="15.75" customHeight="1">
      <c r="A15170" s="2" t="s">
        <v>15170</v>
      </c>
      <c r="B15170" s="2" t="str">
        <f>IFERROR(__xludf.DUMMYFUNCTION("GOOGLETRANSLATE(A15170, ""en"", ""mt"")"),"X'inhi funzjoni oħra li l-primes għandhom dak in-numru 1 ma għandux?")</f>
        <v>X'inhi funzjoni oħra li l-primes għandhom dak in-numru 1 ma għandux?</v>
      </c>
    </row>
    <row r="15171" ht="15.75" customHeight="1">
      <c r="A15171" s="2" t="s">
        <v>15171</v>
      </c>
      <c r="B15171" s="2" t="str">
        <f>IFERROR(__xludf.DUMMYFUNCTION("GOOGLETRANSLATE(A15171, ""en"", ""mt"")"),"mhux reliġjuż")</f>
        <v>mhux reliġjuż</v>
      </c>
    </row>
    <row r="15172" ht="15.75" customHeight="1">
      <c r="A15172" s="2" t="s">
        <v>15172</v>
      </c>
      <c r="B15172" s="2" t="str">
        <f>IFERROR(__xludf.DUMMYFUNCTION("GOOGLETRANSLATE(A15172, ""en"", ""mt"")"),"X'tip ta 'territorji qed jinqerdu mill-Ecocide fl-Amażonja?")</f>
        <v>X'tip ta 'territorji qed jinqerdu mill-Ecocide fl-Amażonja?</v>
      </c>
    </row>
    <row r="15173" ht="15.75" customHeight="1">
      <c r="A15173" s="2" t="s">
        <v>15173</v>
      </c>
      <c r="B15173" s="2" t="str">
        <f>IFERROR(__xludf.DUMMYFUNCTION("GOOGLETRANSLATE(A15173, ""en"", ""mt"")"),"Kubiak")</f>
        <v>Kubiak</v>
      </c>
    </row>
    <row r="15174" ht="15.75" customHeight="1">
      <c r="A15174" s="2" t="s">
        <v>15174</v>
      </c>
      <c r="B15174" s="2" t="str">
        <f>IFERROR(__xludf.DUMMYFUNCTION("GOOGLETRANSLATE(A15174, ""en"", ""mt"")"),"Liema apparat jintuża biex jikkura diversi kundizzjonijiet bħall-avvelenament mill-monossidu tal-karbonju?")</f>
        <v>Liema apparat jintuża biex jikkura diversi kundizzjonijiet bħall-avvelenament mill-monossidu tal-karbonju?</v>
      </c>
    </row>
    <row r="15175" ht="15.75" customHeight="1">
      <c r="A15175" s="2" t="s">
        <v>15175</v>
      </c>
      <c r="B15175" s="2" t="str">
        <f>IFERROR(__xludf.DUMMYFUNCTION("GOOGLETRANSLATE(A15175, ""en"", ""mt"")"),"X'kien l-isem mogħti lil sezzjoni ta 'Kearney Boulevard fl-isforzi biex tbiddel l-immaġni taż-żoni?")</f>
        <v>X'kien l-isem mogħti lil sezzjoni ta 'Kearney Boulevard fl-isforzi biex tbiddel l-immaġni taż-żoni?</v>
      </c>
    </row>
    <row r="15176" ht="15.75" customHeight="1">
      <c r="A15176" s="2" t="s">
        <v>15176</v>
      </c>
      <c r="B15176" s="2" t="str">
        <f>IFERROR(__xludf.DUMMYFUNCTION("GOOGLETRANSLATE(A15176, ""en"", ""mt"")"),"X'inhu l-effett ta 'testosterone fuq is-sistema immuni maskili?")</f>
        <v>X'inhu l-effett ta 'testosterone fuq is-sistema immuni maskili?</v>
      </c>
    </row>
    <row r="15177" ht="15.75" customHeight="1">
      <c r="A15177" s="2" t="s">
        <v>15177</v>
      </c>
      <c r="B15177" s="2" t="str">
        <f>IFERROR(__xludf.DUMMYFUNCTION("GOOGLETRANSLATE(A15177, ""en"", ""mt"")"),"Kejl tad-domanda bijokimika tal-ilma tal-ilma")</f>
        <v>Kejl tad-domanda bijokimika tal-ilma tal-ilma</v>
      </c>
    </row>
    <row r="15178" ht="15.75" customHeight="1">
      <c r="A15178" s="2" t="s">
        <v>15178</v>
      </c>
      <c r="B15178" s="2" t="str">
        <f>IFERROR(__xludf.DUMMYFUNCTION("GOOGLETRANSLATE(A15178, ""en"", ""mt"")"),"Estensjoni tal-Ferrovija tal-Kosta tal-Lvant tal-Florida Aktar fin-Nofsinhar")</f>
        <v>Estensjoni tal-Ferrovija tal-Kosta tal-Lvant tal-Florida Aktar fin-Nofsinhar</v>
      </c>
    </row>
    <row r="15179" ht="15.75" customHeight="1">
      <c r="A15179" s="2" t="s">
        <v>15179</v>
      </c>
      <c r="B15179" s="2" t="str">
        <f>IFERROR(__xludf.DUMMYFUNCTION("GOOGLETRANSLATE(A15179, ""en"", ""mt"")"),"Pubblikazzjonijiet bil-lingwa Ġermaniża,")</f>
        <v>Pubblikazzjonijiet bil-lingwa Ġermaniża,</v>
      </c>
    </row>
    <row r="15180" ht="15.75" customHeight="1">
      <c r="A15180" s="2" t="s">
        <v>15180</v>
      </c>
      <c r="B15180" s="2" t="str">
        <f>IFERROR(__xludf.DUMMYFUNCTION("GOOGLETRANSLATE(A15180, ""en"", ""mt"")"),"Ma 'liema kulleġġ huwa assoċjat Jake Rosenfield?")</f>
        <v>Ma 'liema kulleġġ huwa assoċjat Jake Rosenfield?</v>
      </c>
    </row>
    <row r="15181" ht="15.75" customHeight="1">
      <c r="A15181" s="2" t="s">
        <v>15181</v>
      </c>
      <c r="B15181" s="2" t="str">
        <f>IFERROR(__xludf.DUMMYFUNCTION("GOOGLETRANSLATE(A15181, ""en"", ""mt"")"),"Uighurs ċedew b'mod paċifiku mingħajr ma jirreżistu b'mod vjolenti")</f>
        <v>Uighurs ċedew b'mod paċifiku mingħajr ma jirreżistu b'mod vjolenti</v>
      </c>
    </row>
    <row r="15182" ht="15.75" customHeight="1">
      <c r="A15182" s="2" t="s">
        <v>15182</v>
      </c>
      <c r="B15182" s="2" t="str">
        <f>IFERROR(__xludf.DUMMYFUNCTION("GOOGLETRANSLATE(A15182, ""en"", ""mt"")"),"X'jaqbel mal-Istati Membri kollha jieħdu preċedenza fuq il-liġi nazzjonali?")</f>
        <v>X'jaqbel mal-Istati Membri kollha jieħdu preċedenza fuq il-liġi nazzjonali?</v>
      </c>
    </row>
    <row r="15183" ht="15.75" customHeight="1">
      <c r="A15183" s="2" t="s">
        <v>15183</v>
      </c>
      <c r="B15183" s="2" t="str">
        <f>IFERROR(__xludf.DUMMYFUNCTION("GOOGLETRANSLATE(A15183, ""en"", ""mt"")"),"1,320 kilometru (820 mil)")</f>
        <v>1,320 kilometru (820 mil)</v>
      </c>
    </row>
    <row r="15184" ht="15.75" customHeight="1">
      <c r="A15184" s="2" t="s">
        <v>15184</v>
      </c>
      <c r="B15184" s="2" t="str">
        <f>IFERROR(__xludf.DUMMYFUNCTION("GOOGLETRANSLATE(A15184, ""en"", ""mt"")"),"Ir-ruhr")</f>
        <v>Ir-ruhr</v>
      </c>
    </row>
    <row r="15185" ht="15.75" customHeight="1">
      <c r="A15185" s="2" t="s">
        <v>15185</v>
      </c>
      <c r="B15185" s="2" t="str">
        <f>IFERROR(__xludf.DUMMYFUNCTION("GOOGLETRANSLATE(A15185, ""en"", ""mt"")"),"Semmi test li jista 'jintuża minn għalliem reliġjuż biex jgħallem.")</f>
        <v>Semmi test li jista 'jintuża minn għalliem reliġjuż biex jgħallem.</v>
      </c>
    </row>
    <row r="15186" ht="15.75" customHeight="1">
      <c r="A15186" s="2" t="s">
        <v>15186</v>
      </c>
      <c r="B15186" s="2" t="str">
        <f>IFERROR(__xludf.DUMMYFUNCTION("GOOGLETRANSLATE(A15186, ""en"", ""mt"")"),"Ir-reġjun ċentrali, li jikkonsisti f'Hebei preżenti, Shandong, Shanxi, il-parti tax-xlokk tal-Mongolja ta 'ġewwa preżenti u ż-żoni ta' Henan fit-tramuntana tax-Xmara Isfar, kienet ikkunsidrata bħala l-iktar reġjun importanti tad-dinastija u rregolat diret"&amp;"tament mis-Segretarjat Ċentrali (jew Zhongshu Sheng) f'Khanbaliq (Modern Beijing); Bl-istess mod, dipartiment amministrattiv ieħor tal-ogħla livell sejjaħ il-Bureau tal-Affarijiet Buddisti u tat-Tibet (jew Xuanzheng Yuan) kellu regola amministrattiva fuq "&amp;"it-Tibet tal-ġurnata moderna u parti minn Sichuan, Qinghai u l-Kashmir.")</f>
        <v>Ir-reġjun ċentrali, li jikkonsisti f'Hebei preżenti, Shandong, Shanxi, il-parti tax-xlokk tal-Mongolja ta 'ġewwa preżenti u ż-żoni ta' Henan fit-tramuntana tax-Xmara Isfar, kienet ikkunsidrata bħala l-iktar reġjun importanti tad-dinastija u rregolat direttament mis-Segretarjat Ċentrali (jew Zhongshu Sheng) f'Khanbaliq (Modern Beijing); Bl-istess mod, dipartiment amministrattiv ieħor tal-ogħla livell sejjaħ il-Bureau tal-Affarijiet Buddisti u tat-Tibet (jew Xuanzheng Yuan) kellu regola amministrattiva fuq it-Tibet tal-ġurnata moderna u parti minn Sichuan, Qinghai u l-Kashmir.</v>
      </c>
    </row>
    <row r="15187" ht="15.75" customHeight="1">
      <c r="A15187" s="2" t="s">
        <v>15187</v>
      </c>
      <c r="B15187" s="2" t="str">
        <f>IFERROR(__xludf.DUMMYFUNCTION("GOOGLETRANSLATE(A15187, ""en"", ""mt"")"),"Test tal-Primalità Fermat")</f>
        <v>Test tal-Primalità Fermat</v>
      </c>
    </row>
    <row r="15188" ht="15.75" customHeight="1">
      <c r="A15188" s="2" t="s">
        <v>15188</v>
      </c>
      <c r="B15188" s="2" t="str">
        <f>IFERROR(__xludf.DUMMYFUNCTION("GOOGLETRANSLATE(A15188, ""en"", ""mt"")"),"bniet")</f>
        <v>bniet</v>
      </c>
    </row>
    <row r="15189" ht="15.75" customHeight="1">
      <c r="A15189" s="2" t="s">
        <v>15189</v>
      </c>
      <c r="B15189" s="2" t="str">
        <f>IFERROR(__xludf.DUMMYFUNCTION("GOOGLETRANSLATE(A15189, ""en"", ""mt"")"),"Liema porzjon tal-aħħar dikjarazzjoni ta 'Luther kienet bil-Ġermaniż?")</f>
        <v>Liema porzjon tal-aħħar dikjarazzjoni ta 'Luther kienet bil-Ġermaniż?</v>
      </c>
    </row>
    <row r="15190" ht="15.75" customHeight="1">
      <c r="A15190" s="2" t="s">
        <v>15190</v>
      </c>
      <c r="B15190" s="2" t="str">
        <f>IFERROR(__xludf.DUMMYFUNCTION("GOOGLETRANSLATE(A15190, ""en"", ""mt"")"),"X'inhu d-dħul annwali tal-industrija tal-kostruzzjoni fl-2014?")</f>
        <v>X'inhu d-dħul annwali tal-industrija tal-kostruzzjoni fl-2014?</v>
      </c>
    </row>
    <row r="15191" ht="15.75" customHeight="1">
      <c r="A15191" s="2" t="s">
        <v>15191</v>
      </c>
      <c r="B15191" s="2" t="str">
        <f>IFERROR(__xludf.DUMMYFUNCTION("GOOGLETRANSLATE(A15191, ""en"", ""mt"")"),"Netwerk tat-Televiżjoni Dumont")</f>
        <v>Netwerk tat-Televiżjoni Dumont</v>
      </c>
    </row>
    <row r="15192" ht="15.75" customHeight="1">
      <c r="A15192" s="2" t="s">
        <v>15192</v>
      </c>
      <c r="B15192" s="2" t="str">
        <f>IFERROR(__xludf.DUMMYFUNCTION("GOOGLETRANSLATE(A15192, ""en"", ""mt"")"),"Ħin mhux deterministiku")</f>
        <v>Ħin mhux deterministiku</v>
      </c>
    </row>
    <row r="15193" ht="15.75" customHeight="1">
      <c r="A15193" s="2" t="s">
        <v>15193</v>
      </c>
      <c r="B15193" s="2" t="str">
        <f>IFERROR(__xludf.DUMMYFUNCTION("GOOGLETRANSLATE(A15193, ""en"", ""mt"")"),"Meta nħarġet din il-proklama?")</f>
        <v>Meta nħarġet din il-proklama?</v>
      </c>
    </row>
    <row r="15194" ht="15.75" customHeight="1">
      <c r="A15194" s="2" t="s">
        <v>15194</v>
      </c>
      <c r="B15194" s="2" t="str">
        <f>IFERROR(__xludf.DUMMYFUNCTION("GOOGLETRANSLATE(A15194, ""en"", ""mt"")"),"blat, alka, jew uċuħ tal-ġisem ta 'invertebrati oħra")</f>
        <v>blat, alka, jew uċuħ tal-ġisem ta 'invertebrati oħra</v>
      </c>
    </row>
    <row r="15195" ht="15.75" customHeight="1">
      <c r="A15195" s="2" t="s">
        <v>15195</v>
      </c>
      <c r="B15195" s="2" t="str">
        <f>IFERROR(__xludf.DUMMYFUNCTION("GOOGLETRANSLATE(A15195, ""en"", ""mt"")"),"il-kilogramma-forza (")</f>
        <v>il-kilogramma-forza (</v>
      </c>
    </row>
    <row r="15196" ht="15.75" customHeight="1">
      <c r="A15196" s="2" t="s">
        <v>15196</v>
      </c>
      <c r="B15196" s="2" t="str">
        <f>IFERROR(__xludf.DUMMYFUNCTION("GOOGLETRANSLATE(A15196, ""en"", ""mt"")"),"X'ġara għar-rata ta 'deforestazzjoni fir-reġjun tal-Amażonja tal-Brażil bejn l-2004 u l-2014?")</f>
        <v>X'ġara għar-rata ta 'deforestazzjoni fir-reġjun tal-Amażonja tal-Brażil bejn l-2004 u l-2014?</v>
      </c>
    </row>
    <row r="15197" ht="15.75" customHeight="1">
      <c r="A15197" s="2" t="s">
        <v>15197</v>
      </c>
      <c r="B15197" s="2" t="str">
        <f>IFERROR(__xludf.DUMMYFUNCTION("GOOGLETRANSLATE(A15197, ""en"", ""mt"")"),"F'liema sena Raymond Sullivan ippubblika studju ta 'settijiet rudimentarji?")</f>
        <v>F'liema sena Raymond Sullivan ippubblika studju ta 'settijiet rudimentarji?</v>
      </c>
    </row>
    <row r="15198" ht="15.75" customHeight="1">
      <c r="A15198" s="2" t="s">
        <v>15198</v>
      </c>
      <c r="B15198" s="2" t="str">
        <f>IFERROR(__xludf.DUMMYFUNCTION("GOOGLETRANSLATE(A15198, ""en"", ""mt"")"),"tlett ijiem.")</f>
        <v>tlett ijiem.</v>
      </c>
    </row>
    <row r="15199" ht="15.75" customHeight="1">
      <c r="A15199" s="2" t="s">
        <v>15199</v>
      </c>
      <c r="B15199" s="2" t="str">
        <f>IFERROR(__xludf.DUMMYFUNCTION("GOOGLETRANSLATE(A15199, ""en"", ""mt"")"),"Kif iddeskriva John Dobson bħala Newcastle?")</f>
        <v>Kif iddeskriva John Dobson bħala Newcastle?</v>
      </c>
    </row>
    <row r="15200" ht="15.75" customHeight="1">
      <c r="A15200" s="2" t="s">
        <v>15200</v>
      </c>
      <c r="B15200" s="2" t="str">
        <f>IFERROR(__xludf.DUMMYFUNCTION("GOOGLETRANSLATE(A15200, ""en"", ""mt"")"),"Peress li Denver għażel l-abjad, liema kuluri kienet tilbes Carolina fis-Super Bowl 50?")</f>
        <v>Peress li Denver għażel l-abjad, liema kuluri kienet tilbes Carolina fis-Super Bowl 50?</v>
      </c>
    </row>
    <row r="15201" ht="15.75" customHeight="1">
      <c r="A15201" s="2" t="s">
        <v>15201</v>
      </c>
      <c r="B15201" s="2" t="str">
        <f>IFERROR(__xludf.DUMMYFUNCTION("GOOGLETRANSLATE(A15201, ""en"", ""mt"")"),"Fejn kien jinsab il-politeknika Awstrijaka?")</f>
        <v>Fejn kien jinsab il-politeknika Awstrijaka?</v>
      </c>
    </row>
    <row r="15202" ht="15.75" customHeight="1">
      <c r="A15202" s="2" t="s">
        <v>15202</v>
      </c>
      <c r="B15202" s="2" t="str">
        <f>IFERROR(__xludf.DUMMYFUNCTION("GOOGLETRANSLATE(A15202, ""en"", ""mt"")"),"X'tip ta 'magni tal-fwar ipproduċew l-iktar enerġija sal-bidu tas-seklu 20?")</f>
        <v>X'tip ta 'magni tal-fwar ipproduċew l-iktar enerġija sal-bidu tas-seklu 20?</v>
      </c>
    </row>
    <row r="15203" ht="15.75" customHeight="1">
      <c r="A15203" s="2" t="s">
        <v>15203</v>
      </c>
      <c r="B15203" s="2" t="str">
        <f>IFERROR(__xludf.DUMMYFUNCTION("GOOGLETRANSLATE(A15203, ""en"", ""mt"")"),"Min kien responsabbli għall-balustrada tal-ħġieġ fuq it-taraġ u l-mezzanin fil-gallerija prinċipali?")</f>
        <v>Min kien responsabbli għall-balustrada tal-ħġieġ fuq it-taraġ u l-mezzanin fil-gallerija prinċipali?</v>
      </c>
    </row>
    <row r="15204" ht="15.75" customHeight="1">
      <c r="A15204" s="2" t="s">
        <v>15204</v>
      </c>
      <c r="B15204" s="2" t="str">
        <f>IFERROR(__xludf.DUMMYFUNCTION("GOOGLETRANSLATE(A15204, ""en"", ""mt"")"),"dritt")</f>
        <v>dritt</v>
      </c>
    </row>
    <row r="15205" ht="15.75" customHeight="1">
      <c r="A15205" s="2" t="s">
        <v>15205</v>
      </c>
      <c r="B15205" s="2" t="str">
        <f>IFERROR(__xludf.DUMMYFUNCTION("GOOGLETRANSLATE(A15205, ""en"", ""mt"")"),"Konsultazzjoni tal-ħaddiema fin-negozji")</f>
        <v>Konsultazzjoni tal-ħaddiema fin-negozji</v>
      </c>
    </row>
    <row r="15206" ht="15.75" customHeight="1">
      <c r="A15206" s="2" t="s">
        <v>15206</v>
      </c>
      <c r="B15206" s="2" t="str">
        <f>IFERROR(__xludf.DUMMYFUNCTION("GOOGLETRANSLATE(A15206, ""en"", ""mt"")"),"Supretendent tal-Iskejjel tal-Belt ta ’New York")</f>
        <v>Supretendent tal-Iskejjel tal-Belt ta ’New York</v>
      </c>
    </row>
    <row r="15207" ht="15.75" customHeight="1">
      <c r="A15207" s="2" t="s">
        <v>15207</v>
      </c>
      <c r="B15207" s="2" t="str">
        <f>IFERROR(__xludf.DUMMYFUNCTION("GOOGLETRANSLATE(A15207, ""en"", ""mt"")"),"Għal kemm dam Huguenots kompla juża ismijiet Franċiżi?")</f>
        <v>Għal kemm dam Huguenots kompla juża ismijiet Franċiżi?</v>
      </c>
    </row>
    <row r="15208" ht="15.75" customHeight="1">
      <c r="A15208" s="2" t="s">
        <v>15208</v>
      </c>
      <c r="B15208" s="2" t="str">
        <f>IFERROR(__xludf.DUMMYFUNCTION("GOOGLETRANSLATE(A15208, ""en"", ""mt"")"),"xabla")</f>
        <v>xabla</v>
      </c>
    </row>
    <row r="15209" ht="15.75" customHeight="1">
      <c r="A15209" s="2" t="s">
        <v>15209</v>
      </c>
      <c r="B15209" s="2" t="str">
        <f>IFERROR(__xludf.DUMMYFUNCTION("GOOGLETRANSLATE(A15209, ""en"", ""mt"")"),"Plastidi mimlijin pigment")</f>
        <v>Plastidi mimlijin pigment</v>
      </c>
    </row>
    <row r="15210" ht="15.75" customHeight="1">
      <c r="A15210" s="2" t="s">
        <v>15210</v>
      </c>
      <c r="B15210" s="2" t="str">
        <f>IFERROR(__xludf.DUMMYFUNCTION("GOOGLETRANSLATE(A15210, ""en"", ""mt"")"),"Knisja Metodista Magħquda (UMC)")</f>
        <v>Knisja Metodista Magħquda (UMC)</v>
      </c>
    </row>
    <row r="15211" ht="15.75" customHeight="1">
      <c r="A15211" s="2" t="s">
        <v>15211</v>
      </c>
      <c r="B15211" s="2" t="str">
        <f>IFERROR(__xludf.DUMMYFUNCTION("GOOGLETRANSLATE(A15211, ""en"", ""mt"")"),"Meta miet missier Tesla?")</f>
        <v>Meta miet missier Tesla?</v>
      </c>
    </row>
    <row r="15212" ht="15.75" customHeight="1">
      <c r="A15212" s="2" t="s">
        <v>15212</v>
      </c>
      <c r="B15212" s="2" t="str">
        <f>IFERROR(__xludf.DUMMYFUNCTION("GOOGLETRANSLATE(A15212, ""en"", ""mt"")"),"aktar minn 2,000")</f>
        <v>aktar minn 2,000</v>
      </c>
    </row>
    <row r="15213" ht="15.75" customHeight="1">
      <c r="A15213" s="2" t="s">
        <v>15213</v>
      </c>
      <c r="B15213" s="2" t="str">
        <f>IFERROR(__xludf.DUMMYFUNCTION("GOOGLETRANSLATE(A15213, ""en"", ""mt"")"),"L-industrija taċ-ċinema, it-televiżjoni u l-mużika hija ċċentrata fuq il-Los Angeles fin-Nofsinhar ta ’California. Hollywood, distrett fi ħdan Los Angeles, huwa wkoll isem assoċjat mal-industrija tal-istampi taċ-ċinema. Bil-kwartjieri ġenerali fin-Nofsinh"&amp;"ar tal-Kalifornja huma l-Walt Disney Company (li hija wkoll il-proprjetarja ABC), Sony Pictures, Universal, MGM, Paramount Pictures, 20th Century Fox, u Warner Brothers. Universal, Warner Brothers, u Sony jmexxu wkoll kumpaniji tad-diski ewlenin ukoll.")</f>
        <v>L-industrija taċ-ċinema, it-televiżjoni u l-mużika hija ċċentrata fuq il-Los Angeles fin-Nofsinhar ta ’California. Hollywood, distrett fi ħdan Los Angeles, huwa wkoll isem assoċjat mal-industrija tal-istampi taċ-ċinema. Bil-kwartjieri ġenerali fin-Nofsinhar tal-Kalifornja huma l-Walt Disney Company (li hija wkoll il-proprjetarja ABC), Sony Pictures, Universal, MGM, Paramount Pictures, 20th Century Fox, u Warner Brothers. Universal, Warner Brothers, u Sony jmexxu wkoll kumpaniji tad-diski ewlenin ukoll.</v>
      </c>
    </row>
    <row r="15214" ht="15.75" customHeight="1">
      <c r="A15214" s="2" t="s">
        <v>15214</v>
      </c>
      <c r="B15214" s="2" t="str">
        <f>IFERROR(__xludf.DUMMYFUNCTION("GOOGLETRANSLATE(A15214, ""en"", ""mt"")"),"Għal xiex tuża l-membrana tat-tilkoid li tuża l-elettroni enerġizzati?")</f>
        <v>Għal xiex tuża l-membrana tat-tilkoid li tuża l-elettroni enerġizzati?</v>
      </c>
    </row>
    <row r="15215" ht="15.75" customHeight="1">
      <c r="A15215" s="2" t="s">
        <v>15215</v>
      </c>
      <c r="B15215" s="2" t="str">
        <f>IFERROR(__xludf.DUMMYFUNCTION("GOOGLETRANSLATE(A15215, ""en"", ""mt"")"),"X'għandhom il-karatteristiċi ta 'postijiet iżgħar oħra ta' Newcastle?")</f>
        <v>X'għandhom il-karatteristiċi ta 'postijiet iżgħar oħra ta' Newcastle?</v>
      </c>
    </row>
    <row r="15216" ht="15.75" customHeight="1">
      <c r="A15216" s="2" t="s">
        <v>15216</v>
      </c>
      <c r="B15216" s="2" t="str">
        <f>IFERROR(__xludf.DUMMYFUNCTION("GOOGLETRANSLATE(A15216, ""en"", ""mt"")"),"Meta għexu Luther u martu?")</f>
        <v>Meta għexu Luther u martu?</v>
      </c>
    </row>
    <row r="15217" ht="15.75" customHeight="1">
      <c r="A15217" s="2" t="s">
        <v>15217</v>
      </c>
      <c r="B15217" s="2" t="str">
        <f>IFERROR(__xludf.DUMMYFUNCTION("GOOGLETRANSLATE(A15217, ""en"", ""mt"")"),"Jista 'jkolli kiser xi liġijiet speċifiċi, imma jien ħati li ma għamilt l-ebda ħażin")</f>
        <v>Jista 'jkolli kiser xi liġijiet speċifiċi, imma jien ħati li ma għamilt l-ebda ħażin</v>
      </c>
    </row>
    <row r="15218" ht="15.75" customHeight="1">
      <c r="A15218" s="2" t="s">
        <v>15218</v>
      </c>
      <c r="B15218" s="2" t="str">
        <f>IFERROR(__xludf.DUMMYFUNCTION("GOOGLETRANSLATE(A15218, ""en"", ""mt"")"),"bosta mill-veritajiet ċentrali tal-Kristjaneżmu")</f>
        <v>bosta mill-veritajiet ċentrali tal-Kristjaneżmu</v>
      </c>
    </row>
    <row r="15219" ht="15.75" customHeight="1">
      <c r="A15219" s="2" t="s">
        <v>15219</v>
      </c>
      <c r="B15219" s="2" t="str">
        <f>IFERROR(__xludf.DUMMYFUNCTION("GOOGLETRANSLATE(A15219, ""en"", ""mt"")"),"Meta l-Papa wissa lil Luther ta 'excommunication?")</f>
        <v>Meta l-Papa wissa lil Luther ta 'excommunication?</v>
      </c>
    </row>
    <row r="15220" ht="15.75" customHeight="1">
      <c r="A15220" s="2" t="s">
        <v>15220</v>
      </c>
      <c r="B15220" s="2" t="str">
        <f>IFERROR(__xludf.DUMMYFUNCTION("GOOGLETRANSLATE(A15220, ""en"", ""mt"")"),"Għaliex iċ-Ċiniżi tan-Nofsinhar ġew ikklassifikati aktar baxxi?")</f>
        <v>Għaliex iċ-Ċiniżi tan-Nofsinhar ġew ikklassifikati aktar baxxi?</v>
      </c>
    </row>
    <row r="15221" ht="15.75" customHeight="1">
      <c r="A15221" s="2" t="s">
        <v>15221</v>
      </c>
      <c r="B15221" s="2" t="str">
        <f>IFERROR(__xludf.DUMMYFUNCTION("GOOGLETRANSLATE(A15221, ""en"", ""mt"")"),"General Electric")</f>
        <v>General Electric</v>
      </c>
    </row>
    <row r="15222" ht="15.75" customHeight="1">
      <c r="A15222" s="2" t="s">
        <v>15222</v>
      </c>
      <c r="B15222" s="2" t="str">
        <f>IFERROR(__xludf.DUMMYFUNCTION("GOOGLETRANSLATE(A15222, ""en"", ""mt"")"),"Meta waqqgħet ir-Repubblika Demokratika tal-Afganistan?")</f>
        <v>Meta waqqgħet ir-Repubblika Demokratika tal-Afganistan?</v>
      </c>
    </row>
    <row r="15223" ht="15.75" customHeight="1">
      <c r="A15223" s="2" t="s">
        <v>15223</v>
      </c>
      <c r="B15223" s="2" t="str">
        <f>IFERROR(__xludf.DUMMYFUNCTION("GOOGLETRANSLATE(A15223, ""en"", ""mt"")"),"Ir-ribelljoni ċivili hija ġġustifikata bl-appell għal difetti kostituzzjonali, ir-ribelljoni hija ħafna iktar")</f>
        <v>Ir-ribelljoni ċivili hija ġġustifikata bl-appell għal difetti kostituzzjonali, ir-ribelljoni hija ħafna iktar</v>
      </c>
    </row>
    <row r="15224" ht="15.75" customHeight="1">
      <c r="A15224" s="2" t="s">
        <v>15224</v>
      </c>
      <c r="B15224" s="2" t="str">
        <f>IFERROR(__xludf.DUMMYFUNCTION("GOOGLETRANSLATE(A15224, ""en"", ""mt"")"),"Festival tal-Arti")</f>
        <v>Festival tal-Arti</v>
      </c>
    </row>
    <row r="15225" ht="15.75" customHeight="1">
      <c r="A15225" s="2" t="s">
        <v>15225</v>
      </c>
      <c r="B15225" s="2" t="str">
        <f>IFERROR(__xludf.DUMMYFUNCTION("GOOGLETRANSLATE(A15225, ""en"", ""mt"")"),"Liema sena twaqqfet l-Università ta 'Varsavja?")</f>
        <v>Liema sena twaqqfet l-Università ta 'Varsavja?</v>
      </c>
    </row>
    <row r="15226" ht="15.75" customHeight="1">
      <c r="A15226" s="2" t="s">
        <v>15226</v>
      </c>
      <c r="B15226" s="2" t="str">
        <f>IFERROR(__xludf.DUMMYFUNCTION("GOOGLETRANSLATE(A15226, ""en"", ""mt"")"),"Teorija taċ-ċirku")</f>
        <v>Teorija taċ-ċirku</v>
      </c>
    </row>
    <row r="15227" ht="15.75" customHeight="1">
      <c r="A15227" s="2" t="s">
        <v>15227</v>
      </c>
      <c r="B15227" s="2" t="str">
        <f>IFERROR(__xludf.DUMMYFUNCTION("GOOGLETRANSLATE(A15227, ""en"", ""mt"")"),"Pjattaforma Diġitali Sky")</f>
        <v>Pjattaforma Diġitali Sky</v>
      </c>
    </row>
    <row r="15228" ht="15.75" customHeight="1">
      <c r="A15228" s="2" t="s">
        <v>15228</v>
      </c>
      <c r="B15228" s="2" t="str">
        <f>IFERROR(__xludf.DUMMYFUNCTION("GOOGLETRANSLATE(A15228, ""en"", ""mt"")"),"Min kien l-ewwel tabib li jivvjaġġa ma 'koppja miżżewġa?")</f>
        <v>Min kien l-ewwel tabib li jivvjaġġa ma 'koppja miżżewġa?</v>
      </c>
    </row>
    <row r="15229" ht="15.75" customHeight="1">
      <c r="A15229" s="2" t="s">
        <v>15229</v>
      </c>
      <c r="B15229" s="2" t="str">
        <f>IFERROR(__xludf.DUMMYFUNCTION("GOOGLETRANSLATE(A15229, ""en"", ""mt"")"),"Nobbli tas-seklu 12/13")</f>
        <v>Nobbli tas-seklu 12/13</v>
      </c>
    </row>
    <row r="15230" ht="15.75" customHeight="1">
      <c r="A15230" s="2" t="s">
        <v>15230</v>
      </c>
      <c r="B15230" s="2" t="str">
        <f>IFERROR(__xludf.DUMMYFUNCTION("GOOGLETRANSLATE(A15230, ""en"", ""mt"")"),"Il-kumitat kif ġab il-flus?")</f>
        <v>Il-kumitat kif ġab il-flus?</v>
      </c>
    </row>
    <row r="15231" ht="15.75" customHeight="1">
      <c r="A15231" s="2" t="s">
        <v>15231</v>
      </c>
      <c r="B15231" s="2" t="str">
        <f>IFERROR(__xludf.DUMMYFUNCTION("GOOGLETRANSLATE(A15231, ""en"", ""mt"")"),"Sophocles wera diżubbidjenza ċivili fi dramm li kien jissejjaħ?")</f>
        <v>Sophocles wera diżubbidjenza ċivili fi dramm li kien jissejjaħ?</v>
      </c>
    </row>
    <row r="15232" ht="15.75" customHeight="1">
      <c r="A15232" s="2" t="s">
        <v>15232</v>
      </c>
      <c r="B15232" s="2" t="str">
        <f>IFERROR(__xludf.DUMMYFUNCTION("GOOGLETRANSLATE(A15232, ""en"", ""mt"")"),"Koptiku")</f>
        <v>Koptiku</v>
      </c>
    </row>
    <row r="15233" ht="15.75" customHeight="1">
      <c r="A15233" s="2" t="s">
        <v>15233</v>
      </c>
      <c r="B15233" s="2" t="str">
        <f>IFERROR(__xludf.DUMMYFUNCTION("GOOGLETRANSLATE(A15233, ""en"", ""mt"")"),"Minn liema sena l-UMC ilha tesplora għaqda possibbli ma 'tliet denominazzjonijiet storikament Afrikani-Amerikani?")</f>
        <v>Minn liema sena l-UMC ilha tesplora għaqda possibbli ma 'tliet denominazzjonijiet storikament Afrikani-Amerikani?</v>
      </c>
    </row>
    <row r="15234" ht="15.75" customHeight="1">
      <c r="A15234" s="2" t="s">
        <v>15234</v>
      </c>
      <c r="B15234" s="2" t="str">
        <f>IFERROR(__xludf.DUMMYFUNCTION("GOOGLETRANSLATE(A15234, ""en"", ""mt"")"),"Dioxygen")</f>
        <v>Dioxygen</v>
      </c>
    </row>
    <row r="15235" ht="15.75" customHeight="1">
      <c r="A15235" s="2" t="s">
        <v>15235</v>
      </c>
      <c r="B15235" s="2" t="str">
        <f>IFERROR(__xludf.DUMMYFUNCTION("GOOGLETRANSLATE(A15235, ""en"", ""mt"")"),"Liema regolatur tal-anitrust kellu dubji dwar l-għaqda ITT u ABC?")</f>
        <v>Liema regolatur tal-anitrust kellu dubji dwar l-għaqda ITT u ABC?</v>
      </c>
    </row>
    <row r="15236" ht="15.75" customHeight="1">
      <c r="A15236" s="2" t="s">
        <v>15236</v>
      </c>
      <c r="B15236" s="2" t="str">
        <f>IFERROR(__xludf.DUMMYFUNCTION("GOOGLETRANSLATE(A15236, ""en"", ""mt"")"),"Sierra Freeway")</f>
        <v>Sierra Freeway</v>
      </c>
    </row>
    <row r="15237" ht="15.75" customHeight="1">
      <c r="A15237" s="2" t="s">
        <v>15237</v>
      </c>
      <c r="B15237" s="2" t="str">
        <f>IFERROR(__xludf.DUMMYFUNCTION("GOOGLETRANSLATE(A15237, ""en"", ""mt"")"),"Liema grad Doctor Who jżomm f'lista tal-100 programm tat-TV tal-Greatest Kids?")</f>
        <v>Liema grad Doctor Who jżomm f'lista tal-100 programm tat-TV tal-Greatest Kids?</v>
      </c>
    </row>
    <row r="15238" ht="15.75" customHeight="1">
      <c r="A15238" s="2" t="s">
        <v>15238</v>
      </c>
      <c r="B15238" s="2" t="str">
        <f>IFERROR(__xludf.DUMMYFUNCTION("GOOGLETRANSLATE(A15238, ""en"", ""mt"")"),"Bugenhagen")</f>
        <v>Bugenhagen</v>
      </c>
    </row>
    <row r="15239" ht="15.75" customHeight="1">
      <c r="A15239" s="2" t="s">
        <v>15239</v>
      </c>
      <c r="B15239" s="2" t="str">
        <f>IFERROR(__xludf.DUMMYFUNCTION("GOOGLETRANSLATE(A15239, ""en"", ""mt"")"),"Il-paternità ta 'liema minn ulied Genghis Khan ġiet ikkontestata?")</f>
        <v>Il-paternità ta 'liema minn ulied Genghis Khan ġiet ikkontestata?</v>
      </c>
    </row>
    <row r="15240" ht="15.75" customHeight="1">
      <c r="A15240" s="2" t="s">
        <v>15240</v>
      </c>
      <c r="B15240" s="2" t="str">
        <f>IFERROR(__xludf.DUMMYFUNCTION("GOOGLETRANSLATE(A15240, ""en"", ""mt"")"),"X'għandhom il-fossili attwali li nstabu ma kellhomx?")</f>
        <v>X'għandhom il-fossili attwali li nstabu ma kellhomx?</v>
      </c>
    </row>
    <row r="15241" ht="15.75" customHeight="1">
      <c r="A15241" s="2" t="s">
        <v>15241</v>
      </c>
      <c r="B15241" s="2" t="str">
        <f>IFERROR(__xludf.DUMMYFUNCTION("GOOGLETRANSLATE(A15241, ""en"", ""mt"")"),"L-università kienet forza fundatriċi wara liema konferenza?")</f>
        <v>L-università kienet forza fundatriċi wara liema konferenza?</v>
      </c>
    </row>
    <row r="15242" ht="15.75" customHeight="1">
      <c r="A15242" s="2" t="s">
        <v>15242</v>
      </c>
      <c r="B15242" s="2" t="str">
        <f>IFERROR(__xludf.DUMMYFUNCTION("GOOGLETRANSLATE(A15242, ""en"", ""mt"")"),"Monasteru Latin f'Sant'eufemia.")</f>
        <v>Monasteru Latin f'Sant'eufemia.</v>
      </c>
    </row>
    <row r="15243" ht="15.75" customHeight="1">
      <c r="A15243" s="2" t="s">
        <v>15243</v>
      </c>
      <c r="B15243" s="2" t="str">
        <f>IFERROR(__xludf.DUMMYFUNCTION("GOOGLETRANSLATE(A15243, ""en"", ""mt"")"),"1241")</f>
        <v>1241</v>
      </c>
    </row>
    <row r="15244" ht="15.75" customHeight="1">
      <c r="A15244" s="2" t="s">
        <v>15244</v>
      </c>
      <c r="B15244" s="2" t="str">
        <f>IFERROR(__xludf.DUMMYFUNCTION("GOOGLETRANSLATE(A15244, ""en"", ""mt"")"),"135 pied")</f>
        <v>135 pied</v>
      </c>
    </row>
    <row r="15245" ht="15.75" customHeight="1">
      <c r="A15245" s="2" t="s">
        <v>15245</v>
      </c>
      <c r="B15245" s="2" t="str">
        <f>IFERROR(__xludf.DUMMYFUNCTION("GOOGLETRANSLATE(A15245, ""en"", ""mt"")"),"Kemm mill-fluss tar-Renu jġorr l-ijssel?")</f>
        <v>Kemm mill-fluss tar-Renu jġorr l-ijssel?</v>
      </c>
    </row>
    <row r="15246" ht="15.75" customHeight="1">
      <c r="A15246" s="2" t="s">
        <v>15246</v>
      </c>
      <c r="B15246" s="2" t="str">
        <f>IFERROR(__xludf.DUMMYFUNCTION("GOOGLETRANSLATE(A15246, ""en"", ""mt"")"),"patoġeni")</f>
        <v>patoġeni</v>
      </c>
    </row>
    <row r="15247" ht="15.75" customHeight="1">
      <c r="A15247" s="2" t="s">
        <v>15247</v>
      </c>
      <c r="B15247" s="2" t="str">
        <f>IFERROR(__xludf.DUMMYFUNCTION("GOOGLETRANSLATE(A15247, ""en"", ""mt"")"),"Awturi Richard Wilkinson u Kate Pickett")</f>
        <v>Awturi Richard Wilkinson u Kate Pickett</v>
      </c>
    </row>
    <row r="15248" ht="15.75" customHeight="1">
      <c r="A15248" s="2" t="s">
        <v>15248</v>
      </c>
      <c r="B15248" s="2" t="str">
        <f>IFERROR(__xludf.DUMMYFUNCTION("GOOGLETRANSLATE(A15248, ""en"", ""mt"")"),"Liema spiżjar irnexxielu jagħmel biżżejjed ossiġnu likwidu biex juża għall-istudju?")</f>
        <v>Liema spiżjar irnexxielu jagħmel biżżejjed ossiġnu likwidu biex juża għall-istudju?</v>
      </c>
    </row>
    <row r="15249" ht="15.75" customHeight="1">
      <c r="A15249" s="2" t="s">
        <v>15249</v>
      </c>
      <c r="B15249" s="2" t="str">
        <f>IFERROR(__xludf.DUMMYFUNCTION("GOOGLETRANSLATE(A15249, ""en"", ""mt"")"),"L-ewwel seklu AD għall-preżent,")</f>
        <v>L-ewwel seklu AD għall-preżent,</v>
      </c>
    </row>
    <row r="15250" ht="15.75" customHeight="1">
      <c r="A15250" s="2" t="s">
        <v>15250</v>
      </c>
      <c r="B15250" s="2" t="str">
        <f>IFERROR(__xludf.DUMMYFUNCTION("GOOGLETRANSLATE(A15250, ""en"", ""mt"")"),"tikser il-liġi għal awto-gratifikazzjoni")</f>
        <v>tikser il-liġi għal awto-gratifikazzjoni</v>
      </c>
    </row>
    <row r="15251" ht="15.75" customHeight="1">
      <c r="A15251" s="2" t="s">
        <v>15251</v>
      </c>
      <c r="B15251" s="2" t="str">
        <f>IFERROR(__xludf.DUMMYFUNCTION("GOOGLETRANSLATE(A15251, ""en"", ""mt"")"),"Meta l-kitbiet ta 'Luther jinfirxu lejn Franza, l-Ingilterra u l-Italja?")</f>
        <v>Meta l-kitbiet ta 'Luther jinfirxu lejn Franza, l-Ingilterra u l-Italja?</v>
      </c>
    </row>
    <row r="15252" ht="15.75" customHeight="1">
      <c r="A15252" s="2" t="s">
        <v>15252</v>
      </c>
      <c r="B15252" s="2" t="str">
        <f>IFERROR(__xludf.DUMMYFUNCTION("GOOGLETRANSLATE(A15252, ""en"", ""mt"")"),"Jules Ferry ħaseb li r- ""tiġrijiet ogħla"" għandhom id-dmir għal xiex?")</f>
        <v>Jules Ferry ħaseb li r- "tiġrijiet ogħla" għandhom id-dmir għal xiex?</v>
      </c>
    </row>
    <row r="15253" ht="15.75" customHeight="1">
      <c r="A15253" s="2" t="s">
        <v>15253</v>
      </c>
      <c r="B15253" s="2" t="str">
        <f>IFERROR(__xludf.DUMMYFUNCTION("GOOGLETRANSLATE(A15253, ""en"", ""mt"")"),"Liema żewġ riżorsi kkunsmati komunement minn mudelli alternattivi huma tipikament magħrufa li jvarjaw?")</f>
        <v>Liema żewġ riżorsi kkunsmati komunement minn mudelli alternattivi huma tipikament magħrufa li jvarjaw?</v>
      </c>
    </row>
    <row r="15254" ht="15.75" customHeight="1">
      <c r="A15254" s="2" t="s">
        <v>15254</v>
      </c>
      <c r="B15254" s="2" t="str">
        <f>IFERROR(__xludf.DUMMYFUNCTION("GOOGLETRANSLATE(A15254, ""en"", ""mt"")"),"F'liema prattika jidħlu xi spiżeriji fuq l-internet?")</f>
        <v>F'liema prattika jidħlu xi spiżeriji fuq l-internet?</v>
      </c>
    </row>
    <row r="15255" ht="15.75" customHeight="1">
      <c r="A15255" s="2" t="s">
        <v>15255</v>
      </c>
      <c r="B15255" s="2" t="str">
        <f>IFERROR(__xludf.DUMMYFUNCTION("GOOGLETRANSLATE(A15255, ""en"", ""mt"")"),"jerġa 'jikseb awtorità fuq in-nies tiegħu stess")</f>
        <v>jerġa 'jikseb awtorità fuq in-nies tiegħu stess</v>
      </c>
    </row>
    <row r="15256" ht="15.75" customHeight="1">
      <c r="A15256" s="2" t="s">
        <v>15256</v>
      </c>
      <c r="B15256" s="2" t="str">
        <f>IFERROR(__xludf.DUMMYFUNCTION("GOOGLETRANSLATE(A15256, ""en"", ""mt"")"),"driegħ miksur")</f>
        <v>driegħ miksur</v>
      </c>
    </row>
    <row r="15257" ht="15.75" customHeight="1">
      <c r="A15257" s="2" t="s">
        <v>15257</v>
      </c>
      <c r="B15257" s="2" t="str">
        <f>IFERROR(__xludf.DUMMYFUNCTION("GOOGLETRANSLATE(A15257, ""en"", ""mt"")"),"April 1991")</f>
        <v>April 1991</v>
      </c>
    </row>
    <row r="15258" ht="15.75" customHeight="1">
      <c r="A15258" s="2" t="s">
        <v>15258</v>
      </c>
      <c r="B15258" s="2" t="str">
        <f>IFERROR(__xludf.DUMMYFUNCTION("GOOGLETRANSLATE(A15258, ""en"", ""mt"")"),"X inaqqas għal y")</f>
        <v>X inaqqas għal y</v>
      </c>
    </row>
    <row r="15259" ht="15.75" customHeight="1">
      <c r="A15259" s="2" t="s">
        <v>15259</v>
      </c>
      <c r="B15259" s="2" t="str">
        <f>IFERROR(__xludf.DUMMYFUNCTION("GOOGLETRANSLATE(A15259, ""en"", ""mt"")"),"F'Jannar 1519, f'Altenburg fis-Sassonja, in-Nuncio Papali Karl von Miltitz adotta approċċ aktar konċiljatorju. Luther għamel ċerti konċessjonijiet għas-Sassonu, li kien qarib tal-elettur, u wiegħed li jibqa 'sieket jekk għamlu l-avversarji tiegħu. It-teol"&amp;"ogu Johann Eck, madankollu, kien determinat li jesponi d-duttrina ta 'Luther f'forum pubbliku. F'Ġunju u Lulju 1519, huwa tellgħet tilwima mal-kollega ta 'Luther Andreas Karlstadt f'Leipzig u stieden lil Luther biex jitkellem. L-affermazzjoni l-aktar kura"&amp;"ġġuża ta 'Luther fid-dibattitu kienet li Matthew 16:18 ma jagħtix id-dritt esklussiv li jinterpreta l-Iskrittura, u li għalhekk la Papiet u lanqas Kunsilli tal-Knisja ma kienu infallibbli. Għal dan, Eck immarka lil Luther Jan Hus ġdid, li rrefera għar-rif"&amp;"ormatur Ċek u l-eretiku maħruq fin-nofs fl-1415. Minn dak il-mument, huwa ddedika ruħu għat-telfa ta 'Luther.")</f>
        <v>F'Jannar 1519, f'Altenburg fis-Sassonja, in-Nuncio Papali Karl von Miltitz adotta approċċ aktar konċiljatorju. Luther għamel ċerti konċessjonijiet għas-Sassonu, li kien qarib tal-elettur, u wiegħed li jibqa 'sieket jekk għamlu l-avversarji tiegħu. It-teologu Johann Eck, madankollu, kien determinat li jesponi d-duttrina ta 'Luther f'forum pubbliku. F'Ġunju u Lulju 1519, huwa tellgħet tilwima mal-kollega ta 'Luther Andreas Karlstadt f'Leipzig u stieden lil Luther biex jitkellem. L-affermazzjoni l-aktar kuraġġuża ta 'Luther fid-dibattitu kienet li Matthew 16:18 ma jagħtix id-dritt esklussiv li jinterpreta l-Iskrittura, u li għalhekk la Papiet u lanqas Kunsilli tal-Knisja ma kienu infallibbli. Għal dan, Eck immarka lil Luther Jan Hus ġdid, li rrefera għar-riformatur Ċek u l-eretiku maħruq fin-nofs fl-1415. Minn dak il-mument, huwa ddedika ruħu għat-telfa ta 'Luther.</v>
      </c>
    </row>
    <row r="15260" ht="15.75" customHeight="1">
      <c r="A15260" s="2" t="s">
        <v>15260</v>
      </c>
      <c r="B15260" s="2" t="str">
        <f>IFERROR(__xludf.DUMMYFUNCTION("GOOGLETRANSLATE(A15260, ""en"", ""mt"")"),"Ħafna mill-ġeni tagħha ntilfu jew ġew trasferiti għan-nukleu tal-ospitanti")</f>
        <v>Ħafna mill-ġeni tagħha ntilfu jew ġew trasferiti għan-nukleu tal-ospitanti</v>
      </c>
    </row>
    <row r="15261" ht="15.75" customHeight="1">
      <c r="A15261" s="2" t="s">
        <v>15261</v>
      </c>
      <c r="B15261" s="2" t="str">
        <f>IFERROR(__xludf.DUMMYFUNCTION("GOOGLETRANSLATE(A15261, ""en"", ""mt"")"),"Kif jistgħu jiġu osservati l-effetti tal-gravità b'mod differenti skont Newton?")</f>
        <v>Kif jistgħu jiġu osservati l-effetti tal-gravità b'mod differenti skont Newton?</v>
      </c>
    </row>
    <row r="15262" ht="15.75" customHeight="1">
      <c r="A15262" s="2" t="s">
        <v>15262</v>
      </c>
      <c r="B15262" s="2" t="str">
        <f>IFERROR(__xludf.DUMMYFUNCTION("GOOGLETRANSLATE(A15262, ""en"", ""mt"")"),"Kemm titqassam Terra Preta fuq il-foresta tal-Amażonja?")</f>
        <v>Kemm titqassam Terra Preta fuq il-foresta tal-Amażonja?</v>
      </c>
    </row>
    <row r="15263" ht="15.75" customHeight="1">
      <c r="A15263" s="2" t="s">
        <v>15263</v>
      </c>
      <c r="B15263" s="2" t="str">
        <f>IFERROR(__xludf.DUMMYFUNCTION("GOOGLETRANSLATE(A15263, ""en"", ""mt"")"),"X'tip ta 'midalja in-NASA tat lill-astronawti li żaru l-ispazju u l-qamar?")</f>
        <v>X'tip ta 'midalja in-NASA tat lill-astronawti li żaru l-ispazju u l-qamar?</v>
      </c>
    </row>
    <row r="15264" ht="15.75" customHeight="1">
      <c r="A15264" s="2" t="s">
        <v>15264</v>
      </c>
      <c r="B15264" s="2" t="str">
        <f>IFERROR(__xludf.DUMMYFUNCTION("GOOGLETRANSLATE(A15264, ""en"", ""mt"")"),"Apollo 6")</f>
        <v>Apollo 6</v>
      </c>
    </row>
    <row r="15265" ht="15.75" customHeight="1">
      <c r="A15265" s="2" t="s">
        <v>15265</v>
      </c>
      <c r="B15265" s="2" t="str">
        <f>IFERROR(__xludf.DUMMYFUNCTION("GOOGLETRANSLATE(A15265, ""en"", ""mt"")"),"Subordinati għall-konferenza ġenerali huma l-konferenzi ġurisdizzjonali u ċentrali li jiltaqgħu wkoll kull erba 'snin. L-Istati Uniti hija maqsuma f'ħames ġurisdizzjonijiet: il-grigal, ix-xlokk, iċ-ċentrali tat-tramuntana, iċ-ċentru tan-nofsinhar u l-pune"&amp;"nt. Barra l-Istati Uniti l-knisja hija maqsuma f’seba ’konferenzi ċentrali: l-Afrika, il-Kongo, l-Afrika tal-Punent, l-Ewropa Ċentrali u tan-Nofsinhar, il-Ġermanja, l-Ewropa tat-Tramuntana u l-Filippini. L-iskop ewlieni tal-ġurisdizzjonijiet u l-konferenz"&amp;"i ċentrali huwa li jeleġġi u jaħtru isqfijiet, l-amministraturi ewlenin tal-knisja. L-isqfijiet b'hekk eletti jservu żoni Episkopali, li jikkonsistu f'waħda jew aktar konferenzi annwali.")</f>
        <v>Subordinati għall-konferenza ġenerali huma l-konferenzi ġurisdizzjonali u ċentrali li jiltaqgħu wkoll kull erba 'snin. L-Istati Uniti hija maqsuma f'ħames ġurisdizzjonijiet: il-grigal, ix-xlokk, iċ-ċentrali tat-tramuntana, iċ-ċentru tan-nofsinhar u l-punent. Barra l-Istati Uniti l-knisja hija maqsuma f’seba ’konferenzi ċentrali: l-Afrika, il-Kongo, l-Afrika tal-Punent, l-Ewropa Ċentrali u tan-Nofsinhar, il-Ġermanja, l-Ewropa tat-Tramuntana u l-Filippini. L-iskop ewlieni tal-ġurisdizzjonijiet u l-konferenzi ċentrali huwa li jeleġġi u jaħtru isqfijiet, l-amministraturi ewlenin tal-knisja. L-isqfijiet b'hekk eletti jservu żoni Episkopali, li jikkonsistu f'waħda jew aktar konferenzi annwali.</v>
      </c>
    </row>
    <row r="15266" ht="15.75" customHeight="1">
      <c r="A15266" s="2" t="s">
        <v>15266</v>
      </c>
      <c r="B15266" s="2" t="str">
        <f>IFERROR(__xludf.DUMMYFUNCTION("GOOGLETRANSLATE(A15266, ""en"", ""mt"")"),"L-Olanda")</f>
        <v>L-Olanda</v>
      </c>
    </row>
    <row r="15267" ht="15.75" customHeight="1">
      <c r="A15267" s="2" t="s">
        <v>15267</v>
      </c>
      <c r="B15267" s="2" t="str">
        <f>IFERROR(__xludf.DUMMYFUNCTION("GOOGLETRANSLATE(A15267, ""en"", ""mt"")"),"sħun u niexef")</f>
        <v>sħun u niexef</v>
      </c>
    </row>
    <row r="15268" ht="15.75" customHeight="1">
      <c r="A15268" s="2" t="s">
        <v>15268</v>
      </c>
      <c r="B15268" s="2" t="str">
        <f>IFERROR(__xludf.DUMMYFUNCTION("GOOGLETRANSLATE(A15268, ""en"", ""mt"")"),"kondotta ħażina professjonali")</f>
        <v>kondotta ħażina professjonali</v>
      </c>
    </row>
    <row r="15269" ht="15.75" customHeight="1">
      <c r="A15269" s="2" t="s">
        <v>15269</v>
      </c>
      <c r="B15269" s="2" t="str">
        <f>IFERROR(__xludf.DUMMYFUNCTION("GOOGLETRANSLATE(A15269, ""en"", ""mt"")"),"Dipartiment tal-Fiżika ta 'Chicago")</f>
        <v>Dipartiment tal-Fiżika ta 'Chicago</v>
      </c>
    </row>
    <row r="15270" ht="15.75" customHeight="1">
      <c r="A15270" s="2" t="s">
        <v>15270</v>
      </c>
      <c r="B15270" s="2" t="str">
        <f>IFERROR(__xludf.DUMMYFUNCTION("GOOGLETRANSLATE(A15270, ""en"", ""mt"")"),"Fl-1874")</f>
        <v>Fl-1874</v>
      </c>
    </row>
    <row r="15271" ht="15.75" customHeight="1">
      <c r="A15271" s="2" t="s">
        <v>15271</v>
      </c>
      <c r="B15271" s="2" t="str">
        <f>IFERROR(__xludf.DUMMYFUNCTION("GOOGLETRANSLATE(A15271, ""en"", ""mt"")"),"Nies sempliċi")</f>
        <v>Nies sempliċi</v>
      </c>
    </row>
    <row r="15272" ht="15.75" customHeight="1">
      <c r="A15272" s="2" t="s">
        <v>15272</v>
      </c>
      <c r="B15272" s="2" t="str">
        <f>IFERROR(__xludf.DUMMYFUNCTION("GOOGLETRANSLATE(A15272, ""en"", ""mt"")"),"omm tal-perka")</f>
        <v>omm tal-perka</v>
      </c>
    </row>
    <row r="15273" ht="15.75" customHeight="1">
      <c r="A15273" s="2" t="s">
        <v>15273</v>
      </c>
      <c r="B15273" s="2" t="str">
        <f>IFERROR(__xludf.DUMMYFUNCTION("GOOGLETRANSLATE(A15273, ""en"", ""mt"")"),"kip")</f>
        <v>kip</v>
      </c>
    </row>
    <row r="15274" ht="15.75" customHeight="1">
      <c r="A15274" s="2" t="s">
        <v>15274</v>
      </c>
      <c r="B15274" s="2" t="str">
        <f>IFERROR(__xludf.DUMMYFUNCTION("GOOGLETRANSLATE(A15274, ""en"", ""mt"")"),"Kemm kienet komuni l-forma ta 'kastig korporali fil-passat?")</f>
        <v>Kemm kienet komuni l-forma ta 'kastig korporali fil-passat?</v>
      </c>
    </row>
    <row r="15275" ht="15.75" customHeight="1">
      <c r="A15275" s="2" t="s">
        <v>15275</v>
      </c>
      <c r="B15275" s="2" t="str">
        <f>IFERROR(__xludf.DUMMYFUNCTION("GOOGLETRANSLATE(A15275, ""en"", ""mt"")"),"L-Istil Art Deco")</f>
        <v>L-Istil Art Deco</v>
      </c>
    </row>
    <row r="15276" ht="15.75" customHeight="1">
      <c r="A15276" s="2" t="s">
        <v>15276</v>
      </c>
      <c r="B15276" s="2" t="str">
        <f>IFERROR(__xludf.DUMMYFUNCTION("GOOGLETRANSLATE(A15276, ""en"", ""mt"")"),"Ungeriżi")</f>
        <v>Ungeriżi</v>
      </c>
    </row>
    <row r="15277" ht="15.75" customHeight="1">
      <c r="A15277" s="2" t="s">
        <v>15277</v>
      </c>
      <c r="B15277" s="2" t="str">
        <f>IFERROR(__xludf.DUMMYFUNCTION("GOOGLETRANSLATE(A15277, ""en"", ""mt"")"),"r 20% sa 25%")</f>
        <v>r 20% sa 25%</v>
      </c>
    </row>
    <row r="15278" ht="15.75" customHeight="1">
      <c r="A15278" s="2" t="s">
        <v>15278</v>
      </c>
      <c r="B15278" s="2" t="str">
        <f>IFERROR(__xludf.DUMMYFUNCTION("GOOGLETRANSLATE(A15278, ""en"", ""mt"")"),"X'tip ta 'belt ilha Varsavja sakemm ilha belt?")</f>
        <v>X'tip ta 'belt ilha Varsavja sakemm ilha belt?</v>
      </c>
    </row>
    <row r="15279" ht="15.75" customHeight="1">
      <c r="A15279" s="2" t="s">
        <v>15279</v>
      </c>
      <c r="B15279" s="2" t="str">
        <f>IFERROR(__xludf.DUMMYFUNCTION("GOOGLETRANSLATE(A15279, ""en"", ""mt"")"),"tul kollu tal-lag")</f>
        <v>tul kollu tal-lag</v>
      </c>
    </row>
    <row r="15280" ht="15.75" customHeight="1">
      <c r="A15280" s="2" t="s">
        <v>15280</v>
      </c>
      <c r="B15280" s="2" t="str">
        <f>IFERROR(__xludf.DUMMYFUNCTION("GOOGLETRANSLATE(A15280, ""en"", ""mt"")"),"Jekk problema x hija f'c u iebsa għal C, allura X jingħad li huwa komplut għal C. Dan ifisser li X hija l-iktar problema diffiċli f'C. (Peress li ħafna problemi jistgħu jkunu daqstant diffiċli, wieħed jista 'jgħid li X huwa wieħed L-agħar problemi f'C) Għ"&amp;"alhekk il-klassi ta 'problemi kompluti NP fiha l-aktar problemi diffiċli f'NP, fis-sens li huma dawk li x'aktarx ma jkunux f'P. Minħabba li l-problema P = NP mhix solvuta, li tkun Kapaċi tnaqqas problema magħrufa ta 'NP-kompluta, π2, għal problema oħra, π"&amp;"1, tindika li m'hemm l-ebda soluzzjoni magħrufa ta' ħin polinomju għal π1. Dan minħabba li soluzzjoni ta 'ħin polinomjali għal π1 tagħti soluzzjoni ta' ħin polinomjali għal π2. Bl-istess mod, minħabba li l-problemi kollha tal-NP jistgħu jitnaqqsu għas-set"&amp;"t, is-sejba ta 'problema kompluta NP li tista' tissolva fi żmien polinomjali tkun tfisser li P = NP.")</f>
        <v>Jekk problema x hija f'c u iebsa għal C, allura X jingħad li huwa komplut għal C. Dan ifisser li X hija l-iktar problema diffiċli f'C. (Peress li ħafna problemi jistgħu jkunu daqstant diffiċli, wieħed jista 'jgħid li X huwa wieħed L-agħar problemi f'C) Għalhekk il-klassi ta 'problemi kompluti NP fiha l-aktar problemi diffiċli f'NP, fis-sens li huma dawk li x'aktarx ma jkunux f'P. Minħabba li l-problema P = NP mhix solvuta, li tkun Kapaċi tnaqqas problema magħrufa ta 'NP-kompluta, π2, għal problema oħra, π1, tindika li m'hemm l-ebda soluzzjoni magħrufa ta' ħin polinomju għal π1. Dan minħabba li soluzzjoni ta 'ħin polinomjali għal π1 tagħti soluzzjoni ta' ħin polinomjali għal π2. Bl-istess mod, minħabba li l-problemi kollha tal-NP jistgħu jitnaqqsu għas-sett, is-sejba ta 'problema kompluta NP li tista' tissolva fi żmien polinomjali tkun tfisser li P = NP.</v>
      </c>
    </row>
    <row r="15281" ht="15.75" customHeight="1">
      <c r="A15281" s="2" t="s">
        <v>15281</v>
      </c>
      <c r="B15281" s="2" t="str">
        <f>IFERROR(__xludf.DUMMYFUNCTION("GOOGLETRANSLATE(A15281, ""en"", ""mt"")"),"X'tip ta 'persuna ma tistax tiġi attribwita diżubbidjenza ċivili?")</f>
        <v>X'tip ta 'persuna ma tistax tiġi attribwita diżubbidjenza ċivili?</v>
      </c>
    </row>
    <row r="15282" ht="15.75" customHeight="1">
      <c r="A15282" s="2" t="s">
        <v>15282</v>
      </c>
      <c r="B15282" s="2" t="str">
        <f>IFERROR(__xludf.DUMMYFUNCTION("GOOGLETRANSLATE(A15282, ""en"", ""mt"")"),"is-sistema immuni innata kontra s-sistema immuni adatta")</f>
        <v>is-sistema immuni innata kontra s-sistema immuni adatta</v>
      </c>
    </row>
    <row r="15283" ht="15.75" customHeight="1">
      <c r="A15283" s="2" t="s">
        <v>15283</v>
      </c>
      <c r="B15283" s="2" t="str">
        <f>IFERROR(__xludf.DUMMYFUNCTION("GOOGLETRANSLATE(A15283, ""en"", ""mt"")"),"Dikjarazzjoni magħmula minn Chris Keates ikkawżat kwistjonijiet ma 'min?")</f>
        <v>Dikjarazzjoni magħmula minn Chris Keates ikkawżat kwistjonijiet ma 'min?</v>
      </c>
    </row>
    <row r="15284" ht="15.75" customHeight="1">
      <c r="A15284" s="2" t="s">
        <v>15284</v>
      </c>
      <c r="B15284" s="2" t="str">
        <f>IFERROR(__xludf.DUMMYFUNCTION("GOOGLETRANSLATE(A15284, ""en"", ""mt"")"),"Il-V &amp; A għandha l-aktar ġabra komprensiva tad-dinja ta 'skulturi minn liema perjodu?")</f>
        <v>Il-V &amp; A għandha l-aktar ġabra komprensiva tad-dinja ta 'skulturi minn liema perjodu?</v>
      </c>
    </row>
    <row r="15285" ht="15.75" customHeight="1">
      <c r="A15285" s="2" t="s">
        <v>15285</v>
      </c>
      <c r="B15285" s="2" t="str">
        <f>IFERROR(__xludf.DUMMYFUNCTION("GOOGLETRANSLATE(A15285, ""en"", ""mt"")"),"Leġislazzjoni dwar l-ispiżerija")</f>
        <v>Leġislazzjoni dwar l-ispiżerija</v>
      </c>
    </row>
    <row r="15286" ht="15.75" customHeight="1">
      <c r="A15286" s="2" t="s">
        <v>15286</v>
      </c>
      <c r="B15286" s="2" t="str">
        <f>IFERROR(__xludf.DUMMYFUNCTION("GOOGLETRANSLATE(A15286, ""en"", ""mt"")"),"It-tip ta 'tnaqqis qed jintuża")</f>
        <v>It-tip ta 'tnaqqis qed jintuża</v>
      </c>
    </row>
    <row r="15287" ht="15.75" customHeight="1">
      <c r="A15287" s="2" t="s">
        <v>15287</v>
      </c>
      <c r="B15287" s="2" t="str">
        <f>IFERROR(__xludf.DUMMYFUNCTION("GOOGLETRANSLATE(A15287, ""en"", ""mt"")"),"Michelangelo")</f>
        <v>Michelangelo</v>
      </c>
    </row>
    <row r="15288" ht="15.75" customHeight="1">
      <c r="A15288" s="2" t="s">
        <v>15288</v>
      </c>
      <c r="B15288" s="2" t="str">
        <f>IFERROR(__xludf.DUMMYFUNCTION("GOOGLETRANSLATE(A15288, ""en"", ""mt"")"),"Membri tal-ekwipaġġ")</f>
        <v>Membri tal-ekwipaġġ</v>
      </c>
    </row>
    <row r="15289" ht="15.75" customHeight="1">
      <c r="A15289" s="2" t="s">
        <v>15289</v>
      </c>
      <c r="B15289" s="2" t="str">
        <f>IFERROR(__xludf.DUMMYFUNCTION("GOOGLETRANSLATE(A15289, ""en"", ""mt"")"),"Kif tgħid it-teorija sekondarja li l-biċċa l-kbira ta 'cpDNA tirreplika?")</f>
        <v>Kif tgħid it-teorija sekondarja li l-biċċa l-kbira ta 'cpDNA tirreplika?</v>
      </c>
    </row>
    <row r="15290" ht="15.75" customHeight="1">
      <c r="A15290" s="2" t="s">
        <v>15290</v>
      </c>
      <c r="B15290" s="2" t="str">
        <f>IFERROR(__xludf.DUMMYFUNCTION("GOOGLETRANSLATE(A15290, ""en"", ""mt"")"),"Kemm kienu nies fuq il-proġett li segwew il-proġett Merkurju?")</f>
        <v>Kemm kienu nies fuq il-proġett li segwew il-proġett Merkurju?</v>
      </c>
    </row>
    <row r="15291" ht="15.75" customHeight="1">
      <c r="A15291" s="2" t="s">
        <v>15291</v>
      </c>
      <c r="B15291" s="2" t="str">
        <f>IFERROR(__xludf.DUMMYFUNCTION("GOOGLETRANSLATE(A15291, ""en"", ""mt"")"),"rispett")</f>
        <v>rispett</v>
      </c>
    </row>
    <row r="15292" ht="15.75" customHeight="1">
      <c r="A15292" s="2" t="s">
        <v>15292</v>
      </c>
      <c r="B15292" s="2" t="str">
        <f>IFERROR(__xludf.DUMMYFUNCTION("GOOGLETRANSLATE(A15292, ""en"", ""mt"")"),"Meta l-OPEC bdiet tirranġa l-prezzijiet taż-żejt?")</f>
        <v>Meta l-OPEC bdiet tirranġa l-prezzijiet taż-żejt?</v>
      </c>
    </row>
    <row r="15293" ht="15.75" customHeight="1">
      <c r="A15293" s="2" t="s">
        <v>15293</v>
      </c>
      <c r="B15293" s="2" t="str">
        <f>IFERROR(__xludf.DUMMYFUNCTION("GOOGLETRANSLATE(A15293, ""en"", ""mt"")"),"Il-Knisja Parrokkjali ta ’St Andrew")</f>
        <v>Il-Knisja Parrokkjali ta ’St Andrew</v>
      </c>
    </row>
    <row r="15294" ht="15.75" customHeight="1">
      <c r="A15294" s="2" t="s">
        <v>15294</v>
      </c>
      <c r="B15294" s="2" t="str">
        <f>IFERROR(__xludf.DUMMYFUNCTION("GOOGLETRANSLATE(A15294, ""en"", ""mt"")"),"Bi tweġiba għall-għajnuna Amerikana lill-Iżrael")</f>
        <v>Bi tweġiba għall-għajnuna Amerikana lill-Iżrael</v>
      </c>
    </row>
    <row r="15295" ht="15.75" customHeight="1">
      <c r="A15295" s="2" t="s">
        <v>15295</v>
      </c>
      <c r="B15295" s="2" t="str">
        <f>IFERROR(__xludf.DUMMYFUNCTION("GOOGLETRANSLATE(A15295, ""en"", ""mt"")"),"Fuq xiex jiddependi l-IPCC għar-riċerka?")</f>
        <v>Fuq xiex jiddependi l-IPCC għar-riċerka?</v>
      </c>
    </row>
    <row r="15296" ht="15.75" customHeight="1">
      <c r="A15296" s="2" t="s">
        <v>15296</v>
      </c>
      <c r="B15296" s="2" t="str">
        <f>IFERROR(__xludf.DUMMYFUNCTION("GOOGLETRANSLATE(A15296, ""en"", ""mt"")"),"Liema fruntiera tirriżulta r-Renu min-nofsinhar?")</f>
        <v>Liema fruntiera tirriżulta r-Renu min-nofsinhar?</v>
      </c>
    </row>
    <row r="15297" ht="15.75" customHeight="1">
      <c r="A15297" s="2" t="s">
        <v>15297</v>
      </c>
      <c r="B15297" s="2" t="str">
        <f>IFERROR(__xludf.DUMMYFUNCTION("GOOGLETRANSLATE(A15297, ""en"", ""mt"")"),"Tip ieħor ta 'kumitat huwa normalment imwaqqaf biex jifli l-kontijiet privati ​​sottomessi lill-Parlament Skoċċiż minn partit estern jew promotur li mhux membru tal-Parlament Skoċċiż jew tal-gvern Skoċċiż. Il-kontijiet privati ​​normalment jirrelataw ma '"&amp;"proġetti ta' żvilupp fuq skala kbira bħal proġetti ta 'infrastruttura li jeħtieġu l-użu ta' art jew proprjetà. Ġew stabbiliti kumitati ta 'abbozzi privati ​​biex jikkunsidraw leġiżlazzjoni dwar kwistjonijiet bħall-iżvilupp tan-Netwerk tat-Tram ta' Edinbur"&amp;"gu, il-Link Ferrovjarju tal-Ajruport ta 'Glasgow, il-link tal-ferrovija Airdrie-Bathgate u estensjonijiet għall-Gallerija Nazzjonali tal-Iskozja.")</f>
        <v>Tip ieħor ta 'kumitat huwa normalment imwaqqaf biex jifli l-kontijiet privati ​​sottomessi lill-Parlament Skoċċiż minn partit estern jew promotur li mhux membru tal-Parlament Skoċċiż jew tal-gvern Skoċċiż. Il-kontijiet privati ​​normalment jirrelataw ma 'proġetti ta' żvilupp fuq skala kbira bħal proġetti ta 'infrastruttura li jeħtieġu l-użu ta' art jew proprjetà. Ġew stabbiliti kumitati ta 'abbozzi privati ​​biex jikkunsidraw leġiżlazzjoni dwar kwistjonijiet bħall-iżvilupp tan-Netwerk tat-Tram ta' Edinburgu, il-Link Ferrovjarju tal-Ajruport ta 'Glasgow, il-link tal-ferrovija Airdrie-Bathgate u estensjonijiet għall-Gallerija Nazzjonali tal-Iskozja.</v>
      </c>
    </row>
    <row r="15298" ht="15.75" customHeight="1">
      <c r="A15298" s="2" t="s">
        <v>15298</v>
      </c>
      <c r="B15298" s="2" t="str">
        <f>IFERROR(__xludf.DUMMYFUNCTION("GOOGLETRANSLATE(A15298, ""en"", ""mt"")"),"Il-limiti ta 'fuq u t'isfel huma ġeneralment iddikjarati bl-użu ta' notazzjoni kbira O, li taħbi fatturi kostanti u termini iżgħar. Dan jagħmel il-limiti indipendenti mid-dettalji speċifiċi tal-mudell tal-komputazzjoni użat. Pereżempju, jekk t (n) = 7n2 +"&amp;" 15n + 40, fin-notazzjoni kbira waħda tikteb t (n) = o (n2).")</f>
        <v>Il-limiti ta 'fuq u t'isfel huma ġeneralment iddikjarati bl-użu ta' notazzjoni kbira O, li taħbi fatturi kostanti u termini iżgħar. Dan jagħmel il-limiti indipendenti mid-dettalji speċifiċi tal-mudell tal-komputazzjoni użat. Pereżempju, jekk t (n) = 7n2 + 15n + 40, fin-notazzjoni kbira waħda tikteb t (n) = o (n2).</v>
      </c>
    </row>
    <row r="15299" ht="15.75" customHeight="1">
      <c r="A15299" s="2" t="s">
        <v>15299</v>
      </c>
      <c r="B15299" s="2" t="str">
        <f>IFERROR(__xludf.DUMMYFUNCTION("GOOGLETRANSLATE(A15299, ""en"", ""mt"")"),"diviżjoni")</f>
        <v>diviżjoni</v>
      </c>
    </row>
    <row r="15300" ht="15.75" customHeight="1">
      <c r="A15300" s="2" t="s">
        <v>15300</v>
      </c>
      <c r="B15300" s="2" t="str">
        <f>IFERROR(__xludf.DUMMYFUNCTION("GOOGLETRANSLATE(A15300, ""en"", ""mt"")"),"Sierra Sky Park")</f>
        <v>Sierra Sky Park</v>
      </c>
    </row>
    <row r="15301" ht="15.75" customHeight="1">
      <c r="A15301" s="2" t="s">
        <v>15301</v>
      </c>
      <c r="B15301" s="2" t="str">
        <f>IFERROR(__xludf.DUMMYFUNCTION("GOOGLETRANSLATE(A15301, ""en"", ""mt"")"),"Fl-2007, BSKYB u Virgin Media saru involuti f'tilwima dwar il-ġarr ta 'stazzjonijiet tas-sema fuq it-TV bil-kejbil. In-nuqqas ta 'ġedded il-ftehimiet ta' ġarr eżistenti nnegozjati ma 'NTL u t-telewest irriżulta f'Virgin Media li tneħħi l-kanali bażiċi min"&amp;"-netwerk fl-1 ta' Marzu 2007. Virgin Media sostniet li BSKYB żiedet sostanzjalment il-prezz mitlub għall-kanali, talba li BSKYB ċaħad, Fuq il-bażi li l-ftehim il-ġdid tagħhom offra ""sostanzjalment aktar valur"" billi jinkludi kanali HD u kontenut ta 'vid"&amp;"jow fuq talba li qabel ma kienx imwettaq minn cable.")</f>
        <v>Fl-2007, BSKYB u Virgin Media saru involuti f'tilwima dwar il-ġarr ta 'stazzjonijiet tas-sema fuq it-TV bil-kejbil. In-nuqqas ta 'ġedded il-ftehimiet ta' ġarr eżistenti nnegozjati ma 'NTL u t-telewest irriżulta f'Virgin Media li tneħħi l-kanali bażiċi min-netwerk fl-1 ta' Marzu 2007. Virgin Media sostniet li BSKYB żiedet sostanzjalment il-prezz mitlub għall-kanali, talba li BSKYB ċaħad, Fuq il-bażi li l-ftehim il-ġdid tagħhom offra "sostanzjalment aktar valur" billi jinkludi kanali HD u kontenut ta 'vidjow fuq talba li qabel ma kienx imwettaq minn cable.</v>
      </c>
    </row>
    <row r="15302" ht="15.75" customHeight="1">
      <c r="A15302" s="2" t="s">
        <v>15302</v>
      </c>
      <c r="B15302" s="2" t="str">
        <f>IFERROR(__xludf.DUMMYFUNCTION("GOOGLETRANSLATE(A15302, ""en"", ""mt"")"),"F'liema tip ta 'postijiet jintużaw torrijiet tat-tkessiħ niexef?")</f>
        <v>F'liema tip ta 'postijiet jintużaw torrijiet tat-tkessiħ niexef?</v>
      </c>
    </row>
    <row r="15303" ht="15.75" customHeight="1">
      <c r="A15303" s="2" t="s">
        <v>15303</v>
      </c>
      <c r="B15303" s="2" t="str">
        <f>IFERROR(__xludf.DUMMYFUNCTION("GOOGLETRANSLATE(A15303, ""en"", ""mt"")"),"Il-politiki tal-kiri barra mill-kampus tal-università.")</f>
        <v>Il-politiki tal-kiri barra mill-kampus tal-università.</v>
      </c>
    </row>
    <row r="15304" ht="15.75" customHeight="1">
      <c r="A15304" s="2" t="s">
        <v>15304</v>
      </c>
      <c r="B15304" s="2" t="str">
        <f>IFERROR(__xludf.DUMMYFUNCTION("GOOGLETRANSLATE(A15304, ""en"", ""mt"")"),"Kemm kilometri ta 'acres tal-foresta tropikali Ekwadorjana huma appoġġjati?")</f>
        <v>Kemm kilometri ta 'acres tal-foresta tropikali Ekwadorjana huma appoġġjati?</v>
      </c>
    </row>
    <row r="15305" ht="15.75" customHeight="1">
      <c r="A15305" s="2" t="s">
        <v>15305</v>
      </c>
      <c r="B15305" s="2" t="str">
        <f>IFERROR(__xludf.DUMMYFUNCTION("GOOGLETRANSLATE(A15305, ""en"", ""mt"")"),"Min lagħab il-Broncos fl-aħħar ġimgħa tal-istaġun regolari?")</f>
        <v>Min lagħab il-Broncos fl-aħħar ġimgħa tal-istaġun regolari?</v>
      </c>
    </row>
    <row r="15306" ht="15.75" customHeight="1">
      <c r="A15306" s="2" t="s">
        <v>15306</v>
      </c>
      <c r="B15306" s="2" t="str">
        <f>IFERROR(__xludf.DUMMYFUNCTION("GOOGLETRANSLATE(A15306, ""en"", ""mt"")"),"Liema teologu kien differenti fil-fehmiet dwar ir-ruħ minn Luther?")</f>
        <v>Liema teologu kien differenti fil-fehmiet dwar ir-ruħ minn Luther?</v>
      </c>
    </row>
    <row r="15307" ht="15.75" customHeight="1">
      <c r="A15307" s="2" t="s">
        <v>15307</v>
      </c>
      <c r="B15307" s="2" t="str">
        <f>IFERROR(__xludf.DUMMYFUNCTION("GOOGLETRANSLATE(A15307, ""en"", ""mt"")"),"13-il sena u 48 jum")</f>
        <v>13-il sena u 48 jum</v>
      </c>
    </row>
    <row r="15308" ht="15.75" customHeight="1">
      <c r="A15308" s="2" t="s">
        <v>15308</v>
      </c>
      <c r="B15308" s="2" t="str">
        <f>IFERROR(__xludf.DUMMYFUNCTION("GOOGLETRANSLATE(A15308, ""en"", ""mt"")"),"X'kienu tnejn mill-isbaħ bini arkitettoniku ta 'Fresno li issa huma mwaqqa'?")</f>
        <v>X'kienu tnejn mill-isbaħ bini arkitettoniku ta 'Fresno li issa huma mwaqqa'?</v>
      </c>
    </row>
    <row r="15309" ht="15.75" customHeight="1">
      <c r="A15309" s="2" t="s">
        <v>15309</v>
      </c>
      <c r="B15309" s="2" t="str">
        <f>IFERROR(__xludf.DUMMYFUNCTION("GOOGLETRANSLATE(A15309, ""en"", ""mt"")"),"Min immaniġġja l-kummentarju tal-kulur għall-istazzjonijiet tar-radju ta 'Denver?")</f>
        <v>Min immaniġġja l-kummentarju tal-kulur għall-istazzjonijiet tar-radju ta 'Denver?</v>
      </c>
    </row>
    <row r="15310" ht="15.75" customHeight="1">
      <c r="A15310" s="2" t="s">
        <v>15310</v>
      </c>
      <c r="B15310" s="2" t="str">
        <f>IFERROR(__xludf.DUMMYFUNCTION("GOOGLETRANSLATE(A15310, ""en"", ""mt"")"),"Karta tal-flus tal-benesseri")</f>
        <v>Karta tal-flus tal-benesseri</v>
      </c>
    </row>
    <row r="15311" ht="15.75" customHeight="1">
      <c r="A15311" s="2" t="s">
        <v>15311</v>
      </c>
      <c r="B15311" s="2" t="str">
        <f>IFERROR(__xludf.DUMMYFUNCTION("GOOGLETRANSLATE(A15311, ""en"", ""mt"")"),"X'kienet l-okkupazzjoni ta 'Joseph Priestley?")</f>
        <v>X'kienet l-okkupazzjoni ta 'Joseph Priestley?</v>
      </c>
    </row>
    <row r="15312" ht="15.75" customHeight="1">
      <c r="A15312" s="2" t="s">
        <v>15312</v>
      </c>
      <c r="B15312" s="2" t="str">
        <f>IFERROR(__xludf.DUMMYFUNCTION("GOOGLETRANSLATE(A15312, ""en"", ""mt"")"),"Madwar kemm hemm tpinġijiet tal-perit Taljan Andrea Palladio fil-kollezzjoni RIBA?")</f>
        <v>Madwar kemm hemm tpinġijiet tal-perit Taljan Andrea Palladio fil-kollezzjoni RIBA?</v>
      </c>
    </row>
    <row r="15313" ht="15.75" customHeight="1">
      <c r="A15313" s="2" t="s">
        <v>15313</v>
      </c>
      <c r="B15313" s="2" t="str">
        <f>IFERROR(__xludf.DUMMYFUNCTION("GOOGLETRANSLATE(A15313, ""en"", ""mt"")"),"X'kien l-iżvilupp aħħari tal-magna orizzontali?")</f>
        <v>X'kien l-iżvilupp aħħari tal-magna orizzontali?</v>
      </c>
    </row>
    <row r="15314" ht="15.75" customHeight="1">
      <c r="A15314" s="2" t="s">
        <v>15314</v>
      </c>
      <c r="B15314" s="2" t="str">
        <f>IFERROR(__xludf.DUMMYFUNCTION("GOOGLETRANSLATE(A15314, ""en"", ""mt"")"),"il-bitti tagħhom")</f>
        <v>il-bitti tagħhom</v>
      </c>
    </row>
    <row r="15315" ht="15.75" customHeight="1">
      <c r="A15315" s="2" t="s">
        <v>15315</v>
      </c>
      <c r="B15315" s="2" t="str">
        <f>IFERROR(__xludf.DUMMYFUNCTION("GOOGLETRANSLATE(A15315, ""en"", ""mt"")"),"Problemi ta 'deċiżjoni huma wieħed mill-oġġetti ċentrali ta' studju fit-teorija tal-kumplessità tal-komputazzjoni. Problema ta 'deċiżjoni hija tip speċjali ta' problema tal-komputazzjoni li t-tweġiba tagħha hija jew iva jew le, jew alternattivament jew 1 "&amp;"jew 0. Problema ta 'deċiżjoni tista' titqies bħala lingwa formali, fejn il-membri tal-lingwa huma każijiet li l-produzzjoni tagħhom hija iva, u Il-membri mhux huma dawk il-każijiet li l-produzzjoni tagħhom hija le. L-għan huwa li tiddeċiedi, bl-għajnuna t"&amp;"a 'algoritmu, jekk korda ta' input partikolari hijiex membru tal-lingwa formali li qed tiġi kkunsidrata. Jekk l-algoritmu jiddeċiedi din il-problema jirritorna t-tweġiba iva, l-algoritmu jingħad li jaċċetta l-korda tal-input, inkella jingħad li jirrifjuta"&amp;" l-input.")</f>
        <v>Problemi ta 'deċiżjoni huma wieħed mill-oġġetti ċentrali ta' studju fit-teorija tal-kumplessità tal-komputazzjoni. Problema ta 'deċiżjoni hija tip speċjali ta' problema tal-komputazzjoni li t-tweġiba tagħha hija jew iva jew le, jew alternattivament jew 1 jew 0. Problema ta 'deċiżjoni tista' titqies bħala lingwa formali, fejn il-membri tal-lingwa huma każijiet li l-produzzjoni tagħhom hija iva, u Il-membri mhux huma dawk il-każijiet li l-produzzjoni tagħhom hija le. L-għan huwa li tiddeċiedi, bl-għajnuna ta 'algoritmu, jekk korda ta' input partikolari hijiex membru tal-lingwa formali li qed tiġi kkunsidrata. Jekk l-algoritmu jiddeċiedi din il-problema jirritorna t-tweġiba iva, l-algoritmu jingħad li jaċċetta l-korda tal-input, inkella jingħad li jirrifjuta l-input.</v>
      </c>
    </row>
    <row r="15316" ht="15.75" customHeight="1">
      <c r="A15316" s="2" t="s">
        <v>15316</v>
      </c>
      <c r="B15316" s="2" t="str">
        <f>IFERROR(__xludf.DUMMYFUNCTION("GOOGLETRANSLATE(A15316, ""en"", ""mt"")"),"X'inhu l-isem tar-raħal li darba kien jeżisti f'liema huwa d-downtown ta 'Jacksonville?")</f>
        <v>X'inhu l-isem tar-raħal li darba kien jeżisti f'liema huwa d-downtown ta 'Jacksonville?</v>
      </c>
    </row>
    <row r="15317" ht="15.75" customHeight="1">
      <c r="A15317" s="2" t="s">
        <v>15317</v>
      </c>
      <c r="B15317" s="2" t="str">
        <f>IFERROR(__xludf.DUMMYFUNCTION("GOOGLETRANSLATE(A15317, ""en"", ""mt"")"),"Sussidenza tettonika kontinwa")</f>
        <v>Sussidenza tettonika kontinwa</v>
      </c>
    </row>
    <row r="15318" ht="15.75" customHeight="1">
      <c r="A15318" s="2" t="s">
        <v>15318</v>
      </c>
      <c r="B15318" s="2" t="str">
        <f>IFERROR(__xludf.DUMMYFUNCTION("GOOGLETRANSLATE(A15318, ""en"", ""mt"")"),"Anke jekk xi provi ta 'teoremi teoretiċi ta' kumplessità jassumu regolarment xi għażla konkreta ta 'kodifikazzjoni ta' input, wieħed jipprova jżomm id-diskussjoni astratta biżżejjed biex tkun indipendenti mill-għażla tal-kodifikazzjoni. Dan jista 'jinkise"&amp;"b billi jiġi żgurat li rappreżentazzjonijiet differenti jistgħu jiġu trasformati f'xulxin b'mod effiċjenti.")</f>
        <v>Anke jekk xi provi ta 'teoremi teoretiċi ta' kumplessità jassumu regolarment xi għażla konkreta ta 'kodifikazzjoni ta' input, wieħed jipprova jżomm id-diskussjoni astratta biżżejjed biex tkun indipendenti mill-għażla tal-kodifikazzjoni. Dan jista 'jinkiseb billi jiġi żgurat li rappreżentazzjonijiet differenti jistgħu jiġu trasformati f'xulxin b'mod effiċjenti.</v>
      </c>
    </row>
    <row r="15319" ht="15.75" customHeight="1">
      <c r="A15319" s="2" t="s">
        <v>15319</v>
      </c>
      <c r="B15319" s="2" t="str">
        <f>IFERROR(__xludf.DUMMYFUNCTION("GOOGLETRANSLATE(A15319, ""en"", ""mt"")"),"Politika: Segretarju Ġenerali U.N. Ban Ki-moon; Il-mexxejja politiċi Amerikani John Hancock, John Adams, John Quincy Adams, Rutherford B. Hayes, Theodore Roosevelt, Franklin D. Roosevelt, John F. Kennedy, Al Gore, George W. Bush u Barack Obama; Il-Preside"&amp;"nt Ċilen Sebastián Piñera; Il-President Kolombjan Juan Manuel Santos; Il-President tal-Kosta Rika José María Figueres; Il-presidenti Messikani Felipe Calderón, Carlos Salinas de Gortari u Miguel de la Madrid; President Mongoljan Tsakhiagiin Elbegdorj; Il-"&amp;"President Peruvjan Alejandro Toledo; Il-President Tajwaniż Ma Ying-jeou; Il-Gvernatur Kanadiż Ġenerali David Lloyd Johnston; Membru tal-Parlament Indjan Jayant Sinha; Fan tal-Prim Ministru Albaniż S. Noli; Il-Prim Ministri Kanadiżi Mackenzie King u Pierre"&amp;" Trudeau; Il-Prim Ministru Grieg Antonis Samaras; Il-Prim Ministru Iżraeljan Benjamin Netanyahu; L-ex Prim Ministru Pakistani Benazir Bhutto; U. S. Segretarju tad-Djar u l-Iżvilupp Urban Shaun Donovan; Mexxej politiku Kanadiż Michael Ignatieff; Membri Pak"&amp;"istani tal-Assemblea Provinċjali Murtaza Bhutto u Sanam Bhutto; Ministru tal-Finanzi tal-Bangladexx Abul Maal Abdul Muhith; President ta 'Puntland Abdiweli Mohamed Ali; Ambaxxatur tal-Istati Uniti għall-Unjoni Ewropea Anthony Luzzatto Gardner.")</f>
        <v>Politika: Segretarju Ġenerali U.N. Ban Ki-moon; Il-mexxejja politiċi Amerikani John Hancock, John Adams, John Quincy Adams, Rutherford B. Hayes, Theodore Roosevelt, Franklin D. Roosevelt, John F. Kennedy, Al Gore, George W. Bush u Barack Obama; Il-President Ċilen Sebastián Piñera; Il-President Kolombjan Juan Manuel Santos; Il-President tal-Kosta Rika José María Figueres; Il-presidenti Messikani Felipe Calderón, Carlos Salinas de Gortari u Miguel de la Madrid; President Mongoljan Tsakhiagiin Elbegdorj; Il-President Peruvjan Alejandro Toledo; Il-President Tajwaniż Ma Ying-jeou; Il-Gvernatur Kanadiż Ġenerali David Lloyd Johnston; Membru tal-Parlament Indjan Jayant Sinha; Fan tal-Prim Ministru Albaniż S. Noli; Il-Prim Ministri Kanadiżi Mackenzie King u Pierre Trudeau; Il-Prim Ministru Grieg Antonis Samaras; Il-Prim Ministru Iżraeljan Benjamin Netanyahu; L-ex Prim Ministru Pakistani Benazir Bhutto; U. S. Segretarju tad-Djar u l-Iżvilupp Urban Shaun Donovan; Mexxej politiku Kanadiż Michael Ignatieff; Membri Pakistani tal-Assemblea Provinċjali Murtaza Bhutto u Sanam Bhutto; Ministru tal-Finanzi tal-Bangladexx Abul Maal Abdul Muhith; President ta 'Puntland Abdiweli Mohamed Ali; Ambaxxatur tal-Istati Uniti għall-Unjoni Ewropea Anthony Luzzatto Gardner.</v>
      </c>
    </row>
    <row r="15320" ht="15.75" customHeight="1">
      <c r="A15320" s="2" t="s">
        <v>15320</v>
      </c>
      <c r="B15320" s="2" t="str">
        <f>IFERROR(__xludf.DUMMYFUNCTION("GOOGLETRANSLATE(A15320, ""en"", ""mt"")"),"14%")</f>
        <v>14%</v>
      </c>
    </row>
    <row r="15321" ht="15.75" customHeight="1">
      <c r="A15321" s="2" t="s">
        <v>15321</v>
      </c>
      <c r="B15321" s="2" t="str">
        <f>IFERROR(__xludf.DUMMYFUNCTION("GOOGLETRANSLATE(A15321, ""en"", ""mt"")"),"Kemm hemm ċrieki PD?")</f>
        <v>Kemm hemm ċrieki PD?</v>
      </c>
    </row>
    <row r="15322" ht="15.75" customHeight="1">
      <c r="A15322" s="2" t="s">
        <v>15322</v>
      </c>
      <c r="B15322" s="2" t="str">
        <f>IFERROR(__xludf.DUMMYFUNCTION("GOOGLETRANSLATE(A15322, ""en"", ""mt"")"),"X'inhi tip ta 'rispons ta' difiża li jagħmel l-impjant kollu reżistenti għal aġent partikolari?")</f>
        <v>X'inhi tip ta 'rispons ta' difiża li jagħmel l-impjant kollu reżistenti għal aġent partikolari?</v>
      </c>
    </row>
    <row r="15323" ht="15.75" customHeight="1">
      <c r="A15323" s="2" t="s">
        <v>15323</v>
      </c>
      <c r="B15323" s="2" t="str">
        <f>IFERROR(__xludf.DUMMYFUNCTION("GOOGLETRANSLATE(A15323, ""en"", ""mt"")"),"Aġenziji mhux governattivi")</f>
        <v>Aġenziji mhux governattivi</v>
      </c>
    </row>
    <row r="15324" ht="15.75" customHeight="1">
      <c r="A15324" s="2" t="s">
        <v>15324</v>
      </c>
      <c r="B15324" s="2" t="str">
        <f>IFERROR(__xludf.DUMMYFUNCTION("GOOGLETRANSLATE(A15324, ""en"", ""mt"")"),"Ma 'min għamel Alexander niżżewweġ?")</f>
        <v>Ma 'min għamel Alexander niżżewweġ?</v>
      </c>
    </row>
    <row r="15325" ht="15.75" customHeight="1">
      <c r="A15325" s="2" t="s">
        <v>15325</v>
      </c>
      <c r="B15325" s="2" t="str">
        <f>IFERROR(__xludf.DUMMYFUNCTION("GOOGLETRANSLATE(A15325, ""en"", ""mt"")"),"ippruvat jidħol fis-sit tat-test")</f>
        <v>ippruvat jidħol fis-sit tat-test</v>
      </c>
    </row>
    <row r="15326" ht="15.75" customHeight="1">
      <c r="A15326" s="2" t="s">
        <v>15326</v>
      </c>
      <c r="B15326" s="2" t="str">
        <f>IFERROR(__xludf.DUMMYFUNCTION("GOOGLETRANSLATE(A15326, ""en"", ""mt"")"),"Soċjaliżmu f’pajjiż wieħed")</f>
        <v>Soċjaliżmu f’pajjiż wieħed</v>
      </c>
    </row>
    <row r="15327" ht="15.75" customHeight="1">
      <c r="A15327" s="2" t="s">
        <v>15327</v>
      </c>
      <c r="B15327" s="2" t="str">
        <f>IFERROR(__xludf.DUMMYFUNCTION("GOOGLETRANSLATE(A15327, ""en"", ""mt"")"),"Il-ħdax-il tabib")</f>
        <v>Il-ħdax-il tabib</v>
      </c>
    </row>
    <row r="15328" ht="15.75" customHeight="1">
      <c r="A15328" s="2" t="s">
        <v>15328</v>
      </c>
      <c r="B15328" s="2" t="str">
        <f>IFERROR(__xludf.DUMMYFUNCTION("GOOGLETRANSLATE(A15328, ""en"", ""mt"")"),"Kif kienu l-Ingliżi kapaċi jaqtgħu l-provvisti lil Louisbourg?")</f>
        <v>Kif kienu l-Ingliżi kapaċi jaqtgħu l-provvisti lil Louisbourg?</v>
      </c>
    </row>
    <row r="15329" ht="15.75" customHeight="1">
      <c r="A15329" s="2" t="s">
        <v>15329</v>
      </c>
      <c r="B15329" s="2" t="str">
        <f>IFERROR(__xludf.DUMMYFUNCTION("GOOGLETRANSLATE(A15329, ""en"", ""mt"")"),"It-tieni nofs tas-seklu 20")</f>
        <v>It-tieni nofs tas-seklu 20</v>
      </c>
    </row>
    <row r="15330" ht="15.75" customHeight="1">
      <c r="A15330" s="2" t="s">
        <v>15330</v>
      </c>
      <c r="B15330" s="2" t="str">
        <f>IFERROR(__xludf.DUMMYFUNCTION("GOOGLETRANSLATE(A15330, ""en"", ""mt"")"),"Anglo-Sassonu")</f>
        <v>Anglo-Sassonu</v>
      </c>
    </row>
    <row r="15331" ht="15.75" customHeight="1">
      <c r="A15331" s="2" t="s">
        <v>15331</v>
      </c>
      <c r="B15331" s="2" t="str">
        <f>IFERROR(__xludf.DUMMYFUNCTION("GOOGLETRANSLATE(A15331, ""en"", ""mt"")"),"Oppidum ubiorum")</f>
        <v>Oppidum ubiorum</v>
      </c>
    </row>
    <row r="15332" ht="15.75" customHeight="1">
      <c r="A15332" s="2" t="s">
        <v>15332</v>
      </c>
      <c r="B15332" s="2" t="str">
        <f>IFERROR(__xludf.DUMMYFUNCTION("GOOGLETRANSLATE(A15332, ""en"", ""mt"")"),"interazzjoni elettroweak aktar fundamentali")</f>
        <v>interazzjoni elettroweak aktar fundamentali</v>
      </c>
    </row>
    <row r="15333" ht="15.75" customHeight="1">
      <c r="A15333" s="2" t="s">
        <v>15333</v>
      </c>
      <c r="B15333" s="2" t="str">
        <f>IFERROR(__xludf.DUMMYFUNCTION("GOOGLETRANSLATE(A15333, ""en"", ""mt"")"),"Tfal ta 'Genghis Khan")</f>
        <v>Tfal ta 'Genghis Khan</v>
      </c>
    </row>
    <row r="15334" ht="15.75" customHeight="1">
      <c r="A15334" s="2" t="s">
        <v>15334</v>
      </c>
      <c r="B15334" s="2" t="str">
        <f>IFERROR(__xludf.DUMMYFUNCTION("GOOGLETRANSLATE(A15334, ""en"", ""mt"")"),"X'għandhom ikunu soċjetajiet estremament mhux ugwali?")</f>
        <v>X'għandhom ikunu soċjetajiet estremament mhux ugwali?</v>
      </c>
    </row>
    <row r="15335" ht="15.75" customHeight="1">
      <c r="A15335" s="2" t="s">
        <v>15335</v>
      </c>
      <c r="B15335" s="2" t="str">
        <f>IFERROR(__xludf.DUMMYFUNCTION("GOOGLETRANSLATE(A15335, ""en"", ""mt"")"),"fetaħ il-bibien għall-Mongoli")</f>
        <v>fetaħ il-bibien għall-Mongoli</v>
      </c>
    </row>
    <row r="15336" ht="15.75" customHeight="1">
      <c r="A15336" s="2" t="s">
        <v>15336</v>
      </c>
      <c r="B15336" s="2" t="str">
        <f>IFERROR(__xludf.DUMMYFUNCTION("GOOGLETRANSLATE(A15336, ""en"", ""mt"")"),"Liema entità huwa l-korp leġiżlattiv sekondarju?")</f>
        <v>Liema entità huwa l-korp leġiżlattiv sekondarju?</v>
      </c>
    </row>
    <row r="15337" ht="15.75" customHeight="1">
      <c r="A15337" s="2" t="s">
        <v>15337</v>
      </c>
      <c r="B15337" s="2" t="str">
        <f>IFERROR(__xludf.DUMMYFUNCTION("GOOGLETRANSLATE(A15337, ""en"", ""mt"")"),"Kamra tal-kombustjoni")</f>
        <v>Kamra tal-kombustjoni</v>
      </c>
    </row>
    <row r="15338" ht="15.75" customHeight="1">
      <c r="A15338" s="2" t="s">
        <v>15338</v>
      </c>
      <c r="B15338" s="2" t="str">
        <f>IFERROR(__xludf.DUMMYFUNCTION("GOOGLETRANSLATE(A15338, ""en"", ""mt"")"),"Immunodefiċjenza")</f>
        <v>Immunodefiċjenza</v>
      </c>
    </row>
    <row r="15339" ht="15.75" customHeight="1">
      <c r="A15339" s="2" t="s">
        <v>15339</v>
      </c>
      <c r="B15339" s="2" t="str">
        <f>IFERROR(__xludf.DUMMYFUNCTION("GOOGLETRANSLATE(A15339, ""en"", ""mt"")"),"L-akbar marka ta 'liema maħżen fir-Renju Unit tinsab fil-Park Kingston?")</f>
        <v>L-akbar marka ta 'liema maħżen fir-Renju Unit tinsab fil-Park Kingston?</v>
      </c>
    </row>
    <row r="15340" ht="15.75" customHeight="1">
      <c r="A15340" s="2" t="s">
        <v>15340</v>
      </c>
      <c r="B15340" s="2" t="str">
        <f>IFERROR(__xludf.DUMMYFUNCTION("GOOGLETRANSLATE(A15340, ""en"", ""mt"")"),"Sawdi")</f>
        <v>Sawdi</v>
      </c>
    </row>
    <row r="15341" ht="15.75" customHeight="1">
      <c r="A15341" s="2" t="s">
        <v>15341</v>
      </c>
      <c r="B15341" s="2" t="str">
        <f>IFERROR(__xludf.DUMMYFUNCTION("GOOGLETRANSLATE(A15341, ""en"", ""mt"")"),"Fejn imorru ħafna negozjanti u esploraturi?")</f>
        <v>Fejn imorru ħafna negozjanti u esploraturi?</v>
      </c>
    </row>
    <row r="15342" ht="15.75" customHeight="1">
      <c r="A15342" s="2" t="s">
        <v>15342</v>
      </c>
      <c r="B15342" s="2" t="str">
        <f>IFERROR(__xludf.DUMMYFUNCTION("GOOGLETRANSLATE(A15342, ""en"", ""mt"")"),"X’talket il-knisja li setgħet tiġi evitata bil-flus?")</f>
        <v>X’talket il-knisja li setgħet tiġi evitata bil-flus?</v>
      </c>
    </row>
    <row r="15343" ht="15.75" customHeight="1">
      <c r="A15343" s="2" t="s">
        <v>15343</v>
      </c>
      <c r="B15343" s="2" t="str">
        <f>IFERROR(__xludf.DUMMYFUNCTION("GOOGLETRANSLATE(A15343, ""en"", ""mt"")"),"Kemm huma kbar ribosomi ċitoplasmiċi?")</f>
        <v>Kemm huma kbar ribosomi ċitoplasmiċi?</v>
      </c>
    </row>
    <row r="15344" ht="15.75" customHeight="1">
      <c r="A15344" s="2" t="s">
        <v>15344</v>
      </c>
      <c r="B15344" s="2" t="str">
        <f>IFERROR(__xludf.DUMMYFUNCTION("GOOGLETRANSLATE(A15344, ""en"", ""mt"")"),"Att dwar l-Indipendenza tal-Kenja")</f>
        <v>Att dwar l-Indipendenza tal-Kenja</v>
      </c>
    </row>
    <row r="15345" ht="15.75" customHeight="1">
      <c r="A15345" s="2" t="s">
        <v>15345</v>
      </c>
      <c r="B15345" s="2" t="str">
        <f>IFERROR(__xludf.DUMMYFUNCTION("GOOGLETRANSLATE(A15345, ""en"", ""mt"")"),"X'tip ta 'sistema immuni għandhom batterji?")</f>
        <v>X'tip ta 'sistema immuni għandhom batterji?</v>
      </c>
    </row>
    <row r="15346" ht="15.75" customHeight="1">
      <c r="A15346" s="2" t="s">
        <v>15346</v>
      </c>
      <c r="B15346" s="2" t="str">
        <f>IFERROR(__xludf.DUMMYFUNCTION("GOOGLETRANSLATE(A15346, ""en"", ""mt"")"),"Ban Ki-moon")</f>
        <v>Ban Ki-moon</v>
      </c>
    </row>
    <row r="15347" ht="15.75" customHeight="1">
      <c r="A15347" s="2" t="s">
        <v>15347</v>
      </c>
      <c r="B15347" s="2" t="str">
        <f>IFERROR(__xludf.DUMMYFUNCTION("GOOGLETRANSLATE(A15347, ""en"", ""mt"")"),"Fil-mudell b'saffi tad-dinja, il-mantell għandu żewġ saffi taħtha. X'inhuma?")</f>
        <v>Fil-mudell b'saffi tad-dinja, il-mantell għandu żewġ saffi taħtha. X'inhuma?</v>
      </c>
    </row>
    <row r="15348" ht="15.75" customHeight="1">
      <c r="A15348" s="2" t="s">
        <v>15348</v>
      </c>
      <c r="B15348" s="2" t="str">
        <f>IFERROR(__xludf.DUMMYFUNCTION("GOOGLETRANSLATE(A15348, ""en"", ""mt"")"),"kmieni fl-1546")</f>
        <v>kmieni fl-1546</v>
      </c>
    </row>
    <row r="15349" ht="15.75" customHeight="1">
      <c r="A15349" s="2" t="s">
        <v>15349</v>
      </c>
      <c r="B15349" s="2" t="str">
        <f>IFERROR(__xludf.DUMMYFUNCTION("GOOGLETRANSLATE(A15349, ""en"", ""mt"")"),"skala globali")</f>
        <v>skala globali</v>
      </c>
    </row>
    <row r="15350" ht="15.75" customHeight="1">
      <c r="A15350" s="2" t="s">
        <v>15350</v>
      </c>
      <c r="B15350" s="2" t="str">
        <f>IFERROR(__xludf.DUMMYFUNCTION("GOOGLETRANSLATE(A15350, ""en"", ""mt"")"),"X'inhi d-denominazzjoni ewlenija tal-Insara fil-Kenja?")</f>
        <v>X'inhi d-denominazzjoni ewlenija tal-Insara fil-Kenja?</v>
      </c>
    </row>
    <row r="15351" ht="15.75" customHeight="1">
      <c r="A15351" s="2" t="s">
        <v>15351</v>
      </c>
      <c r="B15351" s="2" t="str">
        <f>IFERROR(__xludf.DUMMYFUNCTION("GOOGLETRANSLATE(A15351, ""en"", ""mt"")"),"Min jittratta l-maġġoranza tal-popolazzjoni medikament?")</f>
        <v>Min jittratta l-maġġoranza tal-popolazzjoni medikament?</v>
      </c>
    </row>
    <row r="15352" ht="15.75" customHeight="1">
      <c r="A15352" s="2" t="s">
        <v>15352</v>
      </c>
      <c r="B15352" s="2" t="str">
        <f>IFERROR(__xludf.DUMMYFUNCTION("GOOGLETRANSLATE(A15352, ""en"", ""mt"")"),"jekk hux se jagħmel iktar ħsara milli ġid.")</f>
        <v>jekk hux se jagħmel iktar ħsara milli ġid.</v>
      </c>
    </row>
    <row r="15353" ht="15.75" customHeight="1">
      <c r="A15353" s="2" t="s">
        <v>15353</v>
      </c>
      <c r="B15353" s="2" t="str">
        <f>IFERROR(__xludf.DUMMYFUNCTION("GOOGLETRANSLATE(A15353, ""en"", ""mt"")"),"L-iqsar triq spazjali bejn żewġ avvenimenti spazjali-ħin.")</f>
        <v>L-iqsar triq spazjali bejn żewġ avvenimenti spazjali-ħin.</v>
      </c>
    </row>
    <row r="15354" ht="15.75" customHeight="1">
      <c r="A15354" s="2" t="s">
        <v>15354</v>
      </c>
      <c r="B15354" s="2" t="str">
        <f>IFERROR(__xludf.DUMMYFUNCTION("GOOGLETRANSLATE(A15354, ""en"", ""mt"")"),"Toroq ewlenin fiż-żona jinkludu l-A1 (Gateshead Newcastle Western Bypass), li jġebbdu lejn it-tramuntana lejn Edinburgh u fin-nofsinhar għal Londra; l-A19 imexxi lejn in-nofsinhar ta 'Sunderland u Middlesbrough għal York u Doncaster; l-A69 miexi lejn il-p"&amp;"unent lejn Carlisle; L-A696, li jsir l-A68 imexxi l-ajruport ta 'Newcastle u' l fuq mill-fruntieri Ċentrali ta 'Northumberland u Ċentrali Skoċċiżi, l-A167, l-antika ""Great North Road"", titlu lejn in-nofsinhar lejn Gateshead, Chester-le-street, Durham u "&amp;"Darlington; u l-A1058 ""Triq il-Kosta"", li tmur minn Jesmond sal-Kosta tal-Lvant bejn Tynemouth u Cullercoats. Ħafna minn dawn id-denominazzjonijiet huma reċenti - it-tlestija tal-bypass tal-Punent, u l-ħatra tagħha bħala l-linja l-ġdida tal-A1, it-toroq"&amp;" bejn dan u l-allinjament preċedenti tal-A1 permezz tal-mina Tyne ġew innumerati mill-ġdid, b'ħafna toroq taċ-ċentru tal-belt jinbidlu minn 6 -PREFIX għan-numri preżenti tagħhom ta '1-prefix. F’Novembru 2011 il-kapaċità tal-mina Tyne żdiedet meta l-proġet"&amp;"t biex jibni mina tat-tieni triq u rranġa l-ewwel mina tlesta.")</f>
        <v>Toroq ewlenin fiż-żona jinkludu l-A1 (Gateshead Newcastle Western Bypass), li jġebbdu lejn it-tramuntana lejn Edinburgh u fin-nofsinhar għal Londra; l-A19 imexxi lejn in-nofsinhar ta 'Sunderland u Middlesbrough għal York u Doncaster; l-A69 miexi lejn il-punent lejn Carlisle; L-A696, li jsir l-A68 imexxi l-ajruport ta 'Newcastle u' l fuq mill-fruntieri Ċentrali ta 'Northumberland u Ċentrali Skoċċiżi, l-A167, l-antika "Great North Road", titlu lejn in-nofsinhar lejn Gateshead, Chester-le-street, Durham u Darlington; u l-A1058 "Triq il-Kosta", li tmur minn Jesmond sal-Kosta tal-Lvant bejn Tynemouth u Cullercoats. Ħafna minn dawn id-denominazzjonijiet huma reċenti - it-tlestija tal-bypass tal-Punent, u l-ħatra tagħha bħala l-linja l-ġdida tal-A1, it-toroq bejn dan u l-allinjament preċedenti tal-A1 permezz tal-mina Tyne ġew innumerati mill-ġdid, b'ħafna toroq taċ-ċentru tal-belt jinbidlu minn 6 -PREFIX għan-numri preżenti tagħhom ta '1-prefix. F’Novembru 2011 il-kapaċità tal-mina Tyne żdiedet meta l-proġett biex jibni mina tat-tieni triq u rranġa l-ewwel mina tlesta.</v>
      </c>
    </row>
    <row r="15355" ht="15.75" customHeight="1">
      <c r="A15355" s="2" t="s">
        <v>15355</v>
      </c>
      <c r="B15355" s="2" t="str">
        <f>IFERROR(__xludf.DUMMYFUNCTION("GOOGLETRANSLATE(A15355, ""en"", ""mt"")"),"Kif tiġi implimentata l-komunikazzjoni tal-modalità tal-pakketti")</f>
        <v>Kif tiġi implimentata l-komunikazzjoni tal-modalità tal-pakketti</v>
      </c>
    </row>
    <row r="15356" ht="15.75" customHeight="1">
      <c r="A15356" s="2" t="s">
        <v>15356</v>
      </c>
      <c r="B15356" s="2" t="str">
        <f>IFERROR(__xludf.DUMMYFUNCTION("GOOGLETRANSLATE(A15356, ""en"", ""mt"")"),"Doctor Who - L-Avventura Ultima")</f>
        <v>Doctor Who - L-Avventura Ultima</v>
      </c>
    </row>
    <row r="15357" ht="15.75" customHeight="1">
      <c r="A15357" s="2" t="s">
        <v>15357</v>
      </c>
      <c r="B15357" s="2" t="str">
        <f>IFERROR(__xludf.DUMMYFUNCTION("GOOGLETRANSLATE(A15357, ""en"", ""mt"")"),"Il-LM inizjali wiżen kemm fil-KGS?")</f>
        <v>Il-LM inizjali wiżen kemm fil-KGS?</v>
      </c>
    </row>
    <row r="15358" ht="15.75" customHeight="1">
      <c r="A15358" s="2" t="s">
        <v>15358</v>
      </c>
      <c r="B15358" s="2" t="str">
        <f>IFERROR(__xludf.DUMMYFUNCTION("GOOGLETRANSLATE(A15358, ""en"", ""mt"")"),"Min ħataf l-ewwel mara ta 'Temüjin ftit wara li żżewġu?")</f>
        <v>Min ħataf l-ewwel mara ta 'Temüjin ftit wara li żżewġu?</v>
      </c>
    </row>
    <row r="15359" ht="15.75" customHeight="1">
      <c r="A15359" s="2" t="s">
        <v>15359</v>
      </c>
      <c r="B15359" s="2" t="str">
        <f>IFERROR(__xludf.DUMMYFUNCTION("GOOGLETRANSLATE(A15359, ""en"", ""mt"")"),"naqsu milli jwaqqfu fond tal-assigurazzjoni għall-impjegati biex jitolbu pagi mhux imħallsa jekk min iħaddem kien jinżel")</f>
        <v>naqsu milli jwaqqfu fond tal-assigurazzjoni għall-impjegati biex jitolbu pagi mhux imħallsa jekk min iħaddem kien jinżel</v>
      </c>
    </row>
    <row r="15360" ht="15.75" customHeight="1">
      <c r="A15360" s="2" t="s">
        <v>15360</v>
      </c>
      <c r="B15360" s="2" t="str">
        <f>IFERROR(__xludf.DUMMYFUNCTION("GOOGLETRANSLATE(A15360, ""en"", ""mt"")"),"Liema direzzjoni r-Rhine ħareġ matul l-aħħar fażi kiesħa?")</f>
        <v>Liema direzzjoni r-Rhine ħareġ matul l-aħħar fażi kiesħa?</v>
      </c>
    </row>
    <row r="15361" ht="15.75" customHeight="1">
      <c r="A15361" s="2" t="s">
        <v>15361</v>
      </c>
      <c r="B15361" s="2" t="str">
        <f>IFERROR(__xludf.DUMMYFUNCTION("GOOGLETRANSLATE(A15361, ""en"", ""mt"")"),"Liema grupp beda laqgħat ta 'paċi?")</f>
        <v>Liema grupp beda laqgħat ta 'paċi?</v>
      </c>
    </row>
    <row r="15362" ht="15.75" customHeight="1">
      <c r="A15362" s="2" t="s">
        <v>15362</v>
      </c>
      <c r="B15362" s="2" t="str">
        <f>IFERROR(__xludf.DUMMYFUNCTION("GOOGLETRANSLATE(A15362, ""en"", ""mt"")"),"Katekiżmu")</f>
        <v>Katekiżmu</v>
      </c>
    </row>
    <row r="15363" ht="15.75" customHeight="1">
      <c r="A15363" s="2" t="s">
        <v>15363</v>
      </c>
      <c r="B15363" s="2" t="str">
        <f>IFERROR(__xludf.DUMMYFUNCTION("GOOGLETRANSLATE(A15363, ""en"", ""mt"")"),"Min kien raġel li jistudja l-applikanti mediċinali tal-pjanti fil-Greċja antika?")</f>
        <v>Min kien raġel li jistudja l-applikanti mediċinali tal-pjanti fil-Greċja antika?</v>
      </c>
    </row>
    <row r="15364" ht="15.75" customHeight="1">
      <c r="A15364" s="2" t="s">
        <v>15364</v>
      </c>
      <c r="B15364" s="2" t="str">
        <f>IFERROR(__xludf.DUMMYFUNCTION("GOOGLETRANSLATE(A15364, ""en"", ""mt"")"),"X'inhu sinonimu għad-DNA tal-kloroplast?")</f>
        <v>X'inhu sinonimu għad-DNA tal-kloroplast?</v>
      </c>
    </row>
    <row r="15365" ht="15.75" customHeight="1">
      <c r="A15365" s="2" t="s">
        <v>15365</v>
      </c>
      <c r="B15365" s="2" t="str">
        <f>IFERROR(__xludf.DUMMYFUNCTION("GOOGLETRANSLATE(A15365, ""en"", ""mt"")"),"Aqta 'kompetizzjoni fil-griżmejn")</f>
        <v>Aqta 'kompetizzjoni fil-griżmejn</v>
      </c>
    </row>
    <row r="15366" ht="15.75" customHeight="1">
      <c r="A15366" s="2" t="s">
        <v>15366</v>
      </c>
      <c r="B15366" s="2" t="str">
        <f>IFERROR(__xludf.DUMMYFUNCTION("GOOGLETRANSLATE(A15366, ""en"", ""mt"")"),"proċess mhux magħruf")</f>
        <v>proċess mhux magħruf</v>
      </c>
    </row>
    <row r="15367" ht="15.75" customHeight="1">
      <c r="A15367" s="2" t="s">
        <v>15367</v>
      </c>
      <c r="B15367" s="2" t="str">
        <f>IFERROR(__xludf.DUMMYFUNCTION("GOOGLETRANSLATE(A15367, ""en"", ""mt"")"),"Il-mediċina tal-Punent ġiet ipprattikata wkoll fiċ-Ċina mill-Insara Nestorjani tal-Qorti tal-Yuan, fejn xi kultant kienet ittikkettjata bħala Huihui jew Mediċina Musulmana. It-tabib Nestorjan Ġesù l-interpretu waqqaf l-uffiċċju tal-mediċina tal-Punent fl-"&amp;"1263 waqt ir-renju ta ’Kublai. It-tobba tal-Huihui b'persunal f'żewġ sptarijiet imperjali kienu responsabbli biex jittrattaw il-familja Imperjali u l-membri tal-qorti. It-tobba Ċiniżi opponew il-mediċina tal-Punent minħabba li s-sistema umoristika tagħha "&amp;"kienet tikkontradixxi l-filosofija yin-yang u wuxing sottostanti għall-mediċina tradizzjonali Ċiniża. L-ebda traduzzjoni Ċiniża ta 'xogħlijiet mediċi tal-Punent ma hija magħrufa, iżda huwa possibbli li ċ-Ċiniżi kellhom aċċess għall-Canon tal-Mediċina ta' "&amp;"Avicenna.")</f>
        <v>Il-mediċina tal-Punent ġiet ipprattikata wkoll fiċ-Ċina mill-Insara Nestorjani tal-Qorti tal-Yuan, fejn xi kultant kienet ittikkettjata bħala Huihui jew Mediċina Musulmana. It-tabib Nestorjan Ġesù l-interpretu waqqaf l-uffiċċju tal-mediċina tal-Punent fl-1263 waqt ir-renju ta ’Kublai. It-tobba tal-Huihui b'persunal f'żewġ sptarijiet imperjali kienu responsabbli biex jittrattaw il-familja Imperjali u l-membri tal-qorti. It-tobba Ċiniżi opponew il-mediċina tal-Punent minħabba li s-sistema umoristika tagħha kienet tikkontradixxi l-filosofija yin-yang u wuxing sottostanti għall-mediċina tradizzjonali Ċiniża. L-ebda traduzzjoni Ċiniża ta 'xogħlijiet mediċi tal-Punent ma hija magħrufa, iżda huwa possibbli li ċ-Ċiniżi kellhom aċċess għall-Canon tal-Mediċina ta' Avicenna.</v>
      </c>
    </row>
    <row r="15368" ht="15.75" customHeight="1">
      <c r="A15368" s="2" t="s">
        <v>15368</v>
      </c>
      <c r="B15368" s="2" t="str">
        <f>IFERROR(__xludf.DUMMYFUNCTION("GOOGLETRANSLATE(A15368, ""en"", ""mt"")"),"Meta Jamaa Islamiya rrinunzjat il-vjolenza?")</f>
        <v>Meta Jamaa Islamiya rrinunzjat il-vjolenza?</v>
      </c>
    </row>
    <row r="15369" ht="15.75" customHeight="1">
      <c r="A15369" s="2" t="s">
        <v>15369</v>
      </c>
      <c r="B15369" s="2" t="str">
        <f>IFERROR(__xludf.DUMMYFUNCTION("GOOGLETRANSLATE(A15369, ""en"", ""mt"")"),"Liema kwistjonijiet oħra ta 'saħħa kellu Luther?")</f>
        <v>Liema kwistjonijiet oħra ta 'saħħa kellu Luther?</v>
      </c>
    </row>
    <row r="15370" ht="15.75" customHeight="1">
      <c r="A15370" s="2" t="s">
        <v>15370</v>
      </c>
      <c r="B15370" s="2" t="str">
        <f>IFERROR(__xludf.DUMMYFUNCTION("GOOGLETRANSLATE(A15370, ""en"", ""mt"")"),"Għandhom jitħabbru pubblikament")</f>
        <v>Għandhom jitħabbru pubblikament</v>
      </c>
    </row>
    <row r="15371" ht="15.75" customHeight="1">
      <c r="A15371" s="2" t="s">
        <v>15371</v>
      </c>
      <c r="B15371" s="2" t="str">
        <f>IFERROR(__xludf.DUMMYFUNCTION("GOOGLETRANSLATE(A15371, ""en"", ""mt"")"),"X'inhi d-diżubbidjenza ċivili reċenti f'forma ta 'grupp?")</f>
        <v>X'inhi d-diżubbidjenza ċivili reċenti f'forma ta 'grupp?</v>
      </c>
    </row>
    <row r="15372" ht="15.75" customHeight="1">
      <c r="A15372" s="2" t="s">
        <v>15372</v>
      </c>
      <c r="B15372" s="2" t="str">
        <f>IFERROR(__xludf.DUMMYFUNCTION("GOOGLETRANSLATE(A15372, ""en"", ""mt"")"),"fuq żoni kbar")</f>
        <v>fuq żoni kbar</v>
      </c>
    </row>
    <row r="15373" ht="15.75" customHeight="1">
      <c r="A15373" s="2" t="s">
        <v>15373</v>
      </c>
      <c r="B15373" s="2" t="str">
        <f>IFERROR(__xludf.DUMMYFUNCTION("GOOGLETRANSLATE(A15373, ""en"", ""mt"")"),"Studji dwar l-inugwaljanza u t-tkabbir tad-dħul xi kultant sabu evidenza li tikkonferma l-ipoteżi tal-kurva Kuznets, li tiddikjara li bl-iżvilupp ekonomiku, l-inugwaljanza l-ewwel tiżdied, imbagħad tonqos. L-ekonomista Thomas Piketty jikkontesta din il-ku"&amp;"nċett, fejn qal li mill-1914 sal-1945 gwerer u ""xokkijiet ekonomiċi u politiċi vjolenti"" naqqsu l-inugwaljanza. Barra minn hekk, Piketty targumenta li l-ipoteżi tal-kurva Kuznets ""maġika"", bl-enfasi tagħha fuq l-ibbilanċjar tat-tkabbir ekonomiku fit-t"&amp;"ul, ma tistax tirrapreżenta ż-żieda sinifikanti fl-inugwaljanza ekonomika fid-dinja żviluppata mid-dinja mill-1970.")</f>
        <v>Studji dwar l-inugwaljanza u t-tkabbir tad-dħul xi kultant sabu evidenza li tikkonferma l-ipoteżi tal-kurva Kuznets, li tiddikjara li bl-iżvilupp ekonomiku, l-inugwaljanza l-ewwel tiżdied, imbagħad tonqos. L-ekonomista Thomas Piketty jikkontesta din il-kunċett, fejn qal li mill-1914 sal-1945 gwerer u "xokkijiet ekonomiċi u politiċi vjolenti" naqqsu l-inugwaljanza. Barra minn hekk, Piketty targumenta li l-ipoteżi tal-kurva Kuznets "maġika", bl-enfasi tagħha fuq l-ibbilanċjar tat-tkabbir ekonomiku fit-tul, ma tistax tirrapreżenta ż-żieda sinifikanti fl-inugwaljanza ekonomika fid-dinja żviluppata mid-dinja mill-1970.</v>
      </c>
    </row>
    <row r="15374" ht="15.75" customHeight="1">
      <c r="A15374" s="2" t="s">
        <v>15374</v>
      </c>
      <c r="B15374" s="2" t="str">
        <f>IFERROR(__xludf.DUMMYFUNCTION("GOOGLETRANSLATE(A15374, ""en"", ""mt"")"),"Il-fagoċitosi hija karatteristika importanti tal-immunità innata ċellulari mwettqa minn ċelloli msejħa 'fagoċiti' li jaħkmu, jew jieklu, patoġeni jew partiċelli. Il-fagoċiti ġeneralment jgħassu l-ġisem li jfittex patoġeni, iżda jistgħu jissejħu għal posti"&amp;"jiet speċifiċi minn ċitokini. Ladarba patoġen ikun ġie maħkum minn fagoċita, isir maqbud fi vesikula intraċellulari msejħa fagożoma, li sussegwentement tgħaqqad ma 'vesikula oħra msejħa lisosoma biex tifforma fagolysosome. Il-patoġen jinqatel bl-attività "&amp;"ta 'enzimi diġestivi jew wara tifqigħ respiratorju li jirrilaxxa radikali ħielsa fil-fagolysosome. Il-fagoċitosi evolviet bħala mezz biex takkwista nutrijenti, iżda dan ir-rwol ġie estiż fil-fagoċiti biex jinkludi l-ħakma ta 'patoġeni bħala mekkaniżmu ta'"&amp;" difiża. Il-fagoċitosi probabbilment tirrappreżenta l-eqdem forma ta 'difiża ospitanti, peress li l-fagoċiti ġew identifikati kemm f'annimali vertebrati kif ukoll invertebrati.")</f>
        <v>Il-fagoċitosi hija karatteristika importanti tal-immunità innata ċellulari mwettqa minn ċelloli msejħa 'fagoċiti' li jaħkmu, jew jieklu, patoġeni jew partiċelli. Il-fagoċiti ġeneralment jgħassu l-ġisem li jfittex patoġeni, iżda jistgħu jissejħu għal postijiet speċifiċi minn ċitokini. Ladarba patoġen ikun ġie maħkum minn fagoċita, isir maqbud fi vesikula intraċellulari msejħa fagożoma, li sussegwentement tgħaqqad ma 'vesikula oħra msejħa lisosoma biex tifforma fagolysosome. Il-patoġen jinqatel bl-attività ta 'enzimi diġestivi jew wara tifqigħ respiratorju li jirrilaxxa radikali ħielsa fil-fagolysosome. Il-fagoċitosi evolviet bħala mezz biex takkwista nutrijenti, iżda dan ir-rwol ġie estiż fil-fagoċiti biex jinkludi l-ħakma ta 'patoġeni bħala mekkaniżmu ta' difiża. Il-fagoċitosi probabbilment tirrappreżenta l-eqdem forma ta 'difiża ospitanti, peress li l-fagoċiti ġew identifikati kemm f'annimali vertebrati kif ukoll invertebrati.</v>
      </c>
    </row>
    <row r="15375" ht="15.75" customHeight="1">
      <c r="A15375" s="2" t="s">
        <v>15375</v>
      </c>
      <c r="B15375" s="2" t="str">
        <f>IFERROR(__xludf.DUMMYFUNCTION("GOOGLETRANSLATE(A15375, ""en"", ""mt"")"),"Għal liema perjodu ta 'żmien il-ġeoglyphs marru lura?")</f>
        <v>Għal liema perjodu ta 'żmien il-ġeoglyphs marru lura?</v>
      </c>
    </row>
    <row r="15376" ht="15.75" customHeight="1">
      <c r="A15376" s="2" t="s">
        <v>15376</v>
      </c>
      <c r="B15376" s="2" t="str">
        <f>IFERROR(__xludf.DUMMYFUNCTION("GOOGLETRANSLATE(A15376, ""en"", ""mt"")"),"Liema università rebħet il-premju għall-biċċa l-kbira tal-organizzazzjoni tal-IT?")</f>
        <v>Liema università rebħet il-premju għall-biċċa l-kbira tal-organizzazzjoni tal-IT?</v>
      </c>
    </row>
    <row r="15377" ht="15.75" customHeight="1">
      <c r="A15377" s="2" t="s">
        <v>15377</v>
      </c>
      <c r="B15377" s="2" t="str">
        <f>IFERROR(__xludf.DUMMYFUNCTION("GOOGLETRANSLATE(A15377, ""en"", ""mt"")"),"HT kif tistinka biex tiġbor il-poter?")</f>
        <v>HT kif tistinka biex tiġbor il-poter?</v>
      </c>
    </row>
    <row r="15378" ht="15.75" customHeight="1">
      <c r="A15378" s="2" t="s">
        <v>15378</v>
      </c>
      <c r="B15378" s="2" t="str">
        <f>IFERROR(__xludf.DUMMYFUNCTION("GOOGLETRANSLATE(A15378, ""en"", ""mt"")"),"Fiċ-Ċina tal-Yuan, jew l-era tal-Mongolja, diversi żviluppi importanti fl-arti seħħew jew komplew fl-iżvilupp tagħhom, inklużi l-oqsma tal-pittura, il-matematika, il-kaligrafija, il-poeżija, u t-teatru, b’ħafna artisti u kittieba kbar huma famużi llum. Mi"&amp;"nħabba l-għaqda flimkien ta 'pittura, poeżija, u kaligrafija f'dan il-ħin ħafna mill-artisti li jipprattikaw dawn l-insegwiment differenti kienu l-istess individwi, għalkemm forsi aktar famużi għal qasam wieħed tal-kisbiet tagħhom minn oħrajn. Ħafna drabi"&amp;" f'termini tal-iżvilupp ulterjuri tal-pittura tal-pajsaġġ kif ukoll tal-għaqda klassika flimkien tal-arti tal-pittura, tal-poeżija, u tal-kaligrafija, id-dinastija tal-kanzunetta u d-dinastija Yuan huma marbuta flimkien. Fil-qasam tal-pittura Ċiniża matul"&amp;" id-dinastija Yuan kien hemm ħafna pitturi famużi. Fil-qasam tal-kaligrafija ħafna mill-kaligrafi l-kbar kienu mill-era tad-dinastija Yuan. Fil-poeżija tal-wan, l-iżvilupp ewlieni kien il-QU, li ntuża fost forom poetiċi oħra mill-biċċa l-kbira tal-poeti t"&amp;"al-Yuan famużi. Ħafna mill-poeti kienu involuti wkoll fl-iżviluppi ewlenin fit-teatru matul dan iż-żmien, u bil-maqlub, b'nies importanti fit-teatru jsiru famużi permezz tal-iżvilupp tat-tip Sanqu ta 'Qu. Wieħed mill-fatturi ewlenin fit-taħlita ta 'The Za"&amp;"ju Variety Show kien l-inkorporazzjoni tal-poeżija kemm klassika kif ukoll tal-forma Qu l-aktar ġdida. Wieħed mill-iżviluppi kulturali importanti matul l-era tal-wan kien il-konsolidazzjoni tal-poeżija, il-pittura, u l-kaligrafija f'biċċa unifikata tat-ti"&amp;"p li għandha t-tendenza li tiġi f'moħħna meta n-nies jaħsbu dwar l-arti Ċiniża klassika. Aspett importanti ieħor taż-żminijiet tal-wan huwa l-inkorporazzjoni dejjem tiżdied taċ-Ċiniż kurrenti u vernakolari kemm fil-forma Qu tal-poeżija kif ukoll fil-varji"&amp;" Zaju. Konsiderazzjoni importanti oħra rigward l-arti u l-kultura tad-dinastija Yuan hija li tant minnha baqgħet ħajja fiċ-Ċina, relattivament għal xogħlijiet mid-dinastija Tang u d-dinastija tal-kanzunetti, li ħafna drabi ġew ippreservati aħjar f'postiji"&amp;"et bħal Shōsōin, fil-Ġappun.")</f>
        <v>Fiċ-Ċina tal-Yuan, jew l-era tal-Mongolja, diversi żviluppi importanti fl-arti seħħew jew komplew fl-iżvilupp tagħhom, inklużi l-oqsma tal-pittura, il-matematika, il-kaligrafija, il-poeżija, u t-teatru, b’ħafna artisti u kittieba kbar huma famużi llum. Minħabba l-għaqda flimkien ta 'pittura, poeżija, u kaligrafija f'dan il-ħin ħafna mill-artisti li jipprattikaw dawn l-insegwiment differenti kienu l-istess individwi, għalkemm forsi aktar famużi għal qasam wieħed tal-kisbiet tagħhom minn oħrajn. Ħafna drabi f'termini tal-iżvilupp ulterjuri tal-pittura tal-pajsaġġ kif ukoll tal-għaqda klassika flimkien tal-arti tal-pittura, tal-poeżija, u tal-kaligrafija, id-dinastija tal-kanzunetta u d-dinastija Yuan huma marbuta flimkien. Fil-qasam tal-pittura Ċiniża matul id-dinastija Yuan kien hemm ħafna pitturi famużi. Fil-qasam tal-kaligrafija ħafna mill-kaligrafi l-kbar kienu mill-era tad-dinastija Yuan. Fil-poeżija tal-wan, l-iżvilupp ewlieni kien il-QU, li ntuża fost forom poetiċi oħra mill-biċċa l-kbira tal-poeti tal-Yuan famużi. Ħafna mill-poeti kienu involuti wkoll fl-iżviluppi ewlenin fit-teatru matul dan iż-żmien, u bil-maqlub, b'nies importanti fit-teatru jsiru famużi permezz tal-iżvilupp tat-tip Sanqu ta 'Qu. Wieħed mill-fatturi ewlenin fit-taħlita ta 'The Zaju Variety Show kien l-inkorporazzjoni tal-poeżija kemm klassika kif ukoll tal-forma Qu l-aktar ġdida. Wieħed mill-iżviluppi kulturali importanti matul l-era tal-wan kien il-konsolidazzjoni tal-poeżija, il-pittura, u l-kaligrafija f'biċċa unifikata tat-tip li għandha t-tendenza li tiġi f'moħħna meta n-nies jaħsbu dwar l-arti Ċiniża klassika. Aspett importanti ieħor taż-żminijiet tal-wan huwa l-inkorporazzjoni dejjem tiżdied taċ-Ċiniż kurrenti u vernakolari kemm fil-forma Qu tal-poeżija kif ukoll fil-varji Zaju. Konsiderazzjoni importanti oħra rigward l-arti u l-kultura tad-dinastija Yuan hija li tant minnha baqgħet ħajja fiċ-Ċina, relattivament għal xogħlijiet mid-dinastija Tang u d-dinastija tal-kanzunetti, li ħafna drabi ġew ippreservati aħjar f'postijiet bħal Shōsōin, fil-Ġappun.</v>
      </c>
    </row>
    <row r="15379" ht="15.75" customHeight="1">
      <c r="A15379" s="2" t="s">
        <v>15379</v>
      </c>
      <c r="B15379" s="2" t="str">
        <f>IFERROR(__xludf.DUMMYFUNCTION("GOOGLETRANSLATE(A15379, ""en"", ""mt"")"),"Min mexxa l-klann Borjigin Mongoljan?")</f>
        <v>Min mexxa l-klann Borjigin Mongoljan?</v>
      </c>
    </row>
    <row r="15380" ht="15.75" customHeight="1">
      <c r="A15380" s="2" t="s">
        <v>15380</v>
      </c>
      <c r="B15380" s="2" t="str">
        <f>IFERROR(__xludf.DUMMYFUNCTION("GOOGLETRANSLATE(A15380, ""en"", ""mt"")"),"Liema lingwa hija mitkellma fil-Kenja?")</f>
        <v>Liema lingwa hija mitkellma fil-Kenja?</v>
      </c>
    </row>
    <row r="15381" ht="15.75" customHeight="1">
      <c r="A15381" s="2" t="s">
        <v>15381</v>
      </c>
      <c r="B15381" s="2" t="str">
        <f>IFERROR(__xludf.DUMMYFUNCTION("GOOGLETRANSLATE(A15381, ""en"", ""mt"")"),"Liema reġina fetħet l-ewwel stazzjon tal-ferrovija kopert fid-dinja?")</f>
        <v>Liema reġina fetħet l-ewwel stazzjon tal-ferrovija kopert fid-dinja?</v>
      </c>
    </row>
    <row r="15382" ht="15.75" customHeight="1">
      <c r="A15382" s="2" t="s">
        <v>15382</v>
      </c>
      <c r="B15382" s="2" t="str">
        <f>IFERROR(__xludf.DUMMYFUNCTION("GOOGLETRANSLATE(A15382, ""en"", ""mt"")"),"pjaga")</f>
        <v>pjaga</v>
      </c>
    </row>
    <row r="15383" ht="15.75" customHeight="1">
      <c r="A15383" s="2" t="s">
        <v>15383</v>
      </c>
      <c r="B15383" s="2" t="str">
        <f>IFERROR(__xludf.DUMMYFUNCTION("GOOGLETRANSLATE(A15383, ""en"", ""mt"")"),"Kemm kellu Tesla meta kiteb li kien temm it-teorija dinamika tiegħu tal-gravità?")</f>
        <v>Kemm kellu Tesla meta kiteb li kien temm it-teorija dinamika tiegħu tal-gravità?</v>
      </c>
    </row>
    <row r="15384" ht="15.75" customHeight="1">
      <c r="A15384" s="2" t="s">
        <v>15384</v>
      </c>
      <c r="B15384" s="2" t="str">
        <f>IFERROR(__xludf.DUMMYFUNCTION("GOOGLETRANSLATE(A15384, ""en"", ""mt"")"),"""Makrocilia""")</f>
        <v>"Makrocilia"</v>
      </c>
    </row>
    <row r="15385" ht="15.75" customHeight="1">
      <c r="A15385" s="2" t="s">
        <v>15385</v>
      </c>
      <c r="B15385" s="2" t="str">
        <f>IFERROR(__xludf.DUMMYFUNCTION("GOOGLETRANSLATE(A15385, ""en"", ""mt"")"),"Rosettes ciliary jippompjaw l-ilma f'liema tikkontrolla l-galleġġjatura?")</f>
        <v>Rosettes ciliary jippompjaw l-ilma f'liema tikkontrolla l-galleġġjatura?</v>
      </c>
    </row>
    <row r="15386" ht="15.75" customHeight="1">
      <c r="A15386" s="2" t="s">
        <v>15386</v>
      </c>
      <c r="B15386" s="2" t="str">
        <f>IFERROR(__xludf.DUMMYFUNCTION("GOOGLETRANSLATE(A15386, ""en"", ""mt"")"),"10,000 m2")</f>
        <v>10,000 m2</v>
      </c>
    </row>
    <row r="15387" ht="15.75" customHeight="1">
      <c r="A15387" s="2" t="s">
        <v>15387</v>
      </c>
      <c r="B15387" s="2" t="str">
        <f>IFERROR(__xludf.DUMMYFUNCTION("GOOGLETRANSLATE(A15387, ""en"", ""mt"")"),"Traduzzjoni tal-Bibbja")</f>
        <v>Traduzzjoni tal-Bibbja</v>
      </c>
    </row>
    <row r="15388" ht="15.75" customHeight="1">
      <c r="A15388" s="2" t="s">
        <v>15388</v>
      </c>
      <c r="B15388" s="2" t="str">
        <f>IFERROR(__xludf.DUMMYFUNCTION("GOOGLETRANSLATE(A15388, ""en"", ""mt"")"),"Lenin")</f>
        <v>Lenin</v>
      </c>
    </row>
    <row r="15389" ht="15.75" customHeight="1">
      <c r="A15389" s="2" t="s">
        <v>15389</v>
      </c>
      <c r="B15389" s="2" t="str">
        <f>IFERROR(__xludf.DUMMYFUNCTION("GOOGLETRANSLATE(A15389, ""en"", ""mt"")"),"Matul l-eżistenza tagħha, Varsavja kienet belt multi-kulturali. Skond iċ-ċensiment tal-1901, minn 711,988 abitant 56.2% kienu Kattoliċi, 35,7% Lhud, 5% Kristjani Ortodossi Griegi u 2.8% Protestanti. Tmien snin wara, fl-1909, kien hemm 281.754 Lhud (36.9%)"&amp;", 18,189 Protestanti (2.4%) u 2,818 Mariavites (0.4%). Dan wassal għal kostruzzjoni ta ’mijiet ta’ postijiet ta ’qima reliġjuża fil-partijiet kollha tal-belt. Ħafna minnhom inqerdu wara r-rewwixta ta ’Varsavja tal-1944. Wara l-gwerra, l-awtoritajiet komun"&amp;"isti l-ġodda tal-Polonja skoraġġew il-kostruzzjoni tal-knisja u numru żgħir biss inbnew mill-ġdid.")</f>
        <v>Matul l-eżistenza tagħha, Varsavja kienet belt multi-kulturali. Skond iċ-ċensiment tal-1901, minn 711,988 abitant 56.2% kienu Kattoliċi, 35,7% Lhud, 5% Kristjani Ortodossi Griegi u 2.8% Protestanti. Tmien snin wara, fl-1909, kien hemm 281.754 Lhud (36.9%), 18,189 Protestanti (2.4%) u 2,818 Mariavites (0.4%). Dan wassal għal kostruzzjoni ta ’mijiet ta’ postijiet ta ’qima reliġjuża fil-partijiet kollha tal-belt. Ħafna minnhom inqerdu wara r-rewwixta ta ’Varsavja tal-1944. Wara l-gwerra, l-awtoritajiet komunisti l-ġodda tal-Polonja skoraġġew il-kostruzzjoni tal-knisja u numru żgħir biss inbnew mill-ġdid.</v>
      </c>
    </row>
    <row r="15390" ht="15.75" customHeight="1">
      <c r="A15390" s="2" t="s">
        <v>15390</v>
      </c>
      <c r="B15390" s="2" t="str">
        <f>IFERROR(__xludf.DUMMYFUNCTION("GOOGLETRANSLATE(A15390, ""en"", ""mt"")"),"biex jagħmlu ċerti liġijiet ineffettivi, li jikkawżaw ir-revoka tagħhom, jew li jagħmlu pressjoni biex jiksbu x-xewqat politiċi ta 'wieħed fuq xi kwistjoni oħra")</f>
        <v>biex jagħmlu ċerti liġijiet ineffettivi, li jikkawżaw ir-revoka tagħhom, jew li jagħmlu pressjoni biex jiksbu x-xewqat politiċi ta 'wieħed fuq xi kwistjoni oħra</v>
      </c>
    </row>
    <row r="15391" ht="15.75" customHeight="1">
      <c r="A15391" s="2" t="s">
        <v>15391</v>
      </c>
      <c r="B15391" s="2" t="str">
        <f>IFERROR(__xludf.DUMMYFUNCTION("GOOGLETRANSLATE(A15391, ""en"", ""mt"")"),"Luther kien ilu jsofri minn saħħa ħażina għal snin twal, fosthom il-marda ta 'Ménière, vertigo, ħass ħażin, tinnitus, u katarretta f'għajn waħda. Mill-1531 sal-1546, saħħtu marret għall-agħar. Is-snin ta 'ġlieda ma' Ruma, l-antagoniżmi ma 'u fost sħabu ri"&amp;"formaturi, u l-iskandlu li ħareġ mill-bigamija ta' l-inċident ta 'Philip of Hesse, li fih Luther kellu rwol ewlieni, kollha setgħu kkontribwew. Fl-1536, huwa beda jbati minn ġebel tal-kliewi u tal-bużżieqa, u artrite, u infezzjoni fil-widna kissru tanbur "&amp;"tal-widna. F'Diċembru 1544, huwa beda jħoss l-effetti ta 'l-anġina.")</f>
        <v>Luther kien ilu jsofri minn saħħa ħażina għal snin twal, fosthom il-marda ta 'Ménière, vertigo, ħass ħażin, tinnitus, u katarretta f'għajn waħda. Mill-1531 sal-1546, saħħtu marret għall-agħar. Is-snin ta 'ġlieda ma' Ruma, l-antagoniżmi ma 'u fost sħabu riformaturi, u l-iskandlu li ħareġ mill-bigamija ta' l-inċident ta 'Philip of Hesse, li fih Luther kellu rwol ewlieni, kollha setgħu kkontribwew. Fl-1536, huwa beda jbati minn ġebel tal-kliewi u tal-bużżieqa, u artrite, u infezzjoni fil-widna kissru tanbur tal-widna. F'Diċembru 1544, huwa beda jħoss l-effetti ta 'l-anġina.</v>
      </c>
    </row>
    <row r="15392" ht="15.75" customHeight="1">
      <c r="A15392" s="2" t="s">
        <v>15392</v>
      </c>
      <c r="B15392" s="2" t="str">
        <f>IFERROR(__xludf.DUMMYFUNCTION("GOOGLETRANSLATE(A15392, ""en"", ""mt"")"),"Kolonjaliżmu intern")</f>
        <v>Kolonjaliżmu intern</v>
      </c>
    </row>
    <row r="15393" ht="15.75" customHeight="1">
      <c r="A15393" s="2" t="s">
        <v>15393</v>
      </c>
      <c r="B15393" s="2" t="str">
        <f>IFERROR(__xludf.DUMMYFUNCTION("GOOGLETRANSLATE(A15393, ""en"", ""mt"")"),"Proġetti ewlenin ta 'informazzjoni nazzjonali u internazzjonali ta' informazzjoni u għanijiet ta 'interoperabilità tas-sistema tas-saħħa")</f>
        <v>Proġetti ewlenin ta 'informazzjoni nazzjonali u internazzjonali ta' informazzjoni u għanijiet ta 'interoperabilità tas-sistema tas-saħħa</v>
      </c>
    </row>
    <row r="15394" ht="15.75" customHeight="1">
      <c r="A15394" s="2" t="s">
        <v>15394</v>
      </c>
      <c r="B15394" s="2" t="str">
        <f>IFERROR(__xludf.DUMMYFUNCTION("GOOGLETRANSLATE(A15394, ""en"", ""mt"")"),"Għal liema sena ġie ddatat il-Kabinett tal-Uffiċċju ta 'Rococo Augustus Rex?")</f>
        <v>Għal liema sena ġie ddatat il-Kabinett tal-Uffiċċju ta 'Rococo Augustus Rex?</v>
      </c>
    </row>
    <row r="15395" ht="15.75" customHeight="1">
      <c r="A15395" s="2" t="s">
        <v>15395</v>
      </c>
      <c r="B15395" s="2" t="str">
        <f>IFERROR(__xludf.DUMMYFUNCTION("GOOGLETRANSLATE(A15395, ""en"", ""mt"")"),"F'liema Super Bowl Beyonce ħakmu l-ispettaklu tal-mistrieħ?")</f>
        <v>F'liema Super Bowl Beyonce ħakmu l-ispettaklu tal-mistrieħ?</v>
      </c>
    </row>
    <row r="15396" ht="15.75" customHeight="1">
      <c r="A15396" s="2" t="s">
        <v>15396</v>
      </c>
      <c r="B15396" s="2" t="str">
        <f>IFERROR(__xludf.DUMMYFUNCTION("GOOGLETRANSLATE(A15396, ""en"", ""mt"")"),"B'komposti b'żewġ ċilindri użati fix-xogħol tal-ferrovija, il-pistuni huma konnessi mal-cranks bħal ma 'żewġ ċilindri sempliċi f'90 ° barra mill-fażi ma' xulxin (kwart). Meta l-grupp ta 'espansjoni doppja huwa duplikat, li jipproduċi kompost b'erba' ċilin"&amp;"dri, il-pistuni individwali fil-grupp huma ġeneralment ibbilanċjati f'180 °, il-gruppi jiġu ssettjati f'90 ° għal xulxin. F'każ wieħed (l-ewwel tip ta 'kompost ta' vauclain), il-pistuni ħadmu fl-istess fażi li jsuqu crosshead u krank komuni, għal darb'oħr"&amp;"a stabbiliti f'90 ° bħal għal magna b'żewġ ċilindri. Bl-arranġament tal-kompost bi 3 ċilindri, il-cranks LP jew ġew issettjati f'90 ° bl-HP wieħed f'135 ° għat-tnejn l-oħra, jew f'xi każijiet it-tliet cranks kollha ġew stabbiliti għal 120 °. [Ċitazzjoni m"&amp;"eħtieġa]")</f>
        <v>B'komposti b'żewġ ċilindri użati fix-xogħol tal-ferrovija, il-pistuni huma konnessi mal-cranks bħal ma 'żewġ ċilindri sempliċi f'90 ° barra mill-fażi ma' xulxin (kwart). Meta l-grupp ta 'espansjoni doppja huwa duplikat, li jipproduċi kompost b'erba' ċilindri, il-pistuni individwali fil-grupp huma ġeneralment ibbilanċjati f'180 °, il-gruppi jiġu ssettjati f'90 ° għal xulxin. F'każ wieħed (l-ewwel tip ta 'kompost ta' vauclain), il-pistuni ħadmu fl-istess fażi li jsuqu crosshead u krank komuni, għal darb'oħra stabbiliti f'90 ° bħal għal magna b'żewġ ċilindri. Bl-arranġament tal-kompost bi 3 ċilindri, il-cranks LP jew ġew issettjati f'90 ° bl-HP wieħed f'135 ° għat-tnejn l-oħra, jew f'xi każijiet it-tliet cranks kollha ġew stabbiliti għal 120 °. [Ċitazzjoni meħtieġa]</v>
      </c>
    </row>
    <row r="15397" ht="15.75" customHeight="1">
      <c r="A15397" s="2" t="s">
        <v>15397</v>
      </c>
      <c r="B15397" s="2" t="str">
        <f>IFERROR(__xludf.DUMMYFUNCTION("GOOGLETRANSLATE(A15397, ""en"", ""mt"")"),"Min kien is-Sindku ta ’San Francisco matul Super Bowl 50?")</f>
        <v>Min kien is-Sindku ta ’San Francisco matul Super Bowl 50?</v>
      </c>
    </row>
    <row r="15398" ht="15.75" customHeight="1">
      <c r="A15398" s="2" t="s">
        <v>15398</v>
      </c>
      <c r="B15398" s="2" t="str">
        <f>IFERROR(__xludf.DUMMYFUNCTION("GOOGLETRANSLATE(A15398, ""en"", ""mt"")"),"Minn fejn x'aktarx il-Qorti Ewropea tal-Ġustizzja tikseb ispirazzjoni?")</f>
        <v>Minn fejn x'aktarx il-Qorti Ewropea tal-Ġustizzja tikseb ispirazzjoni?</v>
      </c>
    </row>
    <row r="15399" ht="15.75" customHeight="1">
      <c r="A15399" s="2" t="s">
        <v>15399</v>
      </c>
      <c r="B15399" s="2" t="str">
        <f>IFERROR(__xludf.DUMMYFUNCTION("GOOGLETRANSLATE(A15399, ""en"", ""mt"")"),"It-trattati ewlenin li jiffurmaw l-Unjoni Ewropea bdew b'regoli komuni għall-faħam u l-azzar, u mbagħad l-enerġija atomika, iżda istituzzjonijiet aktar kompluti u formali ġew stabbiliti permezz tat-Trattat ta 'Ruma 1957 u t-Trattat Maastricht 1992 (issa: "&amp;"TFEU). Emendi minuri saru matul is-snin 1960 u 1970. Ġew iffirmati trattati ewlenin li jemendaw biex jitlesta l-iżvilupp ta 'suq intern wieħed fl-Att Uniku Ewropew tal-1986, biex ikompli l-iżvilupp ta' Ewropa aktar soċjali fit-Trattat ta 'Amsterdam 1997, "&amp;"u biex jagħmlu emendi minuri għall-poter relattiv tal-Istati Membri Fl-istituzzjonijiet tal-UE fit-Trattat ta 'Nizza 2001 u t-Trattat ta' Lisbona 2007. Mill-istabbiliment tiegħu, aktar stati membri ngħaqdu permezz ta 'serje ta' trattati ta 'adeżjoni, mir-"&amp;"Renju Unit, l-Irlanda, id-Danimarka u n-Norveġja fl-1972 (għalkemm in-Norveġja ma ntemmitx Ingħaqad), il-Greċja fl-1979, Spanja u l-Portugall 1985, l-Awstrija, il-Finlandja, in-Norveġja u l-Iżvezja fl-1994 (għalkemm għal darb'oħra n-Norveġja naqset milli "&amp;"tissieħeb, minħabba nuqqas ta 'appoġġ fir-referendum), ir-Repubblika Ċeka, Ċipru, Ċipru, l-Estonja, l-Ungerija, Il-Latvja, il-Litwanja, Malta, il-Polonja, is-Slovakkja u s-Slovenja fl-2004, ir-Rumanija u l-Bulgarija fl-2007 u l-Kroazja fl-2013. Greenland "&amp;"iffirmat trattat fl-1985 billi taha status speċjali.")</f>
        <v>It-trattati ewlenin li jiffurmaw l-Unjoni Ewropea bdew b'regoli komuni għall-faħam u l-azzar, u mbagħad l-enerġija atomika, iżda istituzzjonijiet aktar kompluti u formali ġew stabbiliti permezz tat-Trattat ta 'Ruma 1957 u t-Trattat Maastricht 1992 (issa: TFEU). Emendi minuri saru matul is-snin 1960 u 1970. Ġew iffirmati trattati ewlenin li jemendaw biex jitlesta l-iżvilupp ta 'suq intern wieħed fl-Att Uniku Ewropew tal-1986, biex ikompli l-iżvilupp ta' Ewropa aktar soċjali fit-Trattat ta 'Amsterdam 1997, u biex jagħmlu emendi minuri għall-poter relattiv tal-Istati Membri Fl-istituzzjonijiet tal-UE fit-Trattat ta 'Nizza 2001 u t-Trattat ta' Lisbona 2007. Mill-istabbiliment tiegħu, aktar stati membri ngħaqdu permezz ta 'serje ta' trattati ta 'adeżjoni, mir-Renju Unit, l-Irlanda, id-Danimarka u n-Norveġja fl-1972 (għalkemm in-Norveġja ma ntemmitx Ingħaqad), il-Greċja fl-1979, Spanja u l-Portugall 1985, l-Awstrija, il-Finlandja, in-Norveġja u l-Iżvezja fl-1994 (għalkemm għal darb'oħra n-Norveġja naqset milli tissieħeb, minħabba nuqqas ta 'appoġġ fir-referendum), ir-Repubblika Ċeka, Ċipru, Ċipru, l-Estonja, l-Ungerija, Il-Latvja, il-Litwanja, Malta, il-Polonja, is-Slovakkja u s-Slovenja fl-2004, ir-Rumanija u l-Bulgarija fl-2007 u l-Kroazja fl-2013. Greenland iffirmat trattat fl-1985 billi taha status speċjali.</v>
      </c>
    </row>
    <row r="15400" ht="15.75" customHeight="1">
      <c r="A15400" s="2" t="s">
        <v>15400</v>
      </c>
      <c r="B15400" s="2" t="str">
        <f>IFERROR(__xludf.DUMMYFUNCTION("GOOGLETRANSLATE(A15400, ""en"", ""mt"")"),"Fejn jinsab il-viċinat ta 'Sunnyside fi Fresno?")</f>
        <v>Fejn jinsab il-viċinat ta 'Sunnyside fi Fresno?</v>
      </c>
    </row>
    <row r="15401" ht="15.75" customHeight="1">
      <c r="A15401" s="2" t="s">
        <v>15401</v>
      </c>
      <c r="B15401" s="2" t="str">
        <f>IFERROR(__xludf.DUMMYFUNCTION("GOOGLETRANSLATE(A15401, ""en"", ""mt"")"),"Min kien Thomas Commerford Martin?")</f>
        <v>Min kien Thomas Commerford Martin?</v>
      </c>
    </row>
    <row r="15402" ht="15.75" customHeight="1">
      <c r="A15402" s="2" t="s">
        <v>15402</v>
      </c>
      <c r="B15402" s="2" t="str">
        <f>IFERROR(__xludf.DUMMYFUNCTION("GOOGLETRANSLATE(A15402, ""en"", ""mt"")"),"X'inhu eżaminat ta 'xogħol li magna tal-fwar mgħammra mill-gvernatur ċentrifugali ma kinitx xierqa?")</f>
        <v>X'inhu eżaminat ta 'xogħol li magna tal-fwar mgħammra mill-gvernatur ċentrifugali ma kinitx xierqa?</v>
      </c>
    </row>
    <row r="15403" ht="15.75" customHeight="1">
      <c r="A15403" s="2" t="s">
        <v>15403</v>
      </c>
      <c r="B15403" s="2" t="str">
        <f>IFERROR(__xludf.DUMMYFUNCTION("GOOGLETRANSLATE(A15403, ""en"", ""mt"")"),"Il-bram anemoni tal-baħar jagħmlu parti minn liema phylum?")</f>
        <v>Il-bram anemoni tal-baħar jagħmlu parti minn liema phylum?</v>
      </c>
    </row>
    <row r="15404" ht="15.75" customHeight="1">
      <c r="A15404" s="2" t="s">
        <v>15404</v>
      </c>
      <c r="B15404" s="2" t="str">
        <f>IFERROR(__xludf.DUMMYFUNCTION("GOOGLETRANSLATE(A15404, ""en"", ""mt"")"),"X'għandu jiġi analizzat biex tqabbel Amazon Rainfall fil-passat u fil-preżent?")</f>
        <v>X'għandu jiġi analizzat biex tqabbel Amazon Rainfall fil-passat u fil-preżent?</v>
      </c>
    </row>
    <row r="15405" ht="15.75" customHeight="1">
      <c r="A15405" s="2" t="s">
        <v>15405</v>
      </c>
      <c r="B15405" s="2" t="str">
        <f>IFERROR(__xludf.DUMMYFUNCTION("GOOGLETRANSLATE(A15405, ""en"", ""mt"")"),"X’għamlu l-aktar sinjuri 400 Amerikani bħala tfal li għenuhom ikunu adulti ta ’suċċess?")</f>
        <v>X’għamlu l-aktar sinjuri 400 Amerikani bħala tfal li għenuhom ikunu adulti ta ’suċċess?</v>
      </c>
    </row>
    <row r="15406" ht="15.75" customHeight="1">
      <c r="A15406" s="2" t="s">
        <v>15406</v>
      </c>
      <c r="B15406" s="2" t="str">
        <f>IFERROR(__xludf.DUMMYFUNCTION("GOOGLETRANSLATE(A15406, ""en"", ""mt"")"),"X'inhu l-isem tas-suppożizzjoni li kwalunkwe numru ikbar minn 2 jista 'jkun irrappreżentat bħala s-somma ta' żewġ primes?")</f>
        <v>X'inhu l-isem tas-suppożizzjoni li kwalunkwe numru ikbar minn 2 jista 'jkun irrappreżentat bħala s-somma ta' żewġ primes?</v>
      </c>
    </row>
    <row r="15407" ht="15.75" customHeight="1">
      <c r="A15407" s="2" t="s">
        <v>15407</v>
      </c>
      <c r="B15407" s="2" t="str">
        <f>IFERROR(__xludf.DUMMYFUNCTION("GOOGLETRANSLATE(A15407, ""en"", ""mt"")"),"taqsam")</f>
        <v>taqsam</v>
      </c>
    </row>
    <row r="15408" ht="15.75" customHeight="1">
      <c r="A15408" s="2" t="s">
        <v>15408</v>
      </c>
      <c r="B15408" s="2" t="str">
        <f>IFERROR(__xludf.DUMMYFUNCTION("GOOGLETRANSLATE(A15408, ""en"", ""mt"")"),"il-mudell tad-datagramma")</f>
        <v>il-mudell tad-datagramma</v>
      </c>
    </row>
    <row r="15409" ht="15.75" customHeight="1">
      <c r="A15409" s="2" t="s">
        <v>15409</v>
      </c>
      <c r="B15409" s="2" t="str">
        <f>IFERROR(__xludf.DUMMYFUNCTION("GOOGLETRANSLATE(A15409, ""en"", ""mt"")"),"Termini ta 'pressjoni assoċjati ma' forzi li jaġixxu normali għaż-żona ta 'sezzjoni trasversali (id-djagonali tal-matriċi tat-tensjoni) kif ukoll termini ta' shear")</f>
        <v>Termini ta 'pressjoni assoċjati ma' forzi li jaġixxu normali għaż-żona ta 'sezzjoni trasversali (id-djagonali tal-matriċi tat-tensjoni) kif ukoll termini ta' shear</v>
      </c>
    </row>
    <row r="15410" ht="15.75" customHeight="1">
      <c r="A15410" s="2" t="s">
        <v>15410</v>
      </c>
      <c r="B15410" s="2" t="str">
        <f>IFERROR(__xludf.DUMMYFUNCTION("GOOGLETRANSLATE(A15410, ""en"", ""mt"")"),"tevita l-użu bla bżonn ta 'medikazzjoni li jista' jkollha effetti sekondarji")</f>
        <v>tevita l-użu bla bżonn ta 'medikazzjoni li jista' jkollha effetti sekondarji</v>
      </c>
    </row>
    <row r="15411" ht="15.75" customHeight="1">
      <c r="A15411" s="2" t="s">
        <v>15411</v>
      </c>
      <c r="B15411" s="2" t="str">
        <f>IFERROR(__xludf.DUMMYFUNCTION("GOOGLETRANSLATE(A15411, ""en"", ""mt"")"),"5–8 μm")</f>
        <v>5–8 μm</v>
      </c>
    </row>
    <row r="15412" ht="15.75" customHeight="1">
      <c r="A15412" s="2" t="s">
        <v>15412</v>
      </c>
      <c r="B15412" s="2" t="str">
        <f>IFERROR(__xludf.DUMMYFUNCTION("GOOGLETRANSLATE(A15412, ""en"", ""mt"")"),"Ġeoglyphs li jmorru għal liema perjodu nstabu f'art deforestata tul ix-xmara Amazon?")</f>
        <v>Ġeoglyphs li jmorru għal liema perjodu nstabu f'art deforestata tul ix-xmara Amazon?</v>
      </c>
    </row>
    <row r="15413" ht="15.75" customHeight="1">
      <c r="A15413" s="2" t="s">
        <v>15413</v>
      </c>
      <c r="B15413" s="2" t="str">
        <f>IFERROR(__xludf.DUMMYFUNCTION("GOOGLETRANSLATE(A15413, ""en"", ""mt"")"),"Funzjoni Zeta")</f>
        <v>Funzjoni Zeta</v>
      </c>
    </row>
    <row r="15414" ht="15.75" customHeight="1">
      <c r="A15414" s="2" t="s">
        <v>15414</v>
      </c>
      <c r="B15414" s="2" t="str">
        <f>IFERROR(__xludf.DUMMYFUNCTION("GOOGLETRANSLATE(A15414, ""en"", ""mt"")"),"Tesla meta kisbet iċ-ċittadinanza Amerikana tiegħu?")</f>
        <v>Tesla meta kisbet iċ-ċittadinanza Amerikana tiegħu?</v>
      </c>
    </row>
    <row r="15415" ht="15.75" customHeight="1">
      <c r="A15415" s="2" t="s">
        <v>15415</v>
      </c>
      <c r="B15415" s="2" t="str">
        <f>IFERROR(__xludf.DUMMYFUNCTION("GOOGLETRANSLATE(A15415, ""en"", ""mt"")"),"Rutherford Grammar School")</f>
        <v>Rutherford Grammar School</v>
      </c>
    </row>
    <row r="15416" ht="15.75" customHeight="1">
      <c r="A15416" s="2" t="s">
        <v>15416</v>
      </c>
      <c r="B15416" s="2" t="str">
        <f>IFERROR(__xludf.DUMMYFUNCTION("GOOGLETRANSLATE(A15416, ""en"", ""mt"")"),"Esplora netwerking tal-kompjuter")</f>
        <v>Esplora netwerking tal-kompjuter</v>
      </c>
    </row>
    <row r="15417" ht="15.75" customHeight="1">
      <c r="A15417" s="2" t="s">
        <v>15417</v>
      </c>
      <c r="B15417" s="2" t="str">
        <f>IFERROR(__xludf.DUMMYFUNCTION("GOOGLETRANSLATE(A15417, ""en"", ""mt"")"),"żieda fl-għargħar u sedimentazzjoni")</f>
        <v>żieda fl-għargħar u sedimentazzjoni</v>
      </c>
    </row>
    <row r="15418" ht="15.75" customHeight="1">
      <c r="A15418" s="2" t="s">
        <v>15418</v>
      </c>
      <c r="B15418" s="2" t="str">
        <f>IFERROR(__xludf.DUMMYFUNCTION("GOOGLETRANSLATE(A15418, ""en"", ""mt"")"),"Xeriff għoli")</f>
        <v>Xeriff għoli</v>
      </c>
    </row>
    <row r="15419" ht="15.75" customHeight="1">
      <c r="A15419" s="2" t="s">
        <v>15419</v>
      </c>
      <c r="B15419" s="2" t="str">
        <f>IFERROR(__xludf.DUMMYFUNCTION("GOOGLETRANSLATE(A15419, ""en"", ""mt"")"),"L-Istati Uniti / il-Kanada")</f>
        <v>L-Istati Uniti / il-Kanada</v>
      </c>
    </row>
    <row r="15420" ht="15.75" customHeight="1">
      <c r="A15420" s="2" t="s">
        <v>15420</v>
      </c>
      <c r="B15420" s="2" t="str">
        <f>IFERROR(__xludf.DUMMYFUNCTION("GOOGLETRANSLATE(A15420, ""en"", ""mt"")"),"Liema dnub kienu l-mexxejja li l-estremisti attakkaw ħatja?")</f>
        <v>Liema dnub kienu l-mexxejja li l-estremisti attakkaw ħatja?</v>
      </c>
    </row>
    <row r="15421" ht="15.75" customHeight="1">
      <c r="A15421" s="2" t="s">
        <v>15421</v>
      </c>
      <c r="B15421" s="2" t="str">
        <f>IFERROR(__xludf.DUMMYFUNCTION("GOOGLETRANSLATE(A15421, ""en"", ""mt"")"),"Re tal-Ingilterra")</f>
        <v>Re tal-Ingilterra</v>
      </c>
    </row>
    <row r="15422" ht="15.75" customHeight="1">
      <c r="A15422" s="2" t="s">
        <v>15422</v>
      </c>
      <c r="B15422" s="2" t="str">
        <f>IFERROR(__xludf.DUMMYFUNCTION("GOOGLETRANSLATE(A15422, ""en"", ""mt"")"),"Il-Kriżi Finanzjarja tal-2007–08")</f>
        <v>Il-Kriżi Finanzjarja tal-2007–08</v>
      </c>
    </row>
    <row r="15423" ht="15.75" customHeight="1">
      <c r="A15423" s="2" t="s">
        <v>15423</v>
      </c>
      <c r="B15423" s="2" t="str">
        <f>IFERROR(__xludf.DUMMYFUNCTION("GOOGLETRANSLATE(A15423, ""en"", ""mt"")"),"diviżjoni taċ-ċelluli, rotta tal-proteini, u anke reżistenza għall-mard")</f>
        <v>diviżjoni taċ-ċelluli, rotta tal-proteini, u anke reżistenza għall-mard</v>
      </c>
    </row>
    <row r="15424" ht="15.75" customHeight="1">
      <c r="A15424" s="2" t="s">
        <v>15424</v>
      </c>
      <c r="B15424" s="2" t="str">
        <f>IFERROR(__xludf.DUMMYFUNCTION("GOOGLETRANSLATE(A15424, ""en"", ""mt"")"),"Battalja ta 'Cedar Creek")</f>
        <v>Battalja ta 'Cedar Creek</v>
      </c>
    </row>
    <row r="15425" ht="15.75" customHeight="1">
      <c r="A15425" s="2" t="s">
        <v>15425</v>
      </c>
      <c r="B15425" s="2" t="str">
        <f>IFERROR(__xludf.DUMMYFUNCTION("GOOGLETRANSLATE(A15425, ""en"", ""mt"")"),"Meta bdiet il-formazzjoni tad-delta tar-Rhine-Meuse Holocene?")</f>
        <v>Meta bdiet il-formazzjoni tad-delta tar-Rhine-Meuse Holocene?</v>
      </c>
    </row>
    <row r="15426" ht="15.75" customHeight="1">
      <c r="A15426" s="2" t="s">
        <v>15426</v>
      </c>
      <c r="B15426" s="2" t="str">
        <f>IFERROR(__xludf.DUMMYFUNCTION("GOOGLETRANSLATE(A15426, ""en"", ""mt"")"),"ħamrija fqira")</f>
        <v>ħamrija fqira</v>
      </c>
    </row>
    <row r="15427" ht="15.75" customHeight="1">
      <c r="A15427" s="2" t="s">
        <v>15427</v>
      </c>
      <c r="B15427" s="2" t="str">
        <f>IFERROR(__xludf.DUMMYFUNCTION("GOOGLETRANSLATE(A15427, ""en"", ""mt"")"),"Konċentrazzjonijiet għoljin ta 'CO2 atmosferiċi")</f>
        <v>Konċentrazzjonijiet għoljin ta 'CO2 atmosferiċi</v>
      </c>
    </row>
    <row r="15428" ht="15.75" customHeight="1">
      <c r="A15428" s="2" t="s">
        <v>15428</v>
      </c>
      <c r="B15428" s="2" t="str">
        <f>IFERROR(__xludf.DUMMYFUNCTION("GOOGLETRANSLATE(A15428, ""en"", ""mt"")"),"Watt")</f>
        <v>Watt</v>
      </c>
    </row>
    <row r="15429" ht="15.75" customHeight="1">
      <c r="A15429" s="2" t="s">
        <v>15429</v>
      </c>
      <c r="B15429" s="2" t="str">
        <f>IFERROR(__xludf.DUMMYFUNCTION("GOOGLETRANSLATE(A15429, ""en"", ""mt"")"),"Magni ta 'espansjoni tal-kwadruple")</f>
        <v>Magni ta 'espansjoni tal-kwadruple</v>
      </c>
    </row>
    <row r="15430" ht="15.75" customHeight="1">
      <c r="A15430" s="2" t="s">
        <v>15430</v>
      </c>
      <c r="B15430" s="2" t="str">
        <f>IFERROR(__xludf.DUMMYFUNCTION("GOOGLETRANSLATE(A15430, ""en"", ""mt"")"),"Liao")</f>
        <v>Liao</v>
      </c>
    </row>
    <row r="15431" ht="15.75" customHeight="1">
      <c r="A15431" s="2" t="s">
        <v>15431</v>
      </c>
      <c r="B15431" s="2" t="str">
        <f>IFERROR(__xludf.DUMMYFUNCTION("GOOGLETRANSLATE(A15431, ""en"", ""mt"")"),"Fil-Buddiżmu Tibetan l-għalliema ta ’Dharma fit-Tibet huma l-aktar komunement imsejħa lama. Lama li għandha permezz ta ’Phowa u Siddhi konxjament determinati li jerġgħu jinbdew, ħafna drabi ħafna drabi, sabiex ikomplu l-vow bodhisattva tagħhom jissejjaħ T"&amp;"ulku.")</f>
        <v>Fil-Buddiżmu Tibetan l-għalliema ta ’Dharma fit-Tibet huma l-aktar komunement imsejħa lama. Lama li għandha permezz ta ’Phowa u Siddhi konxjament determinati li jerġgħu jinbdew, ħafna drabi ħafna drabi, sabiex ikomplu l-vow bodhisattva tagħhom jissejjaħ Tulku.</v>
      </c>
    </row>
    <row r="15432" ht="15.75" customHeight="1">
      <c r="A15432" s="2" t="s">
        <v>15432</v>
      </c>
      <c r="B15432" s="2" t="str">
        <f>IFERROR(__xludf.DUMMYFUNCTION("GOOGLETRANSLATE(A15432, ""en"", ""mt"")"),"pakketti")</f>
        <v>pakketti</v>
      </c>
    </row>
    <row r="15433" ht="15.75" customHeight="1">
      <c r="A15433" s="2" t="s">
        <v>15433</v>
      </c>
      <c r="B15433" s="2" t="str">
        <f>IFERROR(__xludf.DUMMYFUNCTION("GOOGLETRANSLATE(A15433, ""en"", ""mt"")"),"Jekk il-kap tal-gvern ta 'pajjiż kellu jirrifjuta li jinforza deċiżjoni tal-ogħla qorti ta' dak il-pajjiż")</f>
        <v>Jekk il-kap tal-gvern ta 'pajjiż kellu jirrifjuta li jinforza deċiżjoni tal-ogħla qorti ta' dak il-pajjiż</v>
      </c>
    </row>
    <row r="15434" ht="15.75" customHeight="1">
      <c r="A15434" s="2" t="s">
        <v>15434</v>
      </c>
      <c r="B15434" s="2" t="str">
        <f>IFERROR(__xludf.DUMMYFUNCTION("GOOGLETRANSLATE(A15434, ""en"", ""mt"")"),"L-artijiet ċentrali kienu diġà dar għal aktar minn miljun membru tal-poplu Kikuyu, li ħafna minnhom ma kellhom l-ebda talbiet fuq l-art f'termini Ewropej u għexu bħala bdiewa itineranti. Biex jipproteġu l-interessi tagħhom, il-kolonizzaturi pprojbixxew it"&amp;"-tkabbir tal-kafè, introduċew taxxa għarix, u l-art mingħajr art ingħataw inqas u inqas art bi skambju għal xogħolhom. Eżodu massiv għall-ibliet irriżulta bħala l-abbiltà tagħhom li jipprovdu għajxien mill-art imnaqqsa. Kien hemm 80,000 kolonizzaturi bojo"&amp;"d li jgħixu fil-Kenja fil-ħamsinijiet.")</f>
        <v>L-artijiet ċentrali kienu diġà dar għal aktar minn miljun membru tal-poplu Kikuyu, li ħafna minnhom ma kellhom l-ebda talbiet fuq l-art f'termini Ewropej u għexu bħala bdiewa itineranti. Biex jipproteġu l-interessi tagħhom, il-kolonizzaturi pprojbixxew it-tkabbir tal-kafè, introduċew taxxa għarix, u l-art mingħajr art ingħataw inqas u inqas art bi skambju għal xogħolhom. Eżodu massiv għall-ibliet irriżulta bħala l-abbiltà tagħhom li jipprovdu għajxien mill-art imnaqqsa. Kien hemm 80,000 kolonizzaturi bojod li jgħixu fil-Kenja fil-ħamsinijiet.</v>
      </c>
    </row>
    <row r="15435" ht="15.75" customHeight="1">
      <c r="A15435" s="2" t="s">
        <v>15435</v>
      </c>
      <c r="B15435" s="2" t="str">
        <f>IFERROR(__xludf.DUMMYFUNCTION("GOOGLETRANSLATE(A15435, ""en"", ""mt"")"),"Bosta algoritmi ta 'kriptografija ta' ċavetta pubblika, bħal RSA u l-iskambju ewlieni Diffie-Hellman, huma bbażati fuq numri ewlenin kbar (per eżempju, primes ta '512-bit huma ta' spiss użati għal RSA u 1024-bit primes huma tipiċi għal Diffie - Hellman.) "&amp;"Jonqos L-RSA tiddependi fuq is-suppożizzjoni li huwa ħafna iktar faċli (i.e., aktar effiċjenti) li twettaq il-multiplikazzjoni ta 'żewġ numri (kbar) X u Y milli tikkalkula X u Y (koprime assunt) jekk il-prodott XY biss huwa magħruf. L-iskambju ta 'ċavetta"&amp;" Diffie-Hellman jiddependi fuq il-fatt li hemm algoritmi effiċjenti għall-esponenzjazzjoni modulari, filwaqt li l-operazzjoni inversa l-logaritmu diskret huwa maħsub li huwa problema iebsa.")</f>
        <v>Bosta algoritmi ta 'kriptografija ta' ċavetta pubblika, bħal RSA u l-iskambju ewlieni Diffie-Hellman, huma bbażati fuq numri ewlenin kbar (per eżempju, primes ta '512-bit huma ta' spiss użati għal RSA u 1024-bit primes huma tipiċi għal Diffie - Hellman.) Jonqos L-RSA tiddependi fuq is-suppożizzjoni li huwa ħafna iktar faċli (i.e., aktar effiċjenti) li twettaq il-multiplikazzjoni ta 'żewġ numri (kbar) X u Y milli tikkalkula X u Y (koprime assunt) jekk il-prodott XY biss huwa magħruf. L-iskambju ta 'ċavetta Diffie-Hellman jiddependi fuq il-fatt li hemm algoritmi effiċjenti għall-esponenzjazzjoni modulari, filwaqt li l-operazzjoni inversa l-logaritmu diskret huwa maħsub li huwa problema iebsa.</v>
      </c>
    </row>
    <row r="15436" ht="15.75" customHeight="1">
      <c r="A15436" s="2" t="s">
        <v>15436</v>
      </c>
      <c r="B15436" s="2" t="str">
        <f>IFERROR(__xludf.DUMMYFUNCTION("GOOGLETRANSLATE(A15436, ""en"", ""mt"")"),"Il-knisja Franċiża f'Portarlington inbniet meta?")</f>
        <v>Il-knisja Franċiża f'Portarlington inbniet meta?</v>
      </c>
    </row>
    <row r="15437" ht="15.75" customHeight="1">
      <c r="A15437" s="2" t="s">
        <v>15437</v>
      </c>
      <c r="B15437" s="2" t="str">
        <f>IFERROR(__xludf.DUMMYFUNCTION("GOOGLETRANSLATE(A15437, ""en"", ""mt"")"),"Ipersensittività li tiddependi mill-antikorpi tappartjeni għal liema klassi ta 'sensittività eċċessiva?")</f>
        <v>Ipersensittività li tiddependi mill-antikorpi tappartjeni għal liema klassi ta 'sensittività eċċessiva?</v>
      </c>
    </row>
    <row r="15438" ht="15.75" customHeight="1">
      <c r="A15438" s="2" t="s">
        <v>15438</v>
      </c>
      <c r="B15438" s="2" t="str">
        <f>IFERROR(__xludf.DUMMYFUNCTION("GOOGLETRANSLATE(A15438, ""en"", ""mt"")"),"Y. pestis kien l-aġent kawżattiv tal-pesta epidemika")</f>
        <v>Y. pestis kien l-aġent kawżattiv tal-pesta epidemika</v>
      </c>
    </row>
    <row r="15439" ht="15.75" customHeight="1">
      <c r="A15439" s="2" t="s">
        <v>15439</v>
      </c>
      <c r="B15439" s="2" t="str">
        <f>IFERROR(__xludf.DUMMYFUNCTION("GOOGLETRANSLATE(A15439, ""en"", ""mt"")"),"Fejn twaqqaf assemblea eletta, skont it-termini tal-Att tal-Iskozja tal-1978?")</f>
        <v>Fejn twaqqaf assemblea eletta, skont it-termini tal-Att tal-Iskozja tal-1978?</v>
      </c>
    </row>
    <row r="15440" ht="15.75" customHeight="1">
      <c r="A15440" s="2" t="s">
        <v>15440</v>
      </c>
      <c r="B15440" s="2" t="str">
        <f>IFERROR(__xludf.DUMMYFUNCTION("GOOGLETRANSLATE(A15440, ""en"", ""mt"")"),"deformazzjonijiet")</f>
        <v>deformazzjonijiet</v>
      </c>
    </row>
    <row r="15441" ht="15.75" customHeight="1">
      <c r="A15441" s="2" t="s">
        <v>15441</v>
      </c>
      <c r="B15441" s="2" t="str">
        <f>IFERROR(__xludf.DUMMYFUNCTION("GOOGLETRANSLATE(A15441, ""en"", ""mt"")"),"Xx")</f>
        <v>Xx</v>
      </c>
    </row>
    <row r="15442" ht="15.75" customHeight="1">
      <c r="A15442" s="2" t="s">
        <v>15442</v>
      </c>
      <c r="B15442" s="2" t="str">
        <f>IFERROR(__xludf.DUMMYFUNCTION("GOOGLETRANSLATE(A15442, ""en"", ""mt"")"),"Li r-raġġi X kienu mewġ lonġitudinali, bħal dawk prodotti fil-mewġ fil-plażmi.")</f>
        <v>Li r-raġġi X kienu mewġ lonġitudinali, bħal dawk prodotti fil-mewġ fil-plażmi.</v>
      </c>
    </row>
    <row r="15443" ht="15.75" customHeight="1">
      <c r="A15443" s="2" t="s">
        <v>15443</v>
      </c>
      <c r="B15443" s="2" t="str">
        <f>IFERROR(__xludf.DUMMYFUNCTION("GOOGLETRANSLATE(A15443, ""en"", ""mt"")"),"Fresno County Courthouse (imwaqqa), il-Librerija Pubblika Fresno Carnegie")</f>
        <v>Fresno County Courthouse (imwaqqa), il-Librerija Pubblika Fresno Carnegie</v>
      </c>
    </row>
    <row r="15444" ht="15.75" customHeight="1">
      <c r="A15444" s="2" t="s">
        <v>15444</v>
      </c>
      <c r="B15444" s="2" t="str">
        <f>IFERROR(__xludf.DUMMYFUNCTION("GOOGLETRANSLATE(A15444, ""en"", ""mt"")"),"1890s")</f>
        <v>1890s</v>
      </c>
    </row>
    <row r="15445" ht="15.75" customHeight="1">
      <c r="A15445" s="2" t="s">
        <v>15445</v>
      </c>
      <c r="B15445" s="2" t="str">
        <f>IFERROR(__xludf.DUMMYFUNCTION("GOOGLETRANSLATE(A15445, ""en"", ""mt"")"),"X'kien l-isem għall-kunċett tar-radju l-ġdid iddisinjat minn Allen Shaw?")</f>
        <v>X'kien l-isem għall-kunċett tar-radju l-ġdid iddisinjat minn Allen Shaw?</v>
      </c>
    </row>
    <row r="15446" ht="15.75" customHeight="1">
      <c r="A15446" s="2" t="s">
        <v>15446</v>
      </c>
      <c r="B15446" s="2" t="str">
        <f>IFERROR(__xludf.DUMMYFUNCTION("GOOGLETRANSLATE(A15446, ""en"", ""mt"")"),"Il-Wied ta ’Ouseburn")</f>
        <v>Il-Wied ta ’Ouseburn</v>
      </c>
    </row>
    <row r="15447" ht="15.75" customHeight="1">
      <c r="A15447" s="2" t="s">
        <v>15447</v>
      </c>
      <c r="B15447" s="2" t="str">
        <f>IFERROR(__xludf.DUMMYFUNCTION("GOOGLETRANSLATE(A15447, ""en"", ""mt"")"),"Seclude lilu nnifsu")</f>
        <v>Seclude lilu nnifsu</v>
      </c>
    </row>
    <row r="15448" ht="15.75" customHeight="1">
      <c r="A15448" s="2" t="s">
        <v>15448</v>
      </c>
      <c r="B15448" s="2" t="str">
        <f>IFERROR(__xludf.DUMMYFUNCTION("GOOGLETRANSLATE(A15448, ""en"", ""mt"")"),"Liema pajjiżi jintużaw bħala eżempju ta 'dixxiplina iktar ħarxa b'edukazzjoni ta' suċċess?")</f>
        <v>Liema pajjiżi jintużaw bħala eżempju ta 'dixxiplina iktar ħarxa b'edukazzjoni ta' suċċess?</v>
      </c>
    </row>
    <row r="15449" ht="15.75" customHeight="1">
      <c r="A15449" s="2" t="s">
        <v>15449</v>
      </c>
      <c r="B15449" s="2" t="str">
        <f>IFERROR(__xludf.DUMMYFUNCTION("GOOGLETRANSLATE(A15449, ""en"", ""mt"")"),"Partit tal-Poplu Ewropew")</f>
        <v>Partit tal-Poplu Ewropew</v>
      </c>
    </row>
    <row r="15450" ht="15.75" customHeight="1">
      <c r="A15450" s="2" t="s">
        <v>15450</v>
      </c>
      <c r="B15450" s="2" t="str">
        <f>IFERROR(__xludf.DUMMYFUNCTION("GOOGLETRANSLATE(A15450, ""en"", ""mt"")"),"Pittard Sullivan")</f>
        <v>Pittard Sullivan</v>
      </c>
    </row>
    <row r="15451" ht="15.75" customHeight="1">
      <c r="A15451" s="2" t="s">
        <v>15451</v>
      </c>
      <c r="B15451" s="2" t="str">
        <f>IFERROR(__xludf.DUMMYFUNCTION("GOOGLETRANSLATE(A15451, ""en"", ""mt"")"),"Hemm ukoll ħafna postijiet li jfakkru l-istorja erojka ta 'Varsavja. Pawiak, ħabs infami Ġermaniż ta 'Gestapo issa okkupat minn mausoleum ta' memorja tal-martirju u l-mużew, huwa biss il-bidu ta 'mixja fit-traċċi tal-belt erojka. Iċ-Ċittadella ta ’Varsavj"&amp;"a, fortifikazzjoni impressjonanti tas-seklu 19 mibnija wara t-telfa tar-rewwixta ta’ Novembru, kienet post ta ’martri għall-Pollakki. Monument importanti ieħor, l-istatwa ta 'ftit ribelli li tinsab fis-swar tal-belt il-qadima, tikkommemora lit-tfal li ser"&amp;"vew bħala messaġġiera u truppi ta' quddiem fir-rewwixta ta 'Varsavja, filwaqt li l-impressjonanti Monument ta' Varsavja minn Wincenty Kućma ġie mtella 'fil-memorja tal-ikbar insurrezzjoni tat-Tieni Gwerra Dinjija.")</f>
        <v>Hemm ukoll ħafna postijiet li jfakkru l-istorja erojka ta 'Varsavja. Pawiak, ħabs infami Ġermaniż ta 'Gestapo issa okkupat minn mausoleum ta' memorja tal-martirju u l-mużew, huwa biss il-bidu ta 'mixja fit-traċċi tal-belt erojka. Iċ-Ċittadella ta ’Varsavja, fortifikazzjoni impressjonanti tas-seklu 19 mibnija wara t-telfa tar-rewwixta ta’ Novembru, kienet post ta ’martri għall-Pollakki. Monument importanti ieħor, l-istatwa ta 'ftit ribelli li tinsab fis-swar tal-belt il-qadima, tikkommemora lit-tfal li servew bħala messaġġiera u truppi ta' quddiem fir-rewwixta ta 'Varsavja, filwaqt li l-impressjonanti Monument ta' Varsavja minn Wincenty Kućma ġie mtella 'fil-memorja tal-ikbar insurrezzjoni tat-Tieni Gwerra Dinjija.</v>
      </c>
    </row>
    <row r="15452" ht="15.75" customHeight="1">
      <c r="A15452" s="2" t="s">
        <v>15452</v>
      </c>
      <c r="B15452" s="2" t="str">
        <f>IFERROR(__xludf.DUMMYFUNCTION("GOOGLETRANSLATE(A15452, ""en"", ""mt"")"),"Radikali ħielsa")</f>
        <v>Radikali ħielsa</v>
      </c>
    </row>
    <row r="15453" ht="15.75" customHeight="1">
      <c r="A15453" s="2" t="s">
        <v>15453</v>
      </c>
      <c r="B15453" s="2" t="str">
        <f>IFERROR(__xludf.DUMMYFUNCTION("GOOGLETRANSLATE(A15453, ""en"", ""mt"")"),"X'jiġri l-ewwel jekk l-iskadenza ta 'direttiva għall-implimentazzjoni ma tintlaħaqx?")</f>
        <v>X'jiġri l-ewwel jekk l-iskadenza ta 'direttiva għall-implimentazzjoni ma tintlaħaqx?</v>
      </c>
    </row>
    <row r="15454" ht="15.75" customHeight="1">
      <c r="A15454" s="2" t="s">
        <v>15454</v>
      </c>
      <c r="B15454" s="2" t="str">
        <f>IFERROR(__xludf.DUMMYFUNCTION("GOOGLETRANSLATE(A15454, ""en"", ""mt"")"),"Doża tal-Unità")</f>
        <v>Doża tal-Unità</v>
      </c>
    </row>
    <row r="15455" ht="15.75" customHeight="1">
      <c r="A15455" s="2" t="s">
        <v>15455</v>
      </c>
      <c r="B15455" s="2" t="str">
        <f>IFERROR(__xludf.DUMMYFUNCTION("GOOGLETRANSLATE(A15455, ""en"", ""mt"")"),"Liema ġeneru ta 'ctenophores m'għandux larva simili għal cydipped?")</f>
        <v>Liema ġeneru ta 'ctenophores m'għandux larva simili għal cydipped?</v>
      </c>
    </row>
    <row r="15456" ht="15.75" customHeight="1">
      <c r="A15456" s="2" t="s">
        <v>15456</v>
      </c>
      <c r="B15456" s="2" t="str">
        <f>IFERROR(__xludf.DUMMYFUNCTION("GOOGLETRANSLATE(A15456, ""en"", ""mt"")"),"X’wassal lill-pubbliku Amerikan jikkundanna l-okkupazzjoni tal-Filippini?")</f>
        <v>X’wassal lill-pubbliku Amerikan jikkundanna l-okkupazzjoni tal-Filippini?</v>
      </c>
    </row>
    <row r="15457" ht="15.75" customHeight="1">
      <c r="A15457" s="2" t="s">
        <v>15457</v>
      </c>
      <c r="B15457" s="2" t="str">
        <f>IFERROR(__xludf.DUMMYFUNCTION("GOOGLETRANSLATE(A15457, ""en"", ""mt"")"),"X'inhuma tliet tipi ta 'fagoċiti?")</f>
        <v>X'inhuma tliet tipi ta 'fagoċiti?</v>
      </c>
    </row>
    <row r="15458" ht="15.75" customHeight="1">
      <c r="A15458" s="2" t="s">
        <v>15458</v>
      </c>
      <c r="B15458" s="2" t="str">
        <f>IFERROR(__xludf.DUMMYFUNCTION("GOOGLETRANSLATE(A15458, ""en"", ""mt"")"),"In-Nofsinhar ta ’California tikkonsisti f’żona statistika kkombinata, tmien żoni statistiċi metropolitani, żona metropolitana internazzjonali, u diversi diviżjonijiet metropolitani. Ir-reġjun huwa dar għal żewġ żoni metropolitani estiżi li jaqbżu l-ħames "&amp;"miljun fil-popolazzjoni. Dawn huma l-akbar żona ta ’Los Angeles fi 17,786,419, u San Diego - Tijuana f’5,105.768. Minn dawn iż-żoni metropolitani, iż-żona metropolitana ta 'Los Angeles-santa Ana-Ana, iż-żona metropolitana ta' Riverside-san Bernardino-Onta"&amp;"rio, u ż-żona metropolitana ta 'Oxnard-Eljun Oaks-Ventura jiffurmaw Los Angeles akbar; Filwaqt li ż-żona metropolitana El Centro u ż-żona metropolitana ta 'San Diego-Carlsbad-San Marcos jiffurmaw ir-reġjun tal-fruntiera tan-Nofsinhar. It-Tramuntana ta 'Lo"&amp;"s Angeles huma ż-żoni ta' Santa Barbara, San Luis Obispo, u Bakersfield Metropolitan.")</f>
        <v>In-Nofsinhar ta ’California tikkonsisti f’żona statistika kkombinata, tmien żoni statistiċi metropolitani, żona metropolitana internazzjonali, u diversi diviżjonijiet metropolitani. Ir-reġjun huwa dar għal żewġ żoni metropolitani estiżi li jaqbżu l-ħames miljun fil-popolazzjoni. Dawn huma l-akbar żona ta ’Los Angeles fi 17,786,419, u San Diego - Tijuana f’5,105.768. Minn dawn iż-żoni metropolitani, iż-żona metropolitana ta 'Los Angeles-santa Ana-Ana, iż-żona metropolitana ta' Riverside-san Bernardino-Ontario, u ż-żona metropolitana ta 'Oxnard-Eljun Oaks-Ventura jiffurmaw Los Angeles akbar; Filwaqt li ż-żona metropolitana El Centro u ż-żona metropolitana ta 'San Diego-Carlsbad-San Marcos jiffurmaw ir-reġjun tal-fruntiera tan-Nofsinhar. It-Tramuntana ta 'Los Angeles huma ż-żoni ta' Santa Barbara, San Luis Obispo, u Bakersfield Metropolitan.</v>
      </c>
    </row>
    <row r="15459" ht="15.75" customHeight="1">
      <c r="A15459" s="2" t="s">
        <v>15459</v>
      </c>
      <c r="B15459" s="2" t="str">
        <f>IFERROR(__xludf.DUMMYFUNCTION("GOOGLETRANSLATE(A15459, ""en"", ""mt"")"),"1978.")</f>
        <v>1978.</v>
      </c>
    </row>
    <row r="15460" ht="15.75" customHeight="1">
      <c r="A15460" s="2" t="s">
        <v>15460</v>
      </c>
      <c r="B15460" s="2" t="str">
        <f>IFERROR(__xludf.DUMMYFUNCTION("GOOGLETRANSLATE(A15460, ""en"", ""mt"")"),"Standards ta 'prattika għall-professjoni tat-tagħlim")</f>
        <v>Standards ta 'prattika għall-professjoni tat-tagħlim</v>
      </c>
    </row>
    <row r="15461" ht="15.75" customHeight="1">
      <c r="A15461" s="2" t="s">
        <v>15461</v>
      </c>
      <c r="B15461" s="2" t="str">
        <f>IFERROR(__xludf.DUMMYFUNCTION("GOOGLETRANSLATE(A15461, ""en"", ""mt"")"),"spazji miftuħa")</f>
        <v>spazji miftuħa</v>
      </c>
    </row>
    <row r="15462" ht="15.75" customHeight="1">
      <c r="A15462" s="2" t="s">
        <v>15462</v>
      </c>
      <c r="B15462" s="2" t="str">
        <f>IFERROR(__xludf.DUMMYFUNCTION("GOOGLETRANSLATE(A15462, ""en"", ""mt"")"),"Venere")</f>
        <v>Venere</v>
      </c>
    </row>
    <row r="15463" ht="15.75" customHeight="1">
      <c r="A15463" s="2" t="s">
        <v>15463</v>
      </c>
      <c r="B15463" s="2" t="str">
        <f>IFERROR(__xludf.DUMMYFUNCTION("GOOGLETRANSLATE(A15463, ""en"", ""mt"")"),"Fejn kien ITV Tyne Tees ibbażat għal aktar minn 40 sena?")</f>
        <v>Fejn kien ITV Tyne Tees ibbażat għal aktar minn 40 sena?</v>
      </c>
    </row>
    <row r="15464" ht="15.75" customHeight="1">
      <c r="A15464" s="2" t="s">
        <v>15464</v>
      </c>
      <c r="B15464" s="2" t="str">
        <f>IFERROR(__xludf.DUMMYFUNCTION("GOOGLETRANSLATE(A15464, ""en"", ""mt"")"),"il-bilanċ tat-twemmin reliġjuż")</f>
        <v>il-bilanċ tat-twemmin reliġjuż</v>
      </c>
    </row>
    <row r="15465" ht="15.75" customHeight="1">
      <c r="A15465" s="2" t="s">
        <v>15465</v>
      </c>
      <c r="B15465" s="2" t="str">
        <f>IFERROR(__xludf.DUMMYFUNCTION("GOOGLETRANSLATE(A15465, ""en"", ""mt"")"),"Din iż-żona vibranti u kulturalment diversa ta 'negozji bl-imnut u residenzi esperjenzaw tiġdid wara tnaqqis sinifikanti fl-aħħar tas-snin 1960 u 1970. [Ċitazzjoni meħtieġa] wara għexieren ta' snin ta 'telqa u titjira suburbana, il-qawmien mill-ġdid tal-v"&amp;"iċinat segwa l-ftuħ mill-ġdid tat-Torri tat-Torri L-aħħar tas-snin sebgħin, li dak iż-żmien urew films tat-tieni u tat-tielet ġirja, flimkien ma 'films klassiċi. Roger Rocka's Dinner Theatre &amp; Good Company Players infetħu wkoll fil-viċin fl-1978, [Citatio"&amp;"n meħtieġa] fi Olive and Wishon Avenues. Audra McDonald indiġena ta 'Fresno marret fl-irwoli ewlenin ta' Evita u l-Wiz fit-teatru waqt li kienet studenta tal-iskola għolja. McDonald sussegwentement sar artist ewlieni fuq Broadway fi New York City u attriċ"&amp;"i rebbieħa tal-Premju Tony. Fid-distrett tat-Torri hemm ukoll it-2 teatru spazjali tal-plejers tal-kumpanija tajba.")</f>
        <v>Din iż-żona vibranti u kulturalment diversa ta 'negozji bl-imnut u residenzi esperjenzaw tiġdid wara tnaqqis sinifikanti fl-aħħar tas-snin 1960 u 1970. [Ċitazzjoni meħtieġa] wara għexieren ta' snin ta 'telqa u titjira suburbana, il-qawmien mill-ġdid tal-viċinat segwa l-ftuħ mill-ġdid tat-Torri tat-Torri L-aħħar tas-snin sebgħin, li dak iż-żmien urew films tat-tieni u tat-tielet ġirja, flimkien ma 'films klassiċi. Roger Rocka's Dinner Theatre &amp; Good Company Players infetħu wkoll fil-viċin fl-1978, [Citation meħtieġa] fi Olive and Wishon Avenues. Audra McDonald indiġena ta 'Fresno marret fl-irwoli ewlenin ta' Evita u l-Wiz fit-teatru waqt li kienet studenta tal-iskola għolja. McDonald sussegwentement sar artist ewlieni fuq Broadway fi New York City u attriċi rebbieħa tal-Premju Tony. Fid-distrett tat-Torri hemm ukoll it-2 teatru spazjali tal-plejers tal-kumpanija tajba.</v>
      </c>
    </row>
    <row r="15466" ht="15.75" customHeight="1">
      <c r="A15466" s="2" t="s">
        <v>15466</v>
      </c>
      <c r="B15466" s="2" t="str">
        <f>IFERROR(__xludf.DUMMYFUNCTION("GOOGLETRANSLATE(A15466, ""en"", ""mt"")"),"Regoli ta 'sjieda ġodda mill-FCC fl-1985 ippermettew lix-xandara jkollhom massimu ta' kemm stazzjonijiet?")</f>
        <v>Regoli ta 'sjieda ġodda mill-FCC fl-1985 ippermettew lix-xandara jkollhom massimu ta' kemm stazzjonijiet?</v>
      </c>
    </row>
    <row r="15467" ht="15.75" customHeight="1">
      <c r="A15467" s="2" t="s">
        <v>15467</v>
      </c>
      <c r="B15467" s="2" t="str">
        <f>IFERROR(__xludf.DUMMYFUNCTION("GOOGLETRANSLATE(A15467, ""en"", ""mt"")"),"Sistema estensiva, elettrifikata, tal-passiġġieri")</f>
        <v>Sistema estensiva, elettrifikata, tal-passiġġieri</v>
      </c>
    </row>
    <row r="15468" ht="15.75" customHeight="1">
      <c r="A15468" s="2" t="s">
        <v>15468</v>
      </c>
      <c r="B15468" s="2" t="str">
        <f>IFERROR(__xludf.DUMMYFUNCTION("GOOGLETRANSLATE(A15468, ""en"", ""mt"")"),"il-lek")</f>
        <v>il-lek</v>
      </c>
    </row>
    <row r="15469" ht="15.75" customHeight="1">
      <c r="A15469" s="2" t="s">
        <v>15469</v>
      </c>
      <c r="B15469" s="2" t="str">
        <f>IFERROR(__xludf.DUMMYFUNCTION("GOOGLETRANSLATE(A15469, ""en"", ""mt"")"),"Kif jissejħu skejjel sekondarji ta 'livell għoli?")</f>
        <v>Kif jissejħu skejjel sekondarji ta 'livell għoli?</v>
      </c>
    </row>
    <row r="15470" ht="15.75" customHeight="1">
      <c r="A15470" s="2" t="s">
        <v>15470</v>
      </c>
      <c r="B15470" s="2" t="str">
        <f>IFERROR(__xludf.DUMMYFUNCTION("GOOGLETRANSLATE(A15470, ""en"", ""mt"")"),"korrott")</f>
        <v>korrott</v>
      </c>
    </row>
    <row r="15471" ht="15.75" customHeight="1">
      <c r="A15471" s="2" t="s">
        <v>15471</v>
      </c>
      <c r="B15471" s="2" t="str">
        <f>IFERROR(__xludf.DUMMYFUNCTION("GOOGLETRANSLATE(A15471, ""en"", ""mt"")"),"Investigazzjoni ġdida dwar ir-rwol ta 'Yersinia pestis fil-mewt l-Iswed")</f>
        <v>Investigazzjoni ġdida dwar ir-rwol ta 'Yersinia pestis fil-mewt l-Iswed</v>
      </c>
    </row>
    <row r="15472" ht="15.75" customHeight="1">
      <c r="A15472" s="2" t="s">
        <v>15472</v>
      </c>
      <c r="B15472" s="2" t="str">
        <f>IFERROR(__xludf.DUMMYFUNCTION("GOOGLETRANSLATE(A15472, ""en"", ""mt"")"),"Imneħħi f'Kondensatur")</f>
        <v>Imneħħi f'Kondensatur</v>
      </c>
    </row>
    <row r="15473" ht="15.75" customHeight="1">
      <c r="A15473" s="2" t="s">
        <v>15473</v>
      </c>
      <c r="B15473" s="2" t="str">
        <f>IFERROR(__xludf.DUMMYFUNCTION("GOOGLETRANSLATE(A15473, ""en"", ""mt"")"),"Fejn sar ħafna mix-xogħol tal-Parlament Skoċċiż?")</f>
        <v>Fejn sar ħafna mix-xogħol tal-Parlament Skoċċiż?</v>
      </c>
    </row>
    <row r="15474" ht="15.75" customHeight="1">
      <c r="A15474" s="2" t="s">
        <v>15474</v>
      </c>
      <c r="B15474" s="2" t="str">
        <f>IFERROR(__xludf.DUMMYFUNCTION("GOOGLETRANSLATE(A15474, ""en"", ""mt"")"),"Min kien l-ewwel quarterback li ħa żewġ timijiet għal aktar minn Super Bowl?")</f>
        <v>Min kien l-ewwel quarterback li ħa żewġ timijiet għal aktar minn Super Bowl?</v>
      </c>
    </row>
    <row r="15475" ht="15.75" customHeight="1">
      <c r="A15475" s="2" t="s">
        <v>15475</v>
      </c>
      <c r="B15475" s="2" t="str">
        <f>IFERROR(__xludf.DUMMYFUNCTION("GOOGLETRANSLATE(A15475, ""en"", ""mt"")"),"kondotta ħażina sesswali")</f>
        <v>kondotta ħażina sesswali</v>
      </c>
    </row>
    <row r="15476" ht="15.75" customHeight="1">
      <c r="A15476" s="2" t="s">
        <v>15476</v>
      </c>
      <c r="B15476" s="2" t="str">
        <f>IFERROR(__xludf.DUMMYFUNCTION("GOOGLETRANSLATE(A15476, ""en"", ""mt"")"),"motiv kreattiv")</f>
        <v>motiv kreattiv</v>
      </c>
    </row>
    <row r="15477" ht="15.75" customHeight="1">
      <c r="A15477" s="2" t="s">
        <v>15477</v>
      </c>
      <c r="B15477" s="2" t="str">
        <f>IFERROR(__xludf.DUMMYFUNCTION("GOOGLETRANSLATE(A15477, ""en"", ""mt"")"),"Djamanti ta ’Newcastle")</f>
        <v>Djamanti ta ’Newcastle</v>
      </c>
    </row>
    <row r="15478" ht="15.75" customHeight="1">
      <c r="A15478" s="2" t="s">
        <v>15478</v>
      </c>
      <c r="B15478" s="2" t="str">
        <f>IFERROR(__xludf.DUMMYFUNCTION("GOOGLETRANSLATE(A15478, ""en"", ""mt"")"),"X'inhi r-raġuni ewlenija li l-ispiżjara li jikkonsultaw qed jaħdmu dejjem aktar direttament mal-pazjenti?")</f>
        <v>X'inhi r-raġuni ewlenija li l-ispiżjara li jikkonsultaw qed jaħdmu dejjem aktar direttament mal-pazjenti?</v>
      </c>
    </row>
    <row r="15479" ht="15.75" customHeight="1">
      <c r="A15479" s="2" t="s">
        <v>15479</v>
      </c>
      <c r="B15479" s="2" t="str">
        <f>IFERROR(__xludf.DUMMYFUNCTION("GOOGLETRANSLATE(A15479, ""en"", ""mt"")"),"Matul is-sekli 16 u 17")</f>
        <v>Matul is-sekli 16 u 17</v>
      </c>
    </row>
    <row r="15480" ht="15.75" customHeight="1">
      <c r="A15480" s="2" t="s">
        <v>15480</v>
      </c>
      <c r="B15480" s="2" t="str">
        <f>IFERROR(__xludf.DUMMYFUNCTION("GOOGLETRANSLATE(A15480, ""en"", ""mt"")"),"Thanksgiving")</f>
        <v>Thanksgiving</v>
      </c>
    </row>
    <row r="15481" ht="15.75" customHeight="1">
      <c r="A15481" s="2" t="s">
        <v>15481</v>
      </c>
      <c r="B15481" s="2" t="str">
        <f>IFERROR(__xludf.DUMMYFUNCTION("GOOGLETRANSLATE(A15481, ""en"", ""mt"")"),"Netwerk tad-dejta")</f>
        <v>Netwerk tad-dejta</v>
      </c>
    </row>
    <row r="15482" ht="15.75" customHeight="1">
      <c r="A15482" s="2" t="s">
        <v>15482</v>
      </c>
      <c r="B15482" s="2" t="str">
        <f>IFERROR(__xludf.DUMMYFUNCTION("GOOGLETRANSLATE(A15482, ""en"", ""mt"")"),"relazzjoni mal-istat u l-liġijiet tiegħu")</f>
        <v>relazzjoni mal-istat u l-liġijiet tiegħu</v>
      </c>
    </row>
    <row r="15483" ht="15.75" customHeight="1">
      <c r="A15483" s="2" t="s">
        <v>15483</v>
      </c>
      <c r="B15483" s="2" t="str">
        <f>IFERROR(__xludf.DUMMYFUNCTION("GOOGLETRANSLATE(A15483, ""en"", ""mt"")"),"Fl-24 ta 'Marzu 1879,")</f>
        <v>Fl-24 ta 'Marzu 1879,</v>
      </c>
    </row>
    <row r="15484" ht="15.75" customHeight="1">
      <c r="A15484" s="2" t="s">
        <v>15484</v>
      </c>
      <c r="B15484" s="2" t="str">
        <f>IFERROR(__xludf.DUMMYFUNCTION("GOOGLETRANSLATE(A15484, ""en"", ""mt"")"),"X'kien id-dmir ideali ta 'magna ġdida?")</f>
        <v>X'kien id-dmir ideali ta 'magna ġdida?</v>
      </c>
    </row>
    <row r="15485" ht="15.75" customHeight="1">
      <c r="A15485" s="2" t="s">
        <v>15485</v>
      </c>
      <c r="B15485" s="2" t="str">
        <f>IFERROR(__xludf.DUMMYFUNCTION("GOOGLETRANSLATE(A15485, ""en"", ""mt"")"),"Is-suġġetti akkademiċi tas-soltu")</f>
        <v>Is-suġġetti akkademiċi tas-soltu</v>
      </c>
    </row>
    <row r="15486" ht="15.75" customHeight="1">
      <c r="A15486" s="2" t="s">
        <v>15486</v>
      </c>
      <c r="B15486" s="2" t="str">
        <f>IFERROR(__xludf.DUMMYFUNCTION("GOOGLETRANSLATE(A15486, ""en"", ""mt"")"),"il-pont ir-Rhine qadim f'Konstance")</f>
        <v>il-pont ir-Rhine qadim f'Konstance</v>
      </c>
    </row>
    <row r="15487" ht="15.75" customHeight="1">
      <c r="A15487" s="2" t="s">
        <v>15487</v>
      </c>
      <c r="B15487" s="2" t="str">
        <f>IFERROR(__xludf.DUMMYFUNCTION("GOOGLETRANSLATE(A15487, ""en"", ""mt"")"),"Teorija tas-Sistemi Dinjija")</f>
        <v>Teorija tas-Sistemi Dinjija</v>
      </c>
    </row>
    <row r="15488" ht="15.75" customHeight="1">
      <c r="A15488" s="2" t="s">
        <v>15488</v>
      </c>
      <c r="B15488" s="2" t="str">
        <f>IFERROR(__xludf.DUMMYFUNCTION("GOOGLETRANSLATE(A15488, ""en"", ""mt"")"),"Talbiet kredibbli ta 'korruzzjoni saru fir-rigward tar-reklutaġġ u l-akkwist ta' trasportaturi tal-persunal armati")</f>
        <v>Talbiet kredibbli ta 'korruzzjoni saru fir-rigward tar-reklutaġġ u l-akkwist ta' trasportaturi tal-persunal armati</v>
      </c>
    </row>
    <row r="15489" ht="15.75" customHeight="1">
      <c r="A15489" s="2" t="s">
        <v>15489</v>
      </c>
      <c r="B15489" s="2" t="str">
        <f>IFERROR(__xludf.DUMMYFUNCTION("GOOGLETRANSLATE(A15489, ""en"", ""mt"")"),"Tabelli Hash u Ġeneraturi tan-Numru tal-Pseudorandom")</f>
        <v>Tabelli Hash u Ġeneraturi tan-Numru tal-Pseudorandom</v>
      </c>
    </row>
    <row r="15490" ht="15.75" customHeight="1">
      <c r="A15490" s="2" t="s">
        <v>15490</v>
      </c>
      <c r="B15490" s="2" t="str">
        <f>IFERROR(__xludf.DUMMYFUNCTION("GOOGLETRANSLATE(A15490, ""en"", ""mt"")"),"1978 Każ tal-Qorti Suprema tal-Fondazzjoni FCC v. Pacifica")</f>
        <v>1978 Każ tal-Qorti Suprema tal-Fondazzjoni FCC v. Pacifica</v>
      </c>
    </row>
    <row r="15491" ht="15.75" customHeight="1">
      <c r="A15491" s="2" t="s">
        <v>15491</v>
      </c>
      <c r="B15491" s="2" t="str">
        <f>IFERROR(__xludf.DUMMYFUNCTION("GOOGLETRANSLATE(A15491, ""en"", ""mt"")"),"Frar 1082")</f>
        <v>Frar 1082</v>
      </c>
    </row>
    <row r="15492" ht="15.75" customHeight="1">
      <c r="A15492" s="2" t="s">
        <v>15492</v>
      </c>
      <c r="B15492" s="2" t="str">
        <f>IFERROR(__xludf.DUMMYFUNCTION("GOOGLETRANSLATE(A15492, ""en"", ""mt"")"),"Organizzazzjoni Eġizzjana tal-Ġiħad Iżlamiku")</f>
        <v>Organizzazzjoni Eġizzjana tal-Ġiħad Iżlamiku</v>
      </c>
    </row>
    <row r="15493" ht="15.75" customHeight="1">
      <c r="A15493" s="2" t="s">
        <v>15493</v>
      </c>
      <c r="B15493" s="2" t="str">
        <f>IFERROR(__xludf.DUMMYFUNCTION("GOOGLETRANSLATE(A15493, ""en"", ""mt"")"),"l-iktar b'popolazzjoni densa")</f>
        <v>l-iktar b'popolazzjoni densa</v>
      </c>
    </row>
    <row r="15494" ht="15.75" customHeight="1">
      <c r="A15494" s="2" t="s">
        <v>15494</v>
      </c>
      <c r="B15494" s="2" t="str">
        <f>IFERROR(__xludf.DUMMYFUNCTION("GOOGLETRANSLATE(A15494, ""en"", ""mt"")"),"Molekuli ta 'tliet karbonji msejħa aċidu 3-fosfogliċeriku")</f>
        <v>Molekuli ta 'tliet karbonji msejħa aċidu 3-fosfogliċeriku</v>
      </c>
    </row>
    <row r="15495" ht="15.75" customHeight="1">
      <c r="A15495" s="2" t="s">
        <v>15495</v>
      </c>
      <c r="B15495" s="2" t="str">
        <f>IFERROR(__xludf.DUMMYFUNCTION("GOOGLETRANSLATE(A15495, ""en"", ""mt"")"),"Orjent kontemporanju, """)</f>
        <v>Orjent kontemporanju, "</v>
      </c>
    </row>
    <row r="15496" ht="15.75" customHeight="1">
      <c r="A15496" s="2" t="s">
        <v>15496</v>
      </c>
      <c r="B15496" s="2" t="str">
        <f>IFERROR(__xludf.DUMMYFUNCTION("GOOGLETRANSLATE(A15496, ""en"", ""mt"")"),"Kmieni seklu għoxrin")</f>
        <v>Kmieni seklu għoxrin</v>
      </c>
    </row>
    <row r="15497" ht="15.75" customHeight="1">
      <c r="A15497" s="2" t="s">
        <v>15497</v>
      </c>
      <c r="B15497" s="2" t="str">
        <f>IFERROR(__xludf.DUMMYFUNCTION("GOOGLETRANSLATE(A15497, ""en"", ""mt"")"),"Regis Philbin")</f>
        <v>Regis Philbin</v>
      </c>
    </row>
    <row r="15498" ht="15.75" customHeight="1">
      <c r="A15498" s="2" t="s">
        <v>15498</v>
      </c>
      <c r="B15498" s="2" t="str">
        <f>IFERROR(__xludf.DUMMYFUNCTION("GOOGLETRANSLATE(A15498, ""en"", ""mt"")"),"F’ħafna pajjiżi, x’tip ta ’vojt fil-pagi hemm?")</f>
        <v>F’ħafna pajjiżi, x’tip ta ’vojt fil-pagi hemm?</v>
      </c>
    </row>
    <row r="15499" ht="15.75" customHeight="1">
      <c r="A15499" s="2" t="s">
        <v>15499</v>
      </c>
      <c r="B15499" s="2" t="str">
        <f>IFERROR(__xludf.DUMMYFUNCTION("GOOGLETRANSLATE(A15499, ""en"", ""mt"")"),"Liema forma hija l-kloroplasti ta 'Chlamydomonas?")</f>
        <v>Liema forma hija l-kloroplasti ta 'Chlamydomonas?</v>
      </c>
    </row>
    <row r="15500" ht="15.75" customHeight="1">
      <c r="A15500" s="2" t="s">
        <v>15500</v>
      </c>
      <c r="B15500" s="2" t="str">
        <f>IFERROR(__xludf.DUMMYFUNCTION("GOOGLETRANSLATE(A15500, ""en"", ""mt"")"),"Il-Panthers dehru mħejjija li skorjaw fuq il-ftuħ tagħhom tat-tieni taqsima meta Newton temmew pass ta '45 -yard lil Ted Ginn Jr fuq il-linja ta 'Denver 35-yard fit-tieni logħob offensiv tagħhom. Iżda d-difiża ta 'Broncos waqqfet l-ispinta fuq il-linja ta"&amp;"' 26-tarzna, u din intemmet bl-ebda punt meta Graham Gano laqat il-wieqfa fuq attentat ta 'goal ta' 44-tarzna. Wara l-Miss, Manning temm par ta 'pass lil Emmanuel Sanders għal qligħ ta '25 u 22 tarzna, waqqaf il-gowl ta' 33-tarzna ta 'McManus li ta lill-B"&amp;"roncos vantaġġ ta' 16-7. Carolina telqet għal bidu qawwi ieħor wara l-kickoff, bi Newton temm pass ta '42 tarzna lil Corey Brown. Iżda għal darb'oħra ħarġu vojta, din id-darba bħala riżultat ta 'Newton Pass li rkupra minn idejn Ginn u ġie interċettat mis-"&amp;"sigurtà T. J. Ward. Ward fumbled il-ballun waqt ir-ritorn, iżda Trevathan irkuprah biex jippermetti lil Denver iżomm il-pussess.")</f>
        <v>Il-Panthers dehru mħejjija li skorjaw fuq il-ftuħ tagħhom tat-tieni taqsima meta Newton temmew pass ta '45 -yard lil Ted Ginn Jr fuq il-linja ta 'Denver 35-yard fit-tieni logħob offensiv tagħhom. Iżda d-difiża ta 'Broncos waqqfet l-ispinta fuq il-linja ta' 26-tarzna, u din intemmet bl-ebda punt meta Graham Gano laqat il-wieqfa fuq attentat ta 'goal ta' 44-tarzna. Wara l-Miss, Manning temm par ta 'pass lil Emmanuel Sanders għal qligħ ta '25 u 22 tarzna, waqqaf il-gowl ta' 33-tarzna ta 'McManus li ta lill-Broncos vantaġġ ta' 16-7. Carolina telqet għal bidu qawwi ieħor wara l-kickoff, bi Newton temm pass ta '42 tarzna lil Corey Brown. Iżda għal darb'oħra ħarġu vojta, din id-darba bħala riżultat ta 'Newton Pass li rkupra minn idejn Ginn u ġie interċettat mis-sigurtà T. J. Ward. Ward fumbled il-ballun waqt ir-ritorn, iżda Trevathan irkuprah biex jippermetti lil Denver iżomm il-pussess.</v>
      </c>
    </row>
    <row r="15501" ht="15.75" customHeight="1">
      <c r="A15501" s="2" t="s">
        <v>15501</v>
      </c>
      <c r="B15501" s="2" t="str">
        <f>IFERROR(__xludf.DUMMYFUNCTION("GOOGLETRANSLATE(A15501, ""en"", ""mt"")"),"""Vulgarità u Vjolenza")</f>
        <v>"Vulgarità u Vjolenza</v>
      </c>
    </row>
    <row r="15502" ht="15.75" customHeight="1">
      <c r="A15502" s="2" t="s">
        <v>15502</v>
      </c>
      <c r="B15502" s="2" t="str">
        <f>IFERROR(__xludf.DUMMYFUNCTION("GOOGLETRANSLATE(A15502, ""en"", ""mt"")"),"Andreas Schimper")</f>
        <v>Andreas Schimper</v>
      </c>
    </row>
    <row r="15503" ht="15.75" customHeight="1">
      <c r="A15503" s="2" t="s">
        <v>15503</v>
      </c>
      <c r="B15503" s="2" t="str">
        <f>IFERROR(__xludf.DUMMYFUNCTION("GOOGLETRANSLATE(A15503, ""en"", ""mt"")"),"X'kien il-ktieb ta 'Goldenson 1991 dwar ABC bit-tema?")</f>
        <v>X'kien il-ktieb ta 'Goldenson 1991 dwar ABC bit-tema?</v>
      </c>
    </row>
    <row r="15504" ht="15.75" customHeight="1">
      <c r="A15504" s="2" t="s">
        <v>15504</v>
      </c>
      <c r="B15504" s="2" t="str">
        <f>IFERROR(__xludf.DUMMYFUNCTION("GOOGLETRANSLATE(A15504, ""en"", ""mt"")"),"L-interrogazzjoni sussegwenti wasslet għal fehim aħjar tal-istruttura tal-kmand ta 'Mau Mau")</f>
        <v>L-interrogazzjoni sussegwenti wasslet għal fehim aħjar tal-istruttura tal-kmand ta 'Mau Mau</v>
      </c>
    </row>
    <row r="15505" ht="15.75" customHeight="1">
      <c r="A15505" s="2" t="s">
        <v>15505</v>
      </c>
      <c r="B15505" s="2" t="str">
        <f>IFERROR(__xludf.DUMMYFUNCTION("GOOGLETRANSLATE(A15505, ""en"", ""mt"")"),"Dak li kiber fuq skala globali bħala riżultat tal-imperjalizmu?")</f>
        <v>Dak li kiber fuq skala globali bħala riżultat tal-imperjalizmu?</v>
      </c>
    </row>
    <row r="15506" ht="15.75" customHeight="1">
      <c r="A15506" s="2" t="s">
        <v>15506</v>
      </c>
      <c r="B15506" s="2" t="str">
        <f>IFERROR(__xludf.DUMMYFUNCTION("GOOGLETRANSLATE(A15506, ""en"", ""mt"")"),"Matul l-Imperu Ruman")</f>
        <v>Matul l-Imperu Ruman</v>
      </c>
    </row>
    <row r="15507" ht="15.75" customHeight="1">
      <c r="A15507" s="2" t="s">
        <v>15507</v>
      </c>
      <c r="B15507" s="2" t="str">
        <f>IFERROR(__xludf.DUMMYFUNCTION("GOOGLETRANSLATE(A15507, ""en"", ""mt"")"),"X'kien l-isem mogħti lir-reġjuni li fihom għexu l-pro-skjavitù?")</f>
        <v>X'kien l-isem mogħti lir-reġjuni li fihom għexu l-pro-skjavitù?</v>
      </c>
    </row>
    <row r="15508" ht="15.75" customHeight="1">
      <c r="A15508" s="2" t="s">
        <v>15508</v>
      </c>
      <c r="B15508" s="2" t="str">
        <f>IFERROR(__xludf.DUMMYFUNCTION("GOOGLETRANSLATE(A15508, ""en"", ""mt"")"),"X’għamel Philo b’mod żbaljat li saret l-arja?")</f>
        <v>X’għamel Philo b’mod żbaljat li saret l-arja?</v>
      </c>
    </row>
    <row r="15509" ht="15.75" customHeight="1">
      <c r="A15509" s="2" t="s">
        <v>15509</v>
      </c>
      <c r="B15509" s="2" t="str">
        <f>IFERROR(__xludf.DUMMYFUNCTION("GOOGLETRANSLATE(A15509, ""en"", ""mt"")"),"Đuka Tesla (née Mandić)")</f>
        <v>Đuka Tesla (née Mandić)</v>
      </c>
    </row>
    <row r="15510" ht="15.75" customHeight="1">
      <c r="A15510" s="2" t="s">
        <v>15510</v>
      </c>
      <c r="B15510" s="2" t="str">
        <f>IFERROR(__xludf.DUMMYFUNCTION("GOOGLETRANSLATE(A15510, ""en"", ""mt"")"),"1959")</f>
        <v>1959</v>
      </c>
    </row>
    <row r="15511" ht="15.75" customHeight="1">
      <c r="A15511" s="2" t="s">
        <v>15511</v>
      </c>
      <c r="B15511" s="2" t="str">
        <f>IFERROR(__xludf.DUMMYFUNCTION("GOOGLETRANSLATE(A15511, ""en"", ""mt"")"),"Warner Bros. tippreżenta")</f>
        <v>Warner Bros. tippreżenta</v>
      </c>
    </row>
    <row r="15512" ht="15.75" customHeight="1">
      <c r="A15512" s="2" t="s">
        <v>15512</v>
      </c>
      <c r="B15512" s="2" t="str">
        <f>IFERROR(__xludf.DUMMYFUNCTION("GOOGLETRANSLATE(A15512, ""en"", ""mt"")"),"Liema tagħlim ta 'l-organizzazzjoni Luther irrifjuta?")</f>
        <v>Liema tagħlim ta 'l-organizzazzjoni Luther irrifjuta?</v>
      </c>
    </row>
    <row r="15513" ht="15.75" customHeight="1">
      <c r="A15513" s="2" t="s">
        <v>15513</v>
      </c>
      <c r="B15513" s="2" t="str">
        <f>IFERROR(__xludf.DUMMYFUNCTION("GOOGLETRANSLATE(A15513, ""en"", ""mt"")"),"Partijiet fin-Nofsinhar u Ċentrali ta 'Franza,")</f>
        <v>Partijiet fin-Nofsinhar u Ċentrali ta 'Franza,</v>
      </c>
    </row>
    <row r="15514" ht="15.75" customHeight="1">
      <c r="A15514" s="2" t="s">
        <v>15514</v>
      </c>
      <c r="B15514" s="2" t="str">
        <f>IFERROR(__xludf.DUMMYFUNCTION("GOOGLETRANSLATE(A15514, ""en"", ""mt"")"),"Pep")</f>
        <v>Pep</v>
      </c>
    </row>
    <row r="15515" ht="15.75" customHeight="1">
      <c r="A15515" s="2" t="s">
        <v>15515</v>
      </c>
      <c r="B15515" s="2" t="str">
        <f>IFERROR(__xludf.DUMMYFUNCTION("GOOGLETRANSLATE(A15515, ""en"", ""mt"")"),"Kemm ġew rikonoxxuti skejjel tal-mediċina fiċ-Ċina?")</f>
        <v>Kemm ġew rikonoxxuti skejjel tal-mediċina fiċ-Ċina?</v>
      </c>
    </row>
    <row r="15516" ht="15.75" customHeight="1">
      <c r="A15516" s="2" t="s">
        <v>15516</v>
      </c>
      <c r="B15516" s="2" t="str">
        <f>IFERROR(__xludf.DUMMYFUNCTION("GOOGLETRANSLATE(A15516, ""en"", ""mt"")"),"Harold L. Neal")</f>
        <v>Harold L. Neal</v>
      </c>
    </row>
    <row r="15517" ht="15.75" customHeight="1">
      <c r="A15517" s="2" t="s">
        <v>15517</v>
      </c>
      <c r="B15517" s="2" t="str">
        <f>IFERROR(__xludf.DUMMYFUNCTION("GOOGLETRANSLATE(A15517, ""en"", ""mt"")"),"Huma jaraw il-valur ekonomiku tal-kannamieli tal-gżejjer tal-Karibew biex ikun ikbar u aktar faċli biex jiddefendi mill-pil mill-kontinent")</f>
        <v>Huma jaraw il-valur ekonomiku tal-kannamieli tal-gżejjer tal-Karibew biex ikun ikbar u aktar faċli biex jiddefendi mill-pil mill-kontinent</v>
      </c>
    </row>
    <row r="15518" ht="15.75" customHeight="1">
      <c r="A15518" s="2" t="s">
        <v>15518</v>
      </c>
      <c r="B15518" s="2" t="str">
        <f>IFERROR(__xludf.DUMMYFUNCTION("GOOGLETRANSLATE(A15518, ""en"", ""mt"")"),"Rudyard Kipling kien kelliem influwenti għal xiex?")</f>
        <v>Rudyard Kipling kien kelliem influwenti għal xiex?</v>
      </c>
    </row>
    <row r="15519" ht="15.75" customHeight="1">
      <c r="A15519" s="2" t="s">
        <v>15519</v>
      </c>
      <c r="B15519" s="2" t="str">
        <f>IFERROR(__xludf.DUMMYFUNCTION("GOOGLETRANSLATE(A15519, ""en"", ""mt"")"),"It-Tapizzerija ta 'Bayeux")</f>
        <v>It-Tapizzerija ta 'Bayeux</v>
      </c>
    </row>
    <row r="15520" ht="15.75" customHeight="1">
      <c r="A15520" s="2" t="s">
        <v>15520</v>
      </c>
      <c r="B15520" s="2" t="str">
        <f>IFERROR(__xludf.DUMMYFUNCTION("GOOGLETRANSLATE(A15520, ""en"", ""mt"")"),"Prinċipju ta 'inklużjonijiet u komponenti")</f>
        <v>Prinċipju ta 'inklużjonijiet u komponenti</v>
      </c>
    </row>
    <row r="15521" ht="15.75" customHeight="1">
      <c r="A15521" s="2" t="s">
        <v>15521</v>
      </c>
      <c r="B15521" s="2" t="str">
        <f>IFERROR(__xludf.DUMMYFUNCTION("GOOGLETRANSLATE(A15521, ""en"", ""mt"")"),"fjammabbli")</f>
        <v>fjammabbli</v>
      </c>
    </row>
    <row r="15522" ht="15.75" customHeight="1">
      <c r="A15522" s="2" t="s">
        <v>15522</v>
      </c>
      <c r="B15522" s="2" t="str">
        <f>IFERROR(__xludf.DUMMYFUNCTION("GOOGLETRANSLATE(A15522, ""en"", ""mt"")"),"fehim intuwittiv")</f>
        <v>fehim intuwittiv</v>
      </c>
    </row>
    <row r="15523" ht="15.75" customHeight="1">
      <c r="A15523" s="2" t="s">
        <v>15523</v>
      </c>
      <c r="B15523" s="2" t="str">
        <f>IFERROR(__xludf.DUMMYFUNCTION("GOOGLETRANSLATE(A15523, ""en"", ""mt"")"),"Kap tat-Tatar, Temüjin-üge, li missieru kien għadu kif qabad")</f>
        <v>Kap tat-Tatar, Temüjin-üge, li missieru kien għadu kif qabad</v>
      </c>
    </row>
    <row r="15524" ht="15.75" customHeight="1">
      <c r="A15524" s="2" t="s">
        <v>15524</v>
      </c>
      <c r="B15524" s="2" t="str">
        <f>IFERROR(__xludf.DUMMYFUNCTION("GOOGLETRANSLATE(A15524, ""en"", ""mt"")"),"dejta dwar it-trasport, id-drenaġġ, l-iskart perikoluż u l-ilma")</f>
        <v>dejta dwar it-trasport, id-drenaġġ, l-iskart perikoluż u l-ilma</v>
      </c>
    </row>
    <row r="15525" ht="15.75" customHeight="1">
      <c r="A15525" s="2" t="s">
        <v>15525</v>
      </c>
      <c r="B15525" s="2" t="str">
        <f>IFERROR(__xludf.DUMMYFUNCTION("GOOGLETRANSLATE(A15525, ""en"", ""mt"")"),"X'tip ta 'kumpanija huwa van gend en loos?")</f>
        <v>X'tip ta 'kumpanija huwa van gend en loos?</v>
      </c>
    </row>
    <row r="15526" ht="15.75" customHeight="1">
      <c r="A15526" s="2" t="s">
        <v>15526</v>
      </c>
      <c r="B15526" s="2" t="str">
        <f>IFERROR(__xludf.DUMMYFUNCTION("GOOGLETRANSLATE(A15526, ""en"", ""mt"")"),"Fejn imxew ħafna Kattoliċi Spanjoli wara l-akkwist Ingliż fi Florida?")</f>
        <v>Fejn imxew ħafna Kattoliċi Spanjoli wara l-akkwist Ingliż fi Florida?</v>
      </c>
    </row>
    <row r="15527" ht="15.75" customHeight="1">
      <c r="A15527" s="2" t="s">
        <v>15527</v>
      </c>
      <c r="B15527" s="2" t="str">
        <f>IFERROR(__xludf.DUMMYFUNCTION("GOOGLETRANSLATE(A15527, ""en"", ""mt"")"),"Diviżjoni III tal-NCAA")</f>
        <v>Diviżjoni III tal-NCAA</v>
      </c>
    </row>
    <row r="15528" ht="15.75" customHeight="1">
      <c r="A15528" s="2" t="s">
        <v>15528</v>
      </c>
      <c r="B15528" s="2" t="str">
        <f>IFERROR(__xludf.DUMMYFUNCTION("GOOGLETRANSLATE(A15528, ""en"", ""mt"")"),"awtostradi")</f>
        <v>awtostradi</v>
      </c>
    </row>
    <row r="15529" ht="15.75" customHeight="1">
      <c r="A15529" s="2" t="s">
        <v>15529</v>
      </c>
      <c r="B15529" s="2" t="str">
        <f>IFERROR(__xludf.DUMMYFUNCTION("GOOGLETRANSLATE(A15529, ""en"", ""mt"")"),"Liema pajjiż bħalissa għandu grupp li jsejħu lilhom infushom Huguenots?")</f>
        <v>Liema pajjiż bħalissa għandu grupp li jsejħu lilhom infushom Huguenots?</v>
      </c>
    </row>
    <row r="15530" ht="15.75" customHeight="1">
      <c r="A15530" s="2" t="s">
        <v>15530</v>
      </c>
      <c r="B15530" s="2" t="str">
        <f>IFERROR(__xludf.DUMMYFUNCTION("GOOGLETRANSLATE(A15530, ""en"", ""mt"")"),"Dewar")</f>
        <v>Dewar</v>
      </c>
    </row>
    <row r="15531" ht="15.75" customHeight="1">
      <c r="A15531" s="2" t="s">
        <v>15531</v>
      </c>
      <c r="B15531" s="2" t="str">
        <f>IFERROR(__xludf.DUMMYFUNCTION("GOOGLETRANSLATE(A15531, ""en"", ""mt"")"),"Liema parti mis-sistema immuni innata tidentifika l-mikrobi u tikkawża rispons immuni?")</f>
        <v>Liema parti mis-sistema immuni innata tidentifika l-mikrobi u tikkawża rispons immuni?</v>
      </c>
    </row>
    <row r="15532" ht="15.75" customHeight="1">
      <c r="A15532" s="2" t="s">
        <v>15532</v>
      </c>
      <c r="B15532" s="2" t="str">
        <f>IFERROR(__xludf.DUMMYFUNCTION("GOOGLETRANSLATE(A15532, ""en"", ""mt"")"),"In-nuqqasijiet tal-fiżika Aristoteljana ma jiġux ikkoreġuti għal kollox sa x-xogħol tas-seklu 17 ta 'Galileo Galilei, li kien influwenzat mill-idea medjevali tard li l-oġġetti fil-moviment sfurzat ġarrbu forza intrinsika ta' impetu. Galileo bena esperimen"&amp;"t li fih il-ġebel u l-kanun tal-kanun kienu rrumblati l-inklinazzjoni biex jikkontestaw it-teorija Aristoteljana tal-moviment kmieni fis-seklu 17. Huwa wera li l-korpi ġew aċċellerati mill-gravità sa punt li kien indipendenti mill-massa tagħhom u argument"&amp;"a li l-oġġetti jżommu l-veloċità tagħhom sakemm ma jaġixxux minn forza, pereżempju frizzjoni.")</f>
        <v>In-nuqqasijiet tal-fiżika Aristoteljana ma jiġux ikkoreġuti għal kollox sa x-xogħol tas-seklu 17 ta 'Galileo Galilei, li kien influwenzat mill-idea medjevali tard li l-oġġetti fil-moviment sfurzat ġarrbu forza intrinsika ta' impetu. Galileo bena esperiment li fih il-ġebel u l-kanun tal-kanun kienu rrumblati l-inklinazzjoni biex jikkontestaw it-teorija Aristoteljana tal-moviment kmieni fis-seklu 17. Huwa wera li l-korpi ġew aċċellerati mill-gravità sa punt li kien indipendenti mill-massa tagħhom u argumenta li l-oġġetti jżommu l-veloċità tagħhom sakemm ma jaġixxux minn forza, pereżempju frizzjoni.</v>
      </c>
    </row>
    <row r="15533" ht="15.75" customHeight="1">
      <c r="A15533" s="2" t="s">
        <v>15533</v>
      </c>
      <c r="B15533" s="2" t="str">
        <f>IFERROR(__xludf.DUMMYFUNCTION("GOOGLETRANSLATE(A15533, ""en"", ""mt"")"),"Liema referenza letterarja tqabbel il-kaptan mat-tabib min?")</f>
        <v>Liema referenza letterarja tqabbel il-kaptan mat-tabib min?</v>
      </c>
    </row>
    <row r="15534" ht="15.75" customHeight="1">
      <c r="A15534" s="2" t="s">
        <v>15534</v>
      </c>
      <c r="B15534" s="2" t="str">
        <f>IFERROR(__xludf.DUMMYFUNCTION("GOOGLETRANSLATE(A15534, ""en"", ""mt"")"),"Liema snin seħħet din l-okkupazzjoni?")</f>
        <v>Liema snin seħħet din l-okkupazzjoni?</v>
      </c>
    </row>
    <row r="15535" ht="15.75" customHeight="1">
      <c r="A15535" s="2" t="s">
        <v>15535</v>
      </c>
      <c r="B15535" s="2" t="str">
        <f>IFERROR(__xludf.DUMMYFUNCTION("GOOGLETRANSLATE(A15535, ""en"", ""mt"")"),"Plasmodium falciparum")</f>
        <v>Plasmodium falciparum</v>
      </c>
    </row>
    <row r="15536" ht="15.75" customHeight="1">
      <c r="A15536" s="2" t="s">
        <v>15536</v>
      </c>
      <c r="B15536" s="2" t="str">
        <f>IFERROR(__xludf.DUMMYFUNCTION("GOOGLETRANSLATE(A15536, ""en"", ""mt"")"),"X'effett kellu l-gass skopert ta 'Priestley fuq il-ġurdien tal-esperiment?")</f>
        <v>X'effett kellu l-gass skopert ta 'Priestley fuq il-ġurdien tal-esperiment?</v>
      </c>
    </row>
    <row r="15537" ht="15.75" customHeight="1">
      <c r="A15537" s="2" t="s">
        <v>15537</v>
      </c>
      <c r="B15537" s="2" t="str">
        <f>IFERROR(__xludf.DUMMYFUNCTION("GOOGLETRANSLATE(A15537, ""en"", ""mt"")"),"Apollo kien mitħun")</f>
        <v>Apollo kien mitħun</v>
      </c>
    </row>
    <row r="15538" ht="15.75" customHeight="1">
      <c r="A15538" s="2" t="s">
        <v>15538</v>
      </c>
      <c r="B15538" s="2" t="str">
        <f>IFERROR(__xludf.DUMMYFUNCTION("GOOGLETRANSLATE(A15538, ""en"", ""mt"")"),"Minbarra min irid ikun miljunarju, in-netwerk daħal fis-snin 2000 b'suċċessi miżmuma mid-deċennju ta 'qabel bħall-prattika, NYPD Blue u d-dinja mill-isbaħ ta' Disney u serje ġdida bħal marti u tfal u skond Jim, li kollha rnexxielhom jgħinu lil ABC jibqa ’"&amp;"quddiem il-kompetizzjoni fil-klassifikazzjonijiet minkejja t-tluq aktar tard tal-Millionaire. 2000 raw it-tmiem ta '""TGIF"", li kien qed jitħabat biex isib suċċessi ġodda (ma' Boy Meets World u Sabrina, is-saħħara adoloxxenti, li l-aħħar marret għand il-"&amp;"WB f'Settembru 2000, li bdiet tonqos ukoll minn dan il-punt) wara It-telf ta 'kwistjonijiet tal-familja u pass pass lejn CBS bħala parti mill-attentat fallut tiegħu stess fi blokka tal-kummiedja tal-Ġimgħa orjentata lejn il-familja fl-istaġun 1997–98. Bar"&amp;"ra mill-Ġimgħa stalwart 20/20, il-Ġimgħa l-lejl baqgħu post dgħajjef għal ABC għall-11-il sena li ġejjin.")</f>
        <v>Minbarra min irid ikun miljunarju, in-netwerk daħal fis-snin 2000 b'suċċessi miżmuma mid-deċennju ta 'qabel bħall-prattika, NYPD Blue u d-dinja mill-isbaħ ta' Disney u serje ġdida bħal marti u tfal u skond Jim, li kollha rnexxielhom jgħinu lil ABC jibqa ’quddiem il-kompetizzjoni fil-klassifikazzjonijiet minkejja t-tluq aktar tard tal-Millionaire. 2000 raw it-tmiem ta '"TGIF", li kien qed jitħabat biex isib suċċessi ġodda (ma' Boy Meets World u Sabrina, is-saħħara adoloxxenti, li l-aħħar marret għand il-WB f'Settembru 2000, li bdiet tonqos ukoll minn dan il-punt) wara It-telf ta 'kwistjonijiet tal-familja u pass pass lejn CBS bħala parti mill-attentat fallut tiegħu stess fi blokka tal-kummiedja tal-Ġimgħa orjentata lejn il-familja fl-istaġun 1997–98. Barra mill-Ġimgħa stalwart 20/20, il-Ġimgħa l-lejl baqgħu post dgħajjef għal ABC għall-11-il sena li ġejjin.</v>
      </c>
    </row>
    <row r="15539" ht="15.75" customHeight="1">
      <c r="A15539" s="2" t="s">
        <v>15539</v>
      </c>
      <c r="B15539" s="2" t="str">
        <f>IFERROR(__xludf.DUMMYFUNCTION("GOOGLETRANSLATE(A15539, ""en"", ""mt"")"),"Madwar 30 kPa (1.4 darbiet normali)")</f>
        <v>Madwar 30 kPa (1.4 darbiet normali)</v>
      </c>
    </row>
    <row r="15540" ht="15.75" customHeight="1">
      <c r="A15540" s="2" t="s">
        <v>15540</v>
      </c>
      <c r="B15540" s="2" t="str">
        <f>IFERROR(__xludf.DUMMYFUNCTION("GOOGLETRANSLATE(A15540, ""en"", ""mt"")"),"Preżenza ta 'Raġel")</f>
        <v>Preżenza ta 'Raġel</v>
      </c>
    </row>
    <row r="15541" ht="15.75" customHeight="1">
      <c r="A15541" s="2" t="s">
        <v>15541</v>
      </c>
      <c r="B15541" s="2" t="str">
        <f>IFERROR(__xludf.DUMMYFUNCTION("GOOGLETRANSLATE(A15541, ""en"", ""mt"")"),"L-edukazzjoni f'Wales tvarja f'ċerti aspetti mill-edukazzjoni x'imkien ieħor fir-Renju Unit. Pereżempju, numru sinifikanti ta 'studenti madwar Wales huma edukati jew kompletament jew fil-biċċa l-kbira permezz tal-mezz ta' Welsh: fl-2008/09, 22 fil-mija ta"&amp;"l-klassijiet fl-iskejjel primarji miżmuma użati mill-Welsh bħala l-uniku jew il-mezz ewlieni ta 'struzzjoni. Edukazzjoni medja ta 'Welsh hija disponibbli għall-gruppi ta' età kollha permezz ta 'mixtliet, skejjel, kulleġġi u universitajiet u f'edukazzjoni "&amp;"għall-adulti; Lezzjonijiet fil-lingwa nnifisha huma obbligatorji għall-istudenti kollha sa l-età ta '16.")</f>
        <v>L-edukazzjoni f'Wales tvarja f'ċerti aspetti mill-edukazzjoni x'imkien ieħor fir-Renju Unit. Pereżempju, numru sinifikanti ta 'studenti madwar Wales huma edukati jew kompletament jew fil-biċċa l-kbira permezz tal-mezz ta' Welsh: fl-2008/09, 22 fil-mija tal-klassijiet fl-iskejjel primarji miżmuma użati mill-Welsh bħala l-uniku jew il-mezz ewlieni ta 'struzzjoni. Edukazzjoni medja ta 'Welsh hija disponibbli għall-gruppi ta' età kollha permezz ta 'mixtliet, skejjel, kulleġġi u universitajiet u f'edukazzjoni għall-adulti; Lezzjonijiet fil-lingwa nnifisha huma obbligatorji għall-istudenti kollha sa l-età ta '16.</v>
      </c>
    </row>
    <row r="15542" ht="15.75" customHeight="1">
      <c r="A15542" s="2" t="s">
        <v>15542</v>
      </c>
      <c r="B15542" s="2" t="str">
        <f>IFERROR(__xludf.DUMMYFUNCTION("GOOGLETRANSLATE(A15542, ""en"", ""mt"")"),"""Old Brittaniku"" injora t-twissija")</f>
        <v>"Old Brittaniku" injora t-twissija</v>
      </c>
    </row>
    <row r="15543" ht="15.75" customHeight="1">
      <c r="A15543" s="2" t="s">
        <v>15543</v>
      </c>
      <c r="B15543" s="2" t="str">
        <f>IFERROR(__xludf.DUMMYFUNCTION("GOOGLETRANSLATE(A15543, ""en"", ""mt"")"),"Fuq liema affarijiet ikkonċentrat in-netwerk")</f>
        <v>Fuq liema affarijiet ikkonċentrat in-netwerk</v>
      </c>
    </row>
    <row r="15544" ht="15.75" customHeight="1">
      <c r="A15544" s="2" t="s">
        <v>15544</v>
      </c>
      <c r="B15544" s="2" t="str">
        <f>IFERROR(__xludf.DUMMYFUNCTION("GOOGLETRANSLATE(A15544, ""en"", ""mt"")"),"Bosta ostakli jipproteġu l-organiżmi minn infezzjoni, inklużi ostakli mekkaniċi, kimiċi u bijoloġiċi. Ir-rita tax-xama 'ta' ħafna weraq, l-eżoskeletru ta 'l-insetti, il-qxur u l-membrani ta' bajd depożitat esternament, u l-ġilda huma eżempji ta 'ostakli m"&amp;"ekkaniċi li huma l-ewwel linja ta' difiża kontra l-infezzjoni. Madankollu, billi l-organiżmi ma jistgħux jiġu ssiġillati kompletament mill-ambjenti tagħhom, sistemi oħra jaġixxu biex jipproteġu l-fetħiet tal-ġisem bħall-pulmuni, l-imsaren u l-passaġġ ġeni"&amp;"tourinarju. Fil-pulmuni, is-sogħla u l-għatis tal-għatis jkeċċu mekkanikament patoġeni u irritanti oħra mill-passaġġ respiratorju. L-azzjoni tat-tlaħliħ tad-dmugħ u l-awrina tkeċċi wkoll mekkanikament il-patoġeni, filwaqt li l-mukus sekretat mill-passaġġ "&amp;"respiratorju u gastro-intestinali jservi biex jaqbad u jqabbad mikro-organiżmi.")</f>
        <v>Bosta ostakli jipproteġu l-organiżmi minn infezzjoni, inklużi ostakli mekkaniċi, kimiċi u bijoloġiċi. Ir-rita tax-xama 'ta' ħafna weraq, l-eżoskeletru ta 'l-insetti, il-qxur u l-membrani ta' bajd depożitat esternament, u l-ġilda huma eżempji ta 'ostakli mekkaniċi li huma l-ewwel linja ta' difiża kontra l-infezzjoni. Madankollu, billi l-organiżmi ma jistgħux jiġu ssiġillati kompletament mill-ambjenti tagħhom, sistemi oħra jaġixxu biex jipproteġu l-fetħiet tal-ġisem bħall-pulmuni, l-imsaren u l-passaġġ ġenitourinarju. Fil-pulmuni, is-sogħla u l-għatis tal-għatis jkeċċu mekkanikament patoġeni u irritanti oħra mill-passaġġ respiratorju. L-azzjoni tat-tlaħliħ tad-dmugħ u l-awrina tkeċċi wkoll mekkanikament il-patoġeni, filwaqt li l-mukus sekretat mill-passaġġ respiratorju u gastro-intestinali jservi biex jaqbad u jqabbad mikro-organiżmi.</v>
      </c>
    </row>
    <row r="15545" ht="15.75" customHeight="1">
      <c r="A15545" s="2" t="s">
        <v>15545</v>
      </c>
      <c r="B15545" s="2" t="str">
        <f>IFERROR(__xludf.DUMMYFUNCTION("GOOGLETRANSLATE(A15545, ""en"", ""mt"")"),"Mstislav il-Bold of Halych u Mstislav III ta 'Kiev")</f>
        <v>Mstislav il-Bold of Halych u Mstislav III ta 'Kiev</v>
      </c>
    </row>
    <row r="15546" ht="15.75" customHeight="1">
      <c r="A15546" s="2" t="s">
        <v>15546</v>
      </c>
      <c r="B15546" s="2" t="str">
        <f>IFERROR(__xludf.DUMMYFUNCTION("GOOGLETRANSLATE(A15546, ""en"", ""mt"")"),"loġistika")</f>
        <v>loġistika</v>
      </c>
    </row>
    <row r="15547" ht="15.75" customHeight="1">
      <c r="A15547" s="2" t="s">
        <v>15547</v>
      </c>
      <c r="B15547" s="2" t="str">
        <f>IFERROR(__xludf.DUMMYFUNCTION("GOOGLETRANSLATE(A15547, ""en"", ""mt"")"),"Polonez")</f>
        <v>Polonez</v>
      </c>
    </row>
    <row r="15548" ht="15.75" customHeight="1">
      <c r="A15548" s="2" t="s">
        <v>15548</v>
      </c>
      <c r="B15548" s="2" t="str">
        <f>IFERROR(__xludf.DUMMYFUNCTION("GOOGLETRANSLATE(A15548, ""en"", ""mt"")"),"Fil-Knisja tal-Ingilterra")</f>
        <v>Fil-Knisja tal-Ingilterra</v>
      </c>
    </row>
    <row r="15549" ht="15.75" customHeight="1">
      <c r="A15549" s="2" t="s">
        <v>15549</v>
      </c>
      <c r="B15549" s="2" t="str">
        <f>IFERROR(__xludf.DUMMYFUNCTION("GOOGLETRANSLATE(A15549, ""en"", ""mt"")"),"2009")</f>
        <v>2009</v>
      </c>
    </row>
    <row r="15550" ht="15.75" customHeight="1">
      <c r="A15550" s="2" t="s">
        <v>15550</v>
      </c>
      <c r="B15550" s="2" t="str">
        <f>IFERROR(__xludf.DUMMYFUNCTION("GOOGLETRANSLATE(A15550, ""en"", ""mt"")"),"Elettorat ta 'Brandenburg u Elettorat tal-Palatinat")</f>
        <v>Elettorat ta 'Brandenburg u Elettorat tal-Palatinat</v>
      </c>
    </row>
    <row r="15551" ht="15.75" customHeight="1">
      <c r="A15551" s="2" t="s">
        <v>15551</v>
      </c>
      <c r="B15551" s="2" t="str">
        <f>IFERROR(__xludf.DUMMYFUNCTION("GOOGLETRANSLATE(A15551, ""en"", ""mt"")"),"X'għandek bżonn il-premier ta 'Victoria biex imexxi fl-Assemblea Leġiżlattiva?")</f>
        <v>X'għandek bżonn il-premier ta 'Victoria biex imexxi fl-Assemblea Leġiżlattiva?</v>
      </c>
    </row>
    <row r="15552" ht="15.75" customHeight="1">
      <c r="A15552" s="2" t="s">
        <v>15552</v>
      </c>
      <c r="B15552" s="2" t="str">
        <f>IFERROR(__xludf.DUMMYFUNCTION("GOOGLETRANSLATE(A15552, ""en"", ""mt"")"),"il-bigamy tal-inċident ta 'Philip of Hesse")</f>
        <v>il-bigamy tal-inċident ta 'Philip of Hesse</v>
      </c>
    </row>
    <row r="15553" ht="15.75" customHeight="1">
      <c r="A15553" s="2" t="s">
        <v>15553</v>
      </c>
      <c r="B15553" s="2" t="str">
        <f>IFERROR(__xludf.DUMMYFUNCTION("GOOGLETRANSLATE(A15553, ""en"", ""mt"")"),"62")</f>
        <v>62</v>
      </c>
    </row>
    <row r="15554" ht="15.75" customHeight="1">
      <c r="A15554" s="2" t="s">
        <v>15554</v>
      </c>
      <c r="B15554" s="2" t="str">
        <f>IFERROR(__xludf.DUMMYFUNCTION("GOOGLETRANSLATE(A15554, ""en"", ""mt"")"),"Liema Imperu jmissu mal-Imperu Mongoljan lejn il-Punent fl-1218?")</f>
        <v>Liema Imperu jmissu mal-Imperu Mongoljan lejn il-Punent fl-1218?</v>
      </c>
    </row>
    <row r="15555" ht="15.75" customHeight="1">
      <c r="A15555" s="2" t="s">
        <v>15555</v>
      </c>
      <c r="B15555" s="2" t="str">
        <f>IFERROR(__xludf.DUMMYFUNCTION("GOOGLETRANSLATE(A15555, ""en"", ""mt"")"),"Ma 'min kien l-amministratur assoċjat li tkellem miegħu Houbolt?")</f>
        <v>Ma 'min kien l-amministratur assoċjat li tkellem miegħu Houbolt?</v>
      </c>
    </row>
    <row r="15556" ht="15.75" customHeight="1">
      <c r="A15556" s="2" t="s">
        <v>15556</v>
      </c>
      <c r="B15556" s="2" t="str">
        <f>IFERROR(__xludf.DUMMYFUNCTION("GOOGLETRANSLATE(A15556, ""en"", ""mt"")"),"X'inhi r-replikazzjoni ta 'CPDNA simili għal?")</f>
        <v>X'inhi r-replikazzjoni ta 'CPDNA simili għal?</v>
      </c>
    </row>
    <row r="15557" ht="15.75" customHeight="1">
      <c r="A15557" s="2" t="s">
        <v>15557</v>
      </c>
      <c r="B15557" s="2" t="str">
        <f>IFERROR(__xludf.DUMMYFUNCTION("GOOGLETRANSLATE(A15557, ""en"", ""mt"")"),"X’għandu jesponi lil Luther biex ikun ikbar mid-dnub?")</f>
        <v>X’għandu jesponi lil Luther biex ikun ikbar mid-dnub?</v>
      </c>
    </row>
    <row r="15558" ht="15.75" customHeight="1">
      <c r="A15558" s="2" t="s">
        <v>15558</v>
      </c>
      <c r="B15558" s="2" t="str">
        <f>IFERROR(__xludf.DUMMYFUNCTION("GOOGLETRANSLATE(A15558, ""en"", ""mt"")"),"pajjiżi jew powiats")</f>
        <v>pajjiżi jew powiats</v>
      </c>
    </row>
    <row r="15559" ht="15.75" customHeight="1">
      <c r="A15559" s="2" t="s">
        <v>15559</v>
      </c>
      <c r="B15559" s="2" t="str">
        <f>IFERROR(__xludf.DUMMYFUNCTION("GOOGLETRANSLATE(A15559, ""en"", ""mt"")"),"X'inhu l-isem ta 'kontinwazzjoni impressjonanti tat-test tal-primalità Fermat?")</f>
        <v>X'inhu l-isem ta 'kontinwazzjoni impressjonanti tat-test tal-primalità Fermat?</v>
      </c>
    </row>
    <row r="15560" ht="15.75" customHeight="1">
      <c r="A15560" s="2" t="s">
        <v>15560</v>
      </c>
      <c r="B15560" s="2" t="str">
        <f>IFERROR(__xludf.DUMMYFUNCTION("GOOGLETRANSLATE(A15560, ""en"", ""mt"")"),"Trombożi koronarja")</f>
        <v>Trombożi koronarja</v>
      </c>
    </row>
    <row r="15561" ht="15.75" customHeight="1">
      <c r="A15561" s="2" t="s">
        <v>15561</v>
      </c>
      <c r="B15561" s="2" t="str">
        <f>IFERROR(__xludf.DUMMYFUNCTION("GOOGLETRANSLATE(A15561, ""en"", ""mt"")"),"Kemm kien jistenna telf ta 'enerġija?")</f>
        <v>Kemm kien jistenna telf ta 'enerġija?</v>
      </c>
    </row>
    <row r="15562" ht="15.75" customHeight="1">
      <c r="A15562" s="2" t="s">
        <v>15562</v>
      </c>
      <c r="B15562" s="2" t="str">
        <f>IFERROR(__xludf.DUMMYFUNCTION("GOOGLETRANSLATE(A15562, ""en"", ""mt"")"),"Spjegazzjoni tal-Kredu tal-Appostli")</f>
        <v>Spjegazzjoni tal-Kredu tal-Appostli</v>
      </c>
    </row>
    <row r="15563" ht="15.75" customHeight="1">
      <c r="A15563" s="2" t="s">
        <v>15563</v>
      </c>
      <c r="B15563" s="2" t="str">
        <f>IFERROR(__xludf.DUMMYFUNCTION("GOOGLETRANSLATE(A15563, ""en"", ""mt"")"),"Il-veduta u t-tomgħod")</f>
        <v>Il-veduta u t-tomgħod</v>
      </c>
    </row>
    <row r="15564" ht="15.75" customHeight="1">
      <c r="A15564" s="2" t="s">
        <v>15564</v>
      </c>
      <c r="B15564" s="2" t="str">
        <f>IFERROR(__xludf.DUMMYFUNCTION("GOOGLETRANSLATE(A15564, ""en"", ""mt"")"),"sħana u pressjoni")</f>
        <v>sħana u pressjoni</v>
      </c>
    </row>
    <row r="15565" ht="15.75" customHeight="1">
      <c r="A15565" s="2" t="s">
        <v>15565</v>
      </c>
      <c r="B15565" s="2" t="str">
        <f>IFERROR(__xludf.DUMMYFUNCTION("GOOGLETRANSLATE(A15565, ""en"", ""mt"")"),"Arma ""Teleforce""")</f>
        <v>Arma "Teleforce"</v>
      </c>
    </row>
    <row r="15566" ht="15.75" customHeight="1">
      <c r="A15566" s="2" t="s">
        <v>15566</v>
      </c>
      <c r="B15566" s="2" t="str">
        <f>IFERROR(__xludf.DUMMYFUNCTION("GOOGLETRANSLATE(A15566, ""en"", ""mt"")"),"Ix-xogħlijiet ta ’min għenu lil Tesla tirkupra mill-mard?")</f>
        <v>Ix-xogħlijiet ta ’min għenu lil Tesla tirkupra mill-mard?</v>
      </c>
    </row>
    <row r="15567" ht="15.75" customHeight="1">
      <c r="A15567" s="2" t="s">
        <v>15567</v>
      </c>
      <c r="B15567" s="2" t="str">
        <f>IFERROR(__xludf.DUMMYFUNCTION("GOOGLETRANSLATE(A15567, ""en"", ""mt"")"),"Luther meta kiteb lil Melanchhon dwar il-grazzja ta ’Alla?")</f>
        <v>Luther meta kiteb lil Melanchhon dwar il-grazzja ta ’Alla?</v>
      </c>
    </row>
    <row r="15568" ht="15.75" customHeight="1">
      <c r="A15568" s="2" t="s">
        <v>15568</v>
      </c>
      <c r="B15568" s="2" t="str">
        <f>IFERROR(__xludf.DUMMYFUNCTION("GOOGLETRANSLATE(A15568, ""en"", ""mt"")"),"Mill-ftehimiet kollha tagħhom mal-produtturi ta 'Hollywood fis-snin 50, liema kienet l-iktar ikonika għal ABC?")</f>
        <v>Mill-ftehimiet kollha tagħhom mal-produtturi ta 'Hollywood fis-snin 50, liema kienet l-iktar ikonika għal ABC?</v>
      </c>
    </row>
    <row r="15569" ht="15.75" customHeight="1">
      <c r="A15569" s="2" t="s">
        <v>15569</v>
      </c>
      <c r="B15569" s="2" t="str">
        <f>IFERROR(__xludf.DUMMYFUNCTION("GOOGLETRANSLATE(A15569, ""en"", ""mt"")"),"skopijiet kontra l-ajruplani")</f>
        <v>skopijiet kontra l-ajruplani</v>
      </c>
    </row>
    <row r="15570" ht="15.75" customHeight="1">
      <c r="A15570" s="2" t="s">
        <v>15570</v>
      </c>
      <c r="B15570" s="2" t="str">
        <f>IFERROR(__xludf.DUMMYFUNCTION("GOOGLETRANSLATE(A15570, ""en"", ""mt"")"),"l-iktar algoritmu effiċjenti")</f>
        <v>l-iktar algoritmu effiċjenti</v>
      </c>
    </row>
    <row r="15571" ht="15.75" customHeight="1">
      <c r="A15571" s="2" t="s">
        <v>15571</v>
      </c>
      <c r="B15571" s="2" t="str">
        <f>IFERROR(__xludf.DUMMYFUNCTION("GOOGLETRANSLATE(A15571, ""en"", ""mt"")"),"It-Tieni Gwerra Dinjija")</f>
        <v>It-Tieni Gwerra Dinjija</v>
      </c>
    </row>
    <row r="15572" ht="15.75" customHeight="1">
      <c r="A15572" s="2" t="s">
        <v>15572</v>
      </c>
      <c r="B15572" s="2" t="str">
        <f>IFERROR(__xludf.DUMMYFUNCTION("GOOGLETRANSLATE(A15572, ""en"", ""mt"")"),"Bil-mewt tal-Kaptan Francis Fowke, inġiniera rjali l-perit li jmiss biex jaħdem fil-mużew kien il-Kurunell (aktar tard Ġeneral Maġġur) Henry Young Darracott Scott, ukoll tal-Inġiniera Rjali. Huwa ddisinjat fil-majjistral tal-ġnien l-iskola ta 'ħames sular"&amp;"i għall-periti navali (magħrufa wkoll bħala l-iskejjel tax-xjenza), issa l-Wing Henry Cole fl-1867–72. L-assistent ta ’Scott J.W. Selvaġġ iddisinja t-taraġ impressjonanti li jitla 'l-għoli sħiħ tal-bini, magħmul mill-ġebla Cadeby il-passi huma ta' 7 piedi"&amp;" (2.1 m) fit-tul, il-balavostri u l-kolonni huma Portland Stone. Issa huwa użat biex jospita b'mod konġunt il-marki u t-tpinġijiet arkitettoniċi tal-V &amp; A (stampi, tpinġijiet, pitturi u ritratti) u l-Istitut Irjali tal-Periti Brittaniċi (tpinġijiet RIBA u"&amp;" kollezzjonijiet ta 'arkivji); u ċ-Ċentru Sackler għall-Edukazzjoni tal-Arti, li nfetaħ fl-2008.")</f>
        <v>Bil-mewt tal-Kaptan Francis Fowke, inġiniera rjali l-perit li jmiss biex jaħdem fil-mużew kien il-Kurunell (aktar tard Ġeneral Maġġur) Henry Young Darracott Scott, ukoll tal-Inġiniera Rjali. Huwa ddisinjat fil-majjistral tal-ġnien l-iskola ta 'ħames sulari għall-periti navali (magħrufa wkoll bħala l-iskejjel tax-xjenza), issa l-Wing Henry Cole fl-1867–72. L-assistent ta ’Scott J.W. Selvaġġ iddisinja t-taraġ impressjonanti li jitla 'l-għoli sħiħ tal-bini, magħmul mill-ġebla Cadeby il-passi huma ta' 7 piedi (2.1 m) fit-tul, il-balavostri u l-kolonni huma Portland Stone. Issa huwa użat biex jospita b'mod konġunt il-marki u t-tpinġijiet arkitettoniċi tal-V &amp; A (stampi, tpinġijiet, pitturi u ritratti) u l-Istitut Irjali tal-Periti Brittaniċi (tpinġijiet RIBA u kollezzjonijiet ta 'arkivji); u ċ-Ċentru Sackler għall-Edukazzjoni tal-Arti, li nfetaħ fl-2008.</v>
      </c>
    </row>
    <row r="15573" ht="15.75" customHeight="1">
      <c r="A15573" s="2" t="s">
        <v>15573</v>
      </c>
      <c r="B15573" s="2" t="str">
        <f>IFERROR(__xludf.DUMMYFUNCTION("GOOGLETRANSLATE(A15573, ""en"", ""mt"")"),"1186")</f>
        <v>1186</v>
      </c>
    </row>
    <row r="15574" ht="15.75" customHeight="1">
      <c r="A15574" s="2" t="s">
        <v>15574</v>
      </c>
      <c r="B15574" s="2" t="str">
        <f>IFERROR(__xludf.DUMMYFUNCTION("GOOGLETRANSLATE(A15574, ""en"", ""mt"")"),"Kelliema jinnominaw")</f>
        <v>Kelliema jinnominaw</v>
      </c>
    </row>
    <row r="15575" ht="15.75" customHeight="1">
      <c r="A15575" s="2" t="s">
        <v>15575</v>
      </c>
      <c r="B15575" s="2" t="str">
        <f>IFERROR(__xludf.DUMMYFUNCTION("GOOGLETRANSLATE(A15575, ""en"", ""mt"")"),"L-invertebrati ma jiġġenerawx liema tip ta 'ċelloli huma parti mis-sistema immuni adatta vertebra?")</f>
        <v>L-invertebrati ma jiġġenerawx liema tip ta 'ċelloli huma parti mis-sistema immuni adatta vertebra?</v>
      </c>
    </row>
    <row r="15576" ht="15.75" customHeight="1">
      <c r="A15576" s="2" t="s">
        <v>15576</v>
      </c>
      <c r="B15576" s="2" t="str">
        <f>IFERROR(__xludf.DUMMYFUNCTION("GOOGLETRANSLATE(A15576, ""en"", ""mt"")"),"Magni tat-Turing huma komunement impjegati biex jiddefinixxu x'inhu?")</f>
        <v>Magni tat-Turing huma komunement impjegati biex jiddefinixxu x'inhu?</v>
      </c>
    </row>
    <row r="15577" ht="15.75" customHeight="1">
      <c r="A15577" s="2" t="s">
        <v>15577</v>
      </c>
      <c r="B15577" s="2" t="str">
        <f>IFERROR(__xludf.DUMMYFUNCTION("GOOGLETRANSLATE(A15577, ""en"", ""mt"")"),"diversi")</f>
        <v>diversi</v>
      </c>
    </row>
    <row r="15578" ht="15.75" customHeight="1">
      <c r="A15578" s="2" t="s">
        <v>15578</v>
      </c>
      <c r="B15578" s="2" t="str">
        <f>IFERROR(__xludf.DUMMYFUNCTION("GOOGLETRANSLATE(A15578, ""en"", ""mt"")"),"individwalment")</f>
        <v>individwalment</v>
      </c>
    </row>
    <row r="15579" ht="15.75" customHeight="1">
      <c r="A15579" s="2" t="s">
        <v>15579</v>
      </c>
      <c r="B15579" s="2" t="str">
        <f>IFERROR(__xludf.DUMMYFUNCTION("GOOGLETRANSLATE(A15579, ""en"", ""mt"")"),"Prezzijiet tal-konsumatur")</f>
        <v>Prezzijiet tal-konsumatur</v>
      </c>
    </row>
    <row r="15580" ht="15.75" customHeight="1">
      <c r="A15580" s="2" t="s">
        <v>15580</v>
      </c>
      <c r="B15580" s="2" t="str">
        <f>IFERROR(__xludf.DUMMYFUNCTION("GOOGLETRANSLATE(A15580, ""en"", ""mt"")"),"22 ta ’Ottubru 2006")</f>
        <v>22 ta ’Ottubru 2006</v>
      </c>
    </row>
    <row r="15581" ht="15.75" customHeight="1">
      <c r="A15581" s="2" t="s">
        <v>15581</v>
      </c>
      <c r="B15581" s="2" t="str">
        <f>IFERROR(__xludf.DUMMYFUNCTION("GOOGLETRANSLATE(A15581, ""en"", ""mt"")"),"Kważi 3,000")</f>
        <v>Kważi 3,000</v>
      </c>
    </row>
    <row r="15582" ht="15.75" customHeight="1">
      <c r="A15582" s="2" t="s">
        <v>15582</v>
      </c>
      <c r="B15582" s="2" t="str">
        <f>IFERROR(__xludf.DUMMYFUNCTION("GOOGLETRANSLATE(A15582, ""en"", ""mt"")"),"X’kawża li r-reġjuni tas-savanna jikbru fit-tropiċi tal-Amerika t'Isfel fl-aħħar 34 miljun sena?")</f>
        <v>X’kawża li r-reġjuni tas-savanna jikbru fit-tropiċi tal-Amerika t'Isfel fl-aħħar 34 miljun sena?</v>
      </c>
    </row>
    <row r="15583" ht="15.75" customHeight="1">
      <c r="A15583" s="2" t="s">
        <v>15583</v>
      </c>
      <c r="B15583" s="2" t="str">
        <f>IFERROR(__xludf.DUMMYFUNCTION("GOOGLETRANSLATE(A15583, ""en"", ""mt"")"),"28,000")</f>
        <v>28,000</v>
      </c>
    </row>
    <row r="15584" ht="15.75" customHeight="1">
      <c r="A15584" s="2" t="s">
        <v>15584</v>
      </c>
      <c r="B15584" s="2" t="str">
        <f>IFERROR(__xludf.DUMMYFUNCTION("GOOGLETRANSLATE(A15584, ""en"", ""mt"")"),"Il-Festival u l-Parata tat-Tramuntana tat-Tramuntana")</f>
        <v>Il-Festival u l-Parata tat-Tramuntana tat-Tramuntana</v>
      </c>
    </row>
    <row r="15585" ht="15.75" customHeight="1">
      <c r="A15585" s="2" t="s">
        <v>15585</v>
      </c>
      <c r="B15585" s="2" t="str">
        <f>IFERROR(__xludf.DUMMYFUNCTION("GOOGLETRANSLATE(A15585, ""en"", ""mt"")"),"Fil-mudell b'saffi tad-Dinja, huwa x'inhu s-saff l-iktar imbiegħed?")</f>
        <v>Fil-mudell b'saffi tad-Dinja, huwa x'inhu s-saff l-iktar imbiegħed?</v>
      </c>
    </row>
    <row r="15586" ht="15.75" customHeight="1">
      <c r="A15586" s="2" t="s">
        <v>15586</v>
      </c>
      <c r="B15586" s="2" t="str">
        <f>IFERROR(__xludf.DUMMYFUNCTION("GOOGLETRANSLATE(A15586, ""en"", ""mt"")"),"Minbarra t-tagħlim immexxi mill-kurrikulu, hemm ukoll servizzi tal-librerija nazzjonali u pubblika mmexxija mis-Servizz Nazzjonali tal-Librerija tal-Kenja (KNLs). KNLS huwa l-korp mandat biex jistabbilixxi, jgħammar, jimmaniġġja u jżomm libreriji nazzjona"&amp;"li u pubbliċi fil-pajjiż. Barra minn hekk, uħud mill-kontej fil-pajjiż jew stabbilixxew jew ħadu f'idejhom il-libreriji fir-reġjuni tagħhom. Il-Kontea ta 'Nairobi topera erba' libreriji fin-netwerk tagħhom, li kienet tinkludi l-McMillan Memorial Library l"&amp;"i tinsab fid-Distrett tan-Negozju Ċentrali ta 'Nairobi. Librerija pubblika hija meqjusa bħala università tal-popli peress li hija miftuħa għall-età kollha irrispettivament mill-età, il-livell tal-litteriżmu u għandha materjali rilevanti għal nies ta 'kull"&amp;" qasam tal-ħajja.")</f>
        <v>Minbarra t-tagħlim immexxi mill-kurrikulu, hemm ukoll servizzi tal-librerija nazzjonali u pubblika mmexxija mis-Servizz Nazzjonali tal-Librerija tal-Kenja (KNLs). KNLS huwa l-korp mandat biex jistabbilixxi, jgħammar, jimmaniġġja u jżomm libreriji nazzjonali u pubbliċi fil-pajjiż. Barra minn hekk, uħud mill-kontej fil-pajjiż jew stabbilixxew jew ħadu f'idejhom il-libreriji fir-reġjuni tagħhom. Il-Kontea ta 'Nairobi topera erba' libreriji fin-netwerk tagħhom, li kienet tinkludi l-McMillan Memorial Library li tinsab fid-Distrett tan-Negozju Ċentrali ta 'Nairobi. Librerija pubblika hija meqjusa bħala università tal-popli peress li hija miftuħa għall-età kollha irrispettivament mill-età, il-livell tal-litteriżmu u għandha materjali rilevanti għal nies ta 'kull qasam tal-ħajja.</v>
      </c>
    </row>
    <row r="15587" ht="15.75" customHeight="1">
      <c r="A15587" s="2" t="s">
        <v>15587</v>
      </c>
      <c r="B15587" s="2" t="str">
        <f>IFERROR(__xludf.DUMMYFUNCTION("GOOGLETRANSLATE(A15587, ""en"", ""mt"")"),"F'liema lingwa minbarra l-Ingliż kellu l-Parlament Skoċċiż li kellu laqgħat?")</f>
        <v>F'liema lingwa minbarra l-Ingliż kellu l-Parlament Skoċċiż li kellu laqgħat?</v>
      </c>
    </row>
    <row r="15588" ht="15.75" customHeight="1">
      <c r="A15588" s="2" t="s">
        <v>15588</v>
      </c>
      <c r="B15588" s="2" t="str">
        <f>IFERROR(__xludf.DUMMYFUNCTION("GOOGLETRANSLATE(A15588, ""en"", ""mt"")"),"Teorema tan-Numru Prim")</f>
        <v>Teorema tan-Numru Prim</v>
      </c>
    </row>
    <row r="15589" ht="15.75" customHeight="1">
      <c r="A15589" s="2" t="s">
        <v>15589</v>
      </c>
      <c r="B15589" s="2" t="str">
        <f>IFERROR(__xludf.DUMMYFUNCTION("GOOGLETRANSLATE(A15589, ""en"", ""mt"")"),"Iffirmar tat-Trattat ta 'Aix-La-Chapelle")</f>
        <v>Iffirmar tat-Trattat ta 'Aix-La-Chapelle</v>
      </c>
    </row>
    <row r="15590" ht="15.75" customHeight="1">
      <c r="A15590" s="2" t="s">
        <v>15590</v>
      </c>
      <c r="B15590" s="2" t="str">
        <f>IFERROR(__xludf.DUMMYFUNCTION("GOOGLETRANSLATE(A15590, ""en"", ""mt"")"),"Gruppi ta 'ċili kbar u mwebbsa")</f>
        <v>Gruppi ta 'ċili kbar u mwebbsa</v>
      </c>
    </row>
    <row r="15591" ht="15.75" customHeight="1">
      <c r="A15591" s="2" t="s">
        <v>15591</v>
      </c>
      <c r="B15591" s="2" t="str">
        <f>IFERROR(__xludf.DUMMYFUNCTION("GOOGLETRANSLATE(A15591, ""en"", ""mt"")"),"Wara l-elezzjoni tal-Partit Laburista tar-Renju Unit għall-gvern fl-1997, ir-Renju Unit issottoskrivi formalment għall-ftehim dwar il-politika soċjali, li ppermetta li jkun inkluż ma 'emendi minuri bħala l-kapitolu soċjali tat-Trattat ta' Amsterdam tal-19"&amp;"97. Ir-Renju Unit sussegwentement adotta l-leġiżlazzjoni ewlenija miftiehma qabel skont il-Ftehim dwar il-Politika Soċjali, id-Direttiva tal-Kunsill tax-Xogħlijiet tal-1994, li kienet teħtieġ konsultazzjoni tal-ħaddiema fin-negozji, u d-Direttiva tal-Leav"&amp;"e tal-Ġenituri tal-1996. Fl-għaxar snin ta 'wara t-Trattat ta' Amsterdam tal-1997 u l-adozzjoni tal-Kapitolu Soċjali li l-Unjoni Ewropea wettqet inizjattivi ta 'politika f'diversi oqsma ta' politika soċjali, inklużi relazzjonijiet tax-xogħol u tal-industr"&amp;"ija, opportunità ugwali, saħħa u sigurtà, saħħa pubblika, protezzjoni tat-tfal, il-PROTEZZJONI. B'diżabilità u anzjani, faqar, ħaddiema migranti, edukazzjoni, taħriġ u żgħażagħ.")</f>
        <v>Wara l-elezzjoni tal-Partit Laburista tar-Renju Unit għall-gvern fl-1997, ir-Renju Unit issottoskrivi formalment għall-ftehim dwar il-politika soċjali, li ppermetta li jkun inkluż ma 'emendi minuri bħala l-kapitolu soċjali tat-Trattat ta' Amsterdam tal-1997. Ir-Renju Unit sussegwentement adotta l-leġiżlazzjoni ewlenija miftiehma qabel skont il-Ftehim dwar il-Politika Soċjali, id-Direttiva tal-Kunsill tax-Xogħlijiet tal-1994, li kienet teħtieġ konsultazzjoni tal-ħaddiema fin-negozji, u d-Direttiva tal-Leave tal-Ġenituri tal-1996. Fl-għaxar snin ta 'wara t-Trattat ta' Amsterdam tal-1997 u l-adozzjoni tal-Kapitolu Soċjali li l-Unjoni Ewropea wettqet inizjattivi ta 'politika f'diversi oqsma ta' politika soċjali, inklużi relazzjonijiet tax-xogħol u tal-industrija, opportunità ugwali, saħħa u sigurtà, saħħa pubblika, protezzjoni tat-tfal, il-PROTEZZJONI. B'diżabilità u anzjani, faqar, ħaddiema migranti, edukazzjoni, taħriġ u żgħażagħ.</v>
      </c>
    </row>
    <row r="15592" ht="15.75" customHeight="1">
      <c r="A15592" s="2" t="s">
        <v>15592</v>
      </c>
      <c r="B15592" s="2" t="str">
        <f>IFERROR(__xludf.DUMMYFUNCTION("GOOGLETRANSLATE(A15592, ""en"", ""mt"")"),"Emigrazzjoni pprojbita")</f>
        <v>Emigrazzjoni pprojbita</v>
      </c>
    </row>
    <row r="15593" ht="15.75" customHeight="1">
      <c r="A15593" s="2" t="s">
        <v>15593</v>
      </c>
      <c r="B15593" s="2" t="str">
        <f>IFERROR(__xludf.DUMMYFUNCTION("GOOGLETRANSLATE(A15593, ""en"", ""mt"")"),"Liema netwerk ewlieni kien l-iktar osservat għall-istaġun 2000-01?")</f>
        <v>Liema netwerk ewlieni kien l-iktar osservat għall-istaġun 2000-01?</v>
      </c>
    </row>
    <row r="15594" ht="15.75" customHeight="1">
      <c r="A15594" s="2" t="s">
        <v>15594</v>
      </c>
      <c r="B15594" s="2" t="str">
        <f>IFERROR(__xludf.DUMMYFUNCTION("GOOGLETRANSLATE(A15594, ""en"", ""mt"")"),"31 ta ’Ottubru 1517")</f>
        <v>31 ta ’Ottubru 1517</v>
      </c>
    </row>
    <row r="15595" ht="15.75" customHeight="1">
      <c r="A15595" s="2" t="s">
        <v>15595</v>
      </c>
      <c r="B15595" s="2" t="str">
        <f>IFERROR(__xludf.DUMMYFUNCTION("GOOGLETRANSLATE(A15595, ""en"", ""mt"")"),"ftit")</f>
        <v>ftit</v>
      </c>
    </row>
    <row r="15596" ht="15.75" customHeight="1">
      <c r="A15596" s="2" t="s">
        <v>15596</v>
      </c>
      <c r="B15596" s="2" t="str">
        <f>IFERROR(__xludf.DUMMYFUNCTION("GOOGLETRANSLATE(A15596, ""en"", ""mt"")"),"Validat il-magna tal-modulu tas-servizz u l-modulu tal-kmand Shield Heat.")</f>
        <v>Validat il-magna tal-modulu tas-servizz u l-modulu tal-kmand Shield Heat.</v>
      </c>
    </row>
    <row r="15597" ht="15.75" customHeight="1">
      <c r="A15597" s="2" t="s">
        <v>15597</v>
      </c>
      <c r="B15597" s="2" t="str">
        <f>IFERROR(__xludf.DUMMYFUNCTION("GOOGLETRANSLATE(A15597, ""en"", ""mt"")"),"il-magna wankel")</f>
        <v>il-magna wankel</v>
      </c>
    </row>
    <row r="15598" ht="15.75" customHeight="1">
      <c r="A15598" s="2" t="s">
        <v>15598</v>
      </c>
      <c r="B15598" s="2" t="str">
        <f>IFERROR(__xludf.DUMMYFUNCTION("GOOGLETRANSLATE(A15598, ""en"", ""mt"")"),"X'kien notevoli dwar il-friefet?")</f>
        <v>X'kien notevoli dwar il-friefet?</v>
      </c>
    </row>
    <row r="15599" ht="15.75" customHeight="1">
      <c r="A15599" s="2" t="s">
        <v>15599</v>
      </c>
      <c r="B15599" s="2" t="str">
        <f>IFERROR(__xludf.DUMMYFUNCTION("GOOGLETRANSLATE(A15599, ""en"", ""mt"")"),"għal Tesla biex tkompli tiżviluppa u tipproduċi sistema ta 'dawl ġdida")</f>
        <v>għal Tesla biex tkompli tiżviluppa u tipproduċi sistema ta 'dawl ġdida</v>
      </c>
    </row>
    <row r="15600" ht="15.75" customHeight="1">
      <c r="A15600" s="2" t="s">
        <v>15600</v>
      </c>
      <c r="B15600" s="2" t="str">
        <f>IFERROR(__xludf.DUMMYFUNCTION("GOOGLETRANSLATE(A15600, ""en"", ""mt"")"),"Liema ritwali segwew Kublai biex jgħinu l-immaġni tiegħu?")</f>
        <v>Liema ritwali segwew Kublai biex jgħinu l-immaġni tiegħu?</v>
      </c>
    </row>
    <row r="15601" ht="15.75" customHeight="1">
      <c r="A15601" s="2" t="s">
        <v>15601</v>
      </c>
      <c r="B15601" s="2" t="str">
        <f>IFERROR(__xludf.DUMMYFUNCTION("GOOGLETRANSLATE(A15601, ""en"", ""mt"")"),"Sacramento akbar")</f>
        <v>Sacramento akbar</v>
      </c>
    </row>
    <row r="15602" ht="15.75" customHeight="1">
      <c r="A15602" s="2" t="s">
        <v>15602</v>
      </c>
      <c r="B15602" s="2" t="str">
        <f>IFERROR(__xludf.DUMMYFUNCTION("GOOGLETRANSLATE(A15602, ""en"", ""mt"")"),"Ewropa tal-Lvant")</f>
        <v>Ewropa tal-Lvant</v>
      </c>
    </row>
    <row r="15603" ht="15.75" customHeight="1">
      <c r="A15603" s="2" t="s">
        <v>15603</v>
      </c>
      <c r="B15603" s="2" t="str">
        <f>IFERROR(__xludf.DUMMYFUNCTION("GOOGLETRANSLATE(A15603, ""en"", ""mt"")"),"X'kien l-ewwel approċċ tar-re għall-Huguenots?")</f>
        <v>X'kien l-ewwel approċċ tar-re għall-Huguenots?</v>
      </c>
    </row>
    <row r="15604" ht="15.75" customHeight="1">
      <c r="A15604" s="2" t="s">
        <v>15604</v>
      </c>
      <c r="B15604" s="2" t="str">
        <f>IFERROR(__xludf.DUMMYFUNCTION("GOOGLETRANSLATE(A15604, ""en"", ""mt"")"),"Alan Dershowitz u Lawrence Lessig")</f>
        <v>Alan Dershowitz u Lawrence Lessig</v>
      </c>
    </row>
    <row r="15605" ht="15.75" customHeight="1">
      <c r="A15605" s="2" t="s">
        <v>15605</v>
      </c>
      <c r="B15605" s="2" t="str">
        <f>IFERROR(__xludf.DUMMYFUNCTION("GOOGLETRANSLATE(A15605, ""en"", ""mt"")"),"L-Imperatur tal-Kanzunetta")</f>
        <v>L-Imperatur tal-Kanzunetta</v>
      </c>
    </row>
    <row r="15606" ht="15.75" customHeight="1">
      <c r="A15606" s="2" t="s">
        <v>15606</v>
      </c>
      <c r="B15606" s="2" t="str">
        <f>IFERROR(__xludf.DUMMYFUNCTION("GOOGLETRANSLATE(A15606, ""en"", ""mt"")"),"Revival Gotiku")</f>
        <v>Revival Gotiku</v>
      </c>
    </row>
    <row r="15607" ht="15.75" customHeight="1">
      <c r="A15607" s="2" t="s">
        <v>15607</v>
      </c>
      <c r="B15607" s="2" t="str">
        <f>IFERROR(__xludf.DUMMYFUNCTION("GOOGLETRANSLATE(A15607, ""en"", ""mt"")"),"Min iddeskriva l-ewwel ekwilibriju dinamiku?")</f>
        <v>Min iddeskriva l-ewwel ekwilibriju dinamiku?</v>
      </c>
    </row>
    <row r="15608" ht="15.75" customHeight="1">
      <c r="A15608" s="2" t="s">
        <v>15608</v>
      </c>
      <c r="B15608" s="2" t="str">
        <f>IFERROR(__xludf.DUMMYFUNCTION("GOOGLETRANSLATE(A15608, ""en"", ""mt"")"),"Il-Panthers użaw il-faċilità ta ’prattika tal-istat f’San Jose u qagħdu f’San Jose Marriott. Il-Broncos ipprattikaw fl-Università ta ’Stanford u qagħdu f’Santa Clara Marriott.")</f>
        <v>Il-Panthers użaw il-faċilità ta ’prattika tal-istat f’San Jose u qagħdu f’San Jose Marriott. Il-Broncos ipprattikaw fl-Università ta ’Stanford u qagħdu f’Santa Clara Marriott.</v>
      </c>
    </row>
    <row r="15609" ht="15.75" customHeight="1">
      <c r="A15609" s="2" t="s">
        <v>15609</v>
      </c>
      <c r="B15609" s="2" t="str">
        <f>IFERROR(__xludf.DUMMYFUNCTION("GOOGLETRANSLATE(A15609, ""en"", ""mt"")"),"Min spjega li l-oqfsa ta 'referenza inerzjali kienu daqs frejms ta' referenza soġġetti għal aċċellerazzjoni kostanti?")</f>
        <v>Min spjega li l-oqfsa ta 'referenza inerzjali kienu daqs frejms ta' referenza soġġetti għal aċċellerazzjoni kostanti?</v>
      </c>
    </row>
    <row r="15610" ht="15.75" customHeight="1">
      <c r="A15610" s="2" t="s">
        <v>15610</v>
      </c>
      <c r="B15610" s="2" t="str">
        <f>IFERROR(__xludf.DUMMYFUNCTION("GOOGLETRANSLATE(A15610, ""en"", ""mt"")"),"Il-forom normali kollha tad-dixxiplina tal-ġenituri")</f>
        <v>Il-forom normali kollha tad-dixxiplina tal-ġenituri</v>
      </c>
    </row>
    <row r="15611" ht="15.75" customHeight="1">
      <c r="A15611" s="2" t="s">
        <v>15611</v>
      </c>
      <c r="B15611" s="2" t="str">
        <f>IFERROR(__xludf.DUMMYFUNCTION("GOOGLETRANSLATE(A15611, ""en"", ""mt"")"),"Kromme Rijn")</f>
        <v>Kromme Rijn</v>
      </c>
    </row>
    <row r="15612" ht="15.75" customHeight="1">
      <c r="A15612" s="2" t="s">
        <v>15612</v>
      </c>
      <c r="B15612" s="2" t="str">
        <f>IFERROR(__xludf.DUMMYFUNCTION("GOOGLETRANSLATE(A15612, ""en"", ""mt"")"),"Kif jissejjaħ il-grupp li ma jaqbilx mal-gvern?")</f>
        <v>Kif jissejjaħ il-grupp li ma jaqbilx mal-gvern?</v>
      </c>
    </row>
    <row r="15613" ht="15.75" customHeight="1">
      <c r="A15613" s="2" t="s">
        <v>15613</v>
      </c>
      <c r="B15613" s="2" t="str">
        <f>IFERROR(__xludf.DUMMYFUNCTION("GOOGLETRANSLATE(A15613, ""en"", ""mt"")"),"X’jagħtu ċ-ċidippids biex jaqbdu l-priża tagħhom?")</f>
        <v>X’jagħtu ċ-ċidippids biex jaqbdu l-priża tagħhom?</v>
      </c>
    </row>
    <row r="15614" ht="15.75" customHeight="1">
      <c r="A15614" s="2" t="s">
        <v>15614</v>
      </c>
      <c r="B15614" s="2" t="str">
        <f>IFERROR(__xludf.DUMMYFUNCTION("GOOGLETRANSLATE(A15614, ""en"", ""mt"")"),"Graze baqar fuqu.")</f>
        <v>Graze baqar fuqu.</v>
      </c>
    </row>
    <row r="15615" ht="15.75" customHeight="1">
      <c r="A15615" s="2" t="s">
        <v>15615</v>
      </c>
      <c r="B15615" s="2" t="str">
        <f>IFERROR(__xludf.DUMMYFUNCTION("GOOGLETRANSLATE(A15615, ""en"", ""mt"")"),"Liema spiżjara x'aktarx ifittxu edukazzjoni addizzjonali wara skola tal-ispiżerija?")</f>
        <v>Liema spiżjara x'aktarx ifittxu edukazzjoni addizzjonali wara skola tal-ispiżerija?</v>
      </c>
    </row>
    <row r="15616" ht="15.75" customHeight="1">
      <c r="A15616" s="2" t="s">
        <v>15616</v>
      </c>
      <c r="B15616" s="2" t="str">
        <f>IFERROR(__xludf.DUMMYFUNCTION("GOOGLETRANSLATE(A15616, ""en"", ""mt"")"),"X'inhu meħtieġ li ma jobdix?")</f>
        <v>X'inhu meħtieġ li ma jobdix?</v>
      </c>
    </row>
    <row r="15617" ht="15.75" customHeight="1">
      <c r="A15617" s="2" t="s">
        <v>15617</v>
      </c>
      <c r="B15617" s="2" t="str">
        <f>IFERROR(__xludf.DUMMYFUNCTION("GOOGLETRANSLATE(A15617, ""en"", ""mt"")"),"Segretarju tad-Difiża")</f>
        <v>Segretarju tad-Difiża</v>
      </c>
    </row>
    <row r="15618" ht="15.75" customHeight="1">
      <c r="A15618" s="2" t="s">
        <v>15618</v>
      </c>
      <c r="B15618" s="2" t="str">
        <f>IFERROR(__xludf.DUMMYFUNCTION("GOOGLETRANSLATE(A15618, ""en"", ""mt"")"),"X'tagħmel l-ippumpjar tal-ilma fil-Mesoglea?")</f>
        <v>X'tagħmel l-ippumpjar tal-ilma fil-Mesoglea?</v>
      </c>
    </row>
    <row r="15619" ht="15.75" customHeight="1">
      <c r="A15619" s="2" t="s">
        <v>15619</v>
      </c>
      <c r="B15619" s="2" t="str">
        <f>IFERROR(__xludf.DUMMYFUNCTION("GOOGLETRANSLATE(A15619, ""en"", ""mt"")"),"Għaliex il-Knisja Protestanta Metodista qasmet mill-Knisja Episkopali Metodista?")</f>
        <v>Għaliex il-Knisja Protestanta Metodista qasmet mill-Knisja Episkopali Metodista?</v>
      </c>
    </row>
    <row r="15620" ht="15.75" customHeight="1">
      <c r="A15620" s="2" t="s">
        <v>15620</v>
      </c>
      <c r="B15620" s="2" t="str">
        <f>IFERROR(__xludf.DUMMYFUNCTION("GOOGLETRANSLATE(A15620, ""en"", ""mt"")"),"Klassi II MHC")</f>
        <v>Klassi II MHC</v>
      </c>
    </row>
    <row r="15621" ht="15.75" customHeight="1">
      <c r="A15621" s="2" t="s">
        <v>15621</v>
      </c>
      <c r="B15621" s="2" t="str">
        <f>IFERROR(__xludf.DUMMYFUNCTION("GOOGLETRANSLATE(A15621, ""en"", ""mt"")"),"Mueller")</f>
        <v>Mueller</v>
      </c>
    </row>
    <row r="15622" ht="15.75" customHeight="1">
      <c r="A15622" s="2" t="s">
        <v>15622</v>
      </c>
      <c r="B15622" s="2" t="str">
        <f>IFERROR(__xludf.DUMMYFUNCTION("GOOGLETRANSLATE(A15622, ""en"", ""mt"")"),"Waqt li kien f'Limassol, Richard the Lion-Heart iżżewweġ lil Berengaria ta 'Navarra, l-ewwel tifla tat-twelid tar-Re Sancho VI ta' Navarra. It-tieġ sar fit-12 ta ’Mejju 1191 fil-kappella ta’ San Ġorġ u kien jattendi oħt Richard Joan, li kien ġab minn Sqal"&amp;"lija. Iż-żwieġ ġie ċċelebrat bi pompa kbira u splendor. Fost ċerimonji kbar oħra kien hemm inkurunazzjoni doppja: Richard ikkawża lilu nnifsu li jkun inkurunat Re ta ’Ċipru, u r-Reġina tal-Berengaria tal-Ingilterra u r-Reġina ta’ Ċipru wkoll.")</f>
        <v>Waqt li kien f'Limassol, Richard the Lion-Heart iżżewweġ lil Berengaria ta 'Navarra, l-ewwel tifla tat-twelid tar-Re Sancho VI ta' Navarra. It-tieġ sar fit-12 ta ’Mejju 1191 fil-kappella ta’ San Ġorġ u kien jattendi oħt Richard Joan, li kien ġab minn Sqallija. Iż-żwieġ ġie ċċelebrat bi pompa kbira u splendor. Fost ċerimonji kbar oħra kien hemm inkurunazzjoni doppja: Richard ikkawża lilu nnifsu li jkun inkurunat Re ta ’Ċipru, u r-Reġina tal-Berengaria tal-Ingilterra u r-Reġina ta’ Ċipru wkoll.</v>
      </c>
    </row>
    <row r="15623" ht="15.75" customHeight="1">
      <c r="A15623" s="2" t="s">
        <v>15623</v>
      </c>
      <c r="B15623" s="2" t="str">
        <f>IFERROR(__xludf.DUMMYFUNCTION("GOOGLETRANSLATE(A15623, ""en"", ""mt"")"),"Liema tribù tuża apparati tal-GPS biex tpinġi artijiet?")</f>
        <v>Liema tribù tuża apparati tal-GPS biex tpinġi artijiet?</v>
      </c>
    </row>
    <row r="15624" ht="15.75" customHeight="1">
      <c r="A15624" s="2" t="s">
        <v>15624</v>
      </c>
      <c r="B15624" s="2" t="str">
        <f>IFERROR(__xludf.DUMMYFUNCTION("GOOGLETRANSLATE(A15624, ""en"", ""mt"")"),"Liema għodda jużaw l-istratigraphers biex jaraw id-dejta tagħhom fi tliet dimensjonijiet?")</f>
        <v>Liema għodda jużaw l-istratigraphers biex jaraw id-dejta tagħhom fi tliet dimensjonijiet?</v>
      </c>
    </row>
    <row r="15625" ht="15.75" customHeight="1">
      <c r="A15625" s="2" t="s">
        <v>15625</v>
      </c>
      <c r="B15625" s="2" t="str">
        <f>IFERROR(__xludf.DUMMYFUNCTION("GOOGLETRANSLATE(A15625, ""en"", ""mt"")"),"ma tistax tinkiteb bħala s-somma tal-għoqda ta 'żewġ għoqod mhux privati")</f>
        <v>ma tistax tinkiteb bħala s-somma tal-għoqda ta 'żewġ għoqod mhux privati</v>
      </c>
    </row>
    <row r="15626" ht="15.75" customHeight="1">
      <c r="A15626" s="2" t="s">
        <v>15626</v>
      </c>
      <c r="B15626" s="2" t="str">
        <f>IFERROR(__xludf.DUMMYFUNCTION("GOOGLETRANSLATE(A15626, ""en"", ""mt"")"),"Buddiżmu u Kristjaneżmu")</f>
        <v>Buddiżmu u Kristjaneżmu</v>
      </c>
    </row>
    <row r="15627" ht="15.75" customHeight="1">
      <c r="A15627" s="2" t="s">
        <v>15627</v>
      </c>
      <c r="B15627" s="2" t="str">
        <f>IFERROR(__xludf.DUMMYFUNCTION("GOOGLETRANSLATE(A15627, ""en"", ""mt"")"),"Kontrolli tal-prezzijiet")</f>
        <v>Kontrolli tal-prezzijiet</v>
      </c>
    </row>
    <row r="15628" ht="15.75" customHeight="1">
      <c r="A15628" s="2" t="s">
        <v>15628</v>
      </c>
      <c r="B15628" s="2" t="str">
        <f>IFERROR(__xludf.DUMMYFUNCTION("GOOGLETRANSLATE(A15628, ""en"", ""mt"")"),"Kemm Amerikani huma aktar sinjuri minn aktar minn nofs iċ-ċittadini kollha?")</f>
        <v>Kemm Amerikani huma aktar sinjuri minn aktar minn nofs iċ-ċittadini kollha?</v>
      </c>
    </row>
    <row r="15629" ht="15.75" customHeight="1">
      <c r="A15629" s="2" t="s">
        <v>15629</v>
      </c>
      <c r="B15629" s="2" t="str">
        <f>IFERROR(__xludf.DUMMYFUNCTION("GOOGLETRANSLATE(A15629, ""en"", ""mt"")"),"Jim Nantz u Phil Simms")</f>
        <v>Jim Nantz u Phil Simms</v>
      </c>
    </row>
    <row r="15630" ht="15.75" customHeight="1">
      <c r="A15630" s="2" t="s">
        <v>15630</v>
      </c>
      <c r="B15630" s="2" t="str">
        <f>IFERROR(__xludf.DUMMYFUNCTION("GOOGLETRANSLATE(A15630, ""en"", ""mt"")"),"Jessé de Forest")</f>
        <v>Jessé de Forest</v>
      </c>
    </row>
    <row r="15631" ht="15.75" customHeight="1">
      <c r="A15631" s="2" t="s">
        <v>15631</v>
      </c>
      <c r="B15631" s="2" t="str">
        <f>IFERROR(__xludf.DUMMYFUNCTION("GOOGLETRANSLATE(A15631, ""en"", ""mt"")"),"Newton kien limitat mid-difiża ta 'Denver")</f>
        <v>Newton kien limitat mid-difiża ta 'Denver</v>
      </c>
    </row>
    <row r="15632" ht="15.75" customHeight="1">
      <c r="A15632" s="2" t="s">
        <v>15632</v>
      </c>
      <c r="B15632" s="2" t="str">
        <f>IFERROR(__xludf.DUMMYFUNCTION("GOOGLETRANSLATE(A15632, ""en"", ""mt"")"),"Brad Nortman")</f>
        <v>Brad Nortman</v>
      </c>
    </row>
    <row r="15633" ht="15.75" customHeight="1">
      <c r="A15633" s="2" t="s">
        <v>15633</v>
      </c>
      <c r="B15633" s="2" t="str">
        <f>IFERROR(__xludf.DUMMYFUNCTION("GOOGLETRANSLATE(A15633, ""en"", ""mt"")"),"X'kien ivvintat fl-1880 li rrevoluzzjona l-gwerra?")</f>
        <v>X'kien ivvintat fl-1880 li rrevoluzzjona l-gwerra?</v>
      </c>
    </row>
    <row r="15634" ht="15.75" customHeight="1">
      <c r="A15634" s="2" t="s">
        <v>15634</v>
      </c>
      <c r="B15634" s="2" t="str">
        <f>IFERROR(__xludf.DUMMYFUNCTION("GOOGLETRANSLATE(A15634, ""en"", ""mt"")"),"nixxiegħa")</f>
        <v>nixxiegħa</v>
      </c>
    </row>
    <row r="15635" ht="15.75" customHeight="1">
      <c r="A15635" s="2" t="s">
        <v>15635</v>
      </c>
      <c r="B15635" s="2" t="str">
        <f>IFERROR(__xludf.DUMMYFUNCTION("GOOGLETRANSLATE(A15635, ""en"", ""mt"")"),"valur assolut")</f>
        <v>valur assolut</v>
      </c>
    </row>
    <row r="15636" ht="15.75" customHeight="1">
      <c r="A15636" s="2" t="s">
        <v>15636</v>
      </c>
      <c r="B15636" s="2" t="str">
        <f>IFERROR(__xludf.DUMMYFUNCTION("GOOGLETRANSLATE(A15636, ""en"", ""mt"")"),"Fis-6 ta ’Ottubru, 1973")</f>
        <v>Fis-6 ta ’Ottubru, 1973</v>
      </c>
    </row>
    <row r="15637" ht="15.75" customHeight="1">
      <c r="A15637" s="2" t="s">
        <v>15637</v>
      </c>
      <c r="B15637" s="2" t="str">
        <f>IFERROR(__xludf.DUMMYFUNCTION("GOOGLETRANSLATE(A15637, ""en"", ""mt"")"),"karozzi kbar")</f>
        <v>karozzi kbar</v>
      </c>
    </row>
    <row r="15638" ht="15.75" customHeight="1">
      <c r="A15638" s="2" t="s">
        <v>15638</v>
      </c>
      <c r="B15638" s="2" t="str">
        <f>IFERROR(__xludf.DUMMYFUNCTION("GOOGLETRANSLATE(A15638, ""en"", ""mt"")"),"Kemm-il darba l-ferroviji jivvjaġġaw lejn is-salib tar-Re?")</f>
        <v>Kemm-il darba l-ferroviji jivvjaġġaw lejn is-salib tar-Re?</v>
      </c>
    </row>
    <row r="15639" ht="15.75" customHeight="1">
      <c r="A15639" s="2" t="s">
        <v>15639</v>
      </c>
      <c r="B15639" s="2" t="str">
        <f>IFERROR(__xludf.DUMMYFUNCTION("GOOGLETRANSLATE(A15639, ""en"", ""mt"")"),"X'ġara lill-ekwipaġġ abbord waqt it-test tal-plugs-out?")</f>
        <v>X'ġara lill-ekwipaġġ abbord waqt it-test tal-plugs-out?</v>
      </c>
    </row>
    <row r="15640" ht="15.75" customHeight="1">
      <c r="A15640" s="2" t="s">
        <v>15640</v>
      </c>
      <c r="B15640" s="2" t="str">
        <f>IFERROR(__xludf.DUMMYFUNCTION("GOOGLETRANSLATE(A15640, ""en"", ""mt"")"),"Min normalment jimmaniġġja xogħol ta 'kostruzzjoni?")</f>
        <v>Min normalment jimmaniġġja xogħol ta 'kostruzzjoni?</v>
      </c>
    </row>
    <row r="15641" ht="15.75" customHeight="1">
      <c r="A15641" s="2" t="s">
        <v>15641</v>
      </c>
      <c r="B15641" s="2" t="str">
        <f>IFERROR(__xludf.DUMMYFUNCTION("GOOGLETRANSLATE(A15641, ""en"", ""mt"")"),"Luther oġġezzjona għal qal attribwit lil Johann Tetzel li ""malli l-munita fiċ-ċrieki tal-coffer, ir-ruħ mill-purgatorju (attestata wkoll bħala 'fis-sema') molol.""")</f>
        <v>Luther oġġezzjona għal qal attribwit lil Johann Tetzel li "malli l-munita fiċ-ċrieki tal-coffer, ir-ruħ mill-purgatorju (attestata wkoll bħala 'fis-sema') molol."</v>
      </c>
    </row>
    <row r="15642" ht="15.75" customHeight="1">
      <c r="A15642" s="2" t="s">
        <v>15642</v>
      </c>
      <c r="B15642" s="2" t="str">
        <f>IFERROR(__xludf.DUMMYFUNCTION("GOOGLETRANSLATE(A15642, ""en"", ""mt"")"),"ħamsa")</f>
        <v>ħamsa</v>
      </c>
    </row>
    <row r="15643" ht="15.75" customHeight="1">
      <c r="A15643" s="2" t="s">
        <v>15643</v>
      </c>
      <c r="B15643" s="2" t="str">
        <f>IFERROR(__xludf.DUMMYFUNCTION("GOOGLETRANSLATE(A15643, ""en"", ""mt"")"),"Żona tal-Bajja ta 'San Francisco")</f>
        <v>Żona tal-Bajja ta 'San Francisco</v>
      </c>
    </row>
    <row r="15644" ht="15.75" customHeight="1">
      <c r="A15644" s="2" t="s">
        <v>15644</v>
      </c>
      <c r="B15644" s="2" t="str">
        <f>IFERROR(__xludf.DUMMYFUNCTION("GOOGLETRANSLATE(A15644, ""en"", ""mt"")"),"Fejn tinsab Samuel Marsden Collegiate School?")</f>
        <v>Fejn tinsab Samuel Marsden Collegiate School?</v>
      </c>
    </row>
    <row r="15645" ht="15.75" customHeight="1">
      <c r="A15645" s="2" t="s">
        <v>15645</v>
      </c>
      <c r="B15645" s="2" t="str">
        <f>IFERROR(__xludf.DUMMYFUNCTION("GOOGLETRANSLATE(A15645, ""en"", ""mt"")"),"tjieb sew")</f>
        <v>tjieb sew</v>
      </c>
    </row>
    <row r="15646" ht="15.75" customHeight="1">
      <c r="A15646" s="2" t="s">
        <v>15646</v>
      </c>
      <c r="B15646" s="2" t="str">
        <f>IFERROR(__xludf.DUMMYFUNCTION("GOOGLETRANSLATE(A15646, ""en"", ""mt"")"),"Għaliex il-flora ta 'Varsavja hija rikka ħafna fl-ispeċi?")</f>
        <v>Għaliex il-flora ta 'Varsavja hija rikka ħafna fl-ispeċi?</v>
      </c>
    </row>
    <row r="15647" ht="15.75" customHeight="1">
      <c r="A15647" s="2" t="s">
        <v>15647</v>
      </c>
      <c r="B15647" s="2" t="str">
        <f>IFERROR(__xludf.DUMMYFUNCTION("GOOGLETRANSLATE(A15647, ""en"", ""mt"")"),"deportazzjoni")</f>
        <v>deportazzjoni</v>
      </c>
    </row>
    <row r="15648" ht="15.75" customHeight="1">
      <c r="A15648" s="2" t="s">
        <v>15648</v>
      </c>
      <c r="B15648" s="2" t="str">
        <f>IFERROR(__xludf.DUMMYFUNCTION("GOOGLETRANSLATE(A15648, ""en"", ""mt"")"),"X'għamel il-bdil ta 'blokka ta' messaġġi adattivi distribwiti")</f>
        <v>X'għamel il-bdil ta 'blokka ta' messaġġi adattivi distribwiti</v>
      </c>
    </row>
    <row r="15649" ht="15.75" customHeight="1">
      <c r="A15649" s="2" t="s">
        <v>15649</v>
      </c>
      <c r="B15649" s="2" t="str">
        <f>IFERROR(__xludf.DUMMYFUNCTION("GOOGLETRANSLATE(A15649, ""en"", ""mt"")"),"Imperatur Wenzong")</f>
        <v>Imperatur Wenzong</v>
      </c>
    </row>
    <row r="15650" ht="15.75" customHeight="1">
      <c r="A15650" s="2" t="s">
        <v>15650</v>
      </c>
      <c r="B15650" s="2" t="str">
        <f>IFERROR(__xludf.DUMMYFUNCTION("GOOGLETRANSLATE(A15650, ""en"", ""mt"")"),"Min sejjaħ is-sistema tagħhom is- ""Sistema Tesla Polyphase""?")</f>
        <v>Min sejjaħ is-sistema tagħhom is- "Sistema Tesla Polyphase"?</v>
      </c>
    </row>
    <row r="15651" ht="15.75" customHeight="1">
      <c r="A15651" s="2" t="s">
        <v>15651</v>
      </c>
      <c r="B15651" s="2" t="str">
        <f>IFERROR(__xludf.DUMMYFUNCTION("GOOGLETRANSLATE(A15651, ""en"", ""mt"")"),"Mediċina iperbarika (bi pressjoni għolja) tuża kmamar speċjali ta 'ossiġnu biex iżżid il-pressjoni parzjali ta' o
2 madwar il-pazjent u, meta jkun hemm bżonn, l-istaff mediku. Avvelenament mill-monossidu tal-karbonju, gangrena tal-gass, u mard ta 'dekompr"&amp;"essjoni (il-liwjiet "") xi kultant huma trattati bl-użu ta' dawn l-apparati. Miżjuda o
2 Il-konċentrazzjoni fil-pulmuni tgħin biex titbiegħed il-monossidu tal-karbonju mill-grupp heme ta 'emoglobina. Il-gass tal-ossiġnu huwa velenuż għall-batterji anerobi"&amp;"ċi li jikkawżaw il-gangrena tal-gass, u għalhekk iż-żieda tal-pressjoni parzjali tagħha tgħin biex toqtolhom. Il-mard tad-dekompressjoni jseħħ f'għaddis li jiddekompressaw malajr wisq wara adsa, li tirriżulta f'bżieżaq ta 'gass inert, l-aktar nitroġenu u "&amp;"elju, li jiffurmaw fid-demm tagħhom. Tiżdied il-pressjoni ta 'o
2 Malajr kemm jista 'jkun huwa parti mit-trattament.")</f>
        <v>Mediċina iperbarika (bi pressjoni għolja) tuża kmamar speċjali ta 'ossiġnu biex iżżid il-pressjoni parzjali ta' o
2 madwar il-pazjent u, meta jkun hemm bżonn, l-istaff mediku. Avvelenament mill-monossidu tal-karbonju, gangrena tal-gass, u mard ta 'dekompressjoni (il-liwjiet ") xi kultant huma trattati bl-użu ta' dawn l-apparati. Miżjuda o
2 Il-konċentrazzjoni fil-pulmuni tgħin biex titbiegħed il-monossidu tal-karbonju mill-grupp heme ta 'emoglobina. Il-gass tal-ossiġnu huwa velenuż għall-batterji anerobiċi li jikkawżaw il-gangrena tal-gass, u għalhekk iż-żieda tal-pressjoni parzjali tagħha tgħin biex toqtolhom. Il-mard tad-dekompressjoni jseħħ f'għaddis li jiddekompressaw malajr wisq wara adsa, li tirriżulta f'bżieżaq ta 'gass inert, l-aktar nitroġenu u elju, li jiffurmaw fid-demm tagħhom. Tiżdied il-pressjoni ta 'o
2 Malajr kemm jista 'jkun huwa parti mit-trattament.</v>
      </c>
    </row>
    <row r="15652" ht="15.75" customHeight="1">
      <c r="A15652" s="2" t="s">
        <v>15652</v>
      </c>
      <c r="B15652" s="2" t="str">
        <f>IFERROR(__xludf.DUMMYFUNCTION("GOOGLETRANSLATE(A15652, ""en"", ""mt"")"),"Ġewwa sptarijiet u kliniċi")</f>
        <v>Ġewwa sptarijiet u kliniċi</v>
      </c>
    </row>
    <row r="15653" ht="15.75" customHeight="1">
      <c r="A15653" s="2" t="s">
        <v>15653</v>
      </c>
      <c r="B15653" s="2" t="str">
        <f>IFERROR(__xludf.DUMMYFUNCTION("GOOGLETRANSLATE(A15653, ""en"", ""mt"")"),"status superjuri għall-oħrajn kollha fl-oqsma relatati mas-saħħa")</f>
        <v>status superjuri għall-oħrajn kollha fl-oqsma relatati mas-saħħa</v>
      </c>
    </row>
    <row r="15654" ht="15.75" customHeight="1">
      <c r="A15654" s="2" t="s">
        <v>15654</v>
      </c>
      <c r="B15654" s="2" t="str">
        <f>IFERROR(__xludf.DUMMYFUNCTION("GOOGLETRANSLATE(A15654, ""en"", ""mt"")"),"Cadeby")</f>
        <v>Cadeby</v>
      </c>
    </row>
    <row r="15655" ht="15.75" customHeight="1">
      <c r="A15655" s="2" t="s">
        <v>15655</v>
      </c>
      <c r="B15655" s="2" t="str">
        <f>IFERROR(__xludf.DUMMYFUNCTION("GOOGLETRANSLATE(A15655, ""en"", ""mt"")"),"Thoreau")</f>
        <v>Thoreau</v>
      </c>
    </row>
    <row r="15656" ht="15.75" customHeight="1">
      <c r="A15656" s="2" t="s">
        <v>15656</v>
      </c>
      <c r="B15656" s="2" t="str">
        <f>IFERROR(__xludf.DUMMYFUNCTION("GOOGLETRANSLATE(A15656, ""en"", ""mt"")"),"il-proporzjon baxx tagħhom ta 'materja organika għal melħ u ilma")</f>
        <v>il-proporzjon baxx tagħhom ta 'materja organika għal melħ u ilma</v>
      </c>
    </row>
    <row r="15657" ht="15.75" customHeight="1">
      <c r="A15657" s="2" t="s">
        <v>15657</v>
      </c>
      <c r="B15657" s="2" t="str">
        <f>IFERROR(__xludf.DUMMYFUNCTION("GOOGLETRANSLATE(A15657, ""en"", ""mt"")"),"Komunista")</f>
        <v>Komunista</v>
      </c>
    </row>
    <row r="15658" ht="15.75" customHeight="1">
      <c r="A15658" s="2" t="s">
        <v>15658</v>
      </c>
      <c r="B15658" s="2" t="str">
        <f>IFERROR(__xludf.DUMMYFUNCTION("GOOGLETRANSLATE(A15658, ""en"", ""mt"")"),"X'inhu l-isem tal-funzjoni użata għall-akbar numru sħiħ mhux akbar min-numru in kwistjoni?")</f>
        <v>X'inhu l-isem tal-funzjoni użata għall-akbar numru sħiħ mhux akbar min-numru in kwistjoni?</v>
      </c>
    </row>
    <row r="15659" ht="15.75" customHeight="1">
      <c r="A15659" s="2" t="s">
        <v>15659</v>
      </c>
      <c r="B15659" s="2" t="str">
        <f>IFERROR(__xludf.DUMMYFUNCTION("GOOGLETRANSLATE(A15659, ""en"", ""mt"")"),"Liema kumpens ieħor kisbet Tesla minn Westinghouse?")</f>
        <v>Liema kumpens ieħor kisbet Tesla minn Westinghouse?</v>
      </c>
    </row>
    <row r="15660" ht="15.75" customHeight="1">
      <c r="A15660" s="2" t="s">
        <v>15660</v>
      </c>
      <c r="B15660" s="2" t="str">
        <f>IFERROR(__xludf.DUMMYFUNCTION("GOOGLETRANSLATE(A15660, ""en"", ""mt"")"),", Joseph Shea")</f>
        <v>, Joseph Shea</v>
      </c>
    </row>
    <row r="15661" ht="15.75" customHeight="1">
      <c r="A15661" s="2" t="s">
        <v>15661</v>
      </c>
      <c r="B15661" s="2" t="str">
        <f>IFERROR(__xludf.DUMMYFUNCTION("GOOGLETRANSLATE(A15661, ""en"", ""mt"")"),"vleġeġ")</f>
        <v>vleġeġ</v>
      </c>
    </row>
    <row r="15662" ht="15.75" customHeight="1">
      <c r="A15662" s="2" t="s">
        <v>15662</v>
      </c>
      <c r="B15662" s="2" t="str">
        <f>IFERROR(__xludf.DUMMYFUNCTION("GOOGLETRANSLATE(A15662, ""en"", ""mt"")"),"cysteine ​​u metjonina")</f>
        <v>cysteine ​​u metjonina</v>
      </c>
    </row>
    <row r="15663" ht="15.75" customHeight="1">
      <c r="A15663" s="2" t="s">
        <v>15663</v>
      </c>
      <c r="B15663" s="2" t="str">
        <f>IFERROR(__xludf.DUMMYFUNCTION("GOOGLETRANSLATE(A15663, ""en"", ""mt"")"),"Desilu Productions")</f>
        <v>Desilu Productions</v>
      </c>
    </row>
    <row r="15664" ht="15.75" customHeight="1">
      <c r="A15664" s="2" t="s">
        <v>15664</v>
      </c>
      <c r="B15664" s="2" t="str">
        <f>IFERROR(__xludf.DUMMYFUNCTION("GOOGLETRANSLATE(A15664, ""en"", ""mt"")"),"Unjoni tal-Knisja Metodista (l-Istati Uniti) u l-Knisja Evanġelika ta ’Ħutna")</f>
        <v>Unjoni tal-Knisja Metodista (l-Istati Uniti) u l-Knisja Evanġelika ta ’Ħutna</v>
      </c>
    </row>
    <row r="15665" ht="15.75" customHeight="1">
      <c r="A15665" s="2" t="s">
        <v>15665</v>
      </c>
      <c r="B15665" s="2" t="str">
        <f>IFERROR(__xludf.DUMMYFUNCTION("GOOGLETRANSLATE(A15665, ""en"", ""mt"")"),"10 biljun")</f>
        <v>10 biljun</v>
      </c>
    </row>
    <row r="15666" ht="15.75" customHeight="1">
      <c r="A15666" s="2" t="s">
        <v>15666</v>
      </c>
      <c r="B15666" s="2" t="str">
        <f>IFERROR(__xludf.DUMMYFUNCTION("GOOGLETRANSLATE(A15666, ""en"", ""mt"")"),"il-probabbiltà ta 'ħsara")</f>
        <v>il-probabbiltà ta 'ħsara</v>
      </c>
    </row>
    <row r="15667" ht="15.75" customHeight="1">
      <c r="A15667" s="2" t="s">
        <v>15667</v>
      </c>
      <c r="B15667" s="2" t="str">
        <f>IFERROR(__xludf.DUMMYFUNCTION("GOOGLETRANSLATE(A15667, ""en"", ""mt"")"),"Iż-żieda attwali fil-livell tal-baħar kienet 'il fuq mill-parti ta' fuq tal-firxa")</f>
        <v>Iż-żieda attwali fil-livell tal-baħar kienet 'il fuq mill-parti ta' fuq tal-firxa</v>
      </c>
    </row>
    <row r="15668" ht="15.75" customHeight="1">
      <c r="A15668" s="2" t="s">
        <v>15668</v>
      </c>
      <c r="B15668" s="2" t="str">
        <f>IFERROR(__xludf.DUMMYFUNCTION("GOOGLETRANSLATE(A15668, ""en"", ""mt"")"),"Liema simbolu kien użat sa kmieni fis-seklu 20?")</f>
        <v>Liema simbolu kien użat sa kmieni fis-seklu 20?</v>
      </c>
    </row>
    <row r="15669" ht="15.75" customHeight="1">
      <c r="A15669" s="2" t="s">
        <v>15669</v>
      </c>
      <c r="B15669" s="2" t="str">
        <f>IFERROR(__xludf.DUMMYFUNCTION("GOOGLETRANSLATE(A15669, ""en"", ""mt"")"),"Ħafna mit-tribujiet nomadi tal-Asja tal-Grigal")</f>
        <v>Ħafna mit-tribujiet nomadi tal-Asja tal-Grigal</v>
      </c>
    </row>
    <row r="15670" ht="15.75" customHeight="1">
      <c r="A15670" s="2" t="s">
        <v>15670</v>
      </c>
      <c r="B15670" s="2" t="str">
        <f>IFERROR(__xludf.DUMMYFUNCTION("GOOGLETRANSLATE(A15670, ""en"", ""mt"")"),"L-inqas oneruż għandu jiġi adottat")</f>
        <v>L-inqas oneruż għandu jiġi adottat</v>
      </c>
    </row>
    <row r="15671" ht="15.75" customHeight="1">
      <c r="A15671" s="2" t="s">
        <v>15671</v>
      </c>
      <c r="B15671" s="2" t="str">
        <f>IFERROR(__xludf.DUMMYFUNCTION("GOOGLETRANSLATE(A15671, ""en"", ""mt"")"),"Liema karatteristika ta 'ossiġnu tagħmilha neċessarja għall-ħajja?")</f>
        <v>Liema karatteristika ta 'ossiġnu tagħmilha neċessarja għall-ħajja?</v>
      </c>
    </row>
    <row r="15672" ht="15.75" customHeight="1">
      <c r="A15672" s="2" t="s">
        <v>15672</v>
      </c>
      <c r="B15672" s="2" t="str">
        <f>IFERROR(__xludf.DUMMYFUNCTION("GOOGLETRANSLATE(A15672, ""en"", ""mt"")"),"X'impatt kellu l-moviment tal-edukazzjoni tal-iskola għolja fuq il-preżenza ta 'ħaddiema tas-sengħa?")</f>
        <v>X'impatt kellu l-moviment tal-edukazzjoni tal-iskola għolja fuq il-preżenza ta 'ħaddiema tas-sengħa?</v>
      </c>
    </row>
    <row r="15673" ht="15.75" customHeight="1">
      <c r="A15673" s="2" t="s">
        <v>15673</v>
      </c>
      <c r="B15673" s="2" t="str">
        <f>IFERROR(__xludf.DUMMYFUNCTION("GOOGLETRANSLATE(A15673, ""en"", ""mt"")"),"66 lb")</f>
        <v>66 lb</v>
      </c>
    </row>
    <row r="15674" ht="15.75" customHeight="1">
      <c r="A15674" s="2" t="s">
        <v>15674</v>
      </c>
      <c r="B15674" s="2" t="str">
        <f>IFERROR(__xludf.DUMMYFUNCTION("GOOGLETRANSLATE(A15674, ""en"", ""mt"")"),"X'kien il-persentaġġ ta 'iswed jew Afrikani-Amerikani li jgħixu fil-belt?")</f>
        <v>X'kien il-persentaġġ ta 'iswed jew Afrikani-Amerikani li jgħixu fil-belt?</v>
      </c>
    </row>
    <row r="15675" ht="15.75" customHeight="1">
      <c r="A15675" s="2" t="s">
        <v>15675</v>
      </c>
      <c r="B15675" s="2" t="str">
        <f>IFERROR(__xludf.DUMMYFUNCTION("GOOGLETRANSLATE(A15675, ""en"", ""mt"")"),"Meta kien maħtur Isiah Bowman għall-inkjesta tal-President Wilson?")</f>
        <v>Meta kien maħtur Isiah Bowman għall-inkjesta tal-President Wilson?</v>
      </c>
    </row>
    <row r="15676" ht="15.75" customHeight="1">
      <c r="A15676" s="2" t="s">
        <v>15676</v>
      </c>
      <c r="B15676" s="2" t="str">
        <f>IFERROR(__xludf.DUMMYFUNCTION("GOOGLETRANSLATE(A15676, ""en"", ""mt"")"),"X'kien l-ewwel stat Amerikan li kellu edukazzjoni obbligatorja?")</f>
        <v>X'kien l-ewwel stat Amerikan li kellu edukazzjoni obbligatorja?</v>
      </c>
    </row>
    <row r="15677" ht="15.75" customHeight="1">
      <c r="A15677" s="2" t="s">
        <v>15677</v>
      </c>
      <c r="B15677" s="2" t="str">
        <f>IFERROR(__xludf.DUMMYFUNCTION("GOOGLETRANSLATE(A15677, ""en"", ""mt"")"),"aġenziji tal-gvern u kumpaniji kbar (l-aktar banek u linji tal-ajru) biex jibnu n-netwerks iddedikati tagħhom stess")</f>
        <v>aġenziji tal-gvern u kumpaniji kbar (l-aktar banek u linji tal-ajru) biex jibnu n-netwerks iddedikati tagħhom stess</v>
      </c>
    </row>
    <row r="15678" ht="15.75" customHeight="1">
      <c r="A15678" s="2" t="s">
        <v>15678</v>
      </c>
      <c r="B15678" s="2" t="str">
        <f>IFERROR(__xludf.DUMMYFUNCTION("GOOGLETRANSLATE(A15678, ""en"", ""mt"")"),"Id-Dynasty Jin")</f>
        <v>Id-Dynasty Jin</v>
      </c>
    </row>
    <row r="15679" ht="15.75" customHeight="1">
      <c r="A15679" s="2" t="s">
        <v>15679</v>
      </c>
      <c r="B15679" s="2" t="str">
        <f>IFERROR(__xludf.DUMMYFUNCTION("GOOGLETRANSLATE(A15679, ""en"", ""mt"")"),"Seklu 19 tard")</f>
        <v>Seklu 19 tard</v>
      </c>
    </row>
    <row r="15680" ht="15.75" customHeight="1">
      <c r="A15680" s="2" t="s">
        <v>15680</v>
      </c>
      <c r="B15680" s="2" t="str">
        <f>IFERROR(__xludf.DUMMYFUNCTION("GOOGLETRANSLATE(A15680, ""en"", ""mt"")"),"12 ta 'Jannar")</f>
        <v>12 ta 'Jannar</v>
      </c>
    </row>
    <row r="15681" ht="15.75" customHeight="1">
      <c r="A15681" s="2" t="s">
        <v>15681</v>
      </c>
      <c r="B15681" s="2" t="str">
        <f>IFERROR(__xludf.DUMMYFUNCTION("GOOGLETRANSLATE(A15681, ""en"", ""mt"")"),"Frederick II il-Kbir")</f>
        <v>Frederick II il-Kbir</v>
      </c>
    </row>
    <row r="15682" ht="15.75" customHeight="1">
      <c r="A15682" s="2" t="s">
        <v>15682</v>
      </c>
      <c r="B15682" s="2" t="str">
        <f>IFERROR(__xludf.DUMMYFUNCTION("GOOGLETRANSLATE(A15682, ""en"", ""mt"")"),"Miftuħ ħażin ħafna lejn il-Franċiżi, u huma kompletament iddedikati għall-Ingliż")</f>
        <v>Miftuħ ħażin ħafna lejn il-Franċiżi, u huma kompletament iddedikati għall-Ingliż</v>
      </c>
    </row>
    <row r="15683" ht="15.75" customHeight="1">
      <c r="A15683" s="2" t="s">
        <v>15683</v>
      </c>
      <c r="B15683" s="2" t="str">
        <f>IFERROR(__xludf.DUMMYFUNCTION("GOOGLETRANSLATE(A15683, ""en"", ""mt"")"),"Liema kumpanija kellha konkors biex tirbaħ kummerċjali tas-Super Bowl b'xejn?")</f>
        <v>Liema kumpanija kellha konkors biex tirbaħ kummerċjali tas-Super Bowl b'xejn?</v>
      </c>
    </row>
    <row r="15684" ht="15.75" customHeight="1">
      <c r="A15684" s="2" t="s">
        <v>15684</v>
      </c>
      <c r="B15684" s="2" t="str">
        <f>IFERROR(__xludf.DUMMYFUNCTION("GOOGLETRANSLATE(A15684, ""en"", ""mt"")"),"NFL Mobile")</f>
        <v>NFL Mobile</v>
      </c>
    </row>
    <row r="15685" ht="15.75" customHeight="1">
      <c r="A15685" s="2" t="s">
        <v>15685</v>
      </c>
      <c r="B15685" s="2" t="str">
        <f>IFERROR(__xludf.DUMMYFUNCTION("GOOGLETRANSLATE(A15685, ""en"", ""mt"")"),"ħafif u xemxi.")</f>
        <v>ħafif u xemxi.</v>
      </c>
    </row>
    <row r="15686" ht="15.75" customHeight="1">
      <c r="A15686" s="2" t="s">
        <v>15686</v>
      </c>
      <c r="B15686" s="2" t="str">
        <f>IFERROR(__xludf.DUMMYFUNCTION("GOOGLETRANSLATE(A15686, ""en"", ""mt"")"),"Wara li ġarrab korriment li jkun fatali għal ħafna speċi oħra")</f>
        <v>Wara li ġarrab korriment li jkun fatali għal ħafna speċi oħra</v>
      </c>
    </row>
    <row r="15687" ht="15.75" customHeight="1">
      <c r="A15687" s="2" t="s">
        <v>15687</v>
      </c>
      <c r="B15687" s="2" t="str">
        <f>IFERROR(__xludf.DUMMYFUNCTION("GOOGLETRANSLATE(A15687, ""en"", ""mt"")"),"Bejn wieħed u ieħor kemm oġġetti jinkludu l-kollezzjonijiet tal-mużew ta 'l-arti tal-Asja t'Isfel u tax-Xlokk?")</f>
        <v>Bejn wieħed u ieħor kemm oġġetti jinkludu l-kollezzjonijiet tal-mużew ta 'l-arti tal-Asja t'Isfel u tax-Xlokk?</v>
      </c>
    </row>
    <row r="15688" ht="15.75" customHeight="1">
      <c r="A15688" s="2" t="s">
        <v>15688</v>
      </c>
      <c r="B15688" s="2" t="str">
        <f>IFERROR(__xludf.DUMMYFUNCTION("GOOGLETRANSLATE(A15688, ""en"", ""mt"")"),"Ħallas dispensa papali għall-mandat tiegħu")</f>
        <v>Ħallas dispensa papali għall-mandat tiegħu</v>
      </c>
    </row>
    <row r="15689" ht="15.75" customHeight="1">
      <c r="A15689" s="2" t="s">
        <v>15689</v>
      </c>
      <c r="B15689" s="2" t="str">
        <f>IFERROR(__xludf.DUMMYFUNCTION("GOOGLETRANSLATE(A15689, ""en"", ""mt"")"),"id-dinja")</f>
        <v>id-dinja</v>
      </c>
    </row>
    <row r="15690" ht="15.75" customHeight="1">
      <c r="A15690" s="2" t="s">
        <v>15690</v>
      </c>
      <c r="B15690" s="2" t="str">
        <f>IFERROR(__xludf.DUMMYFUNCTION("GOOGLETRANSLATE(A15690, ""en"", ""mt"")"),"Korrelazzjoni stratigrafika")</f>
        <v>Korrelazzjoni stratigrafika</v>
      </c>
    </row>
    <row r="15691" ht="15.75" customHeight="1">
      <c r="A15691" s="2" t="s">
        <v>15691</v>
      </c>
      <c r="B15691" s="2" t="str">
        <f>IFERROR(__xludf.DUMMYFUNCTION("GOOGLETRANSLATE(A15691, ""en"", ""mt"")"),"Liema pajjiż juża l-iskutella ta 'l-igieia bħala simbolu tal-ispiżerija?")</f>
        <v>Liema pajjiż juża l-iskutella ta 'l-igieia bħala simbolu tal-ispiżerija?</v>
      </c>
    </row>
    <row r="15692" ht="15.75" customHeight="1">
      <c r="A15692" s="2" t="s">
        <v>15692</v>
      </c>
      <c r="B15692" s="2" t="str">
        <f>IFERROR(__xludf.DUMMYFUNCTION("GOOGLETRANSLATE(A15692, ""en"", ""mt"")"),"Imperjalizmu")</f>
        <v>Imperjalizmu</v>
      </c>
    </row>
    <row r="15693" ht="15.75" customHeight="1">
      <c r="A15693" s="2" t="s">
        <v>15693</v>
      </c>
      <c r="B15693" s="2" t="str">
        <f>IFERROR(__xludf.DUMMYFUNCTION("GOOGLETRANSLATE(A15693, ""en"", ""mt"")"),"X'jiffaċċjaw il-bini tal-Kontea ta 'l-ex Midlothian?")</f>
        <v>X'jiffaċċjaw il-bini tal-Kontea ta 'l-ex Midlothian?</v>
      </c>
    </row>
    <row r="15694" ht="15.75" customHeight="1">
      <c r="A15694" s="2" t="s">
        <v>15694</v>
      </c>
      <c r="B15694" s="2" t="str">
        <f>IFERROR(__xludf.DUMMYFUNCTION("GOOGLETRANSLATE(A15694, ""en"", ""mt"")"),"Ċiklu Prattiku tal-Carnot")</f>
        <v>Ċiklu Prattiku tal-Carnot</v>
      </c>
    </row>
    <row r="15695" ht="15.75" customHeight="1">
      <c r="A15695" s="2" t="s">
        <v>15695</v>
      </c>
      <c r="B15695" s="2" t="str">
        <f>IFERROR(__xludf.DUMMYFUNCTION("GOOGLETRANSLATE(A15695, ""en"", ""mt"")"),"Liema dinastija Genghis Khan ippjanaw li jattakkaw wara li rbaħ il-Punent Xia?")</f>
        <v>Liema dinastija Genghis Khan ippjanaw li jattakkaw wara li rbaħ il-Punent Xia?</v>
      </c>
    </row>
    <row r="15696" ht="15.75" customHeight="1">
      <c r="A15696" s="2" t="s">
        <v>15696</v>
      </c>
      <c r="B15696" s="2" t="str">
        <f>IFERROR(__xludf.DUMMYFUNCTION("GOOGLETRANSLATE(A15696, ""en"", ""mt"")"),"il-biċċa l-kbira tas-siġġijiet")</f>
        <v>il-biċċa l-kbira tas-siġġijiet</v>
      </c>
    </row>
    <row r="15697" ht="15.75" customHeight="1">
      <c r="A15697" s="2" t="s">
        <v>15697</v>
      </c>
      <c r="B15697" s="2" t="str">
        <f>IFERROR(__xludf.DUMMYFUNCTION("GOOGLETRANSLATE(A15697, ""en"", ""mt"")"),"Harvard jopera diversi mużewijiet tal-arti, kulturali u xjentifiċi. Il-mużewijiet tal-arti ta ’Harvard jinkludu tliet mużewijiet. Il-Mużew Arthur M. Sackler jinkludi kollezzjonijiet ta ’arti antika, Asjatika, Iżlamika u aktar tard, il-Mużew Busch-Reisinge"&amp;"r, li qabel kien il-Mużew Ġermaniku, ikopri l-Art Ċentrali u tat-Tramuntana tal-Ewropa, u l-Mużew Fogg tal-Art, ikopri arti tal-Punent min-nofs Etajiet sal-preżent li jenfasizzaw it-Taljan Rinaxximent Bikri, il-pre-Raphaelite Ingliża, u l-arti Franċiża ta"&amp;"s-seklu 19. Il-Mużew ta 'l-Istorja Naturali ta' Harvard jinkludi l-Mużew Mineralogiku ta 'Harvard, Harvard University Herbaria li fih il-Blaschka Glass Flowers, u l-Mużew taż-Żooloġija Komparattiva. Mużewijiet oħra jinkludu ċ-Ċentru tal-Karpenter għall-Ar"&amp;"ti Viżwali, iddisinjat minn Le Corbusier, li jospita l-arkivju tal-films, il-Mużew Peabody tal-Arkeoloġija u l-Etnoloġija, li jispeċjalizza fl-istorja kulturali u ċ-ċiviltajiet tal-Emisferu tal-Punent, u l-Mużew Semitiku li fih artifatti minn skavi il-Lva"&amp;"nt Nofsani.")</f>
        <v>Harvard jopera diversi mużewijiet tal-arti, kulturali u xjentifiċi. Il-mużewijiet tal-arti ta ’Harvard jinkludu tliet mużewijiet. Il-Mużew Arthur M. Sackler jinkludi kollezzjonijiet ta ’arti antika, Asjatika, Iżlamika u aktar tard, il-Mużew Busch-Reisinger, li qabel kien il-Mużew Ġermaniku, ikopri l-Art Ċentrali u tat-Tramuntana tal-Ewropa, u l-Mużew Fogg tal-Art, ikopri arti tal-Punent min-nofs Etajiet sal-preżent li jenfasizzaw it-Taljan Rinaxximent Bikri, il-pre-Raphaelite Ingliża, u l-arti Franċiża tas-seklu 19. Il-Mużew ta 'l-Istorja Naturali ta' Harvard jinkludi l-Mużew Mineralogiku ta 'Harvard, Harvard University Herbaria li fih il-Blaschka Glass Flowers, u l-Mużew taż-Żooloġija Komparattiva. Mużewijiet oħra jinkludu ċ-Ċentru tal-Karpenter għall-Arti Viżwali, iddisinjat minn Le Corbusier, li jospita l-arkivju tal-films, il-Mużew Peabody tal-Arkeoloġija u l-Etnoloġija, li jispeċjalizza fl-istorja kulturali u ċ-ċiviltajiet tal-Emisferu tal-Punent, u l-Mużew Semitiku li fih artifatti minn skavi il-Lvant Nofsani.</v>
      </c>
    </row>
    <row r="15698" ht="15.75" customHeight="1">
      <c r="A15698" s="2" t="s">
        <v>15698</v>
      </c>
      <c r="B15698" s="2" t="str">
        <f>IFERROR(__xludf.DUMMYFUNCTION("GOOGLETRANSLATE(A15698, ""en"", ""mt"")"),"Liema razez ta 'y. Pestis instabu fl-oqbra tal-massa?")</f>
        <v>Liema razez ta 'y. Pestis instabu fl-oqbra tal-massa?</v>
      </c>
    </row>
    <row r="15699" ht="15.75" customHeight="1">
      <c r="A15699" s="2" t="s">
        <v>15699</v>
      </c>
      <c r="B15699" s="2" t="str">
        <f>IFERROR(__xludf.DUMMYFUNCTION("GOOGLETRANSLATE(A15699, ""en"", ""mt"")"),"Min hu abbozz ta ’liġi msemmi għal deċiżjoni dwar jekk hux fil-poteri tal-Parlament?")</f>
        <v>Min hu abbozz ta ’liġi msemmi għal deċiżjoni dwar jekk hux fil-poteri tal-Parlament?</v>
      </c>
    </row>
    <row r="15700" ht="15.75" customHeight="1">
      <c r="A15700" s="2" t="s">
        <v>15700</v>
      </c>
      <c r="B15700" s="2" t="str">
        <f>IFERROR(__xludf.DUMMYFUNCTION("GOOGLETRANSLATE(A15700, ""en"", ""mt"")"),"Liema għażla kellha l-Franċiż għall-art li ċediet?")</f>
        <v>Liema għażla kellha l-Franċiż għall-art li ċediet?</v>
      </c>
    </row>
    <row r="15701" ht="15.75" customHeight="1">
      <c r="A15701" s="2" t="s">
        <v>15701</v>
      </c>
      <c r="B15701" s="2" t="str">
        <f>IFERROR(__xludf.DUMMYFUNCTION("GOOGLETRANSLATE(A15701, ""en"", ""mt"")"),"X'inhuma żewġ eżempji ta 'mediċini ċitotossiċi jew immunosoppressivi?")</f>
        <v>X'inhuma żewġ eżempji ta 'mediċini ċitotossiċi jew immunosoppressivi?</v>
      </c>
    </row>
    <row r="15702" ht="15.75" customHeight="1">
      <c r="A15702" s="2" t="s">
        <v>15702</v>
      </c>
      <c r="B15702" s="2" t="str">
        <f>IFERROR(__xludf.DUMMYFUNCTION("GOOGLETRANSLATE(A15702, ""en"", ""mt"")"),".2 biljun sena għall-kampjuni bażaltiċi derivati ​​mill-Lunar Maria, għal madwar 4.6 biljun sena għal kampjuni derivati ​​mill-Qoxra tal-Highlands")</f>
        <v>.2 biljun sena għall-kampjuni bażaltiċi derivati ​​mill-Lunar Maria, għal madwar 4.6 biljun sena għal kampjuni derivati ​​mill-Qoxra tal-Highlands</v>
      </c>
    </row>
    <row r="15703" ht="15.75" customHeight="1">
      <c r="A15703" s="2" t="s">
        <v>15703</v>
      </c>
      <c r="B15703" s="2" t="str">
        <f>IFERROR(__xludf.DUMMYFUNCTION("GOOGLETRANSLATE(A15703, ""en"", ""mt"")"),"l-ebda każ magħruf")</f>
        <v>l-ebda każ magħruf</v>
      </c>
    </row>
    <row r="15704" ht="15.75" customHeight="1">
      <c r="A15704" s="2" t="s">
        <v>15704</v>
      </c>
      <c r="B15704" s="2" t="str">
        <f>IFERROR(__xludf.DUMMYFUNCTION("GOOGLETRANSLATE(A15704, ""en"", ""mt"")"),"Kif tissejjaħ il-karatteristika tat-tfittxija fuq il-websajt V &amp; A?")</f>
        <v>Kif tissejjaħ il-karatteristika tat-tfittxija fuq il-websajt V &amp; A?</v>
      </c>
    </row>
    <row r="15705" ht="15.75" customHeight="1">
      <c r="A15705" s="2" t="s">
        <v>15705</v>
      </c>
      <c r="B15705" s="2" t="str">
        <f>IFERROR(__xludf.DUMMYFUNCTION("GOOGLETRANSLATE(A15705, ""en"", ""mt"")"),"F’liema sena John Forster ħareġ il-kollezzjoni kbira tiegħu ta ’kotba lill-mużew?")</f>
        <v>F’liema sena John Forster ħareġ il-kollezzjoni kbira tiegħu ta ’kotba lill-mużew?</v>
      </c>
    </row>
    <row r="15706" ht="15.75" customHeight="1">
      <c r="A15706" s="2" t="s">
        <v>15706</v>
      </c>
      <c r="B15706" s="2" t="str">
        <f>IFERROR(__xludf.DUMMYFUNCTION("GOOGLETRANSLATE(A15706, ""en"", ""mt"")"),"Qorti Suprema")</f>
        <v>Qorti Suprema</v>
      </c>
    </row>
    <row r="15707" ht="15.75" customHeight="1">
      <c r="A15707" s="2" t="s">
        <v>15707</v>
      </c>
      <c r="B15707" s="2" t="str">
        <f>IFERROR(__xludf.DUMMYFUNCTION("GOOGLETRANSLATE(A15707, ""en"", ""mt"")"),"Apollo 13")</f>
        <v>Apollo 13</v>
      </c>
    </row>
    <row r="15708" ht="15.75" customHeight="1">
      <c r="A15708" s="2" t="s">
        <v>15708</v>
      </c>
      <c r="B15708" s="2" t="str">
        <f>IFERROR(__xludf.DUMMYFUNCTION("GOOGLETRANSLATE(A15708, ""en"", ""mt"")"),"leġġenda")</f>
        <v>leġġenda</v>
      </c>
    </row>
    <row r="15709" ht="15.75" customHeight="1">
      <c r="A15709" s="2" t="s">
        <v>15709</v>
      </c>
      <c r="B15709" s="2" t="str">
        <f>IFERROR(__xludf.DUMMYFUNCTION("GOOGLETRANSLATE(A15709, ""en"", ""mt"")"),"Adobe li jipprovdi inqas utilità lil persuna waħda minn oħra huwa eżempju ta 'xiex imnaqqas?")</f>
        <v>Adobe li jipprovdi inqas utilità lil persuna waħda minn oħra huwa eżempju ta 'xiex imnaqqas?</v>
      </c>
    </row>
    <row r="15710" ht="15.75" customHeight="1">
      <c r="A15710" s="2" t="s">
        <v>15710</v>
      </c>
      <c r="B15710" s="2" t="str">
        <f>IFERROR(__xludf.DUMMYFUNCTION("GOOGLETRANSLATE(A15710, ""en"", ""mt"")"),"12 ta ’Mejju 1191")</f>
        <v>12 ta ’Mejju 1191</v>
      </c>
    </row>
    <row r="15711" ht="15.75" customHeight="1">
      <c r="A15711" s="2" t="s">
        <v>15711</v>
      </c>
      <c r="B15711" s="2" t="str">
        <f>IFERROR(__xludf.DUMMYFUNCTION("GOOGLETRANSLATE(A15711, ""en"", ""mt"")"),"Delüün Borog")</f>
        <v>Delüün Borog</v>
      </c>
    </row>
    <row r="15712" ht="15.75" customHeight="1">
      <c r="A15712" s="2" t="s">
        <v>15712</v>
      </c>
      <c r="B15712" s="2" t="str">
        <f>IFERROR(__xludf.DUMMYFUNCTION("GOOGLETRANSLATE(A15712, ""en"", ""mt"")"),"L-użu tal-isem ma kienx korrett Dawn is-servizzi kollha ġew ġestiti mill-istess nies fi ħdan id-dipartiment tal-KPN ikkontribwew għall-konfużjoni")</f>
        <v>L-użu tal-isem ma kienx korrett Dawn is-servizzi kollha ġew ġestiti mill-istess nies fi ħdan id-dipartiment tal-KPN ikkontribwew għall-konfużjoni</v>
      </c>
    </row>
    <row r="15713" ht="15.75" customHeight="1">
      <c r="A15713" s="2" t="s">
        <v>15713</v>
      </c>
      <c r="B15713" s="2" t="str">
        <f>IFERROR(__xludf.DUMMYFUNCTION("GOOGLETRANSLATE(A15713, ""en"", ""mt"")"),"X'inhu terminu ieħor għal kompressjoni eċċessiva?")</f>
        <v>X'inhu terminu ieħor għal kompressjoni eċċessiva?</v>
      </c>
    </row>
    <row r="15714" ht="15.75" customHeight="1">
      <c r="A15714" s="2" t="s">
        <v>15714</v>
      </c>
      <c r="B15714" s="2" t="str">
        <f>IFERROR(__xludf.DUMMYFUNCTION("GOOGLETRANSLATE(A15714, ""en"", ""mt"")"),"Kemm it-trab tas-Saħara jibqa 'fl-arja fuq l-Amażonja kull sena?")</f>
        <v>Kemm it-trab tas-Saħara jibqa 'fl-arja fuq l-Amażonja kull sena?</v>
      </c>
    </row>
    <row r="15715" ht="15.75" customHeight="1">
      <c r="A15715" s="2" t="s">
        <v>15715</v>
      </c>
      <c r="B15715" s="2" t="str">
        <f>IFERROR(__xludf.DUMMYFUNCTION("GOOGLETRANSLATE(A15715, ""en"", ""mt"")"),"Liema żewġ netwerks tar-radju kellhom l-RCA?")</f>
        <v>Liema żewġ netwerks tar-radju kellhom l-RCA?</v>
      </c>
    </row>
    <row r="15716" ht="15.75" customHeight="1">
      <c r="A15716" s="2" t="s">
        <v>15716</v>
      </c>
      <c r="B15716" s="2" t="str">
        <f>IFERROR(__xludf.DUMMYFUNCTION("GOOGLETRANSLATE(A15716, ""en"", ""mt"")"),"Il-ġbir tal-kostumi huwa l-iktar komprensiv fil-Gran Brittanja, li fih aktar minn 14,000 ilbies flimkien ma 'aċċessorji, prinċipalment li jmorru mill-1600 sal-preżent. Skeċċijiet tal-kostumi, notebooks tad-disinn, u xogħlijiet oħra fuq il-karta huma tipik"&amp;"ament miżmuma mid-dipartiment tal-kelma u l-immaġini. Minħabba li l-ilbies ta 'kuljum minn eras preċedenti ġeneralment ma baqax ħaj, il-kollezzjoni hija ddominata minn ħwejjeġ ta' moda magħmula għal okkażjonijiet speċjali. Wieħed mill-ewwel rigali sinifik"&amp;"anti ta 'kostumi daħal fl-1913 meta l-V &amp; A rċeviet il-kollezzjoni Talbot Hughes li fiha 1,442 kostumi u oġġetti bħala rigal minn Harrods wara l-wirja tagħha fid-dipartiment tal-viċin.")</f>
        <v>Il-ġbir tal-kostumi huwa l-iktar komprensiv fil-Gran Brittanja, li fih aktar minn 14,000 ilbies flimkien ma 'aċċessorji, prinċipalment li jmorru mill-1600 sal-preżent. Skeċċijiet tal-kostumi, notebooks tad-disinn, u xogħlijiet oħra fuq il-karta huma tipikament miżmuma mid-dipartiment tal-kelma u l-immaġini. Minħabba li l-ilbies ta 'kuljum minn eras preċedenti ġeneralment ma baqax ħaj, il-kollezzjoni hija ddominata minn ħwejjeġ ta' moda magħmula għal okkażjonijiet speċjali. Wieħed mill-ewwel rigali sinifikanti ta 'kostumi daħal fl-1913 meta l-V &amp; A rċeviet il-kollezzjoni Talbot Hughes li fiha 1,442 kostumi u oġġetti bħala rigal minn Harrods wara l-wirja tagħha fid-dipartiment tal-viċin.</v>
      </c>
    </row>
    <row r="15717" ht="15.75" customHeight="1">
      <c r="A15717" s="2" t="s">
        <v>15717</v>
      </c>
      <c r="B15717" s="2" t="str">
        <f>IFERROR(__xludf.DUMMYFUNCTION("GOOGLETRANSLATE(A15717, ""en"", ""mt"")"),"Algoritmi Randomizzati")</f>
        <v>Algoritmi Randomizzati</v>
      </c>
    </row>
    <row r="15718" ht="15.75" customHeight="1">
      <c r="A15718" s="2" t="s">
        <v>15718</v>
      </c>
      <c r="B15718" s="2" t="str">
        <f>IFERROR(__xludf.DUMMYFUNCTION("GOOGLETRANSLATE(A15718, ""en"", ""mt"")"),"Martin Luther iżżewweġ lil Katharina von Bora, waħda mit-12-il sorijiet li kien għen biex jaħrab mill-kunvent Ċistercian Nimbschen f'April 1523, meta rranġat biex dawn jiġu kuntrabandu fil-btieti tal-aringi. ""F'daqqa waħda, u waqt li kont okkupat bi ħsib"&amp;"ijiet ferm differenti,"" kiteb lil Wenceslaus Link, ""il-Mulej tefgħetni fiż-żwieġ."" Fiż-żwieġ tagħhom, Katharina kellha 26 sena u Luther kellha 41 sena.")</f>
        <v>Martin Luther iżżewweġ lil Katharina von Bora, waħda mit-12-il sorijiet li kien għen biex jaħrab mill-kunvent Ċistercian Nimbschen f'April 1523, meta rranġat biex dawn jiġu kuntrabandu fil-btieti tal-aringi. "F'daqqa waħda, u waqt li kont okkupat bi ħsibijiet ferm differenti," kiteb lil Wenceslaus Link, "il-Mulej tefgħetni fiż-żwieġ." Fiż-żwieġ tagħhom, Katharina kellha 26 sena u Luther kellha 41 sena.</v>
      </c>
    </row>
    <row r="15719" ht="15.75" customHeight="1">
      <c r="A15719" s="2" t="s">
        <v>15719</v>
      </c>
      <c r="B15719" s="2" t="str">
        <f>IFERROR(__xludf.DUMMYFUNCTION("GOOGLETRANSLATE(A15719, ""en"", ""mt"")"),"l-aqwa skola tal-inġinerija")</f>
        <v>l-aqwa skola tal-inġinerija</v>
      </c>
    </row>
    <row r="15720" ht="15.75" customHeight="1">
      <c r="A15720" s="2" t="s">
        <v>15720</v>
      </c>
      <c r="B15720" s="2" t="str">
        <f>IFERROR(__xludf.DUMMYFUNCTION("GOOGLETRANSLATE(A15720, ""en"", ""mt"")"),"1269")</f>
        <v>1269</v>
      </c>
    </row>
    <row r="15721" ht="15.75" customHeight="1">
      <c r="A15721" s="2" t="s">
        <v>15721</v>
      </c>
      <c r="B15721" s="2" t="str">
        <f>IFERROR(__xludf.DUMMYFUNCTION("GOOGLETRANSLATE(A15721, ""en"", ""mt"")"),"Pakkett li jaqleb il-kuntrast ma 'dak il-prinċipal ieħor")</f>
        <v>Pakkett li jaqleb il-kuntrast ma 'dak il-prinċipal ieħor</v>
      </c>
    </row>
    <row r="15722" ht="15.75" customHeight="1">
      <c r="A15722" s="2" t="s">
        <v>15722</v>
      </c>
      <c r="B15722" s="2" t="str">
        <f>IFERROR(__xludf.DUMMYFUNCTION("GOOGLETRANSLATE(A15722, ""en"", ""mt"")"),"Liema pajjiżu jitla 'fin-nofsinhar tal-Kenja?")</f>
        <v>Liema pajjiżu jitla 'fin-nofsinhar tal-Kenja?</v>
      </c>
    </row>
    <row r="15723" ht="15.75" customHeight="1">
      <c r="A15723" s="2" t="s">
        <v>15723</v>
      </c>
      <c r="B15723" s="2" t="str">
        <f>IFERROR(__xludf.DUMMYFUNCTION("GOOGLETRANSLATE(A15723, ""en"", ""mt"")"),"Relazzjoni Kontraenti fejn l-enfasi hija fuq relazzjoni kooperattiva")</f>
        <v>Relazzjoni Kontraenti fejn l-enfasi hija fuq relazzjoni kooperattiva</v>
      </c>
    </row>
    <row r="15724" ht="15.75" customHeight="1">
      <c r="A15724" s="2" t="s">
        <v>15724</v>
      </c>
      <c r="B15724" s="2" t="str">
        <f>IFERROR(__xludf.DUMMYFUNCTION("GOOGLETRANSLATE(A15724, ""en"", ""mt"")"),"ugwaljanza fid-distribuzzjoni tad-dħul")</f>
        <v>ugwaljanza fid-distribuzzjoni tad-dħul</v>
      </c>
    </row>
    <row r="15725" ht="15.75" customHeight="1">
      <c r="A15725" s="2" t="s">
        <v>15725</v>
      </c>
      <c r="B15725" s="2" t="str">
        <f>IFERROR(__xludf.DUMMYFUNCTION("GOOGLETRANSLATE(A15725, ""en"", ""mt"")"),"Carey")</f>
        <v>Carey</v>
      </c>
    </row>
    <row r="15726" ht="15.75" customHeight="1">
      <c r="A15726" s="2" t="s">
        <v>15726</v>
      </c>
      <c r="B15726" s="2" t="str">
        <f>IFERROR(__xludf.DUMMYFUNCTION("GOOGLETRANSLATE(A15726, ""en"", ""mt"")"),"Clair Cameron Patterson")</f>
        <v>Clair Cameron Patterson</v>
      </c>
    </row>
    <row r="15727" ht="15.75" customHeight="1">
      <c r="A15727" s="2" t="s">
        <v>15727</v>
      </c>
      <c r="B15727" s="2" t="str">
        <f>IFERROR(__xludf.DUMMYFUNCTION("GOOGLETRANSLATE(A15727, ""en"", ""mt"")"),"F’liema età British Gas plc ġiegħlu lill-ħaddiema tagħhom jirtiraw?")</f>
        <v>F’liema età British Gas plc ġiegħlu lill-ħaddiema tagħhom jirtiraw?</v>
      </c>
    </row>
    <row r="15728" ht="15.75" customHeight="1">
      <c r="A15728" s="2" t="s">
        <v>15728</v>
      </c>
      <c r="B15728" s="2" t="str">
        <f>IFERROR(__xludf.DUMMYFUNCTION("GOOGLETRANSLATE(A15728, ""en"", ""mt"")"),"Min hi l-unika awtorità governattiva li kapaċi tibda proposti leġiżlattivi?")</f>
        <v>Min hi l-unika awtorità governattiva li kapaċi tibda proposti leġiżlattivi?</v>
      </c>
    </row>
    <row r="15729" ht="15.75" customHeight="1">
      <c r="A15729" s="2" t="s">
        <v>15729</v>
      </c>
      <c r="B15729" s="2" t="str">
        <f>IFERROR(__xludf.DUMMYFUNCTION("GOOGLETRANSLATE(A15729, ""en"", ""mt"")"),"Waal")</f>
        <v>Waal</v>
      </c>
    </row>
    <row r="15730" ht="15.75" customHeight="1">
      <c r="A15730" s="2" t="s">
        <v>15730</v>
      </c>
      <c r="B15730" s="2" t="str">
        <f>IFERROR(__xludf.DUMMYFUNCTION("GOOGLETRANSLATE(A15730, ""en"", ""mt"")"),"39.")</f>
        <v>39.</v>
      </c>
    </row>
    <row r="15731" ht="15.75" customHeight="1">
      <c r="A15731" s="2" t="s">
        <v>15731</v>
      </c>
      <c r="B15731" s="2" t="str">
        <f>IFERROR(__xludf.DUMMYFUNCTION("GOOGLETRANSLATE(A15731, ""en"", ""mt"")"),"Viċi President Eżekuttiv ta 'Operazzjonijiet tal-Futbol u Maniġer Ġenerali.")</f>
        <v>Viċi President Eżekuttiv ta 'Operazzjonijiet tal-Futbol u Maniġer Ġenerali.</v>
      </c>
    </row>
    <row r="15732" ht="15.75" customHeight="1">
      <c r="A15732" s="2" t="s">
        <v>15732</v>
      </c>
      <c r="B15732" s="2" t="str">
        <f>IFERROR(__xludf.DUMMYFUNCTION("GOOGLETRANSLATE(A15732, ""en"", ""mt"")"),"ex monasteru,")</f>
        <v>ex monasteru,</v>
      </c>
    </row>
    <row r="15733" ht="15.75" customHeight="1">
      <c r="A15733" s="2" t="s">
        <v>15733</v>
      </c>
      <c r="B15733" s="2" t="str">
        <f>IFERROR(__xludf.DUMMYFUNCTION("GOOGLETRANSLATE(A15733, ""en"", ""mt"")"),"il-movimenti tan-natura, movimenti ta 'tul ta' żmien ħieles u mhux ugwali")</f>
        <v>il-movimenti tan-natura, movimenti ta 'tul ta' żmien ħieles u mhux ugwali</v>
      </c>
    </row>
    <row r="15734" ht="15.75" customHeight="1">
      <c r="A15734" s="2" t="s">
        <v>15734</v>
      </c>
      <c r="B15734" s="2" t="str">
        <f>IFERROR(__xludf.DUMMYFUNCTION("GOOGLETRANSLATE(A15734, ""en"", ""mt"")"),"Minn min Genghis Khan tgħallem il-gwerra seige?")</f>
        <v>Minn min Genghis Khan tgħallem il-gwerra seige?</v>
      </c>
    </row>
    <row r="15735" ht="15.75" customHeight="1">
      <c r="A15735" s="2" t="s">
        <v>15735</v>
      </c>
      <c r="B15735" s="2" t="str">
        <f>IFERROR(__xludf.DUMMYFUNCTION("GOOGLETRANSLATE(A15735, ""en"", ""mt"")"),"X'kienet Apple Talk")</f>
        <v>X'kienet Apple Talk</v>
      </c>
    </row>
    <row r="15736" ht="15.75" customHeight="1">
      <c r="A15736" s="2" t="s">
        <v>15736</v>
      </c>
      <c r="B15736" s="2" t="str">
        <f>IFERROR(__xludf.DUMMYFUNCTION("GOOGLETRANSLATE(A15736, ""en"", ""mt"")"),"Il-Knisja Metodista Magħquda tikkonferma l-qdusija tal-ħajja tal-bniedem kemm tat-tarbija kif ukoll tal-omm. Bħala riżultat, il-knisja hija ""ħerqana li tafferma l-abort bħala prattika aċċettabbli,"" u tikkundanna l-użu ta 'abort tat-twelid tard jew parzj"&amp;"ali ħlief bħala ħtieġa medika. Id-denominazzjoni kollha kemm hi hija impenjata li ""tassisti [l-ing] il-Ministeru tal-Kriżi Ċentri tat-Tqala u Ċentri ta 'Riżorsi tat-Tqala li jgħinu b'mod kompassjonali lin-nisa jsibu alternattivi fattibbli għall-abort."" "&amp;"Xorta, id-denominazzjoni hija favur l-għażla u wkoll ""kienet membru fundatur tal-koalizzjoni reliġjuża għall-għażla riproduttiva ... [u] l-2008 Konferenza Ġenerali [marret] fuq rekord b'appoġġ għall-ħidma tal-koalizzjoni reliġjuża għall-għażla riprodutti"&amp;"va"".")</f>
        <v>Il-Knisja Metodista Magħquda tikkonferma l-qdusija tal-ħajja tal-bniedem kemm tat-tarbija kif ukoll tal-omm. Bħala riżultat, il-knisja hija "ħerqana li tafferma l-abort bħala prattika aċċettabbli," u tikkundanna l-użu ta 'abort tat-twelid tard jew parzjali ħlief bħala ħtieġa medika. Id-denominazzjoni kollha kemm hi hija impenjata li "tassisti [l-ing] il-Ministeru tal-Kriżi Ċentri tat-Tqala u Ċentri ta 'Riżorsi tat-Tqala li jgħinu b'mod kompassjonali lin-nisa jsibu alternattivi fattibbli għall-abort." Xorta, id-denominazzjoni hija favur l-għażla u wkoll "kienet membru fundatur tal-koalizzjoni reliġjuża għall-għażla riproduttiva ... [u] l-2008 Konferenza Ġenerali [marret] fuq rekord b'appoġġ għall-ħidma tal-koalizzjoni reliġjuża għall-għażla riproduttiva".</v>
      </c>
    </row>
    <row r="15737" ht="15.75" customHeight="1">
      <c r="A15737" s="2" t="s">
        <v>15737</v>
      </c>
      <c r="B15737" s="2" t="str">
        <f>IFERROR(__xludf.DUMMYFUNCTION("GOOGLETRANSLATE(A15737, ""en"", ""mt"")"),"F'liema data ġie skopert mill-palazz ta 'Genghis Khan mill-ġdid mill-arkeaologi?")</f>
        <v>F'liema data ġie skopert mill-palazz ta 'Genghis Khan mill-ġdid mill-arkeaologi?</v>
      </c>
    </row>
    <row r="15738" ht="15.75" customHeight="1">
      <c r="A15738" s="2" t="s">
        <v>15738</v>
      </c>
      <c r="B15738" s="2" t="str">
        <f>IFERROR(__xludf.DUMMYFUNCTION("GOOGLETRANSLATE(A15738, ""en"", ""mt"")"),"X’tgħallmu l-Għaxar Kmandamenti kif jagħmlu l-Insara?")</f>
        <v>X’tgħallmu l-Għaxar Kmandamenti kif jagħmlu l-Insara?</v>
      </c>
    </row>
    <row r="15739" ht="15.75" customHeight="1">
      <c r="A15739" s="2" t="s">
        <v>15739</v>
      </c>
      <c r="B15739" s="2" t="str">
        <f>IFERROR(__xludf.DUMMYFUNCTION("GOOGLETRANSLATE(A15739, ""en"", ""mt"")"),"F’xi żoni rurali fir-Renju Unit, hemm tobba li jqassmu li huma permessi kemm jippreskrivu u jwarrbu mediċini biss għall-preskrizzjoni lill-pazjenti tagħhom minn ġewwa l-prattiki tagħhom. Il-liġi tirrikjedi li l-prattika tal-GP tkun tinsab f'żona rurali no"&amp;"minata u li hemm ukoll distanza minima speċifikata (bħalissa 1.6 kilometri) bejn id-dar tal-pazjent u l-eqreb spiżerija bl-imnut. Din il-liġi teżisti wkoll fl-Awstrija għal tobba ġenerali jekk l-eqreb farmaċija tkun aktar minn 4 kilometri 'l bogħod, jew f"&amp;"ejn l-ebda waħda hija rreġistrata fil-belt.")</f>
        <v>F’xi żoni rurali fir-Renju Unit, hemm tobba li jqassmu li huma permessi kemm jippreskrivu u jwarrbu mediċini biss għall-preskrizzjoni lill-pazjenti tagħhom minn ġewwa l-prattiki tagħhom. Il-liġi tirrikjedi li l-prattika tal-GP tkun tinsab f'żona rurali nominata u li hemm ukoll distanza minima speċifikata (bħalissa 1.6 kilometri) bejn id-dar tal-pazjent u l-eqreb spiżerija bl-imnut. Din il-liġi teżisti wkoll fl-Awstrija għal tobba ġenerali jekk l-eqreb farmaċija tkun aktar minn 4 kilometri 'l bogħod, jew fejn l-ebda waħda hija rreġistrata fil-belt.</v>
      </c>
    </row>
    <row r="15740" ht="15.75" customHeight="1">
      <c r="A15740" s="2" t="s">
        <v>15740</v>
      </c>
      <c r="B15740" s="2" t="str">
        <f>IFERROR(__xludf.DUMMYFUNCTION("GOOGLETRANSLATE(A15740, ""en"", ""mt"")"),"Xi jfisser il-mostru tal-baħar b'ġisem ta 'fuq femminili fid-dwiefer tiegħu?")</f>
        <v>Xi jfisser il-mostru tal-baħar b'ġisem ta 'fuq femminili fid-dwiefer tiegħu?</v>
      </c>
    </row>
    <row r="15741" ht="15.75" customHeight="1">
      <c r="A15741" s="2" t="s">
        <v>15741</v>
      </c>
      <c r="B15741" s="2" t="str">
        <f>IFERROR(__xludf.DUMMYFUNCTION("GOOGLETRANSLATE(A15741, ""en"", ""mt"")"),"Il-bnedmin f'ambjenti tropikali kienu meqjusa x'inhuma?")</f>
        <v>Il-bnedmin f'ambjenti tropikali kienu meqjusa x'inhuma?</v>
      </c>
    </row>
    <row r="15742" ht="15.75" customHeight="1">
      <c r="A15742" s="2" t="s">
        <v>15742</v>
      </c>
      <c r="B15742" s="2" t="str">
        <f>IFERROR(__xludf.DUMMYFUNCTION("GOOGLETRANSLATE(A15742, ""en"", ""mt"")"),"Liema kwalità distinta ta 'kombustjoni kienet assenti mit-teorija ta' Philogiston?")</f>
        <v>Liema kwalità distinta ta 'kombustjoni kienet assenti mit-teorija ta' Philogiston?</v>
      </c>
    </row>
    <row r="15743" ht="15.75" customHeight="1">
      <c r="A15743" s="2" t="s">
        <v>15743</v>
      </c>
      <c r="B15743" s="2" t="str">
        <f>IFERROR(__xludf.DUMMYFUNCTION("GOOGLETRANSLATE(A15743, ""en"", ""mt"")"),"X'tip ta 'finzjoni tidher ix-xogħol ta' Tesla?")</f>
        <v>X'tip ta 'finzjoni tidher ix-xogħol ta' Tesla?</v>
      </c>
    </row>
    <row r="15744" ht="15.75" customHeight="1">
      <c r="A15744" s="2" t="s">
        <v>15744</v>
      </c>
      <c r="B15744" s="2" t="str">
        <f>IFERROR(__xludf.DUMMYFUNCTION("GOOGLETRANSLATE(A15744, ""en"", ""mt"")"),"X'inhu inqas kieku kien hemm inqas nies?")</f>
        <v>X'inhu inqas kieku kien hemm inqas nies?</v>
      </c>
    </row>
    <row r="15745" ht="15.75" customHeight="1">
      <c r="A15745" s="2" t="s">
        <v>15745</v>
      </c>
      <c r="B15745" s="2" t="str">
        <f>IFERROR(__xludf.DUMMYFUNCTION("GOOGLETRANSLATE(A15745, ""en"", ""mt"")"),"Fit-teorija taċ-ċirku")</f>
        <v>Fit-teorija taċ-ċirku</v>
      </c>
    </row>
    <row r="15746" ht="15.75" customHeight="1">
      <c r="A15746" s="2" t="s">
        <v>15746</v>
      </c>
      <c r="B15746" s="2" t="str">
        <f>IFERROR(__xludf.DUMMYFUNCTION("GOOGLETRANSLATE(A15746, ""en"", ""mt"")"),"Ċelloli T qattiel")</f>
        <v>Ċelloli T qattiel</v>
      </c>
    </row>
    <row r="15747" ht="15.75" customHeight="1">
      <c r="A15747" s="2" t="s">
        <v>15747</v>
      </c>
      <c r="B15747" s="2" t="str">
        <f>IFERROR(__xludf.DUMMYFUNCTION("GOOGLETRANSLATE(A15747, ""en"", ""mt"")"),"Waqt li studja l-liġi u l-filosofija fl-Ingilterra u l-Ġermanja, Iqbal sar membru tal-fergħa ta ’Londra tal-Lega Musulmana kollha tal-Indja. Huwa daħal lura f'Lahore fl-1908. Waqt li qassam il-ħin tiegħu bejn il-prattika tal-liġi u l-poeżija filosofika, I"&amp;"qbal kien baqa 'attiv fil-Lega Musulmana. Huwa ma appoġġjax l-involviment Indjan fl-Ewwel Gwerra Dinjija u baqa 'f'kuntatt mill-qrib ma' mexxejja politiċi Musulmani bħal Muhammad Ali Johar u Muhammad Ali Jinnah. Huwa kien kritiku tal-Kungress Nazzjonali I"&amp;"ndjan Indjan u sekularist mainstream. Is-seba 'lezzjonijiet Ingliżi ta' Iqbal ġew ippubblikati minn Oxford University Press fl-1934 fi ktieb intitolat Ir-Rikostruzzjoni tal-Ħsieb Reliġjuż fl-Iżlam. Dawn il-lezzjonijiet jgħixu dwar ir-rwol tal-Iżlam bħala "&amp;"reliġjon kif ukoll filosofija politika u legali fl-era moderna.")</f>
        <v>Waqt li studja l-liġi u l-filosofija fl-Ingilterra u l-Ġermanja, Iqbal sar membru tal-fergħa ta ’Londra tal-Lega Musulmana kollha tal-Indja. Huwa daħal lura f'Lahore fl-1908. Waqt li qassam il-ħin tiegħu bejn il-prattika tal-liġi u l-poeżija filosofika, Iqbal kien baqa 'attiv fil-Lega Musulmana. Huwa ma appoġġjax l-involviment Indjan fl-Ewwel Gwerra Dinjija u baqa 'f'kuntatt mill-qrib ma' mexxejja politiċi Musulmani bħal Muhammad Ali Johar u Muhammad Ali Jinnah. Huwa kien kritiku tal-Kungress Nazzjonali Indjan Indjan u sekularist mainstream. Is-seba 'lezzjonijiet Ingliżi ta' Iqbal ġew ippubblikati minn Oxford University Press fl-1934 fi ktieb intitolat Ir-Rikostruzzjoni tal-Ħsieb Reliġjuż fl-Iżlam. Dawn il-lezzjonijiet jgħixu dwar ir-rwol tal-Iżlam bħala reliġjon kif ukoll filosofija politika u legali fl-era moderna.</v>
      </c>
    </row>
    <row r="15748" ht="15.75" customHeight="1">
      <c r="A15748" s="2" t="s">
        <v>15748</v>
      </c>
      <c r="B15748" s="2" t="str">
        <f>IFERROR(__xludf.DUMMYFUNCTION("GOOGLETRANSLATE(A15748, ""en"", ""mt"")"),"X'għamlet l-infrastruttura ħafna matul l-aħħar snin?")</f>
        <v>X'għamlet l-infrastruttura ħafna matul l-aħħar snin?</v>
      </c>
    </row>
    <row r="15749" ht="15.75" customHeight="1">
      <c r="A15749" s="2" t="s">
        <v>15749</v>
      </c>
      <c r="B15749" s="2" t="str">
        <f>IFERROR(__xludf.DUMMYFUNCTION("GOOGLETRANSLATE(A15749, ""en"", ""mt"")"),"Min jiddisinja kemm il- ""50"" kif ukoll it-trofew?")</f>
        <v>Min jiddisinja kemm il- "50" kif ukoll it-trofew?</v>
      </c>
    </row>
    <row r="15750" ht="15.75" customHeight="1">
      <c r="A15750" s="2" t="s">
        <v>15750</v>
      </c>
      <c r="B15750" s="2" t="str">
        <f>IFERROR(__xludf.DUMMYFUNCTION("GOOGLETRANSLATE(A15750, ""en"", ""mt"")"),"Fejn kien jinsab iċ-ċentru tal-vettura spazjali bl-ekwipaġġ?")</f>
        <v>Fejn kien jinsab iċ-ċentru tal-vettura spazjali bl-ekwipaġġ?</v>
      </c>
    </row>
    <row r="15751" ht="15.75" customHeight="1">
      <c r="A15751" s="2" t="s">
        <v>15751</v>
      </c>
      <c r="B15751" s="2" t="str">
        <f>IFERROR(__xludf.DUMMYFUNCTION("GOOGLETRANSLATE(A15751, ""en"", ""mt"")"),"B'liema isem hija dik il-knisja Huguenot l-ewwel magħrufa llum?")</f>
        <v>B'liema isem hija dik il-knisja Huguenot l-ewwel magħrufa llum?</v>
      </c>
    </row>
    <row r="15752" ht="15.75" customHeight="1">
      <c r="A15752" s="2" t="s">
        <v>15752</v>
      </c>
      <c r="B15752" s="2" t="str">
        <f>IFERROR(__xludf.DUMMYFUNCTION("GOOGLETRANSLATE(A15752, ""en"", ""mt"")"),"Il-foresta tropikali tnaqqset għal refugia żgħira u iżolata separata minn foresta miftuħa u ħaxix")</f>
        <v>Il-foresta tropikali tnaqqset għal refugia żgħira u iżolata separata minn foresta miftuħa u ħaxix</v>
      </c>
    </row>
    <row r="15753" ht="15.75" customHeight="1">
      <c r="A15753" s="2" t="s">
        <v>15753</v>
      </c>
      <c r="B15753" s="2" t="str">
        <f>IFERROR(__xludf.DUMMYFUNCTION("GOOGLETRANSLATE(A15753, ""en"", ""mt"")"),"100-150")</f>
        <v>100-150</v>
      </c>
    </row>
    <row r="15754" ht="15.75" customHeight="1">
      <c r="A15754" s="2" t="s">
        <v>15754</v>
      </c>
      <c r="B15754" s="2" t="str">
        <f>IFERROR(__xludf.DUMMYFUNCTION("GOOGLETRANSLATE(A15754, ""en"", ""mt"")"),"żieda fid-daqs tal-input")</f>
        <v>żieda fid-daqs tal-input</v>
      </c>
    </row>
    <row r="15755" ht="15.75" customHeight="1">
      <c r="A15755" s="2" t="s">
        <v>15755</v>
      </c>
      <c r="B15755" s="2" t="str">
        <f>IFERROR(__xludf.DUMMYFUNCTION("GOOGLETRANSLATE(A15755, ""en"", ""mt"")"),"Duttrina Essenzjali tar-Riforma")</f>
        <v>Duttrina Essenzjali tar-Riforma</v>
      </c>
    </row>
    <row r="15756" ht="15.75" customHeight="1">
      <c r="A15756" s="2" t="s">
        <v>15756</v>
      </c>
      <c r="B15756" s="2" t="str">
        <f>IFERROR(__xludf.DUMMYFUNCTION("GOOGLETRANSLATE(A15756, ""en"", ""mt"")"),"Bojkottjar, tirrifjuta li tħallas it-taxxi, ipoġġu ins, u l-abbozzi li dodging kollha jagħmlu dak li hu diffiċli?")</f>
        <v>Bojkottjar, tirrifjuta li tħallas it-taxxi, ipoġġu ins, u l-abbozzi li dodging kollha jagħmlu dak li hu diffiċli?</v>
      </c>
    </row>
    <row r="15757" ht="15.75" customHeight="1">
      <c r="A15757" s="2" t="s">
        <v>15757</v>
      </c>
      <c r="B15757" s="2" t="str">
        <f>IFERROR(__xludf.DUMMYFUNCTION("GOOGLETRANSLATE(A15757, ""en"", ""mt"")"),"L-ossiġnu jikkondensa f'90.20 K (−182.95 ° C, −297.31 ° F), u jiffriża f'54.36 K (−218.79 ° C, −361.82 ° F). Kemm likwidu kif ukoll solidu o
2 huma sustanzi ċari b'kulur ċar blu-sema kkawżat minn assorbiment fl-aħmar (b'kuntrast mal-kulur blu tas-sema, li"&amp;" huwa dovut għat-tifrix ta 'rayleigh ta' dawl blu). Likwidu ta 'purità għolja o
2 ġeneralment jinkiseb bid-distillazzjoni frazzjonali ta 'l-arja likwifikata. L-ossiġnu likwidu jista 'jkun prodott ukoll minn kondensazzjoni barra mill-arja, bl-użu ta' nitro"&amp;"ġenu likwidu bħala likwidu li jkessaħ. Hija sustanza reattiva ħafna u għandha tkun segregata minn materjali kombustibbli.")</f>
        <v>L-ossiġnu jikkondensa f'90.20 K (−182.95 ° C, −297.31 ° F), u jiffriża f'54.36 K (−218.79 ° C, −361.82 ° F). Kemm likwidu kif ukoll solidu o
2 huma sustanzi ċari b'kulur ċar blu-sema kkawżat minn assorbiment fl-aħmar (b'kuntrast mal-kulur blu tas-sema, li huwa dovut għat-tifrix ta 'rayleigh ta' dawl blu). Likwidu ta 'purità għolja o
2 ġeneralment jinkiseb bid-distillazzjoni frazzjonali ta 'l-arja likwifikata. L-ossiġnu likwidu jista 'jkun prodott ukoll minn kondensazzjoni barra mill-arja, bl-użu ta' nitroġenu likwidu bħala likwidu li jkessaħ. Hija sustanza reattiva ħafna u għandha tkun segregata minn materjali kombustibbli.</v>
      </c>
    </row>
    <row r="15758" ht="15.75" customHeight="1">
      <c r="A15758" s="2" t="s">
        <v>15758</v>
      </c>
      <c r="B15758" s="2" t="str">
        <f>IFERROR(__xludf.DUMMYFUNCTION("GOOGLETRANSLATE(A15758, ""en"", ""mt"")"),"F’liema sena Harvard rebaħ kampjonat nazzjonali tal-Assoċjazzjoni Intercolleiate Sailing?")</f>
        <v>F’liema sena Harvard rebaħ kampjonat nazzjonali tal-Assoċjazzjoni Intercolleiate Sailing?</v>
      </c>
    </row>
    <row r="15759" ht="15.75" customHeight="1">
      <c r="A15759" s="2" t="s">
        <v>15759</v>
      </c>
      <c r="B15759" s="2" t="str">
        <f>IFERROR(__xludf.DUMMYFUNCTION("GOOGLETRANSLATE(A15759, ""en"", ""mt"")"),"Il-funzjoni ta 'ċelloli tal-memorja b'ħajja twila hija eżempju ta' x'tip ta 'rispons immuni?")</f>
        <v>Il-funzjoni ta 'ċelloli tal-memorja b'ħajja twila hija eżempju ta' x'tip ta 'rispons immuni?</v>
      </c>
    </row>
    <row r="15760" ht="15.75" customHeight="1">
      <c r="A15760" s="2" t="s">
        <v>15760</v>
      </c>
      <c r="B15760" s="2" t="str">
        <f>IFERROR(__xludf.DUMMYFUNCTION("GOOGLETRANSLATE(A15760, ""en"", ""mt"")"),"Knisja Kattolika fi Franza")</f>
        <v>Knisja Kattolika fi Franza</v>
      </c>
    </row>
    <row r="15761" ht="15.75" customHeight="1">
      <c r="A15761" s="2" t="s">
        <v>15761</v>
      </c>
      <c r="B15761" s="2" t="str">
        <f>IFERROR(__xludf.DUMMYFUNCTION("GOOGLETRANSLATE(A15761, ""en"", ""mt"")"),"F'Ġunju tal-1884, fejn marret Tesla?")</f>
        <v>F'Ġunju tal-1884, fejn marret Tesla?</v>
      </c>
    </row>
    <row r="15762" ht="15.75" customHeight="1">
      <c r="A15762" s="2" t="s">
        <v>15762</v>
      </c>
      <c r="B15762" s="2" t="str">
        <f>IFERROR(__xludf.DUMMYFUNCTION("GOOGLETRANSLATE(A15762, ""en"", ""mt"")"),"Mill-fondazzjoni tagħha, it-trattati fittxew li jippermettu lin-nies isegwu l-għanijiet tal-ħajja tagħhom fi kwalunkwe pajjiż permezz ta 'moviment liberu. Jirriflettu n-natura ekonomika tal-proġett, il-komunità Ewropea oriġinarjament iffokata fuq il-movim"&amp;"ent liberu tal-ħaddiema: bħala ""fattur ta 'produzzjoni"". Madankollu, mis-snin sebgħin, din il-fokus inbidlet lejn l-iżvilupp ta 'Ewropa aktar ""soċjali"". Il-moviment liberu kien dejjem aktar ibbażat fuq ""ċittadinanza"", sabiex in-nies kellhom id-dritt"&amp;"ijiet biex jagħtuhom is-setgħa biex isiru attivi ekonomikament u soċjalment, aktar milli attività ekonomika li tkun prekundizzjoni għad-drittijiet. Dan ifisser li d-drittijiet bażiċi ""tal-ħaddiem"" fl-Artikolu 45 tat-TFEU jiffunzjonaw bħala espressjoni s"&amp;"peċifika tad-drittijiet ġenerali taċ-ċittadini fl-Artikoli TFEU 18 sa 21. Skond il-Qorti tal-Ġustizzja, ""ħaddiem"" huwa kull min hu ekonomikament attiv, li jinkludi Kulħadd f'relazzjoni ta 'impjieg, ""taħt id-direzzjoni ta' persuna oħra"" għal ""remunera"&amp;"zzjoni"". Xogħol, madankollu, m'għandux għalfejn jitħallas fi flus biex xi ħadd ikun protett bħala ħaddiem. Pereżempju, fi Steymann v Staatssecretaris van Justitie, raġel Ġermaniż iddikjara d-dritt għar-residenza fl-Olanda, waqt li kien volontarju għall-p"&amp;"lumbing u d-dmirijiet tad-dar fil-komunità ta 'Bhagwan, li pprovda għall-ħtiġijiet materjali ta' kulħadd irrispettivament mill-kontribuzzjonijiet tagħhom. Il-Qorti tal-Ġustizzja ddeċidiet li s-Sur Steymann kien intitolat li jibqa ', sakemm kien hemm mill-"&amp;"inqas ""indirett quid pro quo"" għax-xogħol li għamel. Li jkollok status ta '""ħaddiem"" tfisser protezzjoni kontra kull forma ta' diskriminazzjoni mill-gvernijiet, u min iħaddem, f'aċċess għad-drittijiet tal-impjieg, tat-taxxa u tas-sigurtà soċjali. B'ku"&amp;"ntrast ma 'ċittadin, li huwa ""kwalunkwe persuna li għandha n-nazzjonalità ta' Stat Membru"" (l-Artikolu 20 (1) TFEU), għandha drittijiet li tfittex xogħol, tivvota fl-elezzjonijiet lokali u Ewropej, iżda drittijiet aktar ristretti biex titlob is-Sigurtà "&amp;"Soċjali. Fil-prattika, il-moviment liberu sar politikament kontenzjuż hekk kif il-partiti politiċi nazzjonalisti mmanipulaw biżgħat dwar l-immigranti li jneħħu l-impjiegi u l-benefiċċji tan-nies (paradossalment fl-istess ħin). Madankollu, prattikament ""i"&amp;"r-riċerka disponibbli kollha ssib ftit impatt"" ta '""mobilità tax-xogħol fuq il-pagi u l-impjiegi ta' ħaddiema lokali"".")</f>
        <v>Mill-fondazzjoni tagħha, it-trattati fittxew li jippermettu lin-nies isegwu l-għanijiet tal-ħajja tagħhom fi kwalunkwe pajjiż permezz ta 'moviment liberu. Jirriflettu n-natura ekonomika tal-proġett, il-komunità Ewropea oriġinarjament iffokata fuq il-moviment liberu tal-ħaddiema: bħala "fattur ta 'produzzjoni". Madankollu, mis-snin sebgħin, din il-fokus inbidlet lejn l-iżvilupp ta 'Ewropa aktar "soċjali". Il-moviment liberu kien dejjem aktar ibbażat fuq "ċittadinanza", sabiex in-nies kellhom id-drittijiet biex jagħtuhom is-setgħa biex isiru attivi ekonomikament u soċjalment, aktar milli attività ekonomika li tkun prekundizzjoni għad-drittijiet. Dan ifisser li d-drittijiet bażiċi "tal-ħaddiem" fl-Artikolu 45 tat-TFEU jiffunzjonaw bħala espressjoni speċifika tad-drittijiet ġenerali taċ-ċittadini fl-Artikoli TFEU 18 sa 21. Skond il-Qorti tal-Ġustizzja, "ħaddiem" huwa kull min hu ekonomikament attiv, li jinkludi Kulħadd f'relazzjoni ta 'impjieg, "taħt id-direzzjoni ta' persuna oħra" għal "remunerazzjoni". Xogħol, madankollu, m'għandux għalfejn jitħallas fi flus biex xi ħadd ikun protett bħala ħaddiem. Pereżempju, fi Steymann v Staatssecretaris van Justitie, raġel Ġermaniż iddikjara d-dritt għar-residenza fl-Olanda, waqt li kien volontarju għall-plumbing u d-dmirijiet tad-dar fil-komunità ta 'Bhagwan, li pprovda għall-ħtiġijiet materjali ta' kulħadd irrispettivament mill-kontribuzzjonijiet tagħhom. Il-Qorti tal-Ġustizzja ddeċidiet li s-Sur Steymann kien intitolat li jibqa ', sakemm kien hemm mill-inqas "indirett quid pro quo" għax-xogħol li għamel. Li jkollok status ta '"ħaddiem" tfisser protezzjoni kontra kull forma ta' diskriminazzjoni mill-gvernijiet, u min iħaddem, f'aċċess għad-drittijiet tal-impjieg, tat-taxxa u tas-sigurtà soċjali. B'kuntrast ma 'ċittadin, li huwa "kwalunkwe persuna li għandha n-nazzjonalità ta' Stat Membru" (l-Artikolu 20 (1) TFEU), għandha drittijiet li tfittex xogħol, tivvota fl-elezzjonijiet lokali u Ewropej, iżda drittijiet aktar ristretti biex titlob is-Sigurtà Soċjali. Fil-prattika, il-moviment liberu sar politikament kontenzjuż hekk kif il-partiti politiċi nazzjonalisti mmanipulaw biżgħat dwar l-immigranti li jneħħu l-impjiegi u l-benefiċċji tan-nies (paradossalment fl-istess ħin). Madankollu, prattikament "ir-riċerka disponibbli kollha ssib ftit impatt" ta '"mobilità tax-xogħol fuq il-pagi u l-impjiegi ta' ħaddiema lokali".</v>
      </c>
    </row>
    <row r="15763" ht="15.75" customHeight="1">
      <c r="A15763" s="2" t="s">
        <v>15763</v>
      </c>
      <c r="B15763" s="2" t="str">
        <f>IFERROR(__xludf.DUMMYFUNCTION("GOOGLETRANSLATE(A15763, ""en"", ""mt"")"),"Liema arma tuża Spike Milligan kontra Dalek?")</f>
        <v>Liema arma tuża Spike Milligan kontra Dalek?</v>
      </c>
    </row>
    <row r="15764" ht="15.75" customHeight="1">
      <c r="A15764" s="2" t="s">
        <v>15764</v>
      </c>
      <c r="B15764" s="2" t="str">
        <f>IFERROR(__xludf.DUMMYFUNCTION("GOOGLETRANSLATE(A15764, ""en"", ""mt"")"),"razza finanzjarja")</f>
        <v>razza finanzjarja</v>
      </c>
    </row>
    <row r="15765" ht="15.75" customHeight="1">
      <c r="A15765" s="2" t="s">
        <v>15765</v>
      </c>
      <c r="B15765" s="2" t="str">
        <f>IFERROR(__xludf.DUMMYFUNCTION("GOOGLETRANSLATE(A15765, ""en"", ""mt"")"),"Meta Tamara żżewweġ avukat?")</f>
        <v>Meta Tamara żżewweġ avukat?</v>
      </c>
    </row>
    <row r="15766" ht="15.75" customHeight="1">
      <c r="A15766" s="2" t="s">
        <v>15766</v>
      </c>
      <c r="B15766" s="2" t="str">
        <f>IFERROR(__xludf.DUMMYFUNCTION("GOOGLETRANSLATE(A15766, ""en"", ""mt"")"),"Qu")</f>
        <v>Qu</v>
      </c>
    </row>
    <row r="15767" ht="15.75" customHeight="1">
      <c r="A15767" s="2" t="s">
        <v>15767</v>
      </c>
      <c r="B15767" s="2" t="str">
        <f>IFERROR(__xludf.DUMMYFUNCTION("GOOGLETRANSLATE(A15767, ""en"", ""mt"")"),"Liema sena l-konsolidazzjoni kkawżat lil Jacksonville biex issir parti mill-Kontea ta 'Duval?")</f>
        <v>Liema sena l-konsolidazzjoni kkawżat lil Jacksonville biex issir parti mill-Kontea ta 'Duval?</v>
      </c>
    </row>
    <row r="15768" ht="15.75" customHeight="1">
      <c r="A15768" s="2" t="s">
        <v>15768</v>
      </c>
      <c r="B15768" s="2" t="str">
        <f>IFERROR(__xludf.DUMMYFUNCTION("GOOGLETRANSLATE(A15768, ""en"", ""mt"")"),"San Ġwann")</f>
        <v>San Ġwann</v>
      </c>
    </row>
    <row r="15769" ht="15.75" customHeight="1">
      <c r="A15769" s="2" t="s">
        <v>15769</v>
      </c>
      <c r="B15769" s="2" t="str">
        <f>IFERROR(__xludf.DUMMYFUNCTION("GOOGLETRANSLATE(A15769, ""en"", ""mt"")"),"Iċ-Ċentru tax-Xiri tal-Pjazza Eldon")</f>
        <v>Iċ-Ċentru tax-Xiri tal-Pjazza Eldon</v>
      </c>
    </row>
    <row r="15770" ht="15.75" customHeight="1">
      <c r="A15770" s="2" t="s">
        <v>15770</v>
      </c>
      <c r="B15770" s="2" t="str">
        <f>IFERROR(__xludf.DUMMYFUNCTION("GOOGLETRANSLATE(A15770, ""en"", ""mt"")"),"Il-Kolonja tal-Ġeorġja")</f>
        <v>Il-Kolonja tal-Ġeorġja</v>
      </c>
    </row>
    <row r="15771" ht="15.75" customHeight="1">
      <c r="A15771" s="2" t="s">
        <v>15771</v>
      </c>
      <c r="B15771" s="2" t="str">
        <f>IFERROR(__xludf.DUMMYFUNCTION("GOOGLETRANSLATE(A15771, ""en"", ""mt"")"),"il-kunċett tal-forza")</f>
        <v>il-kunċett tal-forza</v>
      </c>
    </row>
    <row r="15772" ht="15.75" customHeight="1">
      <c r="A15772" s="2" t="s">
        <v>15772</v>
      </c>
      <c r="B15772" s="2" t="str">
        <f>IFERROR(__xludf.DUMMYFUNCTION("GOOGLETRANSLATE(A15772, ""en"", ""mt"")"),"Ulemas")</f>
        <v>Ulemas</v>
      </c>
    </row>
    <row r="15773" ht="15.75" customHeight="1">
      <c r="A15773" s="2" t="s">
        <v>15773</v>
      </c>
      <c r="B15773" s="2" t="str">
        <f>IFERROR(__xludf.DUMMYFUNCTION("GOOGLETRANSLATE(A15773, ""en"", ""mt"")"),"Min hu mistenni li jmexxi l-familja fil-mentoring spiritwali?")</f>
        <v>Min hu mistenni li jmexxi l-familja fil-mentoring spiritwali?</v>
      </c>
    </row>
    <row r="15774" ht="15.75" customHeight="1">
      <c r="A15774" s="2" t="s">
        <v>15774</v>
      </c>
      <c r="B15774" s="2" t="str">
        <f>IFERROR(__xludf.DUMMYFUNCTION("GOOGLETRANSLATE(A15774, ""en"", ""mt"")"),"Il-fidi hija dik li ġġib l-Ispirtu s-Santu permezz tal-mertu ta ’Kristu")</f>
        <v>Il-fidi hija dik li ġġib l-Ispirtu s-Santu permezz tal-mertu ta ’Kristu</v>
      </c>
    </row>
    <row r="15775" ht="15.75" customHeight="1">
      <c r="A15775" s="2" t="s">
        <v>15775</v>
      </c>
      <c r="B15775" s="2" t="str">
        <f>IFERROR(__xludf.DUMMYFUNCTION("GOOGLETRANSLATE(A15775, ""en"", ""mt"")"),"Minflok il-fjuwil, x'inhu ossiġnu għal nar?")</f>
        <v>Minflok il-fjuwil, x'inhu ossiġnu għal nar?</v>
      </c>
    </row>
    <row r="15776" ht="15.75" customHeight="1">
      <c r="A15776" s="2" t="s">
        <v>15776</v>
      </c>
      <c r="B15776" s="2" t="str">
        <f>IFERROR(__xludf.DUMMYFUNCTION("GOOGLETRANSLATE(A15776, ""en"", ""mt"")"),"inaqqsu")</f>
        <v>inaqqsu</v>
      </c>
    </row>
    <row r="15777" ht="15.75" customHeight="1">
      <c r="A15777" s="2" t="s">
        <v>15777</v>
      </c>
      <c r="B15777" s="2" t="str">
        <f>IFERROR(__xludf.DUMMYFUNCTION("GOOGLETRANSLATE(A15777, ""en"", ""mt"")"),"Fis-snin 30, ir-radju fl-Istati Uniti kien iddominat minn tliet kumpaniji: is-Sistema tax-Xandir ta 'Columbia (CBS), is-Sistema ta' Xandir Reċiproku u l-Kumpanija Nazzjonali tax-Xandir (NBC). L-aħħar kienet proprjetà tal-manifattur tal-elettronika Radio C"&amp;"orporation of America (RCA), li kienet proprjetà ta ’żewġ netwerks tar-radju li kull ġera varjetajiet differenti ta’ programmazzjoni, NBC Blue u NBC Red. In-Netwerk Blu tal-NBC inħoloq fl-1927 għall-iskop primarju li jiġu ttestjati programmi ġodda fis-swi"&amp;"eq ta 'importanza inqas minn dawk servuti minn NBC Red, li serva l-ibliet il-kbar, u biex jittestja s-serje tad-drama.")</f>
        <v>Fis-snin 30, ir-radju fl-Istati Uniti kien iddominat minn tliet kumpaniji: is-Sistema tax-Xandir ta 'Columbia (CBS), is-Sistema ta' Xandir Reċiproku u l-Kumpanija Nazzjonali tax-Xandir (NBC). L-aħħar kienet proprjetà tal-manifattur tal-elettronika Radio Corporation of America (RCA), li kienet proprjetà ta ’żewġ netwerks tar-radju li kull ġera varjetajiet differenti ta’ programmazzjoni, NBC Blue u NBC Red. In-Netwerk Blu tal-NBC inħoloq fl-1927 għall-iskop primarju li jiġu ttestjati programmi ġodda fis-swieq ta 'importanza inqas minn dawk servuti minn NBC Red, li serva l-ibliet il-kbar, u biex jittestja s-serje tad-drama.</v>
      </c>
    </row>
    <row r="15778" ht="15.75" customHeight="1">
      <c r="A15778" s="2" t="s">
        <v>15778</v>
      </c>
      <c r="B15778" s="2" t="str">
        <f>IFERROR(__xludf.DUMMYFUNCTION("GOOGLETRANSLATE(A15778, ""en"", ""mt"")"),"Mill-2009 'il quddiem")</f>
        <v>Mill-2009 'il quddiem</v>
      </c>
    </row>
    <row r="15779" ht="15.75" customHeight="1">
      <c r="A15779" s="2" t="s">
        <v>15779</v>
      </c>
      <c r="B15779" s="2" t="str">
        <f>IFERROR(__xludf.DUMMYFUNCTION("GOOGLETRANSLATE(A15779, ""en"", ""mt"")"),"tagħti lil ħuha Polynices difna xierqa")</f>
        <v>tagħti lil ħuha Polynices difna xierqa</v>
      </c>
    </row>
    <row r="15780" ht="15.75" customHeight="1">
      <c r="A15780" s="2" t="s">
        <v>15780</v>
      </c>
      <c r="B15780" s="2" t="str">
        <f>IFERROR(__xludf.DUMMYFUNCTION("GOOGLETRANSLATE(A15780, ""en"", ""mt"")"),"X’sejjaħ id-Davies lis-sistema tiegħu")</f>
        <v>X’sejjaħ id-Davies lis-sistema tiegħu</v>
      </c>
    </row>
    <row r="15781" ht="15.75" customHeight="1">
      <c r="A15781" s="2" t="s">
        <v>15781</v>
      </c>
      <c r="B15781" s="2" t="str">
        <f>IFERROR(__xludf.DUMMYFUNCTION("GOOGLETRANSLATE(A15781, ""en"", ""mt"")"),"X'tip ta 'wirjiet intużaw bħala kontrogrammazzjoni minn ABC fil-ħarifa ta' l-1959?")</f>
        <v>X'tip ta 'wirjiet intużaw bħala kontrogrammazzjoni minn ABC fil-ħarifa ta' l-1959?</v>
      </c>
    </row>
    <row r="15782" ht="15.75" customHeight="1">
      <c r="A15782" s="2" t="s">
        <v>15782</v>
      </c>
      <c r="B15782" s="2" t="str">
        <f>IFERROR(__xludf.DUMMYFUNCTION("GOOGLETRANSLATE(A15782, ""en"", ""mt"")"),"Min żied ir-riżorsi militari Ingliżi fil-kolonji?")</f>
        <v>Min żied ir-riżorsi militari Ingliżi fil-kolonji?</v>
      </c>
    </row>
    <row r="15783" ht="15.75" customHeight="1">
      <c r="A15783" s="2" t="s">
        <v>15783</v>
      </c>
      <c r="B15783" s="2" t="str">
        <f>IFERROR(__xludf.DUMMYFUNCTION("GOOGLETRANSLATE(A15783, ""en"", ""mt"")"),"rovina lilu")</f>
        <v>rovina lilu</v>
      </c>
    </row>
    <row r="15784" ht="15.75" customHeight="1">
      <c r="A15784" s="2" t="s">
        <v>15784</v>
      </c>
      <c r="B15784" s="2" t="str">
        <f>IFERROR(__xludf.DUMMYFUNCTION("GOOGLETRANSLATE(A15784, ""en"", ""mt"")"),"F'liema post seħħet is-Super Bowl XIX?")</f>
        <v>F'liema post seħħet is-Super Bowl XIX?</v>
      </c>
    </row>
    <row r="15785" ht="15.75" customHeight="1">
      <c r="A15785" s="2" t="s">
        <v>15785</v>
      </c>
      <c r="B15785" s="2" t="str">
        <f>IFERROR(__xludf.DUMMYFUNCTION("GOOGLETRANSLATE(A15785, ""en"", ""mt"")"),"Għal xiex skużat l-IPCC?")</f>
        <v>Għal xiex skużat l-IPCC?</v>
      </c>
    </row>
    <row r="15786" ht="15.75" customHeight="1">
      <c r="A15786" s="2" t="s">
        <v>15786</v>
      </c>
      <c r="B15786" s="2" t="str">
        <f>IFERROR(__xludf.DUMMYFUNCTION("GOOGLETRANSLATE(A15786, ""en"", ""mt"")"),"F’inċident ieħor, għall-ħabta tal-1177, huwa nqabad f’raid u żamm priġunier mill-ex alleati ta ’missieru, it-Tayichi'ud. It-Tayichi'ud skjavja lil Temüjin (allegatament ma 'cangue, tip ta' ħażniet portabbli), iżda bl-għajnuna ta 'gwardja simpatetika, il-m"&amp;"issier ta' Chilaun (li aktar tard sar ġenerali ta 'Genghis Khan), huwa kien kapaċi jaħrab mill- Ger (yurt) f'nofs il-lejl billi ħeba fix-xmara tax-xmara. [Ċitazzjoni meħtieġa] Kien madwar dan iż-żmien li Jelme u Bo'orchu, tnejn mill-ġeneral futuri ta 'Gen"&amp;"ghis Khan, ingħaqdu miegħu. Ir-reputazzjoni ta 'Temüjin saret ukoll mifruxa wara l-ħarba tiegħu mit-Tayichi'ud.")</f>
        <v>F’inċident ieħor, għall-ħabta tal-1177, huwa nqabad f’raid u żamm priġunier mill-ex alleati ta ’missieru, it-Tayichi'ud. It-Tayichi'ud skjavja lil Temüjin (allegatament ma 'cangue, tip ta' ħażniet portabbli), iżda bl-għajnuna ta 'gwardja simpatetika, il-missier ta' Chilaun (li aktar tard sar ġenerali ta 'Genghis Khan), huwa kien kapaċi jaħrab mill- Ger (yurt) f'nofs il-lejl billi ħeba fix-xmara tax-xmara. [Ċitazzjoni meħtieġa] Kien madwar dan iż-żmien li Jelme u Bo'orchu, tnejn mill-ġeneral futuri ta 'Genghis Khan, ingħaqdu miegħu. Ir-reputazzjoni ta 'Temüjin saret ukoll mifruxa wara l-ħarba tiegħu mit-Tayichi'ud.</v>
      </c>
    </row>
    <row r="15787" ht="15.75" customHeight="1">
      <c r="A15787" s="2" t="s">
        <v>15787</v>
      </c>
      <c r="B15787" s="2" t="str">
        <f>IFERROR(__xludf.DUMMYFUNCTION("GOOGLETRANSLATE(A15787, ""en"", ""mt"")"),"Mill-1974, ABC ġeneralment xandar lil Rockin 'Eve tas-Sena l-Ġdida ta' Dick Clark fil-Lejliet tas-Sena (ospitat l-ewwel mill-kreatur tagħha Dick Clark, u aktar tard mis-suċċessur tiegħu Ryan Seacrest); L-unika eċċezzjoni kienet fl-1999, meta ABC poġġieha "&amp;"fuq hiatus ta 'sena biex tipprovdi kopertura tal-festi tal-millennju internazzjonali, għalkemm il-countdown tradizzjonali ta' Clark minn Times Square kien għadu jidher fil-kopertura. ABC xandar ukoll il-Pageant Miss America mill-1954 sal-1956, l-1997 sal-"&amp;"2005 (bid-drittijiet tat-televiżjoni jiġu assunti mill-cable Channel TLC fl-2006, meta l-pageant marret mill-homebase tagħha għal żmien twil f'Atlantic City għal Las Vegas, qabel ma rritornat lejn Atlantic City Fl-2013) u mill-2011. Taħt il-kuntratt attwa"&amp;"li tagħha mal-Organizzazzjoni Miss America, ABC se tkompli xandar il-pageant sal-2016.")</f>
        <v>Mill-1974, ABC ġeneralment xandar lil Rockin 'Eve tas-Sena l-Ġdida ta' Dick Clark fil-Lejliet tas-Sena (ospitat l-ewwel mill-kreatur tagħha Dick Clark, u aktar tard mis-suċċessur tiegħu Ryan Seacrest); L-unika eċċezzjoni kienet fl-1999, meta ABC poġġieha fuq hiatus ta 'sena biex tipprovdi kopertura tal-festi tal-millennju internazzjonali, għalkemm il-countdown tradizzjonali ta' Clark minn Times Square kien għadu jidher fil-kopertura. ABC xandar ukoll il-Pageant Miss America mill-1954 sal-1956, l-1997 sal-2005 (bid-drittijiet tat-televiżjoni jiġu assunti mill-cable Channel TLC fl-2006, meta l-pageant marret mill-homebase tagħha għal żmien twil f'Atlantic City għal Las Vegas, qabel ma rritornat lejn Atlantic City Fl-2013) u mill-2011. Taħt il-kuntratt attwali tagħha mal-Organizzazzjoni Miss America, ABC se tkompli xandar il-pageant sal-2016.</v>
      </c>
    </row>
    <row r="15788" ht="15.75" customHeight="1">
      <c r="A15788" s="2" t="s">
        <v>15788</v>
      </c>
      <c r="B15788" s="2" t="str">
        <f>IFERROR(__xludf.DUMMYFUNCTION("GOOGLETRANSLATE(A15788, ""en"", ""mt"")"),"26,000 kilometru kwadru")</f>
        <v>26,000 kilometru kwadru</v>
      </c>
    </row>
    <row r="15789" ht="15.75" customHeight="1">
      <c r="A15789" s="2" t="s">
        <v>15789</v>
      </c>
      <c r="B15789" s="2" t="str">
        <f>IFERROR(__xludf.DUMMYFUNCTION("GOOGLETRANSLATE(A15789, ""en"", ""mt"")"),"X'tip ta 'gwerra appoġġ Luther kontra t-Torok, anke jekk ma opponax gwerra reliġjuża?")</f>
        <v>X'tip ta 'gwerra appoġġ Luther kontra t-Torok, anke jekk ma opponax gwerra reliġjuża?</v>
      </c>
    </row>
    <row r="15790" ht="15.75" customHeight="1">
      <c r="A15790" s="2" t="s">
        <v>15790</v>
      </c>
      <c r="B15790" s="2" t="str">
        <f>IFERROR(__xludf.DUMMYFUNCTION("GOOGLETRANSLATE(A15790, ""en"", ""mt"")"),"In-numru atomiku tat-tabella perjodika għall-ossiġnu?")</f>
        <v>In-numru atomiku tat-tabella perjodika għall-ossiġnu?</v>
      </c>
    </row>
    <row r="15791" ht="15.75" customHeight="1">
      <c r="A15791" s="2" t="s">
        <v>15791</v>
      </c>
      <c r="B15791" s="2" t="str">
        <f>IFERROR(__xludf.DUMMYFUNCTION("GOOGLETRANSLATE(A15791, ""en"", ""mt"")"),"""id-dot""")</f>
        <v>"id-dot"</v>
      </c>
    </row>
    <row r="15792" ht="15.75" customHeight="1">
      <c r="A15792" s="2" t="s">
        <v>15792</v>
      </c>
      <c r="B15792" s="2" t="str">
        <f>IFERROR(__xludf.DUMMYFUNCTION("GOOGLETRANSLATE(A15792, ""en"", ""mt"")"),"Separazzjoni Ekonomika")</f>
        <v>Separazzjoni Ekonomika</v>
      </c>
    </row>
    <row r="15793" ht="15.75" customHeight="1">
      <c r="A15793" s="2" t="s">
        <v>15793</v>
      </c>
      <c r="B15793" s="2" t="str">
        <f>IFERROR(__xludf.DUMMYFUNCTION("GOOGLETRANSLATE(A15793, ""en"", ""mt"")"),"X'inhu isem ieħor għat-tagħlim fi ħdan il-familja?")</f>
        <v>X'inhu isem ieħor għat-tagħlim fi ħdan il-familja?</v>
      </c>
    </row>
    <row r="15794" ht="15.75" customHeight="1">
      <c r="A15794" s="2" t="s">
        <v>15794</v>
      </c>
      <c r="B15794" s="2" t="str">
        <f>IFERROR(__xludf.DUMMYFUNCTION("GOOGLETRANSLATE(A15794, ""en"", ""mt"")"),"Invażjoni tal-Imperu Khwarezmid")</f>
        <v>Invażjoni tal-Imperu Khwarezmid</v>
      </c>
    </row>
    <row r="15795" ht="15.75" customHeight="1">
      <c r="A15795" s="2" t="s">
        <v>15795</v>
      </c>
      <c r="B15795" s="2" t="str">
        <f>IFERROR(__xludf.DUMMYFUNCTION("GOOGLETRANSLATE(A15795, ""en"", ""mt"")"),"Storikament, il-Knisja Metodista appoġġat il-moviment tat-tempra. John Wesley wissa kontra l-perikli tax-xorb fil-priedka famuża tiegħu, ""l-użu tal-flus,"" u fl-ittra tiegħu lil alkoħoliku. F’ħin minnhom, il-ministri Metodisti kellhom jieħdu wegħda li ma"&amp;" jixorbux u jħeġġu lill-kongregazzjonijiet tagħhom biex jagħmlu l-istess. Illum il-Knisja Metodista Magħquda tiddikjara li ""tafferma l-appoġġ ta 'l-astinenza li ilha għaddejja mill-alkoħol bħala xhud leali għal Alla li jillibera u jifdi l-imħabba għall-p"&amp;"ersuni."" Fil-fatt, il-Knisja Metodista Magħquda tuża meraq tal-għeneb mhux iffermentat fis-sagrament tat-Tqarbin Imqaddes, u b'hekk ""tesprimi tħassib pastorali għall-irkupru tal-alkoħoliċi, li tippermetti l-parteċipazzjoni tat-tfal u ż-żgħażagħ, u tappo"&amp;"ġġja x-xhieda tal-knisja ta 'astinenza."" Barra minn hekk, fl-2011 u fl-2012, il-Bord Ġenerali tal-Knisja u s-Soċjetà tal-Knisja Metodista Magħquda talab lill-Metodisti Magħquda kollha biex jastjenu mill-alkoħol għar-Randan.")</f>
        <v>Storikament, il-Knisja Metodista appoġġat il-moviment tat-tempra. John Wesley wissa kontra l-perikli tax-xorb fil-priedka famuża tiegħu, "l-użu tal-flus," u fl-ittra tiegħu lil alkoħoliku. F’ħin minnhom, il-ministri Metodisti kellhom jieħdu wegħda li ma jixorbux u jħeġġu lill-kongregazzjonijiet tagħhom biex jagħmlu l-istess. Illum il-Knisja Metodista Magħquda tiddikjara li "tafferma l-appoġġ ta 'l-astinenza li ilha għaddejja mill-alkoħol bħala xhud leali għal Alla li jillibera u jifdi l-imħabba għall-persuni." Fil-fatt, il-Knisja Metodista Magħquda tuża meraq tal-għeneb mhux iffermentat fis-sagrament tat-Tqarbin Imqaddes, u b'hekk "tesprimi tħassib pastorali għall-irkupru tal-alkoħoliċi, li tippermetti l-parteċipazzjoni tat-tfal u ż-żgħażagħ, u tappoġġja x-xhieda tal-knisja ta 'astinenza." Barra minn hekk, fl-2011 u fl-2012, il-Bord Ġenerali tal-Knisja u s-Soċjetà tal-Knisja Metodista Magħquda talab lill-Metodisti Magħquda kollha biex jastjenu mill-alkoħol għar-Randan.</v>
      </c>
    </row>
    <row r="15796" ht="15.75" customHeight="1">
      <c r="A15796" s="2" t="s">
        <v>15796</v>
      </c>
      <c r="B15796" s="2" t="str">
        <f>IFERROR(__xludf.DUMMYFUNCTION("GOOGLETRANSLATE(A15796, ""en"", ""mt"")"),"Ħlas ta 'kull xahar")</f>
        <v>Ħlas ta 'kull xahar</v>
      </c>
    </row>
    <row r="15797" ht="15.75" customHeight="1">
      <c r="A15797" s="2" t="s">
        <v>15797</v>
      </c>
      <c r="B15797" s="2" t="str">
        <f>IFERROR(__xludf.DUMMYFUNCTION("GOOGLETRANSLATE(A15797, ""en"", ""mt"")"),"Il-bżonnijiet ta 'min se jissodisfa t-tkabbir fl-informatika tal-ispiżerija?")</f>
        <v>Il-bżonnijiet ta 'min se jissodisfa t-tkabbir fl-informatika tal-ispiżerija?</v>
      </c>
    </row>
    <row r="15798" ht="15.75" customHeight="1">
      <c r="A15798" s="2" t="s">
        <v>15798</v>
      </c>
      <c r="B15798" s="2" t="str">
        <f>IFERROR(__xludf.DUMMYFUNCTION("GOOGLETRANSLATE(A15798, ""en"", ""mt"")"),"Kif jaġixxu l-forzi ċentripetali fir-rigward ta 'vettori tal-veloċità?")</f>
        <v>Kif jaġixxu l-forzi ċentripetali fir-rigward ta 'vettori tal-veloċità?</v>
      </c>
    </row>
    <row r="15799" ht="15.75" customHeight="1">
      <c r="A15799" s="2" t="s">
        <v>15799</v>
      </c>
      <c r="B15799" s="2" t="str">
        <f>IFERROR(__xludf.DUMMYFUNCTION("GOOGLETRANSLATE(A15799, ""en"", ""mt"")"),"Ażjatiċi, Afrikani u Karibew")</f>
        <v>Ażjatiċi, Afrikani u Karibew</v>
      </c>
    </row>
    <row r="15800" ht="15.75" customHeight="1">
      <c r="A15800" s="2" t="s">
        <v>15800</v>
      </c>
      <c r="B15800" s="2" t="str">
        <f>IFERROR(__xludf.DUMMYFUNCTION("GOOGLETRANSLATE(A15800, ""en"", ""mt"")"),"reżistenti għan-nar")</f>
        <v>reżistenti għan-nar</v>
      </c>
    </row>
    <row r="15801" ht="15.75" customHeight="1">
      <c r="A15801" s="2" t="s">
        <v>15801</v>
      </c>
      <c r="B15801" s="2" t="str">
        <f>IFERROR(__xludf.DUMMYFUNCTION("GOOGLETRANSLATE(A15801, ""en"", ""mt"")"),"Diffie - Hellman")</f>
        <v>Diffie - Hellman</v>
      </c>
    </row>
    <row r="15802" ht="15.75" customHeight="1">
      <c r="A15802" s="2" t="s">
        <v>15802</v>
      </c>
      <c r="B15802" s="2" t="str">
        <f>IFERROR(__xludf.DUMMYFUNCTION("GOOGLETRANSLATE(A15802, ""en"", ""mt"")"),"L-akbar sors ta 'investiment dirett barrani tal-Kenja")</f>
        <v>L-akbar sors ta 'investiment dirett barrani tal-Kenja</v>
      </c>
    </row>
    <row r="15803" ht="15.75" customHeight="1">
      <c r="A15803" s="2" t="s">
        <v>15803</v>
      </c>
      <c r="B15803" s="2" t="str">
        <f>IFERROR(__xludf.DUMMYFUNCTION("GOOGLETRANSLATE(A15803, ""en"", ""mt"")"),"Filwaqt li l-biċċa l-kbira tal-ispiżeriji tal-internet ibigħu mediċini bir-riċetta u jeħtieġu preskrizzjoni valida, xi spiżeriji tal-internet ibigħu mediċini bir-riċetta mingħajr ma jeħtieġu riċetta. Bosta klijenti jordnaw mediċini minn spiżeriji bħal daw"&amp;"n biex jevitaw l- ""inkonvenjent"" li jżuru tabib jew biex jiksbu mediċini li t-tobba tagħhom ma riedux jippreskrivu. Madankollu, din il-prattika ġiet ikkritikata bħala potenzjalment perikoluża, speċjalment minn dawk li jħossu li t-tobba biss jistgħu jivv"&amp;"alutaw b'mod affidabbli kontra-indikazzjonijiet, proporzjonijiet ta 'riskju / benefiċċju, u l-adegwatezza ġenerali ta' individwu għall-użu ta 'medikazzjoni. Kien hemm ukoll rapporti ta 'spiżeriji bħal dawn li jqassmu prodotti mhux standard.")</f>
        <v>Filwaqt li l-biċċa l-kbira tal-ispiżeriji tal-internet ibigħu mediċini bir-riċetta u jeħtieġu preskrizzjoni valida, xi spiżeriji tal-internet ibigħu mediċini bir-riċetta mingħajr ma jeħtieġu riċetta. Bosta klijenti jordnaw mediċini minn spiżeriji bħal dawn biex jevitaw l- "inkonvenjent" li jżuru tabib jew biex jiksbu mediċini li t-tobba tagħhom ma riedux jippreskrivu. Madankollu, din il-prattika ġiet ikkritikata bħala potenzjalment perikoluża, speċjalment minn dawk li jħossu li t-tobba biss jistgħu jivvalutaw b'mod affidabbli kontra-indikazzjonijiet, proporzjonijiet ta 'riskju / benefiċċju, u l-adegwatezza ġenerali ta' individwu għall-użu ta 'medikazzjoni. Kien hemm ukoll rapporti ta 'spiżeriji bħal dawn li jqassmu prodotti mhux standard.</v>
      </c>
    </row>
    <row r="15804" ht="15.75" customHeight="1">
      <c r="A15804" s="2" t="s">
        <v>15804</v>
      </c>
      <c r="B15804" s="2" t="str">
        <f>IFERROR(__xludf.DUMMYFUNCTION("GOOGLETRANSLATE(A15804, ""en"", ""mt"")"),"Kulleġġ Newcastle")</f>
        <v>Kulleġġ Newcastle</v>
      </c>
    </row>
    <row r="15805" ht="15.75" customHeight="1">
      <c r="A15805" s="2" t="s">
        <v>15805</v>
      </c>
      <c r="B15805" s="2" t="str">
        <f>IFERROR(__xludf.DUMMYFUNCTION("GOOGLETRANSLATE(A15805, ""en"", ""mt"")"),"Liema terminu huwa shorthand għall-ġeneraturi tal-antikorpi?")</f>
        <v>Liema terminu huwa shorthand għall-ġeneraturi tal-antikorpi?</v>
      </c>
    </row>
    <row r="15806" ht="15.75" customHeight="1">
      <c r="A15806" s="2" t="s">
        <v>15806</v>
      </c>
      <c r="B15806" s="2" t="str">
        <f>IFERROR(__xludf.DUMMYFUNCTION("GOOGLETRANSLATE(A15806, ""en"", ""mt"")"),"L-istudjużi tal-Università ta ’Chicago kellhom rwol ewlieni fl-iżvilupp ta’ diversi dixxiplini akkademiċi, fosthom: The Chicago School of Economics, The Chicago School of Sociology, The Law and Economic tar-reliġjon, u l-iskola tal-imġieba tax-xjenza poli"&amp;"tika. Id-Dipartiment tal-Fiżika ta 'Chicago għen biex jiżviluppa l-ewwel reazzjoni nukleari magħmula minnha nnifisha fid-dinja taħt il-qasam Stagg tal-università. L-insegwiment ta 'riċerka ta' Chicago ġie megħjun minn affiljazzjonijiet uniċi ma 'istituzzj"&amp;"onijiet ta' fama dinjija bħall-Laboratorju Nazzjonali Fermilab u Argonne, kif ukoll il-Laboratorju Bijoloġiku tal-Baħar. L-università hija wkoll id-dar tal-Università ta ’Chicago Press, l-akbar stampa tal-università fl-Istati Uniti. B'data ta 'tlestija st"&amp;"mata ta' l-2020, iċ-Ċentru Presidenzjali ta 'Barack Obama se jkun alloġġat fl-università u jinkludi kemm il-Librerija Presidenzjali ta' Obama kif ukoll l-uffiċċji tal-Fondazzjoni Obama.")</f>
        <v>L-istudjużi tal-Università ta ’Chicago kellhom rwol ewlieni fl-iżvilupp ta’ diversi dixxiplini akkademiċi, fosthom: The Chicago School of Economics, The Chicago School of Sociology, The Law and Economic tar-reliġjon, u l-iskola tal-imġieba tax-xjenza politika. Id-Dipartiment tal-Fiżika ta 'Chicago għen biex jiżviluppa l-ewwel reazzjoni nukleari magħmula minnha nnifisha fid-dinja taħt il-qasam Stagg tal-università. L-insegwiment ta 'riċerka ta' Chicago ġie megħjun minn affiljazzjonijiet uniċi ma 'istituzzjonijiet ta' fama dinjija bħall-Laboratorju Nazzjonali Fermilab u Argonne, kif ukoll il-Laboratorju Bijoloġiku tal-Baħar. L-università hija wkoll id-dar tal-Università ta ’Chicago Press, l-akbar stampa tal-università fl-Istati Uniti. B'data ta 'tlestija stmata ta' l-2020, iċ-Ċentru Presidenzjali ta 'Barack Obama se jkun alloġġat fl-università u jinkludi kemm il-Librerija Presidenzjali ta' Obama kif ukoll l-uffiċċji tal-Fondazzjoni Obama.</v>
      </c>
    </row>
    <row r="15807" ht="15.75" customHeight="1">
      <c r="A15807" s="2" t="s">
        <v>15807</v>
      </c>
      <c r="B15807" s="2" t="str">
        <f>IFERROR(__xludf.DUMMYFUNCTION("GOOGLETRANSLATE(A15807, ""en"", ""mt"")"),"V&amp;A Museum of Childhood")</f>
        <v>V&amp;A Museum of Childhood</v>
      </c>
    </row>
    <row r="15808" ht="15.75" customHeight="1">
      <c r="A15808" s="2" t="s">
        <v>15808</v>
      </c>
      <c r="B15808" s="2" t="str">
        <f>IFERROR(__xludf.DUMMYFUNCTION("GOOGLETRANSLATE(A15808, ""en"", ""mt"")"),"Spiżjar tal-Kura Ambulatorja Ċertifikata tal-Bord")</f>
        <v>Spiżjar tal-Kura Ambulatorja Ċertifikata tal-Bord</v>
      </c>
    </row>
    <row r="15809" ht="15.75" customHeight="1">
      <c r="A15809" s="2" t="s">
        <v>15809</v>
      </c>
      <c r="B15809" s="2" t="str">
        <f>IFERROR(__xludf.DUMMYFUNCTION("GOOGLETRANSLATE(A15809, ""en"", ""mt"")"),"Min għamel id-debutt kummerċjali tas-Super Bowl tagħhom ma 'Nintendo?")</f>
        <v>Min għamel id-debutt kummerċjali tas-Super Bowl tagħhom ma 'Nintendo?</v>
      </c>
    </row>
    <row r="15810" ht="15.75" customHeight="1">
      <c r="A15810" s="2" t="s">
        <v>15810</v>
      </c>
      <c r="B15810" s="2" t="str">
        <f>IFERROR(__xludf.DUMMYFUNCTION("GOOGLETRANSLATE(A15810, ""en"", ""mt"")"),"X'kien id-dazju medju ta 'magna Watt bi pressjoni baxxa?")</f>
        <v>X'kien id-dazju medju ta 'magna Watt bi pressjoni baxxa?</v>
      </c>
    </row>
    <row r="15811" ht="15.75" customHeight="1">
      <c r="A15811" s="2" t="s">
        <v>15811</v>
      </c>
      <c r="B15811" s="2" t="str">
        <f>IFERROR(__xludf.DUMMYFUNCTION("GOOGLETRANSLATE(A15811, ""en"", ""mt"")"),"X'kienet l-ewwel problema li ltaqgħu magħhom l-astronawti waqt it-test tal-plugs-out?")</f>
        <v>X'kienet l-ewwel problema li ltaqgħu magħhom l-astronawti waqt it-test tal-plugs-out?</v>
      </c>
    </row>
    <row r="15812" ht="15.75" customHeight="1">
      <c r="A15812" s="2" t="s">
        <v>15812</v>
      </c>
      <c r="B15812" s="2" t="str">
        <f>IFERROR(__xludf.DUMMYFUNCTION("GOOGLETRANSLATE(A15812, ""en"", ""mt"")"),"Xi numru ikbar minn 1 jista 'jkun irrappreżentat bħala prodott ta' xiex?")</f>
        <v>Xi numru ikbar minn 1 jista 'jkun irrappreżentat bħala prodott ta' xiex?</v>
      </c>
    </row>
    <row r="15813" ht="15.75" customHeight="1">
      <c r="A15813" s="2" t="s">
        <v>15813</v>
      </c>
      <c r="B15813" s="2" t="str">
        <f>IFERROR(__xludf.DUMMYFUNCTION("GOOGLETRANSLATE(A15813, ""en"", ""mt"")"),"Il-kontijiet tat-TV Sky tat-Talbiet")</f>
        <v>Il-kontijiet tat-TV Sky tat-Talbiet</v>
      </c>
    </row>
    <row r="15814" ht="15.75" customHeight="1">
      <c r="A15814" s="2" t="s">
        <v>15814</v>
      </c>
      <c r="B15814" s="2" t="str">
        <f>IFERROR(__xludf.DUMMYFUNCTION("GOOGLETRANSLATE(A15814, ""en"", ""mt"")"),"Einstein")</f>
        <v>Einstein</v>
      </c>
    </row>
    <row r="15815" ht="15.75" customHeight="1">
      <c r="A15815" s="2" t="s">
        <v>15815</v>
      </c>
      <c r="B15815" s="2" t="str">
        <f>IFERROR(__xludf.DUMMYFUNCTION("GOOGLETRANSLATE(A15815, ""en"", ""mt"")"),"Il-Knisja ta ’San Tumas")</f>
        <v>Il-Knisja ta ’San Tumas</v>
      </c>
    </row>
    <row r="15816" ht="15.75" customHeight="1">
      <c r="A15816" s="2" t="s">
        <v>15816</v>
      </c>
      <c r="B15816" s="2" t="str">
        <f>IFERROR(__xludf.DUMMYFUNCTION("GOOGLETRANSLATE(A15816, ""en"", ""mt"")"),"Norman")</f>
        <v>Norman</v>
      </c>
    </row>
    <row r="15817" ht="15.75" customHeight="1">
      <c r="A15817" s="2" t="s">
        <v>15817</v>
      </c>
      <c r="B15817" s="2" t="str">
        <f>IFERROR(__xludf.DUMMYFUNCTION("GOOGLETRANSLATE(A15817, ""en"", ""mt"")"),"prosperità")</f>
        <v>prosperità</v>
      </c>
    </row>
    <row r="15818" ht="15.75" customHeight="1">
      <c r="A15818" s="2" t="s">
        <v>15818</v>
      </c>
      <c r="B15818" s="2" t="str">
        <f>IFERROR(__xludf.DUMMYFUNCTION("GOOGLETRANSLATE(A15818, ""en"", ""mt"")"),"Billi jaħbtu l-lobi tagħhom")</f>
        <v>Billi jaħbtu l-lobi tagħhom</v>
      </c>
    </row>
    <row r="15819" ht="15.75" customHeight="1">
      <c r="A15819" s="2" t="s">
        <v>15819</v>
      </c>
      <c r="B15819" s="2" t="str">
        <f>IFERROR(__xludf.DUMMYFUNCTION("GOOGLETRANSLATE(A15819, ""en"", ""mt"")"),"Battalja ta 'Jumonville Glen f'Mejju 1754,")</f>
        <v>Battalja ta 'Jumonville Glen f'Mejju 1754,</v>
      </c>
    </row>
    <row r="15820" ht="15.75" customHeight="1">
      <c r="A15820" s="2" t="s">
        <v>15820</v>
      </c>
      <c r="B15820" s="2" t="str">
        <f>IFERROR(__xludf.DUMMYFUNCTION("GOOGLETRANSLATE(A15820, ""en"", ""mt"")"),"Liema kulur kienu l-uniformijiet tal-Bronco fis-Super Bowl 50?")</f>
        <v>Liema kulur kienu l-uniformijiet tal-Bronco fis-Super Bowl 50?</v>
      </c>
    </row>
    <row r="15821" ht="15.75" customHeight="1">
      <c r="A15821" s="2" t="s">
        <v>15821</v>
      </c>
      <c r="B15821" s="2" t="str">
        <f>IFERROR(__xludf.DUMMYFUNCTION("GOOGLETRANSLATE(A15821, ""en"", ""mt"")"),"F'liema kontea tal-lum il-kontea tinsab New Rochelle?")</f>
        <v>F'liema kontea tal-lum il-kontea tinsab New Rochelle?</v>
      </c>
    </row>
    <row r="15822" ht="15.75" customHeight="1">
      <c r="A15822" s="2" t="s">
        <v>15822</v>
      </c>
      <c r="B15822" s="2" t="str">
        <f>IFERROR(__xludf.DUMMYFUNCTION("GOOGLETRANSLATE(A15822, ""en"", ""mt"")"),"Kważi ċ-ċtenofori kollha huma predaturi")</f>
        <v>Kważi ċ-ċtenofori kollha huma predaturi</v>
      </c>
    </row>
    <row r="15823" ht="15.75" customHeight="1">
      <c r="A15823" s="2" t="s">
        <v>15823</v>
      </c>
      <c r="B15823" s="2" t="str">
        <f>IFERROR(__xludf.DUMMYFUNCTION("GOOGLETRANSLATE(A15823, ""en"", ""mt"")"),"X’kien qed ifittex Sadat billi jeħles lill-Iżlamisti mill-ħabs?")</f>
        <v>X’kien qed ifittex Sadat billi jeħles lill-Iżlamisti mill-ħabs?</v>
      </c>
    </row>
    <row r="15824" ht="15.75" customHeight="1">
      <c r="A15824" s="2" t="s">
        <v>15824</v>
      </c>
      <c r="B15824" s="2" t="str">
        <f>IFERROR(__xludf.DUMMYFUNCTION("GOOGLETRANSLATE(A15824, ""en"", ""mt"")"),"l-applikazzjoni tal-elettriku")</f>
        <v>l-applikazzjoni tal-elettriku</v>
      </c>
    </row>
    <row r="15825" ht="15.75" customHeight="1">
      <c r="A15825" s="2" t="s">
        <v>15825</v>
      </c>
      <c r="B15825" s="2" t="str">
        <f>IFERROR(__xludf.DUMMYFUNCTION("GOOGLETRANSLATE(A15825, ""en"", ""mt"")"),"Kif jissejjaħ id-derivattiv tal-momentum li jinbidel ta 'oġġett?")</f>
        <v>Kif jissejjaħ id-derivattiv tal-momentum li jinbidel ta 'oġġett?</v>
      </c>
    </row>
    <row r="15826" ht="15.75" customHeight="1">
      <c r="A15826" s="2" t="s">
        <v>15826</v>
      </c>
      <c r="B15826" s="2" t="str">
        <f>IFERROR(__xludf.DUMMYFUNCTION("GOOGLETRANSLATE(A15826, ""en"", ""mt"")"),"Elettriku, ilma, drenaġġ, telefon, u kejbil")</f>
        <v>Elettriku, ilma, drenaġġ, telefon, u kejbil</v>
      </c>
    </row>
    <row r="15827" ht="15.75" customHeight="1">
      <c r="A15827" s="2" t="s">
        <v>15827</v>
      </c>
      <c r="B15827" s="2" t="str">
        <f>IFERROR(__xludf.DUMMYFUNCTION("GOOGLETRANSLATE(A15827, ""en"", ""mt"")"),"mogħdijiet multipli bejn kwalunkwe żewġ punti")</f>
        <v>mogħdijiet multipli bejn kwalunkwe żewġ punti</v>
      </c>
    </row>
    <row r="15828" ht="15.75" customHeight="1">
      <c r="A15828" s="2" t="s">
        <v>15828</v>
      </c>
      <c r="B15828" s="2" t="str">
        <f>IFERROR(__xludf.DUMMYFUNCTION("GOOGLETRANSLATE(A15828, ""en"", ""mt"")"),"ma kien kopert fl-ebda gazzetti")</f>
        <v>ma kien kopert fl-ebda gazzetti</v>
      </c>
    </row>
    <row r="15829" ht="15.75" customHeight="1">
      <c r="A15829" s="2" t="s">
        <v>15829</v>
      </c>
      <c r="B15829" s="2" t="str">
        <f>IFERROR(__xludf.DUMMYFUNCTION("GOOGLETRANSLATE(A15829, ""en"", ""mt"")"),"X'inhu inqas f'pajjiżi b'aktar inugwaljanza għall-aqwa 21 pajjiż industrijalizzat?")</f>
        <v>X'inhu inqas f'pajjiżi b'aktar inugwaljanza għall-aqwa 21 pajjiż industrijalizzat?</v>
      </c>
    </row>
    <row r="15830" ht="15.75" customHeight="1">
      <c r="A15830" s="2" t="s">
        <v>15830</v>
      </c>
      <c r="B15830" s="2" t="str">
        <f>IFERROR(__xludf.DUMMYFUNCTION("GOOGLETRANSLATE(A15830, ""en"", ""mt"")"),"Kristjaneżmu sempliċi, qadim, tal-Bibbja """)</f>
        <v>Kristjaneżmu sempliċi, qadim, tal-Bibbja "</v>
      </c>
    </row>
    <row r="15831" ht="15.75" customHeight="1">
      <c r="A15831" s="2" t="s">
        <v>15831</v>
      </c>
      <c r="B15831" s="2" t="str">
        <f>IFERROR(__xludf.DUMMYFUNCTION("GOOGLETRANSLATE(A15831, ""en"", ""mt"")"),"Orjentaliżmu u tropiċità")</f>
        <v>Orjentaliżmu u tropiċità</v>
      </c>
    </row>
    <row r="15832" ht="15.75" customHeight="1">
      <c r="A15832" s="2" t="s">
        <v>15832</v>
      </c>
      <c r="B15832" s="2" t="str">
        <f>IFERROR(__xludf.DUMMYFUNCTION("GOOGLETRANSLATE(A15832, ""en"", ""mt"")"),"X'impatt għandhom aktar ħaddiema li jaħdmu aktar fuq il-produttività ta 'negozju?")</f>
        <v>X'impatt għandhom aktar ħaddiema li jaħdmu aktar fuq il-produttività ta 'negozju?</v>
      </c>
    </row>
    <row r="15833" ht="15.75" customHeight="1">
      <c r="A15833" s="2" t="s">
        <v>15833</v>
      </c>
      <c r="B15833" s="2" t="str">
        <f>IFERROR(__xludf.DUMMYFUNCTION("GOOGLETRANSLATE(A15833, ""en"", ""mt"")"),"il-knisja stabbilita")</f>
        <v>il-knisja stabbilita</v>
      </c>
    </row>
    <row r="15834" ht="15.75" customHeight="1">
      <c r="A15834" s="2" t="s">
        <v>15834</v>
      </c>
      <c r="B15834" s="2" t="str">
        <f>IFERROR(__xludf.DUMMYFUNCTION("GOOGLETRANSLATE(A15834, ""en"", ""mt"")"),"L-Awstrija")</f>
        <v>L-Awstrija</v>
      </c>
    </row>
    <row r="15835" ht="15.75" customHeight="1">
      <c r="A15835" s="2" t="s">
        <v>15835</v>
      </c>
      <c r="B15835" s="2" t="str">
        <f>IFERROR(__xludf.DUMMYFUNCTION("GOOGLETRANSLATE(A15835, ""en"", ""mt"")"),"Mary Leakey u Louis Leakey")</f>
        <v>Mary Leakey u Louis Leakey</v>
      </c>
    </row>
    <row r="15836" ht="15.75" customHeight="1">
      <c r="A15836" s="2" t="s">
        <v>15836</v>
      </c>
      <c r="B15836" s="2" t="str">
        <f>IFERROR(__xludf.DUMMYFUNCTION("GOOGLETRANSLATE(A15836, ""en"", ""mt"")"),"Il-partit, jew il-partijiet, li jżommu l-maġġoranza tas-siġġijiet fil-Parlament")</f>
        <v>Il-partit, jew il-partijiet, li jżommu l-maġġoranza tas-siġġijiet fil-Parlament</v>
      </c>
    </row>
    <row r="15837" ht="15.75" customHeight="1">
      <c r="A15837" s="2" t="s">
        <v>15837</v>
      </c>
      <c r="B15837" s="2" t="str">
        <f>IFERROR(__xludf.DUMMYFUNCTION("GOOGLETRANSLATE(A15837, ""en"", ""mt"")"),"170 biljun")</f>
        <v>170 biljun</v>
      </c>
    </row>
    <row r="15838" ht="15.75" customHeight="1">
      <c r="A15838" s="2" t="s">
        <v>15838</v>
      </c>
      <c r="B15838" s="2" t="str">
        <f>IFERROR(__xludf.DUMMYFUNCTION("GOOGLETRANSLATE(A15838, ""en"", ""mt"")"),"Liema kumpanija ġiet iffurmata mill-għaqda ta 'Sky Television u British Satellite Broadcasting?")</f>
        <v>Liema kumpanija ġiet iffurmata mill-għaqda ta 'Sky Television u British Satellite Broadcasting?</v>
      </c>
    </row>
    <row r="15839" ht="15.75" customHeight="1">
      <c r="A15839" s="2" t="s">
        <v>15839</v>
      </c>
      <c r="B15839" s="2" t="str">
        <f>IFERROR(__xludf.DUMMYFUNCTION("GOOGLETRANSLATE(A15839, ""en"", ""mt"")"),"Meta ġie stabbilit id-Direttorat tal-Librerija Imperjali?")</f>
        <v>Meta ġie stabbilit id-Direttorat tal-Librerija Imperjali?</v>
      </c>
    </row>
    <row r="15840" ht="15.75" customHeight="1">
      <c r="A15840" s="2" t="s">
        <v>15840</v>
      </c>
      <c r="B15840" s="2" t="str">
        <f>IFERROR(__xludf.DUMMYFUNCTION("GOOGLETRANSLATE(A15840, ""en"", ""mt"")"),"1.4 u 5.8 ° C")</f>
        <v>1.4 u 5.8 ° C</v>
      </c>
    </row>
    <row r="15841" ht="15.75" customHeight="1">
      <c r="A15841" s="2" t="s">
        <v>15841</v>
      </c>
      <c r="B15841" s="2" t="str">
        <f>IFERROR(__xludf.DUMMYFUNCTION("GOOGLETRANSLATE(A15841, ""en"", ""mt"")"),"mhux naturali")</f>
        <v>mhux naturali</v>
      </c>
    </row>
    <row r="15842" ht="15.75" customHeight="1">
      <c r="A15842" s="2" t="s">
        <v>15842</v>
      </c>
      <c r="B15842" s="2" t="str">
        <f>IFERROR(__xludf.DUMMYFUNCTION("GOOGLETRANSLATE(A15842, ""en"", ""mt"")"),"X'inhuma żewġ korpi uffiċjali tal-koalizzjoni governattiva tal-UMC?")</f>
        <v>X'inhuma żewġ korpi uffiċjali tal-koalizzjoni governattiva tal-UMC?</v>
      </c>
    </row>
    <row r="15843" ht="15.75" customHeight="1">
      <c r="A15843" s="2" t="s">
        <v>15843</v>
      </c>
      <c r="B15843" s="2" t="str">
        <f>IFERROR(__xludf.DUMMYFUNCTION("GOOGLETRANSLATE(A15843, ""en"", ""mt"")"),"Meta Tesla marret Tomingaj?")</f>
        <v>Meta Tesla marret Tomingaj?</v>
      </c>
    </row>
    <row r="15844" ht="15.75" customHeight="1">
      <c r="A15844" s="2" t="s">
        <v>15844</v>
      </c>
      <c r="B15844" s="2" t="str">
        <f>IFERROR(__xludf.DUMMYFUNCTION("GOOGLETRANSLATE(A15844, ""en"", ""mt"")"),"Celeron kif kien imexxi laqgħa ma 'Brittaniku l-Qadim?")</f>
        <v>Celeron kif kien imexxi laqgħa ma 'Brittaniku l-Qadim?</v>
      </c>
    </row>
    <row r="15845" ht="15.75" customHeight="1">
      <c r="A15845" s="2" t="s">
        <v>15845</v>
      </c>
      <c r="B15845" s="2" t="str">
        <f>IFERROR(__xludf.DUMMYFUNCTION("GOOGLETRANSLATE(A15845, ""en"", ""mt"")"),"Beating the Odds: The Untold Story Behind The Rise of ABC")</f>
        <v>Beating the Odds: The Untold Story Behind The Rise of ABC</v>
      </c>
    </row>
    <row r="15846" ht="15.75" customHeight="1">
      <c r="A15846" s="2" t="s">
        <v>15846</v>
      </c>
      <c r="B15846" s="2" t="str">
        <f>IFERROR(__xludf.DUMMYFUNCTION("GOOGLETRANSLATE(A15846, ""en"", ""mt"")"),"Kemm puplesiji tal-pistuni jseħħu f'ċiklu tal-magna?")</f>
        <v>Kemm puplesiji tal-pistuni jseħħu f'ċiklu tal-magna?</v>
      </c>
    </row>
    <row r="15847" ht="15.75" customHeight="1">
      <c r="A15847" s="2" t="s">
        <v>15847</v>
      </c>
      <c r="B15847" s="2" t="str">
        <f>IFERROR(__xludf.DUMMYFUNCTION("GOOGLETRANSLATE(A15847, ""en"", ""mt"")"),"Quebec")</f>
        <v>Quebec</v>
      </c>
    </row>
    <row r="15848" ht="15.75" customHeight="1">
      <c r="A15848" s="2" t="s">
        <v>15848</v>
      </c>
      <c r="B15848" s="2" t="str">
        <f>IFERROR(__xludf.DUMMYFUNCTION("GOOGLETRANSLATE(A15848, ""en"", ""mt"")"),"1762")</f>
        <v>1762</v>
      </c>
    </row>
    <row r="15849" ht="15.75" customHeight="1">
      <c r="A15849" s="2" t="s">
        <v>15849</v>
      </c>
      <c r="B15849" s="2" t="str">
        <f>IFERROR(__xludf.DUMMYFUNCTION("GOOGLETRANSLATE(A15849, ""en"", ""mt"")"),"Dolby Digital")</f>
        <v>Dolby Digital</v>
      </c>
    </row>
    <row r="15850" ht="15.75" customHeight="1">
      <c r="A15850" s="2" t="s">
        <v>15850</v>
      </c>
      <c r="B15850" s="2" t="str">
        <f>IFERROR(__xludf.DUMMYFUNCTION("GOOGLETRANSLATE(A15850, ""en"", ""mt"")"),"Elimina l-pożizzjoni tal-Prim Ministru u fl-istess ħin tnaqqas il-poteri tal-President")</f>
        <v>Elimina l-pożizzjoni tal-Prim Ministru u fl-istess ħin tnaqqas il-poteri tal-President</v>
      </c>
    </row>
    <row r="15851" ht="15.75" customHeight="1">
      <c r="A15851" s="2" t="s">
        <v>15851</v>
      </c>
      <c r="B15851" s="2" t="str">
        <f>IFERROR(__xludf.DUMMYFUNCTION("GOOGLETRANSLATE(A15851, ""en"", ""mt"")"),"L-Istitut Franklin")</f>
        <v>L-Istitut Franklin</v>
      </c>
    </row>
    <row r="15852" ht="15.75" customHeight="1">
      <c r="A15852" s="2" t="s">
        <v>15852</v>
      </c>
      <c r="B15852" s="2" t="str">
        <f>IFERROR(__xludf.DUMMYFUNCTION("GOOGLETRANSLATE(A15852, ""en"", ""mt"")"),"Kemm hemm żoni metropolitani estiżi?")</f>
        <v>Kemm hemm żoni metropolitani estiżi?</v>
      </c>
    </row>
    <row r="15853" ht="15.75" customHeight="1">
      <c r="A15853" s="2" t="s">
        <v>15853</v>
      </c>
      <c r="B15853" s="2" t="str">
        <f>IFERROR(__xludf.DUMMYFUNCTION("GOOGLETRANSLATE(A15853, ""en"", ""mt"")"),"Min kien imsemmi l-president u l-Kap Eżekuttiv ta ’ABC wara li Goldenson sofra attakk tal-qalb?")</f>
        <v>Min kien imsemmi l-president u l-Kap Eżekuttiv ta ’ABC wara li Goldenson sofra attakk tal-qalb?</v>
      </c>
    </row>
    <row r="15854" ht="15.75" customHeight="1">
      <c r="A15854" s="2" t="s">
        <v>15854</v>
      </c>
      <c r="B15854" s="2" t="str">
        <f>IFERROR(__xludf.DUMMYFUNCTION("GOOGLETRANSLATE(A15854, ""en"", ""mt"")"),"Liema Kumitat tas-Senat Kellem il-Kantant f'Lulju 2000?")</f>
        <v>Liema Kumitat tas-Senat Kellem il-Kantant f'Lulju 2000?</v>
      </c>
    </row>
    <row r="15855" ht="15.75" customHeight="1">
      <c r="A15855" s="2" t="s">
        <v>15855</v>
      </c>
      <c r="B15855" s="2" t="str">
        <f>IFERROR(__xludf.DUMMYFUNCTION("GOOGLETRANSLATE(A15855, ""en"", ""mt"")"),"Liema żewġ korpi għandhom jgħaddu l-parlament l-ewwel biex jgħaddu leġiżlazzjoni?")</f>
        <v>Liema żewġ korpi għandhom jgħaddu l-parlament l-ewwel biex jgħaddu leġiżlazzjoni?</v>
      </c>
    </row>
    <row r="15856" ht="15.75" customHeight="1">
      <c r="A15856" s="2" t="s">
        <v>15856</v>
      </c>
      <c r="B15856" s="2" t="str">
        <f>IFERROR(__xludf.DUMMYFUNCTION("GOOGLETRANSLATE(A15856, ""en"", ""mt"")"),"Iżlamiku")</f>
        <v>Iżlamiku</v>
      </c>
    </row>
    <row r="15857" ht="15.75" customHeight="1">
      <c r="A15857" s="2" t="s">
        <v>15857</v>
      </c>
      <c r="B15857" s="2" t="str">
        <f>IFERROR(__xludf.DUMMYFUNCTION("GOOGLETRANSLATE(A15857, ""en"", ""mt"")"),"erbat ijiem")</f>
        <v>erbat ijiem</v>
      </c>
    </row>
    <row r="15858" ht="15.75" customHeight="1">
      <c r="A15858" s="2" t="s">
        <v>15858</v>
      </c>
      <c r="B15858" s="2" t="str">
        <f>IFERROR(__xludf.DUMMYFUNCTION("GOOGLETRANSLATE(A15858, ""en"", ""mt"")"),"Min bena l-istazzjon ta 'Newcastle?")</f>
        <v>Min bena l-istazzjon ta 'Newcastle?</v>
      </c>
    </row>
    <row r="15859" ht="15.75" customHeight="1">
      <c r="A15859" s="2" t="s">
        <v>15859</v>
      </c>
      <c r="B15859" s="2" t="str">
        <f>IFERROR(__xludf.DUMMYFUNCTION("GOOGLETRANSLATE(A15859, ""en"", ""mt"")"),"Tkabbir ekonomiku fit-tul")</f>
        <v>Tkabbir ekonomiku fit-tul</v>
      </c>
    </row>
    <row r="15860" ht="15.75" customHeight="1">
      <c r="A15860" s="2" t="s">
        <v>15860</v>
      </c>
      <c r="B15860" s="2" t="str">
        <f>IFERROR(__xludf.DUMMYFUNCTION("GOOGLETRANSLATE(A15860, ""en"", ""mt"")"),"Xi jfisser li marda tkun enzootika?")</f>
        <v>Xi jfisser li marda tkun enzootika?</v>
      </c>
    </row>
    <row r="15861" ht="15.75" customHeight="1">
      <c r="A15861" s="2" t="s">
        <v>15861</v>
      </c>
      <c r="B15861" s="2" t="str">
        <f>IFERROR(__xludf.DUMMYFUNCTION("GOOGLETRANSLATE(A15861, ""en"", ""mt"")"),"X'biża 'Martin Luther wara li laqtet bolt li jħaffef?")</f>
        <v>X'biża 'Martin Luther wara li laqtet bolt li jħaffef?</v>
      </c>
    </row>
    <row r="15862" ht="15.75" customHeight="1">
      <c r="A15862" s="2" t="s">
        <v>15862</v>
      </c>
      <c r="B15862" s="2" t="str">
        <f>IFERROR(__xludf.DUMMYFUNCTION("GOOGLETRANSLATE(A15862, ""en"", ""mt"")"),"Fl-1928, Tesla rċeviet l-aħħar privattiva tiegħu, brevett ta 'l-Istati Uniti 1,655,114, għal biplan li kapaċi jneħħi vertikalment (ajruplan VTOL) u mbagħad ikun ""gradwalment inklinat permezz tal-manipulazzjoni tal-apparati tal-lift"" waqt it-titjira sake"&amp;"mm kien qed itajjar bħal pjan konvenzjonali. Tesla ħasbet li l-ajruplan se jbiegħ għal inqas minn $ 1,000.: 251 Għalkemm l-inġenju tal-ajru probabbilment ma jkunx prattiku, jista 'jkun l-ewwel disinn magħruf għal dak li sar il-kunċett Tiltrotor / tilt-win"&amp;"g kif ukoll l-ewwel proposta għall-użu ta' magni tat-turbini fi Ajruplani tar-rotor. [Sintesi mhux xierqa?]")</f>
        <v>Fl-1928, Tesla rċeviet l-aħħar privattiva tiegħu, brevett ta 'l-Istati Uniti 1,655,114, għal biplan li kapaċi jneħħi vertikalment (ajruplan VTOL) u mbagħad ikun "gradwalment inklinat permezz tal-manipulazzjoni tal-apparati tal-lift" waqt it-titjira sakemm kien qed itajjar bħal pjan konvenzjonali. Tesla ħasbet li l-ajruplan se jbiegħ għal inqas minn $ 1,000.: 251 Għalkemm l-inġenju tal-ajru probabbilment ma jkunx prattiku, jista 'jkun l-ewwel disinn magħruf għal dak li sar il-kunċett Tiltrotor / tilt-wing kif ukoll l-ewwel proposta għall-użu ta' magni tat-turbini fi Ajruplani tar-rotor. [Sintesi mhux xierqa?]</v>
      </c>
    </row>
    <row r="15863" ht="15.75" customHeight="1">
      <c r="A15863" s="2" t="s">
        <v>15863</v>
      </c>
      <c r="B15863" s="2" t="str">
        <f>IFERROR(__xludf.DUMMYFUNCTION("GOOGLETRANSLATE(A15863, ""en"", ""mt"")"),"1946")</f>
        <v>1946</v>
      </c>
    </row>
    <row r="15864" ht="15.75" customHeight="1">
      <c r="A15864" s="2" t="s">
        <v>15864</v>
      </c>
      <c r="B15864" s="2" t="str">
        <f>IFERROR(__xludf.DUMMYFUNCTION("GOOGLETRANSLATE(A15864, ""en"", ""mt"")"),"Għal liema riżoluzzjoni nbidlu l-kameras EyeVision?")</f>
        <v>Għal liema riżoluzzjoni nbidlu l-kameras EyeVision?</v>
      </c>
    </row>
    <row r="15865" ht="15.75" customHeight="1">
      <c r="A15865" s="2" t="s">
        <v>15865</v>
      </c>
      <c r="B15865" s="2" t="str">
        <f>IFERROR(__xludf.DUMMYFUNCTION("GOOGLETRANSLATE(A15865, ""en"", ""mt"")"),"Liema pajjiż għandu tali studenti li ma jistgħux jiġu amministrati li ħafna għalliema ma jiddixxiplinawhom?")</f>
        <v>Liema pajjiż għandu tali studenti li ma jistgħux jiġu amministrati li ħafna għalliema ma jiddixxiplinawhom?</v>
      </c>
    </row>
    <row r="15866" ht="15.75" customHeight="1">
      <c r="A15866" s="2" t="s">
        <v>15866</v>
      </c>
      <c r="B15866" s="2" t="str">
        <f>IFERROR(__xludf.DUMMYFUNCTION("GOOGLETRANSLATE(A15866, ""en"", ""mt"")"),"ix-xogħol ta 'fiżiċi teoretiċi ewlenin")</f>
        <v>ix-xogħol ta 'fiżiċi teoretiċi ewlenin</v>
      </c>
    </row>
    <row r="15867" ht="15.75" customHeight="1">
      <c r="A15867" s="2" t="s">
        <v>15867</v>
      </c>
      <c r="B15867" s="2" t="str">
        <f>IFERROR(__xludf.DUMMYFUNCTION("GOOGLETRANSLATE(A15867, ""en"", ""mt"")"),"Madwar 3,000 mil (4,800 km) bejn Ġunju u Novembru 1749.")</f>
        <v>Madwar 3,000 mil (4,800 km) bejn Ġunju u Novembru 1749.</v>
      </c>
    </row>
    <row r="15868" ht="15.75" customHeight="1">
      <c r="A15868" s="2" t="s">
        <v>15868</v>
      </c>
      <c r="B15868" s="2" t="str">
        <f>IFERROR(__xludf.DUMMYFUNCTION("GOOGLETRANSLATE(A15868, ""en"", ""mt"")"),"Vaudreuil u Montcalm ġew fornuti mill-ġdid minimament fl-1758, hekk kif l-imblokk Ingliż tal-kosta Franċiża limitat it-tbaħħir Franċiż. Is-sitwazzjoni fi Franza l-Ġdida kienet aktar aggravata minn ħsad fqir fl-1757, xitwa diffiċli, u l-makkinarji allegata"&amp;"ment korrotti ta 'François Bigot, l-intendent tat-territorju. L-iskemi tiegħu biex ifornu l-prezzijiet minfuħa tal-kolonja u kienu maħsuba minn Montcalm biex jillinjaw il-bwiet tiegħu u dawk tal-assoċjati tiegħu. Tfaqqigħ massiv ta 'ġidri fost it-tribujie"&amp;"t tal-Punent wassal lil ħafna minnhom biex jibqgħu' l bogħod milli jinnegozjaw fl-1758. Filwaqt li ħafna partijiet għall-kunflitt waħħlu lil oħrajn (l-Indjani waħħlu lill-Franċiżi talli ġabu ""mediċina ħażina"" kif ukoll li ċaħduhom premjijiet fil-Fort Wi"&amp;"lliam Henry ), il-marda kienet probabbilment mifruxa permezz tal-kundizzjonijiet iffullati f'William Henry wara l-battalja. Montcalm iffoka r-riżorsi dgħajfa tiegħu fuq id-difiża ta 'San Lawrenz, bid-difiżi primarji f'Carillon, Quebec, u Louisbourg, filwa"&amp;"qt li Vaudreuil argumenta mingħajr suċċess għal kontinwazzjoni tat-tattiċi tar-rejd li kienu ħadmu b'mod effettiv fis-snin preċedenti.")</f>
        <v>Vaudreuil u Montcalm ġew fornuti mill-ġdid minimament fl-1758, hekk kif l-imblokk Ingliż tal-kosta Franċiża limitat it-tbaħħir Franċiż. Is-sitwazzjoni fi Franza l-Ġdida kienet aktar aggravata minn ħsad fqir fl-1757, xitwa diffiċli, u l-makkinarji allegatament korrotti ta 'François Bigot, l-intendent tat-territorju. L-iskemi tiegħu biex ifornu l-prezzijiet minfuħa tal-kolonja u kienu maħsuba minn Montcalm biex jillinjaw il-bwiet tiegħu u dawk tal-assoċjati tiegħu. Tfaqqigħ massiv ta 'ġidri fost it-tribujiet tal-Punent wassal lil ħafna minnhom biex jibqgħu' l bogħod milli jinnegozjaw fl-1758. Filwaqt li ħafna partijiet għall-kunflitt waħħlu lil oħrajn (l-Indjani waħħlu lill-Franċiżi talli ġabu "mediċina ħażina" kif ukoll li ċaħduhom premjijiet fil-Fort William Henry ), il-marda kienet probabbilment mifruxa permezz tal-kundizzjonijiet iffullati f'William Henry wara l-battalja. Montcalm iffoka r-riżorsi dgħajfa tiegħu fuq id-difiża ta 'San Lawrenz, bid-difiżi primarji f'Carillon, Quebec, u Louisbourg, filwaqt li Vaudreuil argumenta mingħajr suċċess għal kontinwazzjoni tat-tattiċi tar-rejd li kienu ħadmu b'mod effettiv fis-snin preċedenti.</v>
      </c>
    </row>
    <row r="15869" ht="15.75" customHeight="1">
      <c r="A15869" s="2" t="s">
        <v>15869</v>
      </c>
      <c r="B15869" s="2" t="str">
        <f>IFERROR(__xludf.DUMMYFUNCTION("GOOGLETRANSLATE(A15869, ""en"", ""mt"")"),"produtturi tal-films")</f>
        <v>produtturi tal-films</v>
      </c>
    </row>
    <row r="15870" ht="15.75" customHeight="1">
      <c r="A15870" s="2" t="s">
        <v>15870</v>
      </c>
      <c r="B15870" s="2" t="str">
        <f>IFERROR(__xludf.DUMMYFUNCTION("GOOGLETRANSLATE(A15870, ""en"", ""mt"")"),"fidda mdewweb")</f>
        <v>fidda mdewweb</v>
      </c>
    </row>
    <row r="15871" ht="15.75" customHeight="1">
      <c r="A15871" s="2" t="s">
        <v>15871</v>
      </c>
      <c r="B15871" s="2" t="str">
        <f>IFERROR(__xludf.DUMMYFUNCTION("GOOGLETRANSLATE(A15871, ""en"", ""mt"")"),"Każ sempliċi ta 'ekwilibriju dinamiku jseħħ f'moviment ta' veloċità kostanti f'wiċċ bi frizzjoni kinetika. F'sitwazzjoni bħal din, forza hija applikata fid-direzzjoni tal-moviment filwaqt li l-forza ta 'frizzjoni kinetika topponi eżattament il-forza appli"&amp;"kata. Dan jirriżulta f'forza netta żero, iżda peress li l-oġġett beda b'veloċità mhux żero, huwa jkompli jimxi b'veloċità mhux żero. Aristotile interpreta ħażin din il-mozzjoni bħala kkawżata mill-forza applikata. Madankollu, meta l-frizzjoni kinetika tit"&amp;"qies, huwa ċar li m'hemm l-ebda forza netta li tikkawża moviment ta 'veloċità kostanti.")</f>
        <v>Każ sempliċi ta 'ekwilibriju dinamiku jseħħ f'moviment ta' veloċità kostanti f'wiċċ bi frizzjoni kinetika. F'sitwazzjoni bħal din, forza hija applikata fid-direzzjoni tal-moviment filwaqt li l-forza ta 'frizzjoni kinetika topponi eżattament il-forza applikata. Dan jirriżulta f'forza netta żero, iżda peress li l-oġġett beda b'veloċità mhux żero, huwa jkompli jimxi b'veloċità mhux żero. Aristotile interpreta ħażin din il-mozzjoni bħala kkawżata mill-forza applikata. Madankollu, meta l-frizzjoni kinetika titqies, huwa ċar li m'hemm l-ebda forza netta li tikkawża moviment ta 'veloċità kostanti.</v>
      </c>
    </row>
    <row r="15872" ht="15.75" customHeight="1">
      <c r="A15872" s="2" t="s">
        <v>15872</v>
      </c>
      <c r="B15872" s="2" t="str">
        <f>IFERROR(__xludf.DUMMYFUNCTION("GOOGLETRANSLATE(A15872, ""en"", ""mt"")"),"L-UMC jappoġġja l-finanzjament federali għar-riċerka dwar l-embrijuni maħluqa għall-IVF li jibqgħu wara li l-isforzi prokreattivi waqfu, jekk l-embrijuni ġew ipprovduti għar-riċerka minflok ma jinqerdu, ma kinux miksuba bil-bejgħ, u dawk li jagħtu d-donaz"&amp;"zjoni kienu taw il-kunsens infurmat minn qabel għar-riċerka skopijiet. L-UMC tinsab f '""oppożizzjoni għall-ħolqien ta' embrijuni għall-fini tar-riċerka"" bħala ""embrijun uman, anke fl-ewwel stadji tiegħu, jikkmanda r-reverenza tagħna."" Huwa jappoġġja r"&amp;"iċerka fuq ċelloli staminali miġbura minn kurduni umbilikali u ċelloli staminali adulti, u jiddikjara li hemm ""ftit mistoqsijiet morali"" mqajma minn din il-kwistjoni.")</f>
        <v>L-UMC jappoġġja l-finanzjament federali għar-riċerka dwar l-embrijuni maħluqa għall-IVF li jibqgħu wara li l-isforzi prokreattivi waqfu, jekk l-embrijuni ġew ipprovduti għar-riċerka minflok ma jinqerdu, ma kinux miksuba bil-bejgħ, u dawk li jagħtu d-donazzjoni kienu taw il-kunsens infurmat minn qabel għar-riċerka skopijiet. L-UMC tinsab f '"oppożizzjoni għall-ħolqien ta' embrijuni għall-fini tar-riċerka" bħala "embrijun uman, anke fl-ewwel stadji tiegħu, jikkmanda r-reverenza tagħna." Huwa jappoġġja riċerka fuq ċelloli staminali miġbura minn kurduni umbilikali u ċelloli staminali adulti, u jiddikjara li hemm "ftit mistoqsijiet morali" mqajma minn din il-kwistjoni.</v>
      </c>
    </row>
    <row r="15873" ht="15.75" customHeight="1">
      <c r="A15873" s="2" t="s">
        <v>15873</v>
      </c>
      <c r="B15873" s="2" t="str">
        <f>IFERROR(__xludf.DUMMYFUNCTION("GOOGLETRANSLATE(A15873, ""en"", ""mt"")"),"1755")</f>
        <v>1755</v>
      </c>
    </row>
    <row r="15874" ht="15.75" customHeight="1">
      <c r="A15874" s="2" t="s">
        <v>15874</v>
      </c>
      <c r="B15874" s="2" t="str">
        <f>IFERROR(__xludf.DUMMYFUNCTION("GOOGLETRANSLATE(A15874, ""en"", ""mt"")"),"Miami's Sun Life Stadium")</f>
        <v>Miami's Sun Life Stadium</v>
      </c>
    </row>
    <row r="15875" ht="15.75" customHeight="1">
      <c r="A15875" s="2" t="s">
        <v>15875</v>
      </c>
      <c r="B15875" s="2" t="str">
        <f>IFERROR(__xludf.DUMMYFUNCTION("GOOGLETRANSLATE(A15875, ""en"", ""mt"")"),"L-FBI ordna lill-kustodju tal-propjetà aljena biex jaħtaf l-affarijiet ta 'Tesla")</f>
        <v>L-FBI ordna lill-kustodju tal-propjetà aljena biex jaħtaf l-affarijiet ta 'Tesla</v>
      </c>
    </row>
    <row r="15876" ht="15.75" customHeight="1">
      <c r="A15876" s="2" t="s">
        <v>15876</v>
      </c>
      <c r="B15876" s="2" t="str">
        <f>IFERROR(__xludf.DUMMYFUNCTION("GOOGLETRANSLATE(A15876, ""en"", ""mt"")"),"Il-flora tal-belt tista 'titqies rikka ħafna fl-ispeċi. Ir-rikkezza tal-ispeċi hija dovuta l-aktar għall-lok ta 'Varsavja fir-reġjun tal-fruntiera ta' bosta reġjuni kbar tal-fjuri li jinkludu proporzjonijiet sostanzjali ta 'żoni mill-qrib għall-għaqda (fo"&amp;"resti naturali, artijiet mistagħdra tul il-vistula) kif ukoll art li tinħadem, mergħat u foresti. Bielany Forest, li tinsab fil-fruntieri ta 'Varsavja, hija l-bqija tal-foresta primordjali Masovjana. Ir-Riżerva Naturali tal-Foresti Bielany hija konnessa m"&amp;"al-Forest Kampinos. Huwa d-dar ta 'Fawna Rich u Flora. Fil-foresta hemm tliet traċċi taċ-ċikliżmu u tal-mixi. Żona kbira oħra tal-foresta hija l-foresta Kabaty mill-fruntiera tan-Nofsinhar tal-Belt. Varsavja għandha wkoll żewġ ġonna botaniċi: mill-Park ła"&amp;"zienki (unità ta ’riċerka didattika tal-Università ta’ Varsavja) kif ukoll mill-Park tal-Kultura u l-mistrieħ fil-Powsin (unità tal-Akkademja tax-Xjenza Pollakka).")</f>
        <v>Il-flora tal-belt tista 'titqies rikka ħafna fl-ispeċi. Ir-rikkezza tal-ispeċi hija dovuta l-aktar għall-lok ta 'Varsavja fir-reġjun tal-fruntiera ta' bosta reġjuni kbar tal-fjuri li jinkludu proporzjonijiet sostanzjali ta 'żoni mill-qrib għall-għaqda (foresti naturali, artijiet mistagħdra tul il-vistula) kif ukoll art li tinħadem, mergħat u foresti. Bielany Forest, li tinsab fil-fruntieri ta 'Varsavja, hija l-bqija tal-foresta primordjali Masovjana. Ir-Riżerva Naturali tal-Foresti Bielany hija konnessa mal-Forest Kampinos. Huwa d-dar ta 'Fawna Rich u Flora. Fil-foresta hemm tliet traċċi taċ-ċikliżmu u tal-mixi. Żona kbira oħra tal-foresta hija l-foresta Kabaty mill-fruntiera tan-Nofsinhar tal-Belt. Varsavja għandha wkoll żewġ ġonna botaniċi: mill-Park łazienki (unità ta ’riċerka didattika tal-Università ta’ Varsavja) kif ukoll mill-Park tal-Kultura u l-mistrieħ fil-Powsin (unità tal-Akkademja tax-Xjenza Pollakka).</v>
      </c>
    </row>
    <row r="15877" ht="15.75" customHeight="1">
      <c r="A15877" s="2" t="s">
        <v>15877</v>
      </c>
      <c r="B15877" s="2" t="str">
        <f>IFERROR(__xludf.DUMMYFUNCTION("GOOGLETRANSLATE(A15877, ""en"", ""mt"")"),"Il-fratellanza kienet l-uniku grupp ta ’oppożizzjoni fl-Eġittu kapaċi jagħmel dak waqt l-elezzjonijiet?")</f>
        <v>Il-fratellanza kienet l-uniku grupp ta ’oppożizzjoni fl-Eġittu kapaċi jagħmel dak waqt l-elezzjonijiet?</v>
      </c>
    </row>
    <row r="15878" ht="15.75" customHeight="1">
      <c r="A15878" s="2" t="s">
        <v>15878</v>
      </c>
      <c r="B15878" s="2" t="str">
        <f>IFERROR(__xludf.DUMMYFUNCTION("GOOGLETRANSLATE(A15878, ""en"", ""mt"")"),"Skond it-tnaqqis, jekk X u Y jistgħu jissolvew bl-istess algoritmu allura X iwettaq liema funzjoni f'relazzjoni ma 'Y?")</f>
        <v>Skond it-tnaqqis, jekk X u Y jistgħu jissolvew bl-istess algoritmu allura X iwettaq liema funzjoni f'relazzjoni ma 'Y?</v>
      </c>
    </row>
    <row r="15879" ht="15.75" customHeight="1">
      <c r="A15879" s="2" t="s">
        <v>15879</v>
      </c>
      <c r="B15879" s="2" t="str">
        <f>IFERROR(__xludf.DUMMYFUNCTION("GOOGLETRANSLATE(A15879, ""en"", ""mt"")"),"ħasra")</f>
        <v>ħasra</v>
      </c>
    </row>
    <row r="15880" ht="15.75" customHeight="1">
      <c r="A15880" s="2" t="s">
        <v>15880</v>
      </c>
      <c r="B15880" s="2" t="str">
        <f>IFERROR(__xludf.DUMMYFUNCTION("GOOGLETRANSLATE(A15880, ""en"", ""mt"")"),"Dak li wera l-ispiżjar Ingliż li n-nar kellu bżonn biss nitoaereus?")</f>
        <v>Dak li wera l-ispiżjar Ingliż li n-nar kellu bżonn biss nitoaereus?</v>
      </c>
    </row>
    <row r="15881" ht="15.75" customHeight="1">
      <c r="A15881" s="2" t="s">
        <v>15881</v>
      </c>
      <c r="B15881" s="2" t="str">
        <f>IFERROR(__xludf.DUMMYFUNCTION("GOOGLETRANSLATE(A15881, ""en"", ""mt"")"),"Unitajiet ta 'kiri ta' kwalità")</f>
        <v>Unitajiet ta 'kiri ta' kwalità</v>
      </c>
    </row>
    <row r="15882" ht="15.75" customHeight="1">
      <c r="A15882" s="2" t="s">
        <v>15882</v>
      </c>
      <c r="B15882" s="2" t="str">
        <f>IFERROR(__xludf.DUMMYFUNCTION("GOOGLETRANSLATE(A15882, ""en"", ""mt"")"),"awtorità sagramentali")</f>
        <v>awtorità sagramentali</v>
      </c>
    </row>
    <row r="15883" ht="15.75" customHeight="1">
      <c r="A15883" s="2" t="s">
        <v>15883</v>
      </c>
      <c r="B15883" s="2" t="str">
        <f>IFERROR(__xludf.DUMMYFUNCTION("GOOGLETRANSLATE(A15883, ""en"", ""mt"")"),"Meta gruppi kbar ta 'nies jibbojkottjaw sistema kollha jew ma jħallsux taxxi jista' jiġi kkunsidrat?")</f>
        <v>Meta gruppi kbar ta 'nies jibbojkottjaw sistema kollha jew ma jħallsux taxxi jista' jiġi kkunsidrat?</v>
      </c>
    </row>
    <row r="15884" ht="15.75" customHeight="1">
      <c r="A15884" s="2" t="s">
        <v>15884</v>
      </c>
      <c r="B15884" s="2" t="str">
        <f>IFERROR(__xludf.DUMMYFUNCTION("GOOGLETRANSLATE(A15884, ""en"", ""mt"")"),"265.7 mili nawtiċi")</f>
        <v>265.7 mili nawtiċi</v>
      </c>
    </row>
    <row r="15885" ht="15.75" customHeight="1">
      <c r="A15885" s="2" t="s">
        <v>15885</v>
      </c>
      <c r="B15885" s="2" t="str">
        <f>IFERROR(__xludf.DUMMYFUNCTION("GOOGLETRANSLATE(A15885, ""en"", ""mt"")"),"Nifs pur o
2 F'applikazzjonijiet spazjali, bħal f'xi ilbiesi spazjali moderni, jew f'inġenji spazjali bikrija bħal Apollo, ma jikkawża l-ebda ħsara minħabba l-pressjonijiet totali baxxi użati. Fil-każ ta 'spazewiits, l-o
2 Pressjoni parzjali fil-gass tan-"&amp;"nifs hija, ġeneralment, madwar 30 kPa (1.4 darbiet normali), u l-o li tirriżulta
2 pressjoni parzjali fid-demm arterjali tal-astronawt hija biss marġinalment aktar mil-livell tal-baħar normali o
2 Pressjoni parzjali (għal aktar informazzjoni dwar dan, ara"&amp;" l-libsa spazjali u l-gass tad-demm arterjali).")</f>
        <v>Nifs pur o
2 F'applikazzjonijiet spazjali, bħal f'xi ilbiesi spazjali moderni, jew f'inġenji spazjali bikrija bħal Apollo, ma jikkawża l-ebda ħsara minħabba l-pressjonijiet totali baxxi użati. Fil-każ ta 'spazewiits, l-o
2 Pressjoni parzjali fil-gass tan-nifs hija, ġeneralment, madwar 30 kPa (1.4 darbiet normali), u l-o li tirriżulta
2 pressjoni parzjali fid-demm arterjali tal-astronawt hija biss marġinalment aktar mil-livell tal-baħar normali o
2 Pressjoni parzjali (għal aktar informazzjoni dwar dan, ara l-libsa spazjali u l-gass tad-demm arterjali).</v>
      </c>
    </row>
    <row r="15886" ht="15.75" customHeight="1">
      <c r="A15886" s="2" t="s">
        <v>15886</v>
      </c>
      <c r="B15886" s="2" t="str">
        <f>IFERROR(__xludf.DUMMYFUNCTION("GOOGLETRANSLATE(A15886, ""en"", ""mt"")"),"B'liema mod Lavoisier ra li l-landa li uża fl-esperiment tiegħu żdiedet?")</f>
        <v>B'liema mod Lavoisier ra li l-landa li uża fl-esperiment tiegħu żdiedet?</v>
      </c>
    </row>
    <row r="15887" ht="15.75" customHeight="1">
      <c r="A15887" s="2" t="s">
        <v>15887</v>
      </c>
      <c r="B15887" s="2" t="str">
        <f>IFERROR(__xludf.DUMMYFUNCTION("GOOGLETRANSLATE(A15887, ""en"", ""mt"")"),"Meta l-gvern Iranjan igawdi xi ħaġa ta 'qawmien mill-ġdid?")</f>
        <v>Meta l-gvern Iranjan igawdi xi ħaġa ta 'qawmien mill-ġdid?</v>
      </c>
    </row>
    <row r="15888" ht="15.75" customHeight="1">
      <c r="A15888" s="2" t="s">
        <v>15888</v>
      </c>
      <c r="B15888" s="2" t="str">
        <f>IFERROR(__xludf.DUMMYFUNCTION("GOOGLETRANSLATE(A15888, ""en"", ""mt"")"),"X'kien il-ħin fuq l-arloġġ meta Carolina kisbu l-ballun għal-linja ta '24-tarzna tagħhom fir-raba' kwart?")</f>
        <v>X'kien il-ħin fuq l-arloġġ meta Carolina kisbu l-ballun għal-linja ta '24-tarzna tagħhom fir-raba' kwart?</v>
      </c>
    </row>
    <row r="15889" ht="15.75" customHeight="1">
      <c r="A15889" s="2" t="s">
        <v>15889</v>
      </c>
      <c r="B15889" s="2" t="str">
        <f>IFERROR(__xludf.DUMMYFUNCTION("GOOGLETRANSLATE(A15889, ""en"", ""mt"")"),"Conrad ta 'Montferrat")</f>
        <v>Conrad ta 'Montferrat</v>
      </c>
    </row>
    <row r="15890" ht="15.75" customHeight="1">
      <c r="A15890" s="2" t="s">
        <v>15890</v>
      </c>
      <c r="B15890" s="2" t="str">
        <f>IFERROR(__xludf.DUMMYFUNCTION("GOOGLETRANSLATE(A15890, ""en"", ""mt"")"),"ideoloġiku")</f>
        <v>ideoloġiku</v>
      </c>
    </row>
    <row r="15891" ht="15.75" customHeight="1">
      <c r="A15891" s="2" t="s">
        <v>15891</v>
      </c>
      <c r="B15891" s="2" t="str">
        <f>IFERROR(__xludf.DUMMYFUNCTION("GOOGLETRANSLATE(A15891, ""en"", ""mt"")"),"Fejn fiċ-Ċina huwa Genghis Khan l-iktar li jidher favorevoli llum?")</f>
        <v>Fejn fiċ-Ċina huwa Genghis Khan l-iktar li jidher favorevoli llum?</v>
      </c>
    </row>
    <row r="15892" ht="15.75" customHeight="1">
      <c r="A15892" s="2" t="s">
        <v>15892</v>
      </c>
      <c r="B15892" s="2" t="str">
        <f>IFERROR(__xludf.DUMMYFUNCTION("GOOGLETRANSLATE(A15892, ""en"", ""mt"")"),"Xi jfisser li l-mudell ekonomiku u soċjali tal-Istati Uniti għandu livelli sostanzjali?")</f>
        <v>Xi jfisser li l-mudell ekonomiku u soċjali tal-Istati Uniti għandu livelli sostanzjali?</v>
      </c>
    </row>
    <row r="15893" ht="15.75" customHeight="1">
      <c r="A15893" s="2" t="s">
        <v>15893</v>
      </c>
      <c r="B15893" s="2" t="str">
        <f>IFERROR(__xludf.DUMMYFUNCTION("GOOGLETRANSLATE(A15893, ""en"", ""mt"")"),"Xi tuża l-ctenophora biex tgħum?")</f>
        <v>Xi tuża l-ctenophora biex tgħum?</v>
      </c>
    </row>
    <row r="15894" ht="15.75" customHeight="1">
      <c r="A15894" s="2" t="s">
        <v>15894</v>
      </c>
      <c r="B15894" s="2" t="str">
        <f>IFERROR(__xludf.DUMMYFUNCTION("GOOGLETRANSLATE(A15894, ""en"", ""mt"")"),"Ibbażat fuq l-osservazzjoni tiegħu ta 'qxur ta' annimali fossili fi stratum ġeoloġiku f'muntanja mijiet ta 'mili mill-oċean")</f>
        <v>Ibbażat fuq l-osservazzjoni tiegħu ta 'qxur ta' annimali fossili fi stratum ġeoloġiku f'muntanja mijiet ta 'mili mill-oċean</v>
      </c>
    </row>
    <row r="15895" ht="15.75" customHeight="1">
      <c r="A15895" s="2" t="s">
        <v>15895</v>
      </c>
      <c r="B15895" s="2" t="str">
        <f>IFERROR(__xludf.DUMMYFUNCTION("GOOGLETRANSLATE(A15895, ""en"", ""mt"")"),"Xi nies jiddeskrivu dak bejn individwi jew gruppi bħala imperjalizmu jew kolonjaliżmu?")</f>
        <v>Xi nies jiddeskrivu dak bejn individwi jew gruppi bħala imperjalizmu jew kolonjaliżmu?</v>
      </c>
    </row>
    <row r="15896" ht="15.75" customHeight="1">
      <c r="A15896" s="2" t="s">
        <v>15896</v>
      </c>
      <c r="B15896" s="2" t="str">
        <f>IFERROR(__xludf.DUMMYFUNCTION("GOOGLETRANSLATE(A15896, ""en"", ""mt"")"),"Fejn poġġa lill-istudenti Turabi jissimpatizzaw mal-fehmiet tiegħu?")</f>
        <v>Fejn poġġa lill-istudenti Turabi jissimpatizzaw mal-fehmiet tiegħu?</v>
      </c>
    </row>
    <row r="15897" ht="15.75" customHeight="1">
      <c r="A15897" s="2" t="s">
        <v>15897</v>
      </c>
      <c r="B15897" s="2" t="str">
        <f>IFERROR(__xludf.DUMMYFUNCTION("GOOGLETRANSLATE(A15897, ""en"", ""mt"")"),"Liema sintomu relatat mal-ġilda jidher mill-pesta pnewmonika?")</f>
        <v>Liema sintomu relatat mal-ġilda jidher mill-pesta pnewmonika?</v>
      </c>
    </row>
    <row r="15898" ht="15.75" customHeight="1">
      <c r="A15898" s="2" t="s">
        <v>15898</v>
      </c>
      <c r="B15898" s="2" t="str">
        <f>IFERROR(__xludf.DUMMYFUNCTION("GOOGLETRANSLATE(A15898, ""en"", ""mt"")"),"X’ġara b’mod konsiderevoli għal Varsavja meta kellha ekonomija tal-blokk tal-Lvant?")</f>
        <v>X’ġara b’mod konsiderevoli għal Varsavja meta kellha ekonomija tal-blokk tal-Lvant?</v>
      </c>
    </row>
    <row r="15899" ht="15.75" customHeight="1">
      <c r="A15899" s="2" t="s">
        <v>15899</v>
      </c>
      <c r="B15899" s="2" t="str">
        <f>IFERROR(__xludf.DUMMYFUNCTION("GOOGLETRANSLATE(A15899, ""en"", ""mt"")"),"le")</f>
        <v>le</v>
      </c>
    </row>
    <row r="15900" ht="15.75" customHeight="1">
      <c r="A15900" s="2" t="s">
        <v>15900</v>
      </c>
      <c r="B15900" s="2" t="str">
        <f>IFERROR(__xludf.DUMMYFUNCTION("GOOGLETRANSLATE(A15900, ""en"", ""mt"")"),"Prinċep Albert")</f>
        <v>Prinċep Albert</v>
      </c>
    </row>
    <row r="15901" ht="15.75" customHeight="1">
      <c r="A15901" s="2" t="s">
        <v>15901</v>
      </c>
      <c r="B15901" s="2" t="str">
        <f>IFERROR(__xludf.DUMMYFUNCTION("GOOGLETRANSLATE(A15901, ""en"", ""mt"")"),"Kemm jinstab ossiġnu huwa litru ta 'ilma ħelu f'kundizzjonijiet normali?")</f>
        <v>Kemm jinstab ossiġnu huwa litru ta 'ilma ħelu f'kundizzjonijiet normali?</v>
      </c>
    </row>
    <row r="15902" ht="15.75" customHeight="1">
      <c r="A15902" s="2" t="s">
        <v>15902</v>
      </c>
      <c r="B15902" s="2" t="str">
        <f>IFERROR(__xludf.DUMMYFUNCTION("GOOGLETRANSLATE(A15902, ""en"", ""mt"")"),"sinjur u tajjeb soċjalment")</f>
        <v>sinjur u tajjeb soċjalment</v>
      </c>
    </row>
    <row r="15903" ht="15.75" customHeight="1">
      <c r="A15903" s="2" t="s">
        <v>15903</v>
      </c>
      <c r="B15903" s="2" t="str">
        <f>IFERROR(__xludf.DUMMYFUNCTION("GOOGLETRANSLATE(A15903, ""en"", ""mt"")"),"marġinalment aktar")</f>
        <v>marġinalment aktar</v>
      </c>
    </row>
    <row r="15904" ht="15.75" customHeight="1">
      <c r="A15904" s="2" t="s">
        <v>15904</v>
      </c>
      <c r="B15904" s="2" t="str">
        <f>IFERROR(__xludf.DUMMYFUNCTION("GOOGLETRANSLATE(A15904, ""en"", ""mt"")"),"Tipprojbixxi ċ-ċelebrazzjoni tal-għaqdiet tal-istess sess.")</f>
        <v>Tipprojbixxi ċ-ċelebrazzjoni tal-għaqdiet tal-istess sess.</v>
      </c>
    </row>
    <row r="15905" ht="15.75" customHeight="1">
      <c r="A15905" s="2" t="s">
        <v>15905</v>
      </c>
      <c r="B15905" s="2" t="str">
        <f>IFERROR(__xludf.DUMMYFUNCTION("GOOGLETRANSLATE(A15905, ""en"", ""mt"")"),"Levi's Stadium ta 'Levi ta' San Francisco Bay Area")</f>
        <v>Levi's Stadium ta 'Levi ta' San Francisco Bay Area</v>
      </c>
    </row>
    <row r="15906" ht="15.75" customHeight="1">
      <c r="A15906" s="2" t="s">
        <v>15906</v>
      </c>
      <c r="B15906" s="2" t="str">
        <f>IFERROR(__xludf.DUMMYFUNCTION("GOOGLETRANSLATE(A15906, ""en"", ""mt"")"),"Iċ-ċentru tal-passaġġ mgħawweġ")</f>
        <v>Iċ-ċentru tal-passaġġ mgħawweġ</v>
      </c>
    </row>
    <row r="15907" ht="15.75" customHeight="1">
      <c r="A15907" s="2" t="s">
        <v>15907</v>
      </c>
      <c r="B15907" s="2" t="str">
        <f>IFERROR(__xludf.DUMMYFUNCTION("GOOGLETRANSLATE(A15907, ""en"", ""mt"")"),"opportunistiku")</f>
        <v>opportunistiku</v>
      </c>
    </row>
    <row r="15908" ht="15.75" customHeight="1">
      <c r="A15908" s="2" t="s">
        <v>15908</v>
      </c>
      <c r="B15908" s="2" t="str">
        <f>IFERROR(__xludf.DUMMYFUNCTION("GOOGLETRANSLATE(A15908, ""en"", ""mt"")"),"ikkonfermat u emendat")</f>
        <v>ikkonfermat u emendat</v>
      </c>
    </row>
    <row r="15909" ht="15.75" customHeight="1">
      <c r="A15909" s="2" t="s">
        <v>15909</v>
      </c>
      <c r="B15909" s="2" t="str">
        <f>IFERROR(__xludf.DUMMYFUNCTION("GOOGLETRANSLATE(A15909, ""en"", ""mt"")"),"Sekli 18 u 19")</f>
        <v>Sekli 18 u 19</v>
      </c>
    </row>
    <row r="15910" ht="15.75" customHeight="1">
      <c r="A15910" s="2" t="s">
        <v>15910</v>
      </c>
      <c r="B15910" s="2" t="str">
        <f>IFERROR(__xludf.DUMMYFUNCTION("GOOGLETRANSLATE(A15910, ""en"", ""mt"")"),"Kemm mili madwar l-Oċean Atlantiku jivvjaġġa t-trab tas-Saharan?")</f>
        <v>Kemm mili madwar l-Oċean Atlantiku jivvjaġġa t-trab tas-Saharan?</v>
      </c>
    </row>
    <row r="15911" ht="15.75" customHeight="1">
      <c r="A15911" s="2" t="s">
        <v>15911</v>
      </c>
      <c r="B15911" s="2" t="str">
        <f>IFERROR(__xludf.DUMMYFUNCTION("GOOGLETRANSLATE(A15911, ""en"", ""mt"")"),"Liema mexxej mexxa r-rewwixta Olandiża u kiteb apologie?")</f>
        <v>Liema mexxej mexxa r-rewwixta Olandiża u kiteb apologie?</v>
      </c>
    </row>
    <row r="15912" ht="15.75" customHeight="1">
      <c r="A15912" s="2" t="s">
        <v>15912</v>
      </c>
      <c r="B15912" s="2" t="str">
        <f>IFERROR(__xludf.DUMMYFUNCTION("GOOGLETRANSLATE(A15912, ""en"", ""mt"")"),"Minn fejn ixandar l-istazzjon tar-radju ta 'Newcastle Student matul it-termini?")</f>
        <v>Minn fejn ixandar l-istazzjon tar-radju ta 'Newcastle Student matul it-termini?</v>
      </c>
    </row>
    <row r="15913" ht="15.75" customHeight="1">
      <c r="A15913" s="2" t="s">
        <v>15913</v>
      </c>
      <c r="B15913" s="2" t="str">
        <f>IFERROR(__xludf.DUMMYFUNCTION("GOOGLETRANSLATE(A15913, ""en"", ""mt"")"),"It-temperaturi u l-livelli tal-baħar kienu qed jiżdiedu fuq jew 'il fuq mir-rati massimi proposti")</f>
        <v>It-temperaturi u l-livelli tal-baħar kienu qed jiżdiedu fuq jew 'il fuq mir-rati massimi proposti</v>
      </c>
    </row>
    <row r="15914" ht="15.75" customHeight="1">
      <c r="A15914" s="2" t="s">
        <v>15914</v>
      </c>
      <c r="B15914" s="2" t="str">
        <f>IFERROR(__xludf.DUMMYFUNCTION("GOOGLETRANSLATE(A15914, ""en"", ""mt"")"),"Meta ġiet meqruda l-kolonja?")</f>
        <v>Meta ġiet meqruda l-kolonja?</v>
      </c>
    </row>
    <row r="15915" ht="15.75" customHeight="1">
      <c r="A15915" s="2" t="s">
        <v>15915</v>
      </c>
      <c r="B15915" s="2" t="str">
        <f>IFERROR(__xludf.DUMMYFUNCTION("GOOGLETRANSLATE(A15915, ""en"", ""mt"")"),"permezz ta ’konferma u xi kultant il-professjoni tal-fidi.")</f>
        <v>permezz ta ’konferma u xi kultant il-professjoni tal-fidi.</v>
      </c>
    </row>
    <row r="15916" ht="15.75" customHeight="1">
      <c r="A15916" s="2" t="s">
        <v>15916</v>
      </c>
      <c r="B15916" s="2" t="str">
        <f>IFERROR(__xludf.DUMMYFUNCTION("GOOGLETRANSLATE(A15916, ""en"", ""mt"")"),"Ma 'min iżżewweġ Martin Luther?")</f>
        <v>Ma 'min iżżewweġ Martin Luther?</v>
      </c>
    </row>
    <row r="15917" ht="15.75" customHeight="1">
      <c r="A15917" s="2" t="s">
        <v>15917</v>
      </c>
      <c r="B15917" s="2" t="str">
        <f>IFERROR(__xludf.DUMMYFUNCTION("GOOGLETRANSLATE(A15917, ""en"", ""mt"")"),"regolamenti u direttivi li huma bbażati fuq it-trattati")</f>
        <v>regolamenti u direttivi li huma bbażati fuq it-trattati</v>
      </c>
    </row>
    <row r="15918" ht="15.75" customHeight="1">
      <c r="A15918" s="2" t="s">
        <v>15918</v>
      </c>
      <c r="B15918" s="2" t="str">
        <f>IFERROR(__xludf.DUMMYFUNCTION("GOOGLETRANSLATE(A15918, ""en"", ""mt"")"),"Min hi l-akbar u l-iktar ekonomija avvanzata fil-Lvant u l-Afrika Ċentrali?")</f>
        <v>Min hi l-akbar u l-iktar ekonomija avvanzata fil-Lvant u l-Afrika Ċentrali?</v>
      </c>
    </row>
    <row r="15919" ht="15.75" customHeight="1">
      <c r="A15919" s="2" t="s">
        <v>15919</v>
      </c>
      <c r="B15919" s="2" t="str">
        <f>IFERROR(__xludf.DUMMYFUNCTION("GOOGLETRANSLATE(A15919, ""en"", ""mt"")"),"Kemm ilu Cyanobacteria daħal f'ċellula?")</f>
        <v>Kemm ilu Cyanobacteria daħal f'ċellula?</v>
      </c>
    </row>
    <row r="15920" ht="15.75" customHeight="1">
      <c r="A15920" s="2" t="s">
        <v>15920</v>
      </c>
      <c r="B15920" s="2" t="str">
        <f>IFERROR(__xludf.DUMMYFUNCTION("GOOGLETRANSLATE(A15920, ""en"", ""mt"")"),"Liema parti tar-Rhine tgħaddi minn North Rhine-Westphalia?")</f>
        <v>Liema parti tar-Rhine tgħaddi minn North Rhine-Westphalia?</v>
      </c>
    </row>
    <row r="15921" ht="15.75" customHeight="1">
      <c r="A15921" s="2" t="s">
        <v>15921</v>
      </c>
      <c r="B15921" s="2" t="str">
        <f>IFERROR(__xludf.DUMMYFUNCTION("GOOGLETRANSLATE(A15921, ""en"", ""mt"")"),"Liema istituzzjoni ta 'Filadelfja tat Tesla tat dimostrazzjoni lil?")</f>
        <v>Liema istituzzjoni ta 'Filadelfja tat Tesla tat dimostrazzjoni lil?</v>
      </c>
    </row>
    <row r="15922" ht="15.75" customHeight="1">
      <c r="A15922" s="2" t="s">
        <v>15922</v>
      </c>
      <c r="B15922" s="2" t="str">
        <f>IFERROR(__xludf.DUMMYFUNCTION("GOOGLETRANSLATE(A15922, ""en"", ""mt"")"),"Liema pajjiż huwa l-iktar dipendenti fuq iż-żejt Għarbi?")</f>
        <v>Liema pajjiż huwa l-iktar dipendenti fuq iż-żejt Għarbi?</v>
      </c>
    </row>
    <row r="15923" ht="15.75" customHeight="1">
      <c r="A15923" s="2" t="s">
        <v>15923</v>
      </c>
      <c r="B15923" s="2" t="str">
        <f>IFERROR(__xludf.DUMMYFUNCTION("GOOGLETRANSLATE(A15923, ""en"", ""mt"")"),"F’liema sena l-università rat l-ewwel waqgħa fl-applikazzjonijiet?")</f>
        <v>F’liema sena l-università rat l-ewwel waqgħa fl-applikazzjonijiet?</v>
      </c>
    </row>
    <row r="15924" ht="15.75" customHeight="1">
      <c r="A15924" s="2" t="s">
        <v>15924</v>
      </c>
      <c r="B15924" s="2" t="str">
        <f>IFERROR(__xludf.DUMMYFUNCTION("GOOGLETRANSLATE(A15924, ""en"", ""mt"")"),"Il-Konferenza Annwali")</f>
        <v>Il-Konferenza Annwali</v>
      </c>
    </row>
    <row r="15925" ht="15.75" customHeight="1">
      <c r="A15925" s="2" t="s">
        <v>15925</v>
      </c>
      <c r="B15925" s="2" t="str">
        <f>IFERROR(__xludf.DUMMYFUNCTION("GOOGLETRANSLATE(A15925, ""en"", ""mt"")"),"Racket")</f>
        <v>Racket</v>
      </c>
    </row>
    <row r="15926" ht="15.75" customHeight="1">
      <c r="A15926" s="2" t="s">
        <v>15926</v>
      </c>
      <c r="B15926" s="2" t="str">
        <f>IFERROR(__xludf.DUMMYFUNCTION("GOOGLETRANSLATE(A15926, ""en"", ""mt"")"),"Ir-Reġina Eliżabetta II")</f>
        <v>Ir-Reġina Eliżabetta II</v>
      </c>
    </row>
    <row r="15927" ht="15.75" customHeight="1">
      <c r="A15927" s="2" t="s">
        <v>15927</v>
      </c>
      <c r="B15927" s="2" t="str">
        <f>IFERROR(__xludf.DUMMYFUNCTION("GOOGLETRANSLATE(A15927, ""en"", ""mt"")"),"meħtieġa")</f>
        <v>meħtieġa</v>
      </c>
    </row>
    <row r="15928" ht="15.75" customHeight="1">
      <c r="A15928" s="2" t="s">
        <v>15928</v>
      </c>
      <c r="B15928" s="2" t="str">
        <f>IFERROR(__xludf.DUMMYFUNCTION("GOOGLETRANSLATE(A15928, ""en"", ""mt"")"),"Smiljan")</f>
        <v>Smiljan</v>
      </c>
    </row>
    <row r="15929" ht="15.75" customHeight="1">
      <c r="A15929" s="2" t="s">
        <v>15929</v>
      </c>
      <c r="B15929" s="2" t="str">
        <f>IFERROR(__xludf.DUMMYFUNCTION("GOOGLETRANSLATE(A15929, ""en"", ""mt"")"),"rivista kummerċjali għall-industrija tal-kostruzzjoni")</f>
        <v>rivista kummerċjali għall-industrija tal-kostruzzjoni</v>
      </c>
    </row>
    <row r="15930" ht="15.75" customHeight="1">
      <c r="A15930" s="2" t="s">
        <v>15930</v>
      </c>
      <c r="B15930" s="2" t="str">
        <f>IFERROR(__xludf.DUMMYFUNCTION("GOOGLETRANSLATE(A15930, ""en"", ""mt"")"),"Ragħaj lokali liċenzjat")</f>
        <v>Ragħaj lokali liċenzjat</v>
      </c>
    </row>
    <row r="15931" ht="15.75" customHeight="1">
      <c r="A15931" s="2" t="s">
        <v>15931</v>
      </c>
      <c r="B15931" s="2" t="str">
        <f>IFERROR(__xludf.DUMMYFUNCTION("GOOGLETRANSLATE(A15931, ""en"", ""mt"")"),"Meta hija l-ewwel referenza fl-istorja għal Varsavja?")</f>
        <v>Meta hija l-ewwel referenza fl-istorja għal Varsavja?</v>
      </c>
    </row>
    <row r="15932" ht="15.75" customHeight="1">
      <c r="A15932" s="2" t="s">
        <v>15932</v>
      </c>
      <c r="B15932" s="2" t="str">
        <f>IFERROR(__xludf.DUMMYFUNCTION("GOOGLETRANSLATE(A15932, ""en"", ""mt"")"),"Trattament dettaljat bil-mekkanika statistika")</f>
        <v>Trattament dettaljat bil-mekkanika statistika</v>
      </c>
    </row>
    <row r="15933" ht="15.75" customHeight="1">
      <c r="A15933" s="2" t="s">
        <v>15933</v>
      </c>
      <c r="B15933" s="2" t="str">
        <f>IFERROR(__xludf.DUMMYFUNCTION("GOOGLETRANSLATE(A15933, ""en"", ""mt"")"),"L")</f>
        <v>L</v>
      </c>
    </row>
    <row r="15934" ht="15.75" customHeight="1">
      <c r="A15934" s="2" t="s">
        <v>15934</v>
      </c>
      <c r="B15934" s="2" t="str">
        <f>IFERROR(__xludf.DUMMYFUNCTION("GOOGLETRANSLATE(A15934, ""en"", ""mt"")"),"Fl-2013, l-identità ta 'ABC ġiet imġedda mill-ġdid minn liema aġenzija tad-disinn?")</f>
        <v>Fl-2013, l-identità ta 'ABC ġiet imġedda mill-ġdid minn liema aġenzija tad-disinn?</v>
      </c>
    </row>
    <row r="15935" ht="15.75" customHeight="1">
      <c r="A15935" s="2" t="s">
        <v>15935</v>
      </c>
      <c r="B15935" s="2" t="str">
        <f>IFERROR(__xludf.DUMMYFUNCTION("GOOGLETRANSLATE(A15935, ""en"", ""mt"")"),"Thomas B. Edsall")</f>
        <v>Thomas B. Edsall</v>
      </c>
    </row>
    <row r="15936" ht="15.75" customHeight="1">
      <c r="A15936" s="2" t="s">
        <v>15936</v>
      </c>
      <c r="B15936" s="2" t="str">
        <f>IFERROR(__xludf.DUMMYFUNCTION("GOOGLETRANSLATE(A15936, ""en"", ""mt"")"),"1041")</f>
        <v>1041</v>
      </c>
    </row>
    <row r="15937" ht="15.75" customHeight="1">
      <c r="A15937" s="2" t="s">
        <v>15937</v>
      </c>
      <c r="B15937" s="2" t="str">
        <f>IFERROR(__xludf.DUMMYFUNCTION("GOOGLETRANSLATE(A15937, ""en"", ""mt"")"),"litosfera")</f>
        <v>litosfera</v>
      </c>
    </row>
    <row r="15938" ht="15.75" customHeight="1">
      <c r="A15938" s="2" t="s">
        <v>15938</v>
      </c>
      <c r="B15938" s="2" t="str">
        <f>IFERROR(__xludf.DUMMYFUNCTION("GOOGLETRANSLATE(A15938, ""en"", ""mt"")"),"Prodott sekondarju matematiku")</f>
        <v>Prodott sekondarju matematiku</v>
      </c>
    </row>
    <row r="15939" ht="15.75" customHeight="1">
      <c r="A15939" s="2" t="s">
        <v>15939</v>
      </c>
      <c r="B15939" s="2" t="str">
        <f>IFERROR(__xludf.DUMMYFUNCTION("GOOGLETRANSLATE(A15939, ""en"", ""mt"")"),"L-Iżlamisti ta ’min akkużaw ir-reġim Sawdi li kienu?")</f>
        <v>L-Iżlamisti ta ’min akkużaw ir-reġim Sawdi li kienu?</v>
      </c>
    </row>
    <row r="15940" ht="15.75" customHeight="1">
      <c r="A15940" s="2" t="s">
        <v>15940</v>
      </c>
      <c r="B15940" s="2" t="str">
        <f>IFERROR(__xludf.DUMMYFUNCTION("GOOGLETRANSLATE(A15940, ""en"", ""mt"")"),"L-elezzjoni pproduċiet gvern ta 'SNP b'maġġoranza, u għamel dan l-ewwel darba fil-Parlament Skoċċiż fejn partit ikkmanda maġġoranza parlamentari. L-SNP ħa 16-il siġġu mix-xogħol, b'ħafna mill-figuri ewlenin tagħhom ma rritornawx lill-Parlament, għalkemm i"&amp;"l-Mexxej Laburista Iain Gray żamm Lvant Lothian bi 151 vot. L-SNP ħa tmien siġġijiet oħra mid-Demokratiċi Liberali u siġġu wieħed mill-Konservattivi. Il-maġġoranza ġenerali tal-SNP fissret li kien hemm biżżejjed appoġġ fil-Parlament Skoċċiż biex iżomm ref"&amp;"erendum dwar l-indipendenza Skoċċiża.")</f>
        <v>L-elezzjoni pproduċiet gvern ta 'SNP b'maġġoranza, u għamel dan l-ewwel darba fil-Parlament Skoċċiż fejn partit ikkmanda maġġoranza parlamentari. L-SNP ħa 16-il siġġu mix-xogħol, b'ħafna mill-figuri ewlenin tagħhom ma rritornawx lill-Parlament, għalkemm il-Mexxej Laburista Iain Gray żamm Lvant Lothian bi 151 vot. L-SNP ħa tmien siġġijiet oħra mid-Demokratiċi Liberali u siġġu wieħed mill-Konservattivi. Il-maġġoranza ġenerali tal-SNP fissret li kien hemm biżżejjed appoġġ fil-Parlament Skoċċiż biex iżomm referendum dwar l-indipendenza Skoċċiża.</v>
      </c>
    </row>
    <row r="15941" ht="15.75" customHeight="1">
      <c r="A15941" s="2" t="s">
        <v>15941</v>
      </c>
      <c r="B15941" s="2" t="str">
        <f>IFERROR(__xludf.DUMMYFUNCTION("GOOGLETRANSLATE(A15941, ""en"", ""mt"")"),"Kemm kien hemm unitajiet tad-djar fl-2000?")</f>
        <v>Kemm kien hemm unitajiet tad-djar fl-2000?</v>
      </c>
    </row>
    <row r="15942" ht="15.75" customHeight="1">
      <c r="A15942" s="2" t="s">
        <v>15942</v>
      </c>
      <c r="B15942" s="2" t="str">
        <f>IFERROR(__xludf.DUMMYFUNCTION("GOOGLETRANSLATE(A15942, ""en"", ""mt"")"),"Transcendentalist Unitarju")</f>
        <v>Transcendentalist Unitarju</v>
      </c>
    </row>
    <row r="15943" ht="15.75" customHeight="1">
      <c r="A15943" s="2" t="s">
        <v>15943</v>
      </c>
      <c r="B15943" s="2" t="str">
        <f>IFERROR(__xludf.DUMMYFUNCTION("GOOGLETRANSLATE(A15943, ""en"", ""mt"")"),"Meta twieled John Gallagher?")</f>
        <v>Meta twieled John Gallagher?</v>
      </c>
    </row>
    <row r="15944" ht="15.75" customHeight="1">
      <c r="A15944" s="2" t="s">
        <v>15944</v>
      </c>
      <c r="B15944" s="2" t="str">
        <f>IFERROR(__xludf.DUMMYFUNCTION("GOOGLETRANSLATE(A15944, ""en"", ""mt"")"),"is-saċerdozju")</f>
        <v>is-saċerdozju</v>
      </c>
    </row>
    <row r="15945" ht="15.75" customHeight="1">
      <c r="A15945" s="2" t="s">
        <v>15945</v>
      </c>
      <c r="B15945" s="2" t="str">
        <f>IFERROR(__xludf.DUMMYFUNCTION("GOOGLETRANSLATE(A15945, ""en"", ""mt"")"),"Collier's Weekly")</f>
        <v>Collier's Weekly</v>
      </c>
    </row>
    <row r="15946" ht="15.75" customHeight="1">
      <c r="A15946" s="2" t="s">
        <v>15946</v>
      </c>
      <c r="B15946" s="2" t="str">
        <f>IFERROR(__xludf.DUMMYFUNCTION("GOOGLETRANSLATE(A15946, ""en"", ""mt"")"),"Min ipprova l-Partit ta ’Liberazzjoni Iżlamika pprova joqtol?")</f>
        <v>Min ipprova l-Partit ta ’Liberazzjoni Iżlamika pprova joqtol?</v>
      </c>
    </row>
    <row r="15947" ht="15.75" customHeight="1">
      <c r="A15947" s="2" t="s">
        <v>15947</v>
      </c>
      <c r="B15947" s="2" t="str">
        <f>IFERROR(__xludf.DUMMYFUNCTION("GOOGLETRANSLATE(A15947, ""en"", ""mt"")"),"200,000 lbf (890 kN) ta 'l-ispinta")</f>
        <v>200,000 lbf (890 kN) ta 'l-ispinta</v>
      </c>
    </row>
    <row r="15948" ht="15.75" customHeight="1">
      <c r="A15948" s="2" t="s">
        <v>15948</v>
      </c>
      <c r="B15948" s="2" t="str">
        <f>IFERROR(__xludf.DUMMYFUNCTION("GOOGLETRANSLATE(A15948, ""en"", ""mt"")"),"X’għamel brevett fl-1891?")</f>
        <v>X’għamel brevett fl-1891?</v>
      </c>
    </row>
    <row r="15949" ht="15.75" customHeight="1">
      <c r="A15949" s="2" t="s">
        <v>15949</v>
      </c>
      <c r="B15949" s="2" t="str">
        <f>IFERROR(__xludf.DUMMYFUNCTION("GOOGLETRANSLATE(A15949, ""en"", ""mt"")"),"Sir William Henry Bragg u William Lawrence Bragg")</f>
        <v>Sir William Henry Bragg u William Lawrence Bragg</v>
      </c>
    </row>
    <row r="15950" ht="15.75" customHeight="1">
      <c r="A15950" s="2" t="s">
        <v>15950</v>
      </c>
      <c r="B15950" s="2" t="str">
        <f>IFERROR(__xludf.DUMMYFUNCTION("GOOGLETRANSLATE(A15950, ""en"", ""mt"")"),"Wara l-liberazzjoni")</f>
        <v>Wara l-liberazzjoni</v>
      </c>
    </row>
    <row r="15951" ht="15.75" customHeight="1">
      <c r="A15951" s="2" t="s">
        <v>15951</v>
      </c>
      <c r="B15951" s="2" t="str">
        <f>IFERROR(__xludf.DUMMYFUNCTION("GOOGLETRANSLATE(A15951, ""en"", ""mt"")"),"mhux speċifiku")</f>
        <v>mhux speċifiku</v>
      </c>
    </row>
    <row r="15952" ht="15.75" customHeight="1">
      <c r="A15952" s="2" t="s">
        <v>15952</v>
      </c>
      <c r="B15952" s="2" t="str">
        <f>IFERROR(__xludf.DUMMYFUNCTION("GOOGLETRANSLATE(A15952, ""en"", ""mt"")"),"Provinċji ta 'l-Amerika ta' Fuq")</f>
        <v>Provinċji ta 'l-Amerika ta' Fuq</v>
      </c>
    </row>
    <row r="15953" ht="15.75" customHeight="1">
      <c r="A15953" s="2" t="s">
        <v>15953</v>
      </c>
      <c r="B15953" s="2" t="str">
        <f>IFERROR(__xludf.DUMMYFUNCTION("GOOGLETRANSLATE(A15953, ""en"", ""mt"")"),"Minbarra San Bernardino, x'inhu l-isem tal-belt l-oħra li żżomm id-distretti inkluż il-belt tal-università?")</f>
        <v>Minbarra San Bernardino, x'inhu l-isem tal-belt l-oħra li żżomm id-distretti inkluż il-belt tal-università?</v>
      </c>
    </row>
    <row r="15954" ht="15.75" customHeight="1">
      <c r="A15954" s="2" t="s">
        <v>15954</v>
      </c>
      <c r="B15954" s="2" t="str">
        <f>IFERROR(__xludf.DUMMYFUNCTION("GOOGLETRANSLATE(A15954, ""en"", ""mt"")"),"X'kien l-isem tal-avveniment fl-Embarcadero li sar qabel Super Bowl 50 biex jgħin juri xi wħud mill-affarijiet li San Francisco għandu x'toffri?")</f>
        <v>X'kien l-isem tal-avveniment fl-Embarcadero li sar qabel Super Bowl 50 biex jgħin juri xi wħud mill-affarijiet li San Francisco għandu x'toffri?</v>
      </c>
    </row>
    <row r="15955" ht="15.75" customHeight="1">
      <c r="A15955" s="2" t="s">
        <v>15955</v>
      </c>
      <c r="B15955" s="2" t="str">
        <f>IFERROR(__xludf.DUMMYFUNCTION("GOOGLETRANSLATE(A15955, ""en"", ""mt"")"),"Liema entità kienet rumored li tinbiegħ minn ABC bejn Mejju u Settembru 2005?")</f>
        <v>Liema entità kienet rumored li tinbiegħ minn ABC bejn Mejju u Settembru 2005?</v>
      </c>
    </row>
    <row r="15956" ht="15.75" customHeight="1">
      <c r="A15956" s="2" t="s">
        <v>15956</v>
      </c>
      <c r="B15956" s="2" t="str">
        <f>IFERROR(__xludf.DUMMYFUNCTION("GOOGLETRANSLATE(A15956, ""en"", ""mt"")"),"Xi jfisser zhèng?")</f>
        <v>Xi jfisser zhèng?</v>
      </c>
    </row>
    <row r="15957" ht="15.75" customHeight="1">
      <c r="A15957" s="2" t="s">
        <v>15957</v>
      </c>
      <c r="B15957" s="2" t="str">
        <f>IFERROR(__xludf.DUMMYFUNCTION("GOOGLETRANSLATE(A15957, ""en"", ""mt"")"),"Aktar minn miljun")</f>
        <v>Aktar minn miljun</v>
      </c>
    </row>
    <row r="15958" ht="15.75" customHeight="1">
      <c r="A15958" s="2" t="s">
        <v>15958</v>
      </c>
      <c r="B15958" s="2" t="str">
        <f>IFERROR(__xludf.DUMMYFUNCTION("GOOGLETRANSLATE(A15958, ""en"", ""mt"")"),"L-UMC kien membru fundatur ta 'liema koalizzjoni?")</f>
        <v>L-UMC kien membru fundatur ta 'liema koalizzjoni?</v>
      </c>
    </row>
    <row r="15959" ht="15.75" customHeight="1">
      <c r="A15959" s="2" t="s">
        <v>15959</v>
      </c>
      <c r="B15959" s="2" t="str">
        <f>IFERROR(__xludf.DUMMYFUNCTION("GOOGLETRANSLATE(A15959, ""en"", ""mt"")"),"bena t-triq tar-re")</f>
        <v>bena t-triq tar-re</v>
      </c>
    </row>
    <row r="15960" ht="15.75" customHeight="1">
      <c r="A15960" s="2" t="s">
        <v>15960</v>
      </c>
      <c r="B15960" s="2" t="str">
        <f>IFERROR(__xludf.DUMMYFUNCTION("GOOGLETRANSLATE(A15960, ""en"", ""mt"")"),"2 ġimgħat kull sena")</f>
        <v>2 ġimgħat kull sena</v>
      </c>
    </row>
    <row r="15961" ht="15.75" customHeight="1">
      <c r="A15961" s="2" t="s">
        <v>15961</v>
      </c>
      <c r="B15961" s="2" t="str">
        <f>IFERROR(__xludf.DUMMYFUNCTION("GOOGLETRANSLATE(A15961, ""en"", ""mt"")"),"L-arrest tiegħu ma kien kopert fl-ebda gazzetta")</f>
        <v>L-arrest tiegħu ma kien kopert fl-ebda gazzetta</v>
      </c>
    </row>
    <row r="15962" ht="15.75" customHeight="1">
      <c r="A15962" s="2" t="s">
        <v>15962</v>
      </c>
      <c r="B15962" s="2" t="str">
        <f>IFERROR(__xludf.DUMMYFUNCTION("GOOGLETRANSLATE(A15962, ""en"", ""mt"")"),"X'inhu l-komponent ewlieni tal-organu aboral?")</f>
        <v>X'inhu l-komponent ewlieni tal-organu aboral?</v>
      </c>
    </row>
    <row r="15963" ht="15.75" customHeight="1">
      <c r="A15963" s="2" t="s">
        <v>15963</v>
      </c>
      <c r="B15963" s="2" t="str">
        <f>IFERROR(__xludf.DUMMYFUNCTION("GOOGLETRANSLATE(A15963, ""en"", ""mt"")"),"widien interni")</f>
        <v>widien interni</v>
      </c>
    </row>
    <row r="15964" ht="15.75" customHeight="1">
      <c r="A15964" s="2" t="s">
        <v>15964</v>
      </c>
      <c r="B15964" s="2" t="str">
        <f>IFERROR(__xludf.DUMMYFUNCTION("GOOGLETRANSLATE(A15964, ""en"", ""mt"")"),"Min kien twil id-dewmien tax-xandir iddikjara li kien l-ewwel darba li s-serje ħarġet?")</f>
        <v>Min kien twil id-dewmien tax-xandir iddikjara li kien l-ewwel darba li s-serje ħarġet?</v>
      </c>
    </row>
    <row r="15965" ht="15.75" customHeight="1">
      <c r="A15965" s="2" t="s">
        <v>15965</v>
      </c>
      <c r="B15965" s="2" t="str">
        <f>IFERROR(__xludf.DUMMYFUNCTION("GOOGLETRANSLATE(A15965, ""en"", ""mt"")"),"Liema tobba dehru fl-erba 'tobba?")</f>
        <v>Liema tobba dehru fl-erba 'tobba?</v>
      </c>
    </row>
    <row r="15966" ht="15.75" customHeight="1">
      <c r="A15966" s="2" t="s">
        <v>15966</v>
      </c>
      <c r="B15966" s="2" t="str">
        <f>IFERROR(__xludf.DUMMYFUNCTION("GOOGLETRANSLATE(A15966, ""en"", ""mt"")"),"S-band ta 'qligħ għoli")</f>
        <v>S-band ta 'qligħ għoli</v>
      </c>
    </row>
    <row r="15967" ht="15.75" customHeight="1">
      <c r="A15967" s="2" t="s">
        <v>15967</v>
      </c>
      <c r="B15967" s="2" t="str">
        <f>IFERROR(__xludf.DUMMYFUNCTION("GOOGLETRANSLATE(A15967, ""en"", ""mt"")"),"Kundizzjonijiet ta 'dawl baxx")</f>
        <v>Kundizzjonijiet ta 'dawl baxx</v>
      </c>
    </row>
    <row r="15968" ht="15.75" customHeight="1">
      <c r="A15968" s="2" t="s">
        <v>15968</v>
      </c>
      <c r="B15968" s="2" t="str">
        <f>IFERROR(__xludf.DUMMYFUNCTION("GOOGLETRANSLATE(A15968, ""en"", ""mt"")"),"Skond l-istudjużi ġeografiċi taħt l-imperi kolonizzanti, id-dinja tista 'tinqasam f'żoni klimatiċi. Dawn l-istudjużi jemmnu li l-Ewropa tat-Tramuntana u l-klima moderata f'nofs l-Atlantiku pproduċew bniedem li jaħdem ħafna, morali u li jispikka. Alternatt"&amp;"ivament, klimi tropikali taw attitudnijiet għażżien, promiskuità sesswali, kultura eżotika, u deġenerazzjoni morali. In-nies ta 'dawn il-klimi kienu maħsuba li għandhom bżonn gwida u intervent mill-Imperu Ewropew biex jgħinu fil-gvern ta' struttura soċjal"&amp;"i aktar evolvuta; Kienu meqjusa bħala inkapaċi ta 'tali proeza. Bl-istess mod, l-Orjentaliżmu huwa veduta ta 'nies ibbażati fuq il-post ġeografiku tagħhom.")</f>
        <v>Skond l-istudjużi ġeografiċi taħt l-imperi kolonizzanti, id-dinja tista 'tinqasam f'żoni klimatiċi. Dawn l-istudjużi jemmnu li l-Ewropa tat-Tramuntana u l-klima moderata f'nofs l-Atlantiku pproduċew bniedem li jaħdem ħafna, morali u li jispikka. Alternattivament, klimi tropikali taw attitudnijiet għażżien, promiskuità sesswali, kultura eżotika, u deġenerazzjoni morali. In-nies ta 'dawn il-klimi kienu maħsuba li għandhom bżonn gwida u intervent mill-Imperu Ewropew biex jgħinu fil-gvern ta' struttura soċjali aktar evolvuta; Kienu meqjusa bħala inkapaċi ta 'tali proeza. Bl-istess mod, l-Orjentaliżmu huwa veduta ta 'nies ibbażati fuq il-post ġeografiku tagħhom.</v>
      </c>
    </row>
    <row r="15969" ht="15.75" customHeight="1">
      <c r="A15969" s="2" t="s">
        <v>15969</v>
      </c>
      <c r="B15969" s="2" t="str">
        <f>IFERROR(__xludf.DUMMYFUNCTION("GOOGLETRANSLATE(A15969, ""en"", ""mt"")"),"X'inhuma l-annimali ""Ħames Big"" fil-Kenja?")</f>
        <v>X'inhuma l-annimali "Ħames Big" fil-Kenja?</v>
      </c>
    </row>
    <row r="15970" ht="15.75" customHeight="1">
      <c r="A15970" s="2" t="s">
        <v>15970</v>
      </c>
      <c r="B15970" s="2" t="str">
        <f>IFERROR(__xludf.DUMMYFUNCTION("GOOGLETRANSLATE(A15970, ""en"", ""mt"")"),"Jingħaqad mal-fluss tal-Lvant lejn l-Atlantiku.")</f>
        <v>Jingħaqad mal-fluss tal-Lvant lejn l-Atlantiku.</v>
      </c>
    </row>
    <row r="15971" ht="15.75" customHeight="1">
      <c r="A15971" s="2" t="s">
        <v>15971</v>
      </c>
      <c r="B15971" s="2" t="str">
        <f>IFERROR(__xludf.DUMMYFUNCTION("GOOGLETRANSLATE(A15971, ""en"", ""mt"")"),"Meta Genghis Khan sar Khan kbir?")</f>
        <v>Meta Genghis Khan sar Khan kbir?</v>
      </c>
    </row>
    <row r="15972" ht="15.75" customHeight="1">
      <c r="A15972" s="2" t="s">
        <v>15972</v>
      </c>
      <c r="B15972" s="2" t="str">
        <f>IFERROR(__xludf.DUMMYFUNCTION("GOOGLETRANSLATE(A15972, ""en"", ""mt"")"),"Ossiġenu-16")</f>
        <v>Ossiġenu-16</v>
      </c>
    </row>
    <row r="15973" ht="15.75" customHeight="1">
      <c r="A15973" s="2" t="s">
        <v>15973</v>
      </c>
      <c r="B15973" s="2" t="str">
        <f>IFERROR(__xludf.DUMMYFUNCTION("GOOGLETRANSLATE(A15973, ""en"", ""mt"")"),"il-perit jew l-inġinier")</f>
        <v>il-perit jew l-inġinier</v>
      </c>
    </row>
    <row r="15974" ht="15.75" customHeight="1">
      <c r="A15974" s="2" t="s">
        <v>15974</v>
      </c>
      <c r="B15974" s="2" t="str">
        <f>IFERROR(__xludf.DUMMYFUNCTION("GOOGLETRANSLATE(A15974, ""en"", ""mt"")"),"X'ġara waqt il-missjoni tat-test Apollo 7 biex toħroġhom verżjoni inqas tad-DSM?")</f>
        <v>X'ġara waqt il-missjoni tat-test Apollo 7 biex toħroġhom verżjoni inqas tad-DSM?</v>
      </c>
    </row>
    <row r="15975" ht="15.75" customHeight="1">
      <c r="A15975" s="2" t="s">
        <v>15975</v>
      </c>
      <c r="B15975" s="2" t="str">
        <f>IFERROR(__xludf.DUMMYFUNCTION("GOOGLETRANSLATE(A15975, ""en"", ""mt"")"),"Liema xjenzat ħoloq id-Daleks, bil-mutazzjoni?")</f>
        <v>Liema xjenzat ħoloq id-Daleks, bil-mutazzjoni?</v>
      </c>
    </row>
    <row r="15976" ht="15.75" customHeight="1">
      <c r="A15976" s="2" t="s">
        <v>15976</v>
      </c>
      <c r="B15976" s="2" t="str">
        <f>IFERROR(__xludf.DUMMYFUNCTION("GOOGLETRANSLATE(A15976, ""en"", ""mt"")"),"L-awtur tal-IPCC Richard Lindzen għamel numru ta ’kritika tal-qatran. Fost il-kritika tiegħu, Lindzen iddikjara li s-Sommarju tal-WGI għal dawk li jfasslu l-politika (SPM) ma jiġbor fil-qosor ir-rapport sħiħ tal-WGI. Pereżempju, Lindzen jiddikjara li l-SP"&amp;"M jissottolinja l-inċertezza assoċjata mal-mudelli klimatiċi. John Houghton, li kien ko-president ta 'Tar WGI, wieġeb għall-kritika ta' Lindzen dwar l-SPM. Houghton enfasizza li l-SPM huwa miftiehem mid-delegati minn ħafna mill-gvernijiet tad-dinja, u li "&amp;"kwalunkwe tibdil fl-SPM għandu jkun appoġġjat minn evidenza xjentifika.")</f>
        <v>L-awtur tal-IPCC Richard Lindzen għamel numru ta ’kritika tal-qatran. Fost il-kritika tiegħu, Lindzen iddikjara li s-Sommarju tal-WGI għal dawk li jfasslu l-politika (SPM) ma jiġbor fil-qosor ir-rapport sħiħ tal-WGI. Pereżempju, Lindzen jiddikjara li l-SPM jissottolinja l-inċertezza assoċjata mal-mudelli klimatiċi. John Houghton, li kien ko-president ta 'Tar WGI, wieġeb għall-kritika ta' Lindzen dwar l-SPM. Houghton enfasizza li l-SPM huwa miftiehem mid-delegati minn ħafna mill-gvernijiet tad-dinja, u li kwalunkwe tibdil fl-SPM għandu jkun appoġġjat minn evidenza xjentifika.</v>
      </c>
    </row>
    <row r="15977" ht="15.75" customHeight="1">
      <c r="A15977" s="2" t="s">
        <v>15977</v>
      </c>
      <c r="B15977" s="2" t="str">
        <f>IFERROR(__xludf.DUMMYFUNCTION("GOOGLETRANSLATE(A15977, ""en"", ""mt"")"),"Għalliema tal-iskola sekondarja")</f>
        <v>Għalliema tal-iskola sekondarja</v>
      </c>
    </row>
    <row r="15978" ht="15.75" customHeight="1">
      <c r="A15978" s="2" t="s">
        <v>15978</v>
      </c>
      <c r="B15978" s="2" t="str">
        <f>IFERROR(__xludf.DUMMYFUNCTION("GOOGLETRANSLATE(A15978, ""en"", ""mt"")"),"Għaliex ABC ġie mġiegħel ibiegħ l-interessi tiegħu f'netwerks internazzjonali fis-snin 70?")</f>
        <v>Għaliex ABC ġie mġiegħel ibiegħ l-interessi tiegħu f'netwerks internazzjonali fis-snin 70?</v>
      </c>
    </row>
    <row r="15979" ht="15.75" customHeight="1">
      <c r="A15979" s="2" t="s">
        <v>15979</v>
      </c>
      <c r="B15979" s="2" t="str">
        <f>IFERROR(__xludf.DUMMYFUNCTION("GOOGLETRANSLATE(A15979, ""en"", ""mt"")"),"bħala rapporteur")</f>
        <v>bħala rapporteur</v>
      </c>
    </row>
    <row r="15980" ht="15.75" customHeight="1">
      <c r="A15980" s="2" t="s">
        <v>15980</v>
      </c>
      <c r="B15980" s="2" t="str">
        <f>IFERROR(__xludf.DUMMYFUNCTION("GOOGLETRANSLATE(A15980, ""en"", ""mt"")"),"John Dobson")</f>
        <v>John Dobson</v>
      </c>
    </row>
    <row r="15981" ht="15.75" customHeight="1">
      <c r="A15981" s="2" t="s">
        <v>15981</v>
      </c>
      <c r="B15981" s="2" t="str">
        <f>IFERROR(__xludf.DUMMYFUNCTION("GOOGLETRANSLATE(A15981, ""en"", ""mt"")"),"Impjant tat-turbina tal-fwar")</f>
        <v>Impjant tat-turbina tal-fwar</v>
      </c>
    </row>
    <row r="15982" ht="15.75" customHeight="1">
      <c r="A15982" s="2" t="s">
        <v>15982</v>
      </c>
      <c r="B15982" s="2" t="str">
        <f>IFERROR(__xludf.DUMMYFUNCTION("GOOGLETRANSLATE(A15982, ""en"", ""mt"")"),"temperatura tal-għeluq")</f>
        <v>temperatura tal-għeluq</v>
      </c>
    </row>
    <row r="15983" ht="15.75" customHeight="1">
      <c r="A15983" s="2" t="s">
        <v>15983</v>
      </c>
      <c r="B15983" s="2" t="str">
        <f>IFERROR(__xludf.DUMMYFUNCTION("GOOGLETRANSLATE(A15983, ""en"", ""mt"")"),"Joseph Priestley")</f>
        <v>Joseph Priestley</v>
      </c>
    </row>
    <row r="15984" ht="15.75" customHeight="1">
      <c r="A15984" s="2" t="s">
        <v>15984</v>
      </c>
      <c r="B15984" s="2" t="str">
        <f>IFERROR(__xludf.DUMMYFUNCTION("GOOGLETRANSLATE(A15984, ""en"", ""mt"")"),"Céloron hedded ""Brittaniku qadim"" b'konsegwenzi severi")</f>
        <v>Céloron hedded "Brittaniku qadim" b'konsegwenzi severi</v>
      </c>
    </row>
    <row r="15985" ht="15.75" customHeight="1">
      <c r="A15985" s="2" t="s">
        <v>15985</v>
      </c>
      <c r="B15985" s="2" t="str">
        <f>IFERROR(__xludf.DUMMYFUNCTION("GOOGLETRANSLATE(A15985, ""en"", ""mt"")"),"Ottubru")</f>
        <v>Ottubru</v>
      </c>
    </row>
    <row r="15986" ht="15.75" customHeight="1">
      <c r="A15986" s="2" t="s">
        <v>15986</v>
      </c>
      <c r="B15986" s="2" t="str">
        <f>IFERROR(__xludf.DUMMYFUNCTION("GOOGLETRANSLATE(A15986, ""en"", ""mt"")"),"Doża ta 'unità, jew doża waħda ta' mediċina")</f>
        <v>Doża ta 'unità, jew doża waħda ta' mediċina</v>
      </c>
    </row>
    <row r="15987" ht="15.75" customHeight="1">
      <c r="A15987" s="2" t="s">
        <v>15987</v>
      </c>
      <c r="B15987" s="2" t="str">
        <f>IFERROR(__xludf.DUMMYFUNCTION("GOOGLETRANSLATE(A15987, ""en"", ""mt"")"),"Liema Super Bowl kien l-aħħar fejn fumble ġie rritornat għal touchdown?")</f>
        <v>Liema Super Bowl kien l-aħħar fejn fumble ġie rritornat għal touchdown?</v>
      </c>
    </row>
    <row r="15988" ht="15.75" customHeight="1">
      <c r="A15988" s="2" t="s">
        <v>15988</v>
      </c>
      <c r="B15988" s="2" t="str">
        <f>IFERROR(__xludf.DUMMYFUNCTION("GOOGLETRANSLATE(A15988, ""en"", ""mt"")"),"Kemm kienet ogħla r-rata ta 'deforestazzjoni fl-2000, għall-2005 meta mqabbla mal-1995 sal-2000?")</f>
        <v>Kemm kienet ogħla r-rata ta 'deforestazzjoni fl-2000, għall-2005 meta mqabbla mal-1995 sal-2000?</v>
      </c>
    </row>
    <row r="15989" ht="15.75" customHeight="1">
      <c r="A15989" s="2" t="s">
        <v>15989</v>
      </c>
      <c r="B15989" s="2" t="str">
        <f>IFERROR(__xludf.DUMMYFUNCTION("GOOGLETRANSLATE(A15989, ""en"", ""mt"")"),"X'tifhem li l-atleti professjonali jfittxu li jagħtu spinta mill-ossiġnu tan-nifs?")</f>
        <v>X'tifhem li l-atleti professjonali jfittxu li jagħtu spinta mill-ossiġnu tan-nifs?</v>
      </c>
    </row>
    <row r="15990" ht="15.75" customHeight="1">
      <c r="A15990" s="2" t="s">
        <v>15990</v>
      </c>
      <c r="B15990" s="2" t="str">
        <f>IFERROR(__xludf.DUMMYFUNCTION("GOOGLETRANSLATE(A15990, ""en"", ""mt"")"),"Liema episodju deher ir-ritorn ta 'William Hartnell?")</f>
        <v>Liema episodju deher ir-ritorn ta 'William Hartnell?</v>
      </c>
    </row>
    <row r="15991" ht="15.75" customHeight="1">
      <c r="A15991" s="2" t="s">
        <v>15991</v>
      </c>
      <c r="B15991" s="2" t="str">
        <f>IFERROR(__xludf.DUMMYFUNCTION("GOOGLETRANSLATE(A15991, ""en"", ""mt"")"),"Meta ġew megħluba n-nuqqasijiet tal-fiżika ta 'Aristotile?")</f>
        <v>Meta ġew megħluba n-nuqqasijiet tal-fiżika ta 'Aristotile?</v>
      </c>
    </row>
    <row r="15992" ht="15.75" customHeight="1">
      <c r="A15992" s="2" t="s">
        <v>15992</v>
      </c>
      <c r="B15992" s="2" t="str">
        <f>IFERROR(__xludf.DUMMYFUNCTION("GOOGLETRANSLATE(A15992, ""en"", ""mt"")"),"Irlandiż")</f>
        <v>Irlandiż</v>
      </c>
    </row>
    <row r="15993" ht="15.75" customHeight="1">
      <c r="A15993" s="2" t="s">
        <v>15993</v>
      </c>
      <c r="B15993" s="2" t="str">
        <f>IFERROR(__xludf.DUMMYFUNCTION("GOOGLETRANSLATE(A15993, ""en"", ""mt"")"),"Kemm kellu Toghun Temur meta sar Imperatur?")</f>
        <v>Kemm kellu Toghun Temur meta sar Imperatur?</v>
      </c>
    </row>
    <row r="15994" ht="15.75" customHeight="1">
      <c r="A15994" s="2" t="s">
        <v>15994</v>
      </c>
      <c r="B15994" s="2" t="str">
        <f>IFERROR(__xludf.DUMMYFUNCTION("GOOGLETRANSLATE(A15994, ""en"", ""mt"")"),"Liema knisja ta 'Huguenot bikrija ġiet stabbilita fl-Ingilterra?")</f>
        <v>Liema knisja ta 'Huguenot bikrija ġiet stabbilita fl-Ingilterra?</v>
      </c>
    </row>
    <row r="15995" ht="15.75" customHeight="1">
      <c r="A15995" s="2" t="s">
        <v>15995</v>
      </c>
      <c r="B15995" s="2" t="str">
        <f>IFERROR(__xludf.DUMMYFUNCTION("GOOGLETRANSLATE(A15995, ""en"", ""mt"")"),"fabbrikazzjoni ta 'evidenza jew twettaq sperġur")</f>
        <v>fabbrikazzjoni ta 'evidenza jew twettaq sperġur</v>
      </c>
    </row>
    <row r="15996" ht="15.75" customHeight="1">
      <c r="A15996" s="2" t="s">
        <v>15996</v>
      </c>
      <c r="B15996" s="2" t="str">
        <f>IFERROR(__xludf.DUMMYFUNCTION("GOOGLETRANSLATE(A15996, ""en"", ""mt"")"),"vertebrati bikrija")</f>
        <v>vertebrati bikrija</v>
      </c>
    </row>
    <row r="15997" ht="15.75" customHeight="1">
      <c r="A15997" s="2" t="s">
        <v>15997</v>
      </c>
      <c r="B15997" s="2" t="str">
        <f>IFERROR(__xludf.DUMMYFUNCTION("GOOGLETRANSLATE(A15997, ""en"", ""mt"")"),"ippermetta l-agrikoltura u s-silvikultura")</f>
        <v>ippermetta l-agrikoltura u s-silvikultura</v>
      </c>
    </row>
    <row r="15998" ht="15.75" customHeight="1">
      <c r="A15998" s="2" t="s">
        <v>15998</v>
      </c>
      <c r="B15998" s="2" t="str">
        <f>IFERROR(__xludf.DUMMYFUNCTION("GOOGLETRANSLATE(A15998, ""en"", ""mt"")"),"Meta fl-aħħar Edward il-konfessur irritorna mir-refuġju ta 'missieru fl-1041, fuq stedina tan-nofs ħuh Harthacnut tiegħu, huwa ġab miegħu moħħ edukat minn Norman. Huwa ġab ukoll bosta konsulenti u ġellieda Norman, li wħud minnhom stabbilixxew forza tal-ka"&amp;"vallerija Ingliża. Dan il-kunċett qatt ma ħa l-għeruq, iżda huwa eżempju tipiku tal-attitudnijiet ta 'Edward. Huwa ħatar lil Robert tal-Arċisqof ta 'Jumièges ta' Canterbury u għamel lil Ralph il-Earl timidu ta 'Hereford. Huwa stieden lil ħuh Eustace II, K"&amp;"onti ta 'Boulogne fil-qorti tiegħu fl-1051, avveniment li rriżulta fl-akbar kunflitti bikrija bejn Sassonu u Norman u fl-aħħar irriżulta fl-eżilju ta' Earl Godwin ta 'Wessex.")</f>
        <v>Meta fl-aħħar Edward il-konfessur irritorna mir-refuġju ta 'missieru fl-1041, fuq stedina tan-nofs ħuh Harthacnut tiegħu, huwa ġab miegħu moħħ edukat minn Norman. Huwa ġab ukoll bosta konsulenti u ġellieda Norman, li wħud minnhom stabbilixxew forza tal-kavallerija Ingliża. Dan il-kunċett qatt ma ħa l-għeruq, iżda huwa eżempju tipiku tal-attitudnijiet ta 'Edward. Huwa ħatar lil Robert tal-Arċisqof ta 'Jumièges ta' Canterbury u għamel lil Ralph il-Earl timidu ta 'Hereford. Huwa stieden lil ħuh Eustace II, Konti ta 'Boulogne fil-qorti tiegħu fl-1051, avveniment li rriżulta fl-akbar kunflitti bikrija bejn Sassonu u Norman u fl-aħħar irriżulta fl-eżilju ta' Earl Godwin ta 'Wessex.</v>
      </c>
    </row>
    <row r="15999" ht="15.75" customHeight="1">
      <c r="A15999" s="2" t="s">
        <v>15999</v>
      </c>
      <c r="B15999" s="2" t="str">
        <f>IFERROR(__xludf.DUMMYFUNCTION("GOOGLETRANSLATE(A15999, ""en"", ""mt"")"),"Kemm hemm destinazzjonijiet disponibbli mad-dinja kollha mill-ajruport ta 'Newcastle?")</f>
        <v>Kemm hemm destinazzjonijiet disponibbli mad-dinja kollha mill-ajruport ta 'Newcastle?</v>
      </c>
    </row>
    <row r="16000" ht="15.75" customHeight="1">
      <c r="A16000" s="2" t="s">
        <v>16000</v>
      </c>
      <c r="B16000" s="2" t="str">
        <f>IFERROR(__xludf.DUMMYFUNCTION("GOOGLETRANSLATE(A16000, ""en"", ""mt"")"),"tmenin sekonda")</f>
        <v>tmenin sekonda</v>
      </c>
    </row>
    <row r="16001" ht="15.75" customHeight="1">
      <c r="A16001" s="2" t="s">
        <v>16001</v>
      </c>
      <c r="B16001" s="2" t="str">
        <f>IFERROR(__xludf.DUMMYFUNCTION("GOOGLETRANSLATE(A16001, ""en"", ""mt"")"),"tiġdid")</f>
        <v>tiġdid</v>
      </c>
    </row>
    <row r="16002" ht="15.75" customHeight="1">
      <c r="A16002" s="2" t="s">
        <v>16002</v>
      </c>
      <c r="B16002" s="2" t="str">
        <f>IFERROR(__xludf.DUMMYFUNCTION("GOOGLETRANSLATE(A16002, ""en"", ""mt"")"),"Liema apparat jintuża biex jittestja l-attrazzjonijiet manjetiċi involuti fl-ossiġnu likwidu?")</f>
        <v>Liema apparat jintuża biex jittestja l-attrazzjonijiet manjetiċi involuti fl-ossiġnu likwidu?</v>
      </c>
    </row>
    <row r="16003" ht="15.75" customHeight="1">
      <c r="A16003" s="2" t="s">
        <v>16003</v>
      </c>
      <c r="B16003" s="2" t="str">
        <f>IFERROR(__xludf.DUMMYFUNCTION("GOOGLETRANSLATE(A16003, ""en"", ""mt"")"),"""L-abbozz għal dan l-att tal-Parlament Skoċċiż ġie mgħoddi mill-Parlament fid-data [data] u rċieva kunsens irjali fid-data [tad-data]"".")</f>
        <v>"L-abbozz għal dan l-att tal-Parlament Skoċċiż ġie mgħoddi mill-Parlament fid-data [data] u rċieva kunsens irjali fid-data [tad-data]".</v>
      </c>
    </row>
    <row r="16004" ht="15.75" customHeight="1">
      <c r="A16004" s="2" t="s">
        <v>16004</v>
      </c>
      <c r="B16004" s="2" t="str">
        <f>IFERROR(__xludf.DUMMYFUNCTION("GOOGLETRANSLATE(A16004, ""en"", ""mt"")"),"Mill-2004 sal-2005 Harvard naqqas in-numru ta 'studenti li jaqilgħu unuri Latini minn 90% għal xiex?")</f>
        <v>Mill-2004 sal-2005 Harvard naqqas in-numru ta 'studenti li jaqilgħu unuri Latini minn 90% għal xiex?</v>
      </c>
    </row>
    <row r="16005" ht="15.75" customHeight="1">
      <c r="A16005" s="2" t="s">
        <v>16005</v>
      </c>
      <c r="B16005" s="2" t="str">
        <f>IFERROR(__xludf.DUMMYFUNCTION("GOOGLETRANSLATE(A16005, ""en"", ""mt"")"),"X'inhuma l-maniġers tal-kostruzzjoni?")</f>
        <v>X'inhuma l-maniġers tal-kostruzzjoni?</v>
      </c>
    </row>
    <row r="16006" ht="15.75" customHeight="1">
      <c r="A16006" s="2" t="s">
        <v>16006</v>
      </c>
      <c r="B16006" s="2" t="str">
        <f>IFERROR(__xludf.DUMMYFUNCTION("GOOGLETRANSLATE(A16006, ""en"", ""mt"")"),"Min ikklassifika lil Varsavja bħala t-32 belt l-iktar ħajjin fid-dinja?")</f>
        <v>Min ikklassifika lil Varsavja bħala t-32 belt l-iktar ħajjin fid-dinja?</v>
      </c>
    </row>
    <row r="16007" ht="15.75" customHeight="1">
      <c r="A16007" s="2" t="s">
        <v>16007</v>
      </c>
      <c r="B16007" s="2" t="str">
        <f>IFERROR(__xludf.DUMMYFUNCTION("GOOGLETRANSLATE(A16007, ""en"", ""mt"")"),"Min qal li l-investigazzjoni ta 'Barton kienet ""żbaljata u illeġittima""?")</f>
        <v>Min qal li l-investigazzjoni ta 'Barton kienet "żbaljata u illeġittima"?</v>
      </c>
    </row>
    <row r="16008" ht="15.75" customHeight="1">
      <c r="A16008" s="2" t="s">
        <v>16008</v>
      </c>
      <c r="B16008" s="2" t="str">
        <f>IFERROR(__xludf.DUMMYFUNCTION("GOOGLETRANSLATE(A16008, ""en"", ""mt"")"),"Jekk id-daqs tal-input huwa ugwali għal N, x'jista 'jassumi rispettivament il-funzjoni ta' n?")</f>
        <v>Jekk id-daqs tal-input huwa ugwali għal N, x'jista 'jassumi rispettivament il-funzjoni ta' n?</v>
      </c>
    </row>
    <row r="16009" ht="15.75" customHeight="1">
      <c r="A16009" s="2" t="s">
        <v>16009</v>
      </c>
      <c r="B16009" s="2" t="str">
        <f>IFERROR(__xludf.DUMMYFUNCTION("GOOGLETRANSLATE(A16009, ""en"", ""mt"")"),"Temperanza")</f>
        <v>Temperanza</v>
      </c>
    </row>
    <row r="16010" ht="15.75" customHeight="1">
      <c r="A16010" s="2" t="s">
        <v>16010</v>
      </c>
      <c r="B16010" s="2" t="str">
        <f>IFERROR(__xludf.DUMMYFUNCTION("GOOGLETRANSLATE(A16010, ""en"", ""mt"")"),"X'tip ta 'materjali ġewwa l-kabina tneħħew biex jgħinu jipprevjenu aktar perikli tan-nar fil-futur?")</f>
        <v>X'tip ta 'materjali ġewwa l-kabina tneħħew biex jgħinu jipprevjenu aktar perikli tan-nar fil-futur?</v>
      </c>
    </row>
    <row r="16011" ht="15.75" customHeight="1">
      <c r="A16011" s="2" t="s">
        <v>16011</v>
      </c>
      <c r="B16011" s="2" t="str">
        <f>IFERROR(__xludf.DUMMYFUNCTION("GOOGLETRANSLATE(A16011, ""en"", ""mt"")"),"Riżorsi tal-Kumplessità")</f>
        <v>Riżorsi tal-Kumplessità</v>
      </c>
    </row>
    <row r="16012" ht="15.75" customHeight="1">
      <c r="A16012" s="2" t="s">
        <v>16012</v>
      </c>
      <c r="B16012" s="2" t="str">
        <f>IFERROR(__xludf.DUMMYFUNCTION("GOOGLETRANSLATE(A16012, ""en"", ""mt"")"),"Minbarra li ddikjara lil Luther bħala illegali u jipprojbixxi x-xogħlijiet tiegħu, x'iktar ġie deċiż?")</f>
        <v>Minbarra li ddikjara lil Luther bħala illegali u jipprojbixxi x-xogħlijiet tiegħu, x'iktar ġie deċiż?</v>
      </c>
    </row>
    <row r="16013" ht="15.75" customHeight="1">
      <c r="A16013" s="2" t="s">
        <v>16013</v>
      </c>
      <c r="B16013" s="2" t="str">
        <f>IFERROR(__xludf.DUMMYFUNCTION("GOOGLETRANSLATE(A16013, ""en"", ""mt"")"),"Kemm mid-dħul nazzjonali tal-Polonja tipproduċi Varsavja?")</f>
        <v>Kemm mid-dħul nazzjonali tal-Polonja tipproduċi Varsavja?</v>
      </c>
    </row>
    <row r="16014" ht="15.75" customHeight="1">
      <c r="A16014" s="2" t="s">
        <v>16014</v>
      </c>
      <c r="B16014" s="2" t="str">
        <f>IFERROR(__xludf.DUMMYFUNCTION("GOOGLETRANSLATE(A16014, ""en"", ""mt"")"),"Minn fejn ġie l-appoġġ minn gruppi governattivi u reliġjużi?")</f>
        <v>Minn fejn ġie l-appoġġ minn gruppi governattivi u reliġjużi?</v>
      </c>
    </row>
    <row r="16015" ht="15.75" customHeight="1">
      <c r="A16015" s="2" t="s">
        <v>16015</v>
      </c>
      <c r="B16015" s="2" t="str">
        <f>IFERROR(__xludf.DUMMYFUNCTION("GOOGLETRANSLATE(A16015, ""en"", ""mt"")"),"Min waqqaf id-dinastija Ming?")</f>
        <v>Min waqqaf id-dinastija Ming?</v>
      </c>
    </row>
    <row r="16016" ht="15.75" customHeight="1">
      <c r="A16016" s="2" t="s">
        <v>16016</v>
      </c>
      <c r="B16016" s="2" t="str">
        <f>IFERROR(__xludf.DUMMYFUNCTION("GOOGLETRANSLATE(A16016, ""en"", ""mt"")"),"numru sħiħ ta 'oqsma ta' numri kwadratiċi")</f>
        <v>numru sħiħ ta 'oqsma ta' numri kwadratiċi</v>
      </c>
    </row>
    <row r="16017" ht="15.75" customHeight="1">
      <c r="A16017" s="2" t="s">
        <v>16017</v>
      </c>
      <c r="B16017" s="2" t="str">
        <f>IFERROR(__xludf.DUMMYFUNCTION("GOOGLETRANSLATE(A16017, ""en"", ""mt"")"),"Disney")</f>
        <v>Disney</v>
      </c>
    </row>
    <row r="16018" ht="15.75" customHeight="1">
      <c r="A16018" s="2" t="s">
        <v>16018</v>
      </c>
      <c r="B16018" s="2" t="str">
        <f>IFERROR(__xludf.DUMMYFUNCTION("GOOGLETRANSLATE(A16018, ""en"", ""mt"")"),"Fejn kienet il-post tal-gvern kolonjali li amministrat il-kolonja l-ġdida?")</f>
        <v>Fejn kienet il-post tal-gvern kolonjali li amministrat il-kolonja l-ġdida?</v>
      </c>
    </row>
    <row r="16019" ht="15.75" customHeight="1">
      <c r="A16019" s="2" t="s">
        <v>16019</v>
      </c>
      <c r="B16019" s="2" t="str">
        <f>IFERROR(__xludf.DUMMYFUNCTION("GOOGLETRANSLATE(A16019, ""en"", ""mt"")"),"Żewġ partiti politiċi jaqsmu l-poter bl-istess mod")</f>
        <v>Żewġ partiti politiċi jaqsmu l-poter bl-istess mod</v>
      </c>
    </row>
    <row r="16020" ht="15.75" customHeight="1">
      <c r="A16020" s="2" t="s">
        <v>16020</v>
      </c>
      <c r="B16020" s="2" t="str">
        <f>IFERROR(__xludf.DUMMYFUNCTION("GOOGLETRANSLATE(A16020, ""en"", ""mt"")"),"L-Imperu Ottoman kien stat imperjali li dam mill-1299 sal-1923. Matul is-sekli 16 u 17, b'mod partikolari fl-eqqel tal-poter tiegħu taħt ir-renju ta 'Suleiman l-magnífico, l-imperu Ottoman kien multinazzjonali qawwi, imperu multilingwi li jikkontrolla ħaf"&amp;"na L-Ewropa tax-Xlokk, l-Asja tal-Punent, il-Kawkasu, l-Afrika ta ’Fuq, u l-Qarn tal-Afrika. Fil-bidu tas-seklu 17 l-imperu kien fih 32 provinċja u bosta stati vassali. Xi wħud minn dawn aktar tard ġew assorbiti fl-imperu, filwaqt li oħrajn ingħataw diver"&amp;"si tipi ta ’awtonomija matul il-kors tas-sekli.")</f>
        <v>L-Imperu Ottoman kien stat imperjali li dam mill-1299 sal-1923. Matul is-sekli 16 u 17, b'mod partikolari fl-eqqel tal-poter tiegħu taħt ir-renju ta 'Suleiman l-magnífico, l-imperu Ottoman kien multinazzjonali qawwi, imperu multilingwi li jikkontrolla ħafna L-Ewropa tax-Xlokk, l-Asja tal-Punent, il-Kawkasu, l-Afrika ta ’Fuq, u l-Qarn tal-Afrika. Fil-bidu tas-seklu 17 l-imperu kien fih 32 provinċja u bosta stati vassali. Xi wħud minn dawn aktar tard ġew assorbiti fl-imperu, filwaqt li oħrajn ingħataw diversi tipi ta ’awtonomija matul il-kors tas-sekli.</v>
      </c>
    </row>
    <row r="16021" ht="15.75" customHeight="1">
      <c r="A16021" s="2" t="s">
        <v>16021</v>
      </c>
      <c r="B16021" s="2" t="str">
        <f>IFERROR(__xludf.DUMMYFUNCTION("GOOGLETRANSLATE(A16021, ""en"", ""mt"")"),"James Bryant Conant")</f>
        <v>James Bryant Conant</v>
      </c>
    </row>
    <row r="16022" ht="15.75" customHeight="1">
      <c r="A16022" s="2" t="s">
        <v>16022</v>
      </c>
      <c r="B16022" s="2" t="str">
        <f>IFERROR(__xludf.DUMMYFUNCTION("GOOGLETRANSLATE(A16022, ""en"", ""mt"")"),"Jet ta 'ilma mkeċċi jmexxihom lura malajr ħafna")</f>
        <v>Jet ta 'ilma mkeċċi jmexxihom lura malajr ħafna</v>
      </c>
    </row>
    <row r="16023" ht="15.75" customHeight="1">
      <c r="A16023" s="2" t="s">
        <v>16023</v>
      </c>
      <c r="B16023" s="2" t="str">
        <f>IFERROR(__xludf.DUMMYFUNCTION("GOOGLETRANSLATE(A16023, ""en"", ""mt"")"),"Soċjaliżmu f'pajjiż wieħed """)</f>
        <v>Soċjaliżmu f'pajjiż wieħed "</v>
      </c>
    </row>
    <row r="16024" ht="15.75" customHeight="1">
      <c r="A16024" s="2" t="s">
        <v>16024</v>
      </c>
      <c r="B16024" s="2" t="str">
        <f>IFERROR(__xludf.DUMMYFUNCTION("GOOGLETRANSLATE(A16024, ""en"", ""mt"")"),"It-tieni użu tal-liġi")</f>
        <v>It-tieni użu tal-liġi</v>
      </c>
    </row>
    <row r="16025" ht="15.75" customHeight="1">
      <c r="A16025" s="2" t="s">
        <v>16025</v>
      </c>
      <c r="B16025" s="2" t="str">
        <f>IFERROR(__xludf.DUMMYFUNCTION("GOOGLETRANSLATE(A16025, ""en"", ""mt"")"),"Fejn hi l-famuż rock li r-Rhine flussi madwar?")</f>
        <v>Fejn hi l-famuż rock li r-Rhine flussi madwar?</v>
      </c>
    </row>
    <row r="16026" ht="15.75" customHeight="1">
      <c r="A16026" s="2" t="s">
        <v>16026</v>
      </c>
      <c r="B16026" s="2" t="str">
        <f>IFERROR(__xludf.DUMMYFUNCTION("GOOGLETRANSLATE(A16026, ""en"", ""mt"")"),"Kif jissejjaħ iċ-ċentru tal-belt ta ’Varsavja bil-Pollakk?")</f>
        <v>Kif jissejjaħ iċ-ċentru tal-belt ta ’Varsavja bil-Pollakk?</v>
      </c>
    </row>
    <row r="16027" ht="15.75" customHeight="1">
      <c r="A16027" s="2" t="s">
        <v>16027</v>
      </c>
      <c r="B16027" s="2" t="str">
        <f>IFERROR(__xludf.DUMMYFUNCTION("GOOGLETRANSLATE(A16027, ""en"", ""mt"")"),"Liema entità bdiet tipproduċi serje televiżiva għal ABC fl-1962?")</f>
        <v>Liema entità bdiet tipproduċi serje televiżiva għal ABC fl-1962?</v>
      </c>
    </row>
    <row r="16028" ht="15.75" customHeight="1">
      <c r="A16028" s="2" t="s">
        <v>16028</v>
      </c>
      <c r="B16028" s="2" t="str">
        <f>IFERROR(__xludf.DUMMYFUNCTION("GOOGLETRANSLATE(A16028, ""en"", ""mt"")"),"22 ta 'Novembru")</f>
        <v>22 ta 'Novembru</v>
      </c>
    </row>
    <row r="16029" ht="15.75" customHeight="1">
      <c r="A16029" s="2" t="s">
        <v>16029</v>
      </c>
      <c r="B16029" s="2" t="str">
        <f>IFERROR(__xludf.DUMMYFUNCTION("GOOGLETRANSLATE(A16029, ""en"", ""mt"")"),"Hija kunċett żbaljat komuni biex tattribwixxi l-ebusija u r-riġidità ta 'materja solida għar-repulsjoni ta' piżijiet simili taħt l-influwenza tal-forza elettromanjetika. Madankollu, dawn il-karatteristiċi fil-fatt jirriżultaw mill-prinċipju ta 'esklużjoni"&amp;" ta' Pauli. [Ċitazzjoni meħtieġa] Peress li l-elettroni huma fermions, ma jistgħux jokkupaw l-istess stat mekkaniku kwantistiku bħal elettroni oħra. Meta l-elettroni f'materjal huma densament ippakkjati flimkien, m'hemmx biżżejjed stati mekkaniċi kwantist"&amp;"iċi ta 'enerġija aktar baxxa għalihom kollha, u għalhekk xi wħud minnhom għandhom ikunu fi stati ta' enerġija ogħla. Dan ifisser li tieħu l-enerġija biex tippakkjahom flimkien. Filwaqt li dan l-effett huwa manifestat makroskopikament bħala forza struttura"&amp;"li, huwa teknikament biss ir-riżultat tal-eżistenza ta 'sett finit ta' stati elettroni.")</f>
        <v>Hija kunċett żbaljat komuni biex tattribwixxi l-ebusija u r-riġidità ta 'materja solida għar-repulsjoni ta' piżijiet simili taħt l-influwenza tal-forza elettromanjetika. Madankollu, dawn il-karatteristiċi fil-fatt jirriżultaw mill-prinċipju ta 'esklużjoni ta' Pauli. [Ċitazzjoni meħtieġa] Peress li l-elettroni huma fermions, ma jistgħux jokkupaw l-istess stat mekkaniku kwantistiku bħal elettroni oħra. Meta l-elettroni f'materjal huma densament ippakkjati flimkien, m'hemmx biżżejjed stati mekkaniċi kwantistiċi ta 'enerġija aktar baxxa għalihom kollha, u għalhekk xi wħud minnhom għandhom ikunu fi stati ta' enerġija ogħla. Dan ifisser li tieħu l-enerġija biex tippakkjahom flimkien. Filwaqt li dan l-effett huwa manifestat makroskopikament bħala forza strutturali, huwa teknikament biss ir-riżultat tal-eżistenza ta 'sett finit ta' stati elettroni.</v>
      </c>
    </row>
    <row r="16030" ht="15.75" customHeight="1">
      <c r="A16030" s="2" t="s">
        <v>16030</v>
      </c>
      <c r="B16030" s="2" t="str">
        <f>IFERROR(__xludf.DUMMYFUNCTION("GOOGLETRANSLATE(A16030, ""en"", ""mt"")"),"Dwar ħafna studenti jattendu l-iskejjel Kunskapskolan?")</f>
        <v>Dwar ħafna studenti jattendu l-iskejjel Kunskapskolan?</v>
      </c>
    </row>
    <row r="16031" ht="15.75" customHeight="1">
      <c r="A16031" s="2" t="s">
        <v>16031</v>
      </c>
      <c r="B16031" s="2" t="str">
        <f>IFERROR(__xludf.DUMMYFUNCTION("GOOGLETRANSLATE(A16031, ""en"", ""mt"")"),"Kemm hemm bits ta 'spiss fil-primes użati għall-algoritmi ta' kriptografija ta 'ċavetta pubblika RSA?")</f>
        <v>Kemm hemm bits ta 'spiss fil-primes użati għall-algoritmi ta' kriptografija ta 'ċavetta pubblika RSA?</v>
      </c>
    </row>
    <row r="16032" ht="15.75" customHeight="1">
      <c r="A16032" s="2" t="s">
        <v>16032</v>
      </c>
      <c r="B16032" s="2" t="str">
        <f>IFERROR(__xludf.DUMMYFUNCTION("GOOGLETRANSLATE(A16032, ""en"", ""mt"")"),"Membri ta 'liema organizzazzjonijiet huma skwalifikati milli joqogħdu fl-SP bħala MSPs eletti?")</f>
        <v>Membri ta 'liema organizzazzjonijiet huma skwalifikati milli joqogħdu fl-SP bħala MSPs eletti?</v>
      </c>
    </row>
    <row r="16033" ht="15.75" customHeight="1">
      <c r="A16033" s="2" t="s">
        <v>16033</v>
      </c>
      <c r="B16033" s="2" t="str">
        <f>IFERROR(__xludf.DUMMYFUNCTION("GOOGLETRANSLATE(A16033, ""en"", ""mt"")"),"L-Isvizzera u l-Olanda.")</f>
        <v>L-Isvizzera u l-Olanda.</v>
      </c>
    </row>
    <row r="16034" ht="15.75" customHeight="1">
      <c r="A16034" s="2" t="s">
        <v>16034</v>
      </c>
      <c r="B16034" s="2" t="str">
        <f>IFERROR(__xludf.DUMMYFUNCTION("GOOGLETRANSLATE(A16034, ""en"", ""mt"")"),"X'jista 'jidher bejn hadrons?")</f>
        <v>X'jista 'jidher bejn hadrons?</v>
      </c>
    </row>
    <row r="16035" ht="15.75" customHeight="1">
      <c r="A16035" s="2" t="s">
        <v>16035</v>
      </c>
      <c r="B16035" s="2" t="str">
        <f>IFERROR(__xludf.DUMMYFUNCTION("GOOGLETRANSLATE(A16035, ""en"", ""mt"")"),"Min hu l-viċi-president tal-IPCC?")</f>
        <v>Min hu l-viċi-president tal-IPCC?</v>
      </c>
    </row>
    <row r="16036" ht="15.75" customHeight="1">
      <c r="A16036" s="2" t="s">
        <v>16036</v>
      </c>
      <c r="B16036" s="2" t="str">
        <f>IFERROR(__xludf.DUMMYFUNCTION("GOOGLETRANSLATE(A16036, ""en"", ""mt"")"),"għandu ftit pedament fil-verità")</f>
        <v>għandu ftit pedament fil-verità</v>
      </c>
    </row>
    <row r="16037" ht="15.75" customHeight="1">
      <c r="A16037" s="2" t="s">
        <v>16037</v>
      </c>
      <c r="B16037" s="2" t="str">
        <f>IFERROR(__xludf.DUMMYFUNCTION("GOOGLETRANSLATE(A16037, ""en"", ""mt"")"),"Duel")</f>
        <v>Duel</v>
      </c>
    </row>
    <row r="16038" ht="15.75" customHeight="1">
      <c r="A16038" s="2" t="s">
        <v>16038</v>
      </c>
      <c r="B16038" s="2" t="str">
        <f>IFERROR(__xludf.DUMMYFUNCTION("GOOGLETRANSLATE(A16038, ""en"", ""mt"")"),"In-Netwerk tad-Dejta tal-Pubbliku qalbu Pubbliku mit-telekomunikazzjoni PTT Olandiża")</f>
        <v>In-Netwerk tad-Dejta tal-Pubbliku qalbu Pubbliku mit-telekomunikazzjoni PTT Olandiża</v>
      </c>
    </row>
    <row r="16039" ht="15.75" customHeight="1">
      <c r="A16039" s="2" t="s">
        <v>16039</v>
      </c>
      <c r="B16039" s="2" t="str">
        <f>IFERROR(__xludf.DUMMYFUNCTION("GOOGLETRANSLATE(A16039, ""en"", ""mt"")"),"Tank tal-ossiġnu")</f>
        <v>Tank tal-ossiġnu</v>
      </c>
    </row>
    <row r="16040" ht="15.75" customHeight="1">
      <c r="A16040" s="2" t="s">
        <v>16040</v>
      </c>
      <c r="B16040" s="2" t="str">
        <f>IFERROR(__xludf.DUMMYFUNCTION("GOOGLETRANSLATE(A16040, ""en"", ""mt"")"),"Ħsara lill-ġilda ma kinitx ikkawżata mir-raġġi Roentgen, iżda mill-ożonu ġġenerat f'kuntatt mal-ġilda")</f>
        <v>Ħsara lill-ġilda ma kinitx ikkawżata mir-raġġi Roentgen, iżda mill-ożonu ġġenerat f'kuntatt mal-ġilda</v>
      </c>
    </row>
    <row r="16041" ht="15.75" customHeight="1">
      <c r="A16041" s="2" t="s">
        <v>16041</v>
      </c>
      <c r="B16041" s="2" t="str">
        <f>IFERROR(__xludf.DUMMYFUNCTION("GOOGLETRANSLATE(A16041, ""en"", ""mt"")"),"Kemm ivarjaw stimi tal-popolazzjoni matul il-pesta?")</f>
        <v>Kemm ivarjaw stimi tal-popolazzjoni matul il-pesta?</v>
      </c>
    </row>
    <row r="16042" ht="15.75" customHeight="1">
      <c r="A16042" s="2" t="s">
        <v>16042</v>
      </c>
      <c r="B16042" s="2" t="str">
        <f>IFERROR(__xludf.DUMMYFUNCTION("GOOGLETRANSLATE(A16042, ""en"", ""mt"")"),"L-iktar offerent effiċjenti fl-infiq")</f>
        <v>L-iktar offerent effiċjenti fl-infiq</v>
      </c>
    </row>
    <row r="16043" ht="15.75" customHeight="1">
      <c r="A16043" s="2" t="s">
        <v>16043</v>
      </c>
      <c r="B16043" s="2" t="str">
        <f>IFERROR(__xludf.DUMMYFUNCTION("GOOGLETRANSLATE(A16043, ""en"", ""mt"")"),"dħul aktar baxx")</f>
        <v>dħul aktar baxx</v>
      </c>
    </row>
    <row r="16044" ht="15.75" customHeight="1">
      <c r="A16044" s="2" t="s">
        <v>16044</v>
      </c>
      <c r="B16044" s="2" t="str">
        <f>IFERROR(__xludf.DUMMYFUNCTION("GOOGLETRANSLATE(A16044, ""en"", ""mt"")"),"Liema president Amerikan żar Jacksonville fl-1888?")</f>
        <v>Liema president Amerikan żar Jacksonville fl-1888?</v>
      </c>
    </row>
    <row r="16045" ht="15.75" customHeight="1">
      <c r="A16045" s="2" t="s">
        <v>16045</v>
      </c>
      <c r="B16045" s="2" t="str">
        <f>IFERROR(__xludf.DUMMYFUNCTION("GOOGLETRANSLATE(A16045, ""en"", ""mt"")"),"Lil min qal dwar il-purgatorju Oġġettja Martin Luther?")</f>
        <v>Lil min qal dwar il-purgatorju Oġġettja Martin Luther?</v>
      </c>
    </row>
    <row r="16046" ht="15.75" customHeight="1">
      <c r="A16046" s="2" t="s">
        <v>16046</v>
      </c>
      <c r="B16046" s="2" t="str">
        <f>IFERROR(__xludf.DUMMYFUNCTION("GOOGLETRANSLATE(A16046, ""en"", ""mt"")"),"20 minuta")</f>
        <v>20 minuta</v>
      </c>
    </row>
    <row r="16047" ht="15.75" customHeight="1">
      <c r="A16047" s="2" t="s">
        <v>16047</v>
      </c>
      <c r="B16047" s="2" t="str">
        <f>IFERROR(__xludf.DUMMYFUNCTION("GOOGLETRANSLATE(A16047, ""en"", ""mt"")"),"£ 304m")</f>
        <v>£ 304m</v>
      </c>
    </row>
    <row r="16048" ht="15.75" customHeight="1">
      <c r="A16048" s="2" t="s">
        <v>16048</v>
      </c>
      <c r="B16048" s="2" t="str">
        <f>IFERROR(__xludf.DUMMYFUNCTION("GOOGLETRANSLATE(A16048, ""en"", ""mt"")"),"Tgħallem dwar il-knisja u t-tradizzjoni teoloġika Metodista-Kristjana sabiex jistqarru l-fidi aħħarija tagħhom fi Kristu.")</f>
        <v>Tgħallem dwar il-knisja u t-tradizzjoni teoloġika Metodista-Kristjana sabiex jistqarru l-fidi aħħarija tagħhom fi Kristu.</v>
      </c>
    </row>
    <row r="16049" ht="15.75" customHeight="1">
      <c r="A16049" s="2" t="s">
        <v>16049</v>
      </c>
      <c r="B16049" s="2" t="str">
        <f>IFERROR(__xludf.DUMMYFUNCTION("GOOGLETRANSLATE(A16049, ""en"", ""mt"")"),"Liema poter hija disponibbli għall-iskejjel privati ​​Awstraljani imma ġeneralment mhix preżenti fl-iskejjel pubbliċi?")</f>
        <v>Liema poter hija disponibbli għall-iskejjel privati ​​Awstraljani imma ġeneralment mhix preżenti fl-iskejjel pubbliċi?</v>
      </c>
    </row>
    <row r="16050" ht="15.75" customHeight="1">
      <c r="A16050" s="2" t="s">
        <v>16050</v>
      </c>
      <c r="B16050" s="2" t="str">
        <f>IFERROR(__xludf.DUMMYFUNCTION("GOOGLETRANSLATE(A16050, ""en"", ""mt"")"),"Flimkien ma '10 Cloverfield Lane, liema trailer Paramount deher matul is-Super Bowl?")</f>
        <v>Flimkien ma '10 Cloverfield Lane, liema trailer Paramount deher matul is-Super Bowl?</v>
      </c>
    </row>
    <row r="16051" ht="15.75" customHeight="1">
      <c r="A16051" s="2" t="s">
        <v>16051</v>
      </c>
      <c r="B16051" s="2" t="str">
        <f>IFERROR(__xludf.DUMMYFUNCTION("GOOGLETRANSLATE(A16051, ""en"", ""mt"")"),"L-akbar komunità Amerikana Filippina")</f>
        <v>L-akbar komunità Amerikana Filippina</v>
      </c>
    </row>
    <row r="16052" ht="15.75" customHeight="1">
      <c r="A16052" s="2" t="s">
        <v>16052</v>
      </c>
      <c r="B16052" s="2" t="str">
        <f>IFERROR(__xludf.DUMMYFUNCTION("GOOGLETRANSLATE(A16052, ""en"", ""mt"")"),"illustrazzjoni tal-għaxar kmandamenti")</f>
        <v>illustrazzjoni tal-għaxar kmandamenti</v>
      </c>
    </row>
    <row r="16053" ht="15.75" customHeight="1">
      <c r="A16053" s="2" t="s">
        <v>16053</v>
      </c>
      <c r="B16053" s="2" t="str">
        <f>IFERROR(__xludf.DUMMYFUNCTION("GOOGLETRANSLATE(A16053, ""en"", ""mt"")"),"it-trattament")</f>
        <v>it-trattament</v>
      </c>
    </row>
    <row r="16054" ht="15.75" customHeight="1">
      <c r="A16054" s="2" t="s">
        <v>16054</v>
      </c>
      <c r="B16054" s="2" t="str">
        <f>IFERROR(__xludf.DUMMYFUNCTION("GOOGLETRANSLATE(A16054, ""en"", ""mt"")"),"Qabbad l-istess sekwenza diversi drabi mal-istess oġġett permezz tal-użu ta 'set-up li juża taljoli mobbli,")</f>
        <v>Qabbad l-istess sekwenza diversi drabi mal-istess oġġett permezz tal-użu ta 'set-up li juża taljoli mobbli,</v>
      </c>
    </row>
    <row r="16055" ht="15.75" customHeight="1">
      <c r="A16055" s="2" t="s">
        <v>16055</v>
      </c>
      <c r="B16055" s="2" t="str">
        <f>IFERROR(__xludf.DUMMYFUNCTION("GOOGLETRANSLATE(A16055, ""en"", ""mt"")"),"Emmanuel Sanders")</f>
        <v>Emmanuel Sanders</v>
      </c>
    </row>
    <row r="16056" ht="15.75" customHeight="1">
      <c r="A16056" s="2" t="s">
        <v>16056</v>
      </c>
      <c r="B16056" s="2" t="str">
        <f>IFERROR(__xludf.DUMMYFUNCTION("GOOGLETRANSLATE(A16056, ""en"", ""mt"")"),"Kemm organizzazzjonijiet ħarġu d-dikjarazzjoni konġunta dwar it-tibdil fil-klima?")</f>
        <v>Kemm organizzazzjonijiet ħarġu d-dikjarazzjoni konġunta dwar it-tibdil fil-klima?</v>
      </c>
    </row>
    <row r="16057" ht="15.75" customHeight="1">
      <c r="A16057" s="2" t="s">
        <v>16057</v>
      </c>
      <c r="B16057" s="2" t="str">
        <f>IFERROR(__xludf.DUMMYFUNCTION("GOOGLETRANSLATE(A16057, ""en"", ""mt"")"),"Re ta ’Franza")</f>
        <v>Re ta ’Franza</v>
      </c>
    </row>
    <row r="16058" ht="15.75" customHeight="1">
      <c r="A16058" s="2" t="s">
        <v>16058</v>
      </c>
      <c r="B16058" s="2" t="str">
        <f>IFERROR(__xludf.DUMMYFUNCTION("GOOGLETRANSLATE(A16058, ""en"", ""mt"")"),"Min ħa pass ta 'kondotta sikura biex Luther jiġi u jħalli l-avveniment?")</f>
        <v>Min ħa pass ta 'kondotta sikura biex Luther jiġi u jħalli l-avveniment?</v>
      </c>
    </row>
    <row r="16059" ht="15.75" customHeight="1">
      <c r="A16059" s="2" t="s">
        <v>16059</v>
      </c>
      <c r="B16059" s="2" t="str">
        <f>IFERROR(__xludf.DUMMYFUNCTION("GOOGLETRANSLATE(A16059, ""en"", ""mt"")"),"Il-sirena")</f>
        <v>Il-sirena</v>
      </c>
    </row>
    <row r="16060" ht="15.75" customHeight="1">
      <c r="A16060" s="2" t="s">
        <v>16060</v>
      </c>
      <c r="B16060" s="2" t="str">
        <f>IFERROR(__xludf.DUMMYFUNCTION("GOOGLETRANSLATE(A16060, ""en"", ""mt"")"),"fiduċja fi Kristu")</f>
        <v>fiduċja fi Kristu</v>
      </c>
    </row>
    <row r="16061" ht="15.75" customHeight="1">
      <c r="A16061" s="2" t="s">
        <v>16061</v>
      </c>
      <c r="B16061" s="2" t="str">
        <f>IFERROR(__xludf.DUMMYFUNCTION("GOOGLETRANSLATE(A16061, ""en"", ""mt"")"),"Fl-Istati Uniti, min jiddeċiedi dwar ir-rekwiżiti għall-għalliema?")</f>
        <v>Fl-Istati Uniti, min jiddeċiedi dwar ir-rekwiżiti għall-għalliema?</v>
      </c>
    </row>
    <row r="16062" ht="15.75" customHeight="1">
      <c r="A16062" s="2" t="s">
        <v>16062</v>
      </c>
      <c r="B16062" s="2" t="str">
        <f>IFERROR(__xludf.DUMMYFUNCTION("GOOGLETRANSLATE(A16062, ""en"", ""mt"")"),"Emmerich Rhine Bridge,")</f>
        <v>Emmerich Rhine Bridge,</v>
      </c>
    </row>
    <row r="16063" ht="15.75" customHeight="1">
      <c r="A16063" s="2" t="s">
        <v>16063</v>
      </c>
      <c r="B16063" s="2" t="str">
        <f>IFERROR(__xludf.DUMMYFUNCTION("GOOGLETRANSLATE(A16063, ""en"", ""mt"")"),"il-kulleġġ")</f>
        <v>il-kulleġġ</v>
      </c>
    </row>
    <row r="16064" ht="15.75" customHeight="1">
      <c r="A16064" s="2" t="s">
        <v>16064</v>
      </c>
      <c r="B16064" s="2" t="str">
        <f>IFERROR(__xludf.DUMMYFUNCTION("GOOGLETRANSLATE(A16064, ""en"", ""mt"")"),"Shamanist, Buddista jew Nisrani")</f>
        <v>Shamanist, Buddista jew Nisrani</v>
      </c>
    </row>
    <row r="16065" ht="15.75" customHeight="1">
      <c r="A16065" s="2" t="s">
        <v>16065</v>
      </c>
      <c r="B16065" s="2" t="str">
        <f>IFERROR(__xludf.DUMMYFUNCTION("GOOGLETRANSLATE(A16065, ""en"", ""mt"")"),"Jirregola l-prattika tal-ispiżjara u t-tekniċi tal-ispiżerija")</f>
        <v>Jirregola l-prattika tal-ispiżjara u t-tekniċi tal-ispiżerija</v>
      </c>
    </row>
    <row r="16066" ht="15.75" customHeight="1">
      <c r="A16066" s="2" t="s">
        <v>16066</v>
      </c>
      <c r="B16066" s="2" t="str">
        <f>IFERROR(__xludf.DUMMYFUNCTION("GOOGLETRANSLATE(A16066, ""en"", ""mt"")"),"£ 1.3bn")</f>
        <v>£ 1.3bn</v>
      </c>
    </row>
    <row r="16067" ht="15.75" customHeight="1">
      <c r="A16067" s="2" t="s">
        <v>16067</v>
      </c>
      <c r="B16067" s="2" t="str">
        <f>IFERROR(__xludf.DUMMYFUNCTION("GOOGLETRANSLATE(A16067, ""en"", ""mt"")"),"framment tad-drapp ta 'San Gereon")</f>
        <v>framment tad-drapp ta 'San Gereon</v>
      </c>
    </row>
    <row r="16068" ht="15.75" customHeight="1">
      <c r="A16068" s="2" t="s">
        <v>16068</v>
      </c>
      <c r="B16068" s="2" t="str">
        <f>IFERROR(__xludf.DUMMYFUNCTION("GOOGLETRANSLATE(A16068, ""en"", ""mt"")"),"Dak li jagħmel it-tul tal-ġurnata kostanti fid-dinja?")</f>
        <v>Dak li jagħmel it-tul tal-ġurnata kostanti fid-dinja?</v>
      </c>
    </row>
    <row r="16069" ht="15.75" customHeight="1">
      <c r="A16069" s="2" t="s">
        <v>16069</v>
      </c>
      <c r="B16069" s="2" t="str">
        <f>IFERROR(__xludf.DUMMYFUNCTION("GOOGLETRANSLATE(A16069, ""en"", ""mt"")"),"Liema sistema ta 'katalogar kienet użata mil-Librerija Nazzjonali tal-Art mis-snin 1980 sad-disgħinijiet?")</f>
        <v>Liema sistema ta 'katalogar kienet użata mil-Librerija Nazzjonali tal-Art mis-snin 1980 sad-disgħinijiet?</v>
      </c>
    </row>
    <row r="16070" ht="15.75" customHeight="1">
      <c r="A16070" s="2" t="s">
        <v>16070</v>
      </c>
      <c r="B16070" s="2" t="str">
        <f>IFERROR(__xludf.DUMMYFUNCTION("GOOGLETRANSLATE(A16070, ""en"", ""mt"")"),"Min għaqqad Genghis Khan qabel ma beda jirbħu l-kumplament tal-Eurasia?")</f>
        <v>Min għaqqad Genghis Khan qabel ma beda jirbħu l-kumplament tal-Eurasia?</v>
      </c>
    </row>
    <row r="16071" ht="15.75" customHeight="1">
      <c r="A16071" s="2" t="s">
        <v>16071</v>
      </c>
      <c r="B16071" s="2" t="str">
        <f>IFERROR(__xludf.DUMMYFUNCTION("GOOGLETRANSLATE(A16071, ""en"", ""mt"")"),"Johannes Agricola")</f>
        <v>Johannes Agricola</v>
      </c>
    </row>
    <row r="16072" ht="15.75" customHeight="1">
      <c r="A16072" s="2" t="s">
        <v>16072</v>
      </c>
      <c r="B16072" s="2" t="str">
        <f>IFERROR(__xludf.DUMMYFUNCTION("GOOGLETRANSLATE(A16072, ""en"", ""mt"")"),"""Kolonjaliżmu Intern""")</f>
        <v>"Kolonjaliżmu Intern"</v>
      </c>
    </row>
    <row r="16073" ht="15.75" customHeight="1">
      <c r="A16073" s="2" t="s">
        <v>16073</v>
      </c>
      <c r="B16073" s="2" t="str">
        <f>IFERROR(__xludf.DUMMYFUNCTION("GOOGLETRANSLATE(A16073, ""en"", ""mt"")"),"F’Awwissu 1999, ABC premiered avveniment ta ’serje speċjali, li jrid ikun Millionaire, wirja tal-logħob ibbażata fuq il-programm Ingliż tal-istess titlu. Ospitat matul il-mandat ABC tagħha minn Regis Philbin, il-programm sar suċċess tal-klassifikazzjoniji"&amp;"et maġġuri matul il-ġirja inizjali tas-sajf tiegħu, li wassal lil ABC biex iġġedded il-miljunarju bħala serje regolari, li rritorna fit-18 ta 'Jannar 2000. Fil-quċċata tiegħu, il-programm imxandar daqskemm Sitt iljieli fil-ġimgħa. Mgħaġġel minn Millionair"&amp;"e, matul l-istaġun 1999-2000, ABC sar l-ewwel netwerk li miexi mit-tielet sal-ewwel post fil-klassifikazzjonijiet matul staġun televiżiv wieħed. Millionaire temmet il-ġirja tagħha fuq il-formazzjoni tal-primetime tan-netwerk wara tliet snin fl-2002, bi Bu"&amp;"ena Vista Television li reġa 'beda l-ispettaklu bħala programm sindikat (taħt l-ospitanti oriġinali ta' l-Inkarnazzjoni Meredith Vieira) f'Settembru ta 'dik is-sena.")</f>
        <v>F’Awwissu 1999, ABC premiered avveniment ta ’serje speċjali, li jrid ikun Millionaire, wirja tal-logħob ibbażata fuq il-programm Ingliż tal-istess titlu. Ospitat matul il-mandat ABC tagħha minn Regis Philbin, il-programm sar suċċess tal-klassifikazzjonijiet maġġuri matul il-ġirja inizjali tas-sajf tiegħu, li wassal lil ABC biex iġġedded il-miljunarju bħala serje regolari, li rritorna fit-18 ta 'Jannar 2000. Fil-quċċata tiegħu, il-programm imxandar daqskemm Sitt iljieli fil-ġimgħa. Mgħaġġel minn Millionaire, matul l-istaġun 1999-2000, ABC sar l-ewwel netwerk li miexi mit-tielet sal-ewwel post fil-klassifikazzjonijiet matul staġun televiżiv wieħed. Millionaire temmet il-ġirja tagħha fuq il-formazzjoni tal-primetime tan-netwerk wara tliet snin fl-2002, bi Buena Vista Television li reġa 'beda l-ispettaklu bħala programm sindikat (taħt l-ospitanti oriġinali ta' l-Inkarnazzjoni Meredith Vieira) f'Settembru ta 'dik is-sena.</v>
      </c>
    </row>
    <row r="16074" ht="15.75" customHeight="1">
      <c r="A16074" s="2" t="s">
        <v>16074</v>
      </c>
      <c r="B16074" s="2" t="str">
        <f>IFERROR(__xludf.DUMMYFUNCTION("GOOGLETRANSLATE(A16074, ""en"", ""mt"")"),"Escarpment ta 'Varsavja")</f>
        <v>Escarpment ta 'Varsavja</v>
      </c>
    </row>
    <row r="16075" ht="15.75" customHeight="1">
      <c r="A16075" s="2" t="s">
        <v>16075</v>
      </c>
      <c r="B16075" s="2" t="str">
        <f>IFERROR(__xludf.DUMMYFUNCTION("GOOGLETRANSLATE(A16075, ""en"", ""mt"")"),"Nazzjonijiet industrijalizzati żiedu r-riservi tagħhom")</f>
        <v>Nazzjonijiet industrijalizzati żiedu r-riservi tagħhom</v>
      </c>
    </row>
    <row r="16076" ht="15.75" customHeight="1">
      <c r="A16076" s="2" t="s">
        <v>16076</v>
      </c>
      <c r="B16076" s="2" t="str">
        <f>IFERROR(__xludf.DUMMYFUNCTION("GOOGLETRANSLATE(A16076, ""en"", ""mt"")"),"X'inhu l-Ajruport ta 'l-Avjazzjoni Ġenerali l-aktar traffikuż fid-dinja?")</f>
        <v>X'inhu l-Ajruport ta 'l-Avjazzjoni Ġenerali l-aktar traffikuż fid-dinja?</v>
      </c>
    </row>
    <row r="16077" ht="15.75" customHeight="1">
      <c r="A16077" s="2" t="s">
        <v>16077</v>
      </c>
      <c r="B16077" s="2" t="str">
        <f>IFERROR(__xludf.DUMMYFUNCTION("GOOGLETRANSLATE(A16077, ""en"", ""mt"")"),"Neħħi s-sorveljanza tal-gvern mill-proċessi tagħha")</f>
        <v>Neħħi s-sorveljanza tal-gvern mill-proċessi tagħha</v>
      </c>
    </row>
    <row r="16078" ht="15.75" customHeight="1">
      <c r="A16078" s="2" t="s">
        <v>16078</v>
      </c>
      <c r="B16078" s="2" t="str">
        <f>IFERROR(__xludf.DUMMYFUNCTION("GOOGLETRANSLATE(A16078, ""en"", ""mt"")"),"rotazzjoni")</f>
        <v>rotazzjoni</v>
      </c>
    </row>
    <row r="16079" ht="15.75" customHeight="1">
      <c r="A16079" s="2" t="s">
        <v>16079</v>
      </c>
      <c r="B16079" s="2" t="str">
        <f>IFERROR(__xludf.DUMMYFUNCTION("GOOGLETRANSLATE(A16079, ""en"", ""mt"")"),"In-NASA immedjatament laqgħet bord ta 'reviżjoni tal-inċidenti, sorveljat miż-żewġ djar tal-Kungress. Filwaqt li d-determinazzjoni tar-responsabbiltà għall-inċident kienet kumplessa, il-bord ta 'reviżjoni kkonkluda li ""n-nuqqasijiet jeżistu fid-disinn ta"&amp;"l-modulu tal-kmand, l-abbilità u l-kontroll tal-kwalità."" Fuq l-insistenza tal-amministratur tal-Webb tan-NASA, l-Amerika ta ’Fuq neħħiet lil Harrison Storms bħala Maniġer tal-Programm tal-Modulu tal-Kmand. Webb assenjat ukoll l-Uffiċċju tal-Programm Spa"&amp;"zjali Apollo (ASPO) Maniġer Joseph Francis Shea, li ħa post George Low.")</f>
        <v>In-NASA immedjatament laqgħet bord ta 'reviżjoni tal-inċidenti, sorveljat miż-żewġ djar tal-Kungress. Filwaqt li d-determinazzjoni tar-responsabbiltà għall-inċident kienet kumplessa, il-bord ta 'reviżjoni kkonkluda li "n-nuqqasijiet jeżistu fid-disinn tal-modulu tal-kmand, l-abbilità u l-kontroll tal-kwalità." Fuq l-insistenza tal-amministratur tal-Webb tan-NASA, l-Amerika ta ’Fuq neħħiet lil Harrison Storms bħala Maniġer tal-Programm tal-Modulu tal-Kmand. Webb assenjat ukoll l-Uffiċċju tal-Programm Spazjali Apollo (ASPO) Maniġer Joseph Francis Shea, li ħa post George Low.</v>
      </c>
    </row>
    <row r="16080" ht="15.75" customHeight="1">
      <c r="A16080" s="2" t="s">
        <v>16080</v>
      </c>
      <c r="B16080" s="2" t="str">
        <f>IFERROR(__xludf.DUMMYFUNCTION("GOOGLETRANSLATE(A16080, ""en"", ""mt"")"),"pari ta 'reazzjoni ta' azzjoni")</f>
        <v>pari ta 'reazzjoni ta' azzjoni</v>
      </c>
    </row>
    <row r="16081" ht="15.75" customHeight="1">
      <c r="A16081" s="2" t="s">
        <v>16081</v>
      </c>
      <c r="B16081" s="2" t="str">
        <f>IFERROR(__xludf.DUMMYFUNCTION("GOOGLETRANSLATE(A16081, ""en"", ""mt"")"),"Magħtu Tesla ma qablux?")</f>
        <v>Magħtu Tesla ma qablux?</v>
      </c>
    </row>
    <row r="16082" ht="15.75" customHeight="1">
      <c r="A16082" s="2" t="s">
        <v>16082</v>
      </c>
      <c r="B16082" s="2" t="str">
        <f>IFERROR(__xludf.DUMMYFUNCTION("GOOGLETRANSLATE(A16082, ""en"", ""mt"")"),"X’")</f>
        <v>X’</v>
      </c>
    </row>
    <row r="16083" ht="15.75" customHeight="1">
      <c r="A16083" s="2" t="s">
        <v>16083</v>
      </c>
      <c r="B16083" s="2" t="str">
        <f>IFERROR(__xludf.DUMMYFUNCTION("GOOGLETRANSLATE(A16083, ""en"", ""mt"")"),"Il-Kumitat Ospitanti tas-Super Bowl 50 wegħdet li tkun ""l-iktar li tagħti Super Bowl"", u se tiddedika 25 fil-mija tal-flus kollha li tqajjem għal kawżi filantropiċi fiż-Żona tal-Bajja. Il-kumitat ħoloq il-50 fond bħala l-inizjattiva filantropika tiegħu "&amp;"u jiffoka fuq l-għoti ta 'għotjiet biex jgħinu l-iżvilupp taż-żgħażagħ, l-investiment fil-komunità u l-ambjenti sostenibbli.")</f>
        <v>Il-Kumitat Ospitanti tas-Super Bowl 50 wegħdet li tkun "l-iktar li tagħti Super Bowl", u se tiddedika 25 fil-mija tal-flus kollha li tqajjem għal kawżi filantropiċi fiż-Żona tal-Bajja. Il-kumitat ħoloq il-50 fond bħala l-inizjattiva filantropika tiegħu u jiffoka fuq l-għoti ta 'għotjiet biex jgħinu l-iżvilupp taż-żgħażagħ, l-investiment fil-komunità u l-ambjenti sostenibbli.</v>
      </c>
    </row>
    <row r="16084" ht="15.75" customHeight="1">
      <c r="A16084" s="2" t="s">
        <v>16084</v>
      </c>
      <c r="B16084" s="2" t="str">
        <f>IFERROR(__xludf.DUMMYFUNCTION("GOOGLETRANSLATE(A16084, ""en"", ""mt"")"),"""It-Triangolu Roża""")</f>
        <v>"It-Triangolu Roża"</v>
      </c>
    </row>
    <row r="16085" ht="15.75" customHeight="1">
      <c r="A16085" s="2" t="s">
        <v>16085</v>
      </c>
      <c r="B16085" s="2" t="str">
        <f>IFERROR(__xludf.DUMMYFUNCTION("GOOGLETRANSLATE(A16085, ""en"", ""mt"")"),"Teorema ta ’Wilson")</f>
        <v>Teorema ta ’Wilson</v>
      </c>
    </row>
    <row r="16086" ht="15.75" customHeight="1">
      <c r="A16086" s="2" t="s">
        <v>16086</v>
      </c>
      <c r="B16086" s="2" t="str">
        <f>IFERROR(__xludf.DUMMYFUNCTION("GOOGLETRANSLATE(A16086, ""en"", ""mt"")"),"Bi protesta kontra l-okkupazzjoni tal-Prussja minn Napuljun")</f>
        <v>Bi protesta kontra l-okkupazzjoni tal-Prussja minn Napuljun</v>
      </c>
    </row>
    <row r="16087" ht="15.75" customHeight="1">
      <c r="A16087" s="2" t="s">
        <v>16087</v>
      </c>
      <c r="B16087" s="2" t="str">
        <f>IFERROR(__xludf.DUMMYFUNCTION("GOOGLETRANSLATE(A16087, ""en"", ""mt"")"),"Fis-snin 1840 u 50, kien hemm tentattivi biex tingħeleb din il-problema permezz ta 'diversi gerijiet tal-valv tal-privattivi b'valv ta' espansjoni separat u varjabbli ta 'rkib fuq wara tal-valv tal-pjastra prinċipali; Dawn tal-aħħar ġeneralment kellhom qt"&amp;"ugħ fiss jew limitat. Is-setup ikkombinat ta approssimazzjoni ġusta tal-avvenimenti ideali, bi spejjeż ta 'żieda fil-frizzjoni u l-ilbies, u l-mekkaniżmu kellu tendenza li jkun ikkumplikat. Is-soluzzjoni ta 'kompromess tas-soltu kienet li tipprovdi dawra "&amp;"billi tittawwal l-uċuħ tal-valv b'tali mod li jirkbu fuq il-port fuq in-naħa tad-dħul, bl-effett li n-naħa tal-egżost tibqa' miftuħa għal perjodu itwal wara li tinqata 'fuq l-ammissjoni il-ġenb seħħ. Dan l-ispedjent minn dakinhar ġeneralment kien ikkunsid"&amp;"rat sodisfaċenti għal ħafna skopijiet u jagħmilha possibbli l-użu tal-mozzjonijiet aktar sempliċi ta 'Stephenson, Joy u Walschaerts. Corliss, u aktar tard, il-gerijiet tal-valv tal-poppet kellhom ammissjoni separati u valvi ta 'l-egżost misjuqa minn mekka"&amp;"niżmi ta' vjaġġ jew cams profilati sabiex jagħtu avvenimenti ideali; Ħafna minn dawn l-irkaptu qatt ma rnexxielhom barra mis-suq wieqaf minħabba diversi kwistjonijiet oħra inkluż tnixxija u mekkaniżmi aktar delikati.")</f>
        <v>Fis-snin 1840 u 50, kien hemm tentattivi biex tingħeleb din il-problema permezz ta 'diversi gerijiet tal-valv tal-privattivi b'valv ta' espansjoni separat u varjabbli ta 'rkib fuq wara tal-valv tal-pjastra prinċipali; Dawn tal-aħħar ġeneralment kellhom qtugħ fiss jew limitat. Is-setup ikkombinat ta approssimazzjoni ġusta tal-avvenimenti ideali, bi spejjeż ta 'żieda fil-frizzjoni u l-ilbies, u l-mekkaniżmu kellu tendenza li jkun ikkumplikat. Is-soluzzjoni ta 'kompromess tas-soltu kienet li tipprovdi dawra billi tittawwal l-uċuħ tal-valv b'tali mod li jirkbu fuq il-port fuq in-naħa tad-dħul, bl-effett li n-naħa tal-egżost tibqa' miftuħa għal perjodu itwal wara li tinqata 'fuq l-ammissjoni il-ġenb seħħ. Dan l-ispedjent minn dakinhar ġeneralment kien ikkunsidrat sodisfaċenti għal ħafna skopijiet u jagħmilha possibbli l-użu tal-mozzjonijiet aktar sempliċi ta 'Stephenson, Joy u Walschaerts. Corliss, u aktar tard, il-gerijiet tal-valv tal-poppet kellhom ammissjoni separati u valvi ta 'l-egżost misjuqa minn mekkaniżmi ta' vjaġġ jew cams profilati sabiex jagħtu avvenimenti ideali; Ħafna minn dawn l-irkaptu qatt ma rnexxielhom barra mis-suq wieqaf minħabba diversi kwistjonijiet oħra inkluż tnixxija u mekkaniżmi aktar delikati.</v>
      </c>
    </row>
    <row r="16088" ht="15.75" customHeight="1">
      <c r="A16088" s="2" t="s">
        <v>16088</v>
      </c>
      <c r="B16088" s="2" t="str">
        <f>IFERROR(__xludf.DUMMYFUNCTION("GOOGLETRANSLATE(A16088, ""en"", ""mt"")"),"Meta miet Mongke Khan?")</f>
        <v>Meta miet Mongke Khan?</v>
      </c>
    </row>
    <row r="16089" ht="15.75" customHeight="1">
      <c r="A16089" s="2" t="s">
        <v>16089</v>
      </c>
      <c r="B16089" s="2" t="str">
        <f>IFERROR(__xludf.DUMMYFUNCTION("GOOGLETRANSLATE(A16089, ""en"", ""mt"")"),"Il-kollezzjoni tat-teatru tibda mill-ħin ta 'liema drammaturgu famuż Elizabethan?")</f>
        <v>Il-kollezzjoni tat-teatru tibda mill-ħin ta 'liema drammaturgu famuż Elizabethan?</v>
      </c>
    </row>
    <row r="16090" ht="15.75" customHeight="1">
      <c r="A16090" s="2" t="s">
        <v>16090</v>
      </c>
      <c r="B16090" s="2" t="str">
        <f>IFERROR(__xludf.DUMMYFUNCTION("GOOGLETRANSLATE(A16090, ""en"", ""mt"")"),"Li sejħu lilhom infushom ""il-president tal-poplu""?")</f>
        <v>Li sejħu lilhom infushom "il-president tal-poplu"?</v>
      </c>
    </row>
    <row r="16091" ht="15.75" customHeight="1">
      <c r="A16091" s="2" t="s">
        <v>16091</v>
      </c>
      <c r="B16091" s="2" t="str">
        <f>IFERROR(__xludf.DUMMYFUNCTION("GOOGLETRANSLATE(A16091, ""en"", ""mt"")"),"Liema monarkija protetti t-truppi tal-Punent?")</f>
        <v>Liema monarkija protetti t-truppi tal-Punent?</v>
      </c>
    </row>
    <row r="16092" ht="15.75" customHeight="1">
      <c r="A16092" s="2" t="s">
        <v>16092</v>
      </c>
      <c r="B16092" s="2" t="str">
        <f>IFERROR(__xludf.DUMMYFUNCTION("GOOGLETRANSLATE(A16092, ""en"", ""mt"")"),"Serje ta 'estensjoni Apollo")</f>
        <v>Serje ta 'estensjoni Apollo</v>
      </c>
    </row>
    <row r="16093" ht="15.75" customHeight="1">
      <c r="A16093" s="2" t="s">
        <v>16093</v>
      </c>
      <c r="B16093" s="2" t="str">
        <f>IFERROR(__xludf.DUMMYFUNCTION("GOOGLETRANSLATE(A16093, ""en"", ""mt"")"),"Kemm hemm baqar tal-ħalib fl-Awstralja?")</f>
        <v>Kemm hemm baqar tal-ħalib fl-Awstralja?</v>
      </c>
    </row>
    <row r="16094" ht="15.75" customHeight="1">
      <c r="A16094" s="2" t="s">
        <v>16094</v>
      </c>
      <c r="B16094" s="2" t="str">
        <f>IFERROR(__xludf.DUMMYFUNCTION("GOOGLETRANSLATE(A16094, ""en"", ""mt"")"),"l-imġieba statistika")</f>
        <v>l-imġieba statistika</v>
      </c>
    </row>
    <row r="16095" ht="15.75" customHeight="1">
      <c r="A16095" s="2" t="s">
        <v>16095</v>
      </c>
      <c r="B16095" s="2" t="str">
        <f>IFERROR(__xludf.DUMMYFUNCTION("GOOGLETRANSLATE(A16095, ""en"", ""mt"")"),"Madwar 300,000")</f>
        <v>Madwar 300,000</v>
      </c>
    </row>
    <row r="16096" ht="15.75" customHeight="1">
      <c r="A16096" s="2" t="s">
        <v>16096</v>
      </c>
      <c r="B16096" s="2" t="str">
        <f>IFERROR(__xludf.DUMMYFUNCTION("GOOGLETRANSLATE(A16096, ""en"", ""mt"")"),"Beroe")</f>
        <v>Beroe</v>
      </c>
    </row>
    <row r="16097" ht="15.75" customHeight="1">
      <c r="A16097" s="2" t="s">
        <v>16097</v>
      </c>
      <c r="B16097" s="2" t="str">
        <f>IFERROR(__xludf.DUMMYFUNCTION("GOOGLETRANSLATE(A16097, ""en"", ""mt"")"),"Kif jiġġieldu r-reġimi kontra l-imperjalizmu kulturali?")</f>
        <v>Kif jiġġieldu r-reġimi kontra l-imperjalizmu kulturali?</v>
      </c>
    </row>
    <row r="16098" ht="15.75" customHeight="1">
      <c r="A16098" s="2" t="s">
        <v>16098</v>
      </c>
      <c r="B16098" s="2" t="str">
        <f>IFERROR(__xludf.DUMMYFUNCTION("GOOGLETRANSLATE(A16098, ""en"", ""mt"")"),"Min kienu d-detenturi tad-drittijiet attwali għall-Primer League?")</f>
        <v>Min kienu d-detenturi tad-drittijiet attwali għall-Primer League?</v>
      </c>
    </row>
    <row r="16099" ht="15.75" customHeight="1">
      <c r="A16099" s="2" t="s">
        <v>16099</v>
      </c>
      <c r="B16099" s="2" t="str">
        <f>IFERROR(__xludf.DUMMYFUNCTION("GOOGLETRANSLATE(A16099, ""en"", ""mt"")"),"Tikklassifika l-istadji ta 'dak li hu importanti għall-immappjar tal-aspetti tal-Amażonja?")</f>
        <v>Tikklassifika l-istadji ta 'dak li hu importanti għall-immappjar tal-aspetti tal-Amażonja?</v>
      </c>
    </row>
    <row r="16100" ht="15.75" customHeight="1">
      <c r="A16100" s="2" t="s">
        <v>16100</v>
      </c>
      <c r="B16100" s="2" t="str">
        <f>IFERROR(__xludf.DUMMYFUNCTION("GOOGLETRANSLATE(A16100, ""en"", ""mt"")"),"għex fil-faqar u ġew trattati ħażin")</f>
        <v>għex fil-faqar u ġew trattati ħażin</v>
      </c>
    </row>
    <row r="16101" ht="15.75" customHeight="1">
      <c r="A16101" s="2" t="s">
        <v>16101</v>
      </c>
      <c r="B16101" s="2" t="str">
        <f>IFERROR(__xludf.DUMMYFUNCTION("GOOGLETRANSLATE(A16101, ""en"", ""mt"")"),"Fil-Knisja ta ’Ġesù Kristu tal-Qaddisin tal-Aħħar Jum (Knisja LDS), l-għalliem huwa uffiċċju fis-saċerdozju Aaroniku, ġeneralment mogħti lil subien żgħar jew konvertiti riċenti, u għandu ftit komuni mal-arketip“ għalliem spiritwali ”. Ir-rwol ta '""għalli"&amp;"em spiritwali"" jista' jimtela minn ħafna individwi fil-knisja LDS, ħafna drabi ħabib ta 'fiduċja, li jista' jorganizza xi kariga, minn anzjan għall-isqof, jew l-ebda uffiċċju. L-enfasi fuq il-mentoring spiritwali fil-knisja LDS hija simili għal dik fit-t"&amp;"radizzjonijiet l-aktar ""baxxi"" tal-Protestantiżmu, b'enfasi aktar qawwija fuq ir-raġel u missier ta 'familja biex tipprovdi gwida spiritwali għall-familja kollha tiegħu, idealment fi Konsultazzjoni ma 'martu, anke jekk ir-raġel mhuwiex membru tal-knisja"&amp;" LDS, ibbażata fuq interpretatios ta' ċerti testi bibliċi li jxandru l-awtorità spiritwali tar-raġel fiż-żwieġ. Anki r-rappreżentanti tas-saċerdozju huma mistennija jiddifferixxu lill-missier tad-dar meta jkunu fid-dar tiegħu. Barra minn hekk, gwida spiri"&amp;"twali addizzjonali hija offruta minn dawk li għandhom l-uffiċċju tal-patrijarka, li suppost mill-qaddisin tal-aħħar jum jagħtu ċerti rigali tal-Ispirtu, bħall-abbiltà li jipprofetizzaw, lid-detenturi tiegħu. Din il-gwida hija ġeneralment offruta waqt ċeri"&amp;"monja msejħa l-barka patrijarkali.")</f>
        <v>Fil-Knisja ta ’Ġesù Kristu tal-Qaddisin tal-Aħħar Jum (Knisja LDS), l-għalliem huwa uffiċċju fis-saċerdozju Aaroniku, ġeneralment mogħti lil subien żgħar jew konvertiti riċenti, u għandu ftit komuni mal-arketip“ għalliem spiritwali ”. Ir-rwol ta '"għalliem spiritwali" jista' jimtela minn ħafna individwi fil-knisja LDS, ħafna drabi ħabib ta 'fiduċja, li jista' jorganizza xi kariga, minn anzjan għall-isqof, jew l-ebda uffiċċju. L-enfasi fuq il-mentoring spiritwali fil-knisja LDS hija simili għal dik fit-tradizzjonijiet l-aktar "baxxi" tal-Protestantiżmu, b'enfasi aktar qawwija fuq ir-raġel u missier ta 'familja biex tipprovdi gwida spiritwali għall-familja kollha tiegħu, idealment fi Konsultazzjoni ma 'martu, anke jekk ir-raġel mhuwiex membru tal-knisja LDS, ibbażata fuq interpretatios ta' ċerti testi bibliċi li jxandru l-awtorità spiritwali tar-raġel fiż-żwieġ. Anki r-rappreżentanti tas-saċerdozju huma mistennija jiddifferixxu lill-missier tad-dar meta jkunu fid-dar tiegħu. Barra minn hekk, gwida spiritwali addizzjonali hija offruta minn dawk li għandhom l-uffiċċju tal-patrijarka, li suppost mill-qaddisin tal-aħħar jum jagħtu ċerti rigali tal-Ispirtu, bħall-abbiltà li jipprofetizzaw, lid-detenturi tiegħu. Din il-gwida hija ġeneralment offruta waqt ċerimonja msejħa l-barka patrijarkali.</v>
      </c>
    </row>
    <row r="16102" ht="15.75" customHeight="1">
      <c r="A16102" s="2" t="s">
        <v>16102</v>
      </c>
      <c r="B16102" s="2" t="str">
        <f>IFERROR(__xludf.DUMMYFUNCTION("GOOGLETRANSLATE(A16102, ""en"", ""mt"")"),"Ħajt ta ’Hadrian")</f>
        <v>Ħajt ta ’Hadrian</v>
      </c>
    </row>
    <row r="16103" ht="15.75" customHeight="1">
      <c r="A16103" s="2" t="s">
        <v>16103</v>
      </c>
      <c r="B16103" s="2" t="str">
        <f>IFERROR(__xludf.DUMMYFUNCTION("GOOGLETRANSLATE(A16103, ""en"", ""mt"")"),"John Sutcliffe.")</f>
        <v>John Sutcliffe.</v>
      </c>
    </row>
    <row r="16104" ht="15.75" customHeight="1">
      <c r="A16104" s="2" t="s">
        <v>16104</v>
      </c>
      <c r="B16104" s="2" t="str">
        <f>IFERROR(__xludf.DUMMYFUNCTION("GOOGLETRANSLATE(A16104, ""en"", ""mt"")"),"X'inhuma tnejn mis-subsistemi tagħha?")</f>
        <v>X'inhuma tnejn mis-subsistemi tagħha?</v>
      </c>
    </row>
    <row r="16105" ht="15.75" customHeight="1">
      <c r="A16105" s="2" t="s">
        <v>16105</v>
      </c>
      <c r="B16105" s="2" t="str">
        <f>IFERROR(__xludf.DUMMYFUNCTION("GOOGLETRANSLATE(A16105, ""en"", ""mt"")"),"CBS stabbilixxa r-rata bażi għal reklam ta '30 sekonda għal $ 5,000,000, prezz rekord għoli għal Super Bowl AD. Mis-26 ta 'Jannar, ir-reklami għadhom ma nbiegħux. CBS mandat li r-reklamaturi kollha jixtru pakkett li jkopri kemm ix-xandiriet tat-televiżjon"&amp;"i kif ukoll fuq il-logħba, li jfisser li għall-ewwel darba, flussi diġitali tal-logħba jġorru r-reklamar nazzjonali kollha bil-mudell max-xandira tat-televiżjoni. Din tkun l-aħħar sena f'kuntratt ta 'bosta snin ma' Anheuser-Busch InBEV li ppermettiet lill"&amp;"-manifattur tal-birra jixxandar reklami multipli matul il-logħba bi skont qawwi. Kienet ukoll l-aħħar sena li Doritos, sponsor ta 'żmien twil tal-logħba, żamm il-konkors tiegħu ""Crash the Super Bowl"" li ppermetta lit-telespettaturi joħolqu r-reklami Dor"&amp;"itos tagħhom stess għal ċans li jixxandru waqt il-logħba. Nintendo u l-Kumpanija Pokémon għamlu wkoll id-debutt tagħhom tas-Super Bowl, u ppromwovi l-20 anniversarju tal-video game Pokémon u l-franchise tal-midja.")</f>
        <v>CBS stabbilixxa r-rata bażi għal reklam ta '30 sekonda għal $ 5,000,000, prezz rekord għoli għal Super Bowl AD. Mis-26 ta 'Jannar, ir-reklami għadhom ma nbiegħux. CBS mandat li r-reklamaturi kollha jixtru pakkett li jkopri kemm ix-xandiriet tat-televiżjoni kif ukoll fuq il-logħba, li jfisser li għall-ewwel darba, flussi diġitali tal-logħba jġorru r-reklamar nazzjonali kollha bil-mudell max-xandira tat-televiżjoni. Din tkun l-aħħar sena f'kuntratt ta 'bosta snin ma' Anheuser-Busch InBEV li ppermettiet lill-manifattur tal-birra jixxandar reklami multipli matul il-logħba bi skont qawwi. Kienet ukoll l-aħħar sena li Doritos, sponsor ta 'żmien twil tal-logħba, żamm il-konkors tiegħu "Crash the Super Bowl" li ppermetta lit-telespettaturi joħolqu r-reklami Doritos tagħhom stess għal ċans li jixxandru waqt il-logħba. Nintendo u l-Kumpanija Pokémon għamlu wkoll id-debutt tagħhom tas-Super Bowl, u ppromwovi l-20 anniversarju tal-video game Pokémon u l-franchise tal-midja.</v>
      </c>
    </row>
    <row r="16106" ht="15.75" customHeight="1">
      <c r="A16106" s="2" t="s">
        <v>16106</v>
      </c>
      <c r="B16106" s="2" t="str">
        <f>IFERROR(__xludf.DUMMYFUNCTION("GOOGLETRANSLATE(A16106, ""en"", ""mt"")"),"Katekiżmu żgħir,")</f>
        <v>Katekiżmu żgħir,</v>
      </c>
    </row>
    <row r="16107" ht="15.75" customHeight="1">
      <c r="A16107" s="2" t="s">
        <v>16107</v>
      </c>
      <c r="B16107" s="2" t="str">
        <f>IFERROR(__xludf.DUMMYFUNCTION("GOOGLETRANSLATE(A16107, ""en"", ""mt"")"),"Għaliex mikrija s-36 acres?")</f>
        <v>Għaliex mikrija s-36 acres?</v>
      </c>
    </row>
    <row r="16108" ht="15.75" customHeight="1">
      <c r="A16108" s="2" t="s">
        <v>16108</v>
      </c>
      <c r="B16108" s="2" t="str">
        <f>IFERROR(__xludf.DUMMYFUNCTION("GOOGLETRANSLATE(A16108, ""en"", ""mt"")"),"Dwar liema teorema hija l-formula li ta 'spiss tiġġenera n-numru 2 u l-primes l-oħra kollha preċiżament darba bbażati fuqha?")</f>
        <v>Dwar liema teorema hija l-formula li ta 'spiss tiġġenera n-numru 2 u l-primes l-oħra kollha preċiżament darba bbażati fuqha?</v>
      </c>
    </row>
    <row r="16109" ht="15.75" customHeight="1">
      <c r="A16109" s="2" t="s">
        <v>16109</v>
      </c>
      <c r="B16109" s="2" t="str">
        <f>IFERROR(__xludf.DUMMYFUNCTION("GOOGLETRANSLATE(A16109, ""en"", ""mt"")"),"Il-Gwerra tas-Suċċessjoni Awstrijaka (li t-teatru tal-Amerika ta ’Fuq hija magħrufa bħala l-Gwerra tar-Re Ġorġ) intemmet formalment fl-1748 bl-iffirmar tat-Trattat ta’ Aix-La-Chapelle. It-trattat kien primarjament iffokat fuq ir-riżoluzzjoni ta 'kwistjoni"&amp;"jiet fl-Ewropa. Il-kwistjonijiet ta 'talbiet territorjali konfliġġenti bejn il-kolonji Ingliżi u Franċiżi fl-Amerika ta' Fuq ġew mibdula f'kummissjoni biex issolvi, iżda ma waslu l-ebda deċiżjoni. Frontiers minn bejn Nova Scotia u Acadia fit-tramuntana, l"&amp;"ejn il-pajjiż ta 'Ohio fin-nofsinhar, ġew mitluba miż-żewġ naħat. It-tilwim estenda wkoll fl-Oċean Atlantiku, fejn iż-żewġ poteri riedu aċċess għas-sajd għani tal-Grand Banks barra Newfoundland.")</f>
        <v>Il-Gwerra tas-Suċċessjoni Awstrijaka (li t-teatru tal-Amerika ta ’Fuq hija magħrufa bħala l-Gwerra tar-Re Ġorġ) intemmet formalment fl-1748 bl-iffirmar tat-Trattat ta’ Aix-La-Chapelle. It-trattat kien primarjament iffokat fuq ir-riżoluzzjoni ta 'kwistjonijiet fl-Ewropa. Il-kwistjonijiet ta 'talbiet territorjali konfliġġenti bejn il-kolonji Ingliżi u Franċiżi fl-Amerika ta' Fuq ġew mibdula f'kummissjoni biex issolvi, iżda ma waslu l-ebda deċiżjoni. Frontiers minn bejn Nova Scotia u Acadia fit-tramuntana, lejn il-pajjiż ta 'Ohio fin-nofsinhar, ġew mitluba miż-żewġ naħat. It-tilwim estenda wkoll fl-Oċean Atlantiku, fejn iż-żewġ poteri riedu aċċess għas-sajd għani tal-Grand Banks barra Newfoundland.</v>
      </c>
    </row>
    <row r="16110" ht="15.75" customHeight="1">
      <c r="A16110" s="2" t="s">
        <v>16110</v>
      </c>
      <c r="B16110" s="2" t="str">
        <f>IFERROR(__xludf.DUMMYFUNCTION("GOOGLETRANSLATE(A16110, ""en"", ""mt"")"),"ctdna")</f>
        <v>ctdna</v>
      </c>
    </row>
    <row r="16111" ht="15.75" customHeight="1">
      <c r="A16111" s="2" t="s">
        <v>16111</v>
      </c>
      <c r="B16111" s="2" t="str">
        <f>IFERROR(__xludf.DUMMYFUNCTION("GOOGLETRANSLATE(A16111, ""en"", ""mt"")"),"Grumman")</f>
        <v>Grumman</v>
      </c>
    </row>
    <row r="16112" ht="15.75" customHeight="1">
      <c r="A16112" s="2" t="s">
        <v>16112</v>
      </c>
      <c r="B16112" s="2" t="str">
        <f>IFERROR(__xludf.DUMMYFUNCTION("GOOGLETRANSLATE(A16112, ""en"", ""mt"")"),"taljoli ideali")</f>
        <v>taljoli ideali</v>
      </c>
    </row>
    <row r="16113" ht="15.75" customHeight="1">
      <c r="A16113" s="2" t="s">
        <v>16113</v>
      </c>
      <c r="B16113" s="2" t="str">
        <f>IFERROR(__xludf.DUMMYFUNCTION("GOOGLETRANSLATE(A16113, ""en"", ""mt"")"),"Li tgħallem lill-Kristjani kif għandhom jgħixu huwa dak li juża l-liġi?")</f>
        <v>Li tgħallem lill-Kristjani kif għandhom jgħixu huwa dak li juża l-liġi?</v>
      </c>
    </row>
    <row r="16114" ht="15.75" customHeight="1">
      <c r="A16114" s="2" t="s">
        <v>16114</v>
      </c>
      <c r="B16114" s="2" t="str">
        <f>IFERROR(__xludf.DUMMYFUNCTION("GOOGLETRANSLATE(A16114, ""en"", ""mt"")"),"Ma 'riċevitur għandu jkun mgħammar biex jara l-kontenut kriptat?")</f>
        <v>Ma 'riċevitur għandu jkun mgħammar biex jara l-kontenut kriptat?</v>
      </c>
    </row>
    <row r="16115" ht="15.75" customHeight="1">
      <c r="A16115" s="2" t="s">
        <v>16115</v>
      </c>
      <c r="B16115" s="2" t="str">
        <f>IFERROR(__xludf.DUMMYFUNCTION("GOOGLETRANSLATE(A16115, ""en"", ""mt"")"),"Packet_switching")</f>
        <v>Packet_switching</v>
      </c>
    </row>
    <row r="16116" ht="15.75" customHeight="1">
      <c r="A16116" s="2" t="s">
        <v>16116</v>
      </c>
      <c r="B16116" s="2" t="str">
        <f>IFERROR(__xludf.DUMMYFUNCTION("GOOGLETRANSLATE(A16116, ""en"", ""mt"")"),"Deżert tal-Colorado")</f>
        <v>Deżert tal-Colorado</v>
      </c>
    </row>
    <row r="16117" ht="15.75" customHeight="1">
      <c r="A16117" s="2" t="s">
        <v>16117</v>
      </c>
      <c r="B16117" s="2" t="str">
        <f>IFERROR(__xludf.DUMMYFUNCTION("GOOGLETRANSLATE(A16117, ""en"", ""mt"")"),"Liema belt ta 'California l-aħħar ospitat is-Super Bowl?")</f>
        <v>Liema belt ta 'California l-aħħar ospitat is-Super Bowl?</v>
      </c>
    </row>
    <row r="16118" ht="15.75" customHeight="1">
      <c r="A16118" s="2" t="s">
        <v>16118</v>
      </c>
      <c r="B16118" s="2" t="str">
        <f>IFERROR(__xludf.DUMMYFUNCTION("GOOGLETRANSLATE(A16118, ""en"", ""mt"")"),"X'kien l-isem tal-istadium li fihom it-timijiet lagħbu?")</f>
        <v>X'kien l-isem tal-istadium li fihom it-timijiet lagħbu?</v>
      </c>
    </row>
    <row r="16119" ht="15.75" customHeight="1">
      <c r="A16119" s="2" t="s">
        <v>16119</v>
      </c>
      <c r="B16119" s="2" t="str">
        <f>IFERROR(__xludf.DUMMYFUNCTION("GOOGLETRANSLATE(A16119, ""en"", ""mt"")"),"s = −2, −4")</f>
        <v>s = −2, −4</v>
      </c>
    </row>
    <row r="16120" ht="15.75" customHeight="1">
      <c r="A16120" s="2" t="s">
        <v>16120</v>
      </c>
      <c r="B16120" s="2" t="str">
        <f>IFERROR(__xludf.DUMMYFUNCTION("GOOGLETRANSLATE(A16120, ""en"", ""mt"")"),"Bejn wieħed u ieħor kemm għandu pitturi taż-żejt Ewropew il-mużew?")</f>
        <v>Bejn wieħed u ieħor kemm għandu pitturi taż-żejt Ewropew il-mużew?</v>
      </c>
    </row>
    <row r="16121" ht="15.75" customHeight="1">
      <c r="A16121" s="2" t="s">
        <v>16121</v>
      </c>
      <c r="B16121" s="2" t="str">
        <f>IFERROR(__xludf.DUMMYFUNCTION("GOOGLETRANSLATE(A16121, ""en"", ""mt"")"),"dejta ta 'mġieba u demografika")</f>
        <v>dejta ta 'mġieba u demografika</v>
      </c>
    </row>
    <row r="16122" ht="15.75" customHeight="1">
      <c r="A16122" s="2" t="s">
        <v>16122</v>
      </c>
      <c r="B16122" s="2" t="str">
        <f>IFERROR(__xludf.DUMMYFUNCTION("GOOGLETRANSLATE(A16122, ""en"", ""mt"")"),"F’xi pajjiżi, edukazzjoni formali tista ’sseħħ permezz ta’ skola tad-dar. It-tagħlim informali jista 'jkun megħjun minn għalliem li jokkupa rwol tranżitorju jew kontinwu, bħal membru tal-familja, jew minn kull min għandu għarfien jew ħiliet fl-ambjent usa"&amp;"' tal-komunità.")</f>
        <v>F’xi pajjiżi, edukazzjoni formali tista ’sseħħ permezz ta’ skola tad-dar. It-tagħlim informali jista 'jkun megħjun minn għalliem li jokkupa rwol tranżitorju jew kontinwu, bħal membru tal-familja, jew minn kull min għandu għarfien jew ħiliet fl-ambjent usa' tal-komunità.</v>
      </c>
    </row>
    <row r="16123" ht="15.75" customHeight="1">
      <c r="A16123" s="2" t="s">
        <v>16123</v>
      </c>
      <c r="B16123" s="2" t="str">
        <f>IFERROR(__xludf.DUMMYFUNCTION("GOOGLETRANSLATE(A16123, ""en"", ""mt"")"),"ibbażat fil-komunità")</f>
        <v>ibbażat fil-komunità</v>
      </c>
    </row>
    <row r="16124" ht="15.75" customHeight="1">
      <c r="A16124" s="2" t="s">
        <v>16124</v>
      </c>
      <c r="B16124" s="2" t="str">
        <f>IFERROR(__xludf.DUMMYFUNCTION("GOOGLETRANSLATE(A16124, ""en"", ""mt"")"),"tikkastiga")</f>
        <v>tikkastiga</v>
      </c>
    </row>
    <row r="16125" ht="15.75" customHeight="1">
      <c r="A16125" s="2" t="s">
        <v>16125</v>
      </c>
      <c r="B16125" s="2" t="str">
        <f>IFERROR(__xludf.DUMMYFUNCTION("GOOGLETRANSLATE(A16125, ""en"", ""mt"")"),"Ögedei Khan")</f>
        <v>Ögedei Khan</v>
      </c>
    </row>
    <row r="16126" ht="15.75" customHeight="1">
      <c r="A16126" s="2" t="s">
        <v>16126</v>
      </c>
      <c r="B16126" s="2" t="str">
        <f>IFERROR(__xludf.DUMMYFUNCTION("GOOGLETRANSLATE(A16126, ""en"", ""mt"")"),"F'liema pajjiż hemm bżonn ta 'kontroll tal-isfond?")</f>
        <v>F'liema pajjiż hemm bżonn ta 'kontroll tal-isfond?</v>
      </c>
    </row>
    <row r="16127" ht="15.75" customHeight="1">
      <c r="A16127" s="2" t="s">
        <v>16127</v>
      </c>
      <c r="B16127" s="2" t="str">
        <f>IFERROR(__xludf.DUMMYFUNCTION("GOOGLETRANSLATE(A16127, ""en"", ""mt"")"),"Xi jfittex li jwieġeb it-teorija tal-kumplessità tal-komputazzjoni l-iktar speċifikament?")</f>
        <v>Xi jfittex li jwieġeb it-teorija tal-kumplessità tal-komputazzjoni l-iktar speċifikament?</v>
      </c>
    </row>
    <row r="16128" ht="15.75" customHeight="1">
      <c r="A16128" s="2" t="s">
        <v>16128</v>
      </c>
      <c r="B16128" s="2" t="str">
        <f>IFERROR(__xludf.DUMMYFUNCTION("GOOGLETRANSLATE(A16128, ""en"", ""mt"")"),"Kemm minn Jacksonville huwa magħmul mill-ilma?")</f>
        <v>Kemm minn Jacksonville huwa magħmul mill-ilma?</v>
      </c>
    </row>
    <row r="16129" ht="15.75" customHeight="1">
      <c r="A16129" s="2" t="s">
        <v>16129</v>
      </c>
      <c r="B16129" s="2" t="str">
        <f>IFERROR(__xludf.DUMMYFUNCTION("GOOGLETRANSLATE(A16129, ""en"", ""mt"")"),"Fejn kienu t-tagħlim ta 'Tetzel f'konformità mad-dogma tal-knisja?")</f>
        <v>Fejn kienu t-tagħlim ta 'Tetzel f'konformità mad-dogma tal-knisja?</v>
      </c>
    </row>
    <row r="16130" ht="15.75" customHeight="1">
      <c r="A16130" s="2" t="s">
        <v>16130</v>
      </c>
      <c r="B16130" s="2" t="str">
        <f>IFERROR(__xludf.DUMMYFUNCTION("GOOGLETRANSLATE(A16130, ""en"", ""mt"")"),"Fiċ-ċiklu ta 'Rankine, f'liema l-ilma jinbidel meta jissaħħan?")</f>
        <v>Fiċ-ċiklu ta 'Rankine, f'liema l-ilma jinbidel meta jissaħħan?</v>
      </c>
    </row>
    <row r="16131" ht="15.75" customHeight="1">
      <c r="A16131" s="2" t="s">
        <v>16131</v>
      </c>
      <c r="B16131" s="2" t="str">
        <f>IFERROR(__xludf.DUMMYFUNCTION("GOOGLETRANSLATE(A16131, ""en"", ""mt"")"),"1317")</f>
        <v>1317</v>
      </c>
    </row>
    <row r="16132" ht="15.75" customHeight="1">
      <c r="A16132" s="2" t="s">
        <v>16132</v>
      </c>
      <c r="B16132" s="2" t="str">
        <f>IFERROR(__xludf.DUMMYFUNCTION("GOOGLETRANSLATE(A16132, ""en"", ""mt"")"),"Pjazza tal-Parlament, High Street u George IV Bridge")</f>
        <v>Pjazza tal-Parlament, High Street u George IV Bridge</v>
      </c>
    </row>
    <row r="16133" ht="15.75" customHeight="1">
      <c r="A16133" s="2" t="s">
        <v>16133</v>
      </c>
      <c r="B16133" s="2" t="str">
        <f>IFERROR(__xludf.DUMMYFUNCTION("GOOGLETRANSLATE(A16133, ""en"", ""mt"")"),"L-issettjar kollu tal-kura tas-saħħa")</f>
        <v>L-issettjar kollu tal-kura tas-saħħa</v>
      </c>
    </row>
    <row r="16134" ht="15.75" customHeight="1">
      <c r="A16134" s="2" t="s">
        <v>16134</v>
      </c>
      <c r="B16134" s="2" t="str">
        <f>IFERROR(__xludf.DUMMYFUNCTION("GOOGLETRANSLATE(A16134, ""en"", ""mt"")"),"Ersatzschulen huma skejjel primarji jew sekondarji ordinarji, li huma mmexxija minn individwi privati, organizzazzjonijiet privati ​​jew gruppi reliġjużi. Dawn l-iskejjel joffru l-istess tipi ta ’diplomi bħall-iskejjel pubbliċi. Ersatzschulen m'għandux il"&amp;"-libertà li jopera kompletament barra mir-regolament tal-gvern. L-għalliema fl-Ersatzschulen irid ikollhom mill-inqas l-istess edukazzjoni u għall-inqas l-istess pagi bħall-għalliema fl-iskejjel pubbliċi, ersatzschule għandu jkollhom mill-inqas l-istess s"&amp;"tandards akkademiċi bħal skola pubblika u l-Artikolu 7, paragrafu 4 tal-Grundgesetz, jipprojbixxi wkoll is-segregazzjoni ta ' studenti skont il-mezzi tal-ġenituri tagħhom (l-hekk imsejħa Sonderungsverbot). Għalhekk, il-biċċa l-kbira tal-ersatzschulen għan"&amp;"dhom ħlasijiet ta 'tagħlim baxxi ħafna u / jew joffru boroż ta' studju, meta mqabbla ma 'ħafna pajjiżi oħra tal-Ewropa tal-Punent. Madankollu, mhuwiex possibbli li dawn l-iskejjel jiffinanzjaw bi ħlasijiet ta 'tagħlim daqshekk baxxi, u huwa għalhekk li l-"&amp;"ersatzschulen Ġermaniż kollu huwa ffinanzjat ukoll b'fondi pubbliċi. Il-perċentwali tal-flus pubbliċi jistgħu jilħqu 100% tan-nefqiet tal-persunal. Madankollu, l-iskejjel privati ​​saru insolventi fil-passat fil-Ġermanja.")</f>
        <v>Ersatzschulen huma skejjel primarji jew sekondarji ordinarji, li huma mmexxija minn individwi privati, organizzazzjonijiet privati ​​jew gruppi reliġjużi. Dawn l-iskejjel joffru l-istess tipi ta ’diplomi bħall-iskejjel pubbliċi. Ersatzschulen m'għandux il-libertà li jopera kompletament barra mir-regolament tal-gvern. L-għalliema fl-Ersatzschulen irid ikollhom mill-inqas l-istess edukazzjoni u għall-inqas l-istess pagi bħall-għalliema fl-iskejjel pubbliċi, ersatzschule għandu jkollhom mill-inqas l-istess standards akkademiċi bħal skola pubblika u l-Artikolu 7, paragrafu 4 tal-Grundgesetz, jipprojbixxi wkoll is-segregazzjoni ta ' studenti skont il-mezzi tal-ġenituri tagħhom (l-hekk imsejħa Sonderungsverbot). Għalhekk, il-biċċa l-kbira tal-ersatzschulen għandhom ħlasijiet ta 'tagħlim baxxi ħafna u / jew joffru boroż ta' studju, meta mqabbla ma 'ħafna pajjiżi oħra tal-Ewropa tal-Punent. Madankollu, mhuwiex possibbli li dawn l-iskejjel jiffinanzjaw bi ħlasijiet ta 'tagħlim daqshekk baxxi, u huwa għalhekk li l-ersatzschulen Ġermaniż kollu huwa ffinanzjat ukoll b'fondi pubbliċi. Il-perċentwali tal-flus pubbliċi jistgħu jilħqu 100% tan-nefqiet tal-persunal. Madankollu, l-iskejjel privati ​​saru insolventi fil-passat fil-Ġermanja.</v>
      </c>
    </row>
    <row r="16135" ht="15.75" customHeight="1">
      <c r="A16135" s="2" t="s">
        <v>16135</v>
      </c>
      <c r="B16135" s="2" t="str">
        <f>IFERROR(__xludf.DUMMYFUNCTION("GOOGLETRANSLATE(A16135, ""en"", ""mt"")"),"X'jiekol il-Beroe?")</f>
        <v>X'jiekol il-Beroe?</v>
      </c>
    </row>
    <row r="16136" ht="15.75" customHeight="1">
      <c r="A16136" s="2" t="s">
        <v>16136</v>
      </c>
      <c r="B16136" s="2" t="str">
        <f>IFERROR(__xludf.DUMMYFUNCTION("GOOGLETRANSLATE(A16136, ""en"", ""mt"")"),"biex twettaq fotosintesi")</f>
        <v>biex twettaq fotosintesi</v>
      </c>
    </row>
    <row r="16137" ht="15.75" customHeight="1">
      <c r="A16137" s="2" t="s">
        <v>16137</v>
      </c>
      <c r="B16137" s="2" t="str">
        <f>IFERROR(__xludf.DUMMYFUNCTION("GOOGLETRANSLATE(A16137, ""en"", ""mt"")"),"Ir-Rhine t'isfel tgħaddi minn North Rhine-Westphalia. Il-banek tagħha huma ġeneralment popolati ħafna u industrijalizzati, b'mod partikolari l-agglomerazzjonijiet Cologne, Düsseldorf u ż-żona ta 'Ruhr. Hawnhekk ir-Rhine joħroġ mill-ikbar konurbazzjoni fil"&amp;"-Ġermanja, ir-reġjun tar-Rhine-Ruhr. Waħda mill-iktar bliet importanti f'dan ir-reġjun hija Duisburg bl-akbar port tax-xmajjar fl-Ewropa (Duisport). Ir-reġjun 'l isfel ta' Duisburg huwa aktar agrikolu. F'Wesel, 30 km 'l isfel minn Duisburg, jinsab it-tarf"&amp;" tal-punent tat-tieni rotta tat-tbaħħir tal-Lvant-Punent, il-Kanal Wesel-Datteln, li jimxi parallel mal-lippe. Bejn Emmerich u Cleves il-Pont ta 'Emmerich Rhine, l-itwal pont ta' sospensjoni fil-Ġermanja, jaqsam ix-xmara wiesgħa ta '400 m. Ħdejn Krefeld, "&amp;"ix-xmara taqsam il-linja Uerdingen, il-linja li tifred iż-żoni fejn jitkellmu Ġermaniż baxx u għoli Ġermaniż.")</f>
        <v>Ir-Rhine t'isfel tgħaddi minn North Rhine-Westphalia. Il-banek tagħha huma ġeneralment popolati ħafna u industrijalizzati, b'mod partikolari l-agglomerazzjonijiet Cologne, Düsseldorf u ż-żona ta 'Ruhr. Hawnhekk ir-Rhine joħroġ mill-ikbar konurbazzjoni fil-Ġermanja, ir-reġjun tar-Rhine-Ruhr. Waħda mill-iktar bliet importanti f'dan ir-reġjun hija Duisburg bl-akbar port tax-xmajjar fl-Ewropa (Duisport). Ir-reġjun 'l isfel ta' Duisburg huwa aktar agrikolu. F'Wesel, 30 km 'l isfel minn Duisburg, jinsab it-tarf tal-punent tat-tieni rotta tat-tbaħħir tal-Lvant-Punent, il-Kanal Wesel-Datteln, li jimxi parallel mal-lippe. Bejn Emmerich u Cleves il-Pont ta 'Emmerich Rhine, l-itwal pont ta' sospensjoni fil-Ġermanja, jaqsam ix-xmara wiesgħa ta '400 m. Ħdejn Krefeld, ix-xmara taqsam il-linja Uerdingen, il-linja li tifred iż-żoni fejn jitkellmu Ġermaniż baxx u għoli Ġermaniż.</v>
      </c>
    </row>
    <row r="16138" ht="15.75" customHeight="1">
      <c r="A16138" s="2" t="s">
        <v>16138</v>
      </c>
      <c r="B16138" s="2" t="str">
        <f>IFERROR(__xludf.DUMMYFUNCTION("GOOGLETRANSLATE(A16138, ""en"", ""mt"")"),"Tribujiet Ġermaniċi qasmu r-Renu fil-perjodu ta 'migrazzjoni, sas-seklu 5 stabbilixxew ir-renji ta' Francia fuq ir-Renu t'isfel, Burgundy fuq ir-Renu ta 'Fuq u l-Alemannia fuq ir-Renu għoli. Din l- ""Età Erojka Ġermanika"" hija riflessa fil-leġġenda medje"&amp;"vali, bħalma huma n-Nibelungenelied li jirrakkonta lill-eroj Siegfried joqtol dragun fuq id-Drachenfels (Siebengebirge) (""Dragons Rock""), ħdejn Bonn fir-Rhine u fil-Burgundians u l-qorti tagħhom fi Worms, fit-Teżor tad-Deheb tar-Renu u Kriemhild, li ġie"&amp;" mitfugħ fir-Renu minn Hagen.")</f>
        <v>Tribujiet Ġermaniċi qasmu r-Renu fil-perjodu ta 'migrazzjoni, sas-seklu 5 stabbilixxew ir-renji ta' Francia fuq ir-Renu t'isfel, Burgundy fuq ir-Renu ta 'Fuq u l-Alemannia fuq ir-Renu għoli. Din l- "Età Erojka Ġermanika" hija riflessa fil-leġġenda medjevali, bħalma huma n-Nibelungenelied li jirrakkonta lill-eroj Siegfried joqtol dragun fuq id-Drachenfels (Siebengebirge) ("Dragons Rock"), ħdejn Bonn fir-Rhine u fil-Burgundians u l-qorti tagħhom fi Worms, fit-Teżor tad-Deheb tar-Renu u Kriemhild, li ġie mitfugħ fir-Renu minn Hagen.</v>
      </c>
    </row>
    <row r="16139" ht="15.75" customHeight="1">
      <c r="A16139" s="2" t="s">
        <v>16139</v>
      </c>
      <c r="B16139" s="2" t="str">
        <f>IFERROR(__xludf.DUMMYFUNCTION("GOOGLETRANSLATE(A16139, ""en"", ""mt"")"),"standardizzat")</f>
        <v>standardizzat</v>
      </c>
    </row>
    <row r="16140" ht="15.75" customHeight="1">
      <c r="A16140" s="2" t="s">
        <v>16140</v>
      </c>
      <c r="B16140" s="2" t="str">
        <f>IFERROR(__xludf.DUMMYFUNCTION("GOOGLETRANSLATE(A16140, ""en"", ""mt"")"),"Meta l-forzi jaġixxu fuq korp estiż, x'għandek bżonn tagħti kont għall-effetti tal-moviment?")</f>
        <v>Meta l-forzi jaġixxu fuq korp estiż, x'għandek bżonn tagħti kont għall-effetti tal-moviment?</v>
      </c>
    </row>
    <row r="16141" ht="15.75" customHeight="1">
      <c r="A16141" s="2" t="s">
        <v>16141</v>
      </c>
      <c r="B16141" s="2" t="str">
        <f>IFERROR(__xludf.DUMMYFUNCTION("GOOGLETRANSLATE(A16141, ""en"", ""mt"")"),"Wilson's")</f>
        <v>Wilson's</v>
      </c>
    </row>
    <row r="16142" ht="15.75" customHeight="1">
      <c r="A16142" s="2" t="s">
        <v>16142</v>
      </c>
      <c r="B16142" s="2" t="str">
        <f>IFERROR(__xludf.DUMMYFUNCTION("GOOGLETRANSLATE(A16142, ""en"", ""mt"")"),"bagħat numru żgħir ta 'kolonizzaturi lill-kolonji tiegħu,")</f>
        <v>bagħat numru żgħir ta 'kolonizzaturi lill-kolonji tiegħu,</v>
      </c>
    </row>
    <row r="16143" ht="15.75" customHeight="1">
      <c r="A16143" s="2" t="s">
        <v>16143</v>
      </c>
      <c r="B16143" s="2" t="str">
        <f>IFERROR(__xludf.DUMMYFUNCTION("GOOGLETRANSLATE(A16143, ""en"", ""mt"")"),"Meta miet Augustus?")</f>
        <v>Meta miet Augustus?</v>
      </c>
    </row>
    <row r="16144" ht="15.75" customHeight="1">
      <c r="A16144" s="2" t="s">
        <v>16144</v>
      </c>
      <c r="B16144" s="2" t="str">
        <f>IFERROR(__xludf.DUMMYFUNCTION("GOOGLETRANSLATE(A16144, ""en"", ""mt"")"),"L-artijiet għolja ċentrali")</f>
        <v>L-artijiet għolja ċentrali</v>
      </c>
    </row>
    <row r="16145" ht="15.75" customHeight="1">
      <c r="A16145" s="2" t="s">
        <v>16145</v>
      </c>
      <c r="B16145" s="2" t="str">
        <f>IFERROR(__xludf.DUMMYFUNCTION("GOOGLETRANSLATE(A16145, ""en"", ""mt"")"),"Xi għalliema u ġenituri")</f>
        <v>Xi għalliema u ġenituri</v>
      </c>
    </row>
    <row r="16146" ht="15.75" customHeight="1">
      <c r="A16146" s="2" t="s">
        <v>16146</v>
      </c>
      <c r="B16146" s="2" t="str">
        <f>IFERROR(__xludf.DUMMYFUNCTION("GOOGLETRANSLATE(A16146, ""en"", ""mt"")"),"Il-kumplessità tal-komunikazzjoni hija eżempju ta 'liema tip ta' miżura?")</f>
        <v>Il-kumplessità tal-komunikazzjoni hija eżempju ta 'liema tip ta' miżura?</v>
      </c>
    </row>
    <row r="16147" ht="15.75" customHeight="1">
      <c r="A16147" s="2" t="s">
        <v>16147</v>
      </c>
      <c r="B16147" s="2" t="str">
        <f>IFERROR(__xludf.DUMMYFUNCTION("GOOGLETRANSLATE(A16147, ""en"", ""mt"")"),"Fejn kien jgħix waqt li kien qed jidher tajjeb?")</f>
        <v>Fejn kien jgħix waqt li kien qed jidher tajjeb?</v>
      </c>
    </row>
    <row r="16148" ht="15.75" customHeight="1">
      <c r="A16148" s="2" t="s">
        <v>16148</v>
      </c>
      <c r="B16148" s="2" t="str">
        <f>IFERROR(__xludf.DUMMYFUNCTION("GOOGLETRANSLATE(A16148, ""en"", ""mt"")"),"mitluba mill-gvernijiet.")</f>
        <v>mitluba mill-gvernijiet.</v>
      </c>
    </row>
    <row r="16149" ht="15.75" customHeight="1">
      <c r="A16149" s="2" t="s">
        <v>16149</v>
      </c>
      <c r="B16149" s="2" t="str">
        <f>IFERROR(__xludf.DUMMYFUNCTION("GOOGLETRANSLATE(A16149, ""en"", ""mt"")"),"Mediterran")</f>
        <v>Mediterran</v>
      </c>
    </row>
    <row r="16150" ht="15.75" customHeight="1">
      <c r="A16150" s="2" t="s">
        <v>16150</v>
      </c>
      <c r="B16150" s="2" t="str">
        <f>IFERROR(__xludf.DUMMYFUNCTION("GOOGLETRANSLATE(A16150, ""en"", ""mt"")"),"Bejn madwar l-1964 u l-1973, ammonti kbar ta 'materjal anzjan maħżun fid-diversi video tape tal-BBC u l-libreriji tal-films ġew meqruda, [nota 3] jintmesaħ, jew sofrew minn ħażna ħażina li wasslet għal deterjorazzjoni severa mill-kwalità tax-xandir. Dan k"&amp;"ien jinkludi bosta episodji antiki ta 'Doctor Who, l-aktar stejjer li jidhru l-ewwel żewġ tobba: William Hartnell u Patrick Troughton. B’kollox, 97 minn 253 episodju prodotti matul l-ewwel sitt snin tal-programm ma jinżammux fl-arkivji tal-BBC (l-aktar st"&amp;"aġuni 3, 4, u 5, li minnu huma nieqsa 79 episodju). Fl-1972, kważi l-episodji kollha li saru kienu magħrufa li jeżistu fil-BBC, filwaqt li sal-1978 il-prattika ta 'timsaħ tapes u li teqred kopji ta' films ""żejda"" twaqqfu.")</f>
        <v>Bejn madwar l-1964 u l-1973, ammonti kbar ta 'materjal anzjan maħżun fid-diversi video tape tal-BBC u l-libreriji tal-films ġew meqruda, [nota 3] jintmesaħ, jew sofrew minn ħażna ħażina li wasslet għal deterjorazzjoni severa mill-kwalità tax-xandir. Dan kien jinkludi bosta episodji antiki ta 'Doctor Who, l-aktar stejjer li jidhru l-ewwel żewġ tobba: William Hartnell u Patrick Troughton. B’kollox, 97 minn 253 episodju prodotti matul l-ewwel sitt snin tal-programm ma jinżammux fl-arkivji tal-BBC (l-aktar staġuni 3, 4, u 5, li minnu huma nieqsa 79 episodju). Fl-1972, kważi l-episodji kollha li saru kienu magħrufa li jeżistu fil-BBC, filwaqt li sal-1978 il-prattika ta 'timsaħ tapes u li teqred kopji ta' films "żejda" twaqqfu.</v>
      </c>
    </row>
    <row r="16151" ht="15.75" customHeight="1">
      <c r="A16151" s="2" t="s">
        <v>16151</v>
      </c>
      <c r="B16151" s="2" t="str">
        <f>IFERROR(__xludf.DUMMYFUNCTION("GOOGLETRANSLATE(A16151, ""en"", ""mt"")"),"Fejn ħeba Temüjin waqt il-ħarba tiegħu mit-Tayichi'ud?")</f>
        <v>Fejn ħeba Temüjin waqt il-ħarba tiegħu mit-Tayichi'ud?</v>
      </c>
    </row>
    <row r="16152" ht="15.75" customHeight="1">
      <c r="A16152" s="2" t="s">
        <v>16152</v>
      </c>
      <c r="B16152" s="2" t="str">
        <f>IFERROR(__xludf.DUMMYFUNCTION("GOOGLETRANSLATE(A16152, ""en"", ""mt"")"),"X'użaw al-gama'a al-Islamiyya biex jiksbu triqtu?")</f>
        <v>X'użaw al-gama'a al-Islamiyya biex jiksbu triqtu?</v>
      </c>
    </row>
    <row r="16153" ht="15.75" customHeight="1">
      <c r="A16153" s="2" t="s">
        <v>16153</v>
      </c>
      <c r="B16153" s="2" t="str">
        <f>IFERROR(__xludf.DUMMYFUNCTION("GOOGLETRANSLATE(A16153, ""en"", ""mt"")"),"Ħdax-il unità akkademika separata")</f>
        <v>Ħdax-il unità akkademika separata</v>
      </c>
    </row>
    <row r="16154" ht="15.75" customHeight="1">
      <c r="A16154" s="2" t="s">
        <v>16154</v>
      </c>
      <c r="B16154" s="2" t="str">
        <f>IFERROR(__xludf.DUMMYFUNCTION("GOOGLETRANSLATE(A16154, ""en"", ""mt"")"),"Kunsinna ta 'dawn il-messaġġi bil-maħżen u l-iswiċċjar' il quddiem")</f>
        <v>Kunsinna ta 'dawn il-messaġġi bil-maħżen u l-iswiċċjar' il quddiem</v>
      </c>
    </row>
    <row r="16155" ht="15.75" customHeight="1">
      <c r="A16155" s="2" t="s">
        <v>16155</v>
      </c>
      <c r="B16155" s="2" t="str">
        <f>IFERROR(__xludf.DUMMYFUNCTION("GOOGLETRANSLATE(A16155, ""en"", ""mt"")"),"L-interpretazzjoni korretta tal-kompożizzjoni tal-ilma")</f>
        <v>L-interpretazzjoni korretta tal-kompożizzjoni tal-ilma</v>
      </c>
    </row>
    <row r="16156" ht="15.75" customHeight="1">
      <c r="A16156" s="2" t="s">
        <v>16156</v>
      </c>
      <c r="B16156" s="2" t="str">
        <f>IFERROR(__xludf.DUMMYFUNCTION("GOOGLETRANSLATE(A16156, ""en"", ""mt"")"),"In-naħa ta 'ġewwa ta' ctenophore hija miksija b'liema?")</f>
        <v>In-naħa ta 'ġewwa ta' ctenophore hija miksija b'liema?</v>
      </c>
    </row>
    <row r="16157" ht="15.75" customHeight="1">
      <c r="A16157" s="2" t="s">
        <v>16157</v>
      </c>
      <c r="B16157" s="2" t="str">
        <f>IFERROR(__xludf.DUMMYFUNCTION("GOOGLETRANSLATE(A16157, ""en"", ""mt"")"),"Parlament Skoċċiż")</f>
        <v>Parlament Skoċċiż</v>
      </c>
    </row>
    <row r="16158" ht="15.75" customHeight="1">
      <c r="A16158" s="2" t="s">
        <v>16158</v>
      </c>
      <c r="B16158" s="2" t="str">
        <f>IFERROR(__xludf.DUMMYFUNCTION("GOOGLETRANSLATE(A16158, ""en"", ""mt"")"),"id-data")</f>
        <v>id-data</v>
      </c>
    </row>
    <row r="16159" ht="15.75" customHeight="1">
      <c r="A16159" s="2" t="s">
        <v>16159</v>
      </c>
      <c r="B16159" s="2" t="str">
        <f>IFERROR(__xludf.DUMMYFUNCTION("GOOGLETRANSLATE(A16159, ""en"", ""mt"")"),"fi pressjonijiet parzjali elevati")</f>
        <v>fi pressjonijiet parzjali elevati</v>
      </c>
    </row>
    <row r="16160" ht="15.75" customHeight="1">
      <c r="A16160" s="2" t="s">
        <v>16160</v>
      </c>
      <c r="B16160" s="2" t="str">
        <f>IFERROR(__xludf.DUMMYFUNCTION("GOOGLETRANSLATE(A16160, ""en"", ""mt"")"),"X'inhi d-differenza ewlenija bejn l-ispiżeriji onlajn u l-ispiżeriji tal-komunità?")</f>
        <v>X'inhi d-differenza ewlenija bejn l-ispiżeriji onlajn u l-ispiżeriji tal-komunità?</v>
      </c>
    </row>
    <row r="16161" ht="15.75" customHeight="1">
      <c r="A16161" s="2" t="s">
        <v>16161</v>
      </c>
      <c r="B16161" s="2" t="str">
        <f>IFERROR(__xludf.DUMMYFUNCTION("GOOGLETRANSLATE(A16161, ""en"", ""mt"")"),"Taxxa aktar wieqfa")</f>
        <v>Taxxa aktar wieqfa</v>
      </c>
    </row>
    <row r="16162" ht="15.75" customHeight="1">
      <c r="A16162" s="2" t="s">
        <v>16162</v>
      </c>
      <c r="B16162" s="2" t="str">
        <f>IFERROR(__xludf.DUMMYFUNCTION("GOOGLETRANSLATE(A16162, ""en"", ""mt"")"),"Sky UK Limited qabel kien magħruf b'liema isem?")</f>
        <v>Sky UK Limited qabel kien magħruf b'liema isem?</v>
      </c>
    </row>
    <row r="16163" ht="15.75" customHeight="1">
      <c r="A16163" s="2" t="s">
        <v>16163</v>
      </c>
      <c r="B16163" s="2" t="str">
        <f>IFERROR(__xludf.DUMMYFUNCTION("GOOGLETRANSLATE(A16163, ""en"", ""mt"")"),"baxx ħafna")</f>
        <v>baxx ħafna</v>
      </c>
    </row>
    <row r="16164" ht="15.75" customHeight="1">
      <c r="A16164" s="2" t="s">
        <v>16164</v>
      </c>
      <c r="B16164" s="2" t="str">
        <f>IFERROR(__xludf.DUMMYFUNCTION("GOOGLETRANSLATE(A16164, ""en"", ""mt"")"),"Kemm-il punt Carolina mexxiet lill-NFL meta skorja għal-logħob offensiv?")</f>
        <v>Kemm-il punt Carolina mexxiet lill-NFL meta skorja għal-logħob offensiv?</v>
      </c>
    </row>
    <row r="16165" ht="15.75" customHeight="1">
      <c r="A16165" s="2" t="s">
        <v>16165</v>
      </c>
      <c r="B16165" s="2" t="str">
        <f>IFERROR(__xludf.DUMMYFUNCTION("GOOGLETRANSLATE(A16165, ""en"", ""mt"")"),"Innu għal tmiem il-ġimgħa")</f>
        <v>Innu għal tmiem il-ġimgħa</v>
      </c>
    </row>
    <row r="16166" ht="15.75" customHeight="1">
      <c r="A16166" s="2" t="s">
        <v>16166</v>
      </c>
      <c r="B16166" s="2" t="str">
        <f>IFERROR(__xludf.DUMMYFUNCTION("GOOGLETRANSLATE(A16166, ""en"", ""mt"")"),"waħda mill-onorevoli ta 'martu fl-istennija")</f>
        <v>waħda mill-onorevoli ta 'martu fl-istennija</v>
      </c>
    </row>
    <row r="16167" ht="15.75" customHeight="1">
      <c r="A16167" s="2" t="s">
        <v>16167</v>
      </c>
      <c r="B16167" s="2" t="str">
        <f>IFERROR(__xludf.DUMMYFUNCTION("GOOGLETRANSLATE(A16167, ""en"", ""mt"")"),"Liema entità qanqlet it-tkabbir tal-Istazzjon Fresno?")</f>
        <v>Liema entità qanqlet it-tkabbir tal-Istazzjon Fresno?</v>
      </c>
    </row>
    <row r="16168" ht="15.75" customHeight="1">
      <c r="A16168" s="2" t="s">
        <v>16168</v>
      </c>
      <c r="B16168" s="2" t="str">
        <f>IFERROR(__xludf.DUMMYFUNCTION("GOOGLETRANSLATE(A16168, ""en"", ""mt"")"),"Kemm waqqa 'l-livell tal-baħar fl-età tas-silġ?")</f>
        <v>Kemm waqqa 'l-livell tal-baħar fl-età tas-silġ?</v>
      </c>
    </row>
    <row r="16169" ht="15.75" customHeight="1">
      <c r="A16169" s="2" t="s">
        <v>16169</v>
      </c>
      <c r="B16169" s="2" t="str">
        <f>IFERROR(__xludf.DUMMYFUNCTION("GOOGLETRANSLATE(A16169, ""en"", ""mt"")"),"L-ewkariot mhux fotosintetiku ħakem alka li fiha l-kloroplast iżda naqas milli jiddiġerixxiha")</f>
        <v>L-ewkariot mhux fotosintetiku ħakem alka li fiha l-kloroplast iżda naqas milli jiddiġerixxiha</v>
      </c>
    </row>
    <row r="16170" ht="15.75" customHeight="1">
      <c r="A16170" s="2" t="s">
        <v>16170</v>
      </c>
      <c r="B16170" s="2" t="str">
        <f>IFERROR(__xludf.DUMMYFUNCTION("GOOGLETRANSLATE(A16170, ""en"", ""mt"")"),"Acasta Gneiss tal-Slave Craton fil-Majjistral tal-Kanada")</f>
        <v>Acasta Gneiss tal-Slave Craton fil-Majjistral tal-Kanada</v>
      </c>
    </row>
    <row r="16171" ht="15.75" customHeight="1">
      <c r="A16171" s="2" t="s">
        <v>16171</v>
      </c>
      <c r="B16171" s="2" t="str">
        <f>IFERROR(__xludf.DUMMYFUNCTION("GOOGLETRANSLATE(A16171, ""en"", ""mt"")"),"US $ 100,000")</f>
        <v>US $ 100,000</v>
      </c>
    </row>
    <row r="16172" ht="15.75" customHeight="1">
      <c r="A16172" s="2" t="s">
        <v>16172</v>
      </c>
      <c r="B16172" s="2" t="str">
        <f>IFERROR(__xludf.DUMMYFUNCTION("GOOGLETRANSLATE(A16172, ""en"", ""mt"")"),"25 ta 'Diċembru")</f>
        <v>25 ta 'Diċembru</v>
      </c>
    </row>
    <row r="16173" ht="15.75" customHeight="1">
      <c r="A16173" s="2" t="s">
        <v>16173</v>
      </c>
      <c r="B16173" s="2" t="str">
        <f>IFERROR(__xludf.DUMMYFUNCTION("GOOGLETRANSLATE(A16173, ""en"", ""mt"")"),"Linja ta 'fuq tal-Windows")</f>
        <v>Linja ta 'fuq tal-Windows</v>
      </c>
    </row>
    <row r="16174" ht="15.75" customHeight="1">
      <c r="A16174" s="2" t="s">
        <v>16174</v>
      </c>
      <c r="B16174" s="2" t="str">
        <f>IFERROR(__xludf.DUMMYFUNCTION("GOOGLETRANSLATE(A16174, ""en"", ""mt"")"),"X'jagħmlu l-kloroplasti bħall-mitokondrija?")</f>
        <v>X'jagħmlu l-kloroplasti bħall-mitokondrija?</v>
      </c>
    </row>
    <row r="16175" ht="15.75" customHeight="1">
      <c r="A16175" s="2" t="s">
        <v>16175</v>
      </c>
      <c r="B16175" s="2" t="str">
        <f>IFERROR(__xludf.DUMMYFUNCTION("GOOGLETRANSLATE(A16175, ""en"", ""mt"")"),"B'liema mod il-kordi tal-idea jittrasmettu l-forzi tat-teżjoni?")</f>
        <v>B'liema mod il-kordi tal-idea jittrasmettu l-forzi tat-teżjoni?</v>
      </c>
    </row>
    <row r="16176" ht="15.75" customHeight="1">
      <c r="A16176" s="2" t="s">
        <v>16176</v>
      </c>
      <c r="B16176" s="2" t="str">
        <f>IFERROR(__xludf.DUMMYFUNCTION("GOOGLETRANSLATE(A16176, ""en"", ""mt"")"),"Kunsill tal-Belt ta 'Edinburgu")</f>
        <v>Kunsill tal-Belt ta 'Edinburgu</v>
      </c>
    </row>
    <row r="16177" ht="15.75" customHeight="1">
      <c r="A16177" s="2" t="s">
        <v>16177</v>
      </c>
      <c r="B16177" s="2" t="str">
        <f>IFERROR(__xludf.DUMMYFUNCTION("GOOGLETRANSLATE(A16177, ""en"", ""mt"")"),"Ħiliet ta 'kura tal-pazjent")</f>
        <v>Ħiliet ta 'kura tal-pazjent</v>
      </c>
    </row>
    <row r="16178" ht="15.75" customHeight="1">
      <c r="A16178" s="2" t="s">
        <v>16178</v>
      </c>
      <c r="B16178" s="2" t="str">
        <f>IFERROR(__xludf.DUMMYFUNCTION("GOOGLETRANSLATE(A16178, ""en"", ""mt"")"),"sett ta 'trippli")</f>
        <v>sett ta 'trippli</v>
      </c>
    </row>
    <row r="16179" ht="15.75" customHeight="1">
      <c r="A16179" s="2" t="s">
        <v>16179</v>
      </c>
      <c r="B16179" s="2" t="str">
        <f>IFERROR(__xludf.DUMMYFUNCTION("GOOGLETRANSLATE(A16179, ""en"", ""mt"")"),"Owen Daniels")</f>
        <v>Owen Daniels</v>
      </c>
    </row>
    <row r="16180" ht="15.75" customHeight="1">
      <c r="A16180" s="2" t="s">
        <v>16180</v>
      </c>
      <c r="B16180" s="2" t="str">
        <f>IFERROR(__xludf.DUMMYFUNCTION("GOOGLETRANSLATE(A16180, ""en"", ""mt"")"),"Manifattura")</f>
        <v>Manifattura</v>
      </c>
    </row>
    <row r="16181" ht="15.75" customHeight="1">
      <c r="A16181" s="2" t="s">
        <v>16181</v>
      </c>
      <c r="B16181" s="2" t="str">
        <f>IFERROR(__xludf.DUMMYFUNCTION("GOOGLETRANSLATE(A16181, ""en"", ""mt"")"),"Fejn tinsab it-Tyneside Bar?")</f>
        <v>Fejn tinsab it-Tyneside Bar?</v>
      </c>
    </row>
    <row r="16182" ht="15.75" customHeight="1">
      <c r="A16182" s="2" t="s">
        <v>16182</v>
      </c>
      <c r="B16182" s="2" t="str">
        <f>IFERROR(__xludf.DUMMYFUNCTION("GOOGLETRANSLATE(A16182, ""en"", ""mt"")"),"Min hu l-premier attwali ta 'Victoria?")</f>
        <v>Min hu l-premier attwali ta 'Victoria?</v>
      </c>
    </row>
    <row r="16183" ht="15.75" customHeight="1">
      <c r="A16183" s="2" t="s">
        <v>16183</v>
      </c>
      <c r="B16183" s="2" t="str">
        <f>IFERROR(__xludf.DUMMYFUNCTION("GOOGLETRANSLATE(A16183, ""en"", ""mt"")"),"Xi jfisser rapport tal-2013 dwar in-Niġerja?")</f>
        <v>Xi jfisser rapport tal-2013 dwar in-Niġerja?</v>
      </c>
    </row>
    <row r="16184" ht="15.75" customHeight="1">
      <c r="A16184" s="2" t="s">
        <v>16184</v>
      </c>
      <c r="B16184" s="2" t="str">
        <f>IFERROR(__xludf.DUMMYFUNCTION("GOOGLETRANSLATE(A16184, ""en"", ""mt"")"),"barranin")</f>
        <v>barranin</v>
      </c>
    </row>
    <row r="16185" ht="15.75" customHeight="1">
      <c r="A16185" s="2" t="s">
        <v>16185</v>
      </c>
      <c r="B16185" s="2" t="str">
        <f>IFERROR(__xludf.DUMMYFUNCTION("GOOGLETRANSLATE(A16185, ""en"", ""mt"")"),"X'inhu tip ieħor ta 'algoritmu ta' kriptografija ta 'ċavetta pubblika?")</f>
        <v>X'inhu tip ieħor ta 'algoritmu ta' kriptografija ta 'ċavetta pubblika?</v>
      </c>
    </row>
    <row r="16186" ht="15.75" customHeight="1">
      <c r="A16186" s="2" t="s">
        <v>16186</v>
      </c>
      <c r="B16186" s="2" t="str">
        <f>IFERROR(__xludf.DUMMYFUNCTION("GOOGLETRANSLATE(A16186, ""en"", ""mt"")"),"Ekosistema naturali")</f>
        <v>Ekosistema naturali</v>
      </c>
    </row>
    <row r="16187" ht="15.75" customHeight="1">
      <c r="A16187" s="2" t="s">
        <v>16187</v>
      </c>
      <c r="B16187" s="2" t="str">
        <f>IFERROR(__xludf.DUMMYFUNCTION("GOOGLETRANSLATE(A16187, ""en"", ""mt"")"),"Min jiffinanzja d-deputat segretarju tal-IPCC?")</f>
        <v>Min jiffinanzja d-deputat segretarju tal-IPCC?</v>
      </c>
    </row>
    <row r="16188" ht="15.75" customHeight="1">
      <c r="A16188" s="2" t="s">
        <v>16188</v>
      </c>
      <c r="B16188" s="2" t="str">
        <f>IFERROR(__xludf.DUMMYFUNCTION("GOOGLETRANSLATE(A16188, ""en"", ""mt"")"),"Liema fatturi kellhom impatt negattiv fuq Jacksonville wara l-gwerra?")</f>
        <v>Liema fatturi kellhom impatt negattiv fuq Jacksonville wara l-gwerra?</v>
      </c>
    </row>
    <row r="16189" ht="15.75" customHeight="1">
      <c r="A16189" s="2" t="s">
        <v>16189</v>
      </c>
      <c r="B16189" s="2" t="str">
        <f>IFERROR(__xludf.DUMMYFUNCTION("GOOGLETRANSLATE(A16189, ""en"", ""mt"")"),"L-università esperjenzat is-sehem tagħha ta 'inkwiet ta' studenti matul is-snin 1960, li bdiet fl-1962, meta l-istudenti okkupaw l-uffiċċju tal-President George Beadle fi protesta fuq il-politiki ta 'kiri ta' kampus barra mill-kampus. Wara t-taqlib kontin"&amp;"wu, kumitat universitarju fl-1967 ħareġ dak li sar magħruf bħala r-Rapport Kalven. Ir-rapport, dikjarazzjoni ta 'żewġ paġni tal-politika tal-università f' ""azzjoni soċjali u politika,"" iddikjara li ""biex twettaq il-missjoni tagħha fis-soċjetà, universi"&amp;"tà trid issostni ambjent straordinarju ta 'libertà ta' inkjesta u żżomm indipendenza mill-moda politika, passjonijiet, u pressjonijiet. "" Ir-rapport minn dakinhar intuża biex jiġġustifika deċiżjonijiet bħar-rifjut tal-università li jinvesti mill-Afrika t"&amp;"'Isfel fis-snin 80 u d-Darfur fl-aħħar tas-snin 2000.")</f>
        <v>L-università esperjenzat is-sehem tagħha ta 'inkwiet ta' studenti matul is-snin 1960, li bdiet fl-1962, meta l-istudenti okkupaw l-uffiċċju tal-President George Beadle fi protesta fuq il-politiki ta 'kiri ta' kampus barra mill-kampus. Wara t-taqlib kontinwu, kumitat universitarju fl-1967 ħareġ dak li sar magħruf bħala r-Rapport Kalven. Ir-rapport, dikjarazzjoni ta 'żewġ paġni tal-politika tal-università f' "azzjoni soċjali u politika," iddikjara li "biex twettaq il-missjoni tagħha fis-soċjetà, università trid issostni ambjent straordinarju ta 'libertà ta' inkjesta u żżomm indipendenza mill-moda politika, passjonijiet, u pressjonijiet. " Ir-rapport minn dakinhar intuża biex jiġġustifika deċiżjonijiet bħar-rifjut tal-università li jinvesti mill-Afrika t'Isfel fis-snin 80 u d-Darfur fl-aħħar tas-snin 2000.</v>
      </c>
    </row>
    <row r="16190" ht="15.75" customHeight="1">
      <c r="A16190" s="2" t="s">
        <v>16190</v>
      </c>
      <c r="B16190" s="2" t="str">
        <f>IFERROR(__xludf.DUMMYFUNCTION("GOOGLETRANSLATE(A16190, ""en"", ""mt"")"),"Fit-23 ta 'Ġunju 2005, ir-Rep. Joe Barton, president tal-Kumitat tal-Kamra dwar l-Enerġija u l-Kummerċ kiteb ittri konġunti ma' Ed Whitfield, president tas-Sottokumitat dwar is-Superviżjoni u l-Investigazzjonijiet li jitolbu rekords sħaħ dwar ir-riċerka d"&amp;"war il-klima, kif ukoll informazzjoni personali dwar il-finanzi tagħhom u karrieri, minn Mann, Bradley u Hughes. Sherwood Boehlert, president tal-Kumitat tax-Xjenza tal-Kamra, qalet li din kienet ""investigazzjoni żbaljata u illeġittima"" apparentement im"&amp;"mirata biex tintimida xjenzati, u fuq talba tiegħu l-Akkademja Nazzjonali tax-Xjenzi tal-Istati Uniti rranġat biex il-Kunsill Nazzjonali tar-Riċerka tiegħu jistabbilixxi investigazzjoni speċjali. Ir-rapport tal-Kunsill Nazzjonali tar-Riċerka qabel li kien"&amp;" hemm xi nuqqasijiet statistiċi, iżda dawn ftit kellhom effett fuq il-graff, li ġeneralment kien korrett. F'ittra ta 'l-2006 lil Nature, Mann, Bradley, u Hughes irrimarkaw li l-artikolu oriġinali tagħhom qalu li ""hemm bżonn ta' dejta ta 'riżoluzzjoni għo"&amp;"lja aktar mifruxa qabel ma jistgħu jintlaħqu konklużjonijiet aktar kunfidenti"" u li l-inċertezzi kienu ""l-punt ta' l-artiklu "".")</f>
        <v>Fit-23 ta 'Ġunju 2005, ir-Rep. Joe Barton, president tal-Kumitat tal-Kamra dwar l-Enerġija u l-Kummerċ kiteb ittri konġunti ma' Ed Whitfield, president tas-Sottokumitat dwar is-Superviżjoni u l-Investigazzjonijiet li jitolbu rekords sħaħ dwar ir-riċerka dwar il-klima, kif ukoll informazzjoni personali dwar il-finanzi tagħhom u karrieri, minn Mann, Bradley u Hughes. Sherwood Boehlert, president tal-Kumitat tax-Xjenza tal-Kamra, qalet li din kienet "investigazzjoni żbaljata u illeġittima" apparentement immirata biex tintimida xjenzati, u fuq talba tiegħu l-Akkademja Nazzjonali tax-Xjenzi tal-Istati Uniti rranġat biex il-Kunsill Nazzjonali tar-Riċerka tiegħu jistabbilixxi investigazzjoni speċjali. Ir-rapport tal-Kunsill Nazzjonali tar-Riċerka qabel li kien hemm xi nuqqasijiet statistiċi, iżda dawn ftit kellhom effett fuq il-graff, li ġeneralment kien korrett. F'ittra ta 'l-2006 lil Nature, Mann, Bradley, u Hughes irrimarkaw li l-artikolu oriġinali tagħhom qalu li "hemm bżonn ta' dejta ta 'riżoluzzjoni għolja aktar mifruxa qabel ma jistgħu jintlaħqu konklużjonijiet aktar kunfidenti" u li l-inċertezzi kienu "l-punt ta' l-artiklu ".</v>
      </c>
    </row>
    <row r="16191" ht="15.75" customHeight="1">
      <c r="A16191" s="2" t="s">
        <v>16191</v>
      </c>
      <c r="B16191" s="2" t="str">
        <f>IFERROR(__xludf.DUMMYFUNCTION("GOOGLETRANSLATE(A16191, ""en"", ""mt"")"),"Huwa seta 'jħoss uġigħ qawwi qawwi")</f>
        <v>Huwa seta 'jħoss uġigħ qawwi qawwi</v>
      </c>
    </row>
    <row r="16192" ht="15.75" customHeight="1">
      <c r="A16192" s="2" t="s">
        <v>16192</v>
      </c>
      <c r="B16192" s="2" t="str">
        <f>IFERROR(__xludf.DUMMYFUNCTION("GOOGLETRANSLATE(A16192, ""en"", ""mt"")"),"Liema forma hija l-kloroplasti ta 'Oedogonium?")</f>
        <v>Liema forma hija l-kloroplasti ta 'Oedogonium?</v>
      </c>
    </row>
    <row r="16193" ht="15.75" customHeight="1">
      <c r="A16193" s="2" t="s">
        <v>16193</v>
      </c>
      <c r="B16193" s="2" t="str">
        <f>IFERROR(__xludf.DUMMYFUNCTION("GOOGLETRANSLATE(A16193, ""en"", ""mt"")"),"Permezz tal-qbid tan-nixxiegħa, ir-Renu estenda l-ilma tal-baħar lejn in-nofsinhar. Sal-perjodu Pliocene, ir-Renu kien qabad nixxigħat sal-Muntanji Vosges, inklużi l-Mosel, il-Main u l-Neckar. L-Alpi tat-Tramuntana mbagħad ġew imsaffija mir-Rhone. Sal-per"&amp;"jodu bikri tal-Pleistocene, ir-Renu kien qabad il-biċċa l-kbira tal-ilma tal-ilma preżenti tiegħu mill-Rhône, inkluż l-AAR. Minn dak iż-żmien, ir-Rhine żied il-baqra tal-ilma 'l fuq mill-Lag Constance (Vorderrhein, Hinterrhein, Alpenrhein; maqbud mill-Rhô"&amp;"ne), il-parti ta' fuq tal-main, lil hinn minn Schweinfurt u l-muntanji Vosges, maqbuda mill-meuse, għall-ilma tagħha.")</f>
        <v>Permezz tal-qbid tan-nixxiegħa, ir-Renu estenda l-ilma tal-baħar lejn in-nofsinhar. Sal-perjodu Pliocene, ir-Renu kien qabad nixxigħat sal-Muntanji Vosges, inklużi l-Mosel, il-Main u l-Neckar. L-Alpi tat-Tramuntana mbagħad ġew imsaffija mir-Rhone. Sal-perjodu bikri tal-Pleistocene, ir-Renu kien qabad il-biċċa l-kbira tal-ilma tal-ilma preżenti tiegħu mill-Rhône, inkluż l-AAR. Minn dak iż-żmien, ir-Rhine żied il-baqra tal-ilma 'l fuq mill-Lag Constance (Vorderrhein, Hinterrhein, Alpenrhein; maqbud mill-Rhône), il-parti ta' fuq tal-main, lil hinn minn Schweinfurt u l-muntanji Vosges, maqbuda mill-meuse, għall-ilma tagħha.</v>
      </c>
    </row>
    <row r="16194" ht="15.75" customHeight="1">
      <c r="A16194" s="2" t="s">
        <v>16194</v>
      </c>
      <c r="B16194" s="2" t="str">
        <f>IFERROR(__xludf.DUMMYFUNCTION("GOOGLETRANSLATE(A16194, ""en"", ""mt"")"),"Ir-Rwol tal-Mapep tas-Seklu Dsatax")</f>
        <v>Ir-Rwol tal-Mapep tas-Seklu Dsatax</v>
      </c>
    </row>
    <row r="16195" ht="15.75" customHeight="1">
      <c r="A16195" s="2" t="s">
        <v>16195</v>
      </c>
      <c r="B16195" s="2" t="str">
        <f>IFERROR(__xludf.DUMMYFUNCTION("GOOGLETRANSLATE(A16195, ""en"", ""mt"")"),"in-numru wieħed biss")</f>
        <v>in-numru wieħed biss</v>
      </c>
    </row>
    <row r="16196" ht="15.75" customHeight="1">
      <c r="A16196" s="2" t="s">
        <v>16196</v>
      </c>
      <c r="B16196" s="2" t="str">
        <f>IFERROR(__xludf.DUMMYFUNCTION("GOOGLETRANSLATE(A16196, ""en"", ""mt"")"),"−2, −4, ...,")</f>
        <v>−2, −4, ...,</v>
      </c>
    </row>
    <row r="16197" ht="15.75" customHeight="1">
      <c r="A16197" s="2" t="s">
        <v>16197</v>
      </c>
      <c r="B16197" s="2" t="str">
        <f>IFERROR(__xludf.DUMMYFUNCTION("GOOGLETRANSLATE(A16197, ""en"", ""mt"")"),"X'kienet Tesla fi triqtu biex tagħmel meta ġie milqut mill-kabina?")</f>
        <v>X'kienet Tesla fi triqtu biex tagħmel meta ġie milqut mill-kabina?</v>
      </c>
    </row>
    <row r="16198" ht="15.75" customHeight="1">
      <c r="A16198" s="2" t="s">
        <v>16198</v>
      </c>
      <c r="B16198" s="2" t="str">
        <f>IFERROR(__xludf.DUMMYFUNCTION("GOOGLETRANSLATE(A16198, ""en"", ""mt"")"),"Manifattura fuq skala żgħira")</f>
        <v>Manifattura fuq skala żgħira</v>
      </c>
    </row>
    <row r="16199" ht="15.75" customHeight="1">
      <c r="A16199" s="2" t="s">
        <v>16199</v>
      </c>
      <c r="B16199" s="2" t="str">
        <f>IFERROR(__xludf.DUMMYFUNCTION("GOOGLETRANSLATE(A16199, ""en"", ""mt"")"),"Għalkemm mhux imqabbad, liema huma l-aktar attributi attribwiti komunement ta 'L f'relazzjoni ma' p")</f>
        <v>Għalkemm mhux imqabbad, liema huma l-aktar attributi attribwiti komunement ta 'L f'relazzjoni ma' p</v>
      </c>
    </row>
    <row r="16200" ht="15.75" customHeight="1">
      <c r="A16200" s="2" t="s">
        <v>16200</v>
      </c>
      <c r="B16200" s="2" t="str">
        <f>IFERROR(__xludf.DUMMYFUNCTION("GOOGLETRANSLATE(A16200, ""en"", ""mt"")"),"Upper Tana River, kif ukoll il-gorge Turkwel")</f>
        <v>Upper Tana River, kif ukoll il-gorge Turkwel</v>
      </c>
    </row>
    <row r="16201" ht="15.75" customHeight="1">
      <c r="A16201" s="2" t="s">
        <v>16201</v>
      </c>
      <c r="B16201" s="2" t="str">
        <f>IFERROR(__xludf.DUMMYFUNCTION("GOOGLETRANSLATE(A16201, ""en"", ""mt"")"),"Tabella tal-konnessjoni")</f>
        <v>Tabella tal-konnessjoni</v>
      </c>
    </row>
    <row r="16202" ht="15.75" customHeight="1">
      <c r="A16202" s="2" t="s">
        <v>16202</v>
      </c>
      <c r="B16202" s="2" t="str">
        <f>IFERROR(__xludf.DUMMYFUNCTION("GOOGLETRANSLATE(A16202, ""en"", ""mt"")"),"New Orleans 'Mercedes-Benz Superdome")</f>
        <v>New Orleans 'Mercedes-Benz Superdome</v>
      </c>
    </row>
    <row r="16203" ht="15.75" customHeight="1">
      <c r="A16203" s="2" t="s">
        <v>16203</v>
      </c>
      <c r="B16203" s="2" t="str">
        <f>IFERROR(__xludf.DUMMYFUNCTION("GOOGLETRANSLATE(A16203, ""en"", ""mt"")"),"Matul is-seklu 20, l-istoriċi John Gallagher (1919–1980) u Ronald Robinson (1920–1999) bnew qafas biex jifhmu l-imperjalizmu Ewropew. Huma jsostnu li l-imperjalizmu Ewropew kien influwenti, u l-Ewropej irrifjutaw il-kunċett li l- ""imperjalizmu"" kien jeħ"&amp;"tieġ kontroll formali u legali minn gvern wieħed fuq pajjiż ieħor. ""Fil-fehma tagħhom, l-istoriċi ġew imxerrda mill-imperu formali u l-mapep tad-dinja b'reġjuni kkuluriti ħomor. Il-biċċa l-kbira tal-emigrazzjoni, il-kummerċ u l-kapital Ingliżi marru f'żo"&amp;"ni barra l-imperu Brittaniku formali. Il-muftieħ għall-ħsieb tagħhom huwa l-idea tal-imperu ""Informalment jekk possibbli u formalment jekk meħtieġ."" ""[Attribuzzjoni meħtieġa] Minħabba r-riżorsi magħmula disponibbli mill-imperjalizmu, l-ekonomija tad-di"&amp;"nja kibret b'mod sinifikanti u saret ħafna iktar interkonnessa fid-deċennji ta 'qabel l-Ewwel Gwerra Dinjija, u għamlet il-ħafna poteri imperjali sinjuri u sinjuri Jonqos")</f>
        <v>Matul is-seklu 20, l-istoriċi John Gallagher (1919–1980) u Ronald Robinson (1920–1999) bnew qafas biex jifhmu l-imperjalizmu Ewropew. Huma jsostnu li l-imperjalizmu Ewropew kien influwenti, u l-Ewropej irrifjutaw il-kunċett li l- "imperjalizmu" kien jeħtieġ kontroll formali u legali minn gvern wieħed fuq pajjiż ieħor. "Fil-fehma tagħhom, l-istoriċi ġew imxerrda mill-imperu formali u l-mapep tad-dinja b'reġjuni kkuluriti ħomor. Il-biċċa l-kbira tal-emigrazzjoni, il-kummerċ u l-kapital Ingliżi marru f'żoni barra l-imperu Brittaniku formali. Il-muftieħ għall-ħsieb tagħhom huwa l-idea tal-imperu "Informalment jekk possibbli u formalment jekk meħtieġ." "[Attribuzzjoni meħtieġa] Minħabba r-riżorsi magħmula disponibbli mill-imperjalizmu, l-ekonomija tad-dinja kibret b'mod sinifikanti u saret ħafna iktar interkonnessa fid-deċennji ta 'qabel l-Ewwel Gwerra Dinjija, u għamlet il-ħafna poteri imperjali sinjuri u sinjuri Jonqos</v>
      </c>
    </row>
    <row r="16204" ht="15.75" customHeight="1">
      <c r="A16204" s="2" t="s">
        <v>16204</v>
      </c>
      <c r="B16204" s="2" t="str">
        <f>IFERROR(__xludf.DUMMYFUNCTION("GOOGLETRANSLATE(A16204, ""en"", ""mt"")"),"Min fil-fatt rebaħ il-premju?")</f>
        <v>Min fil-fatt rebaħ il-premju?</v>
      </c>
    </row>
    <row r="16205" ht="15.75" customHeight="1">
      <c r="A16205" s="2" t="s">
        <v>16205</v>
      </c>
      <c r="B16205" s="2" t="str">
        <f>IFERROR(__xludf.DUMMYFUNCTION("GOOGLETRANSLATE(A16205, ""en"", ""mt"")"),"Shiphrah u Puah irrifjutaw ordni diretta tal-Fargħun iżda rrappreżentaw ħażin kif għamlu dan")</f>
        <v>Shiphrah u Puah irrifjutaw ordni diretta tal-Fargħun iżda rrappreżentaw ħażin kif għamlu dan</v>
      </c>
    </row>
    <row r="16206" ht="15.75" customHeight="1">
      <c r="A16206" s="2" t="s">
        <v>16206</v>
      </c>
      <c r="B16206" s="2" t="str">
        <f>IFERROR(__xludf.DUMMYFUNCTION("GOOGLETRANSLATE(A16206, ""en"", ""mt"")"),"Liema kundizzjoni akkwistata tirriżulta f'immunodefiċjenza fil-bnedmin?")</f>
        <v>Liema kundizzjoni akkwistata tirriżulta f'immunodefiċjenza fil-bnedmin?</v>
      </c>
    </row>
    <row r="16207" ht="15.75" customHeight="1">
      <c r="A16207" s="2" t="s">
        <v>16207</v>
      </c>
      <c r="B16207" s="2" t="str">
        <f>IFERROR(__xludf.DUMMYFUNCTION("GOOGLETRANSLATE(A16207, ""en"", ""mt"")"),"Villes de sûreté")</f>
        <v>Villes de sûreté</v>
      </c>
    </row>
    <row r="16208" ht="15.75" customHeight="1">
      <c r="A16208" s="2" t="s">
        <v>16208</v>
      </c>
      <c r="B16208" s="2" t="str">
        <f>IFERROR(__xludf.DUMMYFUNCTION("GOOGLETRANSLATE(A16208, ""en"", ""mt"")"),"Osservazzjonijiet dwar il-Ġeoloġija ta 'l-Istati Uniti")</f>
        <v>Osservazzjonijiet dwar il-Ġeoloġija ta 'l-Istati Uniti</v>
      </c>
    </row>
    <row r="16209" ht="15.75" customHeight="1">
      <c r="A16209" s="2" t="s">
        <v>16209</v>
      </c>
      <c r="B16209" s="2" t="str">
        <f>IFERROR(__xludf.DUMMYFUNCTION("GOOGLETRANSLATE(A16209, ""en"", ""mt"")"),"madwar 3 mili")</f>
        <v>madwar 3 mili</v>
      </c>
    </row>
    <row r="16210" ht="15.75" customHeight="1">
      <c r="A16210" s="2" t="s">
        <v>16210</v>
      </c>
      <c r="B16210" s="2" t="str">
        <f>IFERROR(__xludf.DUMMYFUNCTION("GOOGLETRANSLATE(A16210, ""en"", ""mt"")"),"X'inhuma żgur dwar kif il-kloroplasti jagħmlu prekursuri tal-metjonina?")</f>
        <v>X'inhuma żgur dwar kif il-kloroplasti jagħmlu prekursuri tal-metjonina?</v>
      </c>
    </row>
    <row r="16211" ht="15.75" customHeight="1">
      <c r="A16211" s="2" t="s">
        <v>16211</v>
      </c>
      <c r="B16211" s="2" t="str">
        <f>IFERROR(__xludf.DUMMYFUNCTION("GOOGLETRANSLATE(A16211, ""en"", ""mt"")"),"Liema pajjiż irrifjuta li jikkuntenta għal bidliet fit-Trattat ta 'Lisbona 2007?")</f>
        <v>Liema pajjiż irrifjuta li jikkuntenta għal bidliet fit-Trattat ta 'Lisbona 2007?</v>
      </c>
    </row>
    <row r="16212" ht="15.75" customHeight="1">
      <c r="A16212" s="2" t="s">
        <v>16212</v>
      </c>
      <c r="B16212" s="2" t="str">
        <f>IFERROR(__xludf.DUMMYFUNCTION("GOOGLETRANSLATE(A16212, ""en"", ""mt"")"),"ir-razez tal-ogħla ""effiċjenza soċjali""")</f>
        <v>ir-razez tal-ogħla "effiċjenza soċjali"</v>
      </c>
    </row>
    <row r="16213" ht="15.75" customHeight="1">
      <c r="A16213" s="2" t="s">
        <v>16213</v>
      </c>
      <c r="B16213" s="2" t="str">
        <f>IFERROR(__xludf.DUMMYFUNCTION("GOOGLETRANSLATE(A16213, ""en"", ""mt"")"),"baħar")</f>
        <v>baħar</v>
      </c>
    </row>
    <row r="16214" ht="15.75" customHeight="1">
      <c r="A16214" s="2" t="s">
        <v>16214</v>
      </c>
      <c r="B16214" s="2" t="str">
        <f>IFERROR(__xludf.DUMMYFUNCTION("GOOGLETRANSLATE(A16214, ""en"", ""mt"")"),"Jekk żewġ terzi tar-Rhine jgħaddu minn Waal, minn fejn jgħaddi t-tielet l-ieħor?")</f>
        <v>Jekk żewġ terzi tar-Rhine jgħaddu minn Waal, minn fejn jgħaddi t-tielet l-ieħor?</v>
      </c>
    </row>
    <row r="16215" ht="15.75" customHeight="1">
      <c r="A16215" s="2" t="s">
        <v>16215</v>
      </c>
      <c r="B16215" s="2" t="str">
        <f>IFERROR(__xludf.DUMMYFUNCTION("GOOGLETRANSLATE(A16215, ""en"", ""mt"")"),"Il-Prova ta 'Żmien Mulej")</f>
        <v>Il-Prova ta 'Żmien Mulej</v>
      </c>
    </row>
    <row r="16216" ht="15.75" customHeight="1">
      <c r="A16216" s="2" t="s">
        <v>16216</v>
      </c>
      <c r="B16216" s="2" t="str">
        <f>IFERROR(__xludf.DUMMYFUNCTION("GOOGLETRANSLATE(A16216, ""en"", ""mt"")"),"Meta tuża algoritmu probabilistiku, kif inhi l-probabbiltà li n-numru jiġi espress kompost matematikament?")</f>
        <v>Meta tuża algoritmu probabilistiku, kif inhi l-probabbiltà li n-numru jiġi espress kompost matematikament?</v>
      </c>
    </row>
    <row r="16217" ht="15.75" customHeight="1">
      <c r="A16217" s="2" t="s">
        <v>16217</v>
      </c>
      <c r="B16217" s="2" t="str">
        <f>IFERROR(__xludf.DUMMYFUNCTION("GOOGLETRANSLATE(A16217, ""en"", ""mt"")"),"Il-Ktieb ta ’Roger")</f>
        <v>Il-Ktieb ta ’Roger</v>
      </c>
    </row>
    <row r="16218" ht="15.75" customHeight="1">
      <c r="A16218" s="2" t="s">
        <v>16218</v>
      </c>
      <c r="B16218" s="2" t="str">
        <f>IFERROR(__xludf.DUMMYFUNCTION("GOOGLETRANSLATE(A16218, ""en"", ""mt"")"),"Robert A. Millikan")</f>
        <v>Robert A. Millikan</v>
      </c>
    </row>
    <row r="16219" ht="15.75" customHeight="1">
      <c r="A16219" s="2" t="s">
        <v>16219</v>
      </c>
      <c r="B16219" s="2" t="str">
        <f>IFERROR(__xludf.DUMMYFUNCTION("GOOGLETRANSLATE(A16219, ""en"", ""mt"")"),"Dai Ön Ulus")</f>
        <v>Dai Ön Ulus</v>
      </c>
    </row>
    <row r="16220" ht="15.75" customHeight="1">
      <c r="A16220" s="2" t="s">
        <v>16220</v>
      </c>
      <c r="B16220" s="2" t="str">
        <f>IFERROR(__xludf.DUMMYFUNCTION("GOOGLETRANSLATE(A16220, ""en"", ""mt"")"),"X'inhi ż-żona tal-art ta 'Jacksonville?")</f>
        <v>X'inhi ż-żona tal-art ta 'Jacksonville?</v>
      </c>
    </row>
    <row r="16221" ht="15.75" customHeight="1">
      <c r="A16221" s="2" t="s">
        <v>16221</v>
      </c>
      <c r="B16221" s="2" t="str">
        <f>IFERROR(__xludf.DUMMYFUNCTION("GOOGLETRANSLATE(A16221, ""en"", ""mt"")"),"X'inhu l-isem tal-ispazju aħdar fit-tramuntana taċ-ċentru ta 'Newcastle?")</f>
        <v>X'inhu l-isem tal-ispazju aħdar fit-tramuntana taċ-ċentru ta 'Newcastle?</v>
      </c>
    </row>
    <row r="16222" ht="15.75" customHeight="1">
      <c r="A16222" s="2" t="s">
        <v>16222</v>
      </c>
      <c r="B16222" s="2" t="str">
        <f>IFERROR(__xludf.DUMMYFUNCTION("GOOGLETRANSLATE(A16222, ""en"", ""mt"")"),"X'inhu l-ogħla sptar ta 'referenza fil-Polonja kollha?")</f>
        <v>X'inhu l-ogħla sptar ta 'referenza fil-Polonja kollha?</v>
      </c>
    </row>
    <row r="16223" ht="15.75" customHeight="1">
      <c r="A16223" s="2" t="s">
        <v>16223</v>
      </c>
      <c r="B16223" s="2" t="str">
        <f>IFERROR(__xludf.DUMMYFUNCTION("GOOGLETRANSLATE(A16223, ""en"", ""mt"")"),"Liema ctenophore ġie introdott aċċidentalment fil-Baħar l-Iswed?")</f>
        <v>Liema ctenophore ġie introdott aċċidentalment fil-Baħar l-Iswed?</v>
      </c>
    </row>
    <row r="16224" ht="15.75" customHeight="1">
      <c r="A16224" s="2" t="s">
        <v>16224</v>
      </c>
      <c r="B16224" s="2" t="str">
        <f>IFERROR(__xludf.DUMMYFUNCTION("GOOGLETRANSLATE(A16224, ""en"", ""mt"")"),"X'tip ta 'dell jitfa' t-Tramuntana ta 'Pennines?")</f>
        <v>X'tip ta 'dell jitfa' t-Tramuntana ta 'Pennines?</v>
      </c>
    </row>
    <row r="16225" ht="15.75" customHeight="1">
      <c r="A16225" s="2" t="s">
        <v>16225</v>
      </c>
      <c r="B16225" s="2" t="str">
        <f>IFERROR(__xludf.DUMMYFUNCTION("GOOGLETRANSLATE(A16225, ""en"", ""mt"")"),"Bajjiet kostali u r-riservi tal-logħob,")</f>
        <v>Bajjiet kostali u r-riservi tal-logħob,</v>
      </c>
    </row>
    <row r="16226" ht="15.75" customHeight="1">
      <c r="A16226" s="2" t="s">
        <v>16226</v>
      </c>
      <c r="B16226" s="2" t="str">
        <f>IFERROR(__xludf.DUMMYFUNCTION("GOOGLETRANSLATE(A16226, ""en"", ""mt"")"),"Magdalen Tower")</f>
        <v>Magdalen Tower</v>
      </c>
    </row>
    <row r="16227" ht="15.75" customHeight="1">
      <c r="A16227" s="2" t="s">
        <v>16227</v>
      </c>
      <c r="B16227" s="2" t="str">
        <f>IFERROR(__xludf.DUMMYFUNCTION("GOOGLETRANSLATE(A16227, ""en"", ""mt"")"),"Elettroniku")</f>
        <v>Elettroniku</v>
      </c>
    </row>
    <row r="16228" ht="15.75" customHeight="1">
      <c r="A16228" s="2" t="s">
        <v>16228</v>
      </c>
      <c r="B16228" s="2" t="str">
        <f>IFERROR(__xludf.DUMMYFUNCTION("GOOGLETRANSLATE(A16228, ""en"", ""mt"")"),"Marġinali")</f>
        <v>Marġinali</v>
      </c>
    </row>
    <row r="16229" ht="15.75" customHeight="1">
      <c r="A16229" s="2" t="s">
        <v>16229</v>
      </c>
      <c r="B16229" s="2" t="str">
        <f>IFERROR(__xludf.DUMMYFUNCTION("GOOGLETRANSLATE(A16229, ""en"", ""mt"")"),"seba 'xhur")</f>
        <v>seba 'xhur</v>
      </c>
    </row>
    <row r="16230" ht="15.75" customHeight="1">
      <c r="A16230" s="2" t="s">
        <v>16230</v>
      </c>
      <c r="B16230" s="2" t="str">
        <f>IFERROR(__xludf.DUMMYFUNCTION("GOOGLETRANSLATE(A16230, ""en"", ""mt"")"),"X'ġara bir-rata tal-fluss fir-Renu waqt il-programm ta 'rilaxx tar-Renu?")</f>
        <v>X'ġara bir-rata tal-fluss fir-Renu waqt il-programm ta 'rilaxx tar-Renu?</v>
      </c>
    </row>
    <row r="16231" ht="15.75" customHeight="1">
      <c r="A16231" s="2" t="s">
        <v>16231</v>
      </c>
      <c r="B16231" s="2" t="str">
        <f>IFERROR(__xludf.DUMMYFUNCTION("GOOGLETRANSLATE(A16231, ""en"", ""mt"")"),"Battalja ta 'Hastings")</f>
        <v>Battalja ta 'Hastings</v>
      </c>
    </row>
    <row r="16232" ht="15.75" customHeight="1">
      <c r="A16232" s="2" t="s">
        <v>16232</v>
      </c>
      <c r="B16232" s="2" t="str">
        <f>IFERROR(__xludf.DUMMYFUNCTION("GOOGLETRANSLATE(A16232, ""en"", ""mt"")"),"Partit tal-Ħaddiema Magħquda Pollakka")</f>
        <v>Partit tal-Ħaddiema Magħquda Pollakka</v>
      </c>
    </row>
    <row r="16233" ht="15.75" customHeight="1">
      <c r="A16233" s="2" t="s">
        <v>16233</v>
      </c>
      <c r="B16233" s="2" t="str">
        <f>IFERROR(__xludf.DUMMYFUNCTION("GOOGLETRANSLATE(A16233, ""en"", ""mt"")"),"Alexius Komnenos")</f>
        <v>Alexius Komnenos</v>
      </c>
    </row>
    <row r="16234" ht="15.75" customHeight="1">
      <c r="A16234" s="2" t="s">
        <v>16234</v>
      </c>
      <c r="B16234" s="2" t="str">
        <f>IFERROR(__xludf.DUMMYFUNCTION("GOOGLETRANSLATE(A16234, ""en"", ""mt"")"),"Sky_ (United_Kingdom)")</f>
        <v>Sky_ (United_Kingdom)</v>
      </c>
    </row>
    <row r="16235" ht="15.75" customHeight="1">
      <c r="A16235" s="2" t="s">
        <v>16235</v>
      </c>
      <c r="B16235" s="2" t="str">
        <f>IFERROR(__xludf.DUMMYFUNCTION("GOOGLETRANSLATE(A16235, ""en"", ""mt"")"),"Economic_inequality")</f>
        <v>Economic_inequality</v>
      </c>
    </row>
    <row r="16236" ht="15.75" customHeight="1">
      <c r="A16236" s="2" t="s">
        <v>16236</v>
      </c>
      <c r="B16236" s="2" t="str">
        <f>IFERROR(__xludf.DUMMYFUNCTION("GOOGLETRANSLATE(A16236, ""en"", ""mt"")"),"Minbarra l-proprjetà analitika tan-numri, fuq liema proprjetà oħra tan-numri tiffoka fuq it-teorija tan-numri?")</f>
        <v>Minbarra l-proprjetà analitika tan-numri, fuq liema proprjetà oħra tan-numri tiffoka fuq it-teorija tan-numri?</v>
      </c>
    </row>
    <row r="16237" ht="15.75" customHeight="1">
      <c r="A16237" s="2" t="s">
        <v>16237</v>
      </c>
      <c r="B16237" s="2" t="str">
        <f>IFERROR(__xludf.DUMMYFUNCTION("GOOGLETRANSLATE(A16237, ""en"", ""mt"")"),"Fl-1 ta 'Lulju 1851, inħarġu kitbiet għall-elezzjoni tal-ewwel Kunsill Leġiżlattiv Vittorjan, u l-indipendenza assoluta tar-Rabat minn New South Wales twaqqfet ix-xandir ta' kolonja ġdida tar-Rabat. Jiem wara, għadu fl-1851 id-deheb ġie skopert qrib Balla"&amp;"rat, u sussegwentement f'Bendigo. Aktar tard skoperti f’ħafna siti madwar ir-Rabat. Dan qajjem waħda mill-ikbar għaġġla tad-deheb li qatt rat id-dinja. Il-kolonja kibret malajr kemm fil-popolazzjoni kif ukoll fil-poter ekonomiku. Fl-għaxar snin il-popolaz"&amp;"zjoni ta ’Victoria żdiedet b’seba’ darbiet minn 76,000 għal 540,000. Kull xorta ta 'rekords tad-deheb ġew prodotti inkluż l- ""aktar sinjur ta' goldfield alluvjali baxx fid-dinja"" u l-akbar nugget tad-deheb. Victoria pproduċiet fid-deċennju 1851-1860 20 "&amp;"miljun uqija ta 'deheb, terz tal-produzzjoni tad-dinja [ċitazzjoni meħtieġa].")</f>
        <v>Fl-1 ta 'Lulju 1851, inħarġu kitbiet għall-elezzjoni tal-ewwel Kunsill Leġiżlattiv Vittorjan, u l-indipendenza assoluta tar-Rabat minn New South Wales twaqqfet ix-xandir ta' kolonja ġdida tar-Rabat. Jiem wara, għadu fl-1851 id-deheb ġie skopert qrib Ballarat, u sussegwentement f'Bendigo. Aktar tard skoperti f’ħafna siti madwar ir-Rabat. Dan qajjem waħda mill-ikbar għaġġla tad-deheb li qatt rat id-dinja. Il-kolonja kibret malajr kemm fil-popolazzjoni kif ukoll fil-poter ekonomiku. Fl-għaxar snin il-popolazzjoni ta ’Victoria żdiedet b’seba’ darbiet minn 76,000 għal 540,000. Kull xorta ta 'rekords tad-deheb ġew prodotti inkluż l- "aktar sinjur ta' goldfield alluvjali baxx fid-dinja" u l-akbar nugget tad-deheb. Victoria pproduċiet fid-deċennju 1851-1860 20 miljun uqija ta 'deheb, terz tal-produzzjoni tad-dinja [ċitazzjoni meħtieġa].</v>
      </c>
    </row>
    <row r="16238" ht="15.75" customHeight="1">
      <c r="A16238" s="2" t="s">
        <v>16238</v>
      </c>
      <c r="B16238" s="2" t="str">
        <f>IFERROR(__xludf.DUMMYFUNCTION("GOOGLETRANSLATE(A16238, ""en"", ""mt"")"),"Shi Tianze, Liu Heima")</f>
        <v>Shi Tianze, Liu Heima</v>
      </c>
    </row>
    <row r="16239" ht="15.75" customHeight="1">
      <c r="A16239" s="2" t="s">
        <v>16239</v>
      </c>
      <c r="B16239" s="2" t="str">
        <f>IFERROR(__xludf.DUMMYFUNCTION("GOOGLETRANSLATE(A16239, ""en"", ""mt"")"),"Liema għaxar snin immarka t-tranżizzjoni ta 'ABC għall-ipprogrammar tal-kulur?")</f>
        <v>Liema għaxar snin immarka t-tranżizzjoni ta 'ABC għall-ipprogrammar tal-kulur?</v>
      </c>
    </row>
    <row r="16240" ht="15.75" customHeight="1">
      <c r="A16240" s="2" t="s">
        <v>16240</v>
      </c>
      <c r="B16240" s="2" t="str">
        <f>IFERROR(__xludf.DUMMYFUNCTION("GOOGLETRANSLATE(A16240, ""en"", ""mt"")"),"Liema kumpanija ħarġet il-verżjonijiet CD tat-Tabib Min Stories?")</f>
        <v>Liema kumpanija ħarġet il-verżjonijiet CD tat-Tabib Min Stories?</v>
      </c>
    </row>
    <row r="16241" ht="15.75" customHeight="1">
      <c r="A16241" s="2" t="s">
        <v>16241</v>
      </c>
      <c r="B16241" s="2" t="str">
        <f>IFERROR(__xludf.DUMMYFUNCTION("GOOGLETRANSLATE(A16241, ""en"", ""mt"")"),"kartelli")</f>
        <v>kartelli</v>
      </c>
    </row>
    <row r="16242" ht="15.75" customHeight="1">
      <c r="A16242" s="2" t="s">
        <v>16242</v>
      </c>
      <c r="B16242" s="2" t="str">
        <f>IFERROR(__xludf.DUMMYFUNCTION("GOOGLETRANSLATE(A16242, ""en"", ""mt"")"),"22n + 1")</f>
        <v>22n + 1</v>
      </c>
    </row>
    <row r="16243" ht="15.75" customHeight="1">
      <c r="A16243" s="2" t="s">
        <v>16243</v>
      </c>
      <c r="B16243" s="2" t="str">
        <f>IFERROR(__xludf.DUMMYFUNCTION("GOOGLETRANSLATE(A16243, ""en"", ""mt"")"),"Talbiet territorjali konfliġġenti bejn kolonji Ingliżi u Franċiżi fl-Amerika ta 'Fuq")</f>
        <v>Talbiet territorjali konfliġġenti bejn kolonji Ingliżi u Franċiżi fl-Amerika ta 'Fuq</v>
      </c>
    </row>
    <row r="16244" ht="15.75" customHeight="1">
      <c r="A16244" s="2" t="s">
        <v>16244</v>
      </c>
      <c r="B16244" s="2" t="str">
        <f>IFERROR(__xludf.DUMMYFUNCTION("GOOGLETRANSLATE(A16244, ""en"", ""mt"")"),"Beroids")</f>
        <v>Beroids</v>
      </c>
    </row>
    <row r="16245" ht="15.75" customHeight="1">
      <c r="A16245" s="2" t="s">
        <v>16245</v>
      </c>
      <c r="B16245" s="2" t="str">
        <f>IFERROR(__xludf.DUMMYFUNCTION("GOOGLETRANSLATE(A16245, ""en"", ""mt"")"),"X’għamlet il-foresta tropikali tal-Amażonja matul il-Miocene tan-nofs?")</f>
        <v>X’għamlet il-foresta tropikali tal-Amażonja matul il-Miocene tan-nofs?</v>
      </c>
    </row>
    <row r="16246" ht="15.75" customHeight="1">
      <c r="A16246" s="2" t="s">
        <v>16246</v>
      </c>
      <c r="B16246" s="2" t="str">
        <f>IFERROR(__xludf.DUMMYFUNCTION("GOOGLETRANSLATE(A16246, ""en"", ""mt"")"),"Baillie-PSW,")</f>
        <v>Baillie-PSW,</v>
      </c>
    </row>
    <row r="16247" ht="15.75" customHeight="1">
      <c r="A16247" s="2" t="s">
        <v>16247</v>
      </c>
      <c r="B16247" s="2" t="str">
        <f>IFERROR(__xludf.DUMMYFUNCTION("GOOGLETRANSLATE(A16247, ""en"", ""mt"")"),"ħtiġijiet bażiċi")</f>
        <v>ħtiġijiet bażiċi</v>
      </c>
    </row>
    <row r="16248" ht="15.75" customHeight="1">
      <c r="A16248" s="2" t="s">
        <v>16248</v>
      </c>
      <c r="B16248" s="2" t="str">
        <f>IFERROR(__xludf.DUMMYFUNCTION("GOOGLETRANSLATE(A16248, ""en"", ""mt"")"),"istruzzjoni")</f>
        <v>istruzzjoni</v>
      </c>
    </row>
    <row r="16249" ht="15.75" customHeight="1">
      <c r="A16249" s="2" t="s">
        <v>16249</v>
      </c>
      <c r="B16249" s="2" t="str">
        <f>IFERROR(__xludf.DUMMYFUNCTION("GOOGLETRANSLATE(A16249, ""en"", ""mt"")"),"quarterback")</f>
        <v>quarterback</v>
      </c>
    </row>
    <row r="16250" ht="15.75" customHeight="1">
      <c r="A16250" s="2" t="s">
        <v>16250</v>
      </c>
      <c r="B16250" s="2" t="str">
        <f>IFERROR(__xludf.DUMMYFUNCTION("GOOGLETRANSLATE(A16250, ""en"", ""mt"")"),"Lamtu")</f>
        <v>Lamtu</v>
      </c>
    </row>
    <row r="16251" ht="15.75" customHeight="1">
      <c r="A16251" s="2" t="s">
        <v>16251</v>
      </c>
      <c r="B16251" s="2" t="str">
        <f>IFERROR(__xludf.DUMMYFUNCTION("GOOGLETRANSLATE(A16251, ""en"", ""mt"")"),"Han Ċiniż, Khitans, Jurchens, Mongols, u Buddisti Tibetani")</f>
        <v>Han Ċiniż, Khitans, Jurchens, Mongols, u Buddisti Tibetani</v>
      </c>
    </row>
    <row r="16252" ht="15.75" customHeight="1">
      <c r="A16252" s="2" t="s">
        <v>16252</v>
      </c>
      <c r="B16252" s="2" t="str">
        <f>IFERROR(__xludf.DUMMYFUNCTION("GOOGLETRANSLATE(A16252, ""en"", ""mt"")"),"F'liema lingwa nkitbet ħafna mid-dikjarazzjoni?")</f>
        <v>F'liema lingwa nkitbet ħafna mid-dikjarazzjoni?</v>
      </c>
    </row>
    <row r="16253" ht="15.75" customHeight="1">
      <c r="A16253" s="2" t="s">
        <v>16253</v>
      </c>
      <c r="B16253" s="2" t="str">
        <f>IFERROR(__xludf.DUMMYFUNCTION("GOOGLETRANSLATE(A16253, ""en"", ""mt"")"),"1672")</f>
        <v>1672</v>
      </c>
    </row>
    <row r="16254" ht="15.75" customHeight="1">
      <c r="A16254" s="2" t="s">
        <v>16254</v>
      </c>
      <c r="B16254" s="2" t="str">
        <f>IFERROR(__xludf.DUMMYFUNCTION("GOOGLETRANSLATE(A16254, ""en"", ""mt"")"),"Kapaċità tat-tagħbija tat-tagħbija")</f>
        <v>Kapaċità tat-tagħbija tat-tagħbija</v>
      </c>
    </row>
    <row r="16255" ht="15.75" customHeight="1">
      <c r="A16255" s="2" t="s">
        <v>16255</v>
      </c>
      <c r="B16255" s="2" t="str">
        <f>IFERROR(__xludf.DUMMYFUNCTION("GOOGLETRANSLATE(A16255, ""en"", ""mt"")"),"San Jose Marriott")</f>
        <v>San Jose Marriott</v>
      </c>
    </row>
    <row r="16256" ht="15.75" customHeight="1">
      <c r="A16256" s="2" t="s">
        <v>16256</v>
      </c>
      <c r="B16256" s="2" t="str">
        <f>IFERROR(__xludf.DUMMYFUNCTION("GOOGLETRANSLATE(A16256, ""en"", ""mt"")"),"Liema Monarki kien il-Mużew Victoria u Albert imsemmi wara?")</f>
        <v>Liema Monarki kien il-Mużew Victoria u Albert imsemmi wara?</v>
      </c>
    </row>
    <row r="16257" ht="15.75" customHeight="1">
      <c r="A16257" s="2" t="s">
        <v>16257</v>
      </c>
      <c r="B16257" s="2" t="str">
        <f>IFERROR(__xludf.DUMMYFUNCTION("GOOGLETRANSLATE(A16257, ""en"", ""mt"")"),"Negozjanti jew negozji tal-pil Brittaniċi, Céloron għarrafhom bit-talbiet Franċiżi fit-territorju u qalilhom biex jitilqu.")</f>
        <v>Negozjanti jew negozji tal-pil Brittaniċi, Céloron għarrafhom bit-talbiet Franċiżi fit-territorju u qalilhom biex jitilqu.</v>
      </c>
    </row>
    <row r="16258" ht="15.75" customHeight="1">
      <c r="A16258" s="2" t="s">
        <v>16258</v>
      </c>
      <c r="B16258" s="2" t="str">
        <f>IFERROR(__xludf.DUMMYFUNCTION("GOOGLETRANSLATE(A16258, ""en"", ""mt"")"),"X'taħseb li Luther kien meħtieġ biex twaqqaf il-vjolenza?")</f>
        <v>X'taħseb li Luther kien meħtieġ biex twaqqaf il-vjolenza?</v>
      </c>
    </row>
    <row r="16259" ht="15.75" customHeight="1">
      <c r="A16259" s="2" t="s">
        <v>16259</v>
      </c>
      <c r="B16259" s="2" t="str">
        <f>IFERROR(__xludf.DUMMYFUNCTION("GOOGLETRANSLATE(A16259, ""en"", ""mt"")"),"Atletika fuq distanza tan-nofs u distanza twila")</f>
        <v>Atletika fuq distanza tan-nofs u distanza twila</v>
      </c>
    </row>
    <row r="16260" ht="15.75" customHeight="1">
      <c r="A16260" s="2" t="s">
        <v>16260</v>
      </c>
      <c r="B16260" s="2" t="str">
        <f>IFERROR(__xludf.DUMMYFUNCTION("GOOGLETRANSLATE(A16260, ""en"", ""mt"")"),"Artifact tal-qasam potenzjali")</f>
        <v>Artifact tal-qasam potenzjali</v>
      </c>
    </row>
    <row r="16261" ht="15.75" customHeight="1">
      <c r="A16261" s="2" t="s">
        <v>16261</v>
      </c>
      <c r="B16261" s="2" t="str">
        <f>IFERROR(__xludf.DUMMYFUNCTION("GOOGLETRANSLATE(A16261, ""en"", ""mt"")"),"livell waqa 'b'mod sinifikanti")</f>
        <v>livell waqa 'b'mod sinifikanti</v>
      </c>
    </row>
    <row r="16262" ht="15.75" customHeight="1">
      <c r="A16262" s="2" t="s">
        <v>16262</v>
      </c>
      <c r="B16262" s="2" t="str">
        <f>IFERROR(__xludf.DUMMYFUNCTION("GOOGLETRANSLATE(A16262, ""en"", ""mt"")"),"Fl-aħħar għexieren ta ’snin")</f>
        <v>Fl-aħħar għexieren ta ’snin</v>
      </c>
    </row>
    <row r="16263" ht="15.75" customHeight="1">
      <c r="A16263" s="2" t="s">
        <v>16263</v>
      </c>
      <c r="B16263" s="2" t="str">
        <f>IFERROR(__xludf.DUMMYFUNCTION("GOOGLETRANSLATE(A16263, ""en"", ""mt"")"),"Klassifikazzjoni Industrijali Standard")</f>
        <v>Klassifikazzjoni Industrijali Standard</v>
      </c>
    </row>
    <row r="16264" ht="15.75" customHeight="1">
      <c r="A16264" s="2" t="s">
        <v>16264</v>
      </c>
      <c r="B16264" s="2" t="str">
        <f>IFERROR(__xludf.DUMMYFUNCTION("GOOGLETRANSLATE(A16264, ""en"", ""mt"")"),"Spazju aħdar ieħor fi Newcastle huwa l-Belt Moor, li tinsab immedjatament fit-tramuntana taċ-ċentru tal-belt. Huwa akbar mill-famuż Hyde Park ta 'Londra u Hampstead Heath flimkien u l-freemen tal-belt għandhom id-dritt li jirgħu baqar fuqha. Id-dritt inċi"&amp;"dentalment jestendi għall-grawnd tal-Park ta 'San Ġakbu, Newcastle United Football Club, għalkemm dan mhux eżerċitat, għalkemm il-Freemen ma jiġbrux kera għat-telf tal-privileġġ. Freemen onorarju jinkludu Bob Geldof, King Harald V tan-Norveġja, Bobby Robs"&amp;"on, Alan Shearer, il-mibki Nelson Mandela u l-Kumpanija Royal Shakespeare. Il-Funfair Hoppings, li qal li huwa l-akbar funfair li jivvjaġġa fl-Ewropa, hawnhekk isir kull sena f'Ġunju.")</f>
        <v>Spazju aħdar ieħor fi Newcastle huwa l-Belt Moor, li tinsab immedjatament fit-tramuntana taċ-ċentru tal-belt. Huwa akbar mill-famuż Hyde Park ta 'Londra u Hampstead Heath flimkien u l-freemen tal-belt għandhom id-dritt li jirgħu baqar fuqha. Id-dritt inċidentalment jestendi għall-grawnd tal-Park ta 'San Ġakbu, Newcastle United Football Club, għalkemm dan mhux eżerċitat, għalkemm il-Freemen ma jiġbrux kera għat-telf tal-privileġġ. Freemen onorarju jinkludu Bob Geldof, King Harald V tan-Norveġja, Bobby Robson, Alan Shearer, il-mibki Nelson Mandela u l-Kumpanija Royal Shakespeare. Il-Funfair Hoppings, li qal li huwa l-akbar funfair li jivvjaġġa fl-Ewropa, hawnhekk isir kull sena f'Ġunju.</v>
      </c>
    </row>
    <row r="16265" ht="15.75" customHeight="1">
      <c r="A16265" s="2" t="s">
        <v>16265</v>
      </c>
      <c r="B16265" s="2" t="str">
        <f>IFERROR(__xludf.DUMMYFUNCTION("GOOGLETRANSLATE(A16265, ""en"", ""mt"")"),"Settembru 2001")</f>
        <v>Settembru 2001</v>
      </c>
    </row>
    <row r="16266" ht="15.75" customHeight="1">
      <c r="A16266" s="2" t="s">
        <v>16266</v>
      </c>
      <c r="B16266" s="2" t="str">
        <f>IFERROR(__xludf.DUMMYFUNCTION("GOOGLETRANSLATE(A16266, ""en"", ""mt"")"),"Min inħatar biex ikun il-president ta 'ABC minn Noble fl-1950?")</f>
        <v>Min inħatar biex ikun il-president ta 'ABC minn Noble fl-1950?</v>
      </c>
    </row>
    <row r="16267" ht="15.75" customHeight="1">
      <c r="A16267" s="2" t="s">
        <v>16267</v>
      </c>
      <c r="B16267" s="2" t="str">
        <f>IFERROR(__xludf.DUMMYFUNCTION("GOOGLETRANSLATE(A16267, ""en"", ""mt"")"),"Intużaw ittri minflok numri")</f>
        <v>Intużaw ittri minflok numri</v>
      </c>
    </row>
    <row r="16268" ht="15.75" customHeight="1">
      <c r="A16268" s="2" t="s">
        <v>16268</v>
      </c>
      <c r="B16268" s="2" t="str">
        <f>IFERROR(__xludf.DUMMYFUNCTION("GOOGLETRANSLATE(A16268, ""en"", ""mt"")"),"""Dritt"", ""Just"", jew ""Veru""")</f>
        <v>"Dritt", "Just", jew "Veru"</v>
      </c>
    </row>
    <row r="16269" ht="15.75" customHeight="1">
      <c r="A16269" s="2" t="s">
        <v>16269</v>
      </c>
      <c r="B16269" s="2" t="str">
        <f>IFERROR(__xludf.DUMMYFUNCTION("GOOGLETRANSLATE(A16269, ""en"", ""mt"")"),"Liema żona taċ-Ċina rnexxielha l-Ġappun fl-1931?")</f>
        <v>Liema żona taċ-Ċina rnexxielha l-Ġappun fl-1931?</v>
      </c>
    </row>
    <row r="16270" ht="15.75" customHeight="1">
      <c r="A16270" s="2" t="s">
        <v>16270</v>
      </c>
      <c r="B16270" s="2" t="str">
        <f>IFERROR(__xludf.DUMMYFUNCTION("GOOGLETRANSLATE(A16270, ""en"", ""mt"")"),"F'liema seklu ġie żviluppat il-port ta 'Newcastle?")</f>
        <v>F'liema seklu ġie żviluppat il-port ta 'Newcastle?</v>
      </c>
    </row>
    <row r="16271" ht="15.75" customHeight="1">
      <c r="A16271" s="2" t="s">
        <v>16271</v>
      </c>
      <c r="B16271" s="2" t="str">
        <f>IFERROR(__xludf.DUMMYFUNCTION("GOOGLETRANSLATE(A16271, ""en"", ""mt"")"),"Elimina l-multipli kollha ta '1")</f>
        <v>Elimina l-multipli kollha ta '1</v>
      </c>
    </row>
    <row r="16272" ht="15.75" customHeight="1">
      <c r="A16272" s="2" t="s">
        <v>16272</v>
      </c>
      <c r="B16272" s="2" t="str">
        <f>IFERROR(__xludf.DUMMYFUNCTION("GOOGLETRANSLATE(A16272, ""en"", ""mt"")"),"F'liema tip ta 'fluwidu huma d-differenzi fil-pressjoni kkawżati mid-direzzjoni tal-forzi fuq il-gradjenti?")</f>
        <v>F'liema tip ta 'fluwidu huma d-differenzi fil-pressjoni kkawżati mid-direzzjoni tal-forzi fuq il-gradjenti?</v>
      </c>
    </row>
    <row r="16273" ht="15.75" customHeight="1">
      <c r="A16273" s="2" t="s">
        <v>16273</v>
      </c>
      <c r="B16273" s="2" t="str">
        <f>IFERROR(__xludf.DUMMYFUNCTION("GOOGLETRANSLATE(A16273, ""en"", ""mt"")"),"Komponenti li jinħallu (molekuli)")</f>
        <v>Komponenti li jinħallu (molekuli)</v>
      </c>
    </row>
    <row r="16274" ht="15.75" customHeight="1">
      <c r="A16274" s="2" t="s">
        <v>16274</v>
      </c>
      <c r="B16274" s="2" t="str">
        <f>IFERROR(__xludf.DUMMYFUNCTION("GOOGLETRANSLATE(A16274, ""en"", ""mt"")"),"X'inhi kimika sekretata minn tumuri li jrażżnu r-rispons immuni?")</f>
        <v>X'inhi kimika sekretata minn tumuri li jrażżnu r-rispons immuni?</v>
      </c>
    </row>
    <row r="16275" ht="15.75" customHeight="1">
      <c r="A16275" s="2" t="s">
        <v>16275</v>
      </c>
      <c r="B16275" s="2" t="str">
        <f>IFERROR(__xludf.DUMMYFUNCTION("GOOGLETRANSLATE(A16275, ""en"", ""mt"")"),"Għal xiex jista 'jiġi investigat xi ħadd?")</f>
        <v>Għal xiex jista 'jiġi investigat xi ħadd?</v>
      </c>
    </row>
    <row r="16276" ht="15.75" customHeight="1">
      <c r="A16276" s="2" t="s">
        <v>16276</v>
      </c>
      <c r="B16276" s="2" t="str">
        <f>IFERROR(__xludf.DUMMYFUNCTION("GOOGLETRANSLATE(A16276, ""en"", ""mt"")"),"X’topla Tesla wara li waqgħet?")</f>
        <v>X’topla Tesla wara li waqgħet?</v>
      </c>
    </row>
    <row r="16277" ht="15.75" customHeight="1">
      <c r="A16277" s="2" t="s">
        <v>16277</v>
      </c>
      <c r="B16277" s="2" t="str">
        <f>IFERROR(__xludf.DUMMYFUNCTION("GOOGLETRANSLATE(A16277, ""en"", ""mt"")"),"Super Bowl XLV")</f>
        <v>Super Bowl XLV</v>
      </c>
    </row>
    <row r="16278" ht="15.75" customHeight="1">
      <c r="A16278" s="2" t="s">
        <v>16278</v>
      </c>
      <c r="B16278" s="2" t="str">
        <f>IFERROR(__xludf.DUMMYFUNCTION("GOOGLETRANSLATE(A16278, ""en"", ""mt"")"),"Filwaqt li tirrikonoxxi r-rwol ċentrali tat-tkabbir ekonomiku jista 'potenzjalment jilgħab fl-iżvilupp tal-bniedem, it-tnaqqis tal-faqar u l-kisba tal-għanijiet tal-iżvilupp tal-millennju, qed jinftiehem ħafna fost il-komunità tal-iżvilupp li għandhom isi"&amp;"ru sforzi speċjali biex jiżguraw li sezzjonijiet ifqar tas-soċjetà jkunu kapaċi jipparteċipaw fit-tkabbir ekonomiku. L-effett tat-tkabbir ekonomiku fuq it-tnaqqis tal-faqar - l-elastiċità tat-tkabbir tal-faqar - jista 'jiddependi fuq il-livell eżistenti t"&amp;"a' inugwaljanza. Pereżempju, bl-inugwaljanza baxxa pajjiż b'rata ta 'tkabbir ta' 2% għal kull ras u 40% tal-popolazzjoni tiegħu li tgħix fil-faqar, tista 'tnaqqas bin-nofs il-faqar f'għaxar snin, iżda pajjiż b'inugwaljanza għolja jieħu kważi 60 sena biex "&amp;"jinkiseb l-istess tnaqqis - Fi kliem is-Segretarju Ġenerali tal-projbizzjoni tan-Nazzjonijiet Uniti Ki-moon: ""Filwaqt li t-tkabbir ekonomiku huwa meħtieġ, mhuwiex biżżejjed għall-progress fit-tnaqqis tal-faqar.""")</f>
        <v>Filwaqt li tirrikonoxxi r-rwol ċentrali tat-tkabbir ekonomiku jista 'potenzjalment jilgħab fl-iżvilupp tal-bniedem, it-tnaqqis tal-faqar u l-kisba tal-għanijiet tal-iżvilupp tal-millennju, qed jinftiehem ħafna fost il-komunità tal-iżvilupp li għandhom isiru sforzi speċjali biex jiżguraw li sezzjonijiet ifqar tas-soċjetà jkunu kapaċi jipparteċipaw fit-tkabbir ekonomiku. L-effett tat-tkabbir ekonomiku fuq it-tnaqqis tal-faqar - l-elastiċità tat-tkabbir tal-faqar - jista 'jiddependi fuq il-livell eżistenti ta' inugwaljanza. Pereżempju, bl-inugwaljanza baxxa pajjiż b'rata ta 'tkabbir ta' 2% għal kull ras u 40% tal-popolazzjoni tiegħu li tgħix fil-faqar, tista 'tnaqqas bin-nofs il-faqar f'għaxar snin, iżda pajjiż b'inugwaljanza għolja jieħu kważi 60 sena biex jinkiseb l-istess tnaqqis - Fi kliem is-Segretarju Ġenerali tal-projbizzjoni tan-Nazzjonijiet Uniti Ki-moon: "Filwaqt li t-tkabbir ekonomiku huwa meħtieġ, mhuwiex biżżejjed għall-progress fit-tnaqqis tal-faqar."</v>
      </c>
    </row>
    <row r="16279" ht="15.75" customHeight="1">
      <c r="A16279" s="2" t="s">
        <v>16279</v>
      </c>
      <c r="B16279" s="2" t="str">
        <f>IFERROR(__xludf.DUMMYFUNCTION("GOOGLETRANSLATE(A16279, ""en"", ""mt"")"),"Anabaptisti, Zwinglianism, u l-Papat")</f>
        <v>Anabaptisti, Zwinglianism, u l-Papat</v>
      </c>
    </row>
    <row r="16280" ht="15.75" customHeight="1">
      <c r="A16280" s="2" t="s">
        <v>16280</v>
      </c>
      <c r="B16280" s="2" t="str">
        <f>IFERROR(__xludf.DUMMYFUNCTION("GOOGLETRANSLATE(A16280, ""en"", ""mt"")"),"X'kien l-isem tal-maltempata li laqat lil Jacksonville f'Mejju tal-2012?")</f>
        <v>X'kien l-isem tal-maltempata li laqat lil Jacksonville f'Mejju tal-2012?</v>
      </c>
    </row>
    <row r="16281" ht="15.75" customHeight="1">
      <c r="A16281" s="2" t="s">
        <v>16281</v>
      </c>
      <c r="B16281" s="2" t="str">
        <f>IFERROR(__xludf.DUMMYFUNCTION("GOOGLETRANSLATE(A16281, ""en"", ""mt"")"),"X'inhuma n-numri ikbar minn 1 li jistgħu jinqasmu bi 3 numri jew aktar imsejħa?")</f>
        <v>X'inhuma n-numri ikbar minn 1 li jistgħu jinqasmu bi 3 numri jew aktar imsejħa?</v>
      </c>
    </row>
    <row r="16282" ht="15.75" customHeight="1">
      <c r="A16282" s="2" t="s">
        <v>16282</v>
      </c>
      <c r="B16282" s="2" t="str">
        <f>IFERROR(__xludf.DUMMYFUNCTION("GOOGLETRANSLATE(A16282, ""en"", ""mt"")"),"Thomas Piketty")</f>
        <v>Thomas Piketty</v>
      </c>
    </row>
    <row r="16283" ht="15.75" customHeight="1">
      <c r="A16283" s="2" t="s">
        <v>16283</v>
      </c>
      <c r="B16283" s="2" t="str">
        <f>IFERROR(__xludf.DUMMYFUNCTION("GOOGLETRANSLATE(A16283, ""en"", ""mt"")"),"Il-varjazzjonijiet fil-klima matul l-aħħar 34 miljun sena ppermettew lir-reġjuni ta 'Savanna jespandu fit-tropiċi.")</f>
        <v>Il-varjazzjonijiet fil-klima matul l-aħħar 34 miljun sena ppermettew lir-reġjuni ta 'Savanna jespandu fit-tropiċi.</v>
      </c>
    </row>
    <row r="16284" ht="15.75" customHeight="1">
      <c r="A16284" s="2" t="s">
        <v>16284</v>
      </c>
      <c r="B16284" s="2" t="str">
        <f>IFERROR(__xludf.DUMMYFUNCTION("GOOGLETRANSLATE(A16284, ""en"", ""mt"")"),"Innu Nazzjonali")</f>
        <v>Innu Nazzjonali</v>
      </c>
    </row>
    <row r="16285" ht="15.75" customHeight="1">
      <c r="A16285" s="2" t="s">
        <v>16285</v>
      </c>
      <c r="B16285" s="2" t="str">
        <f>IFERROR(__xludf.DUMMYFUNCTION("GOOGLETRANSLATE(A16285, ""en"", ""mt"")"),"Cologne")</f>
        <v>Cologne</v>
      </c>
    </row>
    <row r="16286" ht="15.75" customHeight="1">
      <c r="A16286" s="2" t="s">
        <v>16286</v>
      </c>
      <c r="B16286" s="2" t="str">
        <f>IFERROR(__xludf.DUMMYFUNCTION("GOOGLETRANSLATE(A16286, ""en"", ""mt"")"),"Użu ta 'netwerk deċentralizzat b'ħafna mogħdijiet bejn kwalunkwe żewġ punti, li jaqsmu messaġġi ta' l-utent fi blokki ta 'messaġġi, aktar tard imsejħa pakketti")</f>
        <v>Użu ta 'netwerk deċentralizzat b'ħafna mogħdijiet bejn kwalunkwe żewġ punti, li jaqsmu messaġġi ta' l-utent fi blokki ta 'messaġġi, aktar tard imsejħa pakketti</v>
      </c>
    </row>
    <row r="16287" ht="15.75" customHeight="1">
      <c r="A16287" s="2" t="s">
        <v>16287</v>
      </c>
      <c r="B16287" s="2" t="str">
        <f>IFERROR(__xludf.DUMMYFUNCTION("GOOGLETRANSLATE(A16287, ""en"", ""mt"")"),"F'liema sena Tesla rċeviet offerta tal-Premju Nobel?")</f>
        <v>F'liema sena Tesla rċeviet offerta tal-Premju Nobel?</v>
      </c>
    </row>
    <row r="16288" ht="15.75" customHeight="1">
      <c r="A16288" s="2" t="s">
        <v>16288</v>
      </c>
      <c r="B16288" s="2" t="str">
        <f>IFERROR(__xludf.DUMMYFUNCTION("GOOGLETRANSLATE(A16288, ""en"", ""mt"")"),"Evita t-talbiet ta 'dota li jiswew ħafna flus")</f>
        <v>Evita t-talbiet ta 'dota li jiswew ħafna flus</v>
      </c>
    </row>
    <row r="16289" ht="15.75" customHeight="1">
      <c r="A16289" s="2" t="s">
        <v>16289</v>
      </c>
      <c r="B16289" s="2" t="str">
        <f>IFERROR(__xludf.DUMMYFUNCTION("GOOGLETRANSLATE(A16289, ""en"", ""mt"")"),"X'tip ta 'mewġ iddikjara li josserva?")</f>
        <v>X'tip ta 'mewġ iddikjara li josserva?</v>
      </c>
    </row>
    <row r="16290" ht="15.75" customHeight="1">
      <c r="A16290" s="2" t="s">
        <v>16290</v>
      </c>
      <c r="B16290" s="2" t="str">
        <f>IFERROR(__xludf.DUMMYFUNCTION("GOOGLETRANSLATE(A16290, ""en"", ""mt"")"),"Temüjin probabbilment twieled fl-1162 f'Delüün Boldog, qrib Burkhan Khaldun Mountain u x-xmajjar onon u Kherlen fil-Mongolja tat-Tramuntana ta 'kuljum, mhux' il bogħod mill-kapitali attwali ta 'Ulaanbaatar. L-Istorja Sigrieta tal-Mongoli tirrapporta li Te"&amp;"müjin twieled b'konnett tad-demm maqbud fil-ponn tiegħu, sinjal tradizzjonali li kien iddestinat biex isir mexxej kbir. Huwa kien it-tieni l-eqdem tifel ta 'missieru Yesügei, kap ewlieni tal-Khamag Mongol fil-Kiyad u alleat ta' Toghrul Khan tat-tribù Kera"&amp;"ite, u l-eqdem iben ta 'ommu Hoelun. Skond l-istorja sigrieta, Temüjin ġie msemmi wara kap ta 'Tatar, Temüjin-üge, li missieru kien għadu kif qabad.")</f>
        <v>Temüjin probabbilment twieled fl-1162 f'Delüün Boldog, qrib Burkhan Khaldun Mountain u x-xmajjar onon u Kherlen fil-Mongolja tat-Tramuntana ta 'kuljum, mhux' il bogħod mill-kapitali attwali ta 'Ulaanbaatar. L-Istorja Sigrieta tal-Mongoli tirrapporta li Temüjin twieled b'konnett tad-demm maqbud fil-ponn tiegħu, sinjal tradizzjonali li kien iddestinat biex isir mexxej kbir. Huwa kien it-tieni l-eqdem tifel ta 'missieru Yesügei, kap ewlieni tal-Khamag Mongol fil-Kiyad u alleat ta' Toghrul Khan tat-tribù Keraite, u l-eqdem iben ta 'ommu Hoelun. Skond l-istorja sigrieta, Temüjin ġie msemmi wara kap ta 'Tatar, Temüjin-üge, li missieru kien għadu kif qabad.</v>
      </c>
    </row>
    <row r="16291" ht="15.75" customHeight="1">
      <c r="A16291" s="2" t="s">
        <v>16291</v>
      </c>
      <c r="B16291" s="2" t="str">
        <f>IFERROR(__xludf.DUMMYFUNCTION("GOOGLETRANSLATE(A16291, ""en"", ""mt"")"),"Minkejja li huwa tradizzjoni deskritta bħala ""tmien kontej"", kemm hemm kontej dan ir-reġjun fil-fatt?")</f>
        <v>Minkejja li huwa tradizzjoni deskritta bħala "tmien kontej", kemm hemm kontej dan ir-reġjun fil-fatt?</v>
      </c>
    </row>
    <row r="16292" ht="15.75" customHeight="1">
      <c r="A16292" s="2" t="s">
        <v>16292</v>
      </c>
      <c r="B16292" s="2" t="str">
        <f>IFERROR(__xludf.DUMMYFUNCTION("GOOGLETRANSLATE(A16292, ""en"", ""mt"")"),"nisa")</f>
        <v>nisa</v>
      </c>
    </row>
    <row r="16293" ht="15.75" customHeight="1">
      <c r="A16293" s="2" t="s">
        <v>16293</v>
      </c>
      <c r="B16293" s="2" t="str">
        <f>IFERROR(__xludf.DUMMYFUNCTION("GOOGLETRANSLATE(A16293, ""en"", ""mt"")"),"Min iddisinja l-korsa tal-golf li tinsab fis-Sunnyside Country Club?")</f>
        <v>Min iddisinja l-korsa tal-golf li tinsab fis-Sunnyside Country Club?</v>
      </c>
    </row>
    <row r="16294" ht="15.75" customHeight="1">
      <c r="A16294" s="2" t="s">
        <v>16294</v>
      </c>
      <c r="B16294" s="2" t="str">
        <f>IFERROR(__xludf.DUMMYFUNCTION("GOOGLETRANSLATE(A16294, ""en"", ""mt"")"),"Kemm ħa l-Afganistan it-Taliban?")</f>
        <v>Kemm ħa l-Afganistan it-Taliban?</v>
      </c>
    </row>
    <row r="16295" ht="15.75" customHeight="1">
      <c r="A16295" s="2" t="s">
        <v>16295</v>
      </c>
      <c r="B16295" s="2" t="str">
        <f>IFERROR(__xludf.DUMMYFUNCTION("GOOGLETRANSLATE(A16295, ""en"", ""mt"")"),"Ħalq ix-Xmara Monongahela (is-sit tal-lum Pittsburgh, Pennsylvania)")</f>
        <v>Ħalq ix-Xmara Monongahela (is-sit tal-lum Pittsburgh, Pennsylvania)</v>
      </c>
    </row>
    <row r="16296" ht="15.75" customHeight="1">
      <c r="A16296" s="2" t="s">
        <v>16296</v>
      </c>
      <c r="B16296" s="2" t="str">
        <f>IFERROR(__xludf.DUMMYFUNCTION("GOOGLETRANSLATE(A16296, ""en"", ""mt"")"),"sodda ewlenija")</f>
        <v>sodda ewlenija</v>
      </c>
    </row>
    <row r="16297" ht="15.75" customHeight="1">
      <c r="A16297" s="2" t="s">
        <v>16297</v>
      </c>
      <c r="B16297" s="2" t="str">
        <f>IFERROR(__xludf.DUMMYFUNCTION("GOOGLETRANSLATE(A16297, ""en"", ""mt"")"),"dgħajsa")</f>
        <v>dgħajsa</v>
      </c>
    </row>
    <row r="16298" ht="15.75" customHeight="1">
      <c r="A16298" s="2" t="s">
        <v>16298</v>
      </c>
      <c r="B16298" s="2" t="str">
        <f>IFERROR(__xludf.DUMMYFUNCTION("GOOGLETRANSLATE(A16298, ""en"", ""mt"")"),"Lessing")</f>
        <v>Lessing</v>
      </c>
    </row>
    <row r="16299" ht="15.75" customHeight="1">
      <c r="A16299" s="2" t="s">
        <v>16299</v>
      </c>
      <c r="B16299" s="2" t="str">
        <f>IFERROR(__xludf.DUMMYFUNCTION("GOOGLETRANSLATE(A16299, ""en"", ""mt"")"),"150,000")</f>
        <v>150,000</v>
      </c>
    </row>
    <row r="16300" ht="15.75" customHeight="1">
      <c r="A16300" s="2" t="s">
        <v>16300</v>
      </c>
      <c r="B16300" s="2" t="str">
        <f>IFERROR(__xludf.DUMMYFUNCTION("GOOGLETRANSLATE(A16300, ""en"", ""mt"")"),"F'liema punt fil-ġurnata kienet miżżewġa l-koppja?")</f>
        <v>F'liema punt fil-ġurnata kienet miżżewġa l-koppja?</v>
      </c>
    </row>
    <row r="16301" ht="15.75" customHeight="1">
      <c r="A16301" s="2" t="s">
        <v>16301</v>
      </c>
      <c r="B16301" s="2" t="str">
        <f>IFERROR(__xludf.DUMMYFUNCTION("GOOGLETRANSLATE(A16301, ""en"", ""mt"")"),"fl-erbgħa")</f>
        <v>fl-erbgħa</v>
      </c>
    </row>
    <row r="16302" ht="15.75" customHeight="1">
      <c r="A16302" s="2" t="s">
        <v>16302</v>
      </c>
      <c r="B16302" s="2" t="str">
        <f>IFERROR(__xludf.DUMMYFUNCTION("GOOGLETRANSLATE(A16302, ""en"", ""mt"")"),"kumplessità")</f>
        <v>kumplessità</v>
      </c>
    </row>
    <row r="16303" ht="15.75" customHeight="1">
      <c r="A16303" s="2" t="s">
        <v>16303</v>
      </c>
      <c r="B16303" s="2" t="str">
        <f>IFERROR(__xludf.DUMMYFUNCTION("GOOGLETRANSLATE(A16303, ""en"", ""mt"")"),"in-netwerk u l-utenti konnessi")</f>
        <v>in-netwerk u l-utenti konnessi</v>
      </c>
    </row>
    <row r="16304" ht="15.75" customHeight="1">
      <c r="A16304" s="2" t="s">
        <v>16304</v>
      </c>
      <c r="B16304" s="2" t="str">
        <f>IFERROR(__xludf.DUMMYFUNCTION("GOOGLETRANSLATE(A16304, ""en"", ""mt"")"),"X’irbaħ il-Ħamas fl-elezzjoni leġiżlattiva ta ’Jannar 2006?")</f>
        <v>X’irbaħ il-Ħamas fl-elezzjoni leġiżlattiva ta ’Jannar 2006?</v>
      </c>
    </row>
    <row r="16305" ht="15.75" customHeight="1">
      <c r="A16305" s="2" t="s">
        <v>16305</v>
      </c>
      <c r="B16305" s="2" t="str">
        <f>IFERROR(__xludf.DUMMYFUNCTION("GOOGLETRANSLATE(A16305, ""en"", ""mt"")"),"Liema entitajiet kellhom jiżviluppaw prinċipji ddedikati għar-riżoluzzjoni tal-kunflitti bejn liġijiet ta 'sistemi differenti?")</f>
        <v>Liema entitajiet kellhom jiżviluppaw prinċipji ddedikati għar-riżoluzzjoni tal-kunflitti bejn liġijiet ta 'sistemi differenti?</v>
      </c>
    </row>
    <row r="16306" ht="15.75" customHeight="1">
      <c r="A16306" s="2" t="s">
        <v>16306</v>
      </c>
      <c r="B16306" s="2" t="str">
        <f>IFERROR(__xludf.DUMMYFUNCTION("GOOGLETRANSLATE(A16306, ""en"", ""mt"")"),"Spiżjara li jipprattikaw fl-isptarijiet")</f>
        <v>Spiżjara li jipprattikaw fl-isptarijiet</v>
      </c>
    </row>
    <row r="16307" ht="15.75" customHeight="1">
      <c r="A16307" s="2" t="s">
        <v>16307</v>
      </c>
      <c r="B16307" s="2" t="str">
        <f>IFERROR(__xludf.DUMMYFUNCTION("GOOGLETRANSLATE(A16307, ""en"", ""mt"")"),"il-pubbliku.")</f>
        <v>il-pubbliku.</v>
      </c>
    </row>
    <row r="16308" ht="15.75" customHeight="1">
      <c r="A16308" s="2" t="s">
        <v>16308</v>
      </c>
      <c r="B16308" s="2" t="str">
        <f>IFERROR(__xludf.DUMMYFUNCTION("GOOGLETRANSLATE(A16308, ""en"", ""mt"")"),"San Mateo")</f>
        <v>San Mateo</v>
      </c>
    </row>
    <row r="16309" ht="15.75" customHeight="1">
      <c r="A16309" s="2" t="s">
        <v>16309</v>
      </c>
      <c r="B16309" s="2" t="str">
        <f>IFERROR(__xludf.DUMMYFUNCTION("GOOGLETRANSLATE(A16309, ""en"", ""mt"")"),"Kurunell (aktar tard Ġeneral Maġġur) Henry Young Darracott Scott,")</f>
        <v>Kurunell (aktar tard Ġeneral Maġġur) Henry Young Darracott Scott,</v>
      </c>
    </row>
    <row r="16310" ht="15.75" customHeight="1">
      <c r="A16310" s="2" t="s">
        <v>16310</v>
      </c>
      <c r="B16310" s="2" t="str">
        <f>IFERROR(__xludf.DUMMYFUNCTION("GOOGLETRANSLATE(A16310, ""en"", ""mt"")"),"L-aħjar, l-agħar u l-medja")</f>
        <v>L-aħjar, l-agħar u l-medja</v>
      </c>
    </row>
    <row r="16311" ht="15.75" customHeight="1">
      <c r="A16311" s="2" t="s">
        <v>16311</v>
      </c>
      <c r="B16311" s="2" t="str">
        <f>IFERROR(__xludf.DUMMYFUNCTION("GOOGLETRANSLATE(A16311, ""en"", ""mt"")"),"X'inhuma r-regolamenti tal-UE essenzjalment l-istess bħal fil-każ imsemmi?")</f>
        <v>X'inhuma r-regolamenti tal-UE essenzjalment l-istess bħal fil-każ imsemmi?</v>
      </c>
    </row>
    <row r="16312" ht="15.75" customHeight="1">
      <c r="A16312" s="2" t="s">
        <v>16312</v>
      </c>
      <c r="B16312" s="2" t="str">
        <f>IFERROR(__xludf.DUMMYFUNCTION("GOOGLETRANSLATE(A16312, ""en"", ""mt"")"),"Minħabba pressjoni mill-istudjows tal-films li jixtiequ jżidu l-produzzjoni tagħhom, hekk kif in-netwerks ewlenin bdew jixxandru films rilaxxati teatralment, ABC ingħaqad ma 'CBS u NBC fix-xandir tal-films nhar il-Ħadd iljieli fl-1962, bit-tnedija tal-fil"&amp;"m ABC Sunday Night, li ddebutta sena wara l-kompetituri tagħha u inizjalment ġie ppreżentat bl-iswed u bl-abjad. Minkejja żieda sinifikanti fit-telespettatur (is-sehem tal-udjenza tiegħu żdied għal 33% mis-sehem ta '15% li kellu fl-1953), ABC baqa 'fit-ti"&amp;"elet post; Il-kumpanija kellha dħul totali ta '$ 15.5 miljun, terz tad-dħul miġbud minn CBS fl-istess perjodu. Biex tlaħħaq, ABC segwiet il-Flintstones b'serje animata oħra minn Hanna-Barbera, il-Jetsons, li ddebuttaw fit-23 ta 'Settembru, 1962 bħala l-ew"&amp;"wel serje televiżiva li xxandret bil-kulur fuq in-netwerk. Fl-1 ta 'April, 1963, ABC iddebutta l-Isptar Ġenerali tas-Soap Opera, li kien ikompli jsir il-programm ta' divertiment li ilu għaddej tan-netwerk tat-televiżjoni. Dik is-sena rat ukoll il-premiere"&amp;" tal-Fugitive (fis-17 ta 'Settembru), serje ta' drama li tiċċentra fuq raġel fuq il-ġirja wara li ġie akkużat li wettaq qtil li ma wettaqx.")</f>
        <v>Minħabba pressjoni mill-istudjows tal-films li jixtiequ jżidu l-produzzjoni tagħhom, hekk kif in-netwerks ewlenin bdew jixxandru films rilaxxati teatralment, ABC ingħaqad ma 'CBS u NBC fix-xandir tal-films nhar il-Ħadd iljieli fl-1962, bit-tnedija tal-film ABC Sunday Night, li ddebutta sena wara l-kompetituri tagħha u inizjalment ġie ppreżentat bl-iswed u bl-abjad. Minkejja żieda sinifikanti fit-telespettatur (is-sehem tal-udjenza tiegħu żdied għal 33% mis-sehem ta '15% li kellu fl-1953), ABC baqa 'fit-tielet post; Il-kumpanija kellha dħul totali ta '$ 15.5 miljun, terz tad-dħul miġbud minn CBS fl-istess perjodu. Biex tlaħħaq, ABC segwiet il-Flintstones b'serje animata oħra minn Hanna-Barbera, il-Jetsons, li ddebuttaw fit-23 ta 'Settembru, 1962 bħala l-ewwel serje televiżiva li xxandret bil-kulur fuq in-netwerk. Fl-1 ta 'April, 1963, ABC iddebutta l-Isptar Ġenerali tas-Soap Opera, li kien ikompli jsir il-programm ta' divertiment li ilu għaddej tan-netwerk tat-televiżjoni. Dik is-sena rat ukoll il-premiere tal-Fugitive (fis-17 ta 'Settembru), serje ta' drama li tiċċentra fuq raġel fuq il-ġirja wara li ġie akkużat li wettaq qtil li ma wettaqx.</v>
      </c>
    </row>
    <row r="16313" ht="15.75" customHeight="1">
      <c r="A16313" s="2" t="s">
        <v>16313</v>
      </c>
      <c r="B16313" s="2" t="str">
        <f>IFERROR(__xludf.DUMMYFUNCTION("GOOGLETRANSLATE(A16313, ""en"", ""mt"")"),"Ir-raba 'imperatur Yuan, Buyantu Khan (Ayurbarwada), kien imperatur kompetenti. Huwa kien l-ewwel Imperatur Yuan li jappoġġja attivament u jadotta l-kultura Ċiniża mainstream wara r-renju ta 'Kublai, għall-iskuntentizza ta' xi elite Mongolja. Huwa kien me"&amp;"ntored minn Li Meng, akkademiku Confucian. Huwa għamel ħafna riformi, inkluża l-likwidazzjoni tad-Dipartiment tal-Affarijiet tal-Istat (Ċiniż: 尚 書 省), li rriżultaw fl-eżekuzzjoni ta 'ħamsa mill-uffiċjali tal-ogħla grad. Mill-1313 l-eżamijiet imperjali tra"&amp;"dizzjonali ġew introdotti mill-ġdid għal uffiċjali prospettivi, ittestjaw l-għarfien tagħhom dwar xogħlijiet storiċi sinifikanti. Ukoll, huwa kkodifika ħafna mil-liġi, kif ukoll jippubblika jew jittraduċi numru ta 'kotba u xogħlijiet Ċiniżi.")</f>
        <v>Ir-raba 'imperatur Yuan, Buyantu Khan (Ayurbarwada), kien imperatur kompetenti. Huwa kien l-ewwel Imperatur Yuan li jappoġġja attivament u jadotta l-kultura Ċiniża mainstream wara r-renju ta 'Kublai, għall-iskuntentizza ta' xi elite Mongolja. Huwa kien mentored minn Li Meng, akkademiku Confucian. Huwa għamel ħafna riformi, inkluża l-likwidazzjoni tad-Dipartiment tal-Affarijiet tal-Istat (Ċiniż: 尚 書 省), li rriżultaw fl-eżekuzzjoni ta 'ħamsa mill-uffiċjali tal-ogħla grad. Mill-1313 l-eżamijiet imperjali tradizzjonali ġew introdotti mill-ġdid għal uffiċjali prospettivi, ittestjaw l-għarfien tagħhom dwar xogħlijiet storiċi sinifikanti. Ukoll, huwa kkodifika ħafna mil-liġi, kif ukoll jippubblika jew jittraduċi numru ta 'kotba u xogħlijiet Ċiniżi.</v>
      </c>
    </row>
    <row r="16314" ht="15.75" customHeight="1">
      <c r="A16314" s="2" t="s">
        <v>16314</v>
      </c>
      <c r="B16314" s="2" t="str">
        <f>IFERROR(__xludf.DUMMYFUNCTION("GOOGLETRANSLATE(A16314, ""en"", ""mt"")"),"Giovanni Branca")</f>
        <v>Giovanni Branca</v>
      </c>
    </row>
    <row r="16315" ht="15.75" customHeight="1">
      <c r="A16315" s="2" t="s">
        <v>16315</v>
      </c>
      <c r="B16315" s="2" t="str">
        <f>IFERROR(__xludf.DUMMYFUNCTION("GOOGLETRANSLATE(A16315, ""en"", ""mt"")"),"Ipersensittività tat-Tip I.")</f>
        <v>Ipersensittività tat-Tip I.</v>
      </c>
    </row>
    <row r="16316" ht="15.75" customHeight="1">
      <c r="A16316" s="2" t="s">
        <v>16316</v>
      </c>
      <c r="B16316" s="2" t="str">
        <f>IFERROR(__xludf.DUMMYFUNCTION("GOOGLETRANSLATE(A16316, ""en"", ""mt"")"),"forza u vjolenza u rifjut li tissottometti għall-arrest")</f>
        <v>forza u vjolenza u rifjut li tissottometti għall-arrest</v>
      </c>
    </row>
    <row r="16317" ht="15.75" customHeight="1">
      <c r="A16317" s="2" t="s">
        <v>16317</v>
      </c>
      <c r="B16317" s="2" t="str">
        <f>IFERROR(__xludf.DUMMYFUNCTION("GOOGLETRANSLATE(A16317, ""en"", ""mt"")"),"X'inhuma ż-żewġ tweġibiet sħaħ għal problema ta 'deċiżjoni?")</f>
        <v>X'inhuma ż-żewġ tweġibiet sħaħ għal problema ta 'deċiżjoni?</v>
      </c>
    </row>
    <row r="16318" ht="15.75" customHeight="1">
      <c r="A16318" s="2" t="s">
        <v>16318</v>
      </c>
      <c r="B16318" s="2" t="str">
        <f>IFERROR(__xludf.DUMMYFUNCTION("GOOGLETRANSLATE(A16318, ""en"", ""mt"")"),"Minn Diċembru 1539, Luther sar implikat fil-bigamy ta 'Filippu I, Landgrave ta' Hesse, li ried jiżżewweġ waħda mill-onorevoli ta 'martu fl-istennija. Philip talab l-approvazzjoni ta 'Luther, Melanchthon, u Bucer, billi kkwota bħala preċedent il-poligamija"&amp;" tal-Patrijarki. It-teologi ma kinux lesti li jagħmlu sentenza ġenerali, u qalbu ta parir lill-landgrave li jekk kien determinat, huwa għandu jiżżewweġ b'mod sigriet u jżomm kwiet dwar il-kwistjoni. Bħala riżultat, fl-4 ta 'Marzu 1540, Philip iżżewweġ it-"&amp;"tieni mara, Margarethe von der Saale, ma' Melanchthon u Bucer fost ix-xhieda. Madankollu, Filippu ma setax iżomm iż-żwieġ sigriet, u huwa hedded li jagħmel il-parir ta 'Luther pubbliku. Luther qallu biex ""tgħid gidba tajba u b'saħħitha"" u tiċħad iż-żwie"&amp;"ġ kompletament, li Filippu għamel waqt il-kontroversja pubblika sussegwenti. Fil-fehma tal-bijografu ta 'Luther Martin Brecht, ""l-għoti ta' pariri konfessjonali għal Philip ta 'Hesse kien wieħed mill-agħar żbalji li għamel Luther, u, ħdejn il-Landgrave i"&amp;"nnifsu, li kien direttament responsabbli għalih, l-istorja prinċipalment iżżomm lil Luther responsabbli"". Brecht jargumenta li l-iżball ta 'Luther ma kienx li ta parir pastorali privat, iżda li huwa kkalkula ħażin l-implikazzjonijiet politiċi. L-affari k"&amp;"kawżat ħsara dejjiema lir-reputazzjoni ta 'Luther.")</f>
        <v>Minn Diċembru 1539, Luther sar implikat fil-bigamy ta 'Filippu I, Landgrave ta' Hesse, li ried jiżżewweġ waħda mill-onorevoli ta 'martu fl-istennija. Philip talab l-approvazzjoni ta 'Luther, Melanchthon, u Bucer, billi kkwota bħala preċedent il-poligamija tal-Patrijarki. It-teologi ma kinux lesti li jagħmlu sentenza ġenerali, u qalbu ta parir lill-landgrave li jekk kien determinat, huwa għandu jiżżewweġ b'mod sigriet u jżomm kwiet dwar il-kwistjoni. Bħala riżultat, fl-4 ta 'Marzu 1540, Philip iżżewweġ it-tieni mara, Margarethe von der Saale, ma' Melanchthon u Bucer fost ix-xhieda. Madankollu, Filippu ma setax iżomm iż-żwieġ sigriet, u huwa hedded li jagħmel il-parir ta 'Luther pubbliku. Luther qallu biex "tgħid gidba tajba u b'saħħitha" u tiċħad iż-żwieġ kompletament, li Filippu għamel waqt il-kontroversja pubblika sussegwenti. Fil-fehma tal-bijografu ta 'Luther Martin Brecht, "l-għoti ta' pariri konfessjonali għal Philip ta 'Hesse kien wieħed mill-agħar żbalji li għamel Luther, u, ħdejn il-Landgrave innifsu, li kien direttament responsabbli għalih, l-istorja prinċipalment iżżomm lil Luther responsabbli". Brecht jargumenta li l-iżball ta 'Luther ma kienx li ta parir pastorali privat, iżda li huwa kkalkula ħażin l-implikazzjonijiet politiċi. L-affari kkawżat ħsara dejjiema lir-reputazzjoni ta 'Luther.</v>
      </c>
    </row>
    <row r="16319" ht="15.75" customHeight="1">
      <c r="A16319" s="2" t="s">
        <v>16319</v>
      </c>
      <c r="B16319" s="2" t="str">
        <f>IFERROR(__xludf.DUMMYFUNCTION("GOOGLETRANSLATE(A16319, ""en"", ""mt"")"),"Il-kisba tal-kontroll tal-kriminalità permezz ta 'inkapaċità u deterrenza")</f>
        <v>Il-kisba tal-kontroll tal-kriminalità permezz ta 'inkapaċità u deterrenza</v>
      </c>
    </row>
    <row r="16320" ht="15.75" customHeight="1">
      <c r="A16320" s="2" t="s">
        <v>16320</v>
      </c>
      <c r="B16320" s="2" t="str">
        <f>IFERROR(__xludf.DUMMYFUNCTION("GOOGLETRANSLATE(A16320, ""en"", ""mt"")"),"ħadem bħala min jinsa")</f>
        <v>ħadem bħala min jinsa</v>
      </c>
    </row>
    <row r="16321" ht="15.75" customHeight="1">
      <c r="A16321" s="2" t="s">
        <v>16321</v>
      </c>
      <c r="B16321" s="2" t="str">
        <f>IFERROR(__xludf.DUMMYFUNCTION("GOOGLETRANSLATE(A16321, ""en"", ""mt"")"),"Richard Allen u Absalom Jones")</f>
        <v>Richard Allen u Absalom Jones</v>
      </c>
    </row>
    <row r="16322" ht="15.75" customHeight="1">
      <c r="A16322" s="2" t="s">
        <v>16322</v>
      </c>
      <c r="B16322" s="2" t="str">
        <f>IFERROR(__xludf.DUMMYFUNCTION("GOOGLETRANSLATE(A16322, ""en"", ""mt"")"),"Wara l-Bliet Kapitali - ABC Għaqda, Frederick Pierce ġie msemmi għal liema pożizzjoni?")</f>
        <v>Wara l-Bliet Kapitali - ABC Għaqda, Frederick Pierce ġie msemmi għal liema pożizzjoni?</v>
      </c>
    </row>
    <row r="16323" ht="15.75" customHeight="1">
      <c r="A16323" s="2" t="s">
        <v>16323</v>
      </c>
      <c r="B16323" s="2" t="str">
        <f>IFERROR(__xludf.DUMMYFUNCTION("GOOGLETRANSLATE(A16323, ""en"", ""mt"")"),"X'kienet l-iktar bidla governattiva importanti għall-mandat tal-art?")</f>
        <v>X'kienet l-iktar bidla governattiva importanti għall-mandat tal-art?</v>
      </c>
    </row>
    <row r="16324" ht="15.75" customHeight="1">
      <c r="A16324" s="2" t="s">
        <v>16324</v>
      </c>
      <c r="B16324" s="2" t="str">
        <f>IFERROR(__xludf.DUMMYFUNCTION("GOOGLETRANSLATE(A16324, ""en"", ""mt"")"),"Ħin u dimensjoni relattiva fl-ispazju")</f>
        <v>Ħin u dimensjoni relattiva fl-ispazju</v>
      </c>
    </row>
    <row r="16325" ht="15.75" customHeight="1">
      <c r="A16325" s="2" t="s">
        <v>16325</v>
      </c>
      <c r="B16325" s="2" t="str">
        <f>IFERROR(__xludf.DUMMYFUNCTION("GOOGLETRANSLATE(A16325, ""en"", ""mt"")"),"Aqla 'l-istatus tal-għalliem mikri")</f>
        <v>Aqla 'l-istatus tal-għalliem mikri</v>
      </c>
    </row>
    <row r="16326" ht="15.75" customHeight="1">
      <c r="A16326" s="2" t="s">
        <v>16326</v>
      </c>
      <c r="B16326" s="2" t="str">
        <f>IFERROR(__xludf.DUMMYFUNCTION("GOOGLETRANSLATE(A16326, ""en"", ""mt"")"),"L-imperjalizmu u l-kolonjaliżmu t-tnejn jaffermaw dominanza ta 'stati fuq xiex?")</f>
        <v>L-imperjalizmu u l-kolonjaliżmu t-tnejn jaffermaw dominanza ta 'stati fuq xiex?</v>
      </c>
    </row>
    <row r="16327" ht="15.75" customHeight="1">
      <c r="A16327" s="2" t="s">
        <v>16327</v>
      </c>
      <c r="B16327" s="2" t="str">
        <f>IFERROR(__xludf.DUMMYFUNCTION("GOOGLETRANSLATE(A16327, ""en"", ""mt"")"),"Kif jissejjaħ is-Sindku ta ’Varsavja?")</f>
        <v>Kif jissejjaħ is-Sindku ta ’Varsavja?</v>
      </c>
    </row>
    <row r="16328" ht="15.75" customHeight="1">
      <c r="A16328" s="2" t="s">
        <v>16328</v>
      </c>
      <c r="B16328" s="2" t="str">
        <f>IFERROR(__xludf.DUMMYFUNCTION("GOOGLETRANSLATE(A16328, ""en"", ""mt"")"),"X’kien jemmen li Martin Luther kiseb il-grazzja ta ’Alla?")</f>
        <v>X’kien jemmen li Martin Luther kiseb il-grazzja ta ’Alla?</v>
      </c>
    </row>
    <row r="16329" ht="15.75" customHeight="1">
      <c r="A16329" s="2" t="s">
        <v>16329</v>
      </c>
      <c r="B16329" s="2" t="str">
        <f>IFERROR(__xludf.DUMMYFUNCTION("GOOGLETRANSLATE(A16329, ""en"", ""mt"")"),"Luther u martu marru joqogħdu ġo monasteru ta 'qabel, ""The Black Cloister,"" preżenti tieġ mill-Elector Ġdid John the Sandfast (1525-32). Huma bdew dak li deher li kien żwieġ kuntent u ta 'suċċess, għalkemm il-flus spiss kienu qosra. Bejn li jkollhom sit"&amp;"t itfal, Hans - Ġunju 1526; Elizabeth - 10 ta 'Diċembru 1527, li miet fi ftit xhur; Magdalene - 1529, li miet fl-armi ta ’Luther fl-1542; Martin - 1531; Pawlu - Jannar 1533; u Margaret - 1534; Katharina għenet lill-koppja taqla ’l-għixien billi tbiegħed l"&amp;"-art u ttieħdet il-boarders. Luther ikkonfida lil Michael Stiefel fil-11 ta 'Awwissu 1526: ""Il-katie tiegħi tinsab fl-affarijiet kollha li jobbligaw u jogħġbu lili li ma nibdlux il-faqar tiegħi għall-għana ta' Croesus.""")</f>
        <v>Luther u martu marru joqogħdu ġo monasteru ta 'qabel, "The Black Cloister," preżenti tieġ mill-Elector Ġdid John the Sandfast (1525-32). Huma bdew dak li deher li kien żwieġ kuntent u ta 'suċċess, għalkemm il-flus spiss kienu qosra. Bejn li jkollhom sitt itfal, Hans - Ġunju 1526; Elizabeth - 10 ta 'Diċembru 1527, li miet fi ftit xhur; Magdalene - 1529, li miet fl-armi ta ’Luther fl-1542; Martin - 1531; Pawlu - Jannar 1533; u Margaret - 1534; Katharina għenet lill-koppja taqla ’l-għixien billi tbiegħed l-art u ttieħdet il-boarders. Luther ikkonfida lil Michael Stiefel fil-11 ta 'Awwissu 1526: "Il-katie tiegħi tinsab fl-affarijiet kollha li jobbligaw u jogħġbu lili li ma nibdlux il-faqar tiegħi għall-għana ta' Croesus."</v>
      </c>
    </row>
    <row r="16330" ht="15.75" customHeight="1">
      <c r="A16330" s="2" t="s">
        <v>16330</v>
      </c>
      <c r="B16330" s="2" t="str">
        <f>IFERROR(__xludf.DUMMYFUNCTION("GOOGLETRANSLATE(A16330, ""en"", ""mt"")"),"Nomadi")</f>
        <v>Nomadi</v>
      </c>
    </row>
    <row r="16331" ht="15.75" customHeight="1">
      <c r="A16331" s="2" t="s">
        <v>16331</v>
      </c>
      <c r="B16331" s="2" t="str">
        <f>IFERROR(__xludf.DUMMYFUNCTION("GOOGLETRANSLATE(A16331, ""en"", ""mt"")"),"Liema tliet tobba kienu fis-sireni taż-żmien?")</f>
        <v>Liema tliet tobba kienu fis-sireni taż-żmien?</v>
      </c>
    </row>
    <row r="16332" ht="15.75" customHeight="1">
      <c r="A16332" s="2" t="s">
        <v>16332</v>
      </c>
      <c r="B16332" s="2" t="str">
        <f>IFERROR(__xludf.DUMMYFUNCTION("GOOGLETRANSLATE(A16332, ""en"", ""mt"")"),"Nuqqas ta 'fehim tar-ramifikazzjonijiet legali, jew minħabba biża' li tidher rude.")</f>
        <v>Nuqqas ta 'fehim tar-ramifikazzjonijiet legali, jew minħabba biża' li tidher rude.</v>
      </c>
    </row>
    <row r="16333" ht="15.75" customHeight="1">
      <c r="A16333" s="2" t="s">
        <v>16333</v>
      </c>
      <c r="B16333" s="2" t="str">
        <f>IFERROR(__xludf.DUMMYFUNCTION("GOOGLETRANSLATE(A16333, ""en"", ""mt"")"),"X'inhu ġġenerat bejn wiċċ u oġġett li qed jiġi mbuttat?")</f>
        <v>X'inhu ġġenerat bejn wiċċ u oġġett li qed jiġi mbuttat?</v>
      </c>
    </row>
    <row r="16334" ht="15.75" customHeight="1">
      <c r="A16334" s="2" t="s">
        <v>16334</v>
      </c>
      <c r="B16334" s="2" t="str">
        <f>IFERROR(__xludf.DUMMYFUNCTION("GOOGLETRANSLATE(A16334, ""en"", ""mt"")"),"Min ħaseb li d-dinja tista 'tinqasam f'żoni klimatiċi?")</f>
        <v>Min ħaseb li d-dinja tista 'tinqasam f'żoni klimatiċi?</v>
      </c>
    </row>
    <row r="16335" ht="15.75" customHeight="1">
      <c r="A16335" s="2" t="s">
        <v>16335</v>
      </c>
      <c r="B16335" s="2" t="str">
        <f>IFERROR(__xludf.DUMMYFUNCTION("GOOGLETRANSLATE(A16335, ""en"", ""mt"")"),"l-akbar antisemit ta ’żmienu,")</f>
        <v>l-akbar antisemit ta ’żmienu,</v>
      </c>
    </row>
    <row r="16336" ht="15.75" customHeight="1">
      <c r="A16336" s="2" t="s">
        <v>16336</v>
      </c>
      <c r="B16336" s="2" t="str">
        <f>IFERROR(__xludf.DUMMYFUNCTION("GOOGLETRANSLATE(A16336, ""en"", ""mt"")"),"Ħsad tal-kerrejja Ċiniżi tagħhom")</f>
        <v>Ħsad tal-kerrejja Ċiniżi tagħhom</v>
      </c>
    </row>
    <row r="16337" ht="15.75" customHeight="1">
      <c r="A16337" s="2" t="s">
        <v>16337</v>
      </c>
      <c r="B16337" s="2" t="str">
        <f>IFERROR(__xludf.DUMMYFUNCTION("GOOGLETRANSLATE(A16337, ""en"", ""mt"")"),"X'tip ta 'klima żżomm in-Nofsinhar ta' California?")</f>
        <v>X'tip ta 'klima żżomm in-Nofsinhar ta' California?</v>
      </c>
    </row>
    <row r="16338" ht="15.75" customHeight="1">
      <c r="A16338" s="2" t="s">
        <v>16338</v>
      </c>
      <c r="B16338" s="2" t="str">
        <f>IFERROR(__xludf.DUMMYFUNCTION("GOOGLETRANSLATE(A16338, ""en"", ""mt"")"),"testendi riċettur ta 'vitamina D")</f>
        <v>testendi riċettur ta 'vitamina D</v>
      </c>
    </row>
    <row r="16339" ht="15.75" customHeight="1">
      <c r="A16339" s="2" t="s">
        <v>16339</v>
      </c>
      <c r="B16339" s="2" t="str">
        <f>IFERROR(__xludf.DUMMYFUNCTION("GOOGLETRANSLATE(A16339, ""en"", ""mt"")"),"Klassijiet oħra ta 'kumplessità importanti jinkludu BPP, ZPP u RP, li huma definiti bl-użu ta' magni tat-Turing probabilistiċi; AC u NC, li huma definiti bl-użu ta 'ċirkwiti Boolean; u BQP u QMA, li huma definiti bl-użu ta 'magni ta' Turing Quantum. #P hi"&amp;"ja klassi ta 'kumplessità importanti ta' problemi ta 'għadd (mhux problemi ta' deċiżjoni). Klassijiet bħal IP u AM huma definiti bl-użu ta 'sistemi ta' prova interattiva. Kollha hija l-klassi tal-problemi kollha ta 'deċiżjoni.")</f>
        <v>Klassijiet oħra ta 'kumplessità importanti jinkludu BPP, ZPP u RP, li huma definiti bl-użu ta' magni tat-Turing probabilistiċi; AC u NC, li huma definiti bl-użu ta 'ċirkwiti Boolean; u BQP u QMA, li huma definiti bl-użu ta 'magni ta' Turing Quantum. #P hija klassi ta 'kumplessità importanti ta' problemi ta 'għadd (mhux problemi ta' deċiżjoni). Klassijiet bħal IP u AM huma definiti bl-użu ta 'sistemi ta' prova interattiva. Kollha hija l-klassi tal-problemi kollha ta 'deċiżjoni.</v>
      </c>
    </row>
    <row r="16340" ht="15.75" customHeight="1">
      <c r="A16340" s="2" t="s">
        <v>16340</v>
      </c>
      <c r="B16340" s="2" t="str">
        <f>IFERROR(__xludf.DUMMYFUNCTION("GOOGLETRANSLATE(A16340, ""en"", ""mt"")"),"X'inhu l-proċess ta 'tilqim magħruf ukoll bħala?")</f>
        <v>X'inhu l-proċess ta 'tilqim magħruf ukoll bħala?</v>
      </c>
    </row>
    <row r="16341" ht="15.75" customHeight="1">
      <c r="A16341" s="2" t="s">
        <v>16341</v>
      </c>
      <c r="B16341" s="2" t="str">
        <f>IFERROR(__xludf.DUMMYFUNCTION("GOOGLETRANSLATE(A16341, ""en"", ""mt"")"),"Kunsill tal-Belt")</f>
        <v>Kunsill tal-Belt</v>
      </c>
    </row>
    <row r="16342" ht="15.75" customHeight="1">
      <c r="A16342" s="2" t="s">
        <v>16342</v>
      </c>
      <c r="B16342" s="2" t="str">
        <f>IFERROR(__xludf.DUMMYFUNCTION("GOOGLETRANSLATE(A16342, ""en"", ""mt"")"),"effettiv")</f>
        <v>effettiv</v>
      </c>
    </row>
    <row r="16343" ht="15.75" customHeight="1">
      <c r="A16343" s="2" t="s">
        <v>16343</v>
      </c>
      <c r="B16343" s="2" t="str">
        <f>IFERROR(__xludf.DUMMYFUNCTION("GOOGLETRANSLATE(A16343, ""en"", ""mt"")"),"Cévennes")</f>
        <v>Cévennes</v>
      </c>
    </row>
    <row r="16344" ht="15.75" customHeight="1">
      <c r="A16344" s="2" t="s">
        <v>16344</v>
      </c>
      <c r="B16344" s="2" t="str">
        <f>IFERROR(__xludf.DUMMYFUNCTION("GOOGLETRANSLATE(A16344, ""en"", ""mt"")"),"Talb tal-mewt")</f>
        <v>Talb tal-mewt</v>
      </c>
    </row>
    <row r="16345" ht="15.75" customHeight="1">
      <c r="A16345" s="2" t="s">
        <v>16345</v>
      </c>
      <c r="B16345" s="2" t="str">
        <f>IFERROR(__xludf.DUMMYFUNCTION("GOOGLETRANSLATE(A16345, ""en"", ""mt"")"),"(Eżodu 1: 15-19)")</f>
        <v>(Eżodu 1: 15-19)</v>
      </c>
    </row>
    <row r="16346" ht="15.75" customHeight="1">
      <c r="A16346" s="2" t="s">
        <v>16346</v>
      </c>
      <c r="B16346" s="2" t="str">
        <f>IFERROR(__xludf.DUMMYFUNCTION("GOOGLETRANSLATE(A16346, ""en"", ""mt"")"),"Meta tkellem dwar il-ħsibijiet tiegħu dwar is-sess?")</f>
        <v>Meta tkellem dwar il-ħsibijiet tiegħu dwar is-sess?</v>
      </c>
    </row>
    <row r="16347" ht="15.75" customHeight="1">
      <c r="A16347" s="2" t="s">
        <v>16347</v>
      </c>
      <c r="B16347" s="2" t="str">
        <f>IFERROR(__xludf.DUMMYFUNCTION("GOOGLETRANSLATE(A16347, ""en"", ""mt"")"),"D'Hondt")</f>
        <v>D'Hondt</v>
      </c>
    </row>
    <row r="16348" ht="15.75" customHeight="1">
      <c r="A16348" s="2" t="s">
        <v>16348</v>
      </c>
      <c r="B16348" s="2" t="str">
        <f>IFERROR(__xludf.DUMMYFUNCTION("GOOGLETRANSLATE(A16348, ""en"", ""mt"")"),"Il-Karta Soċjali ġiet sussegwentement adottata fl-1989 minn 11 mit-12-il stat membru ta 'dak iż-żmien. Ir-Renju Unit irrifjuta li jiffirma l-Karta Soċjali u kien eżentat mil-leġiżlazzjoni li tkopri kwistjonijiet ta 'charter soċjali sakemm ma jkunx marbut "&amp;"bil-leġiżlazzjoni. Ir-Renju Unit sussegwentement kien l-uniku stat membru li jivverifika l-karta soċjali li kien inkluż bħala l- ""kapitolu soċjali"" tat-Trattat Maastricht tal-1992 - minflok, ftehim dwar il-politika soċjali ġie miżjud bħala protokoll. Għ"&amp;"al darb'oħra, ir-Renju Unit kien eżentat mil-leġislazzjoni li tirriżulta mill-protokoll, sakemm ma jkunx aċċetta li jkun marbut minnu. Il-protokoll kellu jsir magħruf bħala ""Kapitolu Soċjali"", minkejja li fil-fatt ma kienx kapitolu tat-Trattat Maastrich"&amp;"t. Sabiex jinkisbu għanijiet tal-ftehim dwar il-politika soċjali l-Unjoni Ewropea kienet li ""tappoġġja u tikkumplimenta"" l-politiki ta 'l-istati membri. L-għanijiet tal-ftehim dwar il-politika soċjali huma:")</f>
        <v>Il-Karta Soċjali ġiet sussegwentement adottata fl-1989 minn 11 mit-12-il stat membru ta 'dak iż-żmien. Ir-Renju Unit irrifjuta li jiffirma l-Karta Soċjali u kien eżentat mil-leġiżlazzjoni li tkopri kwistjonijiet ta 'charter soċjali sakemm ma jkunx marbut bil-leġiżlazzjoni. Ir-Renju Unit sussegwentement kien l-uniku stat membru li jivverifika l-karta soċjali li kien inkluż bħala l- "kapitolu soċjali" tat-Trattat Maastricht tal-1992 - minflok, ftehim dwar il-politika soċjali ġie miżjud bħala protokoll. Għal darb'oħra, ir-Renju Unit kien eżentat mil-leġislazzjoni li tirriżulta mill-protokoll, sakemm ma jkunx aċċetta li jkun marbut minnu. Il-protokoll kellu jsir magħruf bħala "Kapitolu Soċjali", minkejja li fil-fatt ma kienx kapitolu tat-Trattat Maastricht. Sabiex jinkisbu għanijiet tal-ftehim dwar il-politika soċjali l-Unjoni Ewropea kienet li "tappoġġja u tikkumplimenta" l-politiki ta 'l-istati membri. L-għanijiet tal-ftehim dwar il-politika soċjali huma:</v>
      </c>
    </row>
    <row r="16349" ht="15.75" customHeight="1">
      <c r="A16349" s="2" t="s">
        <v>16349</v>
      </c>
      <c r="B16349" s="2" t="str">
        <f>IFERROR(__xludf.DUMMYFUNCTION("GOOGLETRANSLATE(A16349, ""en"", ""mt"")"),"Baċin tal-Amazon")</f>
        <v>Baċin tal-Amazon</v>
      </c>
    </row>
    <row r="16350" ht="15.75" customHeight="1">
      <c r="A16350" s="2" t="s">
        <v>16350</v>
      </c>
      <c r="B16350" s="2" t="str">
        <f>IFERROR(__xludf.DUMMYFUNCTION("GOOGLETRANSLATE(A16350, ""en"", ""mt"")"),"Test ta 'Primalità ta' Miller - Rabin")</f>
        <v>Test ta 'Primalità ta' Miller - Rabin</v>
      </c>
    </row>
    <row r="16351" ht="15.75" customHeight="1">
      <c r="A16351" s="2" t="s">
        <v>16351</v>
      </c>
      <c r="B16351" s="2" t="str">
        <f>IFERROR(__xludf.DUMMYFUNCTION("GOOGLETRANSLATE(A16351, ""en"", ""mt"")"),"Fritschel")</f>
        <v>Fritschel</v>
      </c>
    </row>
    <row r="16352" ht="15.75" customHeight="1">
      <c r="A16352" s="2" t="s">
        <v>16352</v>
      </c>
      <c r="B16352" s="2" t="str">
        <f>IFERROR(__xludf.DUMMYFUNCTION("GOOGLETRANSLATE(A16352, ""en"", ""mt"")"),"Liema plejer ta 'Denver kellu 109 attakki għall-istaġun 2015?")</f>
        <v>Liema plejer ta 'Denver kellu 109 attakki għall-istaġun 2015?</v>
      </c>
    </row>
    <row r="16353" ht="15.75" customHeight="1">
      <c r="A16353" s="2" t="s">
        <v>16353</v>
      </c>
      <c r="B16353" s="2" t="str">
        <f>IFERROR(__xludf.DUMMYFUNCTION("GOOGLETRANSLATE(A16353, ""en"", ""mt"")"),"Għaliex miexi?")</f>
        <v>Għaliex miexi?</v>
      </c>
    </row>
    <row r="16354" ht="15.75" customHeight="1">
      <c r="A16354" s="2" t="s">
        <v>16354</v>
      </c>
      <c r="B16354" s="2" t="str">
        <f>IFERROR(__xludf.DUMMYFUNCTION("GOOGLETRANSLATE(A16354, ""en"", ""mt"")"),"Xi jfisser li tirrifjuta li tippriedka l-għaxar kmandamenti ma tagħmilx?")</f>
        <v>Xi jfisser li tirrifjuta li tippriedka l-għaxar kmandamenti ma tagħmilx?</v>
      </c>
    </row>
    <row r="16355" ht="15.75" customHeight="1">
      <c r="A16355" s="2" t="s">
        <v>16355</v>
      </c>
      <c r="B16355" s="2" t="str">
        <f>IFERROR(__xludf.DUMMYFUNCTION("GOOGLETRANSLATE(A16355, ""en"", ""mt"")"),"X'inhu d-dispensarju soġġett għal maġġoranza tal-pajjiżi?")</f>
        <v>X'inhu d-dispensarju soġġett għal maġġoranza tal-pajjiżi?</v>
      </c>
    </row>
    <row r="16356" ht="15.75" customHeight="1">
      <c r="A16356" s="2" t="s">
        <v>16356</v>
      </c>
      <c r="B16356" s="2" t="str">
        <f>IFERROR(__xludf.DUMMYFUNCTION("GOOGLETRANSLATE(A16356, ""en"", ""mt"")"),"Downtown Burbank huwa eżempju ta 'x'tip ta' distrett?")</f>
        <v>Downtown Burbank huwa eżempju ta 'x'tip ta' distrett?</v>
      </c>
    </row>
    <row r="16357" ht="15.75" customHeight="1">
      <c r="A16357" s="2" t="s">
        <v>16357</v>
      </c>
      <c r="B16357" s="2" t="str">
        <f>IFERROR(__xludf.DUMMYFUNCTION("GOOGLETRANSLATE(A16357, ""en"", ""mt"")"),"Skoċċiż, Galliku, jew kwalunkwe lingwa oħra bil-ftehim tal-uffiċjal li jippresiedi")</f>
        <v>Skoċċiż, Galliku, jew kwalunkwe lingwa oħra bil-ftehim tal-uffiċjal li jippresiedi</v>
      </c>
    </row>
    <row r="16358" ht="15.75" customHeight="1">
      <c r="A16358" s="2" t="s">
        <v>16358</v>
      </c>
      <c r="B16358" s="2" t="str">
        <f>IFERROR(__xludf.DUMMYFUNCTION("GOOGLETRANSLATE(A16358, ""en"", ""mt"")"),"Z")</f>
        <v>Z</v>
      </c>
    </row>
    <row r="16359" ht="15.75" customHeight="1">
      <c r="A16359" s="2" t="s">
        <v>16359</v>
      </c>
      <c r="B16359" s="2" t="str">
        <f>IFERROR(__xludf.DUMMYFUNCTION("GOOGLETRANSLATE(A16359, ""en"", ""mt"")"),"Dan ippermetta n-netwerks taż-żona lokali jiġu stabbiliti ad hoc mingħajr il-ħtieġa għal router ċentralizzat jew server")</f>
        <v>Dan ippermetta n-netwerks taż-żona lokali jiġu stabbiliti ad hoc mingħajr il-ħtieġa għal router ċentralizzat jew server</v>
      </c>
    </row>
    <row r="16360" ht="15.75" customHeight="1">
      <c r="A16360" s="2" t="s">
        <v>16360</v>
      </c>
      <c r="B16360" s="2" t="str">
        <f>IFERROR(__xludf.DUMMYFUNCTION("GOOGLETRANSLATE(A16360, ""en"", ""mt"")"),"Minbarra l-konsegwenzi negattivi taċ-ċaħda ta 'l-irqad, l-irqad u s-sistema ċirkadjana marbuta ma' xulxin intwerew li għandhom effetti regolatorji qawwija fuq funzjonijiet immunoloġiċi li jaffettwaw kemm l-immunità innata kif ukoll dawk adattivi. L-ewwel,"&amp;" matul l-istadju bikri tal-mewġ bil-mod, waqgħa f'daqqa fil-livelli tad-demm ta 'kortisol, epinefrina, u norepinefrina tikkawża żieda fil-livelli tad-demm tal-ormoni leptin, ormon tat-tkabbir pitwitarju, u prolactin. Dawn is-sinjali jinduċu stat pro-infja"&amp;"mmatorju permezz tal-produzzjoni taċ-ċitokini pro-infjammatorji interleukin-1, interleukin-12, TNF-alpha u IFN-gamma. Dawn iċ-ċitokini mbagħad jistimulaw funzjonijiet immuni bħall-attivazzjoni taċ-ċelloli immuni, il-proliferazzjoni, u d-differenzjazzjoni."&amp;" Huwa matul dan iż-żmien li ċelloli T mhux iddifferenzjati, jew inqas differenzjati, bħaċ-ċelloli T tal-memorja naïve u ċentrali (i.e. waqt żmien ta 'rispons immuni adattat li qed jevolvi bil-mod). Minbarra dawn l-effetti, l-ambjent ta 'ormoni prodotti f'"&amp;"dan il-ħin (leptin, ormon tat-tkabbir pitwitarju, u prolactin) jappoġġjaw l-interazzjonijiet bejn APCs u ċelloli T, bidla fil-bilanċ taċ-ċitokina Th1 / Th2 lejn wieħed li jappoġġja Th1, A Żieda fil-proliferazzjoni ġenerali taċ-ċelloli TH, u l-migrazzjoni "&amp;"taċ-ċelluli T naïve għal lymph nodes. Dan l-ambitu huwa maħsub ukoll li jappoġġja l-formazzjoni ta 'memorja immuni li ddum fit-tul permezz tal-bidu ta' risponsi immuni ta 'Th1.")</f>
        <v>Minbarra l-konsegwenzi negattivi taċ-ċaħda ta 'l-irqad, l-irqad u s-sistema ċirkadjana marbuta ma' xulxin intwerew li għandhom effetti regolatorji qawwija fuq funzjonijiet immunoloġiċi li jaffettwaw kemm l-immunità innata kif ukoll dawk adattivi. L-ewwel, matul l-istadju bikri tal-mewġ bil-mod, waqgħa f'daqqa fil-livelli tad-demm ta 'kortisol, epinefrina, u norepinefrina tikkawża żieda fil-livelli tad-demm tal-ormoni leptin, ormon tat-tkabbir pitwitarju, u prolactin. Dawn is-sinjali jinduċu stat pro-infjammatorju permezz tal-produzzjoni taċ-ċitokini pro-infjammatorji interleukin-1, interleukin-12, TNF-alpha u IFN-gamma. Dawn iċ-ċitokini mbagħad jistimulaw funzjonijiet immuni bħall-attivazzjoni taċ-ċelloli immuni, il-proliferazzjoni, u d-differenzjazzjoni. Huwa matul dan iż-żmien li ċelloli T mhux iddifferenzjati, jew inqas differenzjati, bħaċ-ċelloli T tal-memorja naïve u ċentrali (i.e. waqt żmien ta 'rispons immuni adattat li qed jevolvi bil-mod). Minbarra dawn l-effetti, l-ambjent ta 'ormoni prodotti f'dan il-ħin (leptin, ormon tat-tkabbir pitwitarju, u prolactin) jappoġġjaw l-interazzjonijiet bejn APCs u ċelloli T, bidla fil-bilanċ taċ-ċitokina Th1 / Th2 lejn wieħed li jappoġġja Th1, A Żieda fil-proliferazzjoni ġenerali taċ-ċelloli TH, u l-migrazzjoni taċ-ċelluli T naïve għal lymph nodes. Dan l-ambitu huwa maħsub ukoll li jappoġġja l-formazzjoni ta 'memorja immuni li ddum fit-tul permezz tal-bidu ta' risponsi immuni ta 'Th1.</v>
      </c>
    </row>
    <row r="16361" ht="15.75" customHeight="1">
      <c r="A16361" s="2" t="s">
        <v>16361</v>
      </c>
      <c r="B16361" s="2" t="str">
        <f>IFERROR(__xludf.DUMMYFUNCTION("GOOGLETRANSLATE(A16361, ""en"", ""mt"")"),"Liema logo kien użat għat-tielet tabib min hu l-istaġun li għadda?")</f>
        <v>Liema logo kien użat għat-tielet tabib min hu l-istaġun li għadda?</v>
      </c>
    </row>
    <row r="16362" ht="15.75" customHeight="1">
      <c r="A16362" s="2" t="s">
        <v>16362</v>
      </c>
      <c r="B16362" s="2" t="str">
        <f>IFERROR(__xludf.DUMMYFUNCTION("GOOGLETRANSLATE(A16362, ""en"", ""mt"")"),"aerospazjali")</f>
        <v>aerospazjali</v>
      </c>
    </row>
    <row r="16363" ht="15.75" customHeight="1">
      <c r="A16363" s="2" t="s">
        <v>16363</v>
      </c>
      <c r="B16363" s="2" t="str">
        <f>IFERROR(__xludf.DUMMYFUNCTION("GOOGLETRANSLATE(A16363, ""en"", ""mt"")"),"Meta tellgħu t-tribujiet Ġermaniċi fit-tramuntana u fit-tramuntana tal-Ewropa?")</f>
        <v>Meta tellgħu t-tribujiet Ġermaniċi fit-tramuntana u fit-tramuntana tal-Ewropa?</v>
      </c>
    </row>
    <row r="16364" ht="15.75" customHeight="1">
      <c r="A16364" s="2" t="s">
        <v>16364</v>
      </c>
      <c r="B16364" s="2" t="str">
        <f>IFERROR(__xludf.DUMMYFUNCTION("GOOGLETRANSLATE(A16364, ""en"", ""mt"")"),"kloroplast derivat mill-alka ħamra")</f>
        <v>kloroplast derivat mill-alka ħamra</v>
      </c>
    </row>
    <row r="16365" ht="15.75" customHeight="1">
      <c r="A16365" s="2" t="s">
        <v>16365</v>
      </c>
      <c r="B16365" s="2" t="str">
        <f>IFERROR(__xludf.DUMMYFUNCTION("GOOGLETRANSLATE(A16365, ""en"", ""mt"")"),"Ingliż, Matematika u Xjenza Naturali")</f>
        <v>Ingliż, Matematika u Xjenza Naturali</v>
      </c>
    </row>
    <row r="16366" ht="15.75" customHeight="1">
      <c r="A16366" s="2" t="s">
        <v>16366</v>
      </c>
      <c r="B16366" s="2" t="str">
        <f>IFERROR(__xludf.DUMMYFUNCTION("GOOGLETRANSLATE(A16366, ""en"", ""mt"")"),"Kemm kienu suldati f'kull tumen?")</f>
        <v>Kemm kienu suldati f'kull tumen?</v>
      </c>
    </row>
    <row r="16367" ht="15.75" customHeight="1">
      <c r="A16367" s="2" t="s">
        <v>16367</v>
      </c>
      <c r="B16367" s="2" t="str">
        <f>IFERROR(__xludf.DUMMYFUNCTION("GOOGLETRANSLATE(A16367, ""en"", ""mt"")"),"Lag Constance")</f>
        <v>Lag Constance</v>
      </c>
    </row>
    <row r="16368" ht="15.75" customHeight="1">
      <c r="A16368" s="2" t="s">
        <v>16368</v>
      </c>
      <c r="B16368" s="2" t="str">
        <f>IFERROR(__xludf.DUMMYFUNCTION("GOOGLETRANSLATE(A16368, ""en"", ""mt"")"),"Min kien id-Duka fil-Battalja ta 'Hastings?")</f>
        <v>Min kien id-Duka fil-Battalja ta 'Hastings?</v>
      </c>
    </row>
    <row r="16369" ht="15.75" customHeight="1">
      <c r="A16369" s="2" t="s">
        <v>16369</v>
      </c>
      <c r="B16369" s="2" t="str">
        <f>IFERROR(__xludf.DUMMYFUNCTION("GOOGLETRANSLATE(A16369, ""en"", ""mt"")"),"F'liema unità huwa d-daqs tal-input imkejjel?")</f>
        <v>F'liema unità huwa d-daqs tal-input imkejjel?</v>
      </c>
    </row>
    <row r="16370" ht="15.75" customHeight="1">
      <c r="A16370" s="2" t="s">
        <v>16370</v>
      </c>
      <c r="B16370" s="2" t="str">
        <f>IFERROR(__xludf.DUMMYFUNCTION("GOOGLETRANSLATE(A16370, ""en"", ""mt"")"),"Olanda, Prussja, u l-Afrika t'Isfel")</f>
        <v>Olanda, Prussja, u l-Afrika t'Isfel</v>
      </c>
    </row>
    <row r="16371" ht="15.75" customHeight="1">
      <c r="A16371" s="2" t="s">
        <v>16371</v>
      </c>
      <c r="B16371" s="2" t="str">
        <f>IFERROR(__xludf.DUMMYFUNCTION("GOOGLETRANSLATE(A16371, ""en"", ""mt"")"),"Ċertifikat tal-Edukazzjoni Sekondarja tal-Kenja")</f>
        <v>Ċertifikat tal-Edukazzjoni Sekondarja tal-Kenja</v>
      </c>
    </row>
    <row r="16372" ht="15.75" customHeight="1">
      <c r="A16372" s="2" t="s">
        <v>16372</v>
      </c>
      <c r="B16372" s="2" t="str">
        <f>IFERROR(__xludf.DUMMYFUNCTION("GOOGLETRANSLATE(A16372, ""en"", ""mt"")"),"Aktar minn 100%")</f>
        <v>Aktar minn 100%</v>
      </c>
    </row>
    <row r="16373" ht="15.75" customHeight="1">
      <c r="A16373" s="2" t="s">
        <v>16373</v>
      </c>
      <c r="B16373" s="2" t="str">
        <f>IFERROR(__xludf.DUMMYFUNCTION("GOOGLETRANSLATE(A16373, ""en"", ""mt"")"),"15 ta ’Ġunju 1899")</f>
        <v>15 ta ’Ġunju 1899</v>
      </c>
    </row>
    <row r="16374" ht="15.75" customHeight="1">
      <c r="A16374" s="2" t="s">
        <v>16374</v>
      </c>
      <c r="B16374" s="2" t="str">
        <f>IFERROR(__xludf.DUMMYFUNCTION("GOOGLETRANSLATE(A16374, ""en"", ""mt"")"),"X'tip ta 'test huwa l-Quran?")</f>
        <v>X'tip ta 'test huwa l-Quran?</v>
      </c>
    </row>
    <row r="16375" ht="15.75" customHeight="1">
      <c r="A16375" s="2" t="s">
        <v>16375</v>
      </c>
      <c r="B16375" s="2" t="str">
        <f>IFERROR(__xludf.DUMMYFUNCTION("GOOGLETRANSLATE(A16375, ""en"", ""mt"")"),"Unità politika taċ-Ċina u ħafna mill-Asja Ċentrali")</f>
        <v>Unità politika taċ-Ċina u ħafna mill-Asja Ċentrali</v>
      </c>
    </row>
    <row r="16376" ht="15.75" customHeight="1">
      <c r="A16376" s="2" t="s">
        <v>16376</v>
      </c>
      <c r="B16376" s="2" t="str">
        <f>IFERROR(__xludf.DUMMYFUNCTION("GOOGLETRANSLATE(A16376, ""en"", ""mt"")"),"X'inhu l-kejl tal-linji tal-ferrovija Vittorjana?")</f>
        <v>X'inhu l-kejl tal-linji tal-ferrovija Vittorjana?</v>
      </c>
    </row>
    <row r="16377" ht="15.75" customHeight="1">
      <c r="A16377" s="2" t="s">
        <v>16377</v>
      </c>
      <c r="B16377" s="2" t="str">
        <f>IFERROR(__xludf.DUMMYFUNCTION("GOOGLETRANSLATE(A16377, ""en"", ""mt"")"),"Meta r-rappreżentanti bdew jaħdmu fuq id-dettalji ifjen tal-ftehim?")</f>
        <v>Meta r-rappreżentanti bdew jaħdmu fuq id-dettalji ifjen tal-ftehim?</v>
      </c>
    </row>
    <row r="16378" ht="15.75" customHeight="1">
      <c r="A16378" s="2" t="s">
        <v>16378</v>
      </c>
      <c r="B16378" s="2" t="str">
        <f>IFERROR(__xludf.DUMMYFUNCTION("GOOGLETRANSLATE(A16378, ""en"", ""mt"")"),"Budapest")</f>
        <v>Budapest</v>
      </c>
    </row>
    <row r="16379" ht="15.75" customHeight="1">
      <c r="A16379" s="2" t="s">
        <v>16379</v>
      </c>
      <c r="B16379" s="2" t="str">
        <f>IFERROR(__xludf.DUMMYFUNCTION("GOOGLETRANSLATE(A16379, ""en"", ""mt"")"),"butir tal-kawkaw")</f>
        <v>butir tal-kawkaw</v>
      </c>
    </row>
    <row r="16380" ht="15.75" customHeight="1">
      <c r="A16380" s="2" t="s">
        <v>16380</v>
      </c>
      <c r="B16380" s="2" t="str">
        <f>IFERROR(__xludf.DUMMYFUNCTION("GOOGLETRANSLATE(A16380, ""en"", ""mt"")"),"Madwar 1,000")</f>
        <v>Madwar 1,000</v>
      </c>
    </row>
    <row r="16381" ht="15.75" customHeight="1">
      <c r="A16381" s="2" t="s">
        <v>16381</v>
      </c>
      <c r="B16381" s="2" t="str">
        <f>IFERROR(__xludf.DUMMYFUNCTION("GOOGLETRANSLATE(A16381, ""en"", ""mt"")"),"Kemm trattati oriġinali jistabbilixxu d-drittijiet fundamentali protetti mill-UE?")</f>
        <v>Kemm trattati oriġinali jistabbilixxu d-drittijiet fundamentali protetti mill-UE?</v>
      </c>
    </row>
    <row r="16382" ht="15.75" customHeight="1">
      <c r="A16382" s="2" t="s">
        <v>16382</v>
      </c>
      <c r="B16382" s="2" t="str">
        <f>IFERROR(__xludf.DUMMYFUNCTION("GOOGLETRANSLATE(A16382, ""en"", ""mt"")"),"540,800")</f>
        <v>540,800</v>
      </c>
    </row>
    <row r="16383" ht="15.75" customHeight="1">
      <c r="A16383" s="2" t="s">
        <v>16383</v>
      </c>
      <c r="B16383" s="2" t="str">
        <f>IFERROR(__xludf.DUMMYFUNCTION("GOOGLETRANSLATE(A16383, ""en"", ""mt"")"),"Riżultati ottimali tas-saħħa")</f>
        <v>Riżultati ottimali tas-saħħa</v>
      </c>
    </row>
    <row r="16384" ht="15.75" customHeight="1">
      <c r="A16384" s="2" t="s">
        <v>16384</v>
      </c>
      <c r="B16384" s="2" t="str">
        <f>IFERROR(__xludf.DUMMYFUNCTION("GOOGLETRANSLATE(A16384, ""en"", ""mt"")"),"F'liema xahar u sena kien il-manwal ta 'regolamenti rivedut għall-iskejjel privati ​​rilaxxati?")</f>
        <v>F'liema xahar u sena kien il-manwal ta 'regolamenti rivedut għall-iskejjel privati ​​rilaxxati?</v>
      </c>
    </row>
    <row r="16385" ht="15.75" customHeight="1">
      <c r="A16385" s="2" t="s">
        <v>16385</v>
      </c>
      <c r="B16385" s="2" t="str">
        <f>IFERROR(__xludf.DUMMYFUNCTION("GOOGLETRANSLATE(A16385, ""en"", ""mt"")"),"Xi jfisser kull pakkett inkluż fil-modalità mingħajr konnessjoni")</f>
        <v>Xi jfisser kull pakkett inkluż fil-modalità mingħajr konnessjoni</v>
      </c>
    </row>
    <row r="16386" ht="15.75" customHeight="1">
      <c r="A16386" s="2" t="s">
        <v>16386</v>
      </c>
      <c r="B16386" s="2" t="str">
        <f>IFERROR(__xludf.DUMMYFUNCTION("GOOGLETRANSLATE(A16386, ""en"", ""mt"")"),"Liema foresta hija mill-fruntiera tan-Nofsinhar ta 'Varsavja?")</f>
        <v>Liema foresta hija mill-fruntiera tan-Nofsinhar ta 'Varsavja?</v>
      </c>
    </row>
    <row r="16387" ht="15.75" customHeight="1">
      <c r="A16387" s="2" t="s">
        <v>16387</v>
      </c>
      <c r="B16387" s="2" t="str">
        <f>IFERROR(__xludf.DUMMYFUNCTION("GOOGLETRANSLATE(A16387, ""en"", ""mt"")"),"Li jvarjaw minn madwar 1 millimetru (0.039 in) sa 1.5 metri (4.9 ft) fid-daqs, ctenophores huma l-akbar annimali mhux kolonjali li jużaw cilia (""xagħar"") bħala l-metodu ewlieni tagħhom ta 'lokomozzjoni. Il-biċċa l-kbira tal-ispeċi għandhom tmien strixxi"&amp;", imsejħa ringieli tal-moxt, li jmexxu t-tul ta 'ġisimhom u l-istrixxi tal-moxt li jġorru ċ-ċili, imsejħa ""ctenes,"" f'munzelli tul ir-ringieli tal-moxt sabiex meta t-taħbit taċ-ċili, dawk ta' kull moxt imiss il-moxt hawn taħt. L-isem ""Ctenophora"" tfis"&amp;"ser ""li jġorr il-moxt"", mill-Grieg κτείς (forma ta 'zokk κτεν-) li jfisser ""moxt"" u s-suffiss Grieg -φορος li jfisser ""li jġorr"".")</f>
        <v>Li jvarjaw minn madwar 1 millimetru (0.039 in) sa 1.5 metri (4.9 ft) fid-daqs, ctenophores huma l-akbar annimali mhux kolonjali li jużaw cilia ("xagħar") bħala l-metodu ewlieni tagħhom ta 'lokomozzjoni. Il-biċċa l-kbira tal-ispeċi għandhom tmien strixxi, imsejħa ringieli tal-moxt, li jmexxu t-tul ta 'ġisimhom u l-istrixxi tal-moxt li jġorru ċ-ċili, imsejħa "ctenes," f'munzelli tul ir-ringieli tal-moxt sabiex meta t-taħbit taċ-ċili, dawk ta' kull moxt imiss il-moxt hawn taħt. L-isem "Ctenophora" tfisser "li jġorr il-moxt", mill-Grieg κτείς (forma ta 'zokk κτεν-) li jfisser "moxt" u s-suffiss Grieg -φορος li jfisser "li jġorr".</v>
      </c>
    </row>
    <row r="16388" ht="15.75" customHeight="1">
      <c r="A16388" s="2" t="s">
        <v>16388</v>
      </c>
      <c r="B16388" s="2" t="str">
        <f>IFERROR(__xludf.DUMMYFUNCTION("GOOGLETRANSLATE(A16388, ""en"", ""mt"")"),"Kul! Newcastlegateshead")</f>
        <v>Kul! Newcastlegateshead</v>
      </c>
    </row>
    <row r="16389" ht="15.75" customHeight="1">
      <c r="A16389" s="2" t="s">
        <v>16389</v>
      </c>
      <c r="B16389" s="2" t="str">
        <f>IFERROR(__xludf.DUMMYFUNCTION("GOOGLETRANSLATE(A16389, ""en"", ""mt"")"),"Liema forma ta 'ossiġnu l-annimali tal-baħar jakkwistaw f'ammonti akbar waqt kundizzjonijiet klimatiċi aktar friski?")</f>
        <v>Liema forma ta 'ossiġnu l-annimali tal-baħar jakkwistaw f'ammonti akbar waqt kundizzjonijiet klimatiċi aktar friski?</v>
      </c>
    </row>
    <row r="16390" ht="15.75" customHeight="1">
      <c r="A16390" s="2" t="s">
        <v>16390</v>
      </c>
      <c r="B16390" s="2" t="str">
        <f>IFERROR(__xludf.DUMMYFUNCTION("GOOGLETRANSLATE(A16390, ""en"", ""mt"")"),"Liema rewwixta bdiet fl-1351?")</f>
        <v>Liema rewwixta bdiet fl-1351?</v>
      </c>
    </row>
    <row r="16391" ht="15.75" customHeight="1">
      <c r="A16391" s="2" t="s">
        <v>16391</v>
      </c>
      <c r="B16391" s="2" t="str">
        <f>IFERROR(__xludf.DUMMYFUNCTION("GOOGLETRANSLATE(A16391, ""en"", ""mt"")"),"Msp")</f>
        <v>Msp</v>
      </c>
    </row>
    <row r="16392" ht="15.75" customHeight="1">
      <c r="A16392" s="2" t="s">
        <v>16392</v>
      </c>
      <c r="B16392" s="2" t="str">
        <f>IFERROR(__xludf.DUMMYFUNCTION("GOOGLETRANSLATE(A16392, ""en"", ""mt"")"),"Grad ta 'Baċellerat Post-Sekondarju")</f>
        <v>Grad ta 'Baċellerat Post-Sekondarju</v>
      </c>
    </row>
    <row r="16393" ht="15.75" customHeight="1">
      <c r="A16393" s="2" t="s">
        <v>16393</v>
      </c>
      <c r="B16393" s="2" t="str">
        <f>IFERROR(__xludf.DUMMYFUNCTION("GOOGLETRANSLATE(A16393, ""en"", ""mt"")"),"Fl-2010 stħarriġ dwar is-salarji żvela d-differenzi fir-rimunerazzjoni bejn rwoli, setturi u postijiet differenti fl-industrija tal-kostruzzjoni u l-ambjent mibnija. Ir-riżultati wrew li żoni ta 'tkabbir partikolarment qawwi fl-industrija tal-kostruzzjoni"&amp;", bħall-Lvant Nofsani, jagħtu salarji medji ogħla milli fir-Renju Unit per eżempju. Il-qligħ medju għal professjonist fl-industrija tal-kostruzzjoni fil-Lvant Nofsani, fis-setturi kollha, tipi ta 'impjiegi u livelli ta' esperjenza, huwa ta '£ 42,090, meta"&amp;" mqabbel ma' £ 26,719 fir-Renju Unit. Din ix-xejra mhix neċessarjament dovuta għall-fatt li huma disponibbli rwoli aktar sinjuri, peress li periti b'14-il sena jew aktar esperjenza li jaħdmu fil-Lvant Nofsani jaqilgħu medja ta '£ 43,389 fis-sena, meta mqa"&amp;"bbla ma' £ 40,000 fir-Renju Unit. Xi ħaddiema tal-kostruzzjoni fl-Istati Uniti / Kanada għamlu aktar minn $ 100,000 kull sena, skont il-kummerċ tagħhom.")</f>
        <v>Fl-2010 stħarriġ dwar is-salarji żvela d-differenzi fir-rimunerazzjoni bejn rwoli, setturi u postijiet differenti fl-industrija tal-kostruzzjoni u l-ambjent mibnija. Ir-riżultati wrew li żoni ta 'tkabbir partikolarment qawwi fl-industrija tal-kostruzzjoni, bħall-Lvant Nofsani, jagħtu salarji medji ogħla milli fir-Renju Unit per eżempju. Il-qligħ medju għal professjonist fl-industrija tal-kostruzzjoni fil-Lvant Nofsani, fis-setturi kollha, tipi ta 'impjiegi u livelli ta' esperjenza, huwa ta '£ 42,090, meta mqabbel ma' £ 26,719 fir-Renju Unit. Din ix-xejra mhix neċessarjament dovuta għall-fatt li huma disponibbli rwoli aktar sinjuri, peress li periti b'14-il sena jew aktar esperjenza li jaħdmu fil-Lvant Nofsani jaqilgħu medja ta '£ 43,389 fis-sena, meta mqabbla ma' £ 40,000 fir-Renju Unit. Xi ħaddiema tal-kostruzzjoni fl-Istati Uniti / Kanada għamlu aktar minn $ 100,000 kull sena, skont il-kummerċ tagħhom.</v>
      </c>
    </row>
    <row r="16394" ht="15.75" customHeight="1">
      <c r="A16394" s="2" t="s">
        <v>16394</v>
      </c>
      <c r="B16394" s="2" t="str">
        <f>IFERROR(__xludf.DUMMYFUNCTION("GOOGLETRANSLATE(A16394, ""en"", ""mt"")"),"Kif jissejjaħ il-programm Super Bowl li jagħti lill-kumpaniji lokali opportunitajiet ta ’negozju għas-Super Bowl?")</f>
        <v>Kif jissejjaħ il-programm Super Bowl li jagħti lill-kumpaniji lokali opportunitajiet ta ’negozju għas-Super Bowl?</v>
      </c>
    </row>
    <row r="16395" ht="15.75" customHeight="1">
      <c r="A16395" s="2" t="s">
        <v>16395</v>
      </c>
      <c r="B16395" s="2" t="str">
        <f>IFERROR(__xludf.DUMMYFUNCTION("GOOGLETRANSLATE(A16395, ""en"", ""mt"")"),"32,583")</f>
        <v>32,583</v>
      </c>
    </row>
    <row r="16396" ht="15.75" customHeight="1">
      <c r="A16396" s="2" t="s">
        <v>16396</v>
      </c>
      <c r="B16396" s="2" t="str">
        <f>IFERROR(__xludf.DUMMYFUNCTION("GOOGLETRANSLATE(A16396, ""en"", ""mt"")"),"Meta l-Qorti tal-Ġustizzja ddeċidiet li l-Kummissjoni setgħet tipproponi biss li jrid ikun hemm xi sanzjonijiet kriminali?")</f>
        <v>Meta l-Qorti tal-Ġustizzja ddeċidiet li l-Kummissjoni setgħet tipproponi biss li jrid ikun hemm xi sanzjonijiet kriminali?</v>
      </c>
    </row>
    <row r="16397" ht="15.75" customHeight="1">
      <c r="A16397" s="2" t="s">
        <v>16397</v>
      </c>
      <c r="B16397" s="2" t="str">
        <f>IFERROR(__xludf.DUMMYFUNCTION("GOOGLETRANSLATE(A16397, ""en"", ""mt"")"),"Il-Kurunell Monckton, fl-uniku suċċess Ingliż ta ’dik is-sena, qabad lil Fort Beauséjour f’Ġunju 1755, billi qata’ l-fortizza Franċiża fi Louisbourg barra minn rinforzi bbażati fuq l-art. Biex tnaqqas il-provvisti vitali lil Louisbourg, il-gvernatur tan-N"&amp;"ova Scotia Charles Lawrence ordna d-deportazzjoni tal-popolazzjoni Akkadjana li titkellem bil-Franċiż miż-żona. Il-forzi ta 'Monckton, inklużi kumpaniji ta' Rogers 'Rangers, neħħew bil-forza eluf ta' Akkadjani, jiġru wara ħafna li rreżistew, u xi kultant "&amp;"wettqu atroċitajiet. Aktar minn kwalunkwe fattur ieħor, il-qtugħ tal-provvisti lil Louisbourg wassal għall-mewt tiegħu. Ir-reżistenza Akkadjana, f'kunċert ma 'alleati indiġeni, inkluż il-Mi'kmaq, xi kultant kienet pjuttost iebsa, b'attakki tal-fruntiera k"&amp;"ontinwi (kontra Dartmouth u Lunenburg fost oħrajn). Minbarra l-kampanji biex jitkeċċew lill-Akkadjani (li jvarjaw madwar il-Bajja ta 'Fundy, fuq ix-Xmajjar Petitcodiac u San Ġwann, u l-Île Saint-Jean), l-uniċi ġlied ta' kull daqs kienu f'Petitodiac fl-175"&amp;"5 u fi Bloody Creek qrib Annapolis Royal fl-1757.")</f>
        <v>Il-Kurunell Monckton, fl-uniku suċċess Ingliż ta ’dik is-sena, qabad lil Fort Beauséjour f’Ġunju 1755, billi qata’ l-fortizza Franċiża fi Louisbourg barra minn rinforzi bbażati fuq l-art. Biex tnaqqas il-provvisti vitali lil Louisbourg, il-gvernatur tan-Nova Scotia Charles Lawrence ordna d-deportazzjoni tal-popolazzjoni Akkadjana li titkellem bil-Franċiż miż-żona. Il-forzi ta 'Monckton, inklużi kumpaniji ta' Rogers 'Rangers, neħħew bil-forza eluf ta' Akkadjani, jiġru wara ħafna li rreżistew, u xi kultant wettqu atroċitajiet. Aktar minn kwalunkwe fattur ieħor, il-qtugħ tal-provvisti lil Louisbourg wassal għall-mewt tiegħu. Ir-reżistenza Akkadjana, f'kunċert ma 'alleati indiġeni, inkluż il-Mi'kmaq, xi kultant kienet pjuttost iebsa, b'attakki tal-fruntiera kontinwi (kontra Dartmouth u Lunenburg fost oħrajn). Minbarra l-kampanji biex jitkeċċew lill-Akkadjani (li jvarjaw madwar il-Bajja ta 'Fundy, fuq ix-Xmajjar Petitcodiac u San Ġwann, u l-Île Saint-Jean), l-uniċi ġlied ta' kull daqs kienu f'Petitodiac fl-1755 u fi Bloody Creek qrib Annapolis Royal fl-1757.</v>
      </c>
    </row>
    <row r="16398" ht="15.75" customHeight="1">
      <c r="A16398" s="2" t="s">
        <v>16398</v>
      </c>
      <c r="B16398" s="2" t="str">
        <f>IFERROR(__xludf.DUMMYFUNCTION("GOOGLETRANSLATE(A16398, ""en"", ""mt"")"),"L-istudju tal-pożizzjonijiet tal-unitajiet tal-blat u d-deformazzjoni tagħhom")</f>
        <v>L-istudju tal-pożizzjonijiet tal-unitajiet tal-blat u d-deformazzjoni tagħhom</v>
      </c>
    </row>
    <row r="16399" ht="15.75" customHeight="1">
      <c r="A16399" s="2" t="s">
        <v>16399</v>
      </c>
      <c r="B16399" s="2" t="str">
        <f>IFERROR(__xludf.DUMMYFUNCTION("GOOGLETRANSLATE(A16399, ""en"", ""mt"")"),"Liema titlu nominali kellhom l-imperaturi Yuan?")</f>
        <v>Liema titlu nominali kellhom l-imperaturi Yuan?</v>
      </c>
    </row>
    <row r="16400" ht="15.75" customHeight="1">
      <c r="A16400" s="2" t="s">
        <v>16400</v>
      </c>
      <c r="B16400" s="2" t="str">
        <f>IFERROR(__xludf.DUMMYFUNCTION("GOOGLETRANSLATE(A16400, ""en"", ""mt"")"),"X'tip ta 'kejl jiddefinixxu l-aċċellerazzjonijiet?")</f>
        <v>X'tip ta 'kejl jiddefinixxu l-aċċellerazzjonijiet?</v>
      </c>
    </row>
    <row r="16401" ht="15.75" customHeight="1">
      <c r="A16401" s="2" t="s">
        <v>16401</v>
      </c>
      <c r="B16401" s="2" t="str">
        <f>IFERROR(__xludf.DUMMYFUNCTION("GOOGLETRANSLATE(A16401, ""en"", ""mt"")"),"Gotiku bikri")</f>
        <v>Gotiku bikri</v>
      </c>
    </row>
    <row r="16402" ht="15.75" customHeight="1">
      <c r="A16402" s="2" t="s">
        <v>16402</v>
      </c>
      <c r="B16402" s="2" t="str">
        <f>IFERROR(__xludf.DUMMYFUNCTION("GOOGLETRANSLATE(A16402, ""en"", ""mt"")"),"sa tliet kwarti tal-popolazzjoni")</f>
        <v>sa tliet kwarti tal-popolazzjoni</v>
      </c>
    </row>
    <row r="16403" ht="15.75" customHeight="1">
      <c r="A16403" s="2" t="s">
        <v>16403</v>
      </c>
      <c r="B16403" s="2" t="str">
        <f>IFERROR(__xludf.DUMMYFUNCTION("GOOGLETRANSLATE(A16403, ""en"", ""mt"")"),"aktar minn 1,000")</f>
        <v>aktar minn 1,000</v>
      </c>
    </row>
    <row r="16404" ht="15.75" customHeight="1">
      <c r="A16404" s="2" t="s">
        <v>16404</v>
      </c>
      <c r="B16404" s="2" t="str">
        <f>IFERROR(__xludf.DUMMYFUNCTION("GOOGLETRANSLATE(A16404, ""en"", ""mt"")"),"Pearl Mackie bħala Bill")</f>
        <v>Pearl Mackie bħala Bill</v>
      </c>
    </row>
    <row r="16405" ht="15.75" customHeight="1">
      <c r="A16405" s="2" t="s">
        <v>16405</v>
      </c>
      <c r="B16405" s="2" t="str">
        <f>IFERROR(__xludf.DUMMYFUNCTION("GOOGLETRANSLATE(A16405, ""en"", ""mt"")"),"8 ta 'Settembru, 2007")</f>
        <v>8 ta 'Settembru, 2007</v>
      </c>
    </row>
    <row r="16406" ht="15.75" customHeight="1">
      <c r="A16406" s="2" t="s">
        <v>16406</v>
      </c>
      <c r="B16406" s="2" t="str">
        <f>IFERROR(__xludf.DUMMYFUNCTION("GOOGLETRANSLATE(A16406, ""en"", ""mt"")"),"F'Settembru 1971")</f>
        <v>F'Settembru 1971</v>
      </c>
    </row>
    <row r="16407" ht="15.75" customHeight="1">
      <c r="A16407" s="2" t="s">
        <v>16407</v>
      </c>
      <c r="B16407" s="2" t="str">
        <f>IFERROR(__xludf.DUMMYFUNCTION("GOOGLETRANSLATE(A16407, ""en"", ""mt"")"),"riċettur alternattiv taċ-ċelloli T (TCR)")</f>
        <v>riċettur alternattiv taċ-ċelloli T (TCR)</v>
      </c>
    </row>
    <row r="16408" ht="15.75" customHeight="1">
      <c r="A16408" s="2" t="s">
        <v>16408</v>
      </c>
      <c r="B16408" s="2" t="str">
        <f>IFERROR(__xludf.DUMMYFUNCTION("GOOGLETRANSLATE(A16408, ""en"", ""mt"")"),"żewġ punti")</f>
        <v>żewġ punti</v>
      </c>
    </row>
    <row r="16409" ht="15.75" customHeight="1">
      <c r="A16409" s="2" t="s">
        <v>16409</v>
      </c>
      <c r="B16409" s="2" t="str">
        <f>IFERROR(__xludf.DUMMYFUNCTION("GOOGLETRANSLATE(A16409, ""en"", ""mt"")"),"Liġi ta 'Avogadro")</f>
        <v>Liġi ta 'Avogadro</v>
      </c>
    </row>
    <row r="16410" ht="15.75" customHeight="1">
      <c r="A16410" s="2" t="s">
        <v>16410</v>
      </c>
      <c r="B16410" s="2" t="str">
        <f>IFERROR(__xludf.DUMMYFUNCTION("GOOGLETRANSLATE(A16410, ""en"", ""mt"")"),"X'inhi l-popolazzjoni tat-tieni l-akbar belt f'Kalifornja?")</f>
        <v>X'inhi l-popolazzjoni tat-tieni l-akbar belt f'Kalifornja?</v>
      </c>
    </row>
    <row r="16411" ht="15.75" customHeight="1">
      <c r="A16411" s="2" t="s">
        <v>16411</v>
      </c>
      <c r="B16411" s="2" t="str">
        <f>IFERROR(__xludf.DUMMYFUNCTION("GOOGLETRANSLATE(A16411, ""en"", ""mt"")"),"Mużew tat-Teatru")</f>
        <v>Mużew tat-Teatru</v>
      </c>
    </row>
    <row r="16412" ht="15.75" customHeight="1">
      <c r="A16412" s="2" t="s">
        <v>16412</v>
      </c>
      <c r="B16412" s="2" t="str">
        <f>IFERROR(__xludf.DUMMYFUNCTION("GOOGLETRANSLATE(A16412, ""en"", ""mt"")"),"Luther kiteb ""Ach Gott, Vom Himmel Sieh Darein"" (""Oh Alla, ħares 'l isfel mill-Ġenna""). ""Nun Komm, der Heiden Heiland"" (issa ġej, Salvatur tal-Ġentili), ibbażat fuq Veni Redemptor Gentium, sar l-innu ewlieni (Hauptlied) għall-Avvent. Huwa ttrasforma"&amp;" solus Ortus Cardine għal ""Christum Wir Sollen Loben Schon"" (""Issa għandna nfaħħru lil Kristu"") u l-kreatur Veni Spiritus għal ""Komm, Gott Schöpfer, Heiliger Geist"" (""Ejja, l-Ispirtu s-Santu, Lord Alla""). Huwa kiteb żewġ innijiet fuq l-Għaxar Kman"&amp;"damenti, ""Dies Sind Die Heilgen Zehn Gebot"" u ""Mensch, Willst du Leben Seliglich"". ""Gelobet Seist Du tiegħu, Jesu Christ"" (""Tifħir lilek, Ġesù Kristu"") sar l-innu ewlieni għall-Milied. Huwa kiteb għal Pentekoste ""Nun Bitten Witt Den Heiligen Geis"&amp;"t"", u adottat għall-Għid ""Kristu Ist Endenen"" (Kristu huwa Rxoxt), ibbażat fuq Victimae Paschali jfaħħar. ""Mit Fried und Freud ich Fahr Dahin"", parafrażi ta 'Nunc dimittis, kienet maħsuba għall-purifikazzjoni, iżda saret ukoll innu funerali. Huwa par"&amp;"aphrased it-Te Deum bħala ""Herr Gott, Dich Loben Wir"" b'forma simplifikata tal-melodija. Sar magħruf bħala l-Ġermaniż Te Deum.")</f>
        <v>Luther kiteb "Ach Gott, Vom Himmel Sieh Darein" ("Oh Alla, ħares 'l isfel mill-Ġenna"). "Nun Komm, der Heiden Heiland" (issa ġej, Salvatur tal-Ġentili), ibbażat fuq Veni Redemptor Gentium, sar l-innu ewlieni (Hauptlied) għall-Avvent. Huwa ttrasforma solus Ortus Cardine għal "Christum Wir Sollen Loben Schon" ("Issa għandna nfaħħru lil Kristu") u l-kreatur Veni Spiritus għal "Komm, Gott Schöpfer, Heiliger Geist" ("Ejja, l-Ispirtu s-Santu, Lord Alla"). Huwa kiteb żewġ innijiet fuq l-Għaxar Kmandamenti, "Dies Sind Die Heilgen Zehn Gebot" u "Mensch, Willst du Leben Seliglich". "Gelobet Seist Du tiegħu, Jesu Christ" ("Tifħir lilek, Ġesù Kristu") sar l-innu ewlieni għall-Milied. Huwa kiteb għal Pentekoste "Nun Bitten Witt Den Heiligen Geist", u adottat għall-Għid "Kristu Ist Endenen" (Kristu huwa Rxoxt), ibbażat fuq Victimae Paschali jfaħħar. "Mit Fried und Freud ich Fahr Dahin", parafrażi ta 'Nunc dimittis, kienet maħsuba għall-purifikazzjoni, iżda saret ukoll innu funerali. Huwa paraphrased it-Te Deum bħala "Herr Gott, Dich Loben Wir" b'forma simplifikata tal-melodija. Sar magħruf bħala l-Ġermaniż Te Deum.</v>
      </c>
    </row>
    <row r="16413" ht="15.75" customHeight="1">
      <c r="A16413" s="2" t="s">
        <v>16413</v>
      </c>
      <c r="B16413" s="2" t="str">
        <f>IFERROR(__xludf.DUMMYFUNCTION("GOOGLETRANSLATE(A16413, ""en"", ""mt"")"),"Radju Korporazzjoni tal-Amerika (RCA)")</f>
        <v>Radju Korporazzjoni tal-Amerika (RCA)</v>
      </c>
    </row>
    <row r="16414" ht="15.75" customHeight="1">
      <c r="A16414" s="2" t="s">
        <v>16414</v>
      </c>
      <c r="B16414" s="2" t="str">
        <f>IFERROR(__xludf.DUMMYFUNCTION("GOOGLETRANSLATE(A16414, ""en"", ""mt"")"),"Perjodu ta 'migrazzjoni")</f>
        <v>Perjodu ta 'migrazzjoni</v>
      </c>
    </row>
    <row r="16415" ht="15.75" customHeight="1">
      <c r="A16415" s="2" t="s">
        <v>16415</v>
      </c>
      <c r="B16415" s="2" t="str">
        <f>IFERROR(__xludf.DUMMYFUNCTION("GOOGLETRANSLATE(A16415, ""en"", ""mt"")"),"Għal xiex jistgħu jiżdiedu l-ħlasijiet biex tattendi skola ta 'l-imbark Irlandiż?")</f>
        <v>Għal xiex jistgħu jiżdiedu l-ħlasijiet biex tattendi skola ta 'l-imbark Irlandiż?</v>
      </c>
    </row>
    <row r="16416" ht="15.75" customHeight="1">
      <c r="A16416" s="2" t="s">
        <v>16416</v>
      </c>
      <c r="B16416" s="2" t="str">
        <f>IFERROR(__xludf.DUMMYFUNCTION("GOOGLETRANSLATE(A16416, ""en"", ""mt"")"),"Super Bowl tad-deheb")</f>
        <v>Super Bowl tad-deheb</v>
      </c>
    </row>
    <row r="16417" ht="15.75" customHeight="1">
      <c r="A16417" s="2" t="s">
        <v>16417</v>
      </c>
      <c r="B16417" s="2" t="str">
        <f>IFERROR(__xludf.DUMMYFUNCTION("GOOGLETRANSLATE(A16417, ""en"", ""mt"")"),"Richard i")</f>
        <v>Richard i</v>
      </c>
    </row>
    <row r="16418" ht="15.75" customHeight="1">
      <c r="A16418" s="2" t="s">
        <v>16418</v>
      </c>
      <c r="B16418" s="2" t="str">
        <f>IFERROR(__xludf.DUMMYFUNCTION("GOOGLETRANSLATE(A16418, ""en"", ""mt"")"),"X’għamel lil Luther saħansitra aktar qasir ittemprat mis-soltu?")</f>
        <v>X’għamel lil Luther saħansitra aktar qasir ittemprat mis-soltu?</v>
      </c>
    </row>
    <row r="16419" ht="15.75" customHeight="1">
      <c r="A16419" s="2" t="s">
        <v>16419</v>
      </c>
      <c r="B16419" s="2" t="str">
        <f>IFERROR(__xludf.DUMMYFUNCTION("GOOGLETRANSLATE(A16419, ""en"", ""mt"")"),"Xi jfisser id-domanda għat-trasport u l-ħażna għas-sigurtà fit-trattament tal-ossiġnu?")</f>
        <v>Xi jfisser id-domanda għat-trasport u l-ħażna għas-sigurtà fit-trattament tal-ossiġnu?</v>
      </c>
    </row>
    <row r="16420" ht="15.75" customHeight="1">
      <c r="A16420" s="2" t="s">
        <v>16420</v>
      </c>
      <c r="B16420" s="2" t="str">
        <f>IFERROR(__xludf.DUMMYFUNCTION("GOOGLETRANSLATE(A16420, ""en"", ""mt"")"),"Qabel il-formazzjoni ta 'liema pjaneta, Sol tilef l-ossiġnu 16?")</f>
        <v>Qabel il-formazzjoni ta 'liema pjaneta, Sol tilef l-ossiġnu 16?</v>
      </c>
    </row>
    <row r="16421" ht="15.75" customHeight="1">
      <c r="A16421" s="2" t="s">
        <v>16421</v>
      </c>
      <c r="B16421" s="2" t="str">
        <f>IFERROR(__xludf.DUMMYFUNCTION("GOOGLETRANSLATE(A16421, ""en"", ""mt"")"),"Wara li tiskopri l-istress f'ċellula")</f>
        <v>Wara li tiskopri l-istress f'ċellula</v>
      </c>
    </row>
    <row r="16422" ht="15.75" customHeight="1">
      <c r="A16422" s="2" t="s">
        <v>16422</v>
      </c>
      <c r="B16422" s="2" t="str">
        <f>IFERROR(__xludf.DUMMYFUNCTION("GOOGLETRANSLATE(A16422, ""en"", ""mt"")"),"Normans daħal fl-Iskozja, jibni kastelli u waqqaf familji nobbli li jipprovdu xi rejiet futuri, bħal Robert the Bruce, kif ukoll waqqfu numru konsiderevoli tal-gruppi Skoċċiżi. Ir-Re David I tal-Iskozja, li ħuh il-kbir Alexander kelli miżżewweġ lil Sybill"&amp;"a tan-Normandija, kien strumentali fl-introduzzjoni ta ’Normans u l-kultura Norman lejn l-Iskozja, parti mill-proċess li xi studjużi jsejħu r-“ rivoluzzjoni Davidian ”. Wara li qatta 'ħin fil-qorti ta' Henry I ta 'l-Ingilterra (miżżewweġ ma' oħt David Mau"&amp;"d ta 'l-Iskozja), u kellu bżonnhom jissieltu r-renju mill-nofs ħuh Máel Coluim Mac Alaxandair, David kellu jippremja ħafna bl-artijiet. Il-proċess kompla taħt is-suċċessuri ta 'David, l-iktar intens ta' taħt William the Lion. Is-sistema feudali derivata m"&amp;"inn Norman ġiet applikata fi gradi differenti għal ħafna mill-Iskozja. Familji Skoċċiżi ta 'l-ismijiet Bruce, Gray, Ramsay, Fraser, Ogilvie, Montgomery, Sinclair, Pollock, Burnard, Douglas u Gordon biex insemmu ftit, u inklużi d-dar rjali aktar tard ta' S"&amp;"tewart, kollha jistgħu jiġu rintraċċati lura għall-antenati Norman.")</f>
        <v>Normans daħal fl-Iskozja, jibni kastelli u waqqaf familji nobbli li jipprovdu xi rejiet futuri, bħal Robert the Bruce, kif ukoll waqqfu numru konsiderevoli tal-gruppi Skoċċiżi. Ir-Re David I tal-Iskozja, li ħuh il-kbir Alexander kelli miżżewweġ lil Sybilla tan-Normandija, kien strumentali fl-introduzzjoni ta ’Normans u l-kultura Norman lejn l-Iskozja, parti mill-proċess li xi studjużi jsejħu r-“ rivoluzzjoni Davidian ”. Wara li qatta 'ħin fil-qorti ta' Henry I ta 'l-Ingilterra (miżżewweġ ma' oħt David Maud ta 'l-Iskozja), u kellu bżonnhom jissieltu r-renju mill-nofs ħuh Máel Coluim Mac Alaxandair, David kellu jippremja ħafna bl-artijiet. Il-proċess kompla taħt is-suċċessuri ta 'David, l-iktar intens ta' taħt William the Lion. Is-sistema feudali derivata minn Norman ġiet applikata fi gradi differenti għal ħafna mill-Iskozja. Familji Skoċċiżi ta 'l-ismijiet Bruce, Gray, Ramsay, Fraser, Ogilvie, Montgomery, Sinclair, Pollock, Burnard, Douglas u Gordon biex insemmu ftit, u inklużi d-dar rjali aktar tard ta' Stewart, kollha jistgħu jiġu rintraċċati lura għall-antenati Norman.</v>
      </c>
    </row>
    <row r="16423" ht="15.75" customHeight="1">
      <c r="A16423" s="2" t="s">
        <v>16423</v>
      </c>
      <c r="B16423" s="2" t="str">
        <f>IFERROR(__xludf.DUMMYFUNCTION("GOOGLETRANSLATE(A16423, ""en"", ""mt"")"),"Colin Baker u Sylvester McCoy")</f>
        <v>Colin Baker u Sylvester McCoy</v>
      </c>
    </row>
    <row r="16424" ht="15.75" customHeight="1">
      <c r="A16424" s="2" t="s">
        <v>16424</v>
      </c>
      <c r="B16424" s="2" t="str">
        <f>IFERROR(__xludf.DUMMYFUNCTION("GOOGLETRANSLATE(A16424, ""en"", ""mt"")"),"Tnaqqis tal-ħin polinomjali huwa eżempju ta 'xiex?")</f>
        <v>Tnaqqis tal-ħin polinomjali huwa eżempju ta 'xiex?</v>
      </c>
    </row>
    <row r="16425" ht="15.75" customHeight="1">
      <c r="A16425" s="2" t="s">
        <v>16425</v>
      </c>
      <c r="B16425" s="2" t="str">
        <f>IFERROR(__xludf.DUMMYFUNCTION("GOOGLETRANSLATE(A16425, ""en"", ""mt"")"),"Liema korp fl-Indja jipprovdi direzzjonijiet ta 'politika lill-iskejjel?")</f>
        <v>Liema korp fl-Indja jipprovdi direzzjonijiet ta 'politika lill-iskejjel?</v>
      </c>
    </row>
    <row r="16426" ht="15.75" customHeight="1">
      <c r="A16426" s="2" t="s">
        <v>16426</v>
      </c>
      <c r="B16426" s="2" t="str">
        <f>IFERROR(__xludf.DUMMYFUNCTION("GOOGLETRANSLATE(A16426, ""en"", ""mt"")"),"Liema viċinat etniku fi Fresno kellu primarjament residenti Ġappuniżi fl-1940?")</f>
        <v>Liema viċinat etniku fi Fresno kellu primarjament residenti Ġappuniżi fl-1940?</v>
      </c>
    </row>
    <row r="16427" ht="15.75" customHeight="1">
      <c r="A16427" s="2" t="s">
        <v>16427</v>
      </c>
      <c r="B16427" s="2" t="str">
        <f>IFERROR(__xludf.DUMMYFUNCTION("GOOGLETRANSLATE(A16427, ""en"", ""mt"")"),"Dewmien jiswa l-flus")</f>
        <v>Dewmien jiswa l-flus</v>
      </c>
    </row>
    <row r="16428" ht="15.75" customHeight="1">
      <c r="A16428" s="2" t="s">
        <v>16428</v>
      </c>
      <c r="B16428" s="2" t="str">
        <f>IFERROR(__xludf.DUMMYFUNCTION("GOOGLETRANSLATE(A16428, ""en"", ""mt"")"),"Fejn tinsab l-Iskola Hyde Park Day?")</f>
        <v>Fejn tinsab l-Iskola Hyde Park Day?</v>
      </c>
    </row>
    <row r="16429" ht="15.75" customHeight="1">
      <c r="A16429" s="2" t="s">
        <v>16429</v>
      </c>
      <c r="B16429" s="2" t="str">
        <f>IFERROR(__xludf.DUMMYFUNCTION("GOOGLETRANSLATE(A16429, ""en"", ""mt"")"),"Triq il-Baċir")</f>
        <v>Triq il-Baċir</v>
      </c>
    </row>
    <row r="16430" ht="15.75" customHeight="1">
      <c r="A16430" s="2" t="s">
        <v>16430</v>
      </c>
      <c r="B16430" s="2" t="str">
        <f>IFERROR(__xludf.DUMMYFUNCTION("GOOGLETRANSLATE(A16430, ""en"", ""mt"")"),"Għal liema tip ta 'djar huwa magħruf Fresno?")</f>
        <v>Għal liema tip ta 'djar huwa magħruf Fresno?</v>
      </c>
    </row>
    <row r="16431" ht="15.75" customHeight="1">
      <c r="A16431" s="2" t="s">
        <v>16431</v>
      </c>
      <c r="B16431" s="2" t="str">
        <f>IFERROR(__xludf.DUMMYFUNCTION("GOOGLETRANSLATE(A16431, ""en"", ""mt"")"),"Kolonji tal-Amerika Ingliża u Franza l-ġdida")</f>
        <v>Kolonji tal-Amerika Ingliża u Franza l-ġdida</v>
      </c>
    </row>
    <row r="16432" ht="15.75" customHeight="1">
      <c r="A16432" s="2" t="s">
        <v>16432</v>
      </c>
      <c r="B16432" s="2" t="str">
        <f>IFERROR(__xludf.DUMMYFUNCTION("GOOGLETRANSLATE(A16432, ""en"", ""mt"")"),"Meta Setanta Sports qal li se tniedi bħala servizz ta 'abbonament?")</f>
        <v>Meta Setanta Sports qal li se tniedi bħala servizz ta 'abbonament?</v>
      </c>
    </row>
    <row r="16433" ht="15.75" customHeight="1">
      <c r="A16433" s="2" t="s">
        <v>16433</v>
      </c>
      <c r="B16433" s="2" t="str">
        <f>IFERROR(__xludf.DUMMYFUNCTION("GOOGLETRANSLATE(A16433, ""en"", ""mt"")"),"John Mayow")</f>
        <v>John Mayow</v>
      </c>
    </row>
    <row r="16434" ht="15.75" customHeight="1">
      <c r="A16434" s="2" t="s">
        <v>16434</v>
      </c>
      <c r="B16434" s="2" t="str">
        <f>IFERROR(__xludf.DUMMYFUNCTION("GOOGLETRANSLATE(A16434, ""en"", ""mt"")"),"Liema sess huma l-iktar speċi ta 'ctenophores?")</f>
        <v>Liema sess huma l-iktar speċi ta 'ctenophores?</v>
      </c>
    </row>
    <row r="16435" ht="15.75" customHeight="1">
      <c r="A16435" s="2" t="s">
        <v>16435</v>
      </c>
      <c r="B16435" s="2" t="str">
        <f>IFERROR(__xludf.DUMMYFUNCTION("GOOGLETRANSLATE(A16435, ""en"", ""mt"")"),"Meta ġie vvutat San Francisco biex ikun il-post għal Super Bowl 50?")</f>
        <v>Meta ġie vvutat San Francisco biex ikun il-post għal Super Bowl 50?</v>
      </c>
    </row>
    <row r="16436" ht="15.75" customHeight="1">
      <c r="A16436" s="2" t="s">
        <v>16436</v>
      </c>
      <c r="B16436" s="2" t="str">
        <f>IFERROR(__xludf.DUMMYFUNCTION("GOOGLETRANSLATE(A16436, ""en"", ""mt"")"),"Għaliex naqset id-domanda għall-kiri?")</f>
        <v>Għaliex naqset id-domanda għall-kiri?</v>
      </c>
    </row>
    <row r="16437" ht="15.75" customHeight="1">
      <c r="A16437" s="2" t="s">
        <v>16437</v>
      </c>
      <c r="B16437" s="2" t="str">
        <f>IFERROR(__xludf.DUMMYFUNCTION("GOOGLETRANSLATE(A16437, ""en"", ""mt"")"),"aktar b'saħħithom")</f>
        <v>aktar b'saħħithom</v>
      </c>
    </row>
    <row r="16438" ht="15.75" customHeight="1">
      <c r="A16438" s="2" t="s">
        <v>16438</v>
      </c>
      <c r="B16438" s="2" t="str">
        <f>IFERROR(__xludf.DUMMYFUNCTION("GOOGLETRANSLATE(A16438, ""en"", ""mt"")"),"Evita trivjalizzazzjoni")</f>
        <v>Evita trivjalizzazzjoni</v>
      </c>
    </row>
    <row r="16439" ht="15.75" customHeight="1">
      <c r="A16439" s="2" t="s">
        <v>16439</v>
      </c>
      <c r="B16439" s="2" t="str">
        <f>IFERROR(__xludf.DUMMYFUNCTION("GOOGLETRANSLATE(A16439, ""en"", ""mt"")"),"żewġ arbli")</f>
        <v>żewġ arbli</v>
      </c>
    </row>
    <row r="16440" ht="15.75" customHeight="1">
      <c r="A16440" s="2" t="s">
        <v>16440</v>
      </c>
      <c r="B16440" s="2" t="str">
        <f>IFERROR(__xludf.DUMMYFUNCTION("GOOGLETRANSLATE(A16440, ""en"", ""mt"")"),"Benefiċċji ta 'xogħlijiet tajbin jistgħu jinkisbu billi d-donazzjoni ta' flus lill-knisja")</f>
        <v>Benefiċċji ta 'xogħlijiet tajbin jistgħu jinkisbu billi d-donazzjoni ta' flus lill-knisja</v>
      </c>
    </row>
    <row r="16441" ht="15.75" customHeight="1">
      <c r="A16441" s="2" t="s">
        <v>16441</v>
      </c>
      <c r="B16441" s="2" t="str">
        <f>IFERROR(__xludf.DUMMYFUNCTION("GOOGLETRANSLATE(A16441, ""en"", ""mt"")"),"Ftit galleriji ġew iddisinjati mill-ġdid fid-disgħinijiet inklużi l-Indja, Ġappuniż, Ċiniż, xogħol tal-ħadid, il-galleriji ewlenin tal-ħġieġ u l-gallerija tal-fidda ewlenija li ġiet imsaħħa aktar fl-2002 meta wħud mid-dekorazzjoni Vittorjana ġiet rikreata"&amp;". Dan kien jinkludi tnejn mill-għaxar kolonni li għandhom id-dekorazzjoni taċ-ċeramika tagħhom mibdula u d-disinji miżbugħin elaborati rrestawrati fuq il-limitu. Bħala parti mir-rinnovazzjoni tal-2006 il-pavimenti tal-mużajk fil-gallerija tal-iskultura ġe"&amp;"w restawrati - il-biċċa l-kbira tal-pavimenti Vittorjani kienu koperti fil-linolju wara t-Tieni Gwerra Dinjija. Wara s-suċċess tal-Galleriji Brittaniċi, infetaħ fl-2001, ġie deċiż li jimbarka fuq disinn mill-ġdid tal-galleriji kollha fil-mużew; Dan huwa m"&amp;"agħruf bħala ""FuturePlan"", u nħoloq f'konsultazzjoni mad-disinjaturi tal-wirjiet u l-metafora tal-masterplanners. Il-pjan huwa mistenni li jieħu madwar għaxar snin u beda fl-2002. Sal-lum diversi galleriji ġew iddisinjati mill-ġdid, l-aktar, fl-2002: il"&amp;"-gallerija tal-fidda ewlenija, kontemporanja; Fl-2003: fotografija, id-daħla ewlenija, il-galleriji tal-pittura; Fl-2004: il-mina għas-subway li twassal għall-istazzjon tat-tubi ta 'South Kensington, sinjali ġodda fil-mużew, arkitettura, V &amp; A u RIBA qari"&amp;" kmamar u ħwienet, metall, kamra tal-membri, ħġieġ kontemporanju, il-gallerija tal-iskultura ta' Gilbert Bayes; Fl-2005: ritratt minjaturi, stampi u tpinġijiet, wirjiet fil-kamra 117, il-ġnien, fidda sagra u ħġieġ imtebba; Fl-2006: Ħanut tas-Sala Ċentrali"&amp;", Lvant Nofsani Iżlamiku, The New Café, Galleriji tal-Iskultura. Bosta disinjaturi u periti kienu involuti f'dan ix-xogħol. Eva Jiřičná iddisinjat it-titjib għad-daħla ewlenija u Rotunda, il-ħanut il-ġdid, il-mina u l-galleriji tal-iskultura. Gareth Hoski"&amp;"ns kien responsabbli għall-arkitettura kontemporanja u l-arkitettura, Softroom, il-Lvant Nofsani Iżlamiku u l-kamra tal-membri, McInnes Usher McKnight Architects (MUMA) kienu responsabbli għall-kafetterija l-ġdida u ddisinjaw il-galleriji l-ġodda medjeval"&amp;"i u tar-Rinaxximent li nfetħu fl-2009.")</f>
        <v>Ftit galleriji ġew iddisinjati mill-ġdid fid-disgħinijiet inklużi l-Indja, Ġappuniż, Ċiniż, xogħol tal-ħadid, il-galleriji ewlenin tal-ħġieġ u l-gallerija tal-fidda ewlenija li ġiet imsaħħa aktar fl-2002 meta wħud mid-dekorazzjoni Vittorjana ġiet rikreata. Dan kien jinkludi tnejn mill-għaxar kolonni li għandhom id-dekorazzjoni taċ-ċeramika tagħhom mibdula u d-disinji miżbugħin elaborati rrestawrati fuq il-limitu. Bħala parti mir-rinnovazzjoni tal-2006 il-pavimenti tal-mużajk fil-gallerija tal-iskultura ġew restawrati - il-biċċa l-kbira tal-pavimenti Vittorjani kienu koperti fil-linolju wara t-Tieni Gwerra Dinjija. Wara s-suċċess tal-Galleriji Brittaniċi, infetaħ fl-2001, ġie deċiż li jimbarka fuq disinn mill-ġdid tal-galleriji kollha fil-mużew; Dan huwa magħruf bħala "FuturePlan", u nħoloq f'konsultazzjoni mad-disinjaturi tal-wirjiet u l-metafora tal-masterplanners. Il-pjan huwa mistenni li jieħu madwar għaxar snin u beda fl-2002. Sal-lum diversi galleriji ġew iddisinjati mill-ġdid, l-aktar, fl-2002: il-gallerija tal-fidda ewlenija, kontemporanja; Fl-2003: fotografija, id-daħla ewlenija, il-galleriji tal-pittura; Fl-2004: il-mina għas-subway li twassal għall-istazzjon tat-tubi ta 'South Kensington, sinjali ġodda fil-mużew, arkitettura, V &amp; A u RIBA qari kmamar u ħwienet, metall, kamra tal-membri, ħġieġ kontemporanju, il-gallerija tal-iskultura ta' Gilbert Bayes; Fl-2005: ritratt minjaturi, stampi u tpinġijiet, wirjiet fil-kamra 117, il-ġnien, fidda sagra u ħġieġ imtebba; Fl-2006: Ħanut tas-Sala Ċentrali, Lvant Nofsani Iżlamiku, The New Café, Galleriji tal-Iskultura. Bosta disinjaturi u periti kienu involuti f'dan ix-xogħol. Eva Jiřičná iddisinjat it-titjib għad-daħla ewlenija u Rotunda, il-ħanut il-ġdid, il-mina u l-galleriji tal-iskultura. Gareth Hoskins kien responsabbli għall-arkitettura kontemporanja u l-arkitettura, Softroom, il-Lvant Nofsani Iżlamiku u l-kamra tal-membri, McInnes Usher McKnight Architects (MUMA) kienu responsabbli għall-kafetterija l-ġdida u ddisinjaw il-galleriji l-ġodda medjevali u tar-Rinaxximent li nfetħu fl-2009.</v>
      </c>
    </row>
    <row r="16442" ht="15.75" customHeight="1">
      <c r="A16442" s="2" t="s">
        <v>16442</v>
      </c>
      <c r="B16442" s="2" t="str">
        <f>IFERROR(__xludf.DUMMYFUNCTION("GOOGLETRANSLATE(A16442, ""en"", ""mt"")"),"tip ta '""avvelenament mid-demm""")</f>
        <v>tip ta '"avvelenament mid-demm"</v>
      </c>
    </row>
    <row r="16443" ht="15.75" customHeight="1">
      <c r="A16443" s="2" t="s">
        <v>16443</v>
      </c>
      <c r="B16443" s="2" t="str">
        <f>IFERROR(__xludf.DUMMYFUNCTION("GOOGLETRANSLATE(A16443, ""en"", ""mt"")"),"Chris Keates")</f>
        <v>Chris Keates</v>
      </c>
    </row>
    <row r="16444" ht="15.75" customHeight="1">
      <c r="A16444" s="2" t="s">
        <v>16444</v>
      </c>
      <c r="B16444" s="2" t="str">
        <f>IFERROR(__xludf.DUMMYFUNCTION("GOOGLETRANSLATE(A16444, ""en"", ""mt"")"),"Skop ta 'telnet")</f>
        <v>Skop ta 'telnet</v>
      </c>
    </row>
    <row r="16445" ht="15.75" customHeight="1">
      <c r="A16445" s="2" t="s">
        <v>16445</v>
      </c>
      <c r="B16445" s="2" t="str">
        <f>IFERROR(__xludf.DUMMYFUNCTION("GOOGLETRANSLATE(A16445, ""en"", ""mt"")"),"Konferenzi privati")</f>
        <v>Konferenzi privati</v>
      </c>
    </row>
    <row r="16446" ht="15.75" customHeight="1">
      <c r="A16446" s="2" t="s">
        <v>16446</v>
      </c>
      <c r="B16446" s="2" t="str">
        <f>IFERROR(__xludf.DUMMYFUNCTION("GOOGLETRANSLATE(A16446, ""en"", ""mt"")"),"La żero u lanqas unità")</f>
        <v>La żero u lanqas unità</v>
      </c>
    </row>
    <row r="16447" ht="15.75" customHeight="1">
      <c r="A16447" s="2" t="s">
        <v>16447</v>
      </c>
      <c r="B16447" s="2" t="str">
        <f>IFERROR(__xludf.DUMMYFUNCTION("GOOGLETRANSLATE(A16447, ""en"", ""mt"")"),"Kloroplast aħdar")</f>
        <v>Kloroplast aħdar</v>
      </c>
    </row>
    <row r="16448" ht="15.75" customHeight="1">
      <c r="A16448" s="2" t="s">
        <v>16448</v>
      </c>
      <c r="B16448" s="2" t="str">
        <f>IFERROR(__xludf.DUMMYFUNCTION("GOOGLETRANSLATE(A16448, ""en"", ""mt"")"),"Liema blokka tal-kummiedja debutat fl-1989 għal ABC?")</f>
        <v>Liema blokka tal-kummiedja debutat fl-1989 għal ABC?</v>
      </c>
    </row>
    <row r="16449" ht="15.75" customHeight="1">
      <c r="A16449" s="2" t="s">
        <v>16449</v>
      </c>
      <c r="B16449" s="2" t="str">
        <f>IFERROR(__xludf.DUMMYFUNCTION("GOOGLETRANSLATE(A16449, ""en"", ""mt"")"),"Xi tissuġġerixxi l-kelma prim ġeneralment?")</f>
        <v>Xi tissuġġerixxi l-kelma prim ġeneralment?</v>
      </c>
    </row>
    <row r="16450" ht="15.75" customHeight="1">
      <c r="A16450" s="2" t="s">
        <v>16450</v>
      </c>
      <c r="B16450" s="2" t="str">
        <f>IFERROR(__xludf.DUMMYFUNCTION("GOOGLETRANSLATE(A16450, ""en"", ""mt"")"),"Tferrix tal-baħar")</f>
        <v>Tferrix tal-baħar</v>
      </c>
    </row>
    <row r="16451" ht="15.75" customHeight="1">
      <c r="A16451" s="2" t="s">
        <v>16451</v>
      </c>
      <c r="B16451" s="2" t="str">
        <f>IFERROR(__xludf.DUMMYFUNCTION("GOOGLETRANSLATE(A16451, ""en"", ""mt"")"),"Hassan al-Turabi")</f>
        <v>Hassan al-Turabi</v>
      </c>
    </row>
    <row r="16452" ht="15.75" customHeight="1">
      <c r="A16452" s="2" t="s">
        <v>16452</v>
      </c>
      <c r="B16452" s="2" t="str">
        <f>IFERROR(__xludf.DUMMYFUNCTION("GOOGLETRANSLATE(A16452, ""en"", ""mt"")"),"Liema Senatur kien avukat qawwi għall-Att Pico?")</f>
        <v>Liema Senatur kien avukat qawwi għall-Att Pico?</v>
      </c>
    </row>
    <row r="16453" ht="15.75" customHeight="1">
      <c r="A16453" s="2" t="s">
        <v>16453</v>
      </c>
      <c r="B16453" s="2" t="str">
        <f>IFERROR(__xludf.DUMMYFUNCTION("GOOGLETRANSLATE(A16453, ""en"", ""mt"")"),"Kemm kienet twila Varsavja l-kapitali tal-Commonwealth Pollakk-Litwana?")</f>
        <v>Kemm kienet twila Varsavja l-kapitali tal-Commonwealth Pollakk-Litwana?</v>
      </c>
    </row>
    <row r="16454" ht="15.75" customHeight="1">
      <c r="A16454" s="2" t="s">
        <v>16454</v>
      </c>
      <c r="B16454" s="2" t="str">
        <f>IFERROR(__xludf.DUMMYFUNCTION("GOOGLETRANSLATE(A16454, ""en"", ""mt"")"),"driegħ miksur")</f>
        <v>driegħ miksur</v>
      </c>
    </row>
    <row r="16455" ht="15.75" customHeight="1">
      <c r="A16455" s="2" t="s">
        <v>16455</v>
      </c>
      <c r="B16455" s="2" t="str">
        <f>IFERROR(__xludf.DUMMYFUNCTION("GOOGLETRANSLATE(A16455, ""en"", ""mt"")"),"Kemm Vittorjani huma Buddisti?")</f>
        <v>Kemm Vittorjani huma Buddisti?</v>
      </c>
    </row>
    <row r="16456" ht="15.75" customHeight="1">
      <c r="A16456" s="2" t="s">
        <v>16456</v>
      </c>
      <c r="B16456" s="2" t="str">
        <f>IFERROR(__xludf.DUMMYFUNCTION("GOOGLETRANSLATE(A16456, ""en"", ""mt"")"),"Min hu responsabbli biex jopera t-tagħmir tal-vot elettroniku u l-arloġġi tal-kamra?")</f>
        <v>Min hu responsabbli biex jopera t-tagħmir tal-vot elettroniku u l-arloġġi tal-kamra?</v>
      </c>
    </row>
    <row r="16457" ht="15.75" customHeight="1">
      <c r="A16457" s="2" t="s">
        <v>16457</v>
      </c>
      <c r="B16457" s="2" t="str">
        <f>IFERROR(__xludf.DUMMYFUNCTION("GOOGLETRANSLATE(A16457, ""en"", ""mt"")"),"elettromanjetiku")</f>
        <v>elettromanjetiku</v>
      </c>
    </row>
    <row r="16458" ht="15.75" customHeight="1">
      <c r="A16458" s="2" t="s">
        <v>16458</v>
      </c>
      <c r="B16458" s="2" t="str">
        <f>IFERROR(__xludf.DUMMYFUNCTION("GOOGLETRANSLATE(A16458, ""en"", ""mt"")"),"Għin biex tippreserva t-tolleranza tas-soċjetà għad-diżubbidjenza ċivili")</f>
        <v>Għin biex tippreserva t-tolleranza tas-soċjetà għad-diżubbidjenza ċivili</v>
      </c>
    </row>
    <row r="16459" ht="15.75" customHeight="1">
      <c r="A16459" s="2" t="s">
        <v>16459</v>
      </c>
      <c r="B16459" s="2" t="str">
        <f>IFERROR(__xludf.DUMMYFUNCTION("GOOGLETRANSLATE(A16459, ""en"", ""mt"")"),"Konferenza tal-Futbol Amerikan")</f>
        <v>Konferenza tal-Futbol Amerikan</v>
      </c>
    </row>
    <row r="16460" ht="15.75" customHeight="1">
      <c r="A16460" s="2" t="s">
        <v>16460</v>
      </c>
      <c r="B16460" s="2" t="str">
        <f>IFERROR(__xludf.DUMMYFUNCTION("GOOGLETRANSLATE(A16460, ""en"", ""mt"")"),"Derek Wolfe u Malik Jackson")</f>
        <v>Derek Wolfe u Malik Jackson</v>
      </c>
    </row>
    <row r="16461" ht="15.75" customHeight="1">
      <c r="A16461" s="2" t="s">
        <v>16461</v>
      </c>
      <c r="B16461" s="2" t="str">
        <f>IFERROR(__xludf.DUMMYFUNCTION("GOOGLETRANSLATE(A16461, ""en"", ""mt"")"),"Fejn tinsab il-post tad-dar ta 'Polonia?")</f>
        <v>Fejn tinsab il-post tad-dar ta 'Polonia?</v>
      </c>
    </row>
    <row r="16462" ht="15.75" customHeight="1">
      <c r="A16462" s="2" t="s">
        <v>16462</v>
      </c>
      <c r="B16462" s="2" t="str">
        <f>IFERROR(__xludf.DUMMYFUNCTION("GOOGLETRANSLATE(A16462, ""en"", ""mt"")"),"Ibbażat fuq l-esperjenza tal-industrija tiegħu fuq proġetti ta 'missili tal-Air Force, Mueller induna li xi maniġers tas-sengħa jistgħu jinstabu fost uffiċjali ta' grad għoli fl-Air Force tal-Istati Uniti, u għalhekk kisbu l-permess ta 'Webb biex jirreklu"&amp;"ta lill-Ġeneral Samuel C. Phillips, li kiseb reputazzjoni għal tiegħu Ġestjoni effettiva tal-programm Minuteman, bħala Kontrollur tal-Programm OMSF. L-Uffiċjal Superjuri ta 'Phillips Bernard A. Schriever aċċetta li jissellef lil Phillips man-NASA, flimkie"&amp;"n ma' persunal ta 'uffiċjali taħt lilu, bil-kondizzjoni li Phillips isir Direttur tal-Programm Apollo. Mueller qabel, u Phillips irnexxielu lil Apollo minn Jannar 1964, sakemm kiseb l-ewwel inżul ekwipaġġ f'Lulju 1969, u wara rritorna għad-dmir tal-Air Fo"&amp;"rce.")</f>
        <v>Ibbażat fuq l-esperjenza tal-industrija tiegħu fuq proġetti ta 'missili tal-Air Force, Mueller induna li xi maniġers tas-sengħa jistgħu jinstabu fost uffiċjali ta' grad għoli fl-Air Force tal-Istati Uniti, u għalhekk kisbu l-permess ta 'Webb biex jirrekluta lill-Ġeneral Samuel C. Phillips, li kiseb reputazzjoni għal tiegħu Ġestjoni effettiva tal-programm Minuteman, bħala Kontrollur tal-Programm OMSF. L-Uffiċjal Superjuri ta 'Phillips Bernard A. Schriever aċċetta li jissellef lil Phillips man-NASA, flimkien ma' persunal ta 'uffiċjali taħt lilu, bil-kondizzjoni li Phillips isir Direttur tal-Programm Apollo. Mueller qabel, u Phillips irnexxielu lil Apollo minn Jannar 1964, sakemm kiseb l-ewwel inżul ekwipaġġ f'Lulju 1969, u wara rritorna għad-dmir tal-Air Force.</v>
      </c>
    </row>
    <row r="16463" ht="15.75" customHeight="1">
      <c r="A16463" s="2" t="s">
        <v>16463</v>
      </c>
      <c r="B16463" s="2" t="str">
        <f>IFERROR(__xludf.DUMMYFUNCTION("GOOGLETRANSLATE(A16463, ""en"", ""mt"")"),"mmejla u ħruq")</f>
        <v>mmejla u ħruq</v>
      </c>
    </row>
    <row r="16464" ht="15.75" customHeight="1">
      <c r="A16464" s="2" t="s">
        <v>16464</v>
      </c>
      <c r="B16464" s="2" t="str">
        <f>IFERROR(__xludf.DUMMYFUNCTION("GOOGLETRANSLATE(A16464, ""en"", ""mt"")"),"X’kienu kkontrollati r-raġuni tal-Qorti tal-Ġustizzja fl-Istati Membri kollha f’Josemans v Burgemeester van Maastricht?")</f>
        <v>X’kienu kkontrollati r-raġuni tal-Qorti tal-Ġustizzja fl-Istati Membri kollha f’Josemans v Burgemeester van Maastricht?</v>
      </c>
    </row>
    <row r="16465" ht="15.75" customHeight="1">
      <c r="A16465" s="2" t="s">
        <v>16465</v>
      </c>
      <c r="B16465" s="2" t="str">
        <f>IFERROR(__xludf.DUMMYFUNCTION("GOOGLETRANSLATE(A16465, ""en"", ""mt"")"),"Gvernaturi tal-Afrika tal-Lvant Brittanika (bħala l-Protettorat kien ġeneralment magħruf) u l-Afrika tal-Lvant Ġermaniża")</f>
        <v>Gvernaturi tal-Afrika tal-Lvant Brittanika (bħala l-Protettorat kien ġeneralment magħruf) u l-Afrika tal-Lvant Ġermaniża</v>
      </c>
    </row>
    <row r="16466" ht="15.75" customHeight="1">
      <c r="A16466" s="2" t="s">
        <v>16466</v>
      </c>
      <c r="B16466" s="2" t="str">
        <f>IFERROR(__xludf.DUMMYFUNCTION("GOOGLETRANSLATE(A16466, ""en"", ""mt"")"),"Liema dipartiment fl-Istati Uniti mexxa l-isforzi kontra l-Iżlamiżmu?")</f>
        <v>Liema dipartiment fl-Istati Uniti mexxa l-isforzi kontra l-Iżlamiżmu?</v>
      </c>
    </row>
    <row r="16467" ht="15.75" customHeight="1">
      <c r="A16467" s="2" t="s">
        <v>16467</v>
      </c>
      <c r="B16467" s="2" t="str">
        <f>IFERROR(__xludf.DUMMYFUNCTION("GOOGLETRANSLATE(A16467, ""en"", ""mt"")"),"Liema isem ingħata lin-nofs tal-punent tal-kolonja?")</f>
        <v>Liema isem ingħata lin-nofs tal-punent tal-kolonja?</v>
      </c>
    </row>
    <row r="16468" ht="15.75" customHeight="1">
      <c r="A16468" s="2" t="s">
        <v>16468</v>
      </c>
      <c r="B16468" s="2" t="str">
        <f>IFERROR(__xludf.DUMMYFUNCTION("GOOGLETRANSLATE(A16468, ""en"", ""mt"")"),"El Temür")</f>
        <v>El Temür</v>
      </c>
    </row>
    <row r="16469" ht="15.75" customHeight="1">
      <c r="A16469" s="2" t="s">
        <v>16469</v>
      </c>
      <c r="B16469" s="2" t="str">
        <f>IFERROR(__xludf.DUMMYFUNCTION("GOOGLETRANSLATE(A16469, ""en"", ""mt"")"),"X'inhu l-isem tal-ewwel stazzjon tar-radju tal-komunità full-time ta 'Newcastle?")</f>
        <v>X'inhu l-isem tal-ewwel stazzjon tar-radju tal-komunità full-time ta 'Newcastle?</v>
      </c>
    </row>
    <row r="16470" ht="15.75" customHeight="1">
      <c r="A16470" s="2" t="s">
        <v>16470</v>
      </c>
      <c r="B16470" s="2" t="str">
        <f>IFERROR(__xludf.DUMMYFUNCTION("GOOGLETRANSLATE(A16470, ""en"", ""mt"")"),"Il-klima hija iktar friska")</f>
        <v>Il-klima hija iktar friska</v>
      </c>
    </row>
    <row r="16471" ht="15.75" customHeight="1">
      <c r="A16471" s="2" t="s">
        <v>16471</v>
      </c>
      <c r="B16471" s="2" t="str">
        <f>IFERROR(__xludf.DUMMYFUNCTION("GOOGLETRANSLATE(A16471, ""en"", ""mt"")"),"Liema tim kien iċ-champion tal-NFC?")</f>
        <v>Liema tim kien iċ-champion tal-NFC?</v>
      </c>
    </row>
    <row r="16472" ht="15.75" customHeight="1">
      <c r="A16472" s="2" t="s">
        <v>16472</v>
      </c>
      <c r="B16472" s="2" t="str">
        <f>IFERROR(__xludf.DUMMYFUNCTION("GOOGLETRANSLATE(A16472, ""en"", ""mt"")"),"X'kien in-numru ta 'drabi li d-Denver Broncos lagħab fis-Super Bowl sal-ħin li laħqu Super Bowl 50?")</f>
        <v>X'kien in-numru ta 'drabi li d-Denver Broncos lagħab fis-Super Bowl sal-ħin li laħqu Super Bowl 50?</v>
      </c>
    </row>
    <row r="16473" ht="15.75" customHeight="1">
      <c r="A16473" s="2" t="s">
        <v>16473</v>
      </c>
      <c r="B16473" s="2" t="str">
        <f>IFERROR(__xludf.DUMMYFUNCTION("GOOGLETRANSLATE(A16473, ""en"", ""mt"")"),"L-imperjalizmu u l-kolonjaliżmu jiddettaw it-tnejn il-vantaġġ politiku u ekonomiku fuq art u l-popolazzjonijiet indiġeni li jikkontrollaw, iżda l-istudjużi kultant isibuha diffiċli biex juru d-differenza bejn it-tnejn. Għalkemm l-imperjalizmu u l-kolonjal"&amp;"iżmu jiffokaw fuq it-trażżin ta 'ieħor, jekk il-kolonjaliżmu jirreferi għall-proċess ta' pajjiż li jieħu kontroll fiżiku ta 'ieħor, l-imperjalizmu jirreferi għad-dominanza politika u monetarja, jew formalment jew informalment. Il-kolonjaliżmu huwa meqjus "&amp;"li huwa l-perit li jiddeċiedi kif jibda dominanti żoni u allura l-imperjalizmu jista 'jitqies bħala li joħloq l-idea wara l-konkwista li tikkoopera mal-kolonjaliżmu. Il-kolonjaliżmu huwa meta n-nazzjon imperjali jibda konkwista fuq żona u mbagħad eventwal"&amp;"ment ikun kapaċi jiddeċiedi fuq l-oqsma li n-nazzjon ta 'qabel kien ikkontrolla. It-tifsira ewlenija tal-kolonjaliżmu hija l-isfruttament tal-assi u l-provvisti siewja tan-nazzjon li ġie maħkuma u n-nazzjon li jirbħu u mbagħad jikseb il-benefiċċji mill-im"&amp;"ħassra tal-gwerra. It-tifsira tal-imperjalizmu hija li toħloq imperu, billi tirbaħ l-artijiet tal-istat l-ieħor u għalhekk iżżid id-dominanza tiegħu stess. Il-kolonjaliżmu huwa l-bennej u l-preservatur tal-possedimenti kolonjali f'żona minn popolazzjoni l"&amp;"i ġejja minn reġjun barrani. Il-kolonjaliżmu jista 'jbiddel kompletament l-istruttura soċjali eżistenti, l-istruttura fiżika u l-ekonomija ta' żona; Mhuwiex tas-soltu li l-karatteristiċi tal-popli li jirbħu jiġu wirt mill-popolazzjonijiet indiġeni maħkuma"&amp;".")</f>
        <v>L-imperjalizmu u l-kolonjaliżmu jiddettaw it-tnejn il-vantaġġ politiku u ekonomiku fuq art u l-popolazzjonijiet indiġeni li jikkontrollaw, iżda l-istudjużi kultant isibuha diffiċli biex juru d-differenza bejn it-tnejn. Għalkemm l-imperjalizmu u l-kolonjaliżmu jiffokaw fuq it-trażżin ta 'ieħor, jekk il-kolonjaliżmu jirreferi għall-proċess ta' pajjiż li jieħu kontroll fiżiku ta 'ieħor, l-imperjalizmu jirreferi għad-dominanza politika u monetarja, jew formalment jew informalment. Il-kolonjaliżmu huwa meqjus li huwa l-perit li jiddeċiedi kif jibda dominanti żoni u allura l-imperjalizmu jista 'jitqies bħala li joħloq l-idea wara l-konkwista li tikkoopera mal-kolonjaliżmu. Il-kolonjaliżmu huwa meta n-nazzjon imperjali jibda konkwista fuq żona u mbagħad eventwalment ikun kapaċi jiddeċiedi fuq l-oqsma li n-nazzjon ta 'qabel kien ikkontrolla. It-tifsira ewlenija tal-kolonjaliżmu hija l-isfruttament tal-assi u l-provvisti siewja tan-nazzjon li ġie maħkuma u n-nazzjon li jirbħu u mbagħad jikseb il-benefiċċji mill-imħassra tal-gwerra. It-tifsira tal-imperjalizmu hija li toħloq imperu, billi tirbaħ l-artijiet tal-istat l-ieħor u għalhekk iżżid id-dominanza tiegħu stess. Il-kolonjaliżmu huwa l-bennej u l-preservatur tal-possedimenti kolonjali f'żona minn popolazzjoni li ġejja minn reġjun barrani. Il-kolonjaliżmu jista 'jbiddel kompletament l-istruttura soċjali eżistenti, l-istruttura fiżika u l-ekonomija ta' żona; Mhuwiex tas-soltu li l-karatteristiċi tal-popli li jirbħu jiġu wirt mill-popolazzjonijiet indiġeni maħkuma.</v>
      </c>
    </row>
    <row r="16474" ht="15.75" customHeight="1">
      <c r="A16474" s="2" t="s">
        <v>16474</v>
      </c>
      <c r="B16474" s="2" t="str">
        <f>IFERROR(__xludf.DUMMYFUNCTION("GOOGLETRANSLATE(A16474, ""en"", ""mt"")"),"b'reazzjoni fil-katina tal-polimerażi (PCR)")</f>
        <v>b'reazzjoni fil-katina tal-polimerażi (PCR)</v>
      </c>
    </row>
    <row r="16475" ht="15.75" customHeight="1">
      <c r="A16475" s="2" t="s">
        <v>16475</v>
      </c>
      <c r="B16475" s="2" t="str">
        <f>IFERROR(__xludf.DUMMYFUNCTION("GOOGLETRANSLATE(A16475, ""en"", ""mt"")"),"Żomm il-maġġoranza tas-siġġijiet")</f>
        <v>Żomm il-maġġoranza tas-siġġijiet</v>
      </c>
    </row>
    <row r="16476" ht="15.75" customHeight="1">
      <c r="A16476" s="2" t="s">
        <v>16476</v>
      </c>
      <c r="B16476" s="2" t="str">
        <f>IFERROR(__xludf.DUMMYFUNCTION("GOOGLETRANSLATE(A16476, ""en"", ""mt"")"),"aqbad u tiġri fuq uċuħ")</f>
        <v>aqbad u tiġri fuq uċuħ</v>
      </c>
    </row>
    <row r="16477" ht="15.75" customHeight="1">
      <c r="A16477" s="2" t="s">
        <v>16477</v>
      </c>
      <c r="B16477" s="2" t="str">
        <f>IFERROR(__xludf.DUMMYFUNCTION("GOOGLETRANSLATE(A16477, ""en"", ""mt"")"),"il-kapaċità tagħha jew tiegħu bħala uffiċjal pubbliku")</f>
        <v>il-kapaċità tagħha jew tiegħu bħala uffiċjal pubbliku</v>
      </c>
    </row>
    <row r="16478" ht="15.75" customHeight="1">
      <c r="A16478" s="2" t="s">
        <v>16478</v>
      </c>
      <c r="B16478" s="2" t="str">
        <f>IFERROR(__xludf.DUMMYFUNCTION("GOOGLETRANSLATE(A16478, ""en"", ""mt"")"),"Brock Osweiler")</f>
        <v>Brock Osweiler</v>
      </c>
    </row>
    <row r="16479" ht="15.75" customHeight="1">
      <c r="A16479" s="2" t="s">
        <v>16479</v>
      </c>
      <c r="B16479" s="2" t="str">
        <f>IFERROR(__xludf.DUMMYFUNCTION("GOOGLETRANSLATE(A16479, ""en"", ""mt"")"),"numru sħiħ arbitrarji")</f>
        <v>numru sħiħ arbitrarji</v>
      </c>
    </row>
    <row r="16480" ht="15.75" customHeight="1">
      <c r="A16480" s="2" t="s">
        <v>16480</v>
      </c>
      <c r="B16480" s="2" t="str">
        <f>IFERROR(__xludf.DUMMYFUNCTION("GOOGLETRANSLATE(A16480, ""en"", ""mt"")"),"Super Bowl 50 iddetermina ċ-champion tal-NFL għal liema staġun?")</f>
        <v>Super Bowl 50 iddetermina ċ-champion tal-NFL għal liema staġun?</v>
      </c>
    </row>
    <row r="16481" ht="15.75" customHeight="1">
      <c r="A16481" s="2" t="s">
        <v>16481</v>
      </c>
      <c r="B16481" s="2" t="str">
        <f>IFERROR(__xludf.DUMMYFUNCTION("GOOGLETRANSLATE(A16481, ""en"", ""mt"")"),"Negozjanti u Negozjanti ta ’Hamburg")</f>
        <v>Negozjanti u Negozjanti ta ’Hamburg</v>
      </c>
    </row>
    <row r="16482" ht="15.75" customHeight="1">
      <c r="A16482" s="2" t="s">
        <v>16482</v>
      </c>
      <c r="B16482" s="2" t="str">
        <f>IFERROR(__xludf.DUMMYFUNCTION("GOOGLETRANSLATE(A16482, ""en"", ""mt"")"),"Melbourne")</f>
        <v>Melbourne</v>
      </c>
    </row>
    <row r="16483" ht="15.75" customHeight="1">
      <c r="A16483" s="2" t="s">
        <v>16483</v>
      </c>
      <c r="B16483" s="2" t="str">
        <f>IFERROR(__xludf.DUMMYFUNCTION("GOOGLETRANSLATE(A16483, ""en"", ""mt"")"),"Qajjem")</f>
        <v>Qajjem</v>
      </c>
    </row>
    <row r="16484" ht="15.75" customHeight="1">
      <c r="A16484" s="2" t="s">
        <v>16484</v>
      </c>
      <c r="B16484" s="2" t="str">
        <f>IFERROR(__xludf.DUMMYFUNCTION("GOOGLETRANSLATE(A16484, ""en"", ""mt"")"),"jista 'jkun ta' profitt")</f>
        <v>jista 'jkun ta' profitt</v>
      </c>
    </row>
    <row r="16485" ht="15.75" customHeight="1">
      <c r="A16485" s="2" t="s">
        <v>16485</v>
      </c>
      <c r="B16485" s="2" t="str">
        <f>IFERROR(__xludf.DUMMYFUNCTION("GOOGLETRANSLATE(A16485, ""en"", ""mt"")"),"21,000")</f>
        <v>21,000</v>
      </c>
    </row>
    <row r="16486" ht="15.75" customHeight="1">
      <c r="A16486" s="2" t="s">
        <v>16486</v>
      </c>
      <c r="B16486" s="2" t="str">
        <f>IFERROR(__xludf.DUMMYFUNCTION("GOOGLETRANSLATE(A16486, ""en"", ""mt"")"),"Edinburgh Pentlands")</f>
        <v>Edinburgh Pentlands</v>
      </c>
    </row>
    <row r="16487" ht="15.75" customHeight="1">
      <c r="A16487" s="2" t="s">
        <v>16487</v>
      </c>
      <c r="B16487" s="2" t="str">
        <f>IFERROR(__xludf.DUMMYFUNCTION("GOOGLETRANSLATE(A16487, ""en"", ""mt"")"),"Mutur tat-trazzjoni DC")</f>
        <v>Mutur tat-trazzjoni DC</v>
      </c>
    </row>
    <row r="16488" ht="15.75" customHeight="1">
      <c r="A16488" s="2" t="s">
        <v>16488</v>
      </c>
      <c r="B16488" s="2" t="str">
        <f>IFERROR(__xludf.DUMMYFUNCTION("GOOGLETRANSLATE(A16488, ""en"", ""mt"")"),"Uża fl-arpanet")</f>
        <v>Uża fl-arpanet</v>
      </c>
    </row>
    <row r="16489" ht="15.75" customHeight="1">
      <c r="A16489" s="2" t="s">
        <v>16489</v>
      </c>
      <c r="B16489" s="2" t="str">
        <f>IFERROR(__xludf.DUMMYFUNCTION("GOOGLETRANSLATE(A16489, ""en"", ""mt"")"),"Erġa 'kiseb awtorità fuq in-nies tiegħu stess. Huma kienu inklinati li jappoġġjaw lill-Franċiżi, li magħhom kellhom relazzjonijiet ta 'kummerċ fit-tul")</f>
        <v>Erġa 'kiseb awtorità fuq in-nies tiegħu stess. Huma kienu inklinati li jappoġġjaw lill-Franċiżi, li magħhom kellhom relazzjonijiet ta 'kummerċ fit-tul</v>
      </c>
    </row>
    <row r="16490" ht="15.75" customHeight="1">
      <c r="A16490" s="2" t="s">
        <v>16490</v>
      </c>
      <c r="B16490" s="2" t="str">
        <f>IFERROR(__xludf.DUMMYFUNCTION("GOOGLETRANSLATE(A16490, ""en"", ""mt"")"),"Liema arċidjoċesi hija s-sede ta 'Varsavja?")</f>
        <v>Liema arċidjoċesi hija s-sede ta 'Varsavja?</v>
      </c>
    </row>
    <row r="16491" ht="15.75" customHeight="1">
      <c r="A16491" s="2" t="s">
        <v>16491</v>
      </c>
      <c r="B16491" s="2" t="str">
        <f>IFERROR(__xludf.DUMMYFUNCTION("GOOGLETRANSLATE(A16491, ""en"", ""mt"")"),"5,500,000")</f>
        <v>5,500,000</v>
      </c>
    </row>
    <row r="16492" ht="15.75" customHeight="1">
      <c r="A16492" s="2" t="s">
        <v>16492</v>
      </c>
      <c r="B16492" s="2" t="str">
        <f>IFERROR(__xludf.DUMMYFUNCTION("GOOGLETRANSLATE(A16492, ""en"", ""mt"")"),"Kif spiċċat is-sewqan għall-Panthers?")</f>
        <v>Kif spiċċat is-sewqan għall-Panthers?</v>
      </c>
    </row>
    <row r="16493" ht="15.75" customHeight="1">
      <c r="A16493" s="2" t="s">
        <v>16493</v>
      </c>
      <c r="B16493" s="2" t="str">
        <f>IFERROR(__xludf.DUMMYFUNCTION("GOOGLETRANSLATE(A16493, ""en"", ""mt"")"),"Liema organizzazzjoni toffri premjijiet monetarji għall-identifikazzjoni ta 'primes b'mill-inqas 100 miljun ċifra?")</f>
        <v>Liema organizzazzjoni toffri premjijiet monetarji għall-identifikazzjoni ta 'primes b'mill-inqas 100 miljun ċifra?</v>
      </c>
    </row>
    <row r="16494" ht="15.75" customHeight="1">
      <c r="A16494" s="2" t="s">
        <v>16494</v>
      </c>
      <c r="B16494" s="2" t="str">
        <f>IFERROR(__xludf.DUMMYFUNCTION("GOOGLETRANSLATE(A16494, ""en"", ""mt"")"),"667,000 ditta")</f>
        <v>667,000 ditta</v>
      </c>
    </row>
    <row r="16495" ht="15.75" customHeight="1">
      <c r="A16495" s="2" t="s">
        <v>16495</v>
      </c>
      <c r="B16495" s="2" t="str">
        <f>IFERROR(__xludf.DUMMYFUNCTION("GOOGLETRANSLATE(A16495, ""en"", ""mt"")"),"492.1 km")</f>
        <v>492.1 km</v>
      </c>
    </row>
    <row r="16496" ht="15.75" customHeight="1">
      <c r="A16496" s="2" t="s">
        <v>16496</v>
      </c>
      <c r="B16496" s="2" t="str">
        <f>IFERROR(__xludf.DUMMYFUNCTION("GOOGLETRANSLATE(A16496, ""en"", ""mt"")"),"Xi jipprotestaw xi nies?")</f>
        <v>Xi jipprotestaw xi nies?</v>
      </c>
    </row>
    <row r="16497" ht="15.75" customHeight="1">
      <c r="A16497" s="2" t="s">
        <v>16497</v>
      </c>
      <c r="B16497" s="2" t="str">
        <f>IFERROR(__xludf.DUMMYFUNCTION("GOOGLETRANSLATE(A16497, ""en"", ""mt"")"),"Kemm mis-sitt pakketti totali disponibbli għax-xandara ngħataw Setanta?")</f>
        <v>Kemm mis-sitt pakketti totali disponibbli għax-xandara ngħataw Setanta?</v>
      </c>
    </row>
    <row r="16498" ht="15.75" customHeight="1">
      <c r="A16498" s="2" t="s">
        <v>16498</v>
      </c>
      <c r="B16498" s="2" t="str">
        <f>IFERROR(__xludf.DUMMYFUNCTION("GOOGLETRANSLATE(A16498, ""en"", ""mt"")"),"Meta kien hemm tnaqqis fin-numru ta 'membri parlamentari Skoċċiżi?")</f>
        <v>Meta kien hemm tnaqqis fin-numru ta 'membri parlamentari Skoċċiżi?</v>
      </c>
    </row>
    <row r="16499" ht="15.75" customHeight="1">
      <c r="A16499" s="2" t="s">
        <v>16499</v>
      </c>
      <c r="B16499" s="2" t="str">
        <f>IFERROR(__xludf.DUMMYFUNCTION("GOOGLETRANSLATE(A16499, ""en"", ""mt"")"),"L-iswiċċjar taċ-ċirkwit huwa kkaratterizzat minn tariffa għal kull unità ta 'ħin ta' konnessjoni")</f>
        <v>L-iswiċċjar taċ-ċirkwit huwa kkaratterizzat minn tariffa għal kull unità ta 'ħin ta' konnessjoni</v>
      </c>
    </row>
    <row r="16500" ht="15.75" customHeight="1">
      <c r="A16500" s="2" t="s">
        <v>16500</v>
      </c>
      <c r="B16500" s="2" t="str">
        <f>IFERROR(__xludf.DUMMYFUNCTION("GOOGLETRANSLATE(A16500, ""en"", ""mt"")"),"Iż-żewġ membrani ċjanobatteriċi, xi kultant il-membrana taċ-ċellula tal-alka li tittiekel, u l-vakuole fagożomali mill-membrana taċ-ċellula tal-ospitanti")</f>
        <v>Iż-żewġ membrani ċjanobatteriċi, xi kultant il-membrana taċ-ċellula tal-alka li tittiekel, u l-vakuole fagożomali mill-membrana taċ-ċellula tal-ospitanti</v>
      </c>
    </row>
    <row r="16501" ht="15.75" customHeight="1">
      <c r="A16501" s="2" t="s">
        <v>16501</v>
      </c>
      <c r="B16501" s="2" t="str">
        <f>IFERROR(__xludf.DUMMYFUNCTION("GOOGLETRANSLATE(A16501, ""en"", ""mt"")"),"Fil-kloroplasti tal-pjanti C4")</f>
        <v>Fil-kloroplasti tal-pjanti C4</v>
      </c>
    </row>
    <row r="16502" ht="15.75" customHeight="1">
      <c r="A16502" s="2" t="s">
        <v>16502</v>
      </c>
      <c r="B16502" s="2" t="str">
        <f>IFERROR(__xludf.DUMMYFUNCTION("GOOGLETRANSLATE(A16502, ""en"", ""mt"")"),"Mitluf fin-Nar tal-Laboratorju tal-5 Vjal ta ’Marzu 1895")</f>
        <v>Mitluf fin-Nar tal-Laboratorju tal-5 Vjal ta ’Marzu 1895</v>
      </c>
    </row>
    <row r="16503" ht="15.75" customHeight="1">
      <c r="A16503" s="2" t="s">
        <v>16503</v>
      </c>
      <c r="B16503" s="2" t="str">
        <f>IFERROR(__xludf.DUMMYFUNCTION("GOOGLETRANSLATE(A16503, ""en"", ""mt"")"),"ittawwal uċuħ li jħakkru")</f>
        <v>ittawwal uċuħ li jħakkru</v>
      </c>
    </row>
    <row r="16504" ht="15.75" customHeight="1">
      <c r="A16504" s="2" t="s">
        <v>16504</v>
      </c>
      <c r="B16504" s="2" t="str">
        <f>IFERROR(__xludf.DUMMYFUNCTION("GOOGLETRANSLATE(A16504, ""en"", ""mt"")"),"Liema baħar ġew introdotti aċċidentalment Ctenophores?")</f>
        <v>Liema baħar ġew introdotti aċċidentalment Ctenophores?</v>
      </c>
    </row>
    <row r="16505" ht="15.75" customHeight="1">
      <c r="A16505" s="2" t="s">
        <v>16505</v>
      </c>
      <c r="B16505" s="2" t="str">
        <f>IFERROR(__xludf.DUMMYFUNCTION("GOOGLETRANSLATE(A16505, ""en"", ""mt"")"),"X'inhu l-isem tat-tip mistiku ta 'l-Islam?")</f>
        <v>X'inhu l-isem tat-tip mistiku ta 'l-Islam?</v>
      </c>
    </row>
    <row r="16506" ht="15.75" customHeight="1">
      <c r="A16506" s="2" t="s">
        <v>16506</v>
      </c>
      <c r="B16506" s="2" t="str">
        <f>IFERROR(__xludf.DUMMYFUNCTION("GOOGLETRANSLATE(A16506, ""en"", ""mt"")"),"Liema festival iseħħ f'April fi Newcastle?")</f>
        <v>Liema festival iseħħ f'April fi Newcastle?</v>
      </c>
    </row>
    <row r="16507" ht="15.75" customHeight="1">
      <c r="A16507" s="2" t="s">
        <v>16507</v>
      </c>
      <c r="B16507" s="2" t="str">
        <f>IFERROR(__xludf.DUMMYFUNCTION("GOOGLETRANSLATE(A16507, ""en"", ""mt"")"),"24 ta ’Marzu 1879")</f>
        <v>24 ta ’Marzu 1879</v>
      </c>
    </row>
    <row r="16508" ht="15.75" customHeight="1">
      <c r="A16508" s="2" t="s">
        <v>16508</v>
      </c>
      <c r="B16508" s="2" t="str">
        <f>IFERROR(__xludf.DUMMYFUNCTION("GOOGLETRANSLATE(A16508, ""en"", ""mt"")"),"Min għandu l-linji tal-ferrovija fir-Rabat?")</f>
        <v>Min għandu l-linji tal-ferrovija fir-Rabat?</v>
      </c>
    </row>
    <row r="16509" ht="15.75" customHeight="1">
      <c r="A16509" s="2" t="s">
        <v>16509</v>
      </c>
      <c r="B16509" s="2" t="str">
        <f>IFERROR(__xludf.DUMMYFUNCTION("GOOGLETRANSLATE(A16509, ""en"", ""mt"")"),"Is-somma tad-diviżuri tiffunzjona")</f>
        <v>Is-somma tad-diviżuri tiffunzjona</v>
      </c>
    </row>
    <row r="16510" ht="15.75" customHeight="1">
      <c r="A16510" s="2" t="s">
        <v>16510</v>
      </c>
      <c r="B16510" s="2" t="str">
        <f>IFERROR(__xludf.DUMMYFUNCTION("GOOGLETRANSLATE(A16510, ""en"", ""mt"")"),"Il-Huguenots kellhom il-milizja tagħhom stess")</f>
        <v>Il-Huguenots kellhom il-milizja tagħhom stess</v>
      </c>
    </row>
    <row r="16511" ht="15.75" customHeight="1">
      <c r="A16511" s="2" t="s">
        <v>16511</v>
      </c>
      <c r="B16511" s="2" t="str">
        <f>IFERROR(__xludf.DUMMYFUNCTION("GOOGLETRANSLATE(A16511, ""en"", ""mt"")"),"Liema sistema immuni hija attivata mir-rispons intrinsiku?")</f>
        <v>Liema sistema immuni hija attivata mir-rispons intrinsiku?</v>
      </c>
    </row>
    <row r="16512" ht="15.75" customHeight="1">
      <c r="A16512" s="2" t="s">
        <v>16512</v>
      </c>
      <c r="B16512" s="2" t="str">
        <f>IFERROR(__xludf.DUMMYFUNCTION("GOOGLETRANSLATE(A16512, ""en"", ""mt"")"),"Assoċjazzjoni Amerikana tan-Nisa tal-Università")</f>
        <v>Assoċjazzjoni Amerikana tan-Nisa tal-Università</v>
      </c>
    </row>
    <row r="16513" ht="15.75" customHeight="1">
      <c r="A16513" s="2" t="s">
        <v>16513</v>
      </c>
      <c r="B16513" s="2" t="str">
        <f>IFERROR(__xludf.DUMMYFUNCTION("GOOGLETRANSLATE(A16513, ""en"", ""mt"")"),"John Pell, Lord of Pelham Manor")</f>
        <v>John Pell, Lord of Pelham Manor</v>
      </c>
    </row>
    <row r="16514" ht="15.75" customHeight="1">
      <c r="A16514" s="2" t="s">
        <v>16514</v>
      </c>
      <c r="B16514" s="2" t="str">
        <f>IFERROR(__xludf.DUMMYFUNCTION("GOOGLETRANSLATE(A16514, ""en"", ""mt"")"),"Liema artikoli jiddikjaraw li d-drittijiet tal-istati membri biex iwasslu s-servizzi pubbliċi jistgħu ma jiġux imxekkla?")</f>
        <v>Liema artikoli jiddikjaraw li d-drittijiet tal-istati membri biex iwasslu s-servizzi pubbliċi jistgħu ma jiġux imxekkla?</v>
      </c>
    </row>
    <row r="16515" ht="15.75" customHeight="1">
      <c r="A16515" s="2" t="s">
        <v>16515</v>
      </c>
      <c r="B16515" s="2" t="str">
        <f>IFERROR(__xludf.DUMMYFUNCTION("GOOGLETRANSLATE(A16515, ""en"", ""mt"")"),"Kemm tackles Von Miller kisbu waqt il-logħba?")</f>
        <v>Kemm tackles Von Miller kisbu waqt il-logħba?</v>
      </c>
    </row>
    <row r="16516" ht="15.75" customHeight="1">
      <c r="A16516" s="2" t="s">
        <v>16516</v>
      </c>
      <c r="B16516" s="2" t="str">
        <f>IFERROR(__xludf.DUMMYFUNCTION("GOOGLETRANSLATE(A16516, ""en"", ""mt"")"),"X'inhu l-inqas klassifikazzjoni li wieħed mill-kontej jista 'jkollu f'termini ta' l-iktar kontej popolati fl-Istati Uniti?")</f>
        <v>X'inhu l-inqas klassifikazzjoni li wieħed mill-kontej jista 'jkollu f'termini ta' l-iktar kontej popolati fl-Istati Uniti?</v>
      </c>
    </row>
    <row r="16517" ht="15.75" customHeight="1">
      <c r="A16517" s="2" t="s">
        <v>16517</v>
      </c>
      <c r="B16517" s="2" t="str">
        <f>IFERROR(__xludf.DUMMYFUNCTION("GOOGLETRANSLATE(A16517, ""en"", ""mt"")"),"Arpanet")</f>
        <v>Arpanet</v>
      </c>
    </row>
    <row r="16518" ht="15.75" customHeight="1">
      <c r="A16518" s="2" t="s">
        <v>16518</v>
      </c>
      <c r="B16518" s="2" t="str">
        <f>IFERROR(__xludf.DUMMYFUNCTION("GOOGLETRANSLATE(A16518, ""en"", ""mt"")"),"Kemm tunnellata ta 'tadam tipproduċi Victoria?")</f>
        <v>Kemm tunnellata ta 'tadam tipproduċi Victoria?</v>
      </c>
    </row>
    <row r="16519" ht="15.75" customHeight="1">
      <c r="A16519" s="2" t="s">
        <v>16519</v>
      </c>
      <c r="B16519" s="2" t="str">
        <f>IFERROR(__xludf.DUMMYFUNCTION("GOOGLETRANSLATE(A16519, ""en"", ""mt"")"),"is-superjur u n-norma")</f>
        <v>is-superjur u n-norma</v>
      </c>
    </row>
    <row r="16520" ht="15.75" customHeight="1">
      <c r="A16520" s="2" t="s">
        <v>16520</v>
      </c>
      <c r="B16520" s="2" t="str">
        <f>IFERROR(__xludf.DUMMYFUNCTION("GOOGLETRANSLATE(A16520, ""en"", ""mt"")"),"Meta l-unitajiet tal-blat jitpoġġew taħt kompressjoni orizzontali, dawn iqassru u jsiru eħxen. Minħabba li l-unitajiet tal-blat, minbarra t-tajn, ma jinbidlux b'mod sinifikanti fil-volum, dan jitwettaq f'żewġ modi primarji: permezz ta 'difetti u tiwi. Fil"&amp;"-qoxra baxxa, fejn tista 'sseħħ deformazzjoni fraġli, jiffurmaw ħsarat ta' l-ispinta, li jikkawżaw blat aktar fil-fond li jimxi fuq il-parti ta 'fuq tal-blat baxx. Minħabba li l-blat aktar profond huwa ta 'spiss ixjeħ, kif innotat mill-prinċipju tas-super"&amp;"pożizzjoni, dan jista' jirriżulta fi blat anzjani li jiċċaqalqu fuq dawk iżgħar. Il-moviment tul il-ħsarat jista 'jirriżulta fit-tiwi, jew minħabba li l-ħsarat mhumiex ċatti jew minħabba li s-saffi tal-blat huma mkaxkra, u jiffurmaw il-folds tal-ġibda hek"&amp;"k kif iseħħ żlieq matul il-ħsara. Aktar fil-fond fl-art, il-blat iġibu ruħhom plastikament, u jintewa minflok ma jfixklu. Dawn il-folds jistgħu jkunu jew dawk fejn il-materjal fiċ-ċentru tal-bokkli tat-tinja 'l fuq, joħloq ""antiformi"", jew fejn jegħleb'"&amp;" l isfel, u joħloq ""sinformi"". Jekk l-uċuħ tal-unitajiet tal-blat fil-jingħalaq jibqgħu jippuntaw 'il fuq, huma msejħa anticlines u sinklini, rispettivament. Jekk uħud mill-unitajiet fil-tinja qed jiffaċċjaw 'l isfel, l-istruttura tissejjaħ antiklinja j"&amp;"ew sinkronizzazzjoni maqluba, u jekk l-unitajiet kollha tal-blat jinqaleb jew jekk id-direzzjoni korretta mhix magħrufa, huma sempliċement imsejħa bl-iktar termini ġenerali, Antiformi u Sinformi.")</f>
        <v>Meta l-unitajiet tal-blat jitpoġġew taħt kompressjoni orizzontali, dawn iqassru u jsiru eħxen. Minħabba li l-unitajiet tal-blat, minbarra t-tajn, ma jinbidlux b'mod sinifikanti fil-volum, dan jitwettaq f'żewġ modi primarji: permezz ta 'difetti u tiwi. Fil-qoxra baxxa, fejn tista 'sseħħ deformazzjoni fraġli, jiffurmaw ħsarat ta' l-ispinta, li jikkawżaw blat aktar fil-fond li jimxi fuq il-parti ta 'fuq tal-blat baxx. Minħabba li l-blat aktar profond huwa ta 'spiss ixjeħ, kif innotat mill-prinċipju tas-superpożizzjoni, dan jista' jirriżulta fi blat anzjani li jiċċaqalqu fuq dawk iżgħar. Il-moviment tul il-ħsarat jista 'jirriżulta fit-tiwi, jew minħabba li l-ħsarat mhumiex ċatti jew minħabba li s-saffi tal-blat huma mkaxkra, u jiffurmaw il-folds tal-ġibda hekk kif iseħħ żlieq matul il-ħsara. Aktar fil-fond fl-art, il-blat iġibu ruħhom plastikament, u jintewa minflok ma jfixklu. Dawn il-folds jistgħu jkunu jew dawk fejn il-materjal fiċ-ċentru tal-bokkli tat-tinja 'l fuq, joħloq "antiformi", jew fejn jegħleb' l isfel, u joħloq "sinformi". Jekk l-uċuħ tal-unitajiet tal-blat fil-jingħalaq jibqgħu jippuntaw 'il fuq, huma msejħa anticlines u sinklini, rispettivament. Jekk uħud mill-unitajiet fil-tinja qed jiffaċċjaw 'l isfel, l-istruttura tissejjaħ antiklinja jew sinkronizzazzjoni maqluba, u jekk l-unitajiet kollha tal-blat jinqaleb jew jekk id-direzzjoni korretta mhix magħrufa, huma sempliċement imsejħa bl-iktar termini ġenerali, Antiformi u Sinformi.</v>
      </c>
    </row>
    <row r="16521" ht="15.75" customHeight="1">
      <c r="A16521" s="2" t="s">
        <v>16521</v>
      </c>
      <c r="B16521" s="2" t="str">
        <f>IFERROR(__xludf.DUMMYFUNCTION("GOOGLETRANSLATE(A16521, ""en"", ""mt"")"),"Fl-aħħar snin tal-era tal-apartheid, il-ġenituri fl-iskejjel tal-gvern abjad ingħataw l-għażla li jikkonvertu għal formola ""semi-privata"" imsejħa Mudell C, u ħafna minn dawn l-iskejjel biddlu l-politiki tal-ammissjonijiet tagħhom biex jaċċettaw tfal ta "&amp;"'razez oħra. Wara t-tranżizzjoni għad-demokrazija, il-forma legali ta '""Mudell Ċ"" ġiet abolita, madankollu, it-terminu jibqa' jintuża biex jiddeskrivi skejjel tal-gvern li qabel kienu riservati għal tfal bojod .. Dawn l-iskejjel għandhom it-tendenza li "&amp;"jipproduċu riżultati akkademiċi aħjar minn skejjel tal-gvern li qabel kienu riservati għal Gruppi oħra ta ’razza. L-iskejjel ta 'qabel ""Mudell C"" mhumiex skejjel privati, peress li huma kkontrollati mill-istat. L-iskejjel kollha fl-Afrika t'Isfel (inklu"&amp;"żi l-iskejjel indipendenti kif ukoll l-iskejjel pubbliċi) għandhom id-dritt li jistabbilixxu ħlasijiet obbligatorji tal-iskejjel, u l-iskejjel tal-Mudell C li qabel kienu għandhom it-tendenza li jistabbilixxu miżati tal-iskola ferm ogħla minn skejjel pubb"&amp;"liċi oħra.")</f>
        <v>Fl-aħħar snin tal-era tal-apartheid, il-ġenituri fl-iskejjel tal-gvern abjad ingħataw l-għażla li jikkonvertu għal formola "semi-privata" imsejħa Mudell C, u ħafna minn dawn l-iskejjel biddlu l-politiki tal-ammissjonijiet tagħhom biex jaċċettaw tfal ta 'razez oħra. Wara t-tranżizzjoni għad-demokrazija, il-forma legali ta '"Mudell Ċ" ġiet abolita, madankollu, it-terminu jibqa' jintuża biex jiddeskrivi skejjel tal-gvern li qabel kienu riservati għal tfal bojod .. Dawn l-iskejjel għandhom it-tendenza li jipproduċu riżultati akkademiċi aħjar minn skejjel tal-gvern li qabel kienu riservati għal Gruppi oħra ta ’razza. L-iskejjel ta 'qabel "Mudell C" mhumiex skejjel privati, peress li huma kkontrollati mill-istat. L-iskejjel kollha fl-Afrika t'Isfel (inklużi l-iskejjel indipendenti kif ukoll l-iskejjel pubbliċi) għandhom id-dritt li jistabbilixxu ħlasijiet obbligatorji tal-iskejjel, u l-iskejjel tal-Mudell C li qabel kienu għandhom it-tendenza li jistabbilixxu miżati tal-iskola ferm ogħla minn skejjel pubbliċi oħra.</v>
      </c>
    </row>
    <row r="16522" ht="15.75" customHeight="1">
      <c r="A16522" s="2" t="s">
        <v>16522</v>
      </c>
      <c r="B16522" s="2" t="str">
        <f>IFERROR(__xludf.DUMMYFUNCTION("GOOGLETRANSLATE(A16522, ""en"", ""mt"")"),"Nieuwe Maas")</f>
        <v>Nieuwe Maas</v>
      </c>
    </row>
    <row r="16523" ht="15.75" customHeight="1">
      <c r="A16523" s="2" t="s">
        <v>16523</v>
      </c>
      <c r="B16523" s="2" t="str">
        <f>IFERROR(__xludf.DUMMYFUNCTION("GOOGLETRANSLATE(A16523, ""en"", ""mt"")"),"X'jiġri l-moviment b'veloċità kostanti?")</f>
        <v>X'jiġri l-moviment b'veloċità kostanti?</v>
      </c>
    </row>
    <row r="16524" ht="15.75" customHeight="1">
      <c r="A16524" s="2" t="s">
        <v>16524</v>
      </c>
      <c r="B16524" s="2" t="str">
        <f>IFERROR(__xludf.DUMMYFUNCTION("GOOGLETRANSLATE(A16524, ""en"", ""mt"")"),"Fl-1987, qorti tal-Knisja Metodista Magħquda fi New Hampshire ħassret il-Ministru Metodista Rose Mary Denman talli tgħix miftuħ ma 'sieħeb tal-istess sess. Fl-2005, il-kredenzjali tal-kleru tneħħew minn Irene Elizabeth Stroud wara li nstabet ħatja fi proċ"&amp;"ess tal-knisja li kisret il-liġi tal-knisja billi involviet f'relazzjoni lesbjana; Din il-kundanna ġiet ikkonfermata aktar tard mill-Kunsill Ġudizzjarju, l-ogħla qorti fid-denominazzjoni. Il-Kunsill Ġudizzjarju afferma wkoll li ragħaj ta ’Virginia kellu d"&amp;"-dritt li jiċħad is-sħubija tal-knisja lokali lil raġel f’relazzjoni miftuħa omosesswali. Din l-affermazzjoni, madankollu, kienet ibbażata fuq id-dritt ta 'ragħaj anzjan li jiġġudika l-prontezza ta' kongregant biex jingħaqad bħala membru sħiħ tal-knisja. "&amp;"Madankollu, fl-istess ħin, il-Kunsill Ġudizzjarju tal-UMC, fl-2008, iddeċieda li l-konferenzi jistgħu jiddeterminaw il-politika tagħhom relatata mar-ragħajja transġeneru, u għalhekk xi konferenzi reġjonali vvutaw biex jirrikonoxxu r-ragħajja transġeneru o"&amp;"rdnati. Il-Konferenza ta 'l-UMC ta' Baltimore-Washington approvat il-ħatra ta 'lesbjani msieħba b'mod miftuħ għad-djakonat proviżorju.")</f>
        <v>Fl-1987, qorti tal-Knisja Metodista Magħquda fi New Hampshire ħassret il-Ministru Metodista Rose Mary Denman talli tgħix miftuħ ma 'sieħeb tal-istess sess. Fl-2005, il-kredenzjali tal-kleru tneħħew minn Irene Elizabeth Stroud wara li nstabet ħatja fi proċess tal-knisja li kisret il-liġi tal-knisja billi involviet f'relazzjoni lesbjana; Din il-kundanna ġiet ikkonfermata aktar tard mill-Kunsill Ġudizzjarju, l-ogħla qorti fid-denominazzjoni. Il-Kunsill Ġudizzjarju afferma wkoll li ragħaj ta ’Virginia kellu d-dritt li jiċħad is-sħubija tal-knisja lokali lil raġel f’relazzjoni miftuħa omosesswali. Din l-affermazzjoni, madankollu, kienet ibbażata fuq id-dritt ta 'ragħaj anzjan li jiġġudika l-prontezza ta' kongregant biex jingħaqad bħala membru sħiħ tal-knisja. Madankollu, fl-istess ħin, il-Kunsill Ġudizzjarju tal-UMC, fl-2008, iddeċieda li l-konferenzi jistgħu jiddeterminaw il-politika tagħhom relatata mar-ragħajja transġeneru, u għalhekk xi konferenzi reġjonali vvutaw biex jirrikonoxxu r-ragħajja transġeneru ordnati. Il-Konferenza ta 'l-UMC ta' Baltimore-Washington approvat il-ħatra ta 'lesbjani msieħba b'mod miftuħ għad-djakonat proviżorju.</v>
      </c>
    </row>
    <row r="16525" ht="15.75" customHeight="1">
      <c r="A16525" s="2" t="s">
        <v>16525</v>
      </c>
      <c r="B16525" s="2" t="str">
        <f>IFERROR(__xludf.DUMMYFUNCTION("GOOGLETRANSLATE(A16525, ""en"", ""mt"")"),"ħażin")</f>
        <v>ħażin</v>
      </c>
    </row>
    <row r="16526" ht="15.75" customHeight="1">
      <c r="A16526" s="2" t="s">
        <v>16526</v>
      </c>
      <c r="B16526" s="2" t="str">
        <f>IFERROR(__xludf.DUMMYFUNCTION("GOOGLETRANSLATE(A16526, ""en"", ""mt"")"),"tribujiet li ma riedux jagħmlu negozju mal-Ingliżi")</f>
        <v>tribujiet li ma riedux jagħmlu negozju mal-Ingliżi</v>
      </c>
    </row>
    <row r="16527" ht="15.75" customHeight="1">
      <c r="A16527" s="2" t="s">
        <v>16527</v>
      </c>
      <c r="B16527" s="2" t="str">
        <f>IFERROR(__xludf.DUMMYFUNCTION("GOOGLETRANSLATE(A16527, ""en"", ""mt"")"),"Meta ġew miġġielda l-gwerer tar-reliġjon?")</f>
        <v>Meta ġew miġġielda l-gwerer tar-reliġjon?</v>
      </c>
    </row>
    <row r="16528" ht="15.75" customHeight="1">
      <c r="A16528" s="2" t="s">
        <v>16528</v>
      </c>
      <c r="B16528" s="2" t="str">
        <f>IFERROR(__xludf.DUMMYFUNCTION("GOOGLETRANSLATE(A16528, ""en"", ""mt"")"),"36")</f>
        <v>36</v>
      </c>
    </row>
    <row r="16529" ht="15.75" customHeight="1">
      <c r="A16529" s="2" t="s">
        <v>16529</v>
      </c>
      <c r="B16529" s="2" t="str">
        <f>IFERROR(__xludf.DUMMYFUNCTION("GOOGLETRANSLATE(A16529, ""en"", ""mt"")"),"Xi jħossu Rosenfield għandu l-iktar rwol sinifikanti fl-espansjoni tad-distakk fid-dħul?")</f>
        <v>Xi jħossu Rosenfield għandu l-iktar rwol sinifikanti fl-espansjoni tad-distakk fid-dħul?</v>
      </c>
    </row>
    <row r="16530" ht="15.75" customHeight="1">
      <c r="A16530" s="2" t="s">
        <v>16530</v>
      </c>
      <c r="B16530" s="2" t="str">
        <f>IFERROR(__xludf.DUMMYFUNCTION("GOOGLETRANSLATE(A16530, ""en"", ""mt"")"),"Céloron hedded ""Brittaniku qadim""")</f>
        <v>Céloron hedded "Brittaniku qadim"</v>
      </c>
    </row>
    <row r="16531" ht="15.75" customHeight="1">
      <c r="A16531" s="2" t="s">
        <v>16531</v>
      </c>
      <c r="B16531" s="2" t="str">
        <f>IFERROR(__xludf.DUMMYFUNCTION("GOOGLETRANSLATE(A16531, ""en"", ""mt"")"),"Mohandas Gandhi")</f>
        <v>Mohandas Gandhi</v>
      </c>
    </row>
    <row r="16532" ht="15.75" customHeight="1">
      <c r="A16532" s="2" t="s">
        <v>16532</v>
      </c>
      <c r="B16532" s="2" t="str">
        <f>IFERROR(__xludf.DUMMYFUNCTION("GOOGLETRANSLATE(A16532, ""en"", ""mt"")"),"Liema liġi tgħaqqad veloċitajiet relattivi ma 'inerzja?")</f>
        <v>Liema liġi tgħaqqad veloċitajiet relattivi ma 'inerzja?</v>
      </c>
    </row>
    <row r="16533" ht="15.75" customHeight="1">
      <c r="A16533" s="2" t="s">
        <v>16533</v>
      </c>
      <c r="B16533" s="2" t="str">
        <f>IFERROR(__xludf.DUMMYFUNCTION("GOOGLETRANSLATE(A16533, ""en"", ""mt"")"),"Protokoll tal-Internet (IP)")</f>
        <v>Protokoll tal-Internet (IP)</v>
      </c>
    </row>
    <row r="16534" ht="15.75" customHeight="1">
      <c r="A16534" s="2" t="s">
        <v>16534</v>
      </c>
      <c r="B16534" s="2" t="str">
        <f>IFERROR(__xludf.DUMMYFUNCTION("GOOGLETRANSLATE(A16534, ""en"", ""mt"")"),"Muggers, Arsonists, Abbozzi ta ’Evaders, Hecklers tal-Kampanja, Militanti tal-Kampus, Dimostraturi Kontra l-Gwerra, Delinkwenti tal-Minorenni u Assassini Politiċi")</f>
        <v>Muggers, Arsonists, Abbozzi ta ’Evaders, Hecklers tal-Kampanja, Militanti tal-Kampus, Dimostraturi Kontra l-Gwerra, Delinkwenti tal-Minorenni u Assassini Politiċi</v>
      </c>
    </row>
    <row r="16535" ht="15.75" customHeight="1">
      <c r="A16535" s="2" t="s">
        <v>16535</v>
      </c>
      <c r="B16535" s="2" t="str">
        <f>IFERROR(__xludf.DUMMYFUNCTION("GOOGLETRANSLATE(A16535, ""en"", ""mt"")"),"Steven Moffat")</f>
        <v>Steven Moffat</v>
      </c>
    </row>
    <row r="16536" ht="15.75" customHeight="1">
      <c r="A16536" s="2" t="s">
        <v>16536</v>
      </c>
      <c r="B16536" s="2" t="str">
        <f>IFERROR(__xludf.DUMMYFUNCTION("GOOGLETRANSLATE(A16536, ""en"", ""mt"")"),"il-hostmen")</f>
        <v>il-hostmen</v>
      </c>
    </row>
    <row r="16537" ht="15.75" customHeight="1">
      <c r="A16537" s="2" t="s">
        <v>16537</v>
      </c>
      <c r="B16537" s="2" t="str">
        <f>IFERROR(__xludf.DUMMYFUNCTION("GOOGLETRANSLATE(A16537, ""en"", ""mt"")"),"Kif tissejjaħ meta r-rata tat-taxxa u l-ammont tal-bażi jiżdiedu fl-istess ħin?")</f>
        <v>Kif tissejjaħ meta r-rata tat-taxxa u l-ammont tal-bażi jiżdiedu fl-istess ħin?</v>
      </c>
    </row>
    <row r="16538" ht="15.75" customHeight="1">
      <c r="A16538" s="2" t="s">
        <v>16538</v>
      </c>
      <c r="B16538" s="2" t="str">
        <f>IFERROR(__xludf.DUMMYFUNCTION("GOOGLETRANSLATE(A16538, ""en"", ""mt"")"),"L'umanita")</f>
        <v>L'umanita</v>
      </c>
    </row>
    <row r="16539" ht="15.75" customHeight="1">
      <c r="A16539" s="2" t="s">
        <v>16539</v>
      </c>
      <c r="B16539" s="2" t="str">
        <f>IFERROR(__xludf.DUMMYFUNCTION("GOOGLETRANSLATE(A16539, ""en"", ""mt"")"),"Għalliema tal-iskola elementari")</f>
        <v>Għalliema tal-iskola elementari</v>
      </c>
    </row>
    <row r="16540" ht="15.75" customHeight="1">
      <c r="A16540" s="2" t="s">
        <v>16540</v>
      </c>
      <c r="B16540" s="2" t="str">
        <f>IFERROR(__xludf.DUMMYFUNCTION("GOOGLETRANSLATE(A16540, ""en"", ""mt"")"),"Liema raġuni tingħata xi kultant biex tinvoka li mhux ħati li tinvolvi dawn il-kwistjonijiet?")</f>
        <v>Liema raġuni tingħata xi kultant biex tinvoka li mhux ħati li tinvolvi dawn il-kwistjonijiet?</v>
      </c>
    </row>
    <row r="16541" ht="15.75" customHeight="1">
      <c r="A16541" s="2" t="s">
        <v>16541</v>
      </c>
      <c r="B16541" s="2" t="str">
        <f>IFERROR(__xludf.DUMMYFUNCTION("GOOGLETRANSLATE(A16541, ""en"", ""mt"")"),"Tatar Chieftain, Temüjin-üge")</f>
        <v>Tatar Chieftain, Temüjin-üge</v>
      </c>
    </row>
    <row r="16542" ht="15.75" customHeight="1">
      <c r="A16542" s="2" t="s">
        <v>16542</v>
      </c>
      <c r="B16542" s="2" t="str">
        <f>IFERROR(__xludf.DUMMYFUNCTION("GOOGLETRANSLATE(A16542, ""en"", ""mt"")"),"Min ikkontrolla Sqallija quddiem in-Normanni?")</f>
        <v>Min ikkontrolla Sqallija quddiem in-Normanni?</v>
      </c>
    </row>
    <row r="16543" ht="15.75" customHeight="1">
      <c r="A16543" s="2" t="s">
        <v>16543</v>
      </c>
      <c r="B16543" s="2" t="str">
        <f>IFERROR(__xludf.DUMMYFUNCTION("GOOGLETRANSLATE(A16543, ""en"", ""mt"")"),"barrani")</f>
        <v>barrani</v>
      </c>
    </row>
    <row r="16544" ht="15.75" customHeight="1">
      <c r="A16544" s="2" t="s">
        <v>16544</v>
      </c>
      <c r="B16544" s="2" t="str">
        <f>IFERROR(__xludf.DUMMYFUNCTION("GOOGLETRANSLATE(A16544, ""en"", ""mt"")"),"Netwerk tal-Fondazzjoni Nazzjonali tax-Xjenza")</f>
        <v>Netwerk tal-Fondazzjoni Nazzjonali tax-Xjenza</v>
      </c>
    </row>
    <row r="16545" ht="15.75" customHeight="1">
      <c r="A16545" s="2" t="s">
        <v>16545</v>
      </c>
      <c r="B16545" s="2" t="str">
        <f>IFERROR(__xludf.DUMMYFUNCTION("GOOGLETRANSLATE(A16545, ""en"", ""mt"")"),"Mount Bogong")</f>
        <v>Mount Bogong</v>
      </c>
    </row>
    <row r="16546" ht="15.75" customHeight="1">
      <c r="A16546" s="2" t="s">
        <v>16546</v>
      </c>
      <c r="B16546" s="2" t="str">
        <f>IFERROR(__xludf.DUMMYFUNCTION("GOOGLETRANSLATE(A16546, ""en"", ""mt"")"),"bajjiet")</f>
        <v>bajjiet</v>
      </c>
    </row>
    <row r="16547" ht="15.75" customHeight="1">
      <c r="A16547" s="2" t="s">
        <v>16547</v>
      </c>
      <c r="B16547" s="2" t="str">
        <f>IFERROR(__xludf.DUMMYFUNCTION("GOOGLETRANSLATE(A16547, ""en"", ""mt"")"),"Kummissjoni v Franza")</f>
        <v>Kummissjoni v Franza</v>
      </c>
    </row>
    <row r="16548" ht="15.75" customHeight="1">
      <c r="A16548" s="2" t="s">
        <v>16548</v>
      </c>
      <c r="B16548" s="2" t="str">
        <f>IFERROR(__xludf.DUMMYFUNCTION("GOOGLETRANSLATE(A16548, ""en"", ""mt"")"),"Ikkastiga lin-nies ta 'Miami ta' Pickawillany talli ma segwewx l-ordnijiet ta 'Céloron biex jieqfu jinnegozjaw mal-Ingliżi")</f>
        <v>Ikkastiga lin-nies ta 'Miami ta' Pickawillany talli ma segwewx l-ordnijiet ta 'Céloron biex jieqfu jinnegozjaw mal-Ingliżi</v>
      </c>
    </row>
    <row r="16549" ht="15.75" customHeight="1">
      <c r="A16549" s="2" t="s">
        <v>16549</v>
      </c>
      <c r="B16549" s="2" t="str">
        <f>IFERROR(__xludf.DUMMYFUNCTION("GOOGLETRANSLATE(A16549, ""en"", ""mt"")"),"F’liema sena t-Tabib Min iddikjara li kien l-aħħar darba Mulej?")</f>
        <v>F’liema sena t-Tabib Min iddikjara li kien l-aħħar darba Mulej?</v>
      </c>
    </row>
    <row r="16550" ht="15.75" customHeight="1">
      <c r="A16550" s="2" t="s">
        <v>16550</v>
      </c>
      <c r="B16550" s="2" t="str">
        <f>IFERROR(__xludf.DUMMYFUNCTION("GOOGLETRANSLATE(A16550, ""en"", ""mt"")"),"Telf ta 'fertilità tal-ħamrija u invażjoni tal-ħaxix ħażin")</f>
        <v>Telf ta 'fertilità tal-ħamrija u invażjoni tal-ħaxix ħażin</v>
      </c>
    </row>
    <row r="16551" ht="15.75" customHeight="1">
      <c r="A16551" s="2" t="s">
        <v>16551</v>
      </c>
      <c r="B16551" s="2" t="str">
        <f>IFERROR(__xludf.DUMMYFUNCTION("GOOGLETRANSLATE(A16551, ""en"", ""mt"")"),"Braddock (ma 'George Washington bħala wieħed mill-assistenti tiegħu) mexxa madwar 1,500 truppa tal-armata u milizja provinċjali fuq spedizzjoni f'Ġunju 1755 biex jieħu Fort Duquesne. L-ispedizzjoni kienet diżastru. Ġie attakkat minn suldati Franċiżi u Ind"&amp;"jani li joħorġuhom minn fuq fis-siġar u wara z-zkuk. Braddock talab għal irtir. Huwa nqatel. Madwar 1,000 suldat Ingliż inqatlu jew indarbu. Il-500 truppa Ingliża li fadal, immexxija minn George Washington, irtiraw lejn Virginia. Żewġ avversarji futuri fi"&amp;"l-Gwerra Rivoluzzjonarja Amerikana, Washington u Thomas Gage, kellhom rwoli ewlenin fl-organizzazzjoni tal-irtir.")</f>
        <v>Braddock (ma 'George Washington bħala wieħed mill-assistenti tiegħu) mexxa madwar 1,500 truppa tal-armata u milizja provinċjali fuq spedizzjoni f'Ġunju 1755 biex jieħu Fort Duquesne. L-ispedizzjoni kienet diżastru. Ġie attakkat minn suldati Franċiżi u Indjani li joħorġuhom minn fuq fis-siġar u wara z-zkuk. Braddock talab għal irtir. Huwa nqatel. Madwar 1,000 suldat Ingliż inqatlu jew indarbu. Il-500 truppa Ingliża li fadal, immexxija minn George Washington, irtiraw lejn Virginia. Żewġ avversarji futuri fil-Gwerra Rivoluzzjonarja Amerikana, Washington u Thomas Gage, kellhom rwoli ewlenin fl-organizzazzjoni tal-irtir.</v>
      </c>
    </row>
    <row r="16552" ht="15.75" customHeight="1">
      <c r="A16552" s="2" t="s">
        <v>16552</v>
      </c>
      <c r="B16552" s="2" t="str">
        <f>IFERROR(__xludf.DUMMYFUNCTION("GOOGLETRANSLATE(A16552, ""en"", ""mt"")"),"Diviżjoni tal-kloroplast")</f>
        <v>Diviżjoni tal-kloroplast</v>
      </c>
    </row>
    <row r="16553" ht="15.75" customHeight="1">
      <c r="A16553" s="2" t="s">
        <v>16553</v>
      </c>
      <c r="B16553" s="2" t="str">
        <f>IFERROR(__xludf.DUMMYFUNCTION("GOOGLETRANSLATE(A16553, ""en"", ""mt"")"),"Min ordna lil Luther 'il bogħod mill-awto-riflessjoni u lejn il-mertu ta' Kristu?")</f>
        <v>Min ordna lil Luther 'il bogħod mill-awto-riflessjoni u lejn il-mertu ta' Kristu?</v>
      </c>
    </row>
    <row r="16554" ht="15.75" customHeight="1">
      <c r="A16554" s="2" t="s">
        <v>16554</v>
      </c>
      <c r="B16554" s="2" t="str">
        <f>IFERROR(__xludf.DUMMYFUNCTION("GOOGLETRANSLATE(A16554, ""en"", ""mt"")"),"L-awtorità ta 'min opponi t-teoloġija ta' Luther?")</f>
        <v>L-awtorità ta 'min opponi t-teoloġija ta' Luther?</v>
      </c>
    </row>
    <row r="16555" ht="15.75" customHeight="1">
      <c r="A16555" s="2" t="s">
        <v>16555</v>
      </c>
      <c r="B16555" s="2" t="str">
        <f>IFERROR(__xludf.DUMMYFUNCTION("GOOGLETRANSLATE(A16555, ""en"", ""mt"")"),"Dożi baxxi ta 'anti-infjammatorji xi kultant jintużaw ma' liema klassijiet ta 'mediċini?")</f>
        <v>Dożi baxxi ta 'anti-infjammatorji xi kultant jintużaw ma' liema klassijiet ta 'mediċini?</v>
      </c>
    </row>
    <row r="16556" ht="15.75" customHeight="1">
      <c r="A16556" s="2" t="s">
        <v>16556</v>
      </c>
      <c r="B16556" s="2" t="str">
        <f>IFERROR(__xludf.DUMMYFUNCTION("GOOGLETRANSLATE(A16556, ""en"", ""mt"")"),"assi finanzjarji")</f>
        <v>assi finanzjarji</v>
      </c>
    </row>
    <row r="16557" ht="15.75" customHeight="1">
      <c r="A16557" s="2" t="s">
        <v>16557</v>
      </c>
      <c r="B16557" s="2" t="str">
        <f>IFERROR(__xludf.DUMMYFUNCTION("GOOGLETRANSLATE(A16557, ""en"", ""mt"")"),"Liema pożizzjoni fl-ABC Thomas Murphy baqa 'għaddej wara li niżel bħala president?")</f>
        <v>Liema pożizzjoni fl-ABC Thomas Murphy baqa 'għaddej wara li niżel bħala president?</v>
      </c>
    </row>
    <row r="16558" ht="15.75" customHeight="1">
      <c r="A16558" s="2" t="s">
        <v>16558</v>
      </c>
      <c r="B16558" s="2" t="str">
        <f>IFERROR(__xludf.DUMMYFUNCTION("GOOGLETRANSLATE(A16558, ""en"", ""mt"")"),"Konferenza ta 'l-UMC ta' Baltimore-Washington")</f>
        <v>Konferenza ta 'l-UMC ta' Baltimore-Washington</v>
      </c>
    </row>
    <row r="16559" ht="15.75" customHeight="1">
      <c r="A16559" s="2" t="s">
        <v>16559</v>
      </c>
      <c r="B16559" s="2" t="str">
        <f>IFERROR(__xludf.DUMMYFUNCTION("GOOGLETRANSLATE(A16559, ""en"", ""mt"")"),"Meta tkellem dwar it-twemmin tiegħu f'intervista?")</f>
        <v>Meta tkellem dwar it-twemmin tiegħu f'intervista?</v>
      </c>
    </row>
    <row r="16560" ht="15.75" customHeight="1">
      <c r="A16560" s="2" t="s">
        <v>16560</v>
      </c>
      <c r="B16560" s="2" t="str">
        <f>IFERROR(__xludf.DUMMYFUNCTION("GOOGLETRANSLATE(A16560, ""en"", ""mt"")"),"Liema repubblika żammet il-kontroll tagħha tal-Iran?")</f>
        <v>Liema repubblika żammet il-kontroll tagħha tal-Iran?</v>
      </c>
    </row>
    <row r="16561" ht="15.75" customHeight="1">
      <c r="A16561" s="2" t="s">
        <v>16561</v>
      </c>
      <c r="B16561" s="2" t="str">
        <f>IFERROR(__xludf.DUMMYFUNCTION("GOOGLETRANSLATE(A16561, ""en"", ""mt"")"),"Ipproponi firxa ta 'figuri ta' popolazzjoni preinententi minn 7 miljun sa baxx daqs 4 miljun")</f>
        <v>Ipproponi firxa ta 'figuri ta' popolazzjoni preinententi minn 7 miljun sa baxx daqs 4 miljun</v>
      </c>
    </row>
    <row r="16562" ht="15.75" customHeight="1">
      <c r="A16562" s="2" t="s">
        <v>16562</v>
      </c>
      <c r="B16562" s="2" t="str">
        <f>IFERROR(__xludf.DUMMYFUNCTION("GOOGLETRANSLATE(A16562, ""en"", ""mt"")"),"Liema linja tat-tarzna kienet il-Broncos meta Manning tilef il-ballun fir-raba 'kwart?")</f>
        <v>Liema linja tat-tarzna kienet il-Broncos meta Manning tilef il-ballun fir-raba 'kwart?</v>
      </c>
    </row>
    <row r="16563" ht="15.75" customHeight="1">
      <c r="A16563" s="2" t="s">
        <v>16563</v>
      </c>
      <c r="B16563" s="2" t="str">
        <f>IFERROR(__xludf.DUMMYFUNCTION("GOOGLETRANSLATE(A16563, ""en"", ""mt"")"),"Zachęta National Gallery of Art")</f>
        <v>Zachęta National Gallery of Art</v>
      </c>
    </row>
    <row r="16564" ht="15.75" customHeight="1">
      <c r="A16564" s="2" t="s">
        <v>16564</v>
      </c>
      <c r="B16564" s="2" t="str">
        <f>IFERROR(__xludf.DUMMYFUNCTION("GOOGLETRANSLATE(A16564, ""en"", ""mt"")"),"Purus Arch")</f>
        <v>Purus Arch</v>
      </c>
    </row>
    <row r="16565" ht="15.75" customHeight="1">
      <c r="A16565" s="2" t="s">
        <v>16565</v>
      </c>
      <c r="B16565" s="2" t="str">
        <f>IFERROR(__xludf.DUMMYFUNCTION("GOOGLETRANSLATE(A16565, ""en"", ""mt"")"),"Typhoon inauspicious")</f>
        <v>Typhoon inauspicious</v>
      </c>
    </row>
    <row r="16566" ht="15.75" customHeight="1">
      <c r="A16566" s="2" t="s">
        <v>16566</v>
      </c>
      <c r="B16566" s="2" t="str">
        <f>IFERROR(__xludf.DUMMYFUNCTION("GOOGLETRANSLATE(A16566, ""en"", ""mt"")"),"Il-programmi akkademiċi ta 'Harvard joperaw fuq kalendarju tas-semestru li jibda fil-bidu ta' Settembru u jispiċċa f'nofs Mejju. L-universitarji tipikament jieħdu erba 'nofs korsijiet għal kull terminu u għandhom iżommu medja ta' erba 'korsijiet biex titq"&amp;"ies full-time. F’ħafna konċentrazzjonijiet, l-istudenti jistgħu jagħżlu li jsegwu programm bażiku jew programm eliġibbli għall-unuri li jeħtieġ teżi anzjana u / jew xogħol ta ’kors avvanzat. Studenti li jiggradwaw fl-aqwa 4-5% tal-klassi jingħataw gradi s"&amp;"umma cum laude, studenti fil-15% li ġejjin tal-klassi jingħataw Magna Cum Laude, u t-30% li jmiss tal-klassi jingħataw cum laude. Harvard għandu kapitoli ta 'soċjetajiet ta' unur akkademiku bħal Phi Beta Kappa u kumitati u dipartimenti varji wkoll jagħtu "&amp;"wkoll bosta mijiet ta 'premjijiet imsemmija kull sena. Harvard, flimkien ma 'universitajiet oħra, ġie akkużat b'inflazzjoni ta' grad, għalkemm hemm evidenza li l-kwalità tal-korp tal-istudenti u l-motivazzjoni tiegħu żdiedet ukoll. Il-Kulleġġ ta 'Harvard "&amp;"naqqas in-numru ta' studenti li jirċievu unuri Latini minn 90% fl-2004 għal 60% fl-2005. Barra minn hekk, l-unuri ta '""John Harvard Scholar"" u ""Harvard College Scholar"" issa se jingħataw biss lill-aqwa 5 fil-mija u 5 fil-mija li jmiss ta 'kull klassi.")</f>
        <v>Il-programmi akkademiċi ta 'Harvard joperaw fuq kalendarju tas-semestru li jibda fil-bidu ta' Settembru u jispiċċa f'nofs Mejju. L-universitarji tipikament jieħdu erba 'nofs korsijiet għal kull terminu u għandhom iżommu medja ta' erba 'korsijiet biex titqies full-time. F’ħafna konċentrazzjonijiet, l-istudenti jistgħu jagħżlu li jsegwu programm bażiku jew programm eliġibbli għall-unuri li jeħtieġ teżi anzjana u / jew xogħol ta ’kors avvanzat. Studenti li jiggradwaw fl-aqwa 4-5% tal-klassi jingħataw gradi summa cum laude, studenti fil-15% li ġejjin tal-klassi jingħataw Magna Cum Laude, u t-30% li jmiss tal-klassi jingħataw cum laude. Harvard għandu kapitoli ta 'soċjetajiet ta' unur akkademiku bħal Phi Beta Kappa u kumitati u dipartimenti varji wkoll jagħtu wkoll bosta mijiet ta 'premjijiet imsemmija kull sena. Harvard, flimkien ma 'universitajiet oħra, ġie akkużat b'inflazzjoni ta' grad, għalkemm hemm evidenza li l-kwalità tal-korp tal-istudenti u l-motivazzjoni tiegħu żdiedet ukoll. Il-Kulleġġ ta 'Harvard naqqas in-numru ta' studenti li jirċievu unuri Latini minn 90% fl-2004 għal 60% fl-2005. Barra minn hekk, l-unuri ta '"John Harvard Scholar" u "Harvard College Scholar" issa se jingħataw biss lill-aqwa 5 fil-mija u 5 fil-mija li jmiss ta 'kull klassi.</v>
      </c>
    </row>
    <row r="16567" ht="15.75" customHeight="1">
      <c r="A16567" s="2" t="s">
        <v>16567</v>
      </c>
      <c r="B16567" s="2" t="str">
        <f>IFERROR(__xludf.DUMMYFUNCTION("GOOGLETRANSLATE(A16567, ""en"", ""mt"")"),"L-istudenti kif jitgħallmu dwar il-knisja?")</f>
        <v>L-istudenti kif jitgħallmu dwar il-knisja?</v>
      </c>
    </row>
    <row r="16568" ht="15.75" customHeight="1">
      <c r="A16568" s="2" t="s">
        <v>16568</v>
      </c>
      <c r="B16568" s="2" t="str">
        <f>IFERROR(__xludf.DUMMYFUNCTION("GOOGLETRANSLATE(A16568, ""en"", ""mt"")"),"Valur taċ-zokkor tal-gżejjer tal-Karibew")</f>
        <v>Valur taċ-zokkor tal-gżejjer tal-Karibew</v>
      </c>
    </row>
    <row r="16569" ht="15.75" customHeight="1">
      <c r="A16569" s="2" t="s">
        <v>16569</v>
      </c>
      <c r="B16569" s="2" t="str">
        <f>IFERROR(__xludf.DUMMYFUNCTION("GOOGLETRANSLATE(A16569, ""en"", ""mt"")"),"L-istoriku Frederick W. Mote kiteb li l-użu tat-terminu ""klassijiet soċjali"" għal din is-sistema kien qarrieqi u li l-pożizzjoni ta 'nies fis-sistema ta' erba 'klassi ma kinitx indikazzjoni tal-poter u l-ġid soċjali attwali tagħhom, iżda kienet tinvolvi"&amp;" biss "" gradi ta 'privileġġ ""li għalihom kienu intitolati istituzzjonalment u legalment, u għalhekk il-wieqfa ta' persuna fil-klassijiet ma kinitx garanzija tal-wieqfa tagħha, peress li kien hemm Ċiniżi sinjuri u soċjalment soċjalment waqt li kien hemm "&amp;"inqas sinjuri Mongol u semu milli kien hemm Mongolju u Semu li għex fil-faqar u kien trattat ħażin.")</f>
        <v>L-istoriku Frederick W. Mote kiteb li l-użu tat-terminu "klassijiet soċjali" għal din is-sistema kien qarrieqi u li l-pożizzjoni ta 'nies fis-sistema ta' erba 'klassi ma kinitx indikazzjoni tal-poter u l-ġid soċjali attwali tagħhom, iżda kienet tinvolvi biss " gradi ta 'privileġġ "li għalihom kienu intitolati istituzzjonalment u legalment, u għalhekk il-wieqfa ta' persuna fil-klassijiet ma kinitx garanzija tal-wieqfa tagħha, peress li kien hemm Ċiniżi sinjuri u soċjalment soċjalment waqt li kien hemm inqas sinjuri Mongol u semu milli kien hemm Mongolju u Semu li għex fil-faqar u kien trattat ħażin.</v>
      </c>
    </row>
    <row r="16570" ht="15.75" customHeight="1">
      <c r="A16570" s="2" t="s">
        <v>16570</v>
      </c>
      <c r="B16570" s="2" t="str">
        <f>IFERROR(__xludf.DUMMYFUNCTION("GOOGLETRANSLATE(A16570, ""en"", ""mt"")"),"NBA")</f>
        <v>NBA</v>
      </c>
    </row>
    <row r="16571" ht="15.75" customHeight="1">
      <c r="A16571" s="2" t="s">
        <v>16571</v>
      </c>
      <c r="B16571" s="2" t="str">
        <f>IFERROR(__xludf.DUMMYFUNCTION("GOOGLETRANSLATE(A16571, ""en"", ""mt"")"),"Għal xiex din l-aġitazzjoni pprovdiet materjal ta 'ġenerazzjonijiet aktar tard?")</f>
        <v>Għal xiex din l-aġitazzjoni pprovdiet materjal ta 'ġenerazzjonijiet aktar tard?</v>
      </c>
    </row>
    <row r="16572" ht="15.75" customHeight="1">
      <c r="A16572" s="2" t="s">
        <v>16572</v>
      </c>
      <c r="B16572" s="2" t="str">
        <f>IFERROR(__xludf.DUMMYFUNCTION("GOOGLETRANSLATE(A16572, ""en"", ""mt"")"),"Liema fiżiċista Ingliż famuż u matematiku kien jidher fid-daħla tal-bieb tal-bronż prinċipali tal-mużew?")</f>
        <v>Liema fiżiċista Ingliż famuż u matematiku kien jidher fid-daħla tal-bieb tal-bronż prinċipali tal-mużew?</v>
      </c>
    </row>
    <row r="16573" ht="15.75" customHeight="1">
      <c r="A16573" s="2" t="s">
        <v>16573</v>
      </c>
      <c r="B16573" s="2" t="str">
        <f>IFERROR(__xludf.DUMMYFUNCTION("GOOGLETRANSLATE(A16573, ""en"", ""mt"")"),"Meta ġew imħassra l-interess finanzjarju u s-sindakazzjoni?")</f>
        <v>Meta ġew imħassra l-interess finanzjarju u s-sindakazzjoni?</v>
      </c>
    </row>
    <row r="16574" ht="15.75" customHeight="1">
      <c r="A16574" s="2" t="s">
        <v>16574</v>
      </c>
      <c r="B16574" s="2" t="str">
        <f>IFERROR(__xludf.DUMMYFUNCTION("GOOGLETRANSLATE(A16574, ""en"", ""mt"")"),"Liema ħakkiem, minbarra John of Saxony u Philip of Hesse, iffurmaw il-Lega Schmalkaldic?")</f>
        <v>Liema ħakkiem, minbarra John of Saxony u Philip of Hesse, iffurmaw il-Lega Schmalkaldic?</v>
      </c>
    </row>
    <row r="16575" ht="15.75" customHeight="1">
      <c r="A16575" s="2" t="s">
        <v>16575</v>
      </c>
      <c r="B16575" s="2" t="str">
        <f>IFERROR(__xludf.DUMMYFUNCTION("GOOGLETRANSLATE(A16575, ""en"", ""mt"")"),"aktar minn 14,000")</f>
        <v>aktar minn 14,000</v>
      </c>
    </row>
    <row r="16576" ht="15.75" customHeight="1">
      <c r="A16576" s="2" t="s">
        <v>16576</v>
      </c>
      <c r="B16576" s="2" t="str">
        <f>IFERROR(__xludf.DUMMYFUNCTION("GOOGLETRANSLATE(A16576, ""en"", ""mt"")"),"9.75 / 10.600 GHz")</f>
        <v>9.75 / 10.600 GHz</v>
      </c>
    </row>
    <row r="16577" ht="15.75" customHeight="1">
      <c r="A16577" s="2" t="s">
        <v>16577</v>
      </c>
      <c r="B16577" s="2" t="str">
        <f>IFERROR(__xludf.DUMMYFUNCTION("GOOGLETRANSLATE(A16577, ""en"", ""mt"")"),"Ipproponi firxa ta 'figuri tal-popolazzjoni preinententi")</f>
        <v>Ipproponi firxa ta 'figuri tal-popolazzjoni preinententi</v>
      </c>
    </row>
    <row r="16578" ht="15.75" customHeight="1">
      <c r="A16578" s="2" t="s">
        <v>16578</v>
      </c>
      <c r="B16578" s="2" t="str">
        <f>IFERROR(__xludf.DUMMYFUNCTION("GOOGLETRANSLATE(A16578, ""en"", ""mt"")"),"X'tip ta 'ċelloli T joqtlu ċelloli li huma infettati bil-patoġeni?")</f>
        <v>X'tip ta 'ċelloli T joqtlu ċelloli li huma infettati bil-patoġeni?</v>
      </c>
    </row>
    <row r="16579" ht="15.75" customHeight="1">
      <c r="A16579" s="2" t="s">
        <v>16579</v>
      </c>
      <c r="B16579" s="2" t="str">
        <f>IFERROR(__xludf.DUMMYFUNCTION("GOOGLETRANSLATE(A16579, ""en"", ""mt"")"),"48.8 ° C.")</f>
        <v>48.8 ° C.</v>
      </c>
    </row>
    <row r="16580" ht="15.75" customHeight="1">
      <c r="A16580" s="2" t="s">
        <v>16580</v>
      </c>
      <c r="B16580" s="2" t="str">
        <f>IFERROR(__xludf.DUMMYFUNCTION("GOOGLETRANSLATE(A16580, ""en"", ""mt"")"),"il-perspettiva tal-oġġett")</f>
        <v>il-perspettiva tal-oġġett</v>
      </c>
    </row>
    <row r="16581" ht="15.75" customHeight="1">
      <c r="A16581" s="2" t="s">
        <v>16581</v>
      </c>
      <c r="B16581" s="2" t="str">
        <f>IFERROR(__xludf.DUMMYFUNCTION("GOOGLETRANSLATE(A16581, ""en"", ""mt"")"),"Kif jidher it-TARDIS?")</f>
        <v>Kif jidher it-TARDIS?</v>
      </c>
    </row>
    <row r="16582" ht="15.75" customHeight="1">
      <c r="A16582" s="2" t="s">
        <v>16582</v>
      </c>
      <c r="B16582" s="2" t="str">
        <f>IFERROR(__xludf.DUMMYFUNCTION("GOOGLETRANSLATE(A16582, ""en"", ""mt"")"),"Mappa barra l-artijiet antenati tagħhom biex tgħin biex isaħħu t-talbiet territorjali tagħhom")</f>
        <v>Mappa barra l-artijiet antenati tagħhom biex tgħin biex isaħħu t-talbiet territorjali tagħhom</v>
      </c>
    </row>
    <row r="16583" ht="15.75" customHeight="1">
      <c r="A16583" s="2" t="s">
        <v>16583</v>
      </c>
      <c r="B16583" s="2" t="str">
        <f>IFERROR(__xludf.DUMMYFUNCTION("GOOGLETRANSLATE(A16583, ""en"", ""mt"")"),"Avtozaz")</f>
        <v>Avtozaz</v>
      </c>
    </row>
    <row r="16584" ht="15.75" customHeight="1">
      <c r="A16584" s="2" t="s">
        <v>16584</v>
      </c>
      <c r="B16584" s="2" t="str">
        <f>IFERROR(__xludf.DUMMYFUNCTION("GOOGLETRANSLATE(A16584, ""en"", ""mt"")"),"L-ekwazzjoni ta 'Schrödinger")</f>
        <v>L-ekwazzjoni ta 'Schrödinger</v>
      </c>
    </row>
    <row r="16585" ht="15.75" customHeight="1">
      <c r="A16585" s="2" t="s">
        <v>16585</v>
      </c>
      <c r="B16585" s="2" t="str">
        <f>IFERROR(__xludf.DUMMYFUNCTION("GOOGLETRANSLATE(A16585, ""en"", ""mt"")"),"Min iddikjara li John Jortin fehem ħażin lil Luther?")</f>
        <v>Min iddikjara li John Jortin fehem ħażin lil Luther?</v>
      </c>
    </row>
    <row r="16586" ht="15.75" customHeight="1">
      <c r="A16586" s="2" t="s">
        <v>16586</v>
      </c>
      <c r="B16586" s="2" t="str">
        <f>IFERROR(__xludf.DUMMYFUNCTION("GOOGLETRANSLATE(A16586, ""en"", ""mt"")"),"X'kienet il-klassifikazzjoni tal-quarterback ta 'Newton għall-2015?")</f>
        <v>X'kienet il-klassifikazzjoni tal-quarterback ta 'Newton għall-2015?</v>
      </c>
    </row>
    <row r="16587" ht="15.75" customHeight="1">
      <c r="A16587" s="2" t="s">
        <v>16587</v>
      </c>
      <c r="B16587" s="2" t="str">
        <f>IFERROR(__xludf.DUMMYFUNCTION("GOOGLETRANSLATE(A16587, ""en"", ""mt"")"),"Kif ġie ppreżentat Luther bħala immaġni biex ixerred il-Protestantiżmu?")</f>
        <v>Kif ġie ppreżentat Luther bħala immaġni biex ixerred il-Protestantiżmu?</v>
      </c>
    </row>
    <row r="16588" ht="15.75" customHeight="1">
      <c r="A16588" s="2" t="s">
        <v>16588</v>
      </c>
      <c r="B16588" s="2" t="str">
        <f>IFERROR(__xludf.DUMMYFUNCTION("GOOGLETRANSLATE(A16588, ""en"", ""mt"")"),"Besançon Hugues")</f>
        <v>Besançon Hugues</v>
      </c>
    </row>
    <row r="16589" ht="15.75" customHeight="1">
      <c r="A16589" s="2" t="s">
        <v>16589</v>
      </c>
      <c r="B16589" s="2" t="str">
        <f>IFERROR(__xludf.DUMMYFUNCTION("GOOGLETRANSLATE(A16589, ""en"", ""mt"")"),"In-natura li tista 'tinqata' tal-ħaddiem")</f>
        <v>In-natura li tista 'tinqata' tal-ħaddiem</v>
      </c>
    </row>
    <row r="16590" ht="15.75" customHeight="1">
      <c r="A16590" s="2" t="s">
        <v>16590</v>
      </c>
      <c r="B16590" s="2" t="str">
        <f>IFERROR(__xludf.DUMMYFUNCTION("GOOGLETRANSLATE(A16590, ""en"", ""mt"")"),"Żieda fl-iskrutinju fuq imġieba ħażina tal-għalliema")</f>
        <v>Żieda fl-iskrutinju fuq imġieba ħażina tal-għalliema</v>
      </c>
    </row>
    <row r="16591" ht="15.75" customHeight="1">
      <c r="A16591" s="2" t="s">
        <v>16591</v>
      </c>
      <c r="B16591" s="2" t="str">
        <f>IFERROR(__xludf.DUMMYFUNCTION("GOOGLETRANSLATE(A16591, ""en"", ""mt"")"),"Għal liema sena ġew il-bibien tas-sala tal-belt ta 'Antwerp fil-kollezzjoni V &amp; A?")</f>
        <v>Għal liema sena ġew il-bibien tas-sala tal-belt ta 'Antwerp fil-kollezzjoni V &amp; A?</v>
      </c>
    </row>
    <row r="16592" ht="15.75" customHeight="1">
      <c r="A16592" s="2" t="s">
        <v>16592</v>
      </c>
      <c r="B16592" s="2" t="str">
        <f>IFERROR(__xludf.DUMMYFUNCTION("GOOGLETRANSLATE(A16592, ""en"", ""mt"")"),"X'tip ta 'organizzazzjoni jkollha bżonn kwantitajiet kbar ta' ossiġnu pur?")</f>
        <v>X'tip ta 'organizzazzjoni jkollha bżonn kwantitajiet kbar ta' ossiġnu pur?</v>
      </c>
    </row>
    <row r="16593" ht="15.75" customHeight="1">
      <c r="A16593" s="2" t="s">
        <v>16593</v>
      </c>
      <c r="B16593" s="2" t="str">
        <f>IFERROR(__xludf.DUMMYFUNCTION("GOOGLETRANSLATE(A16593, ""en"", ""mt"")"),"Vampire")</f>
        <v>Vampire</v>
      </c>
    </row>
    <row r="16594" ht="15.75" customHeight="1">
      <c r="A16594" s="2" t="s">
        <v>16594</v>
      </c>
      <c r="B16594" s="2" t="str">
        <f>IFERROR(__xludf.DUMMYFUNCTION("GOOGLETRANSLATE(A16594, ""en"", ""mt"")"),"Meta nqasmet il-Knisja Protestanta Metodista mill-Knisja Episkopali Metodista?")</f>
        <v>Meta nqasmet il-Knisja Protestanta Metodista mill-Knisja Episkopali Metodista?</v>
      </c>
    </row>
    <row r="16595" ht="15.75" customHeight="1">
      <c r="A16595" s="2" t="s">
        <v>16595</v>
      </c>
      <c r="B16595" s="2" t="str">
        <f>IFERROR(__xludf.DUMMYFUNCTION("GOOGLETRANSLATE(A16595, ""en"", ""mt"")"),"F'numru ta 'stadji")</f>
        <v>F'numru ta 'stadji</v>
      </c>
    </row>
    <row r="16596" ht="15.75" customHeight="1">
      <c r="A16596" s="2" t="s">
        <v>16596</v>
      </c>
      <c r="B16596" s="2" t="str">
        <f>IFERROR(__xludf.DUMMYFUNCTION("GOOGLETRANSLATE(A16596, ""en"", ""mt"")"),"Fl-1935")</f>
        <v>Fl-1935</v>
      </c>
    </row>
    <row r="16597" ht="15.75" customHeight="1">
      <c r="A16597" s="2" t="s">
        <v>16597</v>
      </c>
      <c r="B16597" s="2" t="str">
        <f>IFERROR(__xludf.DUMMYFUNCTION("GOOGLETRANSLATE(A16597, ""en"", ""mt"")"),"It-Taliban kien daqshekk differenti minn mumenti oħra li jistgħu jiġu deskritti b'mod aktar preċiż bħala x'inhu?")</f>
        <v>It-Taliban kien daqshekk differenti minn mumenti oħra li jistgħu jiġu deskritti b'mod aktar preċiż bħala x'inhu?</v>
      </c>
    </row>
    <row r="16598" ht="15.75" customHeight="1">
      <c r="A16598" s="2" t="s">
        <v>16598</v>
      </c>
      <c r="B16598" s="2" t="str">
        <f>IFERROR(__xludf.DUMMYFUNCTION("GOOGLETRANSLATE(A16598, ""en"", ""mt"")"),"Meta tħares lil hinn mill-iżbark Lunar bl-ekwipaġġ, in-NASA investigat diversi applikazzjonijiet post-lunari għall-ħardwer Apollo. Is-Serje ta 'Estensjoni Apollo (Apollo X,) ipproponiet sa 30 titjira lejn l-orbita tad-Dinja, billi tuża l-ispazju fl-adapte"&amp;"r tal-modulu lunari spazjali (SLA) biex tospita laboratorju orbitali żgħir (workshop). L-astronawti jkomplu jużaw is-CSM bħala lanċa għall-istazzjon. Dan l-istudju kien segwit minn disinn ta 'workshop orbitali akbar li għandu jinbena fl-orbita minn stadju"&amp;" ta' fuq ta 'Saturn S-IVB vojt, u kiber fil-Programm ta' Applikazzjonijiet Apollo (AAP). Il-workshop kellu jiġi ssupplimentat mill-missjonijiet tat-teleskopju Apollo, li jissostitwixxu t-tagħmir tal-istadju tad-dixxendenza tal-LM u l-magna b'osservatorju "&amp;"tat-teleskopju solari. L-iktar pjan ambizzjuż talab għall-użu ta 'S-IVB vojt bħala vettura spazjali interplanetarja għal missjoni ta' Fly-by Venus.")</f>
        <v>Meta tħares lil hinn mill-iżbark Lunar bl-ekwipaġġ, in-NASA investigat diversi applikazzjonijiet post-lunari għall-ħardwer Apollo. Is-Serje ta 'Estensjoni Apollo (Apollo X,) ipproponiet sa 30 titjira lejn l-orbita tad-Dinja, billi tuża l-ispazju fl-adapter tal-modulu lunari spazjali (SLA) biex tospita laboratorju orbitali żgħir (workshop). L-astronawti jkomplu jużaw is-CSM bħala lanċa għall-istazzjon. Dan l-istudju kien segwit minn disinn ta 'workshop orbitali akbar li għandu jinbena fl-orbita minn stadju ta' fuq ta 'Saturn S-IVB vojt, u kiber fil-Programm ta' Applikazzjonijiet Apollo (AAP). Il-workshop kellu jiġi ssupplimentat mill-missjonijiet tat-teleskopju Apollo, li jissostitwixxu t-tagħmir tal-istadju tad-dixxendenza tal-LM u l-magna b'osservatorju tat-teleskopju solari. L-iktar pjan ambizzjuż talab għall-użu ta 'S-IVB vojt bħala vettura spazjali interplanetarja għal missjoni ta' Fly-by Venus.</v>
      </c>
    </row>
    <row r="16599" ht="15.75" customHeight="1">
      <c r="A16599" s="2" t="s">
        <v>16599</v>
      </c>
      <c r="B16599" s="2" t="str">
        <f>IFERROR(__xludf.DUMMYFUNCTION("GOOGLETRANSLATE(A16599, ""en"", ""mt"")"),"Eyn Geystlich Gesangk Buchleyn")</f>
        <v>Eyn Geystlich Gesangk Buchleyn</v>
      </c>
    </row>
    <row r="16600" ht="15.75" customHeight="1">
      <c r="A16600" s="2" t="s">
        <v>16600</v>
      </c>
      <c r="B16600" s="2" t="str">
        <f>IFERROR(__xludf.DUMMYFUNCTION("GOOGLETRANSLATE(A16600, ""en"", ""mt"")"),"Min kien in-nannu Kaidu?")</f>
        <v>Min kien in-nannu Kaidu?</v>
      </c>
    </row>
    <row r="16601" ht="15.75" customHeight="1">
      <c r="A16601" s="2" t="s">
        <v>16601</v>
      </c>
      <c r="B16601" s="2" t="str">
        <f>IFERROR(__xludf.DUMMYFUNCTION("GOOGLETRANSLATE(A16601, ""en"", ""mt"")"),"poeta")</f>
        <v>poeta</v>
      </c>
    </row>
    <row r="16602" ht="15.75" customHeight="1">
      <c r="A16602" s="2" t="s">
        <v>16602</v>
      </c>
      <c r="B16602" s="2" t="str">
        <f>IFERROR(__xludf.DUMMYFUNCTION("GOOGLETRANSLATE(A16602, ""en"", ""mt"")"),"TLC")</f>
        <v>TLC</v>
      </c>
    </row>
    <row r="16603" ht="15.75" customHeight="1">
      <c r="A16603" s="2" t="s">
        <v>16603</v>
      </c>
      <c r="B16603" s="2" t="str">
        <f>IFERROR(__xludf.DUMMYFUNCTION("GOOGLETRANSLATE(A16603, ""en"", ""mt"")"),"X'kien l-isem tal-ewwel Doctor Who Story rilaxxat bħala LP?")</f>
        <v>X'kien l-isem tal-ewwel Doctor Who Story rilaxxat bħala LP?</v>
      </c>
    </row>
    <row r="16604" ht="15.75" customHeight="1">
      <c r="A16604" s="2" t="s">
        <v>16604</v>
      </c>
      <c r="B16604" s="2" t="str">
        <f>IFERROR(__xludf.DUMMYFUNCTION("GOOGLETRANSLATE(A16604, ""en"", ""mt"")"),"Il-Knisja Kattolika Mqaddsa (jew Universali)")</f>
        <v>Il-Knisja Kattolika Mqaddsa (jew Universali)</v>
      </c>
    </row>
    <row r="16605" ht="15.75" customHeight="1">
      <c r="A16605" s="2" t="s">
        <v>16605</v>
      </c>
      <c r="B16605" s="2" t="str">
        <f>IFERROR(__xludf.DUMMYFUNCTION("GOOGLETRANSLATE(A16605, ""en"", ""mt"")"),"X'inhu l-eżami fl-aħħar tal-Formola Erba '?")</f>
        <v>X'inhu l-eżami fl-aħħar tal-Formola Erba '?</v>
      </c>
    </row>
    <row r="16606" ht="15.75" customHeight="1">
      <c r="A16606" s="2" t="s">
        <v>16606</v>
      </c>
      <c r="B16606" s="2" t="str">
        <f>IFERROR(__xludf.DUMMYFUNCTION("GOOGLETRANSLATE(A16606, ""en"", ""mt"")"),"in-nar tal-element klassiku")</f>
        <v>in-nar tal-element klassiku</v>
      </c>
    </row>
    <row r="16607" ht="15.75" customHeight="1">
      <c r="A16607" s="2" t="s">
        <v>16607</v>
      </c>
      <c r="B16607" s="2" t="str">
        <f>IFERROR(__xludf.DUMMYFUNCTION("GOOGLETRANSLATE(A16607, ""en"", ""mt"")"),"sieq l-arblu")</f>
        <v>sieq l-arblu</v>
      </c>
    </row>
    <row r="16608" ht="15.75" customHeight="1">
      <c r="A16608" s="2" t="s">
        <v>16608</v>
      </c>
      <c r="B16608" s="2" t="str">
        <f>IFERROR(__xludf.DUMMYFUNCTION("GOOGLETRANSLATE(A16608, ""en"", ""mt"")"),"Xi tfisser l-ATP?")</f>
        <v>Xi tfisser l-ATP?</v>
      </c>
    </row>
    <row r="16609" ht="15.75" customHeight="1">
      <c r="A16609" s="2" t="s">
        <v>16609</v>
      </c>
      <c r="B16609" s="2" t="str">
        <f>IFERROR(__xludf.DUMMYFUNCTION("GOOGLETRANSLATE(A16609, ""en"", ""mt"")"),"Fuq liema ġurnata kellha s-Super Bowl?")</f>
        <v>Fuq liema ġurnata kellha s-Super Bowl?</v>
      </c>
    </row>
    <row r="16610" ht="15.75" customHeight="1">
      <c r="A16610" s="2" t="s">
        <v>16610</v>
      </c>
      <c r="B16610" s="2" t="str">
        <f>IFERROR(__xludf.DUMMYFUNCTION("GOOGLETRANSLATE(A16610, ""en"", ""mt"")"),"Ġeneratur ta 'Van de Graaff")</f>
        <v>Ġeneratur ta 'Van de Graaff</v>
      </c>
    </row>
    <row r="16611" ht="15.75" customHeight="1">
      <c r="A16611" s="2" t="s">
        <v>16611</v>
      </c>
      <c r="B16611" s="2" t="str">
        <f>IFERROR(__xludf.DUMMYFUNCTION("GOOGLETRANSLATE(A16611, ""en"", ""mt"")"),"idrokarburi")</f>
        <v>idrokarburi</v>
      </c>
    </row>
    <row r="16612" ht="15.75" customHeight="1">
      <c r="A16612" s="2" t="s">
        <v>16612</v>
      </c>
      <c r="B16612" s="2" t="str">
        <f>IFERROR(__xludf.DUMMYFUNCTION("GOOGLETRANSLATE(A16612, ""en"", ""mt"")"),"Arthur Woolf")</f>
        <v>Arthur Woolf</v>
      </c>
    </row>
    <row r="16613" ht="15.75" customHeight="1">
      <c r="A16613" s="2" t="s">
        <v>16613</v>
      </c>
      <c r="B16613" s="2" t="str">
        <f>IFERROR(__xludf.DUMMYFUNCTION("GOOGLETRANSLATE(A16613, ""en"", ""mt"")"),"Progressittività tat-taxxa aktar wieqfa applikata għall-infiq soċjali")</f>
        <v>Progressittività tat-taxxa aktar wieqfa applikata għall-infiq soċjali</v>
      </c>
    </row>
    <row r="16614" ht="15.75" customHeight="1">
      <c r="A16614" s="2" t="s">
        <v>16614</v>
      </c>
      <c r="B16614" s="2" t="str">
        <f>IFERROR(__xludf.DUMMYFUNCTION("GOOGLETRANSLATE(A16614, ""en"", ""mt"")"),"Kemm-il sena jistgħu jisseparaw tifqigħat tal-Mewt l-Iswed?")</f>
        <v>Kemm-il sena jistgħu jisseparaw tifqigħat tal-Mewt l-Iswed?</v>
      </c>
    </row>
    <row r="16615" ht="15.75" customHeight="1">
      <c r="A16615" s="2" t="s">
        <v>16615</v>
      </c>
      <c r="B16615" s="2" t="str">
        <f>IFERROR(__xludf.DUMMYFUNCTION("GOOGLETRANSLATE(A16615, ""en"", ""mt"")"),"Bayeux Tapestry")</f>
        <v>Bayeux Tapestry</v>
      </c>
    </row>
    <row r="16616" ht="15.75" customHeight="1">
      <c r="A16616" s="2" t="s">
        <v>16616</v>
      </c>
      <c r="B16616" s="2" t="str">
        <f>IFERROR(__xludf.DUMMYFUNCTION("GOOGLETRANSLATE(A16616, ""en"", ""mt"")"),"Veru Iżlamiku")</f>
        <v>Veru Iżlamiku</v>
      </c>
    </row>
    <row r="16617" ht="15.75" customHeight="1">
      <c r="A16617" s="2" t="s">
        <v>16617</v>
      </c>
      <c r="B16617" s="2" t="str">
        <f>IFERROR(__xludf.DUMMYFUNCTION("GOOGLETRANSLATE(A16617, ""en"", ""mt"")"),"Magna biex ittemm il-gwerra")</f>
        <v>Magna biex ittemm il-gwerra</v>
      </c>
    </row>
    <row r="16618" ht="15.75" customHeight="1">
      <c r="A16618" s="2" t="s">
        <v>16618</v>
      </c>
      <c r="B16618" s="2" t="str">
        <f>IFERROR(__xludf.DUMMYFUNCTION("GOOGLETRANSLATE(A16618, ""en"", ""mt"")"),"X'inhi l-iktar temperatura rreġistrata ta 'Jacksonville?")</f>
        <v>X'inhi l-iktar temperatura rreġistrata ta 'Jacksonville?</v>
      </c>
    </row>
    <row r="16619" ht="15.75" customHeight="1">
      <c r="A16619" s="2" t="s">
        <v>16619</v>
      </c>
      <c r="B16619" s="2" t="str">
        <f>IFERROR(__xludf.DUMMYFUNCTION("GOOGLETRANSLATE(A16619, ""en"", ""mt"")"),"L-akbar oġġetti fil-V &amp; A taċ-ċeramika u l-ġbir tal-ħġieġ ġew prodotti f'liema pajjiżi?")</f>
        <v>L-akbar oġġetti fil-V &amp; A taċ-ċeramika u l-ġbir tal-ħġieġ ġew prodotti f'liema pajjiżi?</v>
      </c>
    </row>
    <row r="16620" ht="15.75" customHeight="1">
      <c r="A16620" s="2" t="s">
        <v>16620</v>
      </c>
      <c r="B16620" s="2" t="str">
        <f>IFERROR(__xludf.DUMMYFUNCTION("GOOGLETRANSLATE(A16620, ""en"", ""mt"")"),"Kemm mill-popolazzjoni tad-dinja spiċċat tara l-immaġini tad-dinja u tal-qamar?")</f>
        <v>Kemm mill-popolazzjoni tad-dinja spiċċat tara l-immaġini tad-dinja u tal-qamar?</v>
      </c>
    </row>
    <row r="16621" ht="15.75" customHeight="1">
      <c r="A16621" s="2" t="s">
        <v>16621</v>
      </c>
      <c r="B16621" s="2" t="str">
        <f>IFERROR(__xludf.DUMMYFUNCTION("GOOGLETRANSLATE(A16621, ""en"", ""mt"")"),"Magni ta 'kombustjoni esterna")</f>
        <v>Magni ta 'kombustjoni esterna</v>
      </c>
    </row>
    <row r="16622" ht="15.75" customHeight="1">
      <c r="A16622" s="2" t="s">
        <v>16622</v>
      </c>
      <c r="B16622" s="2" t="str">
        <f>IFERROR(__xludf.DUMMYFUNCTION("GOOGLETRANSLATE(A16622, ""en"", ""mt"")"),"Importaturi paralleli bħas-Sur Dassonville")</f>
        <v>Importaturi paralleli bħas-Sur Dassonville</v>
      </c>
    </row>
    <row r="16623" ht="15.75" customHeight="1">
      <c r="A16623" s="2" t="s">
        <v>16623</v>
      </c>
      <c r="B16623" s="2" t="str">
        <f>IFERROR(__xludf.DUMMYFUNCTION("GOOGLETRANSLATE(A16623, ""en"", ""mt"")"),"$ 40 kull barmil")</f>
        <v>$ 40 kull barmil</v>
      </c>
    </row>
    <row r="16624" ht="15.75" customHeight="1">
      <c r="A16624" s="2" t="s">
        <v>16624</v>
      </c>
      <c r="B16624" s="2" t="str">
        <f>IFERROR(__xludf.DUMMYFUNCTION("GOOGLETRANSLATE(A16624, ""en"", ""mt"")"),"F'liema trattament huma deskritti l-forzi mhux konservattivi u konservattivi?")</f>
        <v>F'liema trattament huma deskritti l-forzi mhux konservattivi u konservattivi?</v>
      </c>
    </row>
    <row r="16625" ht="15.75" customHeight="1">
      <c r="A16625" s="2" t="s">
        <v>16625</v>
      </c>
      <c r="B16625" s="2" t="str">
        <f>IFERROR(__xludf.DUMMYFUNCTION("GOOGLETRANSLATE(A16625, ""en"", ""mt"")"),"wara s-sieq tal-arblu")</f>
        <v>wara s-sieq tal-arblu</v>
      </c>
    </row>
    <row r="16626" ht="15.75" customHeight="1">
      <c r="A16626" s="2" t="s">
        <v>16626</v>
      </c>
      <c r="B16626" s="2" t="str">
        <f>IFERROR(__xludf.DUMMYFUNCTION("GOOGLETRANSLATE(A16626, ""en"", ""mt"")"),"Liema slogan akkumpanja l-logo tal-40 anniversarju għal ABC?")</f>
        <v>Liema slogan akkumpanja l-logo tal-40 anniversarju għal ABC?</v>
      </c>
    </row>
    <row r="16627" ht="15.75" customHeight="1">
      <c r="A16627" s="2" t="s">
        <v>16627</v>
      </c>
      <c r="B16627" s="2" t="str">
        <f>IFERROR(__xludf.DUMMYFUNCTION("GOOGLETRANSLATE(A16627, ""en"", ""mt"")"),"Wara l-apartheid, liema tipi ta 'skejjel huma msejħa skejjel ""Mudell Ċ""?")</f>
        <v>Wara l-apartheid, liema tipi ta 'skejjel huma msejħa skejjel "Mudell Ċ"?</v>
      </c>
    </row>
    <row r="16628" ht="15.75" customHeight="1">
      <c r="A16628" s="2" t="s">
        <v>16628</v>
      </c>
      <c r="B16628" s="2" t="str">
        <f>IFERROR(__xludf.DUMMYFUNCTION("GOOGLETRANSLATE(A16628, ""en"", ""mt"")"),"S fil-kantun Żvizzeru ta 'Graubünden fl-Alpi Żvizzeri tax-Xlokk,")</f>
        <v>S fil-kantun Żvizzeru ta 'Graubünden fl-Alpi Żvizzeri tax-Xlokk,</v>
      </c>
    </row>
    <row r="16629" ht="15.75" customHeight="1">
      <c r="A16629" s="2" t="s">
        <v>16629</v>
      </c>
      <c r="B16629" s="2" t="str">
        <f>IFERROR(__xludf.DUMMYFUNCTION("GOOGLETRANSLATE(A16629, ""en"", ""mt"")"),"X'inhu isem ieħor għal bin tal-provvista tal-faħam?")</f>
        <v>X'inhu isem ieħor għal bin tal-provvista tal-faħam?</v>
      </c>
    </row>
    <row r="16630" ht="15.75" customHeight="1">
      <c r="A16630" s="2" t="s">
        <v>16630</v>
      </c>
      <c r="B16630" s="2" t="str">
        <f>IFERROR(__xludf.DUMMYFUNCTION("GOOGLETRANSLATE(A16630, ""en"", ""mt"")"),"Zagreus")</f>
        <v>Zagreus</v>
      </c>
    </row>
    <row r="16631" ht="15.75" customHeight="1">
      <c r="A16631" s="2" t="s">
        <v>16631</v>
      </c>
      <c r="B16631" s="2" t="str">
        <f>IFERROR(__xludf.DUMMYFUNCTION("GOOGLETRANSLATE(A16631, ""en"", ""mt"")"),"Il-protesta għandha tinżamm it-triq kollha")</f>
        <v>Il-protesta għandha tinżamm it-triq kollha</v>
      </c>
    </row>
    <row r="16632" ht="15.75" customHeight="1">
      <c r="A16632" s="2" t="s">
        <v>16632</v>
      </c>
      <c r="B16632" s="2" t="str">
        <f>IFERROR(__xludf.DUMMYFUNCTION("GOOGLETRANSLATE(A16632, ""en"", ""mt"")"),"Nairobi, Mombasa u Kisumu")</f>
        <v>Nairobi, Mombasa u Kisumu</v>
      </c>
    </row>
    <row r="16633" ht="15.75" customHeight="1">
      <c r="A16633" s="2" t="s">
        <v>16633</v>
      </c>
      <c r="B16633" s="2" t="str">
        <f>IFERROR(__xludf.DUMMYFUNCTION("GOOGLETRANSLATE(A16633, ""en"", ""mt"")"),"Min kien il-president tal-ABC Entertainment fl-1957?")</f>
        <v>Min kien il-president tal-ABC Entertainment fl-1957?</v>
      </c>
    </row>
    <row r="16634" ht="15.75" customHeight="1">
      <c r="A16634" s="2" t="s">
        <v>16634</v>
      </c>
      <c r="B16634" s="2" t="str">
        <f>IFERROR(__xludf.DUMMYFUNCTION("GOOGLETRANSLATE(A16634, ""en"", ""mt"")"),"Il-kloroplasti għandhom ir-ribosomi tagħhom stess, li huma jużaw biex jissintetizzaw frazzjoni żgħira tal-proteini tagħhom. Ribosomi tal-kloroplast huma madwar żewġ terzi tad-daqs ta 'ribosomi ċitoplasmiċi (madwar 17 nm vs 25 nm). Huma jieħdu mRNAs traskr"&amp;"itti mid-DNA tal-kloroplast u jittraduċuhom fi proteina. Filwaqt li huma simili għal ribosomi batteriċi, it-traduzzjoni tal-kloroplast hija iktar kumplessa milli fil-batterja, għalhekk ir-ribosomi tal-kloroplast jinkludu xi karatteristiċi uniċi tal-klorop"&amp;"last. RNAs ribosomali subunit żgħar f'diversi klorofita u kloroplasti euglenid m'għandhomx motivi għar-rikonoxximent tas-sekwenza Shine-Dalgarno, li huwa meqjus essenzjali għall-bidu tat-traduzzjoni fil-biċċa l-kbira tal-kloroplasti u l-prokarioti. Telf b"&amp;"ħal dan rarament jiġi osservat fi plastidi u prokarioti oħra.")</f>
        <v>Il-kloroplasti għandhom ir-ribosomi tagħhom stess, li huma jużaw biex jissintetizzaw frazzjoni żgħira tal-proteini tagħhom. Ribosomi tal-kloroplast huma madwar żewġ terzi tad-daqs ta 'ribosomi ċitoplasmiċi (madwar 17 nm vs 25 nm). Huma jieħdu mRNAs traskritti mid-DNA tal-kloroplast u jittraduċuhom fi proteina. Filwaqt li huma simili għal ribosomi batteriċi, it-traduzzjoni tal-kloroplast hija iktar kumplessa milli fil-batterja, għalhekk ir-ribosomi tal-kloroplast jinkludu xi karatteristiċi uniċi tal-kloroplast. RNAs ribosomali subunit żgħar f'diversi klorofita u kloroplasti euglenid m'għandhomx motivi għar-rikonoxximent tas-sekwenza Shine-Dalgarno, li huwa meqjus essenzjali għall-bidu tat-traduzzjoni fil-biċċa l-kbira tal-kloroplasti u l-prokarioti. Telf bħal dan rarament jiġi osservat fi plastidi u prokarioti oħra.</v>
      </c>
    </row>
    <row r="16635" ht="15.75" customHeight="1">
      <c r="A16635" s="2" t="s">
        <v>16635</v>
      </c>
      <c r="B16635" s="2" t="str">
        <f>IFERROR(__xludf.DUMMYFUNCTION("GOOGLETRANSLATE(A16635, ""en"", ""mt"")"),"Il-ftehimiet jinkludu miżati fissi ta 'ġarr annwali ta' £ 30m għall-kanali biż-żewġ fornituri tal-kanali li kapaċi jassiguraw ħlasijiet b'kappa addizzjonali jekk il-kanali tagħhom jissodisfaw ċerti miri relatati mal-prestazzjoni. Bħalissa m'hemm l-ebda in"&amp;"dikazzjoni dwar jekk il-ftehim il-ġdid jinkludi l-video addizzjonali fuq talba u kontenut ta 'definizzjoni għolja li qabel kien offrut minn BSKYB. Bħala parti mill-ftehim, kemm BSKYB kif ukoll Virgin Media qablu li jtemmu l-proċeduri kollha tal-Qorti Għol"&amp;"ja kontra xulxin relatati mat-trasport tal-kanali bażiċi rispettivi tagħhom.")</f>
        <v>Il-ftehimiet jinkludu miżati fissi ta 'ġarr annwali ta' £ 30m għall-kanali biż-żewġ fornituri tal-kanali li kapaċi jassiguraw ħlasijiet b'kappa addizzjonali jekk il-kanali tagħhom jissodisfaw ċerti miri relatati mal-prestazzjoni. Bħalissa m'hemm l-ebda indikazzjoni dwar jekk il-ftehim il-ġdid jinkludi l-video addizzjonali fuq talba u kontenut ta 'definizzjoni għolja li qabel kien offrut minn BSKYB. Bħala parti mill-ftehim, kemm BSKYB kif ukoll Virgin Media qablu li jtemmu l-proċeduri kollha tal-Qorti Għolja kontra xulxin relatati mat-trasport tal-kanali bażiċi rispettivi tagħhom.</v>
      </c>
    </row>
    <row r="16636" ht="15.75" customHeight="1">
      <c r="A16636" s="2" t="s">
        <v>16636</v>
      </c>
      <c r="B16636" s="2" t="str">
        <f>IFERROR(__xludf.DUMMYFUNCTION("GOOGLETRANSLATE(A16636, ""en"", ""mt"")"),"iġibu l-ħruġ tagħhom fuq il-mejda")</f>
        <v>iġibu l-ħruġ tagħhom fuq il-mejda</v>
      </c>
    </row>
    <row r="16637" ht="15.75" customHeight="1">
      <c r="A16637" s="2" t="s">
        <v>16637</v>
      </c>
      <c r="B16637" s="2" t="str">
        <f>IFERROR(__xludf.DUMMYFUNCTION("GOOGLETRANSLATE(A16637, ""en"", ""mt"")"),"Dislodge lill-Franċiżi")</f>
        <v>Dislodge lill-Franċiżi</v>
      </c>
    </row>
    <row r="16638" ht="15.75" customHeight="1">
      <c r="A16638" s="2" t="s">
        <v>16638</v>
      </c>
      <c r="B16638" s="2" t="str">
        <f>IFERROR(__xludf.DUMMYFUNCTION("GOOGLETRANSLATE(A16638, ""en"", ""mt"")"),"Minbarra l-Klabb tal-Karozzi tan-Nofsinhar ta 'California, liema AAA Auto Club oħra għażlet li tissimplifika l-qasma?")</f>
        <v>Minbarra l-Klabb tal-Karozzi tan-Nofsinhar ta 'California, liema AAA Auto Club oħra għażlet li tissimplifika l-qasma?</v>
      </c>
    </row>
    <row r="16639" ht="15.75" customHeight="1">
      <c r="A16639" s="2" t="s">
        <v>16639</v>
      </c>
      <c r="B16639" s="2" t="str">
        <f>IFERROR(__xludf.DUMMYFUNCTION("GOOGLETRANSLATE(A16639, ""en"", ""mt"")"),"X'inhuma l-pigmenti tal-phycobilin tar-Rhodoplasts?")</f>
        <v>X'inhuma l-pigmenti tal-phycobilin tar-Rhodoplasts?</v>
      </c>
    </row>
    <row r="16640" ht="15.75" customHeight="1">
      <c r="A16640" s="2" t="s">
        <v>16640</v>
      </c>
      <c r="B16640" s="2" t="str">
        <f>IFERROR(__xludf.DUMMYFUNCTION("GOOGLETRANSLATE(A16640, ""en"", ""mt"")"),"L-Iżvezja")</f>
        <v>L-Iżvezja</v>
      </c>
    </row>
    <row r="16641" ht="15.75" customHeight="1">
      <c r="A16641" s="2" t="s">
        <v>16641</v>
      </c>
      <c r="B16641" s="2" t="str">
        <f>IFERROR(__xludf.DUMMYFUNCTION("GOOGLETRANSLATE(A16641, ""en"", ""mt"")"),"tagħlim bejn il-pari u d-dotazzjoni finanzjarja tal-iskola")</f>
        <v>tagħlim bejn il-pari u d-dotazzjoni finanzjarja tal-iskola</v>
      </c>
    </row>
    <row r="16642" ht="15.75" customHeight="1">
      <c r="A16642" s="2" t="s">
        <v>16642</v>
      </c>
      <c r="B16642" s="2" t="str">
        <f>IFERROR(__xludf.DUMMYFUNCTION("GOOGLETRANSLATE(A16642, ""en"", ""mt"")"),"rally safari famuż fid-dinja")</f>
        <v>rally safari famuż fid-dinja</v>
      </c>
    </row>
    <row r="16643" ht="15.75" customHeight="1">
      <c r="A16643" s="2" t="s">
        <v>16643</v>
      </c>
      <c r="B16643" s="2" t="str">
        <f>IFERROR(__xludf.DUMMYFUNCTION("GOOGLETRANSLATE(A16643, ""en"", ""mt"")"),"Teħid qawwi ta 'proprjetà")</f>
        <v>Teħid qawwi ta 'proprjetà</v>
      </c>
    </row>
    <row r="16644" ht="15.75" customHeight="1">
      <c r="A16644" s="2" t="s">
        <v>16644</v>
      </c>
      <c r="B16644" s="2" t="str">
        <f>IFERROR(__xludf.DUMMYFUNCTION("GOOGLETRANSLATE(A16644, ""en"", ""mt"")"),"Kemm passiġġier fis-sena jġorr in-netwerk ferrovjarju fi Newcastle?")</f>
        <v>Kemm passiġġier fis-sena jġorr in-netwerk ferrovjarju fi Newcastle?</v>
      </c>
    </row>
    <row r="16645" ht="15.75" customHeight="1">
      <c r="A16645" s="2" t="s">
        <v>16645</v>
      </c>
      <c r="B16645" s="2" t="str">
        <f>IFERROR(__xludf.DUMMYFUNCTION("GOOGLETRANSLATE(A16645, ""en"", ""mt"")"),"F'liema sena Nikola Tesla emigra lejn l-Istati Uniti?")</f>
        <v>F'liema sena Nikola Tesla emigra lejn l-Istati Uniti?</v>
      </c>
    </row>
    <row r="16646" ht="15.75" customHeight="1">
      <c r="A16646" s="2" t="s">
        <v>16646</v>
      </c>
      <c r="B16646" s="2" t="str">
        <f>IFERROR(__xludf.DUMMYFUNCTION("GOOGLETRANSLATE(A16646, ""en"", ""mt"")"),"Ravens")</f>
        <v>Ravens</v>
      </c>
    </row>
    <row r="16647" ht="15.75" customHeight="1">
      <c r="A16647" s="2" t="s">
        <v>16647</v>
      </c>
      <c r="B16647" s="2" t="str">
        <f>IFERROR(__xludf.DUMMYFUNCTION("GOOGLETRANSLATE(A16647, ""en"", ""mt"")"),"Min minbarra l-Afrika Kolonizzata Ingliża?")</f>
        <v>Min minbarra l-Afrika Kolonizzata Ingliża?</v>
      </c>
    </row>
    <row r="16648" ht="15.75" customHeight="1">
      <c r="A16648" s="2" t="s">
        <v>16648</v>
      </c>
      <c r="B16648" s="2" t="str">
        <f>IFERROR(__xludf.DUMMYFUNCTION("GOOGLETRANSLATE(A16648, ""en"", ""mt"")"),"bniet u nisa")</f>
        <v>bniet u nisa</v>
      </c>
    </row>
    <row r="16649" ht="15.75" customHeight="1">
      <c r="A16649" s="2" t="s">
        <v>16649</v>
      </c>
      <c r="B16649" s="2" t="str">
        <f>IFERROR(__xludf.DUMMYFUNCTION("GOOGLETRANSLATE(A16649, ""en"", ""mt"")"),"Liema verżjoni tas-serje kellha riċeviment negattiv minn xi Tabib Min telespettaturi?")</f>
        <v>Liema verżjoni tas-serje kellha riċeviment negattiv minn xi Tabib Min telespettaturi?</v>
      </c>
    </row>
    <row r="16650" ht="15.75" customHeight="1">
      <c r="A16650" s="2" t="s">
        <v>16650</v>
      </c>
      <c r="B16650" s="2" t="str">
        <f>IFERROR(__xludf.DUMMYFUNCTION("GOOGLETRANSLATE(A16650, ""en"", ""mt"")"),"£ 34m fis-sena")</f>
        <v>£ 34m fis-sena</v>
      </c>
    </row>
    <row r="16651" ht="15.75" customHeight="1">
      <c r="A16651" s="2" t="s">
        <v>16651</v>
      </c>
      <c r="B16651" s="2" t="str">
        <f>IFERROR(__xludf.DUMMYFUNCTION("GOOGLETRANSLATE(A16651, ""en"", ""mt"")"),"impatt konsiderevoli")</f>
        <v>impatt konsiderevoli</v>
      </c>
    </row>
    <row r="16652" ht="15.75" customHeight="1">
      <c r="A16652" s="2" t="s">
        <v>16652</v>
      </c>
      <c r="B16652" s="2" t="str">
        <f>IFERROR(__xludf.DUMMYFUNCTION("GOOGLETRANSLATE(A16652, ""en"", ""mt"")"),"Thomas de Maiziere jservi liema rwol fil-kabinett Ġermaniż?")</f>
        <v>Thomas de Maiziere jservi liema rwol fil-kabinett Ġermaniż?</v>
      </c>
    </row>
    <row r="16653" ht="15.75" customHeight="1">
      <c r="A16653" s="2" t="s">
        <v>16653</v>
      </c>
      <c r="B16653" s="2" t="str">
        <f>IFERROR(__xludf.DUMMYFUNCTION("GOOGLETRANSLATE(A16653, ""en"", ""mt"")"),"Eadweard Muybridge's")</f>
        <v>Eadweard Muybridge's</v>
      </c>
    </row>
    <row r="16654" ht="15.75" customHeight="1">
      <c r="A16654" s="2" t="s">
        <v>16654</v>
      </c>
      <c r="B16654" s="2" t="str">
        <f>IFERROR(__xludf.DUMMYFUNCTION("GOOGLETRANSLATE(A16654, ""en"", ""mt"")"),"X'inhu l-iskop primarju tal-kloroplasti?")</f>
        <v>X'inhu l-iskop primarju tal-kloroplasti?</v>
      </c>
    </row>
    <row r="16655" ht="15.75" customHeight="1">
      <c r="A16655" s="2" t="s">
        <v>16655</v>
      </c>
      <c r="B16655" s="2" t="str">
        <f>IFERROR(__xludf.DUMMYFUNCTION("GOOGLETRANSLATE(A16655, ""en"", ""mt"")"),"Port ta 'Long Beach")</f>
        <v>Port ta 'Long Beach</v>
      </c>
    </row>
    <row r="16656" ht="15.75" customHeight="1">
      <c r="A16656" s="2" t="s">
        <v>16656</v>
      </c>
      <c r="B16656" s="2" t="str">
        <f>IFERROR(__xludf.DUMMYFUNCTION("GOOGLETRANSLATE(A16656, ""en"", ""mt"")"),"X'tagħmel l-IPCC?")</f>
        <v>X'tagħmel l-IPCC?</v>
      </c>
    </row>
    <row r="16657" ht="15.75" customHeight="1">
      <c r="A16657" s="2" t="s">
        <v>16657</v>
      </c>
      <c r="B16657" s="2" t="str">
        <f>IFERROR(__xludf.DUMMYFUNCTION("GOOGLETRANSLATE(A16657, ""en"", ""mt"")"),"L-istudjużi tal-Università ta ’Chicago kellhom parti kbira f’liema żvilupp?")</f>
        <v>L-istudjużi tal-Università ta ’Chicago kellhom parti kbira f’liema żvilupp?</v>
      </c>
    </row>
    <row r="16658" ht="15.75" customHeight="1">
      <c r="A16658" s="2" t="s">
        <v>16658</v>
      </c>
      <c r="B16658" s="2" t="str">
        <f>IFERROR(__xludf.DUMMYFUNCTION("GOOGLETRANSLATE(A16658, ""en"", ""mt"")"),"mill-fruntiera tal-Lvant")</f>
        <v>mill-fruntiera tal-Lvant</v>
      </c>
    </row>
    <row r="16659" ht="15.75" customHeight="1">
      <c r="A16659" s="2" t="s">
        <v>16659</v>
      </c>
      <c r="B16659" s="2" t="str">
        <f>IFERROR(__xludf.DUMMYFUNCTION("GOOGLETRANSLATE(A16659, ""en"", ""mt"")"),"1935")</f>
        <v>1935</v>
      </c>
    </row>
    <row r="16660" ht="15.75" customHeight="1">
      <c r="A16660" s="2" t="s">
        <v>16660</v>
      </c>
      <c r="B16660" s="2" t="str">
        <f>IFERROR(__xludf.DUMMYFUNCTION("GOOGLETRANSLATE(A16660, ""en"", ""mt"")"),"Fejn infetħet ABC Marine World?")</f>
        <v>Fejn infetħet ABC Marine World?</v>
      </c>
    </row>
    <row r="16661" ht="15.75" customHeight="1">
      <c r="A16661" s="2" t="s">
        <v>16661</v>
      </c>
      <c r="B16661" s="2" t="str">
        <f>IFERROR(__xludf.DUMMYFUNCTION("GOOGLETRANSLATE(A16661, ""en"", ""mt"")"),"Disponibbiltà tal-Bibbja f'lingwi vernakulari")</f>
        <v>Disponibbiltà tal-Bibbja f'lingwi vernakulari</v>
      </c>
    </row>
    <row r="16662" ht="15.75" customHeight="1">
      <c r="A16662" s="2" t="s">
        <v>16662</v>
      </c>
      <c r="B16662" s="2" t="str">
        <f>IFERROR(__xludf.DUMMYFUNCTION("GOOGLETRANSLATE(A16662, ""en"", ""mt"")"),"Skala tal-Kejl Standard")</f>
        <v>Skala tal-Kejl Standard</v>
      </c>
    </row>
    <row r="16663" ht="15.75" customHeight="1">
      <c r="A16663" s="2" t="s">
        <v>16663</v>
      </c>
      <c r="B16663" s="2" t="str">
        <f>IFERROR(__xludf.DUMMYFUNCTION("GOOGLETRANSLATE(A16663, ""en"", ""mt"")"),"Kemm mill-popolazzjoni ta 'Pariġi nqatlet mill-pesta?")</f>
        <v>Kemm mill-popolazzjoni ta 'Pariġi nqatlet mill-pesta?</v>
      </c>
    </row>
    <row r="16664" ht="15.75" customHeight="1">
      <c r="A16664" s="2" t="s">
        <v>16664</v>
      </c>
      <c r="B16664" s="2" t="str">
        <f>IFERROR(__xludf.DUMMYFUNCTION("GOOGLETRANSLATE(A16664, ""en"", ""mt"")"),"Kwart kwadru")</f>
        <v>Kwart kwadru</v>
      </c>
    </row>
    <row r="16665" ht="15.75" customHeight="1">
      <c r="A16665" s="2" t="s">
        <v>16665</v>
      </c>
      <c r="B16665" s="2" t="str">
        <f>IFERROR(__xludf.DUMMYFUNCTION("GOOGLETRANSLATE(A16665, ""en"", ""mt"")"),"kant ta 'innijiet Ġermaniżi b'rabta mal-qima")</f>
        <v>kant ta 'innijiet Ġermaniżi b'rabta mal-qima</v>
      </c>
    </row>
    <row r="16666" ht="15.75" customHeight="1">
      <c r="A16666" s="2" t="s">
        <v>16666</v>
      </c>
      <c r="B16666" s="2" t="str">
        <f>IFERROR(__xludf.DUMMYFUNCTION("GOOGLETRANSLATE(A16666, ""en"", ""mt"")"),"Il-funfair tal-hoppings")</f>
        <v>Il-funfair tal-hoppings</v>
      </c>
    </row>
    <row r="16667" ht="15.75" customHeight="1">
      <c r="A16667" s="2" t="s">
        <v>16667</v>
      </c>
      <c r="B16667" s="2" t="str">
        <f>IFERROR(__xludf.DUMMYFUNCTION("GOOGLETRANSLATE(A16667, ""en"", ""mt"")"),"Louis Adamic")</f>
        <v>Louis Adamic</v>
      </c>
    </row>
    <row r="16668" ht="15.75" customHeight="1">
      <c r="A16668" s="2" t="s">
        <v>16668</v>
      </c>
      <c r="B16668" s="2" t="str">
        <f>IFERROR(__xludf.DUMMYFUNCTION("GOOGLETRANSLATE(A16668, ""en"", ""mt"")"),"Evoluzzjoni ġeokimika ta 'unitajiet tal-blat")</f>
        <v>Evoluzzjoni ġeokimika ta 'unitajiet tal-blat</v>
      </c>
    </row>
    <row r="16669" ht="15.75" customHeight="1">
      <c r="A16669" s="2" t="s">
        <v>16669</v>
      </c>
      <c r="B16669" s="2" t="str">
        <f>IFERROR(__xludf.DUMMYFUNCTION("GOOGLETRANSLATE(A16669, ""en"", ""mt"")"),"Fejn mar l-iskola Martin Luther?")</f>
        <v>Fejn mar l-iskola Martin Luther?</v>
      </c>
    </row>
    <row r="16670" ht="15.75" customHeight="1">
      <c r="A16670" s="2" t="s">
        <v>16670</v>
      </c>
      <c r="B16670" s="2" t="str">
        <f>IFERROR(__xludf.DUMMYFUNCTION("GOOGLETRANSLATE(A16670, ""en"", ""mt"")"),"Squillace")</f>
        <v>Squillace</v>
      </c>
    </row>
    <row r="16671" ht="15.75" customHeight="1">
      <c r="A16671" s="2" t="s">
        <v>16671</v>
      </c>
      <c r="B16671" s="2" t="str">
        <f>IFERROR(__xludf.DUMMYFUNCTION("GOOGLETRANSLATE(A16671, ""en"", ""mt"")"),"Kearney Park")</f>
        <v>Kearney Park</v>
      </c>
    </row>
    <row r="16672" ht="15.75" customHeight="1">
      <c r="A16672" s="2" t="s">
        <v>16672</v>
      </c>
      <c r="B16672" s="2" t="str">
        <f>IFERROR(__xludf.DUMMYFUNCTION("GOOGLETRANSLATE(A16672, ""en"", ""mt"")"),"Tony Hawk")</f>
        <v>Tony Hawk</v>
      </c>
    </row>
    <row r="16673" ht="15.75" customHeight="1">
      <c r="A16673" s="2" t="s">
        <v>16673</v>
      </c>
      <c r="B16673" s="2" t="str">
        <f>IFERROR(__xludf.DUMMYFUNCTION("GOOGLETRANSLATE(A16673, ""en"", ""mt"")"),"Ewropej li kienu bbażati fil-Gran Brittanja")</f>
        <v>Ewropej li kienu bbażati fil-Gran Brittanja</v>
      </c>
    </row>
    <row r="16674" ht="15.75" customHeight="1">
      <c r="A16674" s="2" t="s">
        <v>16674</v>
      </c>
      <c r="B16674" s="2" t="str">
        <f>IFERROR(__xludf.DUMMYFUNCTION("GOOGLETRANSLATE(A16674, ""en"", ""mt"")"),"Il-bijodiversità tal-ispeċi tal-pjanti hija l-ogħla fid-dinja bi studju wieħed tal-2001 li jsib kwart ta ’kilometru kwadru (62 acres) tal-foresta tropikali Ekwadorjana jappoġġja aktar minn 1,100 speċi ta’ siġra. Studju fl-1999 sab kilometru kwadru wieħed "&amp;"(247 acres) ta 'Amazon Rainforest jista' jkun fih madwar 90,790 tunnellata ta 'pjanti ħajjin. Il-bijomassa medja tal-pjanti hija stmata għal 356 ± 47 tunnellata għal kull ettaru. Sal-lum, stmat li 438,000 speċi ta 'pjanti ta' interess ekonomiku u soċjali "&amp;"ġew irreġistrati fir-reġjun b'ħafna iktar li jibqgħu jiġu skoperti jew katalogati. In-numru totali ta 'speċi ta' siġar fir-reġjun huwa stmat għal 16,000.")</f>
        <v>Il-bijodiversità tal-ispeċi tal-pjanti hija l-ogħla fid-dinja bi studju wieħed tal-2001 li jsib kwart ta ’kilometru kwadru (62 acres) tal-foresta tropikali Ekwadorjana jappoġġja aktar minn 1,100 speċi ta’ siġra. Studju fl-1999 sab kilometru kwadru wieħed (247 acres) ta 'Amazon Rainforest jista' jkun fih madwar 90,790 tunnellata ta 'pjanti ħajjin. Il-bijomassa medja tal-pjanti hija stmata għal 356 ± 47 tunnellata għal kull ettaru. Sal-lum, stmat li 438,000 speċi ta 'pjanti ta' interess ekonomiku u soċjali ġew irreġistrati fir-reġjun b'ħafna iktar li jibqgħu jiġu skoperti jew katalogati. In-numru totali ta 'speċi ta' siġar fir-reġjun huwa stmat għal 16,000.</v>
      </c>
    </row>
    <row r="16675" ht="15.75" customHeight="1">
      <c r="A16675" s="2" t="s">
        <v>16675</v>
      </c>
      <c r="B16675" s="2" t="str">
        <f>IFERROR(__xludf.DUMMYFUNCTION("GOOGLETRANSLATE(A16675, ""en"", ""mt"")"),"Il-Qorti Ewropea")</f>
        <v>Il-Qorti Ewropea</v>
      </c>
    </row>
    <row r="16676" ht="15.75" customHeight="1">
      <c r="A16676" s="2" t="s">
        <v>16676</v>
      </c>
      <c r="B16676" s="2" t="str">
        <f>IFERROR(__xludf.DUMMYFUNCTION("GOOGLETRANSLATE(A16676, ""en"", ""mt"")"),"Riżultati mudell, rapporti minn aġenziji tal-gvern u organizzazzjonijiet mhux governattivi, u ġurnali tal-industrija")</f>
        <v>Riżultati mudell, rapporti minn aġenziji tal-gvern u organizzazzjonijiet mhux governattivi, u ġurnali tal-industrija</v>
      </c>
    </row>
    <row r="16677" ht="15.75" customHeight="1">
      <c r="A16677" s="2" t="s">
        <v>16677</v>
      </c>
      <c r="B16677" s="2" t="str">
        <f>IFERROR(__xludf.DUMMYFUNCTION("GOOGLETRANSLATE(A16677, ""en"", ""mt"")"),"Knisja LDS")</f>
        <v>Knisja LDS</v>
      </c>
    </row>
    <row r="16678" ht="15.75" customHeight="1">
      <c r="A16678" s="2" t="s">
        <v>16678</v>
      </c>
      <c r="B16678" s="2" t="str">
        <f>IFERROR(__xludf.DUMMYFUNCTION("GOOGLETRANSLATE(A16678, ""en"", ""mt"")"),"p - 1 jew divisor ta 'p - 1")</f>
        <v>p - 1 jew divisor ta 'p - 1</v>
      </c>
    </row>
    <row r="16679" ht="15.75" customHeight="1">
      <c r="A16679" s="2" t="s">
        <v>16679</v>
      </c>
      <c r="B16679" s="2" t="str">
        <f>IFERROR(__xludf.DUMMYFUNCTION("GOOGLETRANSLATE(A16679, ""en"", ""mt"")"),"Juan Manuel Santos")</f>
        <v>Juan Manuel Santos</v>
      </c>
    </row>
    <row r="16680" ht="15.75" customHeight="1">
      <c r="A16680" s="2" t="s">
        <v>16680</v>
      </c>
      <c r="B16680" s="2" t="str">
        <f>IFERROR(__xludf.DUMMYFUNCTION("GOOGLETRANSLATE(A16680, ""en"", ""mt"")"),"X'tip ta 'kloroplasti għandhom il-kriptofiti?")</f>
        <v>X'tip ta 'kloroplasti għandhom il-kriptofiti?</v>
      </c>
    </row>
    <row r="16681" ht="15.75" customHeight="1">
      <c r="A16681" s="2" t="s">
        <v>16681</v>
      </c>
      <c r="B16681" s="2" t="str">
        <f>IFERROR(__xludf.DUMMYFUNCTION("GOOGLETRANSLATE(A16681, ""en"", ""mt"")"),"Korporazzjoni tax-Xandir Awstraljana (ABC)")</f>
        <v>Korporazzjoni tax-Xandir Awstraljana (ABC)</v>
      </c>
    </row>
    <row r="16682" ht="15.75" customHeight="1">
      <c r="A16682" s="2" t="s">
        <v>16682</v>
      </c>
      <c r="B16682" s="2" t="str">
        <f>IFERROR(__xludf.DUMMYFUNCTION("GOOGLETRANSLATE(A16682, ""en"", ""mt"")"),"X'tip ta 'università hija l-Università ta' Chicago?")</f>
        <v>X'tip ta 'università hija l-Università ta' Chicago?</v>
      </c>
    </row>
    <row r="16683" ht="15.75" customHeight="1">
      <c r="A16683" s="2" t="s">
        <v>16683</v>
      </c>
      <c r="B16683" s="2" t="str">
        <f>IFERROR(__xludf.DUMMYFUNCTION("GOOGLETRANSLATE(A16683, ""en"", ""mt"")"),"X'kien involut Luther fit-trattament tal-imħuħ f'Mansfeld?")</f>
        <v>X'kien involut Luther fit-trattament tal-imħuħ f'Mansfeld?</v>
      </c>
    </row>
    <row r="16684" ht="15.75" customHeight="1">
      <c r="A16684" s="2" t="s">
        <v>16684</v>
      </c>
      <c r="B16684" s="2" t="str">
        <f>IFERROR(__xludf.DUMMYFUNCTION("GOOGLETRANSLATE(A16684, ""en"", ""mt"")"),"L-għada:")</f>
        <v>L-għada:</v>
      </c>
    </row>
    <row r="16685" ht="15.75" customHeight="1">
      <c r="A16685" s="2" t="s">
        <v>16685</v>
      </c>
      <c r="B16685" s="2" t="str">
        <f>IFERROR(__xludf.DUMMYFUNCTION("GOOGLETRANSLATE(A16685, ""en"", ""mt"")"),"Sistema ta 'qsim ta' ħin, ibbażata fuq ix-xogħol ta 'Kemney f'Dartmouth - li uża kompjuter b'self minn GE - jista' jkun ta 'profitt")</f>
        <v>Sistema ta 'qsim ta' ħin, ibbażata fuq ix-xogħol ta 'Kemney f'Dartmouth - li uża kompjuter b'self minn GE - jista' jkun ta 'profitt</v>
      </c>
    </row>
    <row r="16686" ht="15.75" customHeight="1">
      <c r="A16686" s="2" t="s">
        <v>16686</v>
      </c>
      <c r="B16686" s="2" t="str">
        <f>IFERROR(__xludf.DUMMYFUNCTION("GOOGLETRANSLATE(A16686, ""en"", ""mt"")"),"Meta l-Ġeneral SEJM għamel lil Varsavja huwa s-siġġu permanenti?")</f>
        <v>Meta l-Ġeneral SEJM għamel lil Varsavja huwa s-siġġu permanenti?</v>
      </c>
    </row>
    <row r="16687" ht="15.75" customHeight="1">
      <c r="A16687" s="2" t="s">
        <v>16687</v>
      </c>
      <c r="B16687" s="2" t="str">
        <f>IFERROR(__xludf.DUMMYFUNCTION("GOOGLETRANSLATE(A16687, ""en"", ""mt"")"),"Ottubru 2010")</f>
        <v>Ottubru 2010</v>
      </c>
    </row>
    <row r="16688" ht="15.75" customHeight="1">
      <c r="A16688" s="2" t="s">
        <v>16688</v>
      </c>
      <c r="B16688" s="2" t="str">
        <f>IFERROR(__xludf.DUMMYFUNCTION("GOOGLETRANSLATE(A16688, ""en"", ""mt"")"),"F'liema sena nfetħu l-Qrati tat-Tramuntana u tan-Nofsinhar?")</f>
        <v>F'liema sena nfetħu l-Qrati tat-Tramuntana u tan-Nofsinhar?</v>
      </c>
    </row>
    <row r="16689" ht="15.75" customHeight="1">
      <c r="A16689" s="2" t="s">
        <v>16689</v>
      </c>
      <c r="B16689" s="2" t="str">
        <f>IFERROR(__xludf.DUMMYFUNCTION("GOOGLETRANSLATE(A16689, ""en"", ""mt"")"),"Forza elettromanjetika unifikata")</f>
        <v>Forza elettromanjetika unifikata</v>
      </c>
    </row>
    <row r="16690" ht="15.75" customHeight="1">
      <c r="A16690" s="2" t="s">
        <v>16690</v>
      </c>
      <c r="B16690" s="2" t="str">
        <f>IFERROR(__xludf.DUMMYFUNCTION("GOOGLETRANSLATE(A16690, ""en"", ""mt"")"),"F'Diċembru 1878, Tesla telqet minn Graz u qatgħet ir-relazzjonijiet kollha mal-familja tiegħu biex taħbi l-fatt li niżel mill-iskola. Ħbieb tiegħu ħasbu li kien għerqu fix-xmara Mur. Tesla mar għand Maribor (issa fis-Slovenja), fejn ħadem bħala rapporteur"&amp;" għal 60 fjuri fix-xahar. Qatta 'l-ħin liberu tiegħu jilgħab il-karti ma' rġiel lokali fit-toroq. F'Marzu 1879, Milutin Tesla mar għand Maribor biex jittallab lil ibnu biex jirritorna d-dar, iżda Nikola rrifjutat. Nikola sofra tqassim nervuż madwar l-iste"&amp;"ss ħin.")</f>
        <v>F'Diċembru 1878, Tesla telqet minn Graz u qatgħet ir-relazzjonijiet kollha mal-familja tiegħu biex taħbi l-fatt li niżel mill-iskola. Ħbieb tiegħu ħasbu li kien għerqu fix-xmara Mur. Tesla mar għand Maribor (issa fis-Slovenja), fejn ħadem bħala rapporteur għal 60 fjuri fix-xahar. Qatta 'l-ħin liberu tiegħu jilgħab il-karti ma' rġiel lokali fit-toroq. F'Marzu 1879, Milutin Tesla mar għand Maribor biex jittallab lil ibnu biex jirritorna d-dar, iżda Nikola rrifjutat. Nikola sofra tqassim nervuż madwar l-istess ħin.</v>
      </c>
    </row>
    <row r="16691" ht="15.75" customHeight="1">
      <c r="A16691" s="2" t="s">
        <v>16691</v>
      </c>
      <c r="B16691" s="2" t="str">
        <f>IFERROR(__xludf.DUMMYFUNCTION("GOOGLETRANSLATE(A16691, ""en"", ""mt"")"),"Jonathan Stewart")</f>
        <v>Jonathan Stewart</v>
      </c>
    </row>
    <row r="16692" ht="15.75" customHeight="1">
      <c r="A16692" s="2" t="s">
        <v>16692</v>
      </c>
      <c r="B16692" s="2" t="str">
        <f>IFERROR(__xludf.DUMMYFUNCTION("GOOGLETRANSLATE(A16692, ""en"", ""mt"")"),"Fejn huma l-biċċa l-kbira tal-fabbriki kkonċentrati tul ir-Renu?")</f>
        <v>Fejn huma l-biċċa l-kbira tal-fabbriki kkonċentrati tul ir-Renu?</v>
      </c>
    </row>
    <row r="16693" ht="15.75" customHeight="1">
      <c r="A16693" s="2" t="s">
        <v>16693</v>
      </c>
      <c r="B16693" s="2" t="str">
        <f>IFERROR(__xludf.DUMMYFUNCTION("GOOGLETRANSLATE(A16693, ""en"", ""mt"")"),"Molekuli instabbli ta 'sitt karboniċi")</f>
        <v>Molekuli instabbli ta 'sitt karboniċi</v>
      </c>
    </row>
    <row r="16694" ht="15.75" customHeight="1">
      <c r="A16694" s="2" t="s">
        <v>16694</v>
      </c>
      <c r="B16694" s="2" t="str">
        <f>IFERROR(__xludf.DUMMYFUNCTION("GOOGLETRANSLATE(A16694, ""en"", ""mt"")"),"Madwar kemm hemm oġġetti tal-fidda u deheb il-V &amp; A għandha l-kollezzjoni tagħha?")</f>
        <v>Madwar kemm hemm oġġetti tal-fidda u deheb il-V &amp; A għandha l-kollezzjoni tagħha?</v>
      </c>
    </row>
    <row r="16695" ht="15.75" customHeight="1">
      <c r="A16695" s="2" t="s">
        <v>16695</v>
      </c>
      <c r="B16695" s="2" t="str">
        <f>IFERROR(__xludf.DUMMYFUNCTION("GOOGLETRANSLATE(A16695, ""en"", ""mt"")"),"X'inhi waħda mill-ikbar skejjel tal-mużika fl-Ewropa?")</f>
        <v>X'inhi waħda mill-ikbar skejjel tal-mużika fl-Ewropa?</v>
      </c>
    </row>
    <row r="16696" ht="15.75" customHeight="1">
      <c r="A16696" s="2" t="s">
        <v>16696</v>
      </c>
      <c r="B16696" s="2" t="str">
        <f>IFERROR(__xludf.DUMMYFUNCTION("GOOGLETRANSLATE(A16696, ""en"", ""mt"")"),"Fejn jinsabu ż-żewġ qrati mitfugħa?")</f>
        <v>Fejn jinsabu ż-żewġ qrati mitfugħa?</v>
      </c>
    </row>
    <row r="16697" ht="15.75" customHeight="1">
      <c r="A16697" s="2" t="s">
        <v>16697</v>
      </c>
      <c r="B16697" s="2" t="str">
        <f>IFERROR(__xludf.DUMMYFUNCTION("GOOGLETRANSLATE(A16697, ""en"", ""mt"")"),"Forza nukleari")</f>
        <v>Forza nukleari</v>
      </c>
    </row>
    <row r="16698" ht="15.75" customHeight="1">
      <c r="A16698" s="2" t="s">
        <v>16698</v>
      </c>
      <c r="B16698" s="2" t="str">
        <f>IFERROR(__xludf.DUMMYFUNCTION("GOOGLETRANSLATE(A16698, ""en"", ""mt"")"),"Wara battalja legali twila mal-Kummissjoni Ewropea, li qieset l-esklussività tad-drittijiet biex tkun kontra l-interessi tal-kompetizzjoni u l-konsumatur, il-monopolju tal-BSKYB wasal fi tmiemu mill-istaġun 2007-208. F’Mejju 2006, ix-xandar Irlandiż Setan"&amp;"ta Sports ingħata tnejn mis-sitt pakketti tal-Premier League li l-FA Ingliża offriet lix-xandara. Sky qabad l-erbgħa li fadal għal £ 1.3bn. Fi Frar 2015, Sky Bid £ 4.2bn għal pakkett ta '120 logħob tal-Premier League fit-tliet staġuni mill-2016. Dan kien "&amp;"jirrappreżenta żieda ta' 70% fuq il-kuntratt preċedenti u intqal li kien £ 1 biljun aktar milli l-kumpanija kienet mistennija tħallas - Il-mossa ġiet segwita minn tnaqqis fil-persunal, żieda fil-prezzijiet tal-abbonament (inklużi 9% fil-pakkett tal-familj"&amp;"a ta 'Sky) u t-twaqqigħ tal-kanal 3D.")</f>
        <v>Wara battalja legali twila mal-Kummissjoni Ewropea, li qieset l-esklussività tad-drittijiet biex tkun kontra l-interessi tal-kompetizzjoni u l-konsumatur, il-monopolju tal-BSKYB wasal fi tmiemu mill-istaġun 2007-208. F’Mejju 2006, ix-xandar Irlandiż Setanta Sports ingħata tnejn mis-sitt pakketti tal-Premier League li l-FA Ingliża offriet lix-xandara. Sky qabad l-erbgħa li fadal għal £ 1.3bn. Fi Frar 2015, Sky Bid £ 4.2bn għal pakkett ta '120 logħob tal-Premier League fit-tliet staġuni mill-2016. Dan kien jirrappreżenta żieda ta' 70% fuq il-kuntratt preċedenti u intqal li kien £ 1 biljun aktar milli l-kumpanija kienet mistennija tħallas - Il-mossa ġiet segwita minn tnaqqis fil-persunal, żieda fil-prezzijiet tal-abbonament (inklużi 9% fil-pakkett tal-familja ta 'Sky) u t-twaqqigħ tal-kanal 3D.</v>
      </c>
    </row>
    <row r="16699" ht="15.75" customHeight="1">
      <c r="A16699" s="2" t="s">
        <v>16699</v>
      </c>
      <c r="B16699" s="2" t="str">
        <f>IFERROR(__xludf.DUMMYFUNCTION("GOOGLETRANSLATE(A16699, ""en"", ""mt"")"),"Għalkemm Turabi pproklama l-appoġġ tiegħu għall-proċess demokratiku, huwa applika strettament xiex wara li daħal fil-poter?")</f>
        <v>Għalkemm Turabi pproklama l-appoġġ tiegħu għall-proċess demokratiku, huwa applika strettament xiex wara li daħal fil-poter?</v>
      </c>
    </row>
    <row r="16700" ht="15.75" customHeight="1">
      <c r="A16700" s="2" t="s">
        <v>16700</v>
      </c>
      <c r="B16700" s="2" t="str">
        <f>IFERROR(__xludf.DUMMYFUNCTION("GOOGLETRANSLATE(A16700, ""en"", ""mt"")"),"Fl-aħħar ta 'Novembru 2015, rapporti ħarġu li jiddikjaraw li ""atti multipli"" kienu se jwettqu matul il-mistrieħ. Fit-3 ta 'Diċembru, il-kampjonat ikkonferma li l-ispettaklu se jkun intitolat mill-grupp tal-blat Ingliż Coldplay. Fis-7 ta 'Jannar, 2016, P"&amp;"epsi kkonferma lil The Associated Press li Beyoncé, li intitolat l-ispettaklu tas-Super Bowl XLVII fil-mistrieħ u kkollabora ma' Coldplay fuq is-single ""Innu għal tmiem il-ġimgħa"", kien se jagħmel apparenza. Bruno Mars, li intitolat is-Super Bowl XLVIII"&amp;" Halftime Show, u Mark Ronson wettaq ukoll.")</f>
        <v>Fl-aħħar ta 'Novembru 2015, rapporti ħarġu li jiddikjaraw li "atti multipli" kienu se jwettqu matul il-mistrieħ. Fit-3 ta 'Diċembru, il-kampjonat ikkonferma li l-ispettaklu se jkun intitolat mill-grupp tal-blat Ingliż Coldplay. Fis-7 ta 'Jannar, 2016, Pepsi kkonferma lil The Associated Press li Beyoncé, li intitolat l-ispettaklu tas-Super Bowl XLVII fil-mistrieħ u kkollabora ma' Coldplay fuq is-single "Innu għal tmiem il-ġimgħa", kien se jagħmel apparenza. Bruno Mars, li intitolat is-Super Bowl XLVIII Halftime Show, u Mark Ronson wettaq ukoll.</v>
      </c>
    </row>
    <row r="16701" ht="15.75" customHeight="1">
      <c r="A16701" s="2" t="s">
        <v>16701</v>
      </c>
      <c r="B16701" s="2" t="str">
        <f>IFERROR(__xludf.DUMMYFUNCTION("GOOGLETRANSLATE(A16701, ""en"", ""mt"")"),"1924")</f>
        <v>1924</v>
      </c>
    </row>
    <row r="16702" ht="15.75" customHeight="1">
      <c r="A16702" s="2" t="s">
        <v>16702</v>
      </c>
      <c r="B16702" s="2" t="str">
        <f>IFERROR(__xludf.DUMMYFUNCTION("GOOGLETRANSLATE(A16702, ""en"", ""mt"")"),"Henry Cole,")</f>
        <v>Henry Cole,</v>
      </c>
    </row>
    <row r="16703" ht="15.75" customHeight="1">
      <c r="A16703" s="2" t="s">
        <v>16703</v>
      </c>
      <c r="B16703" s="2" t="str">
        <f>IFERROR(__xludf.DUMMYFUNCTION("GOOGLETRANSLATE(A16703, ""en"", ""mt"")"),"Ħafna klassijiet ta 'kumplessità huma definiti bl-użu tal-kunċett ta' tnaqqis. Tnaqqis huwa trasformazzjoni ta 'problema waħda fi problema oħra. Jaqbad il-kunċett informali ta 'problema għall-inqas diffiċli daqs problema oħra. Pereżempju, jekk problema x "&amp;"tista 'tissolva bl-użu ta' algoritmu għal y, X mhix iktar diffiċli minn y, u aħna ngħidu li X tnaqqas għal Y. Hemm ħafna tipi differenti ta 'tnaqqis, ibbażati fuq il-metodu ta' tnaqqis, bħal Tnaqqis tal-kok, tnaqqis tal-karp u tnaqqis tal-levin, u l-marbu"&amp;"t fuq il-kumplessità ta 'tnaqqis, bħal tnaqqis fil-ħin polinomjali jew tnaqqis fl-ispazju ta' log.")</f>
        <v>Ħafna klassijiet ta 'kumplessità huma definiti bl-użu tal-kunċett ta' tnaqqis. Tnaqqis huwa trasformazzjoni ta 'problema waħda fi problema oħra. Jaqbad il-kunċett informali ta 'problema għall-inqas diffiċli daqs problema oħra. Pereżempju, jekk problema x tista 'tissolva bl-użu ta' algoritmu għal y, X mhix iktar diffiċli minn y, u aħna ngħidu li X tnaqqas għal Y. Hemm ħafna tipi differenti ta 'tnaqqis, ibbażati fuq il-metodu ta' tnaqqis, bħal Tnaqqis tal-kok, tnaqqis tal-karp u tnaqqis tal-levin, u l-marbut fuq il-kumplessità ta 'tnaqqis, bħal tnaqqis fil-ħin polinomjali jew tnaqqis fl-ispazju ta' log.</v>
      </c>
    </row>
    <row r="16704" ht="15.75" customHeight="1">
      <c r="A16704" s="2" t="s">
        <v>16704</v>
      </c>
      <c r="B16704" s="2" t="str">
        <f>IFERROR(__xludf.DUMMYFUNCTION("GOOGLETRANSLATE(A16704, ""en"", ""mt"")"),"id-duttrina tat-trans-startjazzjoni")</f>
        <v>id-duttrina tat-trans-startjazzjoni</v>
      </c>
    </row>
    <row r="16705" ht="15.75" customHeight="1">
      <c r="A16705" s="2" t="s">
        <v>16705</v>
      </c>
      <c r="B16705" s="2" t="str">
        <f>IFERROR(__xludf.DUMMYFUNCTION("GOOGLETRANSLATE(A16705, ""en"", ""mt"")"),"Knisja Presbiterjana")</f>
        <v>Knisja Presbiterjana</v>
      </c>
    </row>
    <row r="16706" ht="15.75" customHeight="1">
      <c r="A16706" s="2" t="s">
        <v>16706</v>
      </c>
      <c r="B16706" s="2" t="str">
        <f>IFERROR(__xludf.DUMMYFUNCTION("GOOGLETRANSLATE(A16706, ""en"", ""mt"")"),"X'inhi rata aktar baxxa ta 'oġġetti soċjali effett?")</f>
        <v>X'inhi rata aktar baxxa ta 'oġġetti soċjali effett?</v>
      </c>
    </row>
    <row r="16707" ht="15.75" customHeight="1">
      <c r="A16707" s="2" t="s">
        <v>16707</v>
      </c>
      <c r="B16707" s="2" t="str">
        <f>IFERROR(__xludf.DUMMYFUNCTION("GOOGLETRANSLATE(A16707, ""en"", ""mt"")"),"Kmieni fir-raba 'kwart, il-Broncos saq lejn liema linja tat-tarzna tal-Panthers?")</f>
        <v>Kmieni fir-raba 'kwart, il-Broncos saq lejn liema linja tat-tarzna tal-Panthers?</v>
      </c>
    </row>
    <row r="16708" ht="15.75" customHeight="1">
      <c r="A16708" s="2" t="s">
        <v>16708</v>
      </c>
      <c r="B16708" s="2" t="str">
        <f>IFERROR(__xludf.DUMMYFUNCTION("GOOGLETRANSLATE(A16708, ""en"", ""mt"")"),"Liema Khanates kienu kkonvertew għall-Iżlam?")</f>
        <v>Liema Khanates kienu kkonvertew għall-Iżlam?</v>
      </c>
    </row>
    <row r="16709" ht="15.75" customHeight="1">
      <c r="A16709" s="2" t="s">
        <v>16709</v>
      </c>
      <c r="B16709" s="2" t="str">
        <f>IFERROR(__xludf.DUMMYFUNCTION("GOOGLETRANSLATE(A16709, ""en"", ""mt"")"),"Iż-żewġ naħat jirtiraw mill-grawnd")</f>
        <v>Iż-żewġ naħat jirtiraw mill-grawnd</v>
      </c>
    </row>
    <row r="16710" ht="15.75" customHeight="1">
      <c r="A16710" s="2" t="s">
        <v>16710</v>
      </c>
      <c r="B16710" s="2" t="str">
        <f>IFERROR(__xludf.DUMMYFUNCTION("GOOGLETRANSLATE(A16710, ""en"", ""mt"")"),"Liema workshop ewlieni ta 'Tapizzerija Ingliża fl-aħħar tas-seklu 17 u l-bidu tas-seklu 18 huwa rrappreżentat fil-kollezzjoni V &amp; A?")</f>
        <v>Liema workshop ewlieni ta 'Tapizzerija Ingliża fl-aħħar tas-seklu 17 u l-bidu tas-seklu 18 huwa rrappreżentat fil-kollezzjoni V &amp; A?</v>
      </c>
    </row>
    <row r="16711" ht="15.75" customHeight="1">
      <c r="A16711" s="2" t="s">
        <v>16711</v>
      </c>
      <c r="B16711" s="2" t="str">
        <f>IFERROR(__xludf.DUMMYFUNCTION("GOOGLETRANSLATE(A16711, ""en"", ""mt"")"),"Brażil")</f>
        <v>Brażil</v>
      </c>
    </row>
    <row r="16712" ht="15.75" customHeight="1">
      <c r="A16712" s="2" t="s">
        <v>16712</v>
      </c>
      <c r="B16712" s="2" t="str">
        <f>IFERROR(__xludf.DUMMYFUNCTION("GOOGLETRANSLATE(A16712, ""en"", ""mt"")"),"100–106 ° F.")</f>
        <v>100–106 ° F.</v>
      </c>
    </row>
    <row r="16713" ht="15.75" customHeight="1">
      <c r="A16713" s="2" t="s">
        <v>16713</v>
      </c>
      <c r="B16713" s="2" t="str">
        <f>IFERROR(__xludf.DUMMYFUNCTION("GOOGLETRANSLATE(A16713, ""en"", ""mt"")"),"Min iffinanzja t-tentattivi ta 'General Electric biex jieħdu Westinghouse?")</f>
        <v>Min iffinanzja t-tentattivi ta 'General Electric biex jieħdu Westinghouse?</v>
      </c>
    </row>
    <row r="16714" ht="15.75" customHeight="1">
      <c r="A16714" s="2" t="s">
        <v>16714</v>
      </c>
      <c r="B16714" s="2" t="str">
        <f>IFERROR(__xludf.DUMMYFUNCTION("GOOGLETRANSLATE(A16714, ""en"", ""mt"")"),"żidiet ipproġettati fil-livelli tal-baħar")</f>
        <v>żidiet ipproġettati fil-livelli tal-baħar</v>
      </c>
    </row>
    <row r="16715" ht="15.75" customHeight="1">
      <c r="A16715" s="2" t="s">
        <v>16715</v>
      </c>
      <c r="B16715" s="2" t="str">
        <f>IFERROR(__xludf.DUMMYFUNCTION("GOOGLETRANSLATE(A16715, ""en"", ""mt"")"),"Studjużi u osservaturi")</f>
        <v>Studjużi u osservaturi</v>
      </c>
    </row>
    <row r="16716" ht="15.75" customHeight="1">
      <c r="A16716" s="2" t="s">
        <v>16716</v>
      </c>
      <c r="B16716" s="2" t="str">
        <f>IFERROR(__xludf.DUMMYFUNCTION("GOOGLETRANSLATE(A16716, ""en"", ""mt"")"),"Belt multi-kulturali")</f>
        <v>Belt multi-kulturali</v>
      </c>
    </row>
    <row r="16717" ht="15.75" customHeight="1">
      <c r="A16717" s="2" t="s">
        <v>16717</v>
      </c>
      <c r="B16717" s="2" t="str">
        <f>IFERROR(__xludf.DUMMYFUNCTION("GOOGLETRANSLATE(A16717, ""en"", ""mt"")"),"Liema kumpanija kellha kummerċ imxandar b'xejn bħala riżultat tal-konkors QuickBooks?")</f>
        <v>Liema kumpanija kellha kummerċ imxandar b'xejn bħala riżultat tal-konkors QuickBooks?</v>
      </c>
    </row>
    <row r="16718" ht="15.75" customHeight="1">
      <c r="A16718" s="2" t="s">
        <v>16718</v>
      </c>
      <c r="B16718" s="2" t="str">
        <f>IFERROR(__xludf.DUMMYFUNCTION("GOOGLETRANSLATE(A16718, ""en"", ""mt"")"),"Fl-2007, x'kienet it-tarf għoli tal-firxa tas-salarji?")</f>
        <v>Fl-2007, x'kienet it-tarf għoli tal-firxa tas-salarji?</v>
      </c>
    </row>
    <row r="16719" ht="15.75" customHeight="1">
      <c r="A16719" s="2" t="s">
        <v>16719</v>
      </c>
      <c r="B16719" s="2" t="str">
        <f>IFERROR(__xludf.DUMMYFUNCTION("GOOGLETRANSLATE(A16719, ""en"", ""mt"")"),"Iċ-ċiklu ta 'Rankine huwa l-bażi fundamentali termodinamika tal-magna tal-fwar. Iċ-ċiklu huwa arranġament ta 'komponenti kif tipikament jintuża għal produzzjoni ta' enerġija sempliċi, u juża l-bidla fil-fażi ta 'l-ilma (ilma jagħli li jipproduċi fwar, jik"&amp;"kondensa l-fwar tal-egżost, li jipproduċi ilma likwidu)) biex jipprovdi sistema prattika ta' konverżjoni tas-sħana / enerġija. Is-sħana hija fornuta esternament għal linja magħluqa b'xi ftit mis-sħana miżjuda tiġi kkonvertita għax-xogħol u s-sħana tal-isk"&amp;"art titneħħa f'kondensatur. Iċ-ċiklu Rankine jintuża fi kważi l-applikazzjonijiet kollha tal-produzzjoni tal-enerġija bil-fwar. Fid-disgħinijiet, iċ-ċikli tal-fwar ta 'Rankine ġġeneraw madwar 90% tal-enerġija elettrika kollha użata madwar id-dinja, inkluż"&amp;"i kważi l-impjanti tal-enerġija solari, tal-bijomassa, tal-faħam u nukleari. Huwa msemmi wara William John Macquorn Rankine, Polymath Skoċċiż.")</f>
        <v>Iċ-ċiklu ta 'Rankine huwa l-bażi fundamentali termodinamika tal-magna tal-fwar. Iċ-ċiklu huwa arranġament ta 'komponenti kif tipikament jintuża għal produzzjoni ta' enerġija sempliċi, u juża l-bidla fil-fażi ta 'l-ilma (ilma jagħli li jipproduċi fwar, jikkondensa l-fwar tal-egżost, li jipproduċi ilma likwidu)) biex jipprovdi sistema prattika ta' konverżjoni tas-sħana / enerġija. Is-sħana hija fornuta esternament għal linja magħluqa b'xi ftit mis-sħana miżjuda tiġi kkonvertita għax-xogħol u s-sħana tal-iskart titneħħa f'kondensatur. Iċ-ċiklu Rankine jintuża fi kważi l-applikazzjonijiet kollha tal-produzzjoni tal-enerġija bil-fwar. Fid-disgħinijiet, iċ-ċikli tal-fwar ta 'Rankine ġġeneraw madwar 90% tal-enerġija elettrika kollha użata madwar id-dinja, inklużi kważi l-impjanti tal-enerġija solari, tal-bijomassa, tal-faħam u nukleari. Huwa msemmi wara William John Macquorn Rankine, Polymath Skoċċiż.</v>
      </c>
    </row>
    <row r="16720" ht="15.75" customHeight="1">
      <c r="A16720" s="2" t="s">
        <v>16720</v>
      </c>
      <c r="B16720" s="2" t="str">
        <f>IFERROR(__xludf.DUMMYFUNCTION("GOOGLETRANSLATE(A16720, ""en"", ""mt"")"),"Liema regola kienet tgħix xi indiġeni?")</f>
        <v>Liema regola kienet tgħix xi indiġeni?</v>
      </c>
    </row>
    <row r="16721" ht="15.75" customHeight="1">
      <c r="A16721" s="2" t="s">
        <v>16721</v>
      </c>
      <c r="B16721" s="2" t="str">
        <f>IFERROR(__xludf.DUMMYFUNCTION("GOOGLETRANSLATE(A16721, ""en"", ""mt"")"),"Żviluppi li fihom ix-xjenzati influwenzaw il-ħolqien tal-farmakoloġija fl-Islam medjevali?")</f>
        <v>Żviluppi li fihom ix-xjenzati influwenzaw il-ħolqien tal-farmakoloġija fl-Islam medjevali?</v>
      </c>
    </row>
    <row r="16722" ht="15.75" customHeight="1">
      <c r="A16722" s="2" t="s">
        <v>16722</v>
      </c>
      <c r="B16722" s="2" t="str">
        <f>IFERROR(__xludf.DUMMYFUNCTION("GOOGLETRANSLATE(A16722, ""en"", ""mt"")"),"F'liema episodju qed jinġieb li l-ewwel tabib jista 'ma jkunx l-ewwel tabib?")</f>
        <v>F'liema episodju qed jinġieb li l-ewwel tabib jista 'ma jkunx l-ewwel tabib?</v>
      </c>
    </row>
    <row r="16723" ht="15.75" customHeight="1">
      <c r="A16723" s="2" t="s">
        <v>16723</v>
      </c>
      <c r="B16723" s="2" t="str">
        <f>IFERROR(__xludf.DUMMYFUNCTION("GOOGLETRANSLATE(A16723, ""en"", ""mt"")"),"L-istazzjon ewlieni tan-netwerk proprjetà u mħaddma, WJZ-TV fi New York City (aktar tard imsejjaħ WABC-TV), iffirma fuq l-ajru fl-10 ta 'Awwissu, 1948, bl-ewwel xandira tagħha taħdem għal sagħtejn ta' filgħaxija. L-istazzjonijiet l-oħra ta 'ABC u mħaddma "&amp;"mnedija matul it-13-il xahar li ġejjin: WENR-TV f'Chicago ffirma fl-ajru fis-17 ta' Settembru, filwaqt li WXYZ-TV f'Detroit mar fuq l-ajru fid-9 ta 'Ottubru, 1948. f'Ottubru 1948 , bħala riżultat ta 'influss ta' applikazzjonijiet ta 'liċenzja ta' stazzjon"&amp;" televiżiv li kien ħareġ kif ukoll studju li wettaq dwar l-użu tal-ispettru VHF għal skopijiet ta 'xandir, l-FCC implimenta ffriżar fuq applikazzjonijiet ta' stazzjon ġodda. Madankollu, KGO-TV f'San Francisco, li kienet irċeviet il-liċenzja tagħha qabel l"&amp;"-iffriżar, iddebutta fil-5 ta 'Mejju, 1949. Fis-7 ta' Mejju, 1949, Billboard żvela li ABC kien ippropona investiment ta '$ 6.25 miljun, li tonfoq $ 2.5 miljun biex tikkonverti 20 acres (80,937 m2) ta 'art f'Hollywood f'dik li saret l-istudjows tal-prospet"&amp;"t, u tibni trasmettitur fuq Mount Wilson, b'antiċipazzjoni tat-tnedija ta' KECA-TV, li kienet skedata li tibda topera fl-1 ta 'Awwissu 1 (imma fil-fatt ma tiffirmax sas-16 ta 'Settembru).")</f>
        <v>L-istazzjon ewlieni tan-netwerk proprjetà u mħaddma, WJZ-TV fi New York City (aktar tard imsejjaħ WABC-TV), iffirma fuq l-ajru fl-10 ta 'Awwissu, 1948, bl-ewwel xandira tagħha taħdem għal sagħtejn ta' filgħaxija. L-istazzjonijiet l-oħra ta 'ABC u mħaddma mnedija matul it-13-il xahar li ġejjin: WENR-TV f'Chicago ffirma fl-ajru fis-17 ta' Settembru, filwaqt li WXYZ-TV f'Detroit mar fuq l-ajru fid-9 ta 'Ottubru, 1948. f'Ottubru 1948 , bħala riżultat ta 'influss ta' applikazzjonijiet ta 'liċenzja ta' stazzjon televiżiv li kien ħareġ kif ukoll studju li wettaq dwar l-użu tal-ispettru VHF għal skopijiet ta 'xandir, l-FCC implimenta ffriżar fuq applikazzjonijiet ta' stazzjon ġodda. Madankollu, KGO-TV f'San Francisco, li kienet irċeviet il-liċenzja tagħha qabel l-iffriżar, iddebutta fil-5 ta 'Mejju, 1949. Fis-7 ta' Mejju, 1949, Billboard żvela li ABC kien ippropona investiment ta '$ 6.25 miljun, li tonfoq $ 2.5 miljun biex tikkonverti 20 acres (80,937 m2) ta 'art f'Hollywood f'dik li saret l-istudjows tal-prospett, u tibni trasmettitur fuq Mount Wilson, b'antiċipazzjoni tat-tnedija ta' KECA-TV, li kienet skedata li tibda topera fl-1 ta 'Awwissu 1 (imma fil-fatt ma tiffirmax sas-16 ta 'Settembru).</v>
      </c>
    </row>
    <row r="16724" ht="15.75" customHeight="1">
      <c r="A16724" s="2" t="s">
        <v>16724</v>
      </c>
      <c r="B16724" s="2" t="str">
        <f>IFERROR(__xludf.DUMMYFUNCTION("GOOGLETRANSLATE(A16724, ""en"", ""mt"")"),"Liema isem ġdid ingħata lill-Jum tal-Midja?")</f>
        <v>Liema isem ġdid ingħata lill-Jum tal-Midja?</v>
      </c>
    </row>
    <row r="16725" ht="15.75" customHeight="1">
      <c r="A16725" s="2" t="s">
        <v>16725</v>
      </c>
      <c r="B16725" s="2" t="str">
        <f>IFERROR(__xludf.DUMMYFUNCTION("GOOGLETRANSLATE(A16725, ""en"", ""mt"")"),"Fl-1784")</f>
        <v>Fl-1784</v>
      </c>
    </row>
    <row r="16726" ht="15.75" customHeight="1">
      <c r="A16726" s="2" t="s">
        <v>16726</v>
      </c>
      <c r="B16726" s="2" t="str">
        <f>IFERROR(__xludf.DUMMYFUNCTION("GOOGLETRANSLATE(A16726, ""en"", ""mt"")"),"Gass tal-ossiġnu (O
2) Jista 'jkun tossiku bi pressjonijiet parzjali elevati, li jwassal għal konvulżjonijiet u problemi oħra ta' saħħa. [J] It-tossiċità tal-ossiġnu ġeneralment tibda sseħħ fi pressjonijiet parzjali aktar minn 50 kilopascals (kPa), daqs m"&amp;"adwar 50% kompożizzjoni ta 'ossiġenu bi pressjoni standard fi pressjoni standard jew 2.5 darbiet il-livell normali tal-baħar o
2 pressjoni parzjali ta 'madwar 21 kPa. Din mhix problema ħlief għal pazjenti fuq ventilaturi mekkaniċi, peress li l-gass fornut"&amp;" permezz ta 'maskri ta' ossiġnu f'applikazzjonijiet mediċi huwa tipikament magħmul minn 30% –50% biss o
2 bil-volum (madwar 30 kPa bi pressjoni standard). (Għalkemm din iċ-ċifra hija wkoll soġġetta għal varjazzjoni wiesgħa, skont it-tip ta 'maskra).")</f>
        <v>Gass tal-ossiġnu (O
2) Jista 'jkun tossiku bi pressjonijiet parzjali elevati, li jwassal għal konvulżjonijiet u problemi oħra ta' saħħa. [J] It-tossiċità tal-ossiġnu ġeneralment tibda sseħħ fi pressjonijiet parzjali aktar minn 50 kilopascals (kPa), daqs madwar 50% kompożizzjoni ta 'ossiġenu bi pressjoni standard fi pressjoni standard jew 2.5 darbiet il-livell normali tal-baħar o
2 pressjoni parzjali ta 'madwar 21 kPa. Din mhix problema ħlief għal pazjenti fuq ventilaturi mekkaniċi, peress li l-gass fornut permezz ta 'maskri ta' ossiġnu f'applikazzjonijiet mediċi huwa tipikament magħmul minn 30% –50% biss o
2 bil-volum (madwar 30 kPa bi pressjoni standard). (Għalkemm din iċ-ċifra hija wkoll soġġetta għal varjazzjoni wiesgħa, skont it-tip ta 'maskra).</v>
      </c>
    </row>
    <row r="16727" ht="15.75" customHeight="1">
      <c r="A16727" s="2" t="s">
        <v>16727</v>
      </c>
      <c r="B16727" s="2" t="str">
        <f>IFERROR(__xludf.DUMMYFUNCTION("GOOGLETRANSLATE(A16727, ""en"", ""mt"")"),"maġġoranza tas-siġġijiet")</f>
        <v>maġġoranza tas-siġġijiet</v>
      </c>
    </row>
    <row r="16728" ht="15.75" customHeight="1">
      <c r="A16728" s="2" t="s">
        <v>16728</v>
      </c>
      <c r="B16728" s="2" t="str">
        <f>IFERROR(__xludf.DUMMYFUNCTION("GOOGLETRANSLATE(A16728, ""en"", ""mt"")"),"Qal, ""Fir-rigward tat-taħrika li tibgħatli biex nirtira, ma naħsibx lili nnifsi obbligat li nobdiha.""")</f>
        <v>Qal, "Fir-rigward tat-taħrika li tibgħatli biex nirtira, ma naħsibx lili nnifsi obbligat li nobdiha."</v>
      </c>
    </row>
    <row r="16729" ht="15.75" customHeight="1">
      <c r="A16729" s="2" t="s">
        <v>16729</v>
      </c>
      <c r="B16729" s="2" t="str">
        <f>IFERROR(__xludf.DUMMYFUNCTION("GOOGLETRANSLATE(A16729, ""en"", ""mt"")"),"Deforestazzjoni")</f>
        <v>Deforestazzjoni</v>
      </c>
    </row>
    <row r="16730" ht="15.75" customHeight="1">
      <c r="A16730" s="2" t="s">
        <v>16730</v>
      </c>
      <c r="B16730" s="2" t="str">
        <f>IFERROR(__xludf.DUMMYFUNCTION("GOOGLETRANSLATE(A16730, ""en"", ""mt"")"),"Diviżjoni Maġġuri")</f>
        <v>Diviżjoni Maġġuri</v>
      </c>
    </row>
    <row r="16731" ht="15.75" customHeight="1">
      <c r="A16731" s="2" t="s">
        <v>16731</v>
      </c>
      <c r="B16731" s="2" t="str">
        <f>IFERROR(__xludf.DUMMYFUNCTION("GOOGLETRANSLATE(A16731, ""en"", ""mt"")"),"Freemen")</f>
        <v>Freemen</v>
      </c>
    </row>
    <row r="16732" ht="15.75" customHeight="1">
      <c r="A16732" s="2" t="s">
        <v>16732</v>
      </c>
      <c r="B16732" s="2" t="str">
        <f>IFERROR(__xludf.DUMMYFUNCTION("GOOGLETRANSLATE(A16732, ""en"", ""mt"")"),"Liema pajjiż invada n-Normanni fl-1169?")</f>
        <v>Liema pajjiż invada n-Normanni fl-1169?</v>
      </c>
    </row>
    <row r="16733" ht="15.75" customHeight="1">
      <c r="A16733" s="2" t="s">
        <v>16733</v>
      </c>
      <c r="B16733" s="2" t="str">
        <f>IFERROR(__xludf.DUMMYFUNCTION("GOOGLETRANSLATE(A16733, ""en"", ""mt"")"),"Il-Festival tal-Pride tat-Tramuntana")</f>
        <v>Il-Festival tal-Pride tat-Tramuntana</v>
      </c>
    </row>
    <row r="16734" ht="15.75" customHeight="1">
      <c r="A16734" s="2" t="s">
        <v>16734</v>
      </c>
      <c r="B16734" s="2" t="str">
        <f>IFERROR(__xludf.DUMMYFUNCTION("GOOGLETRANSLATE(A16734, ""en"", ""mt"")"),"Sa kemm kilometru l-problema tal-bejjiegħ li tivvjaġġa tfittex li tikklassifika rotta bejn il-15-il belt l-akbar fil-Ġermanja?")</f>
        <v>Sa kemm kilometru l-problema tal-bejjiegħ li tivvjaġġa tfittex li tikklassifika rotta bejn il-15-il belt l-akbar fil-Ġermanja?</v>
      </c>
    </row>
    <row r="16735" ht="15.75" customHeight="1">
      <c r="A16735" s="2" t="s">
        <v>16735</v>
      </c>
      <c r="B16735" s="2" t="str">
        <f>IFERROR(__xludf.DUMMYFUNCTION("GOOGLETRANSLATE(A16735, ""en"", ""mt"")"),"Enerġija mill-joni tal-idroġenu li joħorġu")</f>
        <v>Enerġija mill-joni tal-idroġenu li joħorġu</v>
      </c>
    </row>
    <row r="16736" ht="15.75" customHeight="1">
      <c r="A16736" s="2" t="s">
        <v>16736</v>
      </c>
      <c r="B16736" s="2" t="str">
        <f>IFERROR(__xludf.DUMMYFUNCTION("GOOGLETRANSLATE(A16736, ""en"", ""mt"")"),"l-aktar sempliċi")</f>
        <v>l-aktar sempliċi</v>
      </c>
    </row>
    <row r="16737" ht="15.75" customHeight="1">
      <c r="A16737" s="2" t="s">
        <v>16737</v>
      </c>
      <c r="B16737" s="2" t="str">
        <f>IFERROR(__xludf.DUMMYFUNCTION("GOOGLETRANSLATE(A16737, ""en"", ""mt"")"),"X'inhuma l-muroplasti?")</f>
        <v>X'inhuma l-muroplasti?</v>
      </c>
    </row>
    <row r="16738" ht="15.75" customHeight="1">
      <c r="A16738" s="2" t="s">
        <v>16738</v>
      </c>
      <c r="B16738" s="2" t="str">
        <f>IFERROR(__xludf.DUMMYFUNCTION("GOOGLETRANSLATE(A16738, ""en"", ""mt"")"),"X'tip ta 'tkabbir ħeġġeġ Kublai?")</f>
        <v>X'tip ta 'tkabbir ħeġġeġ Kublai?</v>
      </c>
    </row>
    <row r="16739" ht="15.75" customHeight="1">
      <c r="A16739" s="2" t="s">
        <v>16739</v>
      </c>
      <c r="B16739" s="2" t="str">
        <f>IFERROR(__xludf.DUMMYFUNCTION("GOOGLETRANSLATE(A16739, ""en"", ""mt"")"),"Era Rumana")</f>
        <v>Era Rumana</v>
      </c>
    </row>
    <row r="16740" ht="15.75" customHeight="1">
      <c r="A16740" s="2" t="s">
        <v>16740</v>
      </c>
      <c r="B16740" s="2" t="str">
        <f>IFERROR(__xludf.DUMMYFUNCTION("GOOGLETRANSLATE(A16740, ""en"", ""mt"")"),"X'għandha ekwivalenza bejn il-massa u l-ispazju-ħin?")</f>
        <v>X'għandha ekwivalenza bejn il-massa u l-ispazju-ħin?</v>
      </c>
    </row>
    <row r="16741" ht="15.75" customHeight="1">
      <c r="A16741" s="2" t="s">
        <v>16741</v>
      </c>
      <c r="B16741" s="2" t="str">
        <f>IFERROR(__xludf.DUMMYFUNCTION("GOOGLETRANSLATE(A16741, ""en"", ""mt"")"),"L-era storika")</f>
        <v>L-era storika</v>
      </c>
    </row>
    <row r="16742" ht="15.75" customHeight="1">
      <c r="A16742" s="2" t="s">
        <v>16742</v>
      </c>
      <c r="B16742" s="2" t="str">
        <f>IFERROR(__xludf.DUMMYFUNCTION("GOOGLETRANSLATE(A16742, ""en"", ""mt"")"),"12 ta ’Diċembru 1963")</f>
        <v>12 ta ’Diċembru 1963</v>
      </c>
    </row>
    <row r="16743" ht="15.75" customHeight="1">
      <c r="A16743" s="2" t="s">
        <v>16743</v>
      </c>
      <c r="B16743" s="2" t="str">
        <f>IFERROR(__xludf.DUMMYFUNCTION("GOOGLETRANSLATE(A16743, ""en"", ""mt"")"),"L-assorbiment ta 'o
2 Mill-arja huwa l-iskop essenzjali tar-respirazzjoni, u għalhekk is-supplimentazzjoni tal-ossiġnu tintuża fil-mediċina. It-trattament mhux biss iżid il-livelli ta 'ossiġnu fid-demm tal-pazjent, iżda għandu l-effett sekondarju li jonqo"&amp;"s ir-reżistenza għall-fluss tad-demm f'ħafna tipi ta' pulmuni morda, li jtaffi t-tagħbija tax-xogħol fuq il-qalb. It-terapija bl-ossiġenu tintuża biex tikkura enfisema, pnewmonja, xi disturbi fil-qalb (insuffiċjenza tal-qalb konġestiva), xi disturbi li ji"&amp;"kkawżaw pressjoni tal-arterja pulmonari miżjuda, u kwalunkwe marda li tfixkel il-kapaċità tal-ġisem li tieħu u tuża ossiġenu gassuż.")</f>
        <v>L-assorbiment ta 'o
2 Mill-arja huwa l-iskop essenzjali tar-respirazzjoni, u għalhekk is-supplimentazzjoni tal-ossiġnu tintuża fil-mediċina. It-trattament mhux biss iżid il-livelli ta 'ossiġnu fid-demm tal-pazjent, iżda għandu l-effett sekondarju li jonqos ir-reżistenza għall-fluss tad-demm f'ħafna tipi ta' pulmuni morda, li jtaffi t-tagħbija tax-xogħol fuq il-qalb. It-terapija bl-ossiġenu tintuża biex tikkura enfisema, pnewmonja, xi disturbi fil-qalb (insuffiċjenza tal-qalb konġestiva), xi disturbi li jikkawżaw pressjoni tal-arterja pulmonari miżjuda, u kwalunkwe marda li tfixkel il-kapaċità tal-ġisem li tieħu u tuża ossiġenu gassuż.</v>
      </c>
    </row>
    <row r="16744" ht="15.75" customHeight="1">
      <c r="A16744" s="2" t="s">
        <v>16744</v>
      </c>
      <c r="B16744" s="2" t="str">
        <f>IFERROR(__xludf.DUMMYFUNCTION("GOOGLETRANSLATE(A16744, ""en"", ""mt"")"),"X'tip ta 'rwol ta' parenting jieħu għalliem?")</f>
        <v>X'tip ta 'rwol ta' parenting jieħu għalliem?</v>
      </c>
    </row>
    <row r="16745" ht="15.75" customHeight="1">
      <c r="A16745" s="2" t="s">
        <v>16745</v>
      </c>
      <c r="B16745" s="2" t="str">
        <f>IFERROR(__xludf.DUMMYFUNCTION("GOOGLETRANSLATE(A16745, ""en"", ""mt"")"),"Kemm hemm pari bażi fid-DNA tal-kromatofor?")</f>
        <v>Kemm hemm pari bażi fid-DNA tal-kromatofor?</v>
      </c>
    </row>
    <row r="16746" ht="15.75" customHeight="1">
      <c r="A16746" s="2" t="s">
        <v>16746</v>
      </c>
      <c r="B16746" s="2" t="str">
        <f>IFERROR(__xludf.DUMMYFUNCTION("GOOGLETRANSLATE(A16746, ""en"", ""mt"")"),"gravitazzjonali")</f>
        <v>gravitazzjonali</v>
      </c>
    </row>
    <row r="16747" ht="15.75" customHeight="1">
      <c r="A16747" s="2" t="s">
        <v>16747</v>
      </c>
      <c r="B16747" s="2" t="str">
        <f>IFERROR(__xludf.DUMMYFUNCTION("GOOGLETRANSLATE(A16747, ""en"", ""mt"")"),"Nisrani Ortodoss")</f>
        <v>Nisrani Ortodoss</v>
      </c>
    </row>
    <row r="16748" ht="15.75" customHeight="1">
      <c r="A16748" s="2" t="s">
        <v>16748</v>
      </c>
      <c r="B16748" s="2" t="str">
        <f>IFERROR(__xludf.DUMMYFUNCTION("GOOGLETRANSLATE(A16748, ""en"", ""mt"")"),"Dak li laqat is-serje tar-realtà debutt għall-ABC fl-2002?")</f>
        <v>Dak li laqat is-serje tar-realtà debutt għall-ABC fl-2002?</v>
      </c>
    </row>
    <row r="16749" ht="15.75" customHeight="1">
      <c r="A16749" s="2" t="s">
        <v>16749</v>
      </c>
      <c r="B16749" s="2" t="str">
        <f>IFERROR(__xludf.DUMMYFUNCTION("GOOGLETRANSLATE(A16749, ""en"", ""mt"")"),"90 sa 95")</f>
        <v>90 sa 95</v>
      </c>
    </row>
    <row r="16750" ht="15.75" customHeight="1">
      <c r="A16750" s="2" t="s">
        <v>16750</v>
      </c>
      <c r="B16750" s="2" t="str">
        <f>IFERROR(__xludf.DUMMYFUNCTION("GOOGLETRANSLATE(A16750, ""en"", ""mt"")"),"Jebe")</f>
        <v>Jebe</v>
      </c>
    </row>
    <row r="16751" ht="15.75" customHeight="1">
      <c r="A16751" s="2" t="s">
        <v>16751</v>
      </c>
      <c r="B16751" s="2" t="str">
        <f>IFERROR(__xludf.DUMMYFUNCTION("GOOGLETRANSLATE(A16751, ""en"", ""mt"")"),"Min kien l-iktar plejer siewi tas-Super Bowl 50?")</f>
        <v>Min kien l-iktar plejer siewi tas-Super Bowl 50?</v>
      </c>
    </row>
    <row r="16752" ht="15.75" customHeight="1">
      <c r="A16752" s="2" t="s">
        <v>16752</v>
      </c>
      <c r="B16752" s="2" t="str">
        <f>IFERROR(__xludf.DUMMYFUNCTION("GOOGLETRANSLATE(A16752, ""en"", ""mt"")"),"pjanti u alka")</f>
        <v>pjanti u alka</v>
      </c>
    </row>
    <row r="16753" ht="15.75" customHeight="1">
      <c r="A16753" s="2" t="s">
        <v>16753</v>
      </c>
      <c r="B16753" s="2" t="str">
        <f>IFERROR(__xludf.DUMMYFUNCTION("GOOGLETRANSLATE(A16753, ""en"", ""mt"")"),"Olivier Messiaen")</f>
        <v>Olivier Messiaen</v>
      </c>
    </row>
    <row r="16754" ht="15.75" customHeight="1">
      <c r="A16754" s="2" t="s">
        <v>16754</v>
      </c>
      <c r="B16754" s="2" t="str">
        <f>IFERROR(__xludf.DUMMYFUNCTION("GOOGLETRANSLATE(A16754, ""en"", ""mt"")"),"Il-Amazon Rainforest (Portugiż: Floresta Amazônica jew Amazônia; Spanjol: Selva Amazónica, Amazonía jew ġeneralment Amazonia; Franċiża: Forêt Amazonienne; Olandiż: Amazoneregenwoud), magħrufa wkoll bl-Ingliż bħala Amazonia jew l-Amazon Jungle, hija forest"&amp;"a ta 'Broadjani umda li tiskopri l-iktar tal-Baċin tal-Amażonja tal-Amerika t'Isfel. Dan il-baċin jinkludi 7,000,000 kilometru kwadru (2,700,000 sq mi), li minnhom 5,500,000 kilometru kwadru (2,100,000 sq mi) huma koperti mill-foresta tropikali. Dan ir-re"&amp;"ġjun jinkludi territorju li jappartjeni għal disa 'nazzjonijiet. Il-biċċa l-kbira tal-foresta tinsab fil-Brażil, b'60% tal-foresta tropikali, segwita mill-Perù bi 13%, il-Kolombja b'10%, u b'ammonti minuri fil-Venezwela, l-Ekwador, il-Bolivja, il-Bolivja,"&amp;" il-Guyana, is-Surinam u l-Guiana Franċiża. Stati jew dipartimenti f'erba 'nazzjonijiet fihom ""Amazonas"" f'isimhom. L-Amażonja tirrappreżenta aktar minn nofs il-foresti tropikali li fadal tal-pjaneta, u tinkludi l-akbar u l-aktar bijodiversji tal-forest"&amp;"a tropikali fid-dinja, bi stima ta '390 biljun siġra individwali maqsuma f'16,000 speċi.")</f>
        <v>Il-Amazon Rainforest (Portugiż: Floresta Amazônica jew Amazônia; Spanjol: Selva Amazónica, Amazonía jew ġeneralment Amazonia; Franċiża: Forêt Amazonienne; Olandiż: Amazoneregenwoud), magħrufa wkoll bl-Ingliż bħala Amazonia jew l-Amazon Jungle, hija foresta ta 'Broadjani umda li tiskopri l-iktar tal-Baċin tal-Amażonja tal-Amerika t'Isfel. Dan il-baċin jinkludi 7,000,000 kilometru kwadru (2,700,000 sq mi), li minnhom 5,500,000 kilometru kwadru (2,100,000 sq mi) huma koperti mill-foresta tropikali. Dan ir-reġjun jinkludi territorju li jappartjeni għal disa 'nazzjonijiet. Il-biċċa l-kbira tal-foresta tinsab fil-Brażil, b'60% tal-foresta tropikali, segwita mill-Perù bi 13%, il-Kolombja b'10%, u b'ammonti minuri fil-Venezwela, l-Ekwador, il-Bolivja, il-Bolivja, il-Guyana, is-Surinam u l-Guiana Franċiża. Stati jew dipartimenti f'erba 'nazzjonijiet fihom "Amazonas" f'isimhom. L-Amażonja tirrappreżenta aktar minn nofs il-foresti tropikali li fadal tal-pjaneta, u tinkludi l-akbar u l-aktar bijodiversji tal-foresta tropikali fid-dinja, bi stima ta '390 biljun siġra individwali maqsuma f'16,000 speċi.</v>
      </c>
    </row>
    <row r="16755" ht="15.75" customHeight="1">
      <c r="A16755" s="2" t="s">
        <v>16755</v>
      </c>
      <c r="B16755" s="2" t="str">
        <f>IFERROR(__xludf.DUMMYFUNCTION("GOOGLETRANSLATE(A16755, ""en"", ""mt"")"),"Liġi tal-Iswed")</f>
        <v>Liġi tal-Iswed</v>
      </c>
    </row>
    <row r="16756" ht="15.75" customHeight="1">
      <c r="A16756" s="2" t="s">
        <v>16756</v>
      </c>
      <c r="B16756" s="2" t="str">
        <f>IFERROR(__xludf.DUMMYFUNCTION("GOOGLETRANSLATE(A16756, ""en"", ""mt"")"),"Ir-regola kolonjali tkun ikkunsidrata bħala tip ta 'imperjalizmu?")</f>
        <v>Ir-regola kolonjali tkun ikkunsidrata bħala tip ta 'imperjalizmu?</v>
      </c>
    </row>
    <row r="16757" ht="15.75" customHeight="1">
      <c r="A16757" s="2" t="s">
        <v>16757</v>
      </c>
      <c r="B16757" s="2" t="str">
        <f>IFERROR(__xludf.DUMMYFUNCTION("GOOGLETRANSLATE(A16757, ""en"", ""mt"")"),"44")</f>
        <v>44</v>
      </c>
    </row>
    <row r="16758" ht="15.75" customHeight="1">
      <c r="A16758" s="2" t="s">
        <v>16758</v>
      </c>
      <c r="B16758" s="2" t="str">
        <f>IFERROR(__xludf.DUMMYFUNCTION("GOOGLETRANSLATE(A16758, ""en"", ""mt"")"),"Ankra l-kopertura ta 'qabel il-logħba u l-mistrieħ")</f>
        <v>Ankra l-kopertura ta 'qabel il-logħba u l-mistrieħ</v>
      </c>
    </row>
    <row r="16759" ht="15.75" customHeight="1">
      <c r="A16759" s="2" t="s">
        <v>16759</v>
      </c>
      <c r="B16759" s="2" t="str">
        <f>IFERROR(__xludf.DUMMYFUNCTION("GOOGLETRANSLATE(A16759, ""en"", ""mt"")"),"X'ġara fl-1992 fi proċess fir-Renju Unit kollu?")</f>
        <v>X'ġara fl-1992 fi proċess fir-Renju Unit kollu?</v>
      </c>
    </row>
    <row r="16760" ht="15.75" customHeight="1">
      <c r="A16760" s="2" t="s">
        <v>16760</v>
      </c>
      <c r="B16760" s="2" t="str">
        <f>IFERROR(__xludf.DUMMYFUNCTION("GOOGLETRANSLATE(A16760, ""en"", ""mt"")"),"Il-Leġislatura tal-Florida")</f>
        <v>Il-Leġislatura tal-Florida</v>
      </c>
    </row>
    <row r="16761" ht="15.75" customHeight="1">
      <c r="A16761" s="2" t="s">
        <v>16761</v>
      </c>
      <c r="B16761" s="2" t="str">
        <f>IFERROR(__xludf.DUMMYFUNCTION("GOOGLETRANSLATE(A16761, ""en"", ""mt"")"),"Emendi Blaine")</f>
        <v>Emendi Blaine</v>
      </c>
    </row>
    <row r="16762" ht="15.75" customHeight="1">
      <c r="A16762" s="2" t="s">
        <v>16762</v>
      </c>
      <c r="B16762" s="2" t="str">
        <f>IFERROR(__xludf.DUMMYFUNCTION("GOOGLETRANSLATE(A16762, ""en"", ""mt"")"),"X’għamel Graham Twigg fl-1984?")</f>
        <v>X’għamel Graham Twigg fl-1984?</v>
      </c>
    </row>
    <row r="16763" ht="15.75" customHeight="1">
      <c r="A16763" s="2" t="s">
        <v>16763</v>
      </c>
      <c r="B16763" s="2" t="str">
        <f>IFERROR(__xludf.DUMMYFUNCTION("GOOGLETRANSLATE(A16763, ""en"", ""mt"")"),"Nepaliż")</f>
        <v>Nepaliż</v>
      </c>
    </row>
    <row r="16764" ht="15.75" customHeight="1">
      <c r="A16764" s="2" t="s">
        <v>16764</v>
      </c>
      <c r="B16764" s="2" t="str">
        <f>IFERROR(__xludf.DUMMYFUNCTION("GOOGLETRANSLATE(A16764, ""en"", ""mt"")"),"Peress li Thoreau ma kienx kittieb magħruf x’ġara meta ġie arrestat?")</f>
        <v>Peress li Thoreau ma kienx kittieb magħruf x’ġara meta ġie arrestat?</v>
      </c>
    </row>
    <row r="16765" ht="15.75" customHeight="1">
      <c r="A16765" s="2" t="s">
        <v>16765</v>
      </c>
      <c r="B16765" s="2" t="str">
        <f>IFERROR(__xludf.DUMMYFUNCTION("GOOGLETRANSLATE(A16765, ""en"", ""mt"")"),"X'kien il-Mall pedonali msejjaħ?")</f>
        <v>X'kien il-Mall pedonali msejjaħ?</v>
      </c>
    </row>
    <row r="16766" ht="15.75" customHeight="1">
      <c r="A16766" s="2" t="s">
        <v>16766</v>
      </c>
      <c r="B16766" s="2" t="str">
        <f>IFERROR(__xludf.DUMMYFUNCTION("GOOGLETRANSLATE(A16766, ""en"", ""mt"")"),"Magazine tax-Xjenza")</f>
        <v>Magazine tax-Xjenza</v>
      </c>
    </row>
    <row r="16767" ht="15.75" customHeight="1">
      <c r="A16767" s="2" t="s">
        <v>16767</v>
      </c>
      <c r="B16767" s="2" t="str">
        <f>IFERROR(__xludf.DUMMYFUNCTION("GOOGLETRANSLATE(A16767, ""en"", ""mt"")"),"Ċ-ċellola")</f>
        <v>Ċ-ċellola</v>
      </c>
    </row>
    <row r="16768" ht="15.75" customHeight="1">
      <c r="A16768" s="2" t="s">
        <v>16768</v>
      </c>
      <c r="B16768" s="2" t="str">
        <f>IFERROR(__xludf.DUMMYFUNCTION("GOOGLETRANSLATE(A16768, ""en"", ""mt"")"),"Kemm Affiljati ABC għandha l-Kumpanija E. W. Scripps?")</f>
        <v>Kemm Affiljati ABC għandha l-Kumpanija E. W. Scripps?</v>
      </c>
    </row>
    <row r="16769" ht="15.75" customHeight="1">
      <c r="A16769" s="2" t="s">
        <v>16769</v>
      </c>
      <c r="B16769" s="2" t="str">
        <f>IFERROR(__xludf.DUMMYFUNCTION("GOOGLETRANSLATE(A16769, ""en"", ""mt"")"),"Marshall")</f>
        <v>Marshall</v>
      </c>
    </row>
    <row r="16770" ht="15.75" customHeight="1">
      <c r="A16770" s="2" t="s">
        <v>16770</v>
      </c>
      <c r="B16770" s="2" t="str">
        <f>IFERROR(__xludf.DUMMYFUNCTION("GOOGLETRANSLATE(A16770, ""en"", ""mt"")"),"Philo ta 'Bizanju ____ issostitwixxa li l-arja kkonvertita għan-nar")</f>
        <v>Philo ta 'Bizanju ____ issostitwixxa li l-arja kkonvertita għan-nar</v>
      </c>
    </row>
    <row r="16771" ht="15.75" customHeight="1">
      <c r="A16771" s="2" t="s">
        <v>16771</v>
      </c>
      <c r="B16771" s="2" t="str">
        <f>IFERROR(__xludf.DUMMYFUNCTION("GOOGLETRANSLATE(A16771, ""en"", ""mt"")"),"Il-parti tax-Xlokk tal-Khwarzemia")</f>
        <v>Il-parti tax-Xlokk tal-Khwarzemia</v>
      </c>
    </row>
    <row r="16772" ht="15.75" customHeight="1">
      <c r="A16772" s="2" t="s">
        <v>16772</v>
      </c>
      <c r="B16772" s="2" t="str">
        <f>IFERROR(__xludf.DUMMYFUNCTION("GOOGLETRANSLATE(A16772, ""en"", ""mt"")"),"Il-qgħad persistenti għandu x’effett fuq it-tkabbir ekonomiku fit-tul?")</f>
        <v>Il-qgħad persistenti għandu x’effett fuq it-tkabbir ekonomiku fit-tul?</v>
      </c>
    </row>
    <row r="16773" ht="15.75" customHeight="1">
      <c r="A16773" s="2" t="s">
        <v>16773</v>
      </c>
      <c r="B16773" s="2" t="str">
        <f>IFERROR(__xludf.DUMMYFUNCTION("GOOGLETRANSLATE(A16773, ""en"", ""mt"")"),"4000 sena")</f>
        <v>4000 sena</v>
      </c>
    </row>
    <row r="16774" ht="15.75" customHeight="1">
      <c r="A16774" s="2" t="s">
        <v>16774</v>
      </c>
      <c r="B16774" s="2" t="str">
        <f>IFERROR(__xludf.DUMMYFUNCTION("GOOGLETRANSLATE(A16774, ""en"", ""mt"")"),"kolp ta 'stat militari")</f>
        <v>kolp ta 'stat militari</v>
      </c>
    </row>
    <row r="16775" ht="15.75" customHeight="1">
      <c r="A16775" s="2" t="s">
        <v>16775</v>
      </c>
      <c r="B16775" s="2" t="str">
        <f>IFERROR(__xludf.DUMMYFUNCTION("GOOGLETRANSLATE(A16775, ""en"", ""mt"")"),"Kemm hu twil it-Torri tal-Bank of America?")</f>
        <v>Kemm hu twil it-Torri tal-Bank of America?</v>
      </c>
    </row>
    <row r="16776" ht="15.75" customHeight="1">
      <c r="A16776" s="2" t="s">
        <v>16776</v>
      </c>
      <c r="B16776" s="2" t="str">
        <f>IFERROR(__xludf.DUMMYFUNCTION("GOOGLETRANSLATE(A16776, ""en"", ""mt"")"),"L-għalliema huma meħtieġa li jkunu rreġistrati mal-Kunsill tat-Tagħlim; Taħt it-Taqsima 30 tal-Att dwar il-Kunsill tat-Tagħlim 2001, persuna impjegata fi kwalunkwe kapaċità f'posta ta 'tagħlim rikonoxxuta - li mhix irreġistrata mal-Kunsill tat-Tagħlim - m"&amp;"a tistax titħallas mill-fondi Oireachtas.")</f>
        <v>L-għalliema huma meħtieġa li jkunu rreġistrati mal-Kunsill tat-Tagħlim; Taħt it-Taqsima 30 tal-Att dwar il-Kunsill tat-Tagħlim 2001, persuna impjegata fi kwalunkwe kapaċità f'posta ta 'tagħlim rikonoxxuta - li mhix irreġistrata mal-Kunsill tat-Tagħlim - ma tistax titħallas mill-fondi Oireachtas.</v>
      </c>
    </row>
    <row r="16777" ht="15.75" customHeight="1">
      <c r="A16777" s="2" t="s">
        <v>16777</v>
      </c>
      <c r="B16777" s="2" t="str">
        <f>IFERROR(__xludf.DUMMYFUNCTION("GOOGLETRANSLATE(A16777, ""en"", ""mt"")"),"żieda fl-art disponibbli għall-kultivazzjoni")</f>
        <v>żieda fl-art disponibbli għall-kultivazzjoni</v>
      </c>
    </row>
    <row r="16778" ht="15.75" customHeight="1">
      <c r="A16778" s="2" t="s">
        <v>16778</v>
      </c>
      <c r="B16778" s="2" t="str">
        <f>IFERROR(__xludf.DUMMYFUNCTION("GOOGLETRANSLATE(A16778, ""en"", ""mt"")"),"L-intonazzjoni ta 'Luther tagħha adattaw għall-innu ta' Salm 67?")</f>
        <v>L-intonazzjoni ta 'Luther tagħha adattaw għall-innu ta' Salm 67?</v>
      </c>
    </row>
    <row r="16779" ht="15.75" customHeight="1">
      <c r="A16779" s="2" t="s">
        <v>16779</v>
      </c>
      <c r="B16779" s="2" t="str">
        <f>IFERROR(__xludf.DUMMYFUNCTION("GOOGLETRANSLATE(A16779, ""en"", ""mt"")"),"Icrisat")</f>
        <v>Icrisat</v>
      </c>
    </row>
    <row r="16780" ht="15.75" customHeight="1">
      <c r="A16780" s="2" t="s">
        <v>16780</v>
      </c>
      <c r="B16780" s="2" t="str">
        <f>IFERROR(__xludf.DUMMYFUNCTION("GOOGLETRANSLATE(A16780, ""en"", ""mt"")"),"klorofilla a u phycobilins")</f>
        <v>klorofilla a u phycobilins</v>
      </c>
    </row>
    <row r="16781" ht="15.75" customHeight="1">
      <c r="A16781" s="2" t="s">
        <v>16781</v>
      </c>
      <c r="B16781" s="2" t="str">
        <f>IFERROR(__xludf.DUMMYFUNCTION("GOOGLETRANSLATE(A16781, ""en"", ""mt"")"),"Liema plejer ta 'Carolina weġġa' fil-logħba tal-kampjonat NFC?")</f>
        <v>Liema plejer ta 'Carolina weġġa' fil-logħba tal-kampjonat NFC?</v>
      </c>
    </row>
    <row r="16782" ht="15.75" customHeight="1">
      <c r="A16782" s="2" t="s">
        <v>16782</v>
      </c>
      <c r="B16782" s="2" t="str">
        <f>IFERROR(__xludf.DUMMYFUNCTION("GOOGLETRANSLATE(A16782, ""en"", ""mt"")"),"Fuq liema console tal-logħob kienet disponibbli l-app CBS Sports?")</f>
        <v>Fuq liema console tal-logħob kienet disponibbli l-app CBS Sports?</v>
      </c>
    </row>
    <row r="16783" ht="15.75" customHeight="1">
      <c r="A16783" s="2" t="s">
        <v>16783</v>
      </c>
      <c r="B16783" s="2" t="str">
        <f>IFERROR(__xludf.DUMMYFUNCTION("GOOGLETRANSLATE(A16783, ""en"", ""mt"")"),"X'kien il-proporzjon ta 'rġiel għal nisa f'Harvard / Radcliffe?")</f>
        <v>X'kien il-proporzjon ta 'rġiel għal nisa f'Harvard / Radcliffe?</v>
      </c>
    </row>
    <row r="16784" ht="15.75" customHeight="1">
      <c r="A16784" s="2" t="s">
        <v>16784</v>
      </c>
      <c r="B16784" s="2" t="str">
        <f>IFERROR(__xludf.DUMMYFUNCTION("GOOGLETRANSLATE(A16784, ""en"", ""mt"")"),"X'inhu l-minimu meħtieġ jekk trid tgħallem fil-Kanada?")</f>
        <v>X'inhu l-minimu meħtieġ jekk trid tgħallem fil-Kanada?</v>
      </c>
    </row>
    <row r="16785" ht="15.75" customHeight="1">
      <c r="A16785" s="2" t="s">
        <v>16785</v>
      </c>
      <c r="B16785" s="2" t="str">
        <f>IFERROR(__xludf.DUMMYFUNCTION("GOOGLETRANSLATE(A16785, ""en"", ""mt"")"),"X'kienet inkarigata l-Aġenzija tal-Informazzjoni ta 'l-Istati Uniti li għamlet matul il-Gwerra Bierda?")</f>
        <v>X'kienet inkarigata l-Aġenzija tal-Informazzjoni ta 'l-Istati Uniti li għamlet matul il-Gwerra Bierda?</v>
      </c>
    </row>
    <row r="16786" ht="15.75" customHeight="1">
      <c r="A16786" s="2" t="s">
        <v>16786</v>
      </c>
      <c r="B16786" s="2" t="str">
        <f>IFERROR(__xludf.DUMMYFUNCTION("GOOGLETRANSLATE(A16786, ""en"", ""mt"")"),"Illum, Varsavja għandha wħud mill-aqwa faċilitajiet mediċi fil-Polonja u l-Ewropa tal-Lvant-Ċentrali. Il-belt hija dar għall-Istitut tas-Saħħa tat-Tfal tat-Tfal (CMHI), l-isptar bl-ogħla referenza fil-Polonja kollha, kif ukoll ċentru ta 'riċerka u edukazz"&amp;"joni attiv. Filwaqt li l-Istitut ta 'l-Onkoloġija ta' Maria Skłodowska-Curie hija waħda mill-ikbar u l-aktar istituzzjonijiet onkoloġiċi moderni fl-Ewropa. Is-sezzjoni klinika tinsab f'bini ta '10 sulari b'700 sodda, 10 teatri operattivi, unità ta 'kura i"&amp;"ntensiva, diversi dipartimenti dijanjostiċi kif ukoll klinika outpatients. L-infrastruttura żviluppat ħafna matul l-aħħar snin.")</f>
        <v>Illum, Varsavja għandha wħud mill-aqwa faċilitajiet mediċi fil-Polonja u l-Ewropa tal-Lvant-Ċentrali. Il-belt hija dar għall-Istitut tas-Saħħa tat-Tfal tat-Tfal (CMHI), l-isptar bl-ogħla referenza fil-Polonja kollha, kif ukoll ċentru ta 'riċerka u edukazzjoni attiv. Filwaqt li l-Istitut ta 'l-Onkoloġija ta' Maria Skłodowska-Curie hija waħda mill-ikbar u l-aktar istituzzjonijiet onkoloġiċi moderni fl-Ewropa. Is-sezzjoni klinika tinsab f'bini ta '10 sulari b'700 sodda, 10 teatri operattivi, unità ta 'kura intensiva, diversi dipartimenti dijanjostiċi kif ukoll klinika outpatients. L-infrastruttura żviluppat ħafna matul l-aħħar snin.</v>
      </c>
    </row>
    <row r="16787" ht="15.75" customHeight="1">
      <c r="A16787" s="2" t="s">
        <v>16787</v>
      </c>
      <c r="B16787" s="2" t="str">
        <f>IFERROR(__xludf.DUMMYFUNCTION("GOOGLETRANSLATE(A16787, ""en"", ""mt"")"),"Żieda fil-karozzi importati fl-Amerika ta 'Fuq")</f>
        <v>Żieda fil-karozzi importati fl-Amerika ta 'Fuq</v>
      </c>
    </row>
    <row r="16788" ht="15.75" customHeight="1">
      <c r="A16788" s="2" t="s">
        <v>16788</v>
      </c>
      <c r="B16788" s="2" t="str">
        <f>IFERROR(__xludf.DUMMYFUNCTION("GOOGLETRANSLATE(A16788, ""en"", ""mt"")"),"Il-Lag Constance jikkonsisti fi tliet korpi ta 'l-ilma: l-Obersee (""Upper Lake""), The Untersee (""Lower Lake""), u medda ta' konnessjoni tar-Renu, imsejħa Seerhein (""Lag Rhine""). Il-lag jinsab fil-Ġermanja, l-Isvizzera u l-Awstrija ħdejn l-Alpi. Speċi"&amp;"fikament, ix-xtut tagħha jinsabu fl-istati Ġermaniżi tal-Bavarja u Baden-Württemberg, l-istat Awstrijak ta 'Vorarlberg, u l-kantuni Żvizzeri ta' Thurgau u San Gallen. Ir-Rhine jiċċirkola fiha min-nofsinhar wara l-fruntiera Żvizzera-Awstrijana. Jinsab madw"&amp;"ar 47 ° 39′N 9 ° 19′E / 47.650 ° N 9.317 ° E / 47.650; 9.317.")</f>
        <v>Il-Lag Constance jikkonsisti fi tliet korpi ta 'l-ilma: l-Obersee ("Upper Lake"), The Untersee ("Lower Lake"), u medda ta' konnessjoni tar-Renu, imsejħa Seerhein ("Lag Rhine"). Il-lag jinsab fil-Ġermanja, l-Isvizzera u l-Awstrija ħdejn l-Alpi. Speċifikament, ix-xtut tagħha jinsabu fl-istati Ġermaniżi tal-Bavarja u Baden-Württemberg, l-istat Awstrijak ta 'Vorarlberg, u l-kantuni Żvizzeri ta' Thurgau u San Gallen. Ir-Rhine jiċċirkola fiha min-nofsinhar wara l-fruntiera Żvizzera-Awstrijana. Jinsab madwar 47 ° 39′N 9 ° 19′E / 47.650 ° N 9.317 ° E / 47.650; 9.317.</v>
      </c>
    </row>
    <row r="16789" ht="15.75" customHeight="1">
      <c r="A16789" s="2" t="s">
        <v>16789</v>
      </c>
      <c r="B16789" s="2" t="str">
        <f>IFERROR(__xludf.DUMMYFUNCTION("GOOGLETRANSLATE(A16789, ""en"", ""mt"")"),"X'tip ta 'żwieġ kien dan?")</f>
        <v>X'tip ta 'żwieġ kien dan?</v>
      </c>
    </row>
    <row r="16790" ht="15.75" customHeight="1">
      <c r="A16790" s="2" t="s">
        <v>16790</v>
      </c>
      <c r="B16790" s="2" t="str">
        <f>IFERROR(__xludf.DUMMYFUNCTION("GOOGLETRANSLATE(A16790, ""en"", ""mt"")"),"Palm Springs")</f>
        <v>Palm Springs</v>
      </c>
    </row>
    <row r="16791" ht="15.75" customHeight="1">
      <c r="A16791" s="2" t="s">
        <v>16791</v>
      </c>
      <c r="B16791" s="2" t="str">
        <f>IFERROR(__xludf.DUMMYFUNCTION("GOOGLETRANSLATE(A16791, ""en"", ""mt"")"),"L-iktar stima aċċettata b'mod wiesa 'għall-Lvant Nofsani, inklużi l-Iraq, l-Iran u s-Sirja, matul dan iż-żmien, hija għal rata ta' mewt ta 'madwar terz. Il-mewt l-Iswed qatlet madwar 40% tal-popolazzjoni tal-Eġittu. Nofs il-popolazzjoni ta 'Pariġi ta' 100"&amp;",000 persuna mietet. Fl-Italja, il-popolazzjoni ta 'Firenze tnaqqset minn 110-120 elf abitant fl-1338' l isfel għal 50 elf fl-1351. Mill-inqas 60% tal-popolazzjoni ta 'Hamburg u Bremen jitħassru, u persentaġġ simili ta' Londoners seta 'miet mill-marda bħa"&amp;"la Ukoll. Interessanti filwaqt li r-rapporti kontemporanji jammontaw għall-fosos tad-dfin tal-massa li qed jinħolqu b'reazzjoni għan-numru kbir ta 'investigazzjonijiet xjentifiċi riċenti ta' fossa tax-xandir fiċ-ċentru ta 'Londra sabu individwi ppreservat"&amp;"i sew biex jiġu midfuna f'qabra iżolati, spazjati b'mod indaqs, li jissuġġerixxu mill-inqas xi wħud -Panning u Dfin Kristjan f'dan il-ħin. Qabel l-1350, kien hemm madwar 170,000 insedjament fil-Ġermanja, u dan tnaqqas bi kważi 40,000 sal-1450. Fl-1348, il"&amp;"-pesta nfirxet malajr li qabel ma xi tobba jew awtoritajiet tal-gvern kellhom il-ħin biex jirriflettu fuq l-oriġini tiegħu, madwar terz tal-Ewropew Il-popolazzjoni kienet diġà miexja. Fi bliet iffullati, ma kienx komuni għal daqs 50% tal-popolazzjoni li t"&amp;"mut. Il-marda qabżet xi żoni, u l-iktar żoni iżolati kienu inqas vulnerabbli għall-kontaġju. Il-patrijiet u s-saċerdoti kienu milquta speċjalment minn meta kienu jieħdu ħsieb il-vittmi tal-mewt sewda.")</f>
        <v>L-iktar stima aċċettata b'mod wiesa 'għall-Lvant Nofsani, inklużi l-Iraq, l-Iran u s-Sirja, matul dan iż-żmien, hija għal rata ta' mewt ta 'madwar terz. Il-mewt l-Iswed qatlet madwar 40% tal-popolazzjoni tal-Eġittu. Nofs il-popolazzjoni ta 'Pariġi ta' 100,000 persuna mietet. Fl-Italja, il-popolazzjoni ta 'Firenze tnaqqset minn 110-120 elf abitant fl-1338' l isfel għal 50 elf fl-1351. Mill-inqas 60% tal-popolazzjoni ta 'Hamburg u Bremen jitħassru, u persentaġġ simili ta' Londoners seta 'miet mill-marda bħala Ukoll. Interessanti filwaqt li r-rapporti kontemporanji jammontaw għall-fosos tad-dfin tal-massa li qed jinħolqu b'reazzjoni għan-numru kbir ta 'investigazzjonijiet xjentifiċi riċenti ta' fossa tax-xandir fiċ-ċentru ta 'Londra sabu individwi ppreservati sew biex jiġu midfuna f'qabra iżolati, spazjati b'mod indaqs, li jissuġġerixxu mill-inqas xi wħud -Panning u Dfin Kristjan f'dan il-ħin. Qabel l-1350, kien hemm madwar 170,000 insedjament fil-Ġermanja, u dan tnaqqas bi kważi 40,000 sal-1450. Fl-1348, il-pesta nfirxet malajr li qabel ma xi tobba jew awtoritajiet tal-gvern kellhom il-ħin biex jirriflettu fuq l-oriġini tiegħu, madwar terz tal-Ewropew Il-popolazzjoni kienet diġà miexja. Fi bliet iffullati, ma kienx komuni għal daqs 50% tal-popolazzjoni li tmut. Il-marda qabżet xi żoni, u l-iktar żoni iżolati kienu inqas vulnerabbli għall-kontaġju. Il-patrijiet u s-saċerdoti kienu milquta speċjalment minn meta kienu jieħdu ħsieb il-vittmi tal-mewt sewda.</v>
      </c>
    </row>
    <row r="16792" ht="15.75" customHeight="1">
      <c r="A16792" s="2" t="s">
        <v>16792</v>
      </c>
      <c r="B16792" s="2" t="str">
        <f>IFERROR(__xludf.DUMMYFUNCTION("GOOGLETRANSLATE(A16792, ""en"", ""mt"")"),"Il-leġiżlazzjoni ppermettiet lil California tiġi ammessa fl-Unjoni bħala x'tip ta 'stat?")</f>
        <v>Il-leġiżlazzjoni ppermettiet lil California tiġi ammessa fl-Unjoni bħala x'tip ta 'stat?</v>
      </c>
    </row>
    <row r="16793" ht="15.75" customHeight="1">
      <c r="A16793" s="2" t="s">
        <v>16793</v>
      </c>
      <c r="B16793" s="2" t="str">
        <f>IFERROR(__xludf.DUMMYFUNCTION("GOOGLETRANSLATE(A16793, ""en"", ""mt"")"),"Liema mija tal-forza tax-xogħol taħdem fl-agrikoltura?")</f>
        <v>Liema mija tal-forza tax-xogħol taħdem fl-agrikoltura?</v>
      </c>
    </row>
    <row r="16794" ht="15.75" customHeight="1">
      <c r="A16794" s="2" t="s">
        <v>16794</v>
      </c>
      <c r="B16794" s="2" t="str">
        <f>IFERROR(__xludf.DUMMYFUNCTION("GOOGLETRANSLATE(A16794, ""en"", ""mt"")"),"Kolonji barranin")</f>
        <v>Kolonji barranin</v>
      </c>
    </row>
    <row r="16795" ht="15.75" customHeight="1">
      <c r="A16795" s="2" t="s">
        <v>16795</v>
      </c>
      <c r="B16795" s="2" t="str">
        <f>IFERROR(__xludf.DUMMYFUNCTION("GOOGLETRANSLATE(A16795, ""en"", ""mt"")"),"Singlet")</f>
        <v>Singlet</v>
      </c>
    </row>
    <row r="16796" ht="15.75" customHeight="1">
      <c r="A16796" s="2" t="s">
        <v>16796</v>
      </c>
      <c r="B16796" s="2" t="str">
        <f>IFERROR(__xludf.DUMMYFUNCTION("GOOGLETRANSLATE(A16796, ""en"", ""mt"")"),"X'inhu n-numru totali ta 'professuri, għalliema u letturi f'Harvard?")</f>
        <v>X'inhu n-numru totali ta 'professuri, għalliema u letturi f'Harvard?</v>
      </c>
    </row>
    <row r="16797" ht="15.75" customHeight="1">
      <c r="A16797" s="2" t="s">
        <v>16797</v>
      </c>
      <c r="B16797" s="2" t="str">
        <f>IFERROR(__xludf.DUMMYFUNCTION("GOOGLETRANSLATE(A16797, ""en"", ""mt"")"),"Madankollu, ħarġet problema rigward id-direzzjonijiet meħuda minn ABC u UPT. Fl-1950, Noble ħatar lil Robert Kintner biex ikun il-president ta 'ABC waqt li huwa stess serva bħala l-Kap Eżekuttiv tiegħu, pożizzjoni li kien iżomm sal-mewt tiegħu fl-1958. Mi"&amp;"nkejja l-wegħda ta' nuqqas ta 'interferenza bejn ABC u UPT, Goldenson kellu jintervjeni fid-deċiżjonijiet ta' ABC għax ta 'problemi finanzjarji u l-perjodu twil ta' indeċiżjoni tal-FCC. Goldenson żied mal-konfużjoni meta, f'Ottubru 1954, huwa ppropona għa"&amp;"qda bejn UPT u n-Netwerk tat-Televiżjoni Dumont, li kien imqabbad ukoll fl-inkwiet finanzjarju. Bħala parti minn din l-għaqda, in-netwerk kien ikun imsemmi mill-ġdid ""ABC-Dumont"" għal ħames snin, u Dumont kien irċieva $ 5 miljun fi flus kontanti, kamra "&amp;"fl-iskeda għall-ipprogrammar eżistenti ta 'Dumont, u ħin ta' reklamar garantit għar-riċevituri tal-Laboratorji Dumont. Barra minn hekk, biex tikkonforma mar-restrizzjonijiet tas-sjieda tal-FCC, kien ikun meħtieġ li jbiegħ jew l-istazzjon WABC-TV jew Dumon"&amp;"t li huwa proprjetà u operat WABD fis-suq tal-Belt ta 'New York, kif ukoll żewġ stazzjonijiet oħra. L-ABC-Dumont magħqud kien ikollu r-riżorsi biex jikkompeti ma 'CBS u NBC.")</f>
        <v>Madankollu, ħarġet problema rigward id-direzzjonijiet meħuda minn ABC u UPT. Fl-1950, Noble ħatar lil Robert Kintner biex ikun il-president ta 'ABC waqt li huwa stess serva bħala l-Kap Eżekuttiv tiegħu, pożizzjoni li kien iżomm sal-mewt tiegħu fl-1958. Minkejja l-wegħda ta' nuqqas ta 'interferenza bejn ABC u UPT, Goldenson kellu jintervjeni fid-deċiżjonijiet ta' ABC għax ta 'problemi finanzjarji u l-perjodu twil ta' indeċiżjoni tal-FCC. Goldenson żied mal-konfużjoni meta, f'Ottubru 1954, huwa ppropona għaqda bejn UPT u n-Netwerk tat-Televiżjoni Dumont, li kien imqabbad ukoll fl-inkwiet finanzjarju. Bħala parti minn din l-għaqda, in-netwerk kien ikun imsemmi mill-ġdid "ABC-Dumont" għal ħames snin, u Dumont kien irċieva $ 5 miljun fi flus kontanti, kamra fl-iskeda għall-ipprogrammar eżistenti ta 'Dumont, u ħin ta' reklamar garantit għar-riċevituri tal-Laboratorji Dumont. Barra minn hekk, biex tikkonforma mar-restrizzjonijiet tas-sjieda tal-FCC, kien ikun meħtieġ li jbiegħ jew l-istazzjon WABC-TV jew Dumont li huwa proprjetà u operat WABD fis-suq tal-Belt ta 'New York, kif ukoll żewġ stazzjonijiet oħra. L-ABC-Dumont magħqud kien ikollu r-riżorsi biex jikkompeti ma 'CBS u NBC.</v>
      </c>
    </row>
    <row r="16798" ht="15.75" customHeight="1">
      <c r="A16798" s="2" t="s">
        <v>16798</v>
      </c>
      <c r="B16798" s="2" t="str">
        <f>IFERROR(__xludf.DUMMYFUNCTION("GOOGLETRANSLATE(A16798, ""en"", ""mt"")"),"Kemm kien malajr l-effett tal-predikazzjoni ta 'Luther?")</f>
        <v>Kemm kien malajr l-effett tal-predikazzjoni ta 'Luther?</v>
      </c>
    </row>
    <row r="16799" ht="15.75" customHeight="1">
      <c r="A16799" s="2" t="s">
        <v>16799</v>
      </c>
      <c r="B16799" s="2" t="str">
        <f>IFERROR(__xludf.DUMMYFUNCTION("GOOGLETRANSLATE(A16799, ""en"", ""mt"")"),"Liema riċevitur wiesa 'ta' Carolina Panthers sofra ACL imqatta 'qabel ma beda l-istaġun?")</f>
        <v>Liema riċevitur wiesa 'ta' Carolina Panthers sofra ACL imqatta 'qabel ma beda l-istaġun?</v>
      </c>
    </row>
    <row r="16800" ht="15.75" customHeight="1">
      <c r="A16800" s="2" t="s">
        <v>16800</v>
      </c>
      <c r="B16800" s="2" t="str">
        <f>IFERROR(__xludf.DUMMYFUNCTION("GOOGLETRANSLATE(A16800, ""en"", ""mt"")"),"Tesla nnota l-perikli li jaħdem maċ-ċirkwit tiegħu u apparat li jipproduċi r-raġġi X wieħed. Fil-bosta noti tiegħu dwar l-investigazzjoni bikrija ta 'dan il-fenomenu, huwa attribwixxa l-ħsara fil-ġilda għal diversi kawżi. Huwa emmen kmieni fuq dik il-ħsar"&amp;"a lill-ġilda ma kienx ikkawżat mir-raġġi Roentgen, iżda mill-ożonu ġġenerat f'kuntatt mal-ġilda, u sa ċertu punt, mill-aċidu nitruż. Tesla ħaseb b'mod żbaljat li r-raġġi X kienu mewġ lonġitudinali, bħal dawk prodotti fil-mewġ fil-plażma. Dawn il-mewġ tal-"&amp;"plażma jistgħu jseħħu f'kampi manjetiċi ħielsa mill-forza.")</f>
        <v>Tesla nnota l-perikli li jaħdem maċ-ċirkwit tiegħu u apparat li jipproduċi r-raġġi X wieħed. Fil-bosta noti tiegħu dwar l-investigazzjoni bikrija ta 'dan il-fenomenu, huwa attribwixxa l-ħsara fil-ġilda għal diversi kawżi. Huwa emmen kmieni fuq dik il-ħsara lill-ġilda ma kienx ikkawżat mir-raġġi Roentgen, iżda mill-ożonu ġġenerat f'kuntatt mal-ġilda, u sa ċertu punt, mill-aċidu nitruż. Tesla ħaseb b'mod żbaljat li r-raġġi X kienu mewġ lonġitudinali, bħal dawk prodotti fil-mewġ fil-plażma. Dawn il-mewġ tal-plażma jistgħu jseħħu f'kampi manjetiċi ħielsa mill-forza.</v>
      </c>
    </row>
    <row r="16801" ht="15.75" customHeight="1">
      <c r="A16801" s="2" t="s">
        <v>16801</v>
      </c>
      <c r="B16801" s="2" t="str">
        <f>IFERROR(__xludf.DUMMYFUNCTION("GOOGLETRANSLATE(A16801, ""en"", ""mt"")"),"Meta miet Wei Yilin?")</f>
        <v>Meta miet Wei Yilin?</v>
      </c>
    </row>
    <row r="16802" ht="15.75" customHeight="1">
      <c r="A16802" s="2" t="s">
        <v>16802</v>
      </c>
      <c r="B16802" s="2" t="str">
        <f>IFERROR(__xludf.DUMMYFUNCTION("GOOGLETRANSLATE(A16802, ""en"", ""mt"")"),"Wara s-suċċess inizjali ta 'dawn is-serje, ABC reġgħet reġgħet l-iskeda tal-Ġimgħa bil-lejl madwar kummiedji favur il-familja fl-aħħar tas-snin 1980, li kkonkludiet fid-debutt tal-1989 tal-blokka ""TGIF"" (li l-promozzjonijiet referenzjati kienu għal ""gr"&amp;"azzi għat-tjubija li hija umoristika""). Ħafna mis-serje dehru matul il-ġirja tal-blokka ġew prodotti minn Miller-Boyett Productions, studju bbażat fuq Warner Bros. li pprogramma fil-qosor il-formazzjoni tal-Ġimgħa kollha matul l-istaġun 1990-1991 (b'post"&amp;"ijiet li jmorru jingħaqdu ma 'Family Matters, Full House u Strangers perfetti fuq l-iskeda ""TGIF"") u permezz tal-ftehim ta 'żvilupp tagħha ma' Paramount Television qabel l-1986 (bħala Miller-Milkis, u aktar tard, Miller-Milkis-Toppor in-netwerk.")</f>
        <v>Wara s-suċċess inizjali ta 'dawn is-serje, ABC reġgħet reġgħet l-iskeda tal-Ġimgħa bil-lejl madwar kummiedji favur il-familja fl-aħħar tas-snin 1980, li kkonkludiet fid-debutt tal-1989 tal-blokka "TGIF" (li l-promozzjonijiet referenzjati kienu għal "grazzi għat-tjubija li hija umoristika"). Ħafna mis-serje dehru matul il-ġirja tal-blokka ġew prodotti minn Miller-Boyett Productions, studju bbażat fuq Warner Bros. li pprogramma fil-qosor il-formazzjoni tal-Ġimgħa kollha matul l-istaġun 1990-1991 (b'postijiet li jmorru jingħaqdu ma 'Family Matters, Full House u Strangers perfetti fuq l-iskeda "TGIF") u permezz tal-ftehim ta 'żvilupp tagħha ma' Paramount Television qabel l-1986 (bħala Miller-Milkis, u aktar tard, Miller-Milkis-Toppor in-netwerk.</v>
      </c>
    </row>
    <row r="16803" ht="15.75" customHeight="1">
      <c r="A16803" s="2" t="s">
        <v>16803</v>
      </c>
      <c r="B16803" s="2" t="str">
        <f>IFERROR(__xludf.DUMMYFUNCTION("GOOGLETRANSLATE(A16803, ""en"", ""mt"")"),"L-Afrika tat-Tramuntana u tal-Punent")</f>
        <v>L-Afrika tat-Tramuntana u tal-Punent</v>
      </c>
    </row>
    <row r="16804" ht="15.75" customHeight="1">
      <c r="A16804" s="2" t="s">
        <v>16804</v>
      </c>
      <c r="B16804" s="2" t="str">
        <f>IFERROR(__xludf.DUMMYFUNCTION("GOOGLETRANSLATE(A16804, ""en"", ""mt"")"),"F'liema snin wera t-tabib li oriġinarjament fuq it-TV?")</f>
        <v>F'liema snin wera t-tabib li oriġinarjament fuq it-TV?</v>
      </c>
    </row>
    <row r="16805" ht="15.75" customHeight="1">
      <c r="A16805" s="2" t="s">
        <v>16805</v>
      </c>
      <c r="B16805" s="2" t="str">
        <f>IFERROR(__xludf.DUMMYFUNCTION("GOOGLETRANSLATE(A16805, ""en"", ""mt"")"),"53,423")</f>
        <v>53,423</v>
      </c>
    </row>
    <row r="16806" ht="15.75" customHeight="1">
      <c r="A16806" s="2" t="s">
        <v>16806</v>
      </c>
      <c r="B16806" s="2" t="str">
        <f>IFERROR(__xludf.DUMMYFUNCTION("GOOGLETRANSLATE(A16806, ""en"", ""mt"")"),"Kemm kellu Peyton Manning fl-2015?")</f>
        <v>Kemm kellu Peyton Manning fl-2015?</v>
      </c>
    </row>
    <row r="16807" ht="15.75" customHeight="1">
      <c r="A16807" s="2" t="s">
        <v>16807</v>
      </c>
      <c r="B16807" s="2" t="str">
        <f>IFERROR(__xludf.DUMMYFUNCTION("GOOGLETRANSLATE(A16807, ""en"", ""mt"")"),"Liema evoluzzjonista famuż kien influwenzat mill-Prinċipji tal-Ktieb tal-Ġeoloġija?")</f>
        <v>Liema evoluzzjonista famuż kien influwenzat mill-Prinċipji tal-Ktieb tal-Ġeoloġija?</v>
      </c>
    </row>
    <row r="16808" ht="15.75" customHeight="1">
      <c r="A16808" s="2" t="s">
        <v>16808</v>
      </c>
      <c r="B16808" s="2" t="str">
        <f>IFERROR(__xludf.DUMMYFUNCTION("GOOGLETRANSLATE(A16808, ""en"", ""mt"")"),"F'liema sena l-istudent iddeċieda li jokkupa l-uffiċċju tal-president?")</f>
        <v>F'liema sena l-istudent iddeċieda li jokkupa l-uffiċċju tal-president?</v>
      </c>
    </row>
    <row r="16809" ht="15.75" customHeight="1">
      <c r="A16809" s="2" t="s">
        <v>16809</v>
      </c>
      <c r="B16809" s="2" t="str">
        <f>IFERROR(__xludf.DUMMYFUNCTION("GOOGLETRANSLATE(A16809, ""en"", ""mt"")"),"Liema persentaġġ ta 'skejjel primarji użaw Welsh primarjament jew esklussivament?")</f>
        <v>Liema persentaġġ ta 'skejjel primarji użaw Welsh primarjament jew esklussivament?</v>
      </c>
    </row>
    <row r="16810" ht="15.75" customHeight="1">
      <c r="A16810" s="2" t="s">
        <v>16810</v>
      </c>
      <c r="B16810" s="2" t="str">
        <f>IFERROR(__xludf.DUMMYFUNCTION("GOOGLETRANSLATE(A16810, ""en"", ""mt"")"),"L-ispin ta 'x'jista' jipproduċi effett manjetiku għal molekuli ta 'ossiġnu?")</f>
        <v>L-ispin ta 'x'jista' jipproduċi effett manjetiku għal molekuli ta 'ossiġnu?</v>
      </c>
    </row>
    <row r="16811" ht="15.75" customHeight="1">
      <c r="A16811" s="2" t="s">
        <v>16811</v>
      </c>
      <c r="B16811" s="2" t="str">
        <f>IFERROR(__xludf.DUMMYFUNCTION("GOOGLETRANSLATE(A16811, ""en"", ""mt"")"),"X'inhuma r-responsabbiltajiet ġodda li issa qed jittrattaw it-tekniċi tal-ispiżerija?")</f>
        <v>X'inhuma r-responsabbiltajiet ġodda li issa qed jittrattaw it-tekniċi tal-ispiżerija?</v>
      </c>
    </row>
    <row r="16812" ht="15.75" customHeight="1">
      <c r="A16812" s="2" t="s">
        <v>16812</v>
      </c>
      <c r="B16812" s="2" t="str">
        <f>IFERROR(__xludf.DUMMYFUNCTION("GOOGLETRANSLATE(A16812, ""en"", ""mt"")"),"Liema approċċ kien favur Oppenheimer?")</f>
        <v>Liema approċċ kien favur Oppenheimer?</v>
      </c>
    </row>
    <row r="16813" ht="15.75" customHeight="1">
      <c r="A16813" s="2" t="s">
        <v>16813</v>
      </c>
      <c r="B16813" s="2" t="str">
        <f>IFERROR(__xludf.DUMMYFUNCTION("GOOGLETRANSLATE(A16813, ""en"", ""mt"")"),"7500 yr ilu")</f>
        <v>7500 yr ilu</v>
      </c>
    </row>
    <row r="16814" ht="15.75" customHeight="1">
      <c r="A16814" s="2" t="s">
        <v>16814</v>
      </c>
      <c r="B16814" s="2" t="str">
        <f>IFERROR(__xludf.DUMMYFUNCTION("GOOGLETRANSLATE(A16814, ""en"", ""mt"")"),"X'kien il-laqam għat-test fejn, waqt il-modalità ABORT, il-magna ta 'l-ascent kienet bdiet u sparata?")</f>
        <v>X'kien il-laqam għat-test fejn, waqt il-modalità ABORT, il-magna ta 'l-ascent kienet bdiet u sparata?</v>
      </c>
    </row>
    <row r="16815" ht="15.75" customHeight="1">
      <c r="A16815" s="2" t="s">
        <v>16815</v>
      </c>
      <c r="B16815" s="2" t="str">
        <f>IFERROR(__xludf.DUMMYFUNCTION("GOOGLETRANSLATE(A16815, ""en"", ""mt"")"),"Il-mausoleum ta 'Genghis Khan")</f>
        <v>Il-mausoleum ta 'Genghis Khan</v>
      </c>
    </row>
    <row r="16816" ht="15.75" customHeight="1">
      <c r="A16816" s="2" t="s">
        <v>16816</v>
      </c>
      <c r="B16816" s="2" t="str">
        <f>IFERROR(__xludf.DUMMYFUNCTION("GOOGLETRANSLATE(A16816, ""en"", ""mt"")"),"Kemm kloroplasti għal kull ċellula għandha l-alka?")</f>
        <v>Kemm kloroplasti għal kull ċellula għandha l-alka?</v>
      </c>
    </row>
    <row r="16817" ht="15.75" customHeight="1">
      <c r="A16817" s="2" t="s">
        <v>16817</v>
      </c>
      <c r="B16817" s="2" t="str">
        <f>IFERROR(__xludf.DUMMYFUNCTION("GOOGLETRANSLATE(A16817, ""en"", ""mt"")"),"Kemm damet il-pesta fl-imperu Ottoman?")</f>
        <v>Kemm damet il-pesta fl-imperu Ottoman?</v>
      </c>
    </row>
    <row r="16818" ht="15.75" customHeight="1">
      <c r="A16818" s="2" t="s">
        <v>16818</v>
      </c>
      <c r="B16818" s="2" t="str">
        <f>IFERROR(__xludf.DUMMYFUNCTION("GOOGLETRANSLATE(A16818, ""en"", ""mt"")"),"X'kien maħsub għas-sit tad-dar tal-bojler preċedenti?")</f>
        <v>X'kien maħsub għas-sit tad-dar tal-bojler preċedenti?</v>
      </c>
    </row>
    <row r="16819" ht="15.75" customHeight="1">
      <c r="A16819" s="2" t="s">
        <v>16819</v>
      </c>
      <c r="B16819" s="2" t="str">
        <f>IFERROR(__xludf.DUMMYFUNCTION("GOOGLETRANSLATE(A16819, ""en"", ""mt"")"),"ħu ġuramentat jew ħu d-demm)")</f>
        <v>ħu ġuramentat jew ħu d-demm)</v>
      </c>
    </row>
    <row r="16820" ht="15.75" customHeight="1">
      <c r="A16820" s="2" t="s">
        <v>16820</v>
      </c>
      <c r="B16820" s="2" t="str">
        <f>IFERROR(__xludf.DUMMYFUNCTION("GOOGLETRANSLATE(A16820, ""en"", ""mt"")"),"Bħala norma, liema jum tal-ġimgħa hija l-ġurnata tradizzjonali tal-midja li saret qabel Super Bowl?")</f>
        <v>Bħala norma, liema jum tal-ġimgħa hija l-ġurnata tradizzjonali tal-midja li saret qabel Super Bowl?</v>
      </c>
    </row>
    <row r="16821" ht="15.75" customHeight="1">
      <c r="A16821" s="2" t="s">
        <v>16821</v>
      </c>
      <c r="B16821" s="2" t="str">
        <f>IFERROR(__xludf.DUMMYFUNCTION("GOOGLETRANSLATE(A16821, ""en"", ""mt"")"),"materjal dwar il-prestazzjoni diretta")</f>
        <v>materjal dwar il-prestazzjoni diretta</v>
      </c>
    </row>
    <row r="16822" ht="15.75" customHeight="1">
      <c r="A16822" s="2" t="s">
        <v>16822</v>
      </c>
      <c r="B16822" s="2" t="str">
        <f>IFERROR(__xludf.DUMMYFUNCTION("GOOGLETRANSLATE(A16822, ""en"", ""mt"")"),"gwida")</f>
        <v>gwida</v>
      </c>
    </row>
    <row r="16823" ht="15.75" customHeight="1">
      <c r="A16823" s="2" t="s">
        <v>16823</v>
      </c>
      <c r="B16823" s="2" t="str">
        <f>IFERROR(__xludf.DUMMYFUNCTION("GOOGLETRANSLATE(A16823, ""en"", ""mt"")"),"Fis-7 ta 'Jannar 1943, fl-età ta '86, Tesla mietet waħedha fil-kamra 3327 tal-lukanda New Yorker. Ġismu aktar tard instab mill-Maid Alice Monaghan wara li kienet daħlet fil-kamra ta ’Tesla, billi injorat is-sinjal"" Don Don’t Disturb ”li Tesla kienet poġġ"&amp;"iet fuq il-bieb tiegħu jumejn qabel. Assistent Eżaminatur Mediku H.W. Wembly eżamina l-ġisem u ddeċieda li l-kawża tal-mewt kienet trombożi koronarja. Il-fdalijiet ta 'Tesla ttieħdu fid-Dar tal-Funeral Frank E. Campbell fil-Madison Ave u l-81 ta' St. Ħabi"&amp;"b ta 'żmien twil u sostenitur ta' Tesla, Hugo Gernsback, ikkummissjona skultur biex joħloq maskra tal-mewt, issa murija fil-Mużew Nikola Tesla.")</f>
        <v>Fis-7 ta 'Jannar 1943, fl-età ta '86, Tesla mietet waħedha fil-kamra 3327 tal-lukanda New Yorker. Ġismu aktar tard instab mill-Maid Alice Monaghan wara li kienet daħlet fil-kamra ta ’Tesla, billi injorat is-sinjal" Don Don’t Disturb ”li Tesla kienet poġġiet fuq il-bieb tiegħu jumejn qabel. Assistent Eżaminatur Mediku H.W. Wembly eżamina l-ġisem u ddeċieda li l-kawża tal-mewt kienet trombożi koronarja. Il-fdalijiet ta 'Tesla ttieħdu fid-Dar tal-Funeral Frank E. Campbell fil-Madison Ave u l-81 ta' St. Ħabib ta 'żmien twil u sostenitur ta' Tesla, Hugo Gernsback, ikkummissjona skultur biex joħloq maskra tal-mewt, issa murija fil-Mużew Nikola Tesla.</v>
      </c>
    </row>
    <row r="16824" ht="15.75" customHeight="1">
      <c r="A16824" s="2" t="s">
        <v>16824</v>
      </c>
      <c r="B16824" s="2" t="str">
        <f>IFERROR(__xludf.DUMMYFUNCTION("GOOGLETRANSLATE(A16824, ""en"", ""mt"")"),"Iroquois regola, u kienu limitati minnhom fl-awtorità li jagħmlu ftehim")</f>
        <v>Iroquois regola, u kienu limitati minnhom fl-awtorità li jagħmlu ftehim</v>
      </c>
    </row>
    <row r="16825" ht="15.75" customHeight="1">
      <c r="A16825" s="2" t="s">
        <v>16825</v>
      </c>
      <c r="B16825" s="2" t="str">
        <f>IFERROR(__xludf.DUMMYFUNCTION("GOOGLETRANSLATE(A16825, ""en"", ""mt"")"),"Graham Gano ta bidu għal gowl fil-grawnd ta 'kemm tarzni?")</f>
        <v>Graham Gano ta bidu għal gowl fil-grawnd ta 'kemm tarzni?</v>
      </c>
    </row>
    <row r="16826" ht="15.75" customHeight="1">
      <c r="A16826" s="2" t="s">
        <v>16826</v>
      </c>
      <c r="B16826" s="2" t="str">
        <f>IFERROR(__xludf.DUMMYFUNCTION("GOOGLETRANSLATE(A16826, ""en"", ""mt"")"),"Il-pettnijiet jissejħu xiex?")</f>
        <v>Il-pettnijiet jissejħu xiex?</v>
      </c>
    </row>
    <row r="16827" ht="15.75" customHeight="1">
      <c r="A16827" s="2" t="s">
        <v>16827</v>
      </c>
      <c r="B16827" s="2" t="str">
        <f>IFERROR(__xludf.DUMMYFUNCTION("GOOGLETRANSLATE(A16827, ""en"", ""mt"")"),"Nuċċali b'lenti mudlama waħda")</f>
        <v>Nuċċali b'lenti mudlama waħda</v>
      </c>
    </row>
    <row r="16828" ht="15.75" customHeight="1">
      <c r="A16828" s="2" t="s">
        <v>16828</v>
      </c>
      <c r="B16828" s="2" t="str">
        <f>IFERROR(__xludf.DUMMYFUNCTION("GOOGLETRANSLATE(A16828, ""en"", ""mt"")"),"Aauw")</f>
        <v>Aauw</v>
      </c>
    </row>
    <row r="16829" ht="15.75" customHeight="1">
      <c r="A16829" s="2" t="s">
        <v>16829</v>
      </c>
      <c r="B16829" s="2" t="str">
        <f>IFERROR(__xludf.DUMMYFUNCTION("GOOGLETRANSLATE(A16829, ""en"", ""mt"")"),"ir-raġel u l-missier")</f>
        <v>ir-raġel u l-missier</v>
      </c>
    </row>
    <row r="16830" ht="15.75" customHeight="1">
      <c r="A16830" s="2" t="s">
        <v>16830</v>
      </c>
      <c r="B16830" s="2" t="str">
        <f>IFERROR(__xludf.DUMMYFUNCTION("GOOGLETRANSLATE(A16830, ""en"", ""mt"")"),"Liema daqs huma adulti ctenophora?")</f>
        <v>Liema daqs huma adulti ctenophora?</v>
      </c>
    </row>
    <row r="16831" ht="15.75" customHeight="1">
      <c r="A16831" s="2" t="s">
        <v>16831</v>
      </c>
      <c r="B16831" s="2" t="str">
        <f>IFERROR(__xludf.DUMMYFUNCTION("GOOGLETRANSLATE(A16831, ""en"", ""mt"")"),"li jibda fil-bidu ta 'Settembru u jispiċċa f'nofs Mejju")</f>
        <v>li jibda fil-bidu ta 'Settembru u jispiċċa f'nofs Mejju</v>
      </c>
    </row>
    <row r="16832" ht="15.75" customHeight="1">
      <c r="A16832" s="2" t="s">
        <v>16832</v>
      </c>
      <c r="B16832" s="2" t="str">
        <f>IFERROR(__xludf.DUMMYFUNCTION("GOOGLETRANSLATE(A16832, ""en"", ""mt"")"),"Kemm ġew iffurmati ekwazzjonijiet skalari f'sett minn James Maxwell?")</f>
        <v>Kemm ġew iffurmati ekwazzjonijiet skalari f'sett minn James Maxwell?</v>
      </c>
    </row>
    <row r="16833" ht="15.75" customHeight="1">
      <c r="A16833" s="2" t="s">
        <v>16833</v>
      </c>
      <c r="B16833" s="2" t="str">
        <f>IFERROR(__xludf.DUMMYFUNCTION("GOOGLETRANSLATE(A16833, ""en"", ""mt"")"),"Sa Awwissu 2010 kemm l-iskejjel pubbliċi kellhom ir-Rabat?")</f>
        <v>Sa Awwissu 2010 kemm l-iskejjel pubbliċi kellhom ir-Rabat?</v>
      </c>
    </row>
    <row r="16834" ht="15.75" customHeight="1">
      <c r="A16834" s="2" t="s">
        <v>16834</v>
      </c>
      <c r="B16834" s="2" t="str">
        <f>IFERROR(__xludf.DUMMYFUNCTION("GOOGLETRANSLATE(A16834, ""en"", ""mt"")"),"Kombustjoni interna")</f>
        <v>Kombustjoni interna</v>
      </c>
    </row>
    <row r="16835" ht="15.75" customHeight="1">
      <c r="A16835" s="2" t="s">
        <v>16835</v>
      </c>
      <c r="B16835" s="2" t="str">
        <f>IFERROR(__xludf.DUMMYFUNCTION("GOOGLETRANSLATE(A16835, ""en"", ""mt"")"),"X'ġara Luther li ġara lill-erwieħ wara l-mewt?")</f>
        <v>X'ġara Luther li ġara lill-erwieħ wara l-mewt?</v>
      </c>
    </row>
    <row r="16836" ht="15.75" customHeight="1">
      <c r="A16836" s="2" t="s">
        <v>16836</v>
      </c>
      <c r="B16836" s="2" t="str">
        <f>IFERROR(__xludf.DUMMYFUNCTION("GOOGLETRANSLATE(A16836, ""en"", ""mt"")"),"Liema perċentwali kienet iż-żieda tal-prodotti agrikoli fl-2003-04?")</f>
        <v>Liema perċentwali kienet iż-żieda tal-prodotti agrikoli fl-2003-04?</v>
      </c>
    </row>
    <row r="16837" ht="15.75" customHeight="1">
      <c r="A16837" s="2" t="s">
        <v>16837</v>
      </c>
      <c r="B16837" s="2" t="str">
        <f>IFERROR(__xludf.DUMMYFUNCTION("GOOGLETRANSLATE(A16837, ""en"", ""mt"")"),"Radjazzjoni ultravjola")</f>
        <v>Radjazzjoni ultravjola</v>
      </c>
    </row>
    <row r="16838" ht="15.75" customHeight="1">
      <c r="A16838" s="2" t="s">
        <v>16838</v>
      </c>
      <c r="B16838" s="2" t="str">
        <f>IFERROR(__xludf.DUMMYFUNCTION("GOOGLETRANSLATE(A16838, ""en"", ""mt"")"),"Żewġ aġenziji pubbliċi, speċjalment żewġ fergħat ugwalment sovrani tal-gvern, kunflitti.")</f>
        <v>Żewġ aġenziji pubbliċi, speċjalment żewġ fergħat ugwalment sovrani tal-gvern, kunflitti.</v>
      </c>
    </row>
    <row r="16839" ht="15.75" customHeight="1">
      <c r="A16839" s="2" t="s">
        <v>16839</v>
      </c>
      <c r="B16839" s="2" t="str">
        <f>IFERROR(__xludf.DUMMYFUNCTION("GOOGLETRANSLATE(A16839, ""en"", ""mt"")"),"Kemm kien inqas il-Baħar tat-Tramuntana fl-aħħar fażi kiesħa milli hu llum?")</f>
        <v>Kemm kien inqas il-Baħar tat-Tramuntana fl-aħħar fażi kiesħa milli hu llum?</v>
      </c>
    </row>
    <row r="16840" ht="15.75" customHeight="1">
      <c r="A16840" s="2" t="s">
        <v>16840</v>
      </c>
      <c r="B16840" s="2" t="str">
        <f>IFERROR(__xludf.DUMMYFUNCTION("GOOGLETRANSLATE(A16840, ""en"", ""mt"")"),"maltempata")</f>
        <v>maltempata</v>
      </c>
    </row>
    <row r="16841" ht="15.75" customHeight="1">
      <c r="A16841" s="2" t="s">
        <v>16841</v>
      </c>
      <c r="B16841" s="2" t="str">
        <f>IFERROR(__xludf.DUMMYFUNCTION("GOOGLETRANSLATE(A16841, ""en"", ""mt"")"),"27-30%")</f>
        <v>27-30%</v>
      </c>
    </row>
    <row r="16842" ht="15.75" customHeight="1">
      <c r="A16842" s="2" t="s">
        <v>16842</v>
      </c>
      <c r="B16842" s="2" t="str">
        <f>IFERROR(__xludf.DUMMYFUNCTION("GOOGLETRANSLATE(A16842, ""en"", ""mt"")"),"Meta kien it-tielet perjodu ta 'telespettazzjoni għolja għas-serje Doctor Who?")</f>
        <v>Meta kien it-tielet perjodu ta 'telespettazzjoni għolja għas-serje Doctor Who?</v>
      </c>
    </row>
    <row r="16843" ht="15.75" customHeight="1">
      <c r="A16843" s="2" t="s">
        <v>16843</v>
      </c>
      <c r="B16843" s="2" t="str">
        <f>IFERROR(__xludf.DUMMYFUNCTION("GOOGLETRANSLATE(A16843, ""en"", ""mt"")"),"X'tip ta 'ġeneraturi ta' numri jagħmlu użu minn numri ewlenin?")</f>
        <v>X'tip ta 'ġeneraturi ta' numri jagħmlu użu minn numri ewlenin?</v>
      </c>
    </row>
    <row r="16844" ht="15.75" customHeight="1">
      <c r="A16844" s="2" t="s">
        <v>16844</v>
      </c>
      <c r="B16844" s="2" t="str">
        <f>IFERROR(__xludf.DUMMYFUNCTION("GOOGLETRANSLATE(A16844, ""en"", ""mt"")"),"233")</f>
        <v>233</v>
      </c>
    </row>
    <row r="16845" ht="15.75" customHeight="1">
      <c r="A16845" s="2" t="s">
        <v>16845</v>
      </c>
      <c r="B16845" s="2" t="str">
        <f>IFERROR(__xludf.DUMMYFUNCTION("GOOGLETRANSLATE(A16845, ""en"", ""mt"")"),"Il-Punent ra l-Lvant bħala xiex?")</f>
        <v>Il-Punent ra l-Lvant bħala xiex?</v>
      </c>
    </row>
    <row r="16846" ht="15.75" customHeight="1">
      <c r="A16846" s="2" t="s">
        <v>16846</v>
      </c>
      <c r="B16846" s="2" t="str">
        <f>IFERROR(__xludf.DUMMYFUNCTION("GOOGLETRANSLATE(A16846, ""en"", ""mt"")"),"X'inhu prasinofita?")</f>
        <v>X'inhu prasinofita?</v>
      </c>
    </row>
    <row r="16847" ht="15.75" customHeight="1">
      <c r="A16847" s="2" t="s">
        <v>16847</v>
      </c>
      <c r="B16847" s="2" t="str">
        <f>IFERROR(__xludf.DUMMYFUNCTION("GOOGLETRANSLATE(A16847, ""en"", ""mt"")"),"a z-ring")</f>
        <v>a z-ring</v>
      </c>
    </row>
    <row r="16848" ht="15.75" customHeight="1">
      <c r="A16848" s="2" t="s">
        <v>16848</v>
      </c>
      <c r="B16848" s="2" t="str">
        <f>IFERROR(__xludf.DUMMYFUNCTION("GOOGLETRANSLATE(A16848, ""en"", ""mt"")"),"Liema teorema tibqa 'valida f'oqsma ta' fatturizzazzjoni uniċi?")</f>
        <v>Liema teorema tibqa 'valida f'oqsma ta' fatturizzazzjoni uniċi?</v>
      </c>
    </row>
    <row r="16849" ht="15.75" customHeight="1">
      <c r="A16849" s="2" t="s">
        <v>16849</v>
      </c>
      <c r="B16849" s="2" t="str">
        <f>IFERROR(__xludf.DUMMYFUNCTION("GOOGLETRANSLATE(A16849, ""en"", ""mt"")"),"Is-suq Grainger ħa post suq preċedenti mibni oriġinarjament fl-1808 imsejjaħ The Butcher Market. Is-suq tal-Grainger innifsu, infetaħ fl-1835 u kien l-ewwel suq ta 'ġewwa ta' Newcastle. Fil-ħin tal-ftuħ tagħha fl-1835 kien qal li kien wieħed mill-akbar u "&amp;"l-isbaħ swieq fl-Ewropa. Il-ftuħ ġie ċċelebrat bi pranzu grandjuż li għalih attendew 2000 mistieden, u l-Laing Art Gallery għandha pittura ta 'dan l-avveniment. Bl-eċċezzjoni tas-saqaf tal-injam li nqered minn nirien fl-1901 u mibdul minn arkati tal-azzar"&amp;" bil-kannizzata, is-suq huwa fil-biċċa l-kbira fil-kundizzjoni oriġinali tiegħu. L-arkitettura tas-suq Grainger, bħall-biċċa l-kbira fil-belt ta 'Grainger, li huma elenkati ta' Grad I jew II, ġiet elenkata grad I fl-1954 mill-Wirt Ingliż.")</f>
        <v>Is-suq Grainger ħa post suq preċedenti mibni oriġinarjament fl-1808 imsejjaħ The Butcher Market. Is-suq tal-Grainger innifsu, infetaħ fl-1835 u kien l-ewwel suq ta 'ġewwa ta' Newcastle. Fil-ħin tal-ftuħ tagħha fl-1835 kien qal li kien wieħed mill-akbar u l-isbaħ swieq fl-Ewropa. Il-ftuħ ġie ċċelebrat bi pranzu grandjuż li għalih attendew 2000 mistieden, u l-Laing Art Gallery għandha pittura ta 'dan l-avveniment. Bl-eċċezzjoni tas-saqaf tal-injam li nqered minn nirien fl-1901 u mibdul minn arkati tal-azzar bil-kannizzata, is-suq huwa fil-biċċa l-kbira fil-kundizzjoni oriġinali tiegħu. L-arkitettura tas-suq Grainger, bħall-biċċa l-kbira fil-belt ta 'Grainger, li huma elenkati ta' Grad I jew II, ġiet elenkata grad I fl-1954 mill-Wirt Ingliż.</v>
      </c>
    </row>
    <row r="16850" ht="15.75" customHeight="1">
      <c r="A16850" s="2" t="s">
        <v>16850</v>
      </c>
      <c r="B16850" s="2" t="str">
        <f>IFERROR(__xludf.DUMMYFUNCTION("GOOGLETRANSLATE(A16850, ""en"", ""mt"")"),"Nairobi")</f>
        <v>Nairobi</v>
      </c>
    </row>
    <row r="16851" ht="15.75" customHeight="1">
      <c r="A16851" s="2" t="s">
        <v>16851</v>
      </c>
      <c r="B16851" s="2" t="str">
        <f>IFERROR(__xludf.DUMMYFUNCTION("GOOGLETRANSLATE(A16851, ""en"", ""mt"")"),"Xjenza naturali")</f>
        <v>Xjenza naturali</v>
      </c>
    </row>
    <row r="16852" ht="15.75" customHeight="1">
      <c r="A16852" s="2" t="s">
        <v>16852</v>
      </c>
      <c r="B16852" s="2" t="str">
        <f>IFERROR(__xludf.DUMMYFUNCTION("GOOGLETRANSLATE(A16852, ""en"", ""mt"")"),"Netwerk ta 'Komunikazzjonijiet ta' Dejta Internazzjonali")</f>
        <v>Netwerk ta 'Komunikazzjonijiet ta' Dejta Internazzjonali</v>
      </c>
    </row>
    <row r="16853" ht="15.75" customHeight="1">
      <c r="A16853" s="2" t="s">
        <v>16853</v>
      </c>
      <c r="B16853" s="2" t="str">
        <f>IFERROR(__xludf.DUMMYFUNCTION("GOOGLETRANSLATE(A16853, ""en"", ""mt"")"),"3%")</f>
        <v>3%</v>
      </c>
    </row>
    <row r="16854" ht="15.75" customHeight="1">
      <c r="A16854" s="2" t="s">
        <v>16854</v>
      </c>
      <c r="B16854" s="2" t="str">
        <f>IFERROR(__xludf.DUMMYFUNCTION("GOOGLETRANSLATE(A16854, ""en"", ""mt"")"),"45 °")</f>
        <v>45 °</v>
      </c>
    </row>
    <row r="16855" ht="15.75" customHeight="1">
      <c r="A16855" s="2" t="s">
        <v>16855</v>
      </c>
      <c r="B16855" s="2" t="str">
        <f>IFERROR(__xludf.DUMMYFUNCTION("GOOGLETRANSLATE(A16855, ""en"", ""mt"")"),"Kemm hemm pari bażi fid-DNA Synechococcus?")</f>
        <v>Kemm hemm pari bażi fid-DNA Synechococcus?</v>
      </c>
    </row>
    <row r="16856" ht="15.75" customHeight="1">
      <c r="A16856" s="2" t="s">
        <v>16856</v>
      </c>
      <c r="B16856" s="2" t="str">
        <f>IFERROR(__xludf.DUMMYFUNCTION("GOOGLETRANSLATE(A16856, ""en"", ""mt"")"),"Effetti tal-proċess tal-impatt")</f>
        <v>Effetti tal-proċess tal-impatt</v>
      </c>
    </row>
    <row r="16857" ht="15.75" customHeight="1">
      <c r="A16857" s="2" t="s">
        <v>16857</v>
      </c>
      <c r="B16857" s="2" t="str">
        <f>IFERROR(__xludf.DUMMYFUNCTION("GOOGLETRANSLATE(A16857, ""en"", ""mt"")"),"Żona ta ’Los Angeles")</f>
        <v>Żona ta ’Los Angeles</v>
      </c>
    </row>
    <row r="16858" ht="15.75" customHeight="1">
      <c r="A16858" s="2" t="s">
        <v>16858</v>
      </c>
      <c r="B16858" s="2" t="str">
        <f>IFERROR(__xludf.DUMMYFUNCTION("GOOGLETRANSLATE(A16858, ""en"", ""mt"")"),"Għaliex il-Luterani moderni waqfu jużaw l-innu?")</f>
        <v>Għaliex il-Luterani moderni waqfu jużaw l-innu?</v>
      </c>
    </row>
    <row r="16859" ht="15.75" customHeight="1">
      <c r="A16859" s="2" t="s">
        <v>16859</v>
      </c>
      <c r="B16859" s="2" t="str">
        <f>IFERROR(__xludf.DUMMYFUNCTION("GOOGLETRANSLATE(A16859, ""en"", ""mt"")"),"X'inhu l-isem assoċjat mat-tmien oqsma li jiffurmaw parti min-Nofsinhar ta 'California?")</f>
        <v>X'inhu l-isem assoċjat mat-tmien oqsma li jiffurmaw parti min-Nofsinhar ta 'California?</v>
      </c>
    </row>
    <row r="16860" ht="15.75" customHeight="1">
      <c r="A16860" s="2" t="s">
        <v>16860</v>
      </c>
      <c r="B16860" s="2" t="str">
        <f>IFERROR(__xludf.DUMMYFUNCTION("GOOGLETRANSLATE(A16860, ""en"", ""mt"")"),"L-iktar nazzjon ta 'suċċess tal-Afrika fl-Olimpjadi tal-2008")</f>
        <v>L-iktar nazzjon ta 'suċċess tal-Afrika fl-Olimpjadi tal-2008</v>
      </c>
    </row>
    <row r="16861" ht="15.75" customHeight="1">
      <c r="A16861" s="2" t="s">
        <v>16861</v>
      </c>
      <c r="B16861" s="2" t="str">
        <f>IFERROR(__xludf.DUMMYFUNCTION("GOOGLETRANSLATE(A16861, ""en"", ""mt"")"),"Edukazzjoni Nisranija")</f>
        <v>Edukazzjoni Nisranija</v>
      </c>
    </row>
    <row r="16862" ht="15.75" customHeight="1">
      <c r="A16862" s="2" t="s">
        <v>16862</v>
      </c>
      <c r="B16862" s="2" t="str">
        <f>IFERROR(__xludf.DUMMYFUNCTION("GOOGLETRANSLATE(A16862, ""en"", ""mt"")"),"Iċ-ċomb idub")</f>
        <v>Iċ-ċomb idub</v>
      </c>
    </row>
    <row r="16863" ht="15.75" customHeight="1">
      <c r="A16863" s="2" t="s">
        <v>16863</v>
      </c>
      <c r="B16863" s="2" t="str">
        <f>IFERROR(__xludf.DUMMYFUNCTION("GOOGLETRANSLATE(A16863, ""en"", ""mt"")"),"Liema reliġjon irrinunzjat lil Henry meta tela 't-tron?")</f>
        <v>Liema reliġjon irrinunzjat lil Henry meta tela 't-tron?</v>
      </c>
    </row>
    <row r="16864" ht="15.75" customHeight="1">
      <c r="A16864" s="2" t="s">
        <v>16864</v>
      </c>
      <c r="B16864" s="2" t="str">
        <f>IFERROR(__xludf.DUMMYFUNCTION("GOOGLETRANSLATE(A16864, ""en"", ""mt"")"),"Il-galleriji iżgħar ikopru l-Korea, ir-renji tal-Ħimalaja u l-Asja tax-Xlokk. Il-wirjiet tal-Korea jinkludu ċeramika bil-ħġieġ aħdar, rakkmu tal-ħarir mill-ilbiesi tal-uffiċjali u kaxex li jleqqu intarsjati ma 'omm ta' perka magħmula bejn il-500 AD u l-20"&amp;"00. L-oġġetti tal-Ħimalaja jinkludu skulturi importanti bikrija tal-bronż Nepaliż, xogħol ta 'repoussé u rakkmu. L-arti Tibetana mill-14 sas-seklu 19 hija rrappreżentata minn immaġini reliġjużi notevoli tas-seklu 14 u 15 fl-injam u l-bronż, pitturi tal-is"&amp;"croll u oġġetti ritwali. Art mit-Tajlandja, Burma, il-Kambodja, l-Indoneżja u s-Sri Lanka fid-deheb, il-fidda, il-bronż, il-ġebel, it-terracotta u l-avorju jirrappreżentaw dawn il-kulturi sinjuri u kumplessi, il-wirjiet li jkopru s-sekli 6 sa 19. Skulturi"&amp;" Hindu u Buddisti raffinati jirriflettu l-influwenza tal-Indja; Oġġetti fuq l-ispettaklu jinkludu cutters betel-nut, pettnijiet tal-avorju u ganċijiet tal-bronż palanquin.")</f>
        <v>Il-galleriji iżgħar ikopru l-Korea, ir-renji tal-Ħimalaja u l-Asja tax-Xlokk. Il-wirjiet tal-Korea jinkludu ċeramika bil-ħġieġ aħdar, rakkmu tal-ħarir mill-ilbiesi tal-uffiċjali u kaxex li jleqqu intarsjati ma 'omm ta' perka magħmula bejn il-500 AD u l-2000. L-oġġetti tal-Ħimalaja jinkludu skulturi importanti bikrija tal-bronż Nepaliż, xogħol ta 'repoussé u rakkmu. L-arti Tibetana mill-14 sas-seklu 19 hija rrappreżentata minn immaġini reliġjużi notevoli tas-seklu 14 u 15 fl-injam u l-bronż, pitturi tal-iscroll u oġġetti ritwali. Art mit-Tajlandja, Burma, il-Kambodja, l-Indoneżja u s-Sri Lanka fid-deheb, il-fidda, il-bronż, il-ġebel, it-terracotta u l-avorju jirrappreżentaw dawn il-kulturi sinjuri u kumplessi, il-wirjiet li jkopru s-sekli 6 sa 19. Skulturi Hindu u Buddisti raffinati jirriflettu l-influwenza tal-Indja; Oġġetti fuq l-ispettaklu jinkludu cutters betel-nut, pettnijiet tal-avorju u ganċijiet tal-bronż palanquin.</v>
      </c>
    </row>
    <row r="16865" ht="15.75" customHeight="1">
      <c r="A16865" s="2" t="s">
        <v>16865</v>
      </c>
      <c r="B16865" s="2" t="str">
        <f>IFERROR(__xludf.DUMMYFUNCTION("GOOGLETRANSLATE(A16865, ""en"", ""mt"")"),"Ted Fujita")</f>
        <v>Ted Fujita</v>
      </c>
    </row>
    <row r="16866" ht="15.75" customHeight="1">
      <c r="A16866" s="2" t="s">
        <v>16866</v>
      </c>
      <c r="B16866" s="2" t="str">
        <f>IFERROR(__xludf.DUMMYFUNCTION("GOOGLETRANSLATE(A16866, ""en"", ""mt"")"),"Liema analista ma qabilx mad-deċiżjoni tal-pass mhux komplut?")</f>
        <v>Liema analista ma qabilx mad-deċiżjoni tal-pass mhux komplut?</v>
      </c>
    </row>
    <row r="16867" ht="15.75" customHeight="1">
      <c r="A16867" s="2" t="s">
        <v>16867</v>
      </c>
      <c r="B16867" s="2" t="str">
        <f>IFERROR(__xludf.DUMMYFUNCTION("GOOGLETRANSLATE(A16867, ""en"", ""mt"")"),"Kemm kienet se tħallas BSKYB għad-drittijiet tal-Lega Primier?")</f>
        <v>Kemm kienet se tħallas BSKYB għad-drittijiet tal-Lega Primier?</v>
      </c>
    </row>
    <row r="16868" ht="15.75" customHeight="1">
      <c r="A16868" s="2" t="s">
        <v>16868</v>
      </c>
      <c r="B16868" s="2" t="str">
        <f>IFERROR(__xludf.DUMMYFUNCTION("GOOGLETRANSLATE(A16868, ""en"", ""mt"")"),"X'ifisser l-aġenzija tal-benefiċċji tal-aġenzija tal-isport fuq kont tat-TV?")</f>
        <v>X'ifisser l-aġenzija tal-benefiċċji tal-aġenzija tal-isport fuq kont tat-TV?</v>
      </c>
    </row>
    <row r="16869" ht="15.75" customHeight="1">
      <c r="A16869" s="2" t="s">
        <v>16869</v>
      </c>
      <c r="B16869" s="2" t="str">
        <f>IFERROR(__xludf.DUMMYFUNCTION("GOOGLETRANSLATE(A16869, ""en"", ""mt"")"),"Min jimpurta l-iktar għat-tkabbir ekonomiku?")</f>
        <v>Min jimpurta l-iktar għat-tkabbir ekonomiku?</v>
      </c>
    </row>
    <row r="16870" ht="15.75" customHeight="1">
      <c r="A16870" s="2" t="s">
        <v>16870</v>
      </c>
      <c r="B16870" s="2" t="str">
        <f>IFERROR(__xludf.DUMMYFUNCTION("GOOGLETRANSLATE(A16870, ""en"", ""mt"")"),"L-imperu waqa '")</f>
        <v>L-imperu waqa '</v>
      </c>
    </row>
    <row r="16871" ht="15.75" customHeight="1">
      <c r="A16871" s="2" t="s">
        <v>16871</v>
      </c>
      <c r="B16871" s="2" t="str">
        <f>IFERROR(__xludf.DUMMYFUNCTION("GOOGLETRANSLATE(A16871, ""en"", ""mt"")"),"L-Ilmijiet ta ’Mars")</f>
        <v>L-Ilmijiet ta ’Mars</v>
      </c>
    </row>
    <row r="16872" ht="15.75" customHeight="1">
      <c r="A16872" s="2" t="s">
        <v>16872</v>
      </c>
      <c r="B16872" s="2" t="str">
        <f>IFERROR(__xludf.DUMMYFUNCTION("GOOGLETRANSLATE(A16872, ""en"", ""mt"")"),"Malli sema 'l-prodott finali, x'kien qed jgħid il-kreatur?")</f>
        <v>Malli sema 'l-prodott finali, x'kien qed jgħid il-kreatur?</v>
      </c>
    </row>
    <row r="16873" ht="15.75" customHeight="1">
      <c r="A16873" s="2" t="s">
        <v>16873</v>
      </c>
      <c r="B16873" s="2" t="str">
        <f>IFERROR(__xludf.DUMMYFUNCTION("GOOGLETRANSLATE(A16873, ""en"", ""mt"")"),"Radjografija")</f>
        <v>Radjografija</v>
      </c>
    </row>
    <row r="16874" ht="15.75" customHeight="1">
      <c r="A16874" s="2" t="s">
        <v>16874</v>
      </c>
      <c r="B16874" s="2" t="str">
        <f>IFERROR(__xludf.DUMMYFUNCTION("GOOGLETRANSLATE(A16874, ""en"", ""mt"")"),"2014")</f>
        <v>2014</v>
      </c>
    </row>
    <row r="16875" ht="15.75" customHeight="1">
      <c r="A16875" s="2" t="s">
        <v>16875</v>
      </c>
      <c r="B16875" s="2" t="str">
        <f>IFERROR(__xludf.DUMMYFUNCTION("GOOGLETRANSLATE(A16875, ""en"", ""mt"")"),"Min kien l-għażla # 2 fl-Abbozz tal-NFL tal-2011?")</f>
        <v>Min kien l-għażla # 2 fl-Abbozz tal-NFL tal-2011?</v>
      </c>
    </row>
    <row r="16876" ht="15.75" customHeight="1">
      <c r="A16876" s="2" t="s">
        <v>16876</v>
      </c>
      <c r="B16876" s="2" t="str">
        <f>IFERROR(__xludf.DUMMYFUNCTION("GOOGLETRANSLATE(A16876, ""en"", ""mt"")"),"X'jiġri meta l-ħbub tal-lamtu jsiru kbar żżejjed?")</f>
        <v>X'jiġri meta l-ħbub tal-lamtu jsiru kbar żżejjed?</v>
      </c>
    </row>
    <row r="16877" ht="15.75" customHeight="1">
      <c r="A16877" s="2" t="s">
        <v>16877</v>
      </c>
      <c r="B16877" s="2" t="str">
        <f>IFERROR(__xludf.DUMMYFUNCTION("GOOGLETRANSLATE(A16877, ""en"", ""mt"")"),"reklutaġġ u akkwist ta 'trasportaturi ta' persunal armati")</f>
        <v>reklutaġġ u akkwist ta 'trasportaturi ta' persunal armati</v>
      </c>
    </row>
    <row r="16878" ht="15.75" customHeight="1">
      <c r="A16878" s="2" t="s">
        <v>16878</v>
      </c>
      <c r="B16878" s="2" t="str">
        <f>IFERROR(__xludf.DUMMYFUNCTION("GOOGLETRANSLATE(A16878, ""en"", ""mt"")"),"Liġi Internazzjonali u Liġi Pubblika")</f>
        <v>Liġi Internazzjonali u Liġi Pubblika</v>
      </c>
    </row>
    <row r="16879" ht="15.75" customHeight="1">
      <c r="A16879" s="2" t="s">
        <v>16879</v>
      </c>
      <c r="B16879" s="2" t="str">
        <f>IFERROR(__xludf.DUMMYFUNCTION("GOOGLETRANSLATE(A16879, ""en"", ""mt"")"),"F'liema xhur l-esperjenza ta 'Fresno żiedet riħ li ġej mid-direzzjoni tax-xlokk?")</f>
        <v>F'liema xhur l-esperjenza ta 'Fresno żiedet riħ li ġej mid-direzzjoni tax-xlokk?</v>
      </c>
    </row>
    <row r="16880" ht="15.75" customHeight="1">
      <c r="A16880" s="2" t="s">
        <v>16880</v>
      </c>
      <c r="B16880" s="2" t="str">
        <f>IFERROR(__xludf.DUMMYFUNCTION("GOOGLETRANSLATE(A16880, ""en"", ""mt"")"),"Iktar kmieni huma ċedew lill-Mongoli, iktar ikunu tqiegħdu")</f>
        <v>Iktar kmieni huma ċedew lill-Mongoli, iktar ikunu tqiegħdu</v>
      </c>
    </row>
    <row r="16881" ht="15.75" customHeight="1">
      <c r="A16881" s="2" t="s">
        <v>16881</v>
      </c>
      <c r="B16881" s="2" t="str">
        <f>IFERROR(__xludf.DUMMYFUNCTION("GOOGLETRANSLATE(A16881, ""en"", ""mt"")"),"Peress li l-IPCC ma jwettaqx ir-riċerka tiegħu stess, jopera fuq il-bażi ta 'dokumenti xjentifiċi u r-riżultati dokumentati b'mod indipendenti minn korpi xjentifiċi oħra, u l-iskeda tagħha għall-produzzjoni ta' rapporti teħtieġ skadenza għal sottomissjoni"&amp;"jiet qabel ir-rilaxx finali tar-rapport. Fil-prinċipju, dan ifisser li kwalunkwe evidenza jew avvenimenti ġodda sinifikanti li jibdlu l-għarfien tagħna dwar ix-xjenza dwar il-klima bejn dan l-iskadenza u l-pubblikazzjoni ta 'rapport IPCC ma jistgħux jiġu "&amp;"inklużi. F'żona ta 'xjenza fejn il-fehim xjentifiku tagħna qed jinbidel malajr, dan tqajjem bħala nuqqas serju f'ġisem li huwa meqjus b'mod wiesa' bħala l-awtorità aħħarija fuq ix-xjenza. Madankollu, ġeneralment kien hemm evoluzzjoni kostanti ta 'sejbiet "&amp;"ewlenin u livelli ta' kunfidenza xjentifika minn rapport ta 'valutazzjoni għal dak li jmiss. [Ċitazzjoni meħtieġa]")</f>
        <v>Peress li l-IPCC ma jwettaqx ir-riċerka tiegħu stess, jopera fuq il-bażi ta 'dokumenti xjentifiċi u r-riżultati dokumentati b'mod indipendenti minn korpi xjentifiċi oħra, u l-iskeda tagħha għall-produzzjoni ta' rapporti teħtieġ skadenza għal sottomissjonijiet qabel ir-rilaxx finali tar-rapport. Fil-prinċipju, dan ifisser li kwalunkwe evidenza jew avvenimenti ġodda sinifikanti li jibdlu l-għarfien tagħna dwar ix-xjenza dwar il-klima bejn dan l-iskadenza u l-pubblikazzjoni ta 'rapport IPCC ma jistgħux jiġu inklużi. F'żona ta 'xjenza fejn il-fehim xjentifiku tagħna qed jinbidel malajr, dan tqajjem bħala nuqqas serju f'ġisem li huwa meqjus b'mod wiesa' bħala l-awtorità aħħarija fuq ix-xjenza. Madankollu, ġeneralment kien hemm evoluzzjoni kostanti ta 'sejbiet ewlenin u livelli ta' kunfidenza xjentifika minn rapport ta 'valutazzjoni għal dak li jmiss. [Ċitazzjoni meħtieġa]</v>
      </c>
    </row>
    <row r="16882" ht="15.75" customHeight="1">
      <c r="A16882" s="2" t="s">
        <v>16882</v>
      </c>
      <c r="B16882" s="2" t="str">
        <f>IFERROR(__xludf.DUMMYFUNCTION("GOOGLETRANSLATE(A16882, ""en"", ""mt"")"),"Agħżel l-istudenti tagħhom")</f>
        <v>Agħżel l-istudenti tagħhom</v>
      </c>
    </row>
    <row r="16883" ht="15.75" customHeight="1">
      <c r="A16883" s="2" t="s">
        <v>16883</v>
      </c>
      <c r="B16883" s="2" t="str">
        <f>IFERROR(__xludf.DUMMYFUNCTION("GOOGLETRANSLATE(A16883, ""en"", ""mt"")"),"Joskura l-fatt li l-Indjani ġġieldu fuq iż-żewġ naħat tal-kunflitt, u li dan kien parti mill-gwerra tas-seba 'snin")</f>
        <v>Joskura l-fatt li l-Indjani ġġieldu fuq iż-żewġ naħat tal-kunflitt, u li dan kien parti mill-gwerra tas-seba 'snin</v>
      </c>
    </row>
    <row r="16884" ht="15.75" customHeight="1">
      <c r="A16884" s="2" t="s">
        <v>16884</v>
      </c>
      <c r="B16884" s="2" t="str">
        <f>IFERROR(__xludf.DUMMYFUNCTION("GOOGLETRANSLATE(A16884, ""en"", ""mt"")"),"Liema staġuni hija l-BBC nieqsa total ta '79 episodju?")</f>
        <v>Liema staġuni hija l-BBC nieqsa total ta '79 episodju?</v>
      </c>
    </row>
    <row r="16885" ht="15.75" customHeight="1">
      <c r="A16885" s="2" t="s">
        <v>16885</v>
      </c>
      <c r="B16885" s="2" t="str">
        <f>IFERROR(__xludf.DUMMYFUNCTION("GOOGLETRANSLATE(A16885, ""en"", ""mt"")"),"Fi ħdan il-mediċini tad-dispensarju / tqassim")</f>
        <v>Fi ħdan il-mediċini tad-dispensarju / tqassim</v>
      </c>
    </row>
    <row r="16886" ht="15.75" customHeight="1">
      <c r="A16886" s="2" t="s">
        <v>16886</v>
      </c>
      <c r="B16886" s="2" t="str">
        <f>IFERROR(__xludf.DUMMYFUNCTION("GOOGLETRANSLATE(A16886, ""en"", ""mt"")"),"Harvard - Yale Regatta preċedenti ""Il-Logħba"" minn kemm snin?")</f>
        <v>Harvard - Yale Regatta preċedenti "Il-Logħba" minn kemm snin?</v>
      </c>
    </row>
    <row r="16887" ht="15.75" customHeight="1">
      <c r="A16887" s="2" t="s">
        <v>16887</v>
      </c>
      <c r="B16887" s="2" t="str">
        <f>IFERROR(__xludf.DUMMYFUNCTION("GOOGLETRANSLATE(A16887, ""en"", ""mt"")"),"X'jagħmel Ctenophores differenti mill-annimali l-oħra kollha?")</f>
        <v>X'jagħmel Ctenophores differenti mill-annimali l-oħra kollha?</v>
      </c>
    </row>
    <row r="16888" ht="15.75" customHeight="1">
      <c r="A16888" s="2" t="s">
        <v>16888</v>
      </c>
      <c r="B16888" s="2" t="str">
        <f>IFERROR(__xludf.DUMMYFUNCTION("GOOGLETRANSLATE(A16888, ""en"", ""mt"")"),"Min irrekluta Mueller biex ikun maniġer għal proġetti tan-NASA fuq sitwazzjoni mislufa?")</f>
        <v>Min irrekluta Mueller biex ikun maniġer għal proġetti tan-NASA fuq sitwazzjoni mislufa?</v>
      </c>
    </row>
    <row r="16889" ht="15.75" customHeight="1">
      <c r="A16889" s="2" t="s">
        <v>16889</v>
      </c>
      <c r="B16889" s="2" t="str">
        <f>IFERROR(__xludf.DUMMYFUNCTION("GOOGLETRANSLATE(A16889, ""en"", ""mt"")"),"Mard mill-Ewropa")</f>
        <v>Mard mill-Ewropa</v>
      </c>
    </row>
    <row r="16890" ht="15.75" customHeight="1">
      <c r="A16890" s="2" t="s">
        <v>16890</v>
      </c>
      <c r="B16890" s="2" t="str">
        <f>IFERROR(__xludf.DUMMYFUNCTION("GOOGLETRANSLATE(A16890, ""en"", ""mt"")"),"X'kienet ir-relazzjoni ta 'Kublai Khan ma' Ogedei Khan?")</f>
        <v>X'kienet ir-relazzjoni ta 'Kublai Khan ma' Ogedei Khan?</v>
      </c>
    </row>
    <row r="16891" ht="15.75" customHeight="1">
      <c r="A16891" s="2" t="s">
        <v>16891</v>
      </c>
      <c r="B16891" s="2" t="str">
        <f>IFERROR(__xludf.DUMMYFUNCTION("GOOGLETRANSLATE(A16891, ""en"", ""mt"")"),"William ta 'Volpiano u John ta' Ravenna")</f>
        <v>William ta 'Volpiano u John ta' Ravenna</v>
      </c>
    </row>
    <row r="16892" ht="15.75" customHeight="1">
      <c r="A16892" s="2" t="s">
        <v>16892</v>
      </c>
      <c r="B16892" s="2" t="str">
        <f>IFERROR(__xludf.DUMMYFUNCTION("GOOGLETRANSLATE(A16892, ""en"", ""mt"")"),"tal-gravità")</f>
        <v>tal-gravità</v>
      </c>
    </row>
    <row r="16893" ht="15.75" customHeight="1">
      <c r="A16893" s="2" t="s">
        <v>16893</v>
      </c>
      <c r="B16893" s="2" t="str">
        <f>IFERROR(__xludf.DUMMYFUNCTION("GOOGLETRANSLATE(A16893, ""en"", ""mt"")"),"għedewwa maqbuda")</f>
        <v>għedewwa maqbuda</v>
      </c>
    </row>
    <row r="16894" ht="15.75" customHeight="1">
      <c r="A16894" s="2" t="s">
        <v>16894</v>
      </c>
      <c r="B16894" s="2" t="str">
        <f>IFERROR(__xludf.DUMMYFUNCTION("GOOGLETRANSLATE(A16894, ""en"", ""mt"")"),"Magna tat-Turing mhux Deterministika")</f>
        <v>Magna tat-Turing mhux Deterministika</v>
      </c>
    </row>
    <row r="16895" ht="15.75" customHeight="1">
      <c r="A16895" s="2" t="s">
        <v>16895</v>
      </c>
      <c r="B16895" s="2" t="str">
        <f>IFERROR(__xludf.DUMMYFUNCTION("GOOGLETRANSLATE(A16895, ""en"", ""mt"")"),"Minn fejn jistgħu jiġu estrapolati l-istimi tal-popolazzjoni?")</f>
        <v>Minn fejn jistgħu jiġu estrapolati l-istimi tal-popolazzjoni?</v>
      </c>
    </row>
    <row r="16896" ht="15.75" customHeight="1">
      <c r="A16896" s="2" t="s">
        <v>16896</v>
      </c>
      <c r="B16896" s="2" t="str">
        <f>IFERROR(__xludf.DUMMYFUNCTION("GOOGLETRANSLATE(A16896, ""en"", ""mt"")"),"Dubbidjenza Ċivili Rivoluzzjonarja")</f>
        <v>Dubbidjenza Ċivili Rivoluzzjonarja</v>
      </c>
    </row>
    <row r="16897" ht="15.75" customHeight="1">
      <c r="A16897" s="2" t="s">
        <v>16897</v>
      </c>
      <c r="B16897" s="2" t="str">
        <f>IFERROR(__xludf.DUMMYFUNCTION("GOOGLETRANSLATE(A16897, ""en"", ""mt"")"),"l-ewwel ministru")</f>
        <v>l-ewwel ministru</v>
      </c>
    </row>
    <row r="16898" ht="15.75" customHeight="1">
      <c r="A16898" s="2" t="s">
        <v>16898</v>
      </c>
      <c r="B16898" s="2" t="str">
        <f>IFERROR(__xludf.DUMMYFUNCTION("GOOGLETRANSLATE(A16898, ""en"", ""mt"")"),"X'in-Nazzjonijiet Uniti ddisinjat l-ISIL?")</f>
        <v>X'in-Nazzjonijiet Uniti ddisinjat l-ISIL?</v>
      </c>
    </row>
    <row r="16899" ht="15.75" customHeight="1">
      <c r="A16899" s="2" t="s">
        <v>16899</v>
      </c>
      <c r="B16899" s="2" t="str">
        <f>IFERROR(__xludf.DUMMYFUNCTION("GOOGLETRANSLATE(A16899, ""en"", ""mt"")"),"Kemm l-ewwel downs kellhom il-Broncos fis-Super Bowl 50?")</f>
        <v>Kemm l-ewwel downs kellhom il-Broncos fis-Super Bowl 50?</v>
      </c>
    </row>
    <row r="16900" ht="15.75" customHeight="1">
      <c r="A16900" s="2" t="s">
        <v>16900</v>
      </c>
      <c r="B16900" s="2" t="str">
        <f>IFERROR(__xludf.DUMMYFUNCTION("GOOGLETRANSLATE(A16900, ""en"", ""mt"")"),"""mentalità isterika u demonizzanti"" dwar il-Lhud")</f>
        <v>"mentalità isterika u demonizzanti" dwar il-Lhud</v>
      </c>
    </row>
    <row r="16901" ht="15.75" customHeight="1">
      <c r="A16901" s="2" t="s">
        <v>16901</v>
      </c>
      <c r="B16901" s="2" t="str">
        <f>IFERROR(__xludf.DUMMYFUNCTION("GOOGLETRANSLATE(A16901, ""en"", ""mt"")"),"Liema kunċett, skopert oriġinarjament minn Black, aktar tard ġie skopert b'mod indipendenti minn Watt?")</f>
        <v>Liema kunċett, skopert oriġinarjament minn Black, aktar tard ġie skopert b'mod indipendenti minn Watt?</v>
      </c>
    </row>
    <row r="16902" ht="15.75" customHeight="1">
      <c r="A16902" s="2" t="s">
        <v>16902</v>
      </c>
      <c r="B16902" s="2" t="str">
        <f>IFERROR(__xludf.DUMMYFUNCTION("GOOGLETRANSLATE(A16902, ""en"", ""mt"")"),"domanda baxxa")</f>
        <v>domanda baxxa</v>
      </c>
    </row>
    <row r="16903" ht="15.75" customHeight="1">
      <c r="A16903" s="2" t="s">
        <v>16903</v>
      </c>
      <c r="B16903" s="2" t="str">
        <f>IFERROR(__xludf.DUMMYFUNCTION("GOOGLETRANSLATE(A16903, ""en"", ""mt"")"),"L-ewwel debutt tal-film Steven Spielberg?")</f>
        <v>L-ewwel debutt tal-film Steven Spielberg?</v>
      </c>
    </row>
    <row r="16904" ht="15.75" customHeight="1">
      <c r="A16904" s="2" t="s">
        <v>16904</v>
      </c>
      <c r="B16904" s="2" t="str">
        <f>IFERROR(__xludf.DUMMYFUNCTION("GOOGLETRANSLATE(A16904, ""en"", ""mt"")"),"Liema kompiti ġodda jieħdu l-prodotti tal-proteina tal-ġeni trasferiti?")</f>
        <v>Liema kompiti ġodda jieħdu l-prodotti tal-proteina tal-ġeni trasferiti?</v>
      </c>
    </row>
    <row r="16905" ht="15.75" customHeight="1">
      <c r="A16905" s="2" t="s">
        <v>16905</v>
      </c>
      <c r="B16905" s="2" t="str">
        <f>IFERROR(__xludf.DUMMYFUNCTION("GOOGLETRANSLATE(A16905, ""en"", ""mt"")"),"Liema karatteristika tal-armata ta 'Shah tippermetti l-forzi tal-Mongolja weary rebħiet bikrija faċli?")</f>
        <v>Liema karatteristika tal-armata ta 'Shah tippermetti l-forzi tal-Mongolja weary rebħiet bikrija faċli?</v>
      </c>
    </row>
    <row r="16906" ht="15.75" customHeight="1">
      <c r="A16906" s="2" t="s">
        <v>16906</v>
      </c>
      <c r="B16906" s="2" t="str">
        <f>IFERROR(__xludf.DUMMYFUNCTION("GOOGLETRANSLATE(A16906, ""en"", ""mt"")"),"radikalizza l-moviment Iżlamista")</f>
        <v>radikalizza l-moviment Iżlamista</v>
      </c>
    </row>
    <row r="16907" ht="15.75" customHeight="1">
      <c r="A16907" s="2" t="s">
        <v>16907</v>
      </c>
      <c r="B16907" s="2" t="str">
        <f>IFERROR(__xludf.DUMMYFUNCTION("GOOGLETRANSLATE(A16907, ""en"", ""mt"")"),"Sar konnessjoni interattiva għall-ospitanti bejn l-IBM Mainframe Computer Systems fl-Università ta 'Michigan f'Ann Arbor u Wayne State")</f>
        <v>Sar konnessjoni interattiva għall-ospitanti bejn l-IBM Mainframe Computer Systems fl-Università ta 'Michigan f'Ann Arbor u Wayne State</v>
      </c>
    </row>
    <row r="16908" ht="15.75" customHeight="1">
      <c r="A16908" s="2" t="s">
        <v>16908</v>
      </c>
      <c r="B16908" s="2" t="str">
        <f>IFERROR(__xludf.DUMMYFUNCTION("GOOGLETRANSLATE(A16908, ""en"", ""mt"")"),"Liema gass tipproduċi r-reazzjoni eżotermika tal-linja tal-ajru?")</f>
        <v>Liema gass tipproduċi r-reazzjoni eżotermika tal-linja tal-ajru?</v>
      </c>
    </row>
    <row r="16909" ht="15.75" customHeight="1">
      <c r="A16909" s="2" t="s">
        <v>16909</v>
      </c>
      <c r="B16909" s="2" t="str">
        <f>IFERROR(__xludf.DUMMYFUNCTION("GOOGLETRANSLATE(A16909, ""en"", ""mt"")"),"X'inhi t-teorija tal-ajru ħażina magħrufa uffiċjalment bħala?")</f>
        <v>X'inhi t-teorija tal-ajru ħażina magħrufa uffiċjalment bħala?</v>
      </c>
    </row>
    <row r="16910" ht="15.75" customHeight="1">
      <c r="A16910" s="2" t="s">
        <v>16910</v>
      </c>
      <c r="B16910" s="2" t="str">
        <f>IFERROR(__xludf.DUMMYFUNCTION("GOOGLETRANSLATE(A16910, ""en"", ""mt"")"),"Teorija koerenti tal-gravità kwantistika")</f>
        <v>Teorija koerenti tal-gravità kwantistika</v>
      </c>
    </row>
    <row r="16911" ht="15.75" customHeight="1">
      <c r="A16911" s="2" t="s">
        <v>16911</v>
      </c>
      <c r="B16911" s="2" t="str">
        <f>IFERROR(__xludf.DUMMYFUNCTION("GOOGLETRANSLATE(A16911, ""en"", ""mt"")"),"X'tip ta 'ekonomija għandha Victoria?")</f>
        <v>X'tip ta 'ekonomija għandha Victoria?</v>
      </c>
    </row>
    <row r="16912" ht="15.75" customHeight="1">
      <c r="A16912" s="2" t="s">
        <v>16912</v>
      </c>
      <c r="B16912" s="2" t="str">
        <f>IFERROR(__xludf.DUMMYFUNCTION("GOOGLETRANSLATE(A16912, ""en"", ""mt"")"),"Lower Norfolk County")</f>
        <v>Lower Norfolk County</v>
      </c>
    </row>
    <row r="16913" ht="15.75" customHeight="1">
      <c r="A16913" s="2" t="s">
        <v>16913</v>
      </c>
      <c r="B16913" s="2" t="str">
        <f>IFERROR(__xludf.DUMMYFUNCTION("GOOGLETRANSLATE(A16913, ""en"", ""mt"")"),"F'liema sena maltempata tropikali kkawżat telf ta 'enerġija ta' erbat ijiem lil Jacksonville?")</f>
        <v>F'liema sena maltempata tropikali kkawżat telf ta 'enerġija ta' erbat ijiem lil Jacksonville?</v>
      </c>
    </row>
    <row r="16914" ht="15.75" customHeight="1">
      <c r="A16914" s="2" t="s">
        <v>16914</v>
      </c>
      <c r="B16914" s="2" t="str">
        <f>IFERROR(__xludf.DUMMYFUNCTION("GOOGLETRANSLATE(A16914, ""en"", ""mt"")"),"Langley")</f>
        <v>Langley</v>
      </c>
    </row>
    <row r="16915" ht="15.75" customHeight="1">
      <c r="A16915" s="2" t="s">
        <v>16915</v>
      </c>
      <c r="B16915" s="2" t="str">
        <f>IFERROR(__xludf.DUMMYFUNCTION("GOOGLETRANSLATE(A16915, ""en"", ""mt"")"),"Fit-3 ta 'Mejju, 1901, id-downtown Jacksonville kien maħruq minn nar li beda bħala nar tal-kċina. Moss Spanjol f'fabbrika tas-saqqu fil-viċin ġie maħkum malajr fil-fjammi u jippermetti li n-nar jinfirex malajr. Fi tmien sigħat biss, ħakmu 146 blokka tal-b"&amp;"elt, meqruda aktar minn 2,000 bini, ħallew madwar 10,000 bla dar u qatlu 7 residenti. Il-monument Konfederat fil-Park Hemming kien wieħed mill-uniċi postijiet familjari li jgħix in-nar. Il-Gvernatur Jennings jiddikjara l-liġi marzjali u bagħat lill-milizj"&amp;"a tal-istat biex iżżomm l-ordni. Fis-17 ta 'Mejju reġgħet bdiet l-Awtorità Muniċipali f'Jacksonville. Jingħad li l-glow mill-fjammi jista 'jidher f'Savannah, il-Ġeorġja, u l-plumes tad-duħħan li dehru f'Raleigh, North Carolina. Magħruf bħala ""Nar il-Kbir"&amp;" ta 'l-1901"", kien wieħed mill-agħar diżastri fl-istorja ta' Florida u l-akbar nar urban fix-xlokk ta 'l-Istati Uniti. Il-Perit Henry John Klutho kien figura primarja fir-rikostruzzjoni tal-belt. L-ewwel struttura b'ħafna stejjer mibnija minn Klutho kien"&amp;"et il-bini Dyal-Upchurch fl-1902. Il-bini ta 'St James, mibni fuq is-sit preċedenti tal-lukanda St James li nħaraq, inbena fl-1912 bħala l-kisba ta' Klutho.")</f>
        <v>Fit-3 ta 'Mejju, 1901, id-downtown Jacksonville kien maħruq minn nar li beda bħala nar tal-kċina. Moss Spanjol f'fabbrika tas-saqqu fil-viċin ġie maħkum malajr fil-fjammi u jippermetti li n-nar jinfirex malajr. Fi tmien sigħat biss, ħakmu 146 blokka tal-belt, meqruda aktar minn 2,000 bini, ħallew madwar 10,000 bla dar u qatlu 7 residenti. Il-monument Konfederat fil-Park Hemming kien wieħed mill-uniċi postijiet familjari li jgħix in-nar. Il-Gvernatur Jennings jiddikjara l-liġi marzjali u bagħat lill-milizja tal-istat biex iżżomm l-ordni. Fis-17 ta 'Mejju reġgħet bdiet l-Awtorità Muniċipali f'Jacksonville. Jingħad li l-glow mill-fjammi jista 'jidher f'Savannah, il-Ġeorġja, u l-plumes tad-duħħan li dehru f'Raleigh, North Carolina. Magħruf bħala "Nar il-Kbir ta 'l-1901", kien wieħed mill-agħar diżastri fl-istorja ta' Florida u l-akbar nar urban fix-xlokk ta 'l-Istati Uniti. Il-Perit Henry John Klutho kien figura primarja fir-rikostruzzjoni tal-belt. L-ewwel struttura b'ħafna stejjer mibnija minn Klutho kienet il-bini Dyal-Upchurch fl-1902. Il-bini ta 'St James, mibni fuq is-sit preċedenti tal-lukanda St James li nħaraq, inbena fl-1912 bħala l-kisba ta' Klutho.</v>
      </c>
    </row>
    <row r="16916" ht="15.75" customHeight="1">
      <c r="A16916" s="2" t="s">
        <v>16916</v>
      </c>
      <c r="B16916" s="2" t="str">
        <f>IFERROR(__xludf.DUMMYFUNCTION("GOOGLETRANSLATE(A16916, ""en"", ""mt"")"),"Liema Proctor u Gamble pproduċew soap opra għamlu ABC Air?")</f>
        <v>Liema Proctor u Gamble pproduċew soap opra għamlu ABC Air?</v>
      </c>
    </row>
    <row r="16917" ht="15.75" customHeight="1">
      <c r="A16917" s="2" t="s">
        <v>16917</v>
      </c>
      <c r="B16917" s="2" t="str">
        <f>IFERROR(__xludf.DUMMYFUNCTION("GOOGLETRANSLATE(A16917, ""en"", ""mt"")"),"Liema tattika użaw ir-riċerkaturi biex jikkumpensaw id-defiċit ta 'xogħol preċedenti li jdawwar il-kumplessità ta' problemi algoritmiċi?")</f>
        <v>Liema tattika użaw ir-riċerkaturi biex jikkumpensaw id-defiċit ta 'xogħol preċedenti li jdawwar il-kumplessità ta' problemi algoritmiċi?</v>
      </c>
    </row>
    <row r="16918" ht="15.75" customHeight="1">
      <c r="A16918" s="2" t="s">
        <v>16918</v>
      </c>
      <c r="B16918" s="2" t="str">
        <f>IFERROR(__xludf.DUMMYFUNCTION("GOOGLETRANSLATE(A16918, ""en"", ""mt"")"),"Liema twemmin liturġiku tal-Knisja Kattolika Lortie kkritikat bil-miftuħ?")</f>
        <v>Liema twemmin liturġiku tal-Knisja Kattolika Lortie kkritikat bil-miftuħ?</v>
      </c>
    </row>
    <row r="16919" ht="15.75" customHeight="1">
      <c r="A16919" s="2" t="s">
        <v>16919</v>
      </c>
      <c r="B16919" s="2" t="str">
        <f>IFERROR(__xludf.DUMMYFUNCTION("GOOGLETRANSLATE(A16919, ""en"", ""mt"")"),"""Emendi ta 'Wrecking""")</f>
        <v>"Emendi ta 'Wrecking"</v>
      </c>
    </row>
    <row r="16920" ht="15.75" customHeight="1">
      <c r="A16920" s="2" t="s">
        <v>16920</v>
      </c>
      <c r="B16920" s="2" t="str">
        <f>IFERROR(__xludf.DUMMYFUNCTION("GOOGLETRANSLATE(A16920, ""en"", ""mt"")"),"Minbarra San Bernardino, liema oħra żviluppaw belt tan-Nofsinhar tal-Kalifornja mhix viċin il-kosta?")</f>
        <v>Minbarra San Bernardino, liema oħra żviluppaw belt tan-Nofsinhar tal-Kalifornja mhix viċin il-kosta?</v>
      </c>
    </row>
    <row r="16921" ht="15.75" customHeight="1">
      <c r="A16921" s="2" t="s">
        <v>16921</v>
      </c>
      <c r="B16921" s="2" t="str">
        <f>IFERROR(__xludf.DUMMYFUNCTION("GOOGLETRANSLATE(A16921, ""en"", ""mt"")"),"aktar minn 700,000")</f>
        <v>aktar minn 700,000</v>
      </c>
    </row>
    <row r="16922" ht="15.75" customHeight="1">
      <c r="A16922" s="2" t="s">
        <v>16922</v>
      </c>
      <c r="B16922" s="2" t="str">
        <f>IFERROR(__xludf.DUMMYFUNCTION("GOOGLETRANSLATE(A16922, ""en"", ""mt"")"),"Min kien il-viċi president ta 'Kennedy?")</f>
        <v>Min kien il-viċi president ta 'Kennedy?</v>
      </c>
    </row>
    <row r="16923" ht="15.75" customHeight="1">
      <c r="A16923" s="2" t="s">
        <v>16923</v>
      </c>
      <c r="B16923" s="2" t="str">
        <f>IFERROR(__xludf.DUMMYFUNCTION("GOOGLETRANSLATE(A16923, ""en"", ""mt"")"),"Għal qasam F li fih 0 u 1, x'inhu l-qasam ewlieni?")</f>
        <v>Għal qasam F li fih 0 u 1, x'inhu l-qasam ewlieni?</v>
      </c>
    </row>
    <row r="16924" ht="15.75" customHeight="1">
      <c r="A16924" s="2" t="s">
        <v>16924</v>
      </c>
      <c r="B16924" s="2" t="str">
        <f>IFERROR(__xludf.DUMMYFUNCTION("GOOGLETRANSLATE(A16924, ""en"", ""mt"")"),"139th minn 176 pajjiż totali")</f>
        <v>139th minn 176 pajjiż totali</v>
      </c>
    </row>
    <row r="16925" ht="15.75" customHeight="1">
      <c r="A16925" s="2" t="s">
        <v>16925</v>
      </c>
      <c r="B16925" s="2" t="str">
        <f>IFERROR(__xludf.DUMMYFUNCTION("GOOGLETRANSLATE(A16925, ""en"", ""mt"")"),"X’sejjaħ Davies is-sistema")</f>
        <v>X’sejjaħ Davies is-sistema</v>
      </c>
    </row>
    <row r="16926" ht="15.75" customHeight="1">
      <c r="A16926" s="2" t="s">
        <v>16926</v>
      </c>
      <c r="B16926" s="2" t="str">
        <f>IFERROR(__xludf.DUMMYFUNCTION("GOOGLETRANSLATE(A16926, ""en"", ""mt"")"),"Min hu responsabbli għat-teorija tal-kumplessità axiomatic?")</f>
        <v>Min hu responsabbli għat-teorija tal-kumplessità axiomatic?</v>
      </c>
    </row>
    <row r="16927" ht="15.75" customHeight="1">
      <c r="A16927" s="2" t="s">
        <v>16927</v>
      </c>
      <c r="B16927" s="2" t="str">
        <f>IFERROR(__xludf.DUMMYFUNCTION("GOOGLETRANSLATE(A16927, ""en"", ""mt"")"),"Kif tintuża l-iskala biex titkejjel is-saħħa tal-uragani msejħa?")</f>
        <v>Kif tintuża l-iskala biex titkejjel is-saħħa tal-uragani msejħa?</v>
      </c>
    </row>
    <row r="16928" ht="15.75" customHeight="1">
      <c r="A16928" s="2" t="s">
        <v>16928</v>
      </c>
      <c r="B16928" s="2" t="str">
        <f>IFERROR(__xludf.DUMMYFUNCTION("GOOGLETRANSLATE(A16928, ""en"", ""mt"")"),"Fis-sajf tal-1521, Luther wessa 'l-mira tiegħu minn pieties individwali bħal indulġenzi u pellegrinaġġi għal duttrini fil-qalba tal-prattiki tal-knisja. Fit-abrogazzjoni tal-Quddiesa Privata, huwa kkundanna bħala l-idolatrija l-idea li l-Quddiesa hija sag"&amp;"rifiċċju, li jafferma minflok li huwa rigal, li għandu jintlaqa 'ma' Radd il-Ħajr mill-kongregazzjoni kollha. L-esej tiegħu dwar il-konfessjoni, kemm jekk il-Papa għandu l-poter li jirrikjedi li ċaħad il-konfessjoni obbligatorja u ħeġġeġ il-konfessjoni u "&amp;"l-assoluzzjoni privata, peress li ""kull Nisrani huwa konfessur."" F'Novembru, Luther kiteb is-sentenza ta 'Martin Luther fuq voti monastiċi. Huwa assigura lill-patrijiet u s-sorijiet li setgħu jiksru l-wegħdiet tagħhom mingħajr dnub, minħabba li l-voti k"&amp;"ienu attentat illeġittimu u vain biex jirbħu s-salvazzjoni.")</f>
        <v>Fis-sajf tal-1521, Luther wessa 'l-mira tiegħu minn pieties individwali bħal indulġenzi u pellegrinaġġi għal duttrini fil-qalba tal-prattiki tal-knisja. Fit-abrogazzjoni tal-Quddiesa Privata, huwa kkundanna bħala l-idolatrija l-idea li l-Quddiesa hija sagrifiċċju, li jafferma minflok li huwa rigal, li għandu jintlaqa 'ma' Radd il-Ħajr mill-kongregazzjoni kollha. L-esej tiegħu dwar il-konfessjoni, kemm jekk il-Papa għandu l-poter li jirrikjedi li ċaħad il-konfessjoni obbligatorja u ħeġġeġ il-konfessjoni u l-assoluzzjoni privata, peress li "kull Nisrani huwa konfessur." F'Novembru, Luther kiteb is-sentenza ta 'Martin Luther fuq voti monastiċi. Huwa assigura lill-patrijiet u s-sorijiet li setgħu jiksru l-wegħdiet tagħhom mingħajr dnub, minħabba li l-voti kienu attentat illeġittimu u vain biex jirbħu s-salvazzjoni.</v>
      </c>
    </row>
    <row r="16929" ht="15.75" customHeight="1">
      <c r="A16929" s="2" t="s">
        <v>16929</v>
      </c>
      <c r="B16929" s="2" t="str">
        <f>IFERROR(__xludf.DUMMYFUNCTION("GOOGLETRANSLATE(A16929, ""en"", ""mt"")"),"Il-Liao, Jin, u l-kanzunetta")</f>
        <v>Il-Liao, Jin, u l-kanzunetta</v>
      </c>
    </row>
    <row r="16930" ht="15.75" customHeight="1">
      <c r="A16930" s="2" t="s">
        <v>16930</v>
      </c>
      <c r="B16930" s="2" t="str">
        <f>IFERROR(__xludf.DUMMYFUNCTION("GOOGLETRANSLATE(A16930, ""en"", ""mt"")"),"Is-Swaħili")</f>
        <v>Is-Swaħili</v>
      </c>
    </row>
    <row r="16931" ht="15.75" customHeight="1">
      <c r="A16931" s="2" t="s">
        <v>16931</v>
      </c>
      <c r="B16931" s="2" t="str">
        <f>IFERROR(__xludf.DUMMYFUNCTION("GOOGLETRANSLATE(A16931, ""en"", ""mt"")"),"Forza militari")</f>
        <v>Forza militari</v>
      </c>
    </row>
    <row r="16932" ht="15.75" customHeight="1">
      <c r="A16932" s="2" t="s">
        <v>16932</v>
      </c>
      <c r="B16932" s="2" t="str">
        <f>IFERROR(__xludf.DUMMYFUNCTION("GOOGLETRANSLATE(A16932, ""en"", ""mt"")"),"Meta WLS nediet lineup ta 'programmi tar-radju ABC?")</f>
        <v>Meta WLS nediet lineup ta 'programmi tar-radju ABC?</v>
      </c>
    </row>
    <row r="16933" ht="15.75" customHeight="1">
      <c r="A16933" s="2" t="s">
        <v>16933</v>
      </c>
      <c r="B16933" s="2" t="str">
        <f>IFERROR(__xludf.DUMMYFUNCTION("GOOGLETRANSLATE(A16933, ""en"", ""mt"")"),"Meta nfetħet il-gallerija ewlenija għall-kollezzjoni tal-ħġieġ kontemporanja tal-V &amp; A?")</f>
        <v>Meta nfetħet il-gallerija ewlenija għall-kollezzjoni tal-ħġieġ kontemporanja tal-V &amp; A?</v>
      </c>
    </row>
    <row r="16934" ht="15.75" customHeight="1">
      <c r="A16934" s="2" t="s">
        <v>16934</v>
      </c>
      <c r="B16934" s="2" t="str">
        <f>IFERROR(__xludf.DUMMYFUNCTION("GOOGLETRANSLATE(A16934, ""en"", ""mt"")"),"23.9%")</f>
        <v>23.9%</v>
      </c>
    </row>
    <row r="16935" ht="15.75" customHeight="1">
      <c r="A16935" s="2" t="s">
        <v>16935</v>
      </c>
      <c r="B16935" s="2" t="str">
        <f>IFERROR(__xludf.DUMMYFUNCTION("GOOGLETRANSLATE(A16935, ""en"", ""mt"")"),"ġdid adeżjat fil-kollezzjoni")</f>
        <v>ġdid adeżjat fil-kollezzjoni</v>
      </c>
    </row>
    <row r="16936" ht="15.75" customHeight="1">
      <c r="A16936" s="2" t="s">
        <v>16936</v>
      </c>
      <c r="B16936" s="2" t="str">
        <f>IFERROR(__xludf.DUMMYFUNCTION("GOOGLETRANSLATE(A16936, ""en"", ""mt"")"),"Battalja ta 'Dalan Balzhut")</f>
        <v>Battalja ta 'Dalan Balzhut</v>
      </c>
    </row>
    <row r="16937" ht="15.75" customHeight="1">
      <c r="A16937" s="2" t="s">
        <v>16937</v>
      </c>
      <c r="B16937" s="2" t="str">
        <f>IFERROR(__xludf.DUMMYFUNCTION("GOOGLETRANSLATE(A16937, ""en"", ""mt"")"),"ma twettaqx riċerka u lanqas tissorvelja d-dejta relatata mal-klima")</f>
        <v>ma twettaqx riċerka u lanqas tissorvelja d-dejta relatata mal-klima</v>
      </c>
    </row>
    <row r="16938" ht="15.75" customHeight="1">
      <c r="A16938" s="2" t="s">
        <v>16938</v>
      </c>
      <c r="B16938" s="2" t="str">
        <f>IFERROR(__xludf.DUMMYFUNCTION("GOOGLETRANSLATE(A16938, ""en"", ""mt"")"),"Newton ġie mkeċċi")</f>
        <v>Newton ġie mkeċċi</v>
      </c>
    </row>
    <row r="16939" ht="15.75" customHeight="1">
      <c r="A16939" s="2" t="s">
        <v>16939</v>
      </c>
      <c r="B16939" s="2" t="str">
        <f>IFERROR(__xludf.DUMMYFUNCTION("GOOGLETRANSLATE(A16939, ""en"", ""mt"")"),"Madwar 2.5 miljun sena ilu (li ntemm 11,600 sena ilu) kien il-perjodu ġeoloġiku tal-etajiet tas-silġ. Minn madwar 600,000 sena ilu, seħħew sitt etajiet kbar tas-silġ, li fihom il-livell tal-baħar niżel 120 m (390 pied) u ħafna mill-marġini kontinentali sa"&amp;"ru esposti. Fil-Pleistocene bikri, ir-Renu segwa kors lejn il-majjistral, permezz tal-Baħar tat-Tramuntana preżenti. Matul l-hekk imsejħa glaciation Anglian (~ 450,000 yr bp, l-isotopi tal-ossiġnu tal-baħar stadju 12), il-parti tat-tramuntana tal-Baħar ta"&amp;"t-Tramuntana preżenti kienet imblukkata mis-silġ u lag kbir żviluppat, li tfur mill-Kanal Ingliż. Dan ikkawża li l-kors tar-Rhine jiġi ddevjat mill-Kanal Ingliż. Minn dakinhar, fi żminijiet glaċjali, il-ħalq tax-xmara kien jinsab barra mill-kosta ta 'Bres"&amp;"t, Franza u xmajjar, bħat-Thames u s-Seine, saru tributarji għar-Renu. Matul l-interglacials, meta l-livell tal-baħar tela 'għal bejn wieħed u ieħor il-livell preżenti, ir-Rhine bena deltas, f'dak li issa huwa l-Olanda.")</f>
        <v>Madwar 2.5 miljun sena ilu (li ntemm 11,600 sena ilu) kien il-perjodu ġeoloġiku tal-etajiet tas-silġ. Minn madwar 600,000 sena ilu, seħħew sitt etajiet kbar tas-silġ, li fihom il-livell tal-baħar niżel 120 m (390 pied) u ħafna mill-marġini kontinentali saru esposti. Fil-Pleistocene bikri, ir-Renu segwa kors lejn il-majjistral, permezz tal-Baħar tat-Tramuntana preżenti. Matul l-hekk imsejħa glaciation Anglian (~ 450,000 yr bp, l-isotopi tal-ossiġnu tal-baħar stadju 12), il-parti tat-tramuntana tal-Baħar tat-Tramuntana preżenti kienet imblukkata mis-silġ u lag kbir żviluppat, li tfur mill-Kanal Ingliż. Dan ikkawża li l-kors tar-Rhine jiġi ddevjat mill-Kanal Ingliż. Minn dakinhar, fi żminijiet glaċjali, il-ħalq tax-xmara kien jinsab barra mill-kosta ta 'Brest, Franza u xmajjar, bħat-Thames u s-Seine, saru tributarji għar-Renu. Matul l-interglacials, meta l-livell tal-baħar tela 'għal bejn wieħed u ieħor il-livell preżenti, ir-Rhine bena deltas, f'dak li issa huwa l-Olanda.</v>
      </c>
    </row>
    <row r="16940" ht="15.75" customHeight="1">
      <c r="A16940" s="2" t="s">
        <v>16940</v>
      </c>
      <c r="B16940" s="2" t="str">
        <f>IFERROR(__xludf.DUMMYFUNCTION("GOOGLETRANSLATE(A16940, ""en"", ""mt"")"),"X'kien l-isem tal-kodiċi legali tal-imperu Mongol?")</f>
        <v>X'kien l-isem tal-kodiċi legali tal-imperu Mongol?</v>
      </c>
    </row>
    <row r="16941" ht="15.75" customHeight="1">
      <c r="A16941" s="2" t="s">
        <v>16941</v>
      </c>
      <c r="B16941" s="2" t="str">
        <f>IFERROR(__xludf.DUMMYFUNCTION("GOOGLETRANSLATE(A16941, ""en"", ""mt"")"),"X’qal Luther li n-nies komuni ma kienu jafu xejn dwarhom?")</f>
        <v>X’qal Luther li n-nies komuni ma kienu jafu xejn dwarhom?</v>
      </c>
    </row>
    <row r="16942" ht="15.75" customHeight="1">
      <c r="A16942" s="2" t="s">
        <v>16942</v>
      </c>
      <c r="B16942" s="2" t="str">
        <f>IFERROR(__xludf.DUMMYFUNCTION("GOOGLETRANSLATE(A16942, ""en"", ""mt"")"),"X'għandu jkun l-integer M inqas minn jew daqs meta twettaq diviżjoni ta 'prova?")</f>
        <v>X'għandu jkun l-integer M inqas minn jew daqs meta twettaq diviżjoni ta 'prova?</v>
      </c>
    </row>
    <row r="16943" ht="15.75" customHeight="1">
      <c r="A16943" s="2" t="s">
        <v>16943</v>
      </c>
      <c r="B16943" s="2" t="str">
        <f>IFERROR(__xludf.DUMMYFUNCTION("GOOGLETRANSLATE(A16943, ""en"", ""mt"")"),"Il-kumplessità tal-problemi ħafna drabi tiddependi fuq xiex?")</f>
        <v>Il-kumplessità tal-problemi ħafna drabi tiddependi fuq xiex?</v>
      </c>
    </row>
    <row r="16944" ht="15.75" customHeight="1">
      <c r="A16944" s="2" t="s">
        <v>16944</v>
      </c>
      <c r="B16944" s="2" t="str">
        <f>IFERROR(__xludf.DUMMYFUNCTION("GOOGLETRANSLATE(A16944, ""en"", ""mt"")"),"21 ta 'Mejju, 2013")</f>
        <v>21 ta 'Mejju, 2013</v>
      </c>
    </row>
    <row r="16945" ht="15.75" customHeight="1">
      <c r="A16945" s="2" t="s">
        <v>16945</v>
      </c>
      <c r="B16945" s="2" t="str">
        <f>IFERROR(__xludf.DUMMYFUNCTION("GOOGLETRANSLATE(A16945, ""en"", ""mt"")"),"Fejn l-ossiġnu jikklassifika bil-massa fil-bijosfera tal-pjaneta?")</f>
        <v>Fejn l-ossiġnu jikklassifika bil-massa fil-bijosfera tal-pjaneta?</v>
      </c>
    </row>
    <row r="16946" ht="15.75" customHeight="1">
      <c r="A16946" s="2" t="s">
        <v>16946</v>
      </c>
      <c r="B16946" s="2" t="str">
        <f>IFERROR(__xludf.DUMMYFUNCTION("GOOGLETRANSLATE(A16946, ""en"", ""mt"")"),"Il-kastig ta ’Alla")</f>
        <v>Il-kastig ta ’Alla</v>
      </c>
    </row>
    <row r="16947" ht="15.75" customHeight="1">
      <c r="A16947" s="2" t="s">
        <v>16947</v>
      </c>
      <c r="B16947" s="2" t="str">
        <f>IFERROR(__xludf.DUMMYFUNCTION("GOOGLETRANSLATE(A16947, ""en"", ""mt"")"),"Min hu l-Kummissarju tal-Lega Nazzjonali tal-Futbol?")</f>
        <v>Min hu l-Kummissarju tal-Lega Nazzjonali tal-Futbol?</v>
      </c>
    </row>
    <row r="16948" ht="15.75" customHeight="1">
      <c r="A16948" s="2" t="s">
        <v>16948</v>
      </c>
      <c r="B16948" s="2" t="str">
        <f>IFERROR(__xludf.DUMMYFUNCTION("GOOGLETRANSLATE(A16948, ""en"", ""mt"")"),"Netwerks tal-Midja Disney")</f>
        <v>Netwerks tal-Midja Disney</v>
      </c>
    </row>
    <row r="16949" ht="15.75" customHeight="1">
      <c r="A16949" s="2" t="s">
        <v>16949</v>
      </c>
      <c r="B16949" s="2" t="str">
        <f>IFERROR(__xludf.DUMMYFUNCTION("GOOGLETRANSLATE(A16949, ""en"", ""mt"")"),"NADP +")</f>
        <v>NADP +</v>
      </c>
    </row>
    <row r="16950" ht="15.75" customHeight="1">
      <c r="A16950" s="2" t="s">
        <v>16950</v>
      </c>
      <c r="B16950" s="2" t="str">
        <f>IFERROR(__xludf.DUMMYFUNCTION("GOOGLETRANSLATE(A16950, ""en"", ""mt"")"),"X'inhi r-rata ta 'mortalità tal-pesta pnewmonika?")</f>
        <v>X'inhi r-rata ta 'mortalità tal-pesta pnewmonika?</v>
      </c>
    </row>
    <row r="16951" ht="15.75" customHeight="1">
      <c r="A16951" s="2" t="s">
        <v>16951</v>
      </c>
      <c r="B16951" s="2" t="str">
        <f>IFERROR(__xludf.DUMMYFUNCTION("GOOGLETRANSLATE(A16951, ""en"", ""mt"")"),"Regola kolonjali, jew okkupazzjoni fiżika ta 'territorju hija eżempju ta' x'tip ta 'imperjalizmu?")</f>
        <v>Regola kolonjali, jew okkupazzjoni fiżika ta 'territorju hija eżempju ta' x'tip ta 'imperjalizmu?</v>
      </c>
    </row>
    <row r="16952" ht="15.75" customHeight="1">
      <c r="A16952" s="2" t="s">
        <v>16952</v>
      </c>
      <c r="B16952" s="2" t="str">
        <f>IFERROR(__xludf.DUMMYFUNCTION("GOOGLETRANSLATE(A16952, ""en"", ""mt"")"),"tisħin tal-wiċċ tad-dinja")</f>
        <v>tisħin tal-wiċċ tad-dinja</v>
      </c>
    </row>
    <row r="16953" ht="15.75" customHeight="1">
      <c r="A16953" s="2" t="s">
        <v>16953</v>
      </c>
      <c r="B16953" s="2" t="str">
        <f>IFERROR(__xludf.DUMMYFUNCTION("GOOGLETRANSLATE(A16953, ""en"", ""mt"")"),"Liema maltempata kellha l-iktar impatt sinifikanti fuq Jacksonville?")</f>
        <v>Liema maltempata kellha l-iktar impatt sinifikanti fuq Jacksonville?</v>
      </c>
    </row>
    <row r="16954" ht="15.75" customHeight="1">
      <c r="A16954" s="2" t="s">
        <v>16954</v>
      </c>
      <c r="B16954" s="2" t="str">
        <f>IFERROR(__xludf.DUMMYFUNCTION("GOOGLETRANSLATE(A16954, ""en"", ""mt"")"),"X'inhuma magħrufa bħala Ctenophora?")</f>
        <v>X'inhuma magħrufa bħala Ctenophora?</v>
      </c>
    </row>
    <row r="16955" ht="15.75" customHeight="1">
      <c r="A16955" s="2" t="s">
        <v>16955</v>
      </c>
      <c r="B16955" s="2" t="str">
        <f>IFERROR(__xludf.DUMMYFUNCTION("GOOGLETRANSLATE(A16955, ""en"", ""mt"")"),"Fejn Ġwanni Pawlu II iċċelebra l-Quddiesa f'Varsavja?")</f>
        <v>Fejn Ġwanni Pawlu II iċċelebra l-Quddiesa f'Varsavja?</v>
      </c>
    </row>
    <row r="16956" ht="15.75" customHeight="1">
      <c r="A16956" s="2" t="s">
        <v>16956</v>
      </c>
      <c r="B16956" s="2" t="str">
        <f>IFERROR(__xludf.DUMMYFUNCTION("GOOGLETRANSLATE(A16956, ""en"", ""mt"")"),"Albert C. Outler")</f>
        <v>Albert C. Outler</v>
      </c>
    </row>
    <row r="16957" ht="15.75" customHeight="1">
      <c r="A16957" s="2" t="s">
        <v>16957</v>
      </c>
      <c r="B16957" s="2" t="str">
        <f>IFERROR(__xludf.DUMMYFUNCTION("GOOGLETRANSLATE(A16957, ""en"", ""mt"")"),"Iċ-ċelloli T Delta Gamma għandhom verżjoni differenti ta 'liema riċettur?")</f>
        <v>Iċ-ċelloli T Delta Gamma għandhom verżjoni differenti ta 'liema riċettur?</v>
      </c>
    </row>
    <row r="16958" ht="15.75" customHeight="1">
      <c r="A16958" s="2" t="s">
        <v>16958</v>
      </c>
      <c r="B16958" s="2" t="str">
        <f>IFERROR(__xludf.DUMMYFUNCTION("GOOGLETRANSLATE(A16958, ""en"", ""mt"")"),"aktar minn 4 kilometri")</f>
        <v>aktar minn 4 kilometri</v>
      </c>
    </row>
    <row r="16959" ht="15.75" customHeight="1">
      <c r="A16959" s="2" t="s">
        <v>16959</v>
      </c>
      <c r="B16959" s="2" t="str">
        <f>IFERROR(__xludf.DUMMYFUNCTION("GOOGLETRANSLATE(A16959, ""en"", ""mt"")"),"Min hu l-koordinatur difensiv ta 'Denver?")</f>
        <v>Min hu l-koordinatur difensiv ta 'Denver?</v>
      </c>
    </row>
    <row r="16960" ht="15.75" customHeight="1">
      <c r="A16960" s="2" t="s">
        <v>16960</v>
      </c>
      <c r="B16960" s="2" t="str">
        <f>IFERROR(__xludf.DUMMYFUNCTION("GOOGLETRANSLATE(A16960, ""en"", ""mt"")"),"Kemm thylakoids tal-granal jistgħu jkunu f'kull granum?")</f>
        <v>Kemm thylakoids tal-granal jistgħu jkunu f'kull granum?</v>
      </c>
    </row>
    <row r="16961" ht="15.75" customHeight="1">
      <c r="A16961" s="2" t="s">
        <v>16961</v>
      </c>
      <c r="B16961" s="2" t="str">
        <f>IFERROR(__xludf.DUMMYFUNCTION("GOOGLETRANSLATE(A16961, ""en"", ""mt"")"),"motivazzjonijiet ""push""")</f>
        <v>motivazzjonijiet "push"</v>
      </c>
    </row>
    <row r="16962" ht="15.75" customHeight="1">
      <c r="A16962" s="2" t="s">
        <v>16962</v>
      </c>
      <c r="B16962" s="2" t="str">
        <f>IFERROR(__xludf.DUMMYFUNCTION("GOOGLETRANSLATE(A16962, ""en"", ""mt"")"),"Diversi gruppi alleati mill-Asja Ċentrali u t-tarf tal-punent tal-imperu")</f>
        <v>Diversi gruppi alleati mill-Asja Ċentrali u t-tarf tal-punent tal-imperu</v>
      </c>
    </row>
    <row r="16963" ht="15.75" customHeight="1">
      <c r="A16963" s="2" t="s">
        <v>16963</v>
      </c>
      <c r="B16963" s="2" t="str">
        <f>IFERROR(__xludf.DUMMYFUNCTION("GOOGLETRANSLATE(A16963, ""en"", ""mt"")"),"Min ħakem ħafna mill-Ingilterra wara t-tmiem tal-ħakma imperjali Rumana?")</f>
        <v>Min ħakem ħafna mill-Ingilterra wara t-tmiem tal-ħakma imperjali Rumana?</v>
      </c>
    </row>
    <row r="16964" ht="15.75" customHeight="1">
      <c r="A16964" s="2" t="s">
        <v>16964</v>
      </c>
      <c r="B16964" s="2" t="str">
        <f>IFERROR(__xludf.DUMMYFUNCTION("GOOGLETRANSLATE(A16964, ""en"", ""mt"")"),"Kemm dorms residenzjali tad-dar tal-klassi ta 'fuq, sophomore, jr, u studenti SR?")</f>
        <v>Kemm dorms residenzjali tad-dar tal-klassi ta 'fuq, sophomore, jr, u studenti SR?</v>
      </c>
    </row>
    <row r="16965" ht="15.75" customHeight="1">
      <c r="A16965" s="2" t="s">
        <v>16965</v>
      </c>
      <c r="B16965" s="2" t="str">
        <f>IFERROR(__xludf.DUMMYFUNCTION("GOOGLETRANSLATE(A16965, ""en"", ""mt"")"),"Good Morning America u Nightline")</f>
        <v>Good Morning America u Nightline</v>
      </c>
    </row>
    <row r="16966" ht="15.75" customHeight="1">
      <c r="A16966" s="2" t="s">
        <v>16966</v>
      </c>
      <c r="B16966" s="2" t="str">
        <f>IFERROR(__xludf.DUMMYFUNCTION("GOOGLETRANSLATE(A16966, ""en"", ""mt"")"),"Wara l-2007 kemm student minn familji jaqla 'inqas minn $ 60,000 iħallsu għall-iskola?")</f>
        <v>Wara l-2007 kemm student minn familji jaqla 'inqas minn $ 60,000 iħallsu għall-iskola?</v>
      </c>
    </row>
    <row r="16967" ht="15.75" customHeight="1">
      <c r="A16967" s="2" t="s">
        <v>16967</v>
      </c>
      <c r="B16967" s="2" t="str">
        <f>IFERROR(__xludf.DUMMYFUNCTION("GOOGLETRANSLATE(A16967, ""en"", ""mt"")"),"Fejn sabu x-xjentisti tagħhom il-kampjun Y. pestis?")</f>
        <v>Fejn sabu x-xjentisti tagħhom il-kampjun Y. pestis?</v>
      </c>
    </row>
    <row r="16968" ht="15.75" customHeight="1">
      <c r="A16968" s="2" t="s">
        <v>16968</v>
      </c>
      <c r="B16968" s="2" t="str">
        <f>IFERROR(__xludf.DUMMYFUNCTION("GOOGLETRANSLATE(A16968, ""en"", ""mt"")"),"L-Isvizzera")</f>
        <v>L-Isvizzera</v>
      </c>
    </row>
    <row r="16969" ht="15.75" customHeight="1">
      <c r="A16969" s="2" t="s">
        <v>16969</v>
      </c>
      <c r="B16969" s="2" t="str">
        <f>IFERROR(__xludf.DUMMYFUNCTION("GOOGLETRANSLATE(A16969, ""en"", ""mt"")"),"500,000")</f>
        <v>500,000</v>
      </c>
    </row>
    <row r="16970" ht="15.75" customHeight="1">
      <c r="A16970" s="2" t="s">
        <v>16970</v>
      </c>
      <c r="B16970" s="2" t="str">
        <f>IFERROR(__xludf.DUMMYFUNCTION("GOOGLETRANSLATE(A16970, ""en"", ""mt"")"),"F'każijiet ta 'mezz fiżiku maqsum kif jiġu kkonsenjati")</f>
        <v>F'każijiet ta 'mezz fiżiku maqsum kif jiġu kkonsenjati</v>
      </c>
    </row>
    <row r="16971" ht="15.75" customHeight="1">
      <c r="A16971" s="2" t="s">
        <v>16971</v>
      </c>
      <c r="B16971" s="2" t="str">
        <f>IFERROR(__xludf.DUMMYFUNCTION("GOOGLETRANSLATE(A16971, ""en"", ""mt"")"),"Samarkand")</f>
        <v>Samarkand</v>
      </c>
    </row>
    <row r="16972" ht="15.75" customHeight="1">
      <c r="A16972" s="2" t="s">
        <v>16972</v>
      </c>
      <c r="B16972" s="2" t="str">
        <f>IFERROR(__xludf.DUMMYFUNCTION("GOOGLETRANSLATE(A16972, ""en"", ""mt"")"),"Kemm telespettaturi tar-Renju Unit jaraw il-film tat-Tabib Min?")</f>
        <v>Kemm telespettaturi tar-Renju Unit jaraw il-film tat-Tabib Min?</v>
      </c>
    </row>
    <row r="16973" ht="15.75" customHeight="1">
      <c r="A16973" s="2" t="s">
        <v>16973</v>
      </c>
      <c r="B16973" s="2" t="str">
        <f>IFERROR(__xludf.DUMMYFUNCTION("GOOGLETRANSLATE(A16973, ""en"", ""mt"")"),"X'aktarx li Tesla tagħmel max-xogħol tiegħu?")</f>
        <v>X'aktarx li Tesla tagħmel max-xogħol tiegħu?</v>
      </c>
    </row>
    <row r="16974" ht="15.75" customHeight="1">
      <c r="A16974" s="2" t="s">
        <v>16974</v>
      </c>
      <c r="B16974" s="2" t="str">
        <f>IFERROR(__xludf.DUMMYFUNCTION("GOOGLETRANSLATE(A16974, ""en"", ""mt"")"),"""Ħin ta 'Deċiżjoni""")</f>
        <v>"Ħin ta 'Deċiżjoni"</v>
      </c>
    </row>
    <row r="16975" ht="15.75" customHeight="1">
      <c r="A16975" s="2" t="s">
        <v>16975</v>
      </c>
      <c r="B16975" s="2" t="str">
        <f>IFERROR(__xludf.DUMMYFUNCTION("GOOGLETRANSLATE(A16975, ""en"", ""mt"")"),"Min għallem lil Temüjin lezzjonijiet bikrija dwar il-politika fil-Mongolja?")</f>
        <v>Min għallem lil Temüjin lezzjonijiet bikrija dwar il-politika fil-Mongolja?</v>
      </c>
    </row>
    <row r="16976" ht="15.75" customHeight="1">
      <c r="A16976" s="2" t="s">
        <v>16976</v>
      </c>
      <c r="B16976" s="2" t="str">
        <f>IFERROR(__xludf.DUMMYFUNCTION("GOOGLETRANSLATE(A16976, ""en"", ""mt"")"),"Rotterdam")</f>
        <v>Rotterdam</v>
      </c>
    </row>
    <row r="16977" ht="15.75" customHeight="1">
      <c r="A16977" s="2" t="s">
        <v>16977</v>
      </c>
      <c r="B16977" s="2" t="str">
        <f>IFERROR(__xludf.DUMMYFUNCTION("GOOGLETRANSLATE(A16977, ""en"", ""mt"")"),"l-ogħla")</f>
        <v>l-ogħla</v>
      </c>
    </row>
    <row r="16978" ht="15.75" customHeight="1">
      <c r="A16978" s="2" t="s">
        <v>16978</v>
      </c>
      <c r="B16978" s="2" t="str">
        <f>IFERROR(__xludf.DUMMYFUNCTION("GOOGLETRANSLATE(A16978, ""en"", ""mt"")"),"Fejn CHP ma jintużax, it-turbini tal-fwar fl-istazzjonijiet tal-enerġija jużaw kondensaturi tal-wiċċ bħala sink kiesaħ. Il-kondensaturi huma mkessħa mill-fluss tal-ilma mill-oċeani, xmajjar, lagi, u ħafna drabi minn torrijiet li jkessħu li jevaporaw l-ilm"&amp;"a biex jipprovdu t-tneħħija tal-enerġija tat-tkessiħ. Il-ħruġ ta 'ilma sħun ikkondensat li jirriżulta mill-kondensatur imbagħad jerġa' jitpoġġa fil-bojler permezz ta 'pompa. Torri tat-tkessiħ tat-tip xott huwa simili għal radjatur tal-karozzi u jintuża f'"&amp;"postijiet fejn l-ilma jiswa ħafna. Torrijiet tat-tkessiħ evaporattivi (imxarrbin) jużaw is-sħana rifjutata biex jevaporaw l-ilma; Dan l-ilma jinżamm separat mill-kondensat, li jiċċirkola f'sistema magħluqa u jirritorna fil-bojler. Torrijiet bħal dawn spis"&amp;"s ikollhom plumi viżibbli minħabba l-ilma evaporat li jikkondensa fi qtar imwettaq mill-arja sħuna. Torrijiet tat-tkessiħ evaporattivi għandhom bżonn inqas fluss ta 'ilma minn tkessiħ ""darba"" minn ilma tax-xmara jew tal-lag; Impjant ta 'l-enerġija li ja"&amp;"ħdem bil-faħam ta' 700 megawatt jista 'juża madwar 3600 metru kubu ta' ilma tal-make-up kull siegħa għat-tkessiħ evaporattiv, iżda jkun jeħtieġ madwar għoxrin darba kemm jekk imkessaħ bl-ilma tax-xmara. [Ċitazzjoni meħtieġa]")</f>
        <v>Fejn CHP ma jintużax, it-turbini tal-fwar fl-istazzjonijiet tal-enerġija jużaw kondensaturi tal-wiċċ bħala sink kiesaħ. Il-kondensaturi huma mkessħa mill-fluss tal-ilma mill-oċeani, xmajjar, lagi, u ħafna drabi minn torrijiet li jkessħu li jevaporaw l-ilma biex jipprovdu t-tneħħija tal-enerġija tat-tkessiħ. Il-ħruġ ta 'ilma sħun ikkondensat li jirriżulta mill-kondensatur imbagħad jerġa' jitpoġġa fil-bojler permezz ta 'pompa. Torri tat-tkessiħ tat-tip xott huwa simili għal radjatur tal-karozzi u jintuża f'postijiet fejn l-ilma jiswa ħafna. Torrijiet tat-tkessiħ evaporattivi (imxarrbin) jużaw is-sħana rifjutata biex jevaporaw l-ilma; Dan l-ilma jinżamm separat mill-kondensat, li jiċċirkola f'sistema magħluqa u jirritorna fil-bojler. Torrijiet bħal dawn spiss ikollhom plumi viżibbli minħabba l-ilma evaporat li jikkondensa fi qtar imwettaq mill-arja sħuna. Torrijiet tat-tkessiħ evaporattivi għandhom bżonn inqas fluss ta 'ilma minn tkessiħ "darba" minn ilma tax-xmara jew tal-lag; Impjant ta 'l-enerġija li jaħdem bil-faħam ta' 700 megawatt jista 'juża madwar 3600 metru kubu ta' ilma tal-make-up kull siegħa għat-tkessiħ evaporattiv, iżda jkun jeħtieġ madwar għoxrin darba kemm jekk imkessaħ bl-ilma tax-xmara. [Ċitazzjoni meħtieġa]</v>
      </c>
    </row>
    <row r="16979" ht="15.75" customHeight="1">
      <c r="A16979" s="2" t="s">
        <v>16979</v>
      </c>
      <c r="B16979" s="2" t="str">
        <f>IFERROR(__xludf.DUMMYFUNCTION("GOOGLETRANSLATE(A16979, ""en"", ""mt"")"),"Louis Agassiz")</f>
        <v>Louis Agassiz</v>
      </c>
    </row>
    <row r="16980" ht="15.75" customHeight="1">
      <c r="A16980" s="2" t="s">
        <v>16980</v>
      </c>
      <c r="B16980" s="2" t="str">
        <f>IFERROR(__xludf.DUMMYFUNCTION("GOOGLETRANSLATE(A16980, ""en"", ""mt"")"),"Triq Griż")</f>
        <v>Triq Griż</v>
      </c>
    </row>
    <row r="16981" ht="15.75" customHeight="1">
      <c r="A16981" s="2" t="s">
        <v>16981</v>
      </c>
      <c r="B16981" s="2" t="str">
        <f>IFERROR(__xludf.DUMMYFUNCTION("GOOGLETRANSLATE(A16981, ""en"", ""mt"")"),"Fil-kodifikazzjoni ta 'oġġetti matematiċi, x'inhu l-mod li bih huma espressi b'mod komuni?")</f>
        <v>Fil-kodifikazzjoni ta 'oġġetti matematiċi, x'inhu l-mod li bih huma espressi b'mod komuni?</v>
      </c>
    </row>
    <row r="16982" ht="15.75" customHeight="1">
      <c r="A16982" s="2" t="s">
        <v>16982</v>
      </c>
      <c r="B16982" s="2" t="str">
        <f>IFERROR(__xludf.DUMMYFUNCTION("GOOGLETRANSLATE(A16982, ""en"", ""mt"")"),"Abercynon fin-nofsinhar ta 'Wales")</f>
        <v>Abercynon fin-nofsinhar ta 'Wales</v>
      </c>
    </row>
    <row r="16983" ht="15.75" customHeight="1">
      <c r="A16983" s="2" t="s">
        <v>16983</v>
      </c>
      <c r="B16983" s="2" t="str">
        <f>IFERROR(__xludf.DUMMYFUNCTION("GOOGLETRANSLATE(A16983, ""en"", ""mt"")"),"X'kienet imwettqa d-diżubbidjenza ċivili fis-sit tat-test?")</f>
        <v>X'kienet imwettqa d-diżubbidjenza ċivili fis-sit tat-test?</v>
      </c>
    </row>
    <row r="16984" ht="15.75" customHeight="1">
      <c r="A16984" s="2" t="s">
        <v>16984</v>
      </c>
      <c r="B16984" s="2" t="str">
        <f>IFERROR(__xludf.DUMMYFUNCTION("GOOGLETRANSLATE(A16984, ""en"", ""mt"")"),"1724")</f>
        <v>1724</v>
      </c>
    </row>
    <row r="16985" ht="15.75" customHeight="1">
      <c r="A16985" s="2" t="s">
        <v>16985</v>
      </c>
      <c r="B16985" s="2" t="str">
        <f>IFERROR(__xludf.DUMMYFUNCTION("GOOGLETRANSLATE(A16985, ""en"", ""mt"")"),"Meta kienet it-telfa ta 'Napoleonic France?")</f>
        <v>Meta kienet it-telfa ta 'Napoleonic France?</v>
      </c>
    </row>
    <row r="16986" ht="15.75" customHeight="1">
      <c r="A16986" s="2" t="s">
        <v>16986</v>
      </c>
      <c r="B16986" s="2" t="str">
        <f>IFERROR(__xludf.DUMMYFUNCTION("GOOGLETRANSLATE(A16986, ""en"", ""mt"")"),"Kif tissejjaħ is-sezzjoni tar-Rhine Gorge mill-UNESCO?")</f>
        <v>Kif tissejjaħ is-sezzjoni tar-Rhine Gorge mill-UNESCO?</v>
      </c>
    </row>
    <row r="16987" ht="15.75" customHeight="1">
      <c r="A16987" s="2" t="s">
        <v>16987</v>
      </c>
      <c r="B16987" s="2" t="str">
        <f>IFERROR(__xludf.DUMMYFUNCTION("GOOGLETRANSLATE(A16987, ""en"", ""mt"")"),"X'inhi l-applikazzjoni tan-numri ewlenin użati fit-teknoloġija tal-informazzjoni li tuża l-fatt li l-fattur ta 'numri ewlenin kbar ħafna huwa ta' sfida ħafna?")</f>
        <v>X'inhi l-applikazzjoni tan-numri ewlenin użati fit-teknoloġija tal-informazzjoni li tuża l-fatt li l-fattur ta 'numri ewlenin kbar ħafna huwa ta' sfida ħafna?</v>
      </c>
    </row>
    <row r="16988" ht="15.75" customHeight="1">
      <c r="A16988" s="2" t="s">
        <v>16988</v>
      </c>
      <c r="B16988" s="2" t="str">
        <f>IFERROR(__xludf.DUMMYFUNCTION("GOOGLETRANSLATE(A16988, ""en"", ""mt"")"),"Indjani ġġieldu fuq iż-żewġ naħat tal-kunflitt, u li dan kien parti mill-gwerra tas-seba 'snin")</f>
        <v>Indjani ġġieldu fuq iż-żewġ naħat tal-kunflitt, u li dan kien parti mill-gwerra tas-seba 'snin</v>
      </c>
    </row>
    <row r="16989" ht="15.75" customHeight="1">
      <c r="A16989" s="2" t="s">
        <v>16989</v>
      </c>
      <c r="B16989" s="2" t="str">
        <f>IFERROR(__xludf.DUMMYFUNCTION("GOOGLETRANSLATE(A16989, ""en"", ""mt"")"),"X'tip ta 'emendi jistgħu l-membri jopponu abbozz li jitpoġġa fuq il-mejda?")</f>
        <v>X'tip ta 'emendi jistgħu l-membri jopponu abbozz li jitpoġġa fuq il-mejda?</v>
      </c>
    </row>
    <row r="16990" ht="15.75" customHeight="1">
      <c r="A16990" s="2" t="s">
        <v>16990</v>
      </c>
      <c r="B16990" s="2" t="str">
        <f>IFERROR(__xludf.DUMMYFUNCTION("GOOGLETRANSLATE(A16990, ""en"", ""mt"")"),"Dewweb")</f>
        <v>Dewweb</v>
      </c>
    </row>
    <row r="16991" ht="15.75" customHeight="1">
      <c r="A16991" s="2" t="s">
        <v>16991</v>
      </c>
      <c r="B16991" s="2" t="str">
        <f>IFERROR(__xludf.DUMMYFUNCTION("GOOGLETRANSLATE(A16991, ""en"", ""mt"")"),"il-fluwidu tax-xogħol")</f>
        <v>il-fluwidu tax-xogħol</v>
      </c>
    </row>
    <row r="16992" ht="15.75" customHeight="1">
      <c r="A16992" s="2" t="s">
        <v>16992</v>
      </c>
      <c r="B16992" s="2" t="str">
        <f>IFERROR(__xludf.DUMMYFUNCTION("GOOGLETRANSLATE(A16992, ""en"", ""mt"")"),"il-milizja tagħhom stess")</f>
        <v>il-milizja tagħhom stess</v>
      </c>
    </row>
    <row r="16993" ht="15.75" customHeight="1">
      <c r="A16993" s="2" t="s">
        <v>16993</v>
      </c>
      <c r="B16993" s="2" t="str">
        <f>IFERROR(__xludf.DUMMYFUNCTION("GOOGLETRANSLATE(A16993, ""en"", ""mt"")"),"It-terminu imperjalizmu ġie applikat għall-pajjiżi tal-Punent, u liema kontea tal-Lvant?")</f>
        <v>It-terminu imperjalizmu ġie applikat għall-pajjiżi tal-Punent, u liema kontea tal-Lvant?</v>
      </c>
    </row>
    <row r="16994" ht="15.75" customHeight="1">
      <c r="A16994" s="2" t="s">
        <v>16994</v>
      </c>
      <c r="B16994" s="2" t="str">
        <f>IFERROR(__xludf.DUMMYFUNCTION("GOOGLETRANSLATE(A16994, ""en"", ""mt"")"),"X'kienet l-entità li daħlet u kkawżat lil Miami's Sun Life Stadium biex ma tibqax tkun fit-tmexxija biex tospita Super Bowl 50?")</f>
        <v>X'kienet l-entità li daħlet u kkawżat lil Miami's Sun Life Stadium biex ma tibqax tkun fit-tmexxija biex tospita Super Bowl 50?</v>
      </c>
    </row>
    <row r="16995" ht="15.75" customHeight="1">
      <c r="A16995" s="2" t="s">
        <v>16995</v>
      </c>
      <c r="B16995" s="2" t="str">
        <f>IFERROR(__xludf.DUMMYFUNCTION("GOOGLETRANSLATE(A16995, ""en"", ""mt"")"),"Kemm dehriet li għamlu d-Denver Broncos fis-Super Bowl?")</f>
        <v>Kemm dehriet li għamlu d-Denver Broncos fis-Super Bowl?</v>
      </c>
    </row>
    <row r="16996" ht="15.75" customHeight="1">
      <c r="A16996" s="2" t="s">
        <v>16996</v>
      </c>
      <c r="B16996" s="2" t="str">
        <f>IFERROR(__xludf.DUMMYFUNCTION("GOOGLETRANSLATE(A16996, ""en"", ""mt"")"),"kemm Ingliżi kif ukoll Ewropej")</f>
        <v>kemm Ingliżi kif ukoll Ewropej</v>
      </c>
    </row>
    <row r="16997" ht="15.75" customHeight="1">
      <c r="A16997" s="2" t="s">
        <v>16997</v>
      </c>
      <c r="B16997" s="2" t="str">
        <f>IFERROR(__xludf.DUMMYFUNCTION("GOOGLETRANSLATE(A16997, ""en"", ""mt"")"),"dipendenti fuq kemm hu qawwi")</f>
        <v>dipendenti fuq kemm hu qawwi</v>
      </c>
    </row>
    <row r="16998" ht="15.75" customHeight="1">
      <c r="A16998" s="2" t="s">
        <v>16998</v>
      </c>
      <c r="B16998" s="2" t="str">
        <f>IFERROR(__xludf.DUMMYFUNCTION("GOOGLETRANSLATE(A16998, ""en"", ""mt"")"),"Fejn kien joqgħod l-ispiżjar fir-rigward tat-tobba personali tal-Imperatur?")</f>
        <v>Fejn kien joqgħod l-ispiżjar fir-rigward tat-tobba personali tal-Imperatur?</v>
      </c>
    </row>
    <row r="16999" ht="15.75" customHeight="1">
      <c r="A16999" s="2" t="s">
        <v>16999</v>
      </c>
      <c r="B16999" s="2" t="str">
        <f>IFERROR(__xludf.DUMMYFUNCTION("GOOGLETRANSLATE(A16999, ""en"", ""mt"")"),"Qasir")</f>
        <v>Qasir</v>
      </c>
    </row>
    <row r="17000" ht="15.75" customHeight="1">
      <c r="A17000" s="2" t="s">
        <v>17000</v>
      </c>
      <c r="B17000" s="2" t="str">
        <f>IFERROR(__xludf.DUMMYFUNCTION("GOOGLETRANSLATE(A17000, ""en"", ""mt"")"),"Graz, l-Awstrija")</f>
        <v>Graz, l-Awstrija</v>
      </c>
    </row>
    <row r="17001" ht="15.75" customHeight="1">
      <c r="A17001" s="2" t="s">
        <v>17001</v>
      </c>
      <c r="B17001" s="2" t="str">
        <f>IFERROR(__xludf.DUMMYFUNCTION("GOOGLETRANSLATE(A17001, ""en"", ""mt"")"),"Sitta")</f>
        <v>Sitta</v>
      </c>
    </row>
    <row r="17002" ht="15.75" customHeight="1">
      <c r="A17002" s="2" t="s">
        <v>17002</v>
      </c>
      <c r="B17002" s="2" t="str">
        <f>IFERROR(__xludf.DUMMYFUNCTION("GOOGLETRANSLATE(A17002, ""en"", ""mt"")"),"żewġ rookies")</f>
        <v>żewġ rookies</v>
      </c>
    </row>
    <row r="17003" ht="15.75" customHeight="1">
      <c r="A17003" s="2" t="s">
        <v>17003</v>
      </c>
      <c r="B17003" s="2" t="str">
        <f>IFERROR(__xludf.DUMMYFUNCTION("GOOGLETRANSLATE(A17003, ""en"", ""mt"")"),"Liema kumpanija ġiet magħżula biex tibni sistema ta 'ġenerazzjoni ta' AC b'żewġ fażijiet f'Niagara Falls?")</f>
        <v>Liema kumpanija ġiet magħżula biex tibni sistema ta 'ġenerazzjoni ta' AC b'żewġ fażijiet f'Niagara Falls?</v>
      </c>
    </row>
    <row r="17004" ht="15.75" customHeight="1">
      <c r="A17004" s="2" t="s">
        <v>17004</v>
      </c>
      <c r="B17004" s="2" t="str">
        <f>IFERROR(__xludf.DUMMYFUNCTION("GOOGLETRANSLATE(A17004, ""en"", ""mt"")"),"l-endosymbiont primarju")</f>
        <v>l-endosymbiont primarju</v>
      </c>
    </row>
    <row r="17005" ht="15.75" customHeight="1">
      <c r="A17005" s="2" t="s">
        <v>17005</v>
      </c>
      <c r="B17005" s="2" t="str">
        <f>IFERROR(__xludf.DUMMYFUNCTION("GOOGLETRANSLATE(A17005, ""en"", ""mt"")"),"iżommu l-kuluri oriġinali tagħhom")</f>
        <v>iżommu l-kuluri oriġinali tagħhom</v>
      </c>
    </row>
    <row r="17006" ht="15.75" customHeight="1">
      <c r="A17006" s="2" t="s">
        <v>17006</v>
      </c>
      <c r="B17006" s="2" t="str">
        <f>IFERROR(__xludf.DUMMYFUNCTION("GOOGLETRANSLATE(A17006, ""en"", ""mt"")"),"mibjugħa sentejn wara")</f>
        <v>mibjugħa sentejn wara</v>
      </c>
    </row>
    <row r="17007" ht="15.75" customHeight="1">
      <c r="A17007" s="2" t="s">
        <v>17007</v>
      </c>
      <c r="B17007" s="2" t="str">
        <f>IFERROR(__xludf.DUMMYFUNCTION("GOOGLETRANSLATE(A17007, ""en"", ""mt"")"),"inklużjonijiet")</f>
        <v>inklużjonijiet</v>
      </c>
    </row>
    <row r="17008" ht="15.75" customHeight="1">
      <c r="A17008" s="2" t="s">
        <v>17008</v>
      </c>
      <c r="B17008" s="2" t="str">
        <f>IFERROR(__xludf.DUMMYFUNCTION("GOOGLETRANSLATE(A17008, ""en"", ""mt"")"),"jogħla fil-livelli tal-baħar")</f>
        <v>jogħla fil-livelli tal-baħar</v>
      </c>
    </row>
    <row r="17009" ht="15.75" customHeight="1">
      <c r="A17009" s="2" t="s">
        <v>17009</v>
      </c>
      <c r="B17009" s="2" t="str">
        <f>IFERROR(__xludf.DUMMYFUNCTION("GOOGLETRANSLATE(A17009, ""en"", ""mt"")"),"Liġi Amministrattiva")</f>
        <v>Liġi Amministrattiva</v>
      </c>
    </row>
    <row r="17010" ht="15.75" customHeight="1">
      <c r="A17010" s="2" t="s">
        <v>17010</v>
      </c>
      <c r="B17010" s="2" t="str">
        <f>IFERROR(__xludf.DUMMYFUNCTION("GOOGLETRANSLATE(A17010, ""en"", ""mt"")"),"Xmara San Ġwann")</f>
        <v>Xmara San Ġwann</v>
      </c>
    </row>
    <row r="17011" ht="15.75" customHeight="1">
      <c r="A17011" s="2" t="s">
        <v>17011</v>
      </c>
      <c r="B17011" s="2" t="str">
        <f>IFERROR(__xludf.DUMMYFUNCTION("GOOGLETRANSLATE(A17011, ""en"", ""mt"")"),"Cobb Lecture Hall")</f>
        <v>Cobb Lecture Hall</v>
      </c>
    </row>
    <row r="17012" ht="15.75" customHeight="1">
      <c r="A17012" s="2" t="s">
        <v>17012</v>
      </c>
      <c r="B17012" s="2" t="str">
        <f>IFERROR(__xludf.DUMMYFUNCTION("GOOGLETRANSLATE(A17012, ""en"", ""mt"")"),"Il-klassifikazzjoni industrijali standard u s-sistema l-aktar ġdida ta 'klassifikazzjoni tal-industrija tal-Amerika ta' Fuq")</f>
        <v>Il-klassifikazzjoni industrijali standard u s-sistema l-aktar ġdida ta 'klassifikazzjoni tal-industrija tal-Amerika ta' Fuq</v>
      </c>
    </row>
    <row r="17013" ht="15.75" customHeight="1">
      <c r="A17013" s="2" t="s">
        <v>17013</v>
      </c>
      <c r="B17013" s="2" t="str">
        <f>IFERROR(__xludf.DUMMYFUNCTION("GOOGLETRANSLATE(A17013, ""en"", ""mt"")"),"Art u għamara")</f>
        <v>Art u għamara</v>
      </c>
    </row>
    <row r="17014" ht="15.75" customHeight="1">
      <c r="A17014" s="2" t="s">
        <v>17014</v>
      </c>
      <c r="B17014" s="2" t="str">
        <f>IFERROR(__xludf.DUMMYFUNCTION("GOOGLETRANSLATE(A17014, ""en"", ""mt"")"),"transformer")</f>
        <v>transformer</v>
      </c>
    </row>
    <row r="17015" ht="15.75" customHeight="1">
      <c r="A17015" s="2" t="s">
        <v>17015</v>
      </c>
      <c r="B17015" s="2" t="str">
        <f>IFERROR(__xludf.DUMMYFUNCTION("GOOGLETRANSLATE(A17015, ""en"", ""mt"")"),"Kumpanija Olandiża tal-Indja tal-Lvant")</f>
        <v>Kumpanija Olandiża tal-Indja tal-Lvant</v>
      </c>
    </row>
    <row r="17016" ht="15.75" customHeight="1">
      <c r="A17016" s="2" t="s">
        <v>17016</v>
      </c>
      <c r="B17016" s="2" t="str">
        <f>IFERROR(__xludf.DUMMYFUNCTION("GOOGLETRANSLATE(A17016, ""en"", ""mt"")"),"Uħud mid-dħul ingħata fil-forma ta 'għajnuna lil nazzjonijiet oħra sottożviluppati li l-ekonomiji tagħhom kienu nqabdu bejn prezzijiet ogħla taż-żejt u prezzijiet aktar baxxi għall-prodotti ta' esportazzjoni tagħhom stess, fost it-tnaqqis tad-domanda tal-"&amp;"Punent. Ħafna marru għax-xiri tal-armi li jkabbru t-tensjonijiet politiċi, partikolarment fil-Lvant Nofsani. L-Arabja Sawdita nefqet aktar minn 100 biljun dollaru fid-deċennji li ġejjin biex tgħin ixerred l-interpretazzjoni fundamentalista tagħha tal-Iżla"&amp;"m, magħrufa bħala Wahhabism, madwar id-dinja, permezz ta ’karitajiet reliġjużi bħal fondazzjoni al-Haramain, li ħafna drabi tqassmu wkoll fondi lil gruppi estremisti vjolenti Sunni bħal al bħal al -Qaeda u t-Taliban.")</f>
        <v>Uħud mid-dħul ingħata fil-forma ta 'għajnuna lil nazzjonijiet oħra sottożviluppati li l-ekonomiji tagħhom kienu nqabdu bejn prezzijiet ogħla taż-żejt u prezzijiet aktar baxxi għall-prodotti ta' esportazzjoni tagħhom stess, fost it-tnaqqis tad-domanda tal-Punent. Ħafna marru għax-xiri tal-armi li jkabbru t-tensjonijiet politiċi, partikolarment fil-Lvant Nofsani. L-Arabja Sawdita nefqet aktar minn 100 biljun dollaru fid-deċennji li ġejjin biex tgħin ixerred l-interpretazzjoni fundamentalista tagħha tal-Iżlam, magħrufa bħala Wahhabism, madwar id-dinja, permezz ta ’karitajiet reliġjużi bħal fondazzjoni al-Haramain, li ħafna drabi tqassmu wkoll fondi lil gruppi estremisti vjolenti Sunni bħal al bħal al -Qaeda u t-Taliban.</v>
      </c>
    </row>
    <row r="17017" ht="15.75" customHeight="1">
      <c r="A17017" s="2" t="s">
        <v>17017</v>
      </c>
      <c r="B17017" s="2" t="str">
        <f>IFERROR(__xludf.DUMMYFUNCTION("GOOGLETRANSLATE(A17017, ""en"", ""mt"")"),"Min kien mikri biex jipproduċi l-identità tal-ABC 2001-02?")</f>
        <v>Min kien mikri biex jipproduċi l-identità tal-ABC 2001-02?</v>
      </c>
    </row>
    <row r="17018" ht="15.75" customHeight="1">
      <c r="A17018" s="2" t="s">
        <v>17018</v>
      </c>
      <c r="B17018" s="2" t="str">
        <f>IFERROR(__xludf.DUMMYFUNCTION("GOOGLETRANSLATE(A17018, ""en"", ""mt"")"),"X'tip ta 'proporzjonijiet jintużaw fi studji ġeokronoloġiċi u termokronoloġiċi?")</f>
        <v>X'tip ta 'proporzjonijiet jintużaw fi studji ġeokronoloġiċi u termokronoloġiċi?</v>
      </c>
    </row>
    <row r="17019" ht="15.75" customHeight="1">
      <c r="A17019" s="2" t="s">
        <v>17019</v>
      </c>
      <c r="B17019" s="2" t="str">
        <f>IFERROR(__xludf.DUMMYFUNCTION("GOOGLETRANSLATE(A17019, ""en"", ""mt"")"),"X'inhi kritika tal-ispiżeriji onlajn li joħorġu drogi mingħajr riċetta?")</f>
        <v>X'inhi kritika tal-ispiżeriji onlajn li joħorġu drogi mingħajr riċetta?</v>
      </c>
    </row>
    <row r="17020" ht="15.75" customHeight="1">
      <c r="A17020" s="2" t="s">
        <v>17020</v>
      </c>
      <c r="B17020" s="2" t="str">
        <f>IFERROR(__xludf.DUMMYFUNCTION("GOOGLETRANSLATE(A17020, ""en"", ""mt"")"),"l-Istati Uniti")</f>
        <v>l-Istati Uniti</v>
      </c>
    </row>
    <row r="17021" ht="15.75" customHeight="1">
      <c r="A17021" s="2" t="s">
        <v>17021</v>
      </c>
      <c r="B17021" s="2" t="str">
        <f>IFERROR(__xludf.DUMMYFUNCTION("GOOGLETRANSLATE(A17021, ""en"", ""mt"")"),"Tkabbir tas-siġar")</f>
        <v>Tkabbir tas-siġar</v>
      </c>
    </row>
    <row r="17022" ht="15.75" customHeight="1">
      <c r="A17022" s="2" t="s">
        <v>17022</v>
      </c>
      <c r="B17022" s="2" t="str">
        <f>IFERROR(__xludf.DUMMYFUNCTION("GOOGLETRANSLATE(A17022, ""en"", ""mt"")"),"Kemm hemm residenti l-akbar żona metropolitana?")</f>
        <v>Kemm hemm residenti l-akbar żona metropolitana?</v>
      </c>
    </row>
    <row r="17023" ht="15.75" customHeight="1">
      <c r="A17023" s="2" t="s">
        <v>17023</v>
      </c>
      <c r="B17023" s="2" t="str">
        <f>IFERROR(__xludf.DUMMYFUNCTION("GOOGLETRANSLATE(A17023, ""en"", ""mt"")"),"Cambaluc")</f>
        <v>Cambaluc</v>
      </c>
    </row>
    <row r="17024" ht="15.75" customHeight="1">
      <c r="A17024" s="2" t="s">
        <v>17024</v>
      </c>
      <c r="B17024" s="2" t="str">
        <f>IFERROR(__xludf.DUMMYFUNCTION("GOOGLETRANSLATE(A17024, ""en"", ""mt"")"),"L-ikbar antisemit ta 'żmienu")</f>
        <v>L-ikbar antisemit ta 'żmienu</v>
      </c>
    </row>
    <row r="17025" ht="15.75" customHeight="1">
      <c r="A17025" s="2" t="s">
        <v>17025</v>
      </c>
      <c r="B17025" s="2" t="str">
        <f>IFERROR(__xludf.DUMMYFUNCTION("GOOGLETRANSLATE(A17025, ""en"", ""mt"")"),"darbtejn fis-sena")</f>
        <v>darbtejn fis-sena</v>
      </c>
    </row>
    <row r="17026" ht="15.75" customHeight="1">
      <c r="A17026" s="2" t="s">
        <v>17026</v>
      </c>
      <c r="B17026" s="2" t="str">
        <f>IFERROR(__xludf.DUMMYFUNCTION("GOOGLETRANSLATE(A17026, ""en"", ""mt"")"),"In-naħa tal-Lbiċ 'il bogħod ta' Fresno")</f>
        <v>In-naħa tal-Lbiċ 'il bogħod ta' Fresno</v>
      </c>
    </row>
    <row r="17027" ht="15.75" customHeight="1">
      <c r="A17027" s="2" t="s">
        <v>17027</v>
      </c>
      <c r="B17027" s="2" t="str">
        <f>IFERROR(__xludf.DUMMYFUNCTION("GOOGLETRANSLATE(A17027, ""en"", ""mt"")"),"sanzjoni għall-qtil")</f>
        <v>sanzjoni għall-qtil</v>
      </c>
    </row>
    <row r="17028" ht="15.75" customHeight="1">
      <c r="A17028" s="2" t="s">
        <v>17028</v>
      </c>
      <c r="B17028" s="2" t="str">
        <f>IFERROR(__xludf.DUMMYFUNCTION("GOOGLETRANSLATE(A17028, ""en"", ""mt"")"),"1524")</f>
        <v>1524</v>
      </c>
    </row>
    <row r="17029" ht="15.75" customHeight="1">
      <c r="A17029" s="2" t="s">
        <v>17029</v>
      </c>
      <c r="B17029" s="2" t="str">
        <f>IFERROR(__xludf.DUMMYFUNCTION("GOOGLETRANSLATE(A17029, ""en"", ""mt"")"),"Southern California")</f>
        <v>Southern California</v>
      </c>
    </row>
    <row r="17030" ht="15.75" customHeight="1">
      <c r="A17030" s="2" t="s">
        <v>17030</v>
      </c>
      <c r="B17030" s="2" t="str">
        <f>IFERROR(__xludf.DUMMYFUNCTION("GOOGLETRANSLATE(A17030, ""en"", ""mt"")"),"Il-Liġijiet tal-Fiżika")</f>
        <v>Il-Liġijiet tal-Fiżika</v>
      </c>
    </row>
    <row r="17031" ht="15.75" customHeight="1">
      <c r="A17031" s="2" t="s">
        <v>17031</v>
      </c>
      <c r="B17031" s="2" t="str">
        <f>IFERROR(__xludf.DUMMYFUNCTION("GOOGLETRANSLATE(A17031, ""en"", ""mt"")"),"28 jum")</f>
        <v>28 jum</v>
      </c>
    </row>
    <row r="17032" ht="15.75" customHeight="1">
      <c r="A17032" s="2" t="s">
        <v>17032</v>
      </c>
      <c r="B17032" s="2" t="str">
        <f>IFERROR(__xludf.DUMMYFUNCTION("GOOGLETRANSLATE(A17032, ""en"", ""mt"")"),"Bargain tal-motiv")</f>
        <v>Bargain tal-motiv</v>
      </c>
    </row>
    <row r="17033" ht="15.75" customHeight="1">
      <c r="A17033" s="2" t="s">
        <v>17033</v>
      </c>
      <c r="B17033" s="2" t="str">
        <f>IFERROR(__xludf.DUMMYFUNCTION("GOOGLETRANSLATE(A17033, ""en"", ""mt"")"),"Subutai u Jebe")</f>
        <v>Subutai u Jebe</v>
      </c>
    </row>
    <row r="17034" ht="15.75" customHeight="1">
      <c r="A17034" s="2" t="s">
        <v>17034</v>
      </c>
      <c r="B17034" s="2" t="str">
        <f>IFERROR(__xludf.DUMMYFUNCTION("GOOGLETRANSLATE(A17034, ""en"", ""mt"")"),"Leonhard Euler")</f>
        <v>Leonhard Euler</v>
      </c>
    </row>
    <row r="17035" ht="15.75" customHeight="1">
      <c r="A17035" s="2" t="s">
        <v>17035</v>
      </c>
      <c r="B17035" s="2" t="str">
        <f>IFERROR(__xludf.DUMMYFUNCTION("GOOGLETRANSLATE(A17035, ""en"", ""mt"")"),"negozjati multilaterali")</f>
        <v>negozjati multilaterali</v>
      </c>
    </row>
    <row r="17036" ht="15.75" customHeight="1">
      <c r="A17036" s="2" t="s">
        <v>17036</v>
      </c>
      <c r="B17036" s="2" t="str">
        <f>IFERROR(__xludf.DUMMYFUNCTION("GOOGLETRANSLATE(A17036, ""en"", ""mt"")"),"Genghis_khan")</f>
        <v>Genghis_khan</v>
      </c>
    </row>
    <row r="17037" ht="15.75" customHeight="1">
      <c r="A17037" s="2" t="s">
        <v>17037</v>
      </c>
      <c r="B17037" s="2" t="str">
        <f>IFERROR(__xludf.DUMMYFUNCTION("GOOGLETRANSLATE(A17037, ""en"", ""mt"")"),"X'tip ta 'distribuzzjoni ewlenija hija kkaratterizzata dwar x / log x ta' numri inqas minn x?")</f>
        <v>X'tip ta 'distribuzzjoni ewlenija hija kkaratterizzata dwar x / log x ta' numri inqas minn x?</v>
      </c>
    </row>
    <row r="17038" ht="15.75" customHeight="1">
      <c r="A17038" s="2" t="s">
        <v>17038</v>
      </c>
      <c r="B17038" s="2" t="str">
        <f>IFERROR(__xludf.DUMMYFUNCTION("GOOGLETRANSLATE(A17038, ""en"", ""mt"")"),"kien wiegħed")</f>
        <v>kien wiegħed</v>
      </c>
    </row>
    <row r="17039" ht="15.75" customHeight="1">
      <c r="A17039" s="2" t="s">
        <v>17039</v>
      </c>
      <c r="B17039" s="2" t="str">
        <f>IFERROR(__xludf.DUMMYFUNCTION("GOOGLETRANSLATE(A17039, ""en"", ""mt"")"),"1784")</f>
        <v>1784</v>
      </c>
    </row>
    <row r="17040" ht="15.75" customHeight="1">
      <c r="A17040" s="2" t="s">
        <v>17040</v>
      </c>
      <c r="B17040" s="2" t="str">
        <f>IFERROR(__xludf.DUMMYFUNCTION("GOOGLETRANSLATE(A17040, ""en"", ""mt"")"),"8000")</f>
        <v>8000</v>
      </c>
    </row>
    <row r="17041" ht="15.75" customHeight="1">
      <c r="A17041" s="2" t="s">
        <v>17041</v>
      </c>
      <c r="B17041" s="2" t="str">
        <f>IFERROR(__xludf.DUMMYFUNCTION("GOOGLETRANSLATE(A17041, ""en"", ""mt"")"),"In-newtrofili u l-makrofaġi huma fagoċiti li jivvjaġġaw mal-ġisem kollu fit-tfittxija ta 'patoġeni li jinvadu. In-newtrofili normalment jinstabu fin-nixxiegħa tad-demm u huma l-iktar tip abbundanti ta 'fagoċiti, li normalment jirrappreżentaw 50% sa 60% ta"&amp;"l-lewkoċiti totali li jiċċirkolaw. Matul il-fażi akuta ta 'infjammazzjoni, partikolarment bħala riżultat ta' infezzjoni batterika, in-newtrofili jemigraw lejn is-sit ta 'infjammazzjoni fi proċess imsejjaħ chemotaxis, u ġeneralment huma l-ewwel ċelloli li "&amp;"jaslu fix-xena ta' infezzjoni. Il-makrofaġi huma ċelloli versatili li joqogħdu fit-tessuti u jipproduċu firxa wiesgħa ta 'kimiċi inklużi enzimi, proteini li jikkumplimentaw, u fatturi regolatorji bħal interleukin 1. Il-makrofaġi jaġixxu wkoll bħala kennie"&amp;"sa, jeħilsu l-ġisem ta' ċelloli li jintlibsu u debris ieħor, u bħala antigen, u bħala antigen Iċ-ċelloli li jippreżentaw li jattivaw is-sistema immuni adatta.")</f>
        <v>In-newtrofili u l-makrofaġi huma fagoċiti li jivvjaġġaw mal-ġisem kollu fit-tfittxija ta 'patoġeni li jinvadu. In-newtrofili normalment jinstabu fin-nixxiegħa tad-demm u huma l-iktar tip abbundanti ta 'fagoċiti, li normalment jirrappreżentaw 50% sa 60% tal-lewkoċiti totali li jiċċirkolaw. Matul il-fażi akuta ta 'infjammazzjoni, partikolarment bħala riżultat ta' infezzjoni batterika, in-newtrofili jemigraw lejn is-sit ta 'infjammazzjoni fi proċess imsejjaħ chemotaxis, u ġeneralment huma l-ewwel ċelloli li jaslu fix-xena ta' infezzjoni. Il-makrofaġi huma ċelloli versatili li joqogħdu fit-tessuti u jipproduċu firxa wiesgħa ta 'kimiċi inklużi enzimi, proteini li jikkumplimentaw, u fatturi regolatorji bħal interleukin 1. Il-makrofaġi jaġixxu wkoll bħala kenniesa, jeħilsu l-ġisem ta' ċelloli li jintlibsu u debris ieħor, u bħala antigen, u bħala antigen Iċ-ċelloli li jippreżentaw li jattivaw is-sistema immuni adatta.</v>
      </c>
    </row>
    <row r="17042" ht="15.75" customHeight="1">
      <c r="A17042" s="2" t="s">
        <v>17042</v>
      </c>
      <c r="B17042" s="2" t="str">
        <f>IFERROR(__xludf.DUMMYFUNCTION("GOOGLETRANSLATE(A17042, ""en"", ""mt"")"),"Torri tal-Ilma")</f>
        <v>Torri tal-Ilma</v>
      </c>
    </row>
    <row r="17043" ht="15.75" customHeight="1">
      <c r="A17043" s="2" t="s">
        <v>17043</v>
      </c>
      <c r="B17043" s="2" t="str">
        <f>IFERROR(__xludf.DUMMYFUNCTION("GOOGLETRANSLATE(A17043, ""en"", ""mt"")"),"Kampanji fuq il-Lag Ontario, u pperikola l-Garrison Oswego")</f>
        <v>Kampanji fuq il-Lag Ontario, u pperikola l-Garrison Oswego</v>
      </c>
    </row>
    <row r="17044" ht="15.75" customHeight="1">
      <c r="A17044" s="2" t="s">
        <v>17044</v>
      </c>
      <c r="B17044" s="2" t="str">
        <f>IFERROR(__xludf.DUMMYFUNCTION("GOOGLETRANSLATE(A17044, ""en"", ""mt"")"),"70,000")</f>
        <v>70,000</v>
      </c>
    </row>
    <row r="17045" ht="15.75" customHeight="1">
      <c r="A17045" s="2" t="s">
        <v>17045</v>
      </c>
      <c r="B17045" s="2" t="str">
        <f>IFERROR(__xludf.DUMMYFUNCTION("GOOGLETRANSLATE(A17045, ""en"", ""mt"")"),"Effetti marbuta mal-inugwaljanza")</f>
        <v>Effetti marbuta mal-inugwaljanza</v>
      </c>
    </row>
    <row r="17046" ht="15.75" customHeight="1">
      <c r="A17046" s="2" t="s">
        <v>17046</v>
      </c>
      <c r="B17046" s="2" t="str">
        <f>IFERROR(__xludf.DUMMYFUNCTION("GOOGLETRANSLATE(A17046, ""en"", ""mt"")"),"B'liema isem ieħor kien magħruf il-bieb?")</f>
        <v>B'liema isem ieħor kien magħruf il-bieb?</v>
      </c>
    </row>
    <row r="17047" ht="15.75" customHeight="1">
      <c r="A17047" s="2" t="s">
        <v>17047</v>
      </c>
      <c r="B17047" s="2" t="str">
        <f>IFERROR(__xludf.DUMMYFUNCTION("GOOGLETRANSLATE(A17047, ""en"", ""mt"")"),"X'tip ta 'xjenzi kienu d-darwiniżmu soċjali u t-teoriji tar-razza?")</f>
        <v>X'tip ta 'xjenzi kienu d-darwiniżmu soċjali u t-teoriji tar-razza?</v>
      </c>
    </row>
    <row r="17048" ht="15.75" customHeight="1">
      <c r="A17048" s="2" t="s">
        <v>17048</v>
      </c>
      <c r="B17048" s="2" t="str">
        <f>IFERROR(__xludf.DUMMYFUNCTION("GOOGLETRANSLATE(A17048, ""en"", ""mt"")"),"Filwaqt li l-produzzjoni interna kienet waqfet, il-BBC jittama li jsib kumpanija tal-produzzjoni indipendenti biex terġa 'tibda l-ispettaklu. Philip Segal, espatrijat Ingliż li ħadem għad-driegħ televiżiv ta 'Columbia Pictures fl-Istati Uniti, kien avviċi"&amp;"na l-BBC dwar tali impriża sa Lulju 1989, filwaqt li s-26 serje kienet għadha fil-produzzjoni. In-negozjati ta 'Segal eventwalment wasslu għal film tat-televiżjoni Doctor Who, imxandar fuq in-Netwerk Fox fl-1996 bħala koproduzzjoni bejn Fox, Universal Pic"&amp;"tures, il-BBC u l-BBC Worldwide. Għalkemm il-film kien suċċess fir-Renju Unit (b'9.1 miljun telespettatur), kien inqas fl-Istati Uniti u ma wassalx għal serje.")</f>
        <v>Filwaqt li l-produzzjoni interna kienet waqfet, il-BBC jittama li jsib kumpanija tal-produzzjoni indipendenti biex terġa 'tibda l-ispettaklu. Philip Segal, espatrijat Ingliż li ħadem għad-driegħ televiżiv ta 'Columbia Pictures fl-Istati Uniti, kien avviċina l-BBC dwar tali impriża sa Lulju 1989, filwaqt li s-26 serje kienet għadha fil-produzzjoni. In-negozjati ta 'Segal eventwalment wasslu għal film tat-televiżjoni Doctor Who, imxandar fuq in-Netwerk Fox fl-1996 bħala koproduzzjoni bejn Fox, Universal Pictures, il-BBC u l-BBC Worldwide. Għalkemm il-film kien suċċess fir-Renju Unit (b'9.1 miljun telespettatur), kien inqas fl-Istati Uniti u ma wassalx għal serje.</v>
      </c>
    </row>
    <row r="17049" ht="15.75" customHeight="1">
      <c r="A17049" s="2" t="s">
        <v>17049</v>
      </c>
      <c r="B17049" s="2" t="str">
        <f>IFERROR(__xludf.DUMMYFUNCTION("GOOGLETRANSLATE(A17049, ""en"", ""mt"")"),"Liema ""teorija dinamika"" Tesla qalet li spiċċa fl-1937?")</f>
        <v>Liema "teorija dinamika" Tesla qalet li spiċċa fl-1937?</v>
      </c>
    </row>
    <row r="17050" ht="15.75" customHeight="1">
      <c r="A17050" s="2" t="s">
        <v>17050</v>
      </c>
      <c r="B17050" s="2" t="str">
        <f>IFERROR(__xludf.DUMMYFUNCTION("GOOGLETRANSLATE(A17050, ""en"", ""mt"")"),"Ġimgħa")</f>
        <v>Ġimgħa</v>
      </c>
    </row>
    <row r="17051" ht="15.75" customHeight="1">
      <c r="A17051" s="2" t="s">
        <v>17051</v>
      </c>
      <c r="B17051" s="2" t="str">
        <f>IFERROR(__xludf.DUMMYFUNCTION("GOOGLETRANSLATE(A17051, ""en"", ""mt"")"),"Ix-Xmara San Ġwann")</f>
        <v>Ix-Xmara San Ġwann</v>
      </c>
    </row>
    <row r="17052" ht="15.75" customHeight="1">
      <c r="A17052" s="2" t="s">
        <v>17052</v>
      </c>
      <c r="B17052" s="2" t="str">
        <f>IFERROR(__xludf.DUMMYFUNCTION("GOOGLETRANSLATE(A17052, ""en"", ""mt"")"),"ta 'benefiċċju")</f>
        <v>ta 'benefiċċju</v>
      </c>
    </row>
    <row r="17053" ht="15.75" customHeight="1">
      <c r="A17053" s="2" t="s">
        <v>17053</v>
      </c>
      <c r="B17053" s="2" t="str">
        <f>IFERROR(__xludf.DUMMYFUNCTION("GOOGLETRANSLATE(A17053, ""en"", ""mt"")"),"Il-kollezzjoni tal-fidda u tad-deheb tal-V &amp; A hija maqsuma f'liema kategoriji?")</f>
        <v>Il-kollezzjoni tal-fidda u tad-deheb tal-V &amp; A hija maqsuma f'liema kategoriji?</v>
      </c>
    </row>
    <row r="17054" ht="15.75" customHeight="1">
      <c r="A17054" s="2" t="s">
        <v>17054</v>
      </c>
      <c r="B17054" s="2" t="str">
        <f>IFERROR(__xludf.DUMMYFUNCTION("GOOGLETRANSLATE(A17054, ""en"", ""mt"")"),"Meta l-FCC approva x-xiri ta 'ABC ta' UPT?")</f>
        <v>Meta l-FCC approva x-xiri ta 'ABC ta' UPT?</v>
      </c>
    </row>
    <row r="17055" ht="15.75" customHeight="1">
      <c r="A17055" s="2" t="s">
        <v>17055</v>
      </c>
      <c r="B17055" s="2" t="str">
        <f>IFERROR(__xludf.DUMMYFUNCTION("GOOGLETRANSLATE(A17055, ""en"", ""mt"")"),"It-tliet drives li ġejjin")</f>
        <v>It-tliet drives li ġejjin</v>
      </c>
    </row>
    <row r="17056" ht="15.75" customHeight="1">
      <c r="A17056" s="2" t="s">
        <v>17056</v>
      </c>
      <c r="B17056" s="2" t="str">
        <f>IFERROR(__xludf.DUMMYFUNCTION("GOOGLETRANSLATE(A17056, ""en"", ""mt"")"),"L-Arċisqof Albrecht ta ’Mainz u Magdeburg ma weġibx għall-ittra ta’ Luther li fiha l-95 teżi. Huwa kellu t-teżijiet ikkontrollati għall-ereżija u f'Diċembru 1517 bagħathom lil Ruma. Huwa kellu bżonn id-dħul mill-indulġenzi biex iħallas dispensa papali għa"&amp;"ll-mandat tiegħu ta 'aktar minn isqof. Kif innota Luther aktar tard, ""il-Papa kellu wkoll subgħajh fit-torta, għax nofs kien imur fil-bini tal-knisja ta 'San Pietru f'Ruma"".")</f>
        <v>L-Arċisqof Albrecht ta ’Mainz u Magdeburg ma weġibx għall-ittra ta’ Luther li fiha l-95 teżi. Huwa kellu t-teżijiet ikkontrollati għall-ereżija u f'Diċembru 1517 bagħathom lil Ruma. Huwa kellu bżonn id-dħul mill-indulġenzi biex iħallas dispensa papali għall-mandat tiegħu ta 'aktar minn isqof. Kif innota Luther aktar tard, "il-Papa kellu wkoll subgħajh fit-torta, għax nofs kien imur fil-bini tal-knisja ta 'San Pietru f'Ruma".</v>
      </c>
    </row>
    <row r="17057" ht="15.75" customHeight="1">
      <c r="A17057" s="2" t="s">
        <v>17057</v>
      </c>
      <c r="B17057" s="2" t="str">
        <f>IFERROR(__xludf.DUMMYFUNCTION("GOOGLETRANSLATE(A17057, ""en"", ""mt"")"),"Min kien l-ideologu tar-Rivoluzzjoni Iranjana?")</f>
        <v>Min kien l-ideologu tar-Rivoluzzjoni Iranjana?</v>
      </c>
    </row>
    <row r="17058" ht="15.75" customHeight="1">
      <c r="A17058" s="2" t="s">
        <v>17058</v>
      </c>
      <c r="B17058" s="2" t="str">
        <f>IFERROR(__xludf.DUMMYFUNCTION("GOOGLETRANSLATE(A17058, ""en"", ""mt"")"),"X'inhi l-forza li tikkawża saħħa riġida fl-istrutturi?")</f>
        <v>X'inhi l-forza li tikkawża saħħa riġida fl-istrutturi?</v>
      </c>
    </row>
    <row r="17059" ht="15.75" customHeight="1">
      <c r="A17059" s="2" t="s">
        <v>17059</v>
      </c>
      <c r="B17059" s="2" t="str">
        <f>IFERROR(__xludf.DUMMYFUNCTION("GOOGLETRANSLATE(A17059, ""en"", ""mt"")"),"Swieq storiċi densament okkupati, bla dubju")</f>
        <v>Swieq storiċi densament okkupati, bla dubju</v>
      </c>
    </row>
    <row r="17060" ht="15.75" customHeight="1">
      <c r="A17060" s="2" t="s">
        <v>17060</v>
      </c>
      <c r="B17060" s="2" t="str">
        <f>IFERROR(__xludf.DUMMYFUNCTION("GOOGLETRANSLATE(A17060, ""en"", ""mt"")"),"X'kienet il-klassifikazzjoni tal-passer ta 'Manning għall-istaġun 2015?")</f>
        <v>X'kienet il-klassifikazzjoni tal-passer ta 'Manning għall-istaġun 2015?</v>
      </c>
    </row>
    <row r="17061" ht="15.75" customHeight="1">
      <c r="A17061" s="2" t="s">
        <v>17061</v>
      </c>
      <c r="B17061" s="2" t="str">
        <f>IFERROR(__xludf.DUMMYFUNCTION("GOOGLETRANSLATE(A17061, ""en"", ""mt"")"),"aktar attiv u għex itwal")</f>
        <v>aktar attiv u għex itwal</v>
      </c>
    </row>
    <row r="17062" ht="15.75" customHeight="1">
      <c r="A17062" s="2" t="s">
        <v>17062</v>
      </c>
      <c r="B17062" s="2" t="str">
        <f>IFERROR(__xludf.DUMMYFUNCTION("GOOGLETRANSLATE(A17062, ""en"", ""mt"")"),"Il-Kunsill Ġudizzjarju")</f>
        <v>Il-Kunsill Ġudizzjarju</v>
      </c>
    </row>
    <row r="17063" ht="15.75" customHeight="1">
      <c r="A17063" s="2" t="s">
        <v>17063</v>
      </c>
      <c r="B17063" s="2" t="str">
        <f>IFERROR(__xludf.DUMMYFUNCTION("GOOGLETRANSLATE(A17063, ""en"", ""mt"")"),"kemm jekk kien bil-kontenut tagħhom.")</f>
        <v>kemm jekk kien bil-kontenut tagħhom.</v>
      </c>
    </row>
    <row r="17064" ht="15.75" customHeight="1">
      <c r="A17064" s="2" t="s">
        <v>17064</v>
      </c>
      <c r="B17064" s="2" t="str">
        <f>IFERROR(__xludf.DUMMYFUNCTION("GOOGLETRANSLATE(A17064, ""en"", ""mt"")"),"ġimgħa")</f>
        <v>ġimgħa</v>
      </c>
    </row>
    <row r="17065" ht="15.75" customHeight="1">
      <c r="A17065" s="2" t="s">
        <v>17065</v>
      </c>
      <c r="B17065" s="2" t="str">
        <f>IFERROR(__xludf.DUMMYFUNCTION("GOOGLETRANSLATE(A17065, ""en"", ""mt"")"),"Motifs għar-Rikonoxximent tas-Sekwenza Shine-Dalgarno")</f>
        <v>Motifs għar-Rikonoxximent tas-Sekwenza Shine-Dalgarno</v>
      </c>
    </row>
    <row r="17066" ht="15.75" customHeight="1">
      <c r="A17066" s="2" t="s">
        <v>17066</v>
      </c>
      <c r="B17066" s="2" t="str">
        <f>IFERROR(__xludf.DUMMYFUNCTION("GOOGLETRANSLATE(A17066, ""en"", ""mt"")"),"Kemm jaqla 'probationer, wara 6 snin ta' servizz?")</f>
        <v>Kemm jaqla 'probationer, wara 6 snin ta' servizz?</v>
      </c>
    </row>
    <row r="17067" ht="15.75" customHeight="1">
      <c r="A17067" s="2" t="s">
        <v>17067</v>
      </c>
      <c r="B17067" s="2" t="str">
        <f>IFERROR(__xludf.DUMMYFUNCTION("GOOGLETRANSLATE(A17067, ""en"", ""mt"")"),"Sistemi ta 'illuminazzjoni bbażati fuq dawl tal-ark elettriku installati ddisinjati minn Tesla")</f>
        <v>Sistemi ta 'illuminazzjoni bbażati fuq dawl tal-ark elettriku installati ddisinjati minn Tesla</v>
      </c>
    </row>
    <row r="17068" ht="15.75" customHeight="1">
      <c r="A17068" s="2" t="s">
        <v>17068</v>
      </c>
      <c r="B17068" s="2" t="str">
        <f>IFERROR(__xludf.DUMMYFUNCTION("GOOGLETRANSLATE(A17068, ""en"", ""mt"")"),"Fruntiera Żvizzera-Awstjana")</f>
        <v>Fruntiera Żvizzera-Awstjana</v>
      </c>
    </row>
    <row r="17069" ht="15.75" customHeight="1">
      <c r="A17069" s="2" t="s">
        <v>17069</v>
      </c>
      <c r="B17069" s="2" t="str">
        <f>IFERROR(__xludf.DUMMYFUNCTION("GOOGLETRANSLATE(A17069, ""en"", ""mt"")"),"Liema ktieb qara Luther fl-1542?")</f>
        <v>Liema ktieb qara Luther fl-1542?</v>
      </c>
    </row>
    <row r="17070" ht="15.75" customHeight="1">
      <c r="A17070" s="2" t="s">
        <v>17070</v>
      </c>
      <c r="B17070" s="2" t="str">
        <f>IFERROR(__xludf.DUMMYFUNCTION("GOOGLETRANSLATE(A17070, ""en"", ""mt"")"),"X'inhuma nieqsa xi klorofita u kloroplasti euglenid?")</f>
        <v>X'inhuma nieqsa xi klorofita u kloroplasti euglenid?</v>
      </c>
    </row>
    <row r="17071" ht="15.75" customHeight="1">
      <c r="A17071" s="2" t="s">
        <v>17071</v>
      </c>
      <c r="B17071" s="2" t="str">
        <f>IFERROR(__xludf.DUMMYFUNCTION("GOOGLETRANSLATE(A17071, ""en"", ""mt"")"),"X'inhu n-numru ta 'speċi ta' pjanti fl-ekonomija u l-interess soċjali?")</f>
        <v>X'inhu n-numru ta 'speċi ta' pjanti fl-ekonomija u l-interess soċjali?</v>
      </c>
    </row>
    <row r="17072" ht="15.75" customHeight="1">
      <c r="A17072" s="2" t="s">
        <v>17072</v>
      </c>
      <c r="B17072" s="2" t="str">
        <f>IFERROR(__xludf.DUMMYFUNCTION("GOOGLETRANSLATE(A17072, ""en"", ""mt"")"),"235 stazzjon tat-televiżjoni addizzjonali")</f>
        <v>235 stazzjon tat-televiżjoni addizzjonali</v>
      </c>
    </row>
    <row r="17073" ht="15.75" customHeight="1">
      <c r="A17073" s="2" t="s">
        <v>17073</v>
      </c>
      <c r="B17073" s="2" t="str">
        <f>IFERROR(__xludf.DUMMYFUNCTION("GOOGLETRANSLATE(A17073, ""en"", ""mt"")"),"L-Università u l-Akkademja Militari")</f>
        <v>L-Università u l-Akkademja Militari</v>
      </c>
    </row>
    <row r="17074" ht="15.75" customHeight="1">
      <c r="A17074" s="2" t="s">
        <v>17074</v>
      </c>
      <c r="B17074" s="2" t="str">
        <f>IFERROR(__xludf.DUMMYFUNCTION("GOOGLETRANSLATE(A17074, ""en"", ""mt"")"),"Il-mewt ta 'Jochi seħħet f'liema sena?")</f>
        <v>Il-mewt ta 'Jochi seħħet f'liema sena?</v>
      </c>
    </row>
    <row r="17075" ht="15.75" customHeight="1">
      <c r="A17075" s="2" t="s">
        <v>17075</v>
      </c>
      <c r="B17075" s="2" t="str">
        <f>IFERROR(__xludf.DUMMYFUNCTION("GOOGLETRANSLATE(A17075, ""en"", ""mt"")"),"Bini modern kif ukoll strutturi li jmorru mis-sekli 15-18-il sena")</f>
        <v>Bini modern kif ukoll strutturi li jmorru mis-sekli 15-18-il sena</v>
      </c>
    </row>
    <row r="17076" ht="15.75" customHeight="1">
      <c r="A17076" s="2" t="s">
        <v>17076</v>
      </c>
      <c r="B17076" s="2" t="str">
        <f>IFERROR(__xludf.DUMMYFUNCTION("GOOGLETRANSLATE(A17076, ""en"", ""mt"")"),"Matul l-istrajk tan-netwerk tal-ITV tal-1979")</f>
        <v>Matul l-istrajk tan-netwerk tal-ITV tal-1979</v>
      </c>
    </row>
    <row r="17077" ht="15.75" customHeight="1">
      <c r="A17077" s="2" t="s">
        <v>17077</v>
      </c>
      <c r="B17077" s="2" t="str">
        <f>IFERROR(__xludf.DUMMYFUNCTION("GOOGLETRANSLATE(A17077, ""en"", ""mt"")"),"Fil-bidu tas-snin disgħin il-memorja ta 'Genghis Khan bl-identità nazzjonali Mongoljana kellha qawmien mill-ġdid qawwi parzjalment minħabba l-perċezzjoni tiegħu matul il-perjodu tar-Repubblika tal-Poplu Mongoljan. Genghis Khan sar wieħed mill-figuri ċentr"&amp;"ali tal-identità nazzjonali. Huwa ħares b'mod pożittiv mill-Mongoljani għar-rwol tiegħu fl-għaqda ta 'tribujiet tal-ġlied. Pereżempju, mhuwiex komuni għall-Mongoljani li jirreferu għal pajjiżhom bħala ""il-Mongolja ta 'Genghis Khan"", għalihom infushom bħ"&amp;"ala ""it-tfal ta' Genghis Khan"", u lil Genghis Khan bħala l- ""missier tal-Mongoli"" speċjalment fost il-ġenerazzjoni żagħżugħa. Madankollu, hemm qasma fil-perċezzjoni tal-brutalità tiegħu. Il-Mongoljani jsostnu li r-rekords storiċi miktuba minn dawk li "&amp;"mhumiex Mongoljani huma preġudikati inġustament kontra Genghis Khan u li l-biċċier tiegħu huwa esaġerat, filwaqt li r-rwol pożittiv tiegħu huwa sottovalutat.")</f>
        <v>Fil-bidu tas-snin disgħin il-memorja ta 'Genghis Khan bl-identità nazzjonali Mongoljana kellha qawmien mill-ġdid qawwi parzjalment minħabba l-perċezzjoni tiegħu matul il-perjodu tar-Repubblika tal-Poplu Mongoljan. Genghis Khan sar wieħed mill-figuri ċentrali tal-identità nazzjonali. Huwa ħares b'mod pożittiv mill-Mongoljani għar-rwol tiegħu fl-għaqda ta 'tribujiet tal-ġlied. Pereżempju, mhuwiex komuni għall-Mongoljani li jirreferu għal pajjiżhom bħala "il-Mongolja ta 'Genghis Khan", għalihom infushom bħala "it-tfal ta' Genghis Khan", u lil Genghis Khan bħala l- "missier tal-Mongoli" speċjalment fost il-ġenerazzjoni żagħżugħa. Madankollu, hemm qasma fil-perċezzjoni tal-brutalità tiegħu. Il-Mongoljani jsostnu li r-rekords storiċi miktuba minn dawk li mhumiex Mongoljani huma preġudikati inġustament kontra Genghis Khan u li l-biċċier tiegħu huwa esaġerat, filwaqt li r-rwol pożittiv tiegħu huwa sottovalutat.</v>
      </c>
    </row>
    <row r="17078" ht="15.75" customHeight="1">
      <c r="A17078" s="2" t="s">
        <v>17078</v>
      </c>
      <c r="B17078" s="2" t="str">
        <f>IFERROR(__xludf.DUMMYFUNCTION("GOOGLETRANSLATE(A17078, ""en"", ""mt"")"),"L-eżodu ta 'Huguenots minn Franza ħoloq fossa tal-moħħ, peress li ħafna Huguenots kienu okkupaw postijiet importanti fis-soċjetà. Ir-renju ma rkuprax għal kollox għal snin twal. Ir-rifjut tal-Kuruna Franċiża li tippermetti li n-non-Kattoliċi joqgħodu fi F"&amp;"ranza l-ġdida jista 'jgħin biex jispjega li r-rata bil-mod ta' tkabbir tal-popolazzjoni tal-kolonja meta mqabbla ma 'dik tal-kolonji Ingliżi ġirien, li fetħu l-ftehim għal dissenters reliġjużi. Saż-żmien tal-Gwerra Franċiża u Indjana (il-front tal-Amerika"&amp;" ta ’Fuq tal-Gwerra tas-Seba’ snin), popolazzjoni mdaqqsa ta ’dixxendenza Huguenot kienet tgħix fil-kolonji Ingliżi, u ħafna pparteċipaw fit-telfa Ingliża ta’ New France fl-1759-60.")</f>
        <v>L-eżodu ta 'Huguenots minn Franza ħoloq fossa tal-moħħ, peress li ħafna Huguenots kienu okkupaw postijiet importanti fis-soċjetà. Ir-renju ma rkuprax għal kollox għal snin twal. Ir-rifjut tal-Kuruna Franċiża li tippermetti li n-non-Kattoliċi joqgħodu fi Franza l-ġdida jista 'jgħin biex jispjega li r-rata bil-mod ta' tkabbir tal-popolazzjoni tal-kolonja meta mqabbla ma 'dik tal-kolonji Ingliżi ġirien, li fetħu l-ftehim għal dissenters reliġjużi. Saż-żmien tal-Gwerra Franċiża u Indjana (il-front tal-Amerika ta ’Fuq tal-Gwerra tas-Seba’ snin), popolazzjoni mdaqqsa ta ’dixxendenza Huguenot kienet tgħix fil-kolonji Ingliżi, u ħafna pparteċipaw fit-telfa Ingliża ta’ New France fl-1759-60.</v>
      </c>
    </row>
    <row r="17079" ht="15.75" customHeight="1">
      <c r="A17079" s="2" t="s">
        <v>17079</v>
      </c>
      <c r="B17079" s="2" t="str">
        <f>IFERROR(__xludf.DUMMYFUNCTION("GOOGLETRANSLATE(A17079, ""en"", ""mt"")"),"Kif ħadu l-informazzjoni ta 'Celeron fil-Logstown?")</f>
        <v>Kif ħadu l-informazzjoni ta 'Celeron fil-Logstown?</v>
      </c>
    </row>
    <row r="17080" ht="15.75" customHeight="1">
      <c r="A17080" s="2" t="s">
        <v>17080</v>
      </c>
      <c r="B17080" s="2" t="str">
        <f>IFERROR(__xludf.DUMMYFUNCTION("GOOGLETRANSLATE(A17080, ""en"", ""mt"")"),"Kemm idum wara banquet ma 'Tugh Temur li miet Kusala?")</f>
        <v>Kemm idum wara banquet ma 'Tugh Temur li miet Kusala?</v>
      </c>
    </row>
    <row r="17081" ht="15.75" customHeight="1">
      <c r="A17081" s="2" t="s">
        <v>17081</v>
      </c>
      <c r="B17081" s="2" t="str">
        <f>IFERROR(__xludf.DUMMYFUNCTION("GOOGLETRANSLATE(A17081, ""en"", ""mt"")"),"Mard ta 'dekompressjoni")</f>
        <v>Mard ta 'dekompressjoni</v>
      </c>
    </row>
    <row r="17082" ht="15.75" customHeight="1">
      <c r="A17082" s="2" t="s">
        <v>17082</v>
      </c>
      <c r="B17082" s="2" t="str">
        <f>IFERROR(__xludf.DUMMYFUNCTION("GOOGLETRANSLATE(A17082, ""en"", ""mt"")"),"Liema metodu jintuża biex jivvaluta jew jikkwantifika b'mod intuwittiv l-ammont ta 'riżorsi meħtieġa biex issolvi problema tal-komputazzjoni?")</f>
        <v>Liema metodu jintuża biex jivvaluta jew jikkwantifika b'mod intuwittiv l-ammont ta 'riżorsi meħtieġa biex issolvi problema tal-komputazzjoni?</v>
      </c>
    </row>
    <row r="17083" ht="15.75" customHeight="1">
      <c r="A17083" s="2" t="s">
        <v>17083</v>
      </c>
      <c r="B17083" s="2" t="str">
        <f>IFERROR(__xludf.DUMMYFUNCTION("GOOGLETRANSLATE(A17083, ""en"", ""mt"")"),"Avvenimenti u Festivals")</f>
        <v>Avvenimenti u Festivals</v>
      </c>
    </row>
    <row r="17084" ht="15.75" customHeight="1">
      <c r="A17084" s="2" t="s">
        <v>17084</v>
      </c>
      <c r="B17084" s="2" t="str">
        <f>IFERROR(__xludf.DUMMYFUNCTION("GOOGLETRANSLATE(A17084, ""en"", ""mt"")"),"Geordie,")</f>
        <v>Geordie,</v>
      </c>
    </row>
    <row r="17085" ht="15.75" customHeight="1">
      <c r="A17085" s="2" t="s">
        <v>17085</v>
      </c>
      <c r="B17085" s="2" t="str">
        <f>IFERROR(__xludf.DUMMYFUNCTION("GOOGLETRANSLATE(A17085, ""en"", ""mt"")"),"Għaliex Confucians jħobbu l-qasam mediku?")</f>
        <v>Għaliex Confucians jħobbu l-qasam mediku?</v>
      </c>
    </row>
    <row r="17086" ht="15.75" customHeight="1">
      <c r="A17086" s="2" t="s">
        <v>17086</v>
      </c>
      <c r="B17086" s="2" t="str">
        <f>IFERROR(__xludf.DUMMYFUNCTION("GOOGLETRANSLATE(A17086, ""en"", ""mt"")"),"Meta ġie maħkum Dali mill-Yuan?")</f>
        <v>Meta ġie maħkum Dali mill-Yuan?</v>
      </c>
    </row>
    <row r="17087" ht="15.75" customHeight="1">
      <c r="A17087" s="2" t="s">
        <v>17087</v>
      </c>
      <c r="B17087" s="2" t="str">
        <f>IFERROR(__xludf.DUMMYFUNCTION("GOOGLETRANSLATE(A17087, ""en"", ""mt"")"),"Kemm irċeviet Tesla mill-bejgħ ta 'Wardenclyffe?")</f>
        <v>Kemm irċeviet Tesla mill-bejgħ ta 'Wardenclyffe?</v>
      </c>
    </row>
    <row r="17088" ht="15.75" customHeight="1">
      <c r="A17088" s="2" t="s">
        <v>17088</v>
      </c>
      <c r="B17088" s="2" t="str">
        <f>IFERROR(__xludf.DUMMYFUNCTION("GOOGLETRANSLATE(A17088, ""en"", ""mt"")"),"48 siegħa")</f>
        <v>48 siegħa</v>
      </c>
    </row>
    <row r="17089" ht="15.75" customHeight="1">
      <c r="A17089" s="2" t="s">
        <v>17089</v>
      </c>
      <c r="B17089" s="2" t="str">
        <f>IFERROR(__xludf.DUMMYFUNCTION("GOOGLETRANSLATE(A17089, ""en"", ""mt"")"),"Horniman")</f>
        <v>Horniman</v>
      </c>
    </row>
    <row r="17090" ht="15.75" customHeight="1">
      <c r="A17090" s="2" t="s">
        <v>17090</v>
      </c>
      <c r="B17090" s="2" t="str">
        <f>IFERROR(__xludf.DUMMYFUNCTION("GOOGLETRANSLATE(A17090, ""en"", ""mt"")"),"Is-seklu tmintax")</f>
        <v>Is-seklu tmintax</v>
      </c>
    </row>
    <row r="17091" ht="15.75" customHeight="1">
      <c r="A17091" s="2" t="s">
        <v>17091</v>
      </c>
      <c r="B17091" s="2" t="str">
        <f>IFERROR(__xludf.DUMMYFUNCTION("GOOGLETRANSLATE(A17091, ""en"", ""mt"")"),"Kicker")</f>
        <v>Kicker</v>
      </c>
    </row>
    <row r="17092" ht="15.75" customHeight="1">
      <c r="A17092" s="2" t="s">
        <v>17092</v>
      </c>
      <c r="B17092" s="2" t="str">
        <f>IFERROR(__xludf.DUMMYFUNCTION("GOOGLETRANSLATE(A17092, ""en"", ""mt"")"),"Kastelli u Vinji")</f>
        <v>Kastelli u Vinji</v>
      </c>
    </row>
    <row r="17093" ht="15.75" customHeight="1">
      <c r="A17093" s="2" t="s">
        <v>17093</v>
      </c>
      <c r="B17093" s="2" t="str">
        <f>IFERROR(__xludf.DUMMYFUNCTION("GOOGLETRANSLATE(A17093, ""en"", ""mt"")"),"Ħamsin elf dollaru")</f>
        <v>Ħamsin elf dollaru</v>
      </c>
    </row>
    <row r="17094" ht="15.75" customHeight="1">
      <c r="A17094" s="2" t="s">
        <v>17094</v>
      </c>
      <c r="B17094" s="2" t="str">
        <f>IFERROR(__xludf.DUMMYFUNCTION("GOOGLETRANSLATE(A17094, ""en"", ""mt"")"),"ABC On Demand għall-bidu tal-ispettaklu ABC")</f>
        <v>ABC On Demand għall-bidu tal-ispettaklu ABC</v>
      </c>
    </row>
    <row r="17095" ht="15.75" customHeight="1">
      <c r="A17095" s="2" t="s">
        <v>17095</v>
      </c>
      <c r="B17095" s="2" t="str">
        <f>IFERROR(__xludf.DUMMYFUNCTION("GOOGLETRANSLATE(A17095, ""en"", ""mt"")"),"Xi jfittxu xi storiċi moderni li Genghis Khan fittex iżid il-kodiċi legali tiegħu fi tmiem ir-renju tiegħu?")</f>
        <v>Xi jfittxu xi storiċi moderni li Genghis Khan fittex iżid il-kodiċi legali tiegħu fi tmiem ir-renju tiegħu?</v>
      </c>
    </row>
    <row r="17096" ht="15.75" customHeight="1">
      <c r="A17096" s="2" t="s">
        <v>17096</v>
      </c>
      <c r="B17096" s="2" t="str">
        <f>IFERROR(__xludf.DUMMYFUNCTION("GOOGLETRANSLATE(A17096, ""en"", ""mt"")"),"Hordes qattiela u ħalliena")</f>
        <v>Hordes qattiela u ħalliena</v>
      </c>
    </row>
    <row r="17097" ht="15.75" customHeight="1">
      <c r="A17097" s="2" t="s">
        <v>17097</v>
      </c>
      <c r="B17097" s="2" t="str">
        <f>IFERROR(__xludf.DUMMYFUNCTION("GOOGLETRANSLATE(A17097, ""en"", ""mt"")"),"spiritwali")</f>
        <v>spiritwali</v>
      </c>
    </row>
    <row r="17098" ht="15.75" customHeight="1">
      <c r="A17098" s="2" t="s">
        <v>17098</v>
      </c>
      <c r="B17098" s="2" t="str">
        <f>IFERROR(__xludf.DUMMYFUNCTION("GOOGLETRANSLATE(A17098, ""en"", ""mt"")"),"40 sa 50 student")</f>
        <v>40 sa 50 student</v>
      </c>
    </row>
    <row r="17099" ht="15.75" customHeight="1">
      <c r="A17099" s="2" t="s">
        <v>17099</v>
      </c>
      <c r="B17099" s="2" t="str">
        <f>IFERROR(__xludf.DUMMYFUNCTION("GOOGLETRANSLATE(A17099, ""en"", ""mt"")"),"Min jistabbilixxi l-aġenda għax-xogħol tal-UE?")</f>
        <v>Min jistabbilixxi l-aġenda għax-xogħol tal-UE?</v>
      </c>
    </row>
    <row r="17100" ht="15.75" customHeight="1">
      <c r="A17100" s="2" t="s">
        <v>17100</v>
      </c>
      <c r="B17100" s="2" t="str">
        <f>IFERROR(__xludf.DUMMYFUNCTION("GOOGLETRANSLATE(A17100, ""en"", ""mt"")"),"Liġi tax-Sharia")</f>
        <v>Liġi tax-Sharia</v>
      </c>
    </row>
    <row r="17101" ht="15.75" customHeight="1">
      <c r="A17101" s="2" t="s">
        <v>17101</v>
      </c>
      <c r="B17101" s="2" t="str">
        <f>IFERROR(__xludf.DUMMYFUNCTION("GOOGLETRANSLATE(A17101, ""en"", ""mt"")"),"Biegħ mediċini bir-riċetta u jeħtieġu riċetta valida")</f>
        <v>Biegħ mediċini bir-riċetta u jeħtieġu riċetta valida</v>
      </c>
    </row>
    <row r="17102" ht="15.75" customHeight="1">
      <c r="A17102" s="2" t="s">
        <v>17102</v>
      </c>
      <c r="B17102" s="2" t="str">
        <f>IFERROR(__xludf.DUMMYFUNCTION("GOOGLETRANSLATE(A17102, ""en"", ""mt"")"),"X’tagħmel din l-affari li kkawżat ir-reputazzjoni ta ’Luther?")</f>
        <v>X’tagħmel din l-affari li kkawżat ir-reputazzjoni ta ’Luther?</v>
      </c>
    </row>
    <row r="17103" ht="15.75" customHeight="1">
      <c r="A17103" s="2" t="s">
        <v>17103</v>
      </c>
      <c r="B17103" s="2" t="str">
        <f>IFERROR(__xludf.DUMMYFUNCTION("GOOGLETRANSLATE(A17103, ""en"", ""mt"")"),"Ronald Berger")</f>
        <v>Ronald Berger</v>
      </c>
    </row>
    <row r="17104" ht="15.75" customHeight="1">
      <c r="A17104" s="2" t="s">
        <v>17104</v>
      </c>
      <c r="B17104" s="2" t="str">
        <f>IFERROR(__xludf.DUMMYFUNCTION("GOOGLETRANSLATE(A17104, ""en"", ""mt"")"),"Xejn għal uliedhom jattendu, inklużi kamra u bord")</f>
        <v>Xejn għal uliedhom jattendu, inklużi kamra u bord</v>
      </c>
    </row>
    <row r="17105" ht="15.75" customHeight="1">
      <c r="A17105" s="2" t="s">
        <v>17105</v>
      </c>
      <c r="B17105" s="2" t="str">
        <f>IFERROR(__xludf.DUMMYFUNCTION("GOOGLETRANSLATE(A17105, ""en"", ""mt"")"),"Fil-11 ta 'Lulju 1934, in-New York Herald Tribune ppubblika artiklu fuq Tesla, li fih huwa fakkar f'avveniment li kultant iseħħ waqt li jesperimenta bit-tubi tal-vakwu tiegħu b'elettrodu wieħed; Partiċella minuta tkisser il-katodu, tgħaddi mit-tubu, u tol"&amp;"qot fiżikament. ""Tesla qalet li jista 'jħoss uġigħ qawwi fejn daħal f'ġismu, u għal darb'oħra fil-post fejn għadda."" Meta tqabbel dawn il-partiċelli mal-biċċiet tal-metall ipproġettati mill-pistola elettrika tiegħu, Tesla qalet, ""il-partiċelli fir-raġġ"&amp;" tal-forza ... se jivvjaġġaw ferm aktar malajr minn tali partiċelli ... u se jivvjaġġaw f'konċentrazzjonijiet.""")</f>
        <v>Fil-11 ta 'Lulju 1934, in-New York Herald Tribune ppubblika artiklu fuq Tesla, li fih huwa fakkar f'avveniment li kultant iseħħ waqt li jesperimenta bit-tubi tal-vakwu tiegħu b'elettrodu wieħed; Partiċella minuta tkisser il-katodu, tgħaddi mit-tubu, u tolqot fiżikament. "Tesla qalet li jista 'jħoss uġigħ qawwi fejn daħal f'ġismu, u għal darb'oħra fil-post fejn għadda." Meta tqabbel dawn il-partiċelli mal-biċċiet tal-metall ipproġettati mill-pistola elettrika tiegħu, Tesla qalet, "il-partiċelli fir-raġġ tal-forza ... se jivvjaġġaw ferm aktar malajr minn tali partiċelli ... u se jivvjaġġaw f'konċentrazzjonijiet."</v>
      </c>
    </row>
    <row r="17106" ht="15.75" customHeight="1">
      <c r="A17106" s="2" t="s">
        <v>17106</v>
      </c>
      <c r="B17106" s="2" t="str">
        <f>IFERROR(__xludf.DUMMYFUNCTION("GOOGLETRANSLATE(A17106, ""en"", ""mt"")"),"X'inhu l-isem ta 'fejn ir-Rhine fergħat ħdejn Dordrecht?")</f>
        <v>X'inhu l-isem ta 'fejn ir-Rhine fergħat ħdejn Dordrecht?</v>
      </c>
    </row>
    <row r="17107" ht="15.75" customHeight="1">
      <c r="A17107" s="2" t="s">
        <v>17107</v>
      </c>
      <c r="B17107" s="2" t="str">
        <f>IFERROR(__xludf.DUMMYFUNCTION("GOOGLETRANSLATE(A17107, ""en"", ""mt"")"),"Ghost of Le Roi Huguet")</f>
        <v>Ghost of Le Roi Huguet</v>
      </c>
    </row>
    <row r="17108" ht="15.75" customHeight="1">
      <c r="A17108" s="2" t="s">
        <v>17108</v>
      </c>
      <c r="B17108" s="2" t="str">
        <f>IFERROR(__xludf.DUMMYFUNCTION("GOOGLETRANSLATE(A17108, ""en"", ""mt"")"),"Priestley x’jiġri l-esperiment tal-gass tiegħu?")</f>
        <v>Priestley x’jiġri l-esperiment tal-gass tiegħu?</v>
      </c>
    </row>
    <row r="17109" ht="15.75" customHeight="1">
      <c r="A17109" s="2" t="s">
        <v>17109</v>
      </c>
      <c r="B17109" s="2" t="str">
        <f>IFERROR(__xludf.DUMMYFUNCTION("GOOGLETRANSLATE(A17109, ""en"", ""mt"")"),"Dawn il-proċessi kollha mhux neċessarjament iseħħu f'ambjent wieħed, u mhux neċessarjament iseħħu f'ordni waħda. Il-gżejjer Ħawajjani, pereżempju, jikkonsistu kważi kompletament minn flussi ta 'lava bażaltika b'saffi. Is-sekwenzi sedimentarji ta 'l-Istati"&amp;" Uniti tan-Nofs Kontinentali u l-Grand Canyon fil-Lbiċ ta' l-Istati Uniti fihom munzelli kważi mhux deformati ta 'blat sedimentarji li baqgħu f'posthom sa minn żmien Cambrian. Żoni oħra huma ħafna iktar ġeoloġikament kumplessi. Fil-Lbiċ ta 'l-Istati Uniti"&amp;", il-blat sedimentarji, vulkaniċi u intrużivi ġew metamorfositi, difetti, foljati u mitwija. Anke blat anzjani, bħall-acasta gneiss tal-craton tal-iskjavi fil-majjistral tal-Kanada, l-eqdem blat magħruf fid-dinja ġew metamorfosi sal-punt fejn l-oriġini ta"&amp;"għhom ma tinstabx mingħajr analiżi tal-laboratorju. Barra minn hekk, dawn il-proċessi jistgħu jseħħu fi stadji. F’ħafna postijiet, il-Grand Canyon fil-Lbiċ ta ’l-Istati Uniti huwa eżempju viżibbli ħafna, l-unitajiet ta’ blat aktar baxxi ġew metamorfositi "&amp;"u deformati, u mbagħad id-deformazzjoni ntemmet u l-unitajiet ta ’fuq u mhux iffurmati ġew depożitati. Għalkemm jista 'jkun hemm kwalunkwe ammont ta' sostituzzjoni tal-blat u deformazzjoni tal-blat, u jistgħu jseħħu kwalunkwe numru ta 'drabi, dawn il-kunċ"&amp;"etti jipprovdu gwida biex tifhem l-istorja ġeoloġika ta' żona.")</f>
        <v>Dawn il-proċessi kollha mhux neċessarjament iseħħu f'ambjent wieħed, u mhux neċessarjament iseħħu f'ordni waħda. Il-gżejjer Ħawajjani, pereżempju, jikkonsistu kważi kompletament minn flussi ta 'lava bażaltika b'saffi. Is-sekwenzi sedimentarji ta 'l-Istati Uniti tan-Nofs Kontinentali u l-Grand Canyon fil-Lbiċ ta' l-Istati Uniti fihom munzelli kważi mhux deformati ta 'blat sedimentarji li baqgħu f'posthom sa minn żmien Cambrian. Żoni oħra huma ħafna iktar ġeoloġikament kumplessi. Fil-Lbiċ ta 'l-Istati Uniti, il-blat sedimentarji, vulkaniċi u intrużivi ġew metamorfositi, difetti, foljati u mitwija. Anke blat anzjani, bħall-acasta gneiss tal-craton tal-iskjavi fil-majjistral tal-Kanada, l-eqdem blat magħruf fid-dinja ġew metamorfosi sal-punt fejn l-oriġini tagħhom ma tinstabx mingħajr analiżi tal-laboratorju. Barra minn hekk, dawn il-proċessi jistgħu jseħħu fi stadji. F’ħafna postijiet, il-Grand Canyon fil-Lbiċ ta ’l-Istati Uniti huwa eżempju viżibbli ħafna, l-unitajiet ta’ blat aktar baxxi ġew metamorfositi u deformati, u mbagħad id-deformazzjoni ntemmet u l-unitajiet ta ’fuq u mhux iffurmati ġew depożitati. Għalkemm jista 'jkun hemm kwalunkwe ammont ta' sostituzzjoni tal-blat u deformazzjoni tal-blat, u jistgħu jseħħu kwalunkwe numru ta 'drabi, dawn il-kunċetti jipprovdu gwida biex tifhem l-istorja ġeoloġika ta' żona.</v>
      </c>
    </row>
    <row r="17110" ht="15.75" customHeight="1">
      <c r="A17110" s="2" t="s">
        <v>17110</v>
      </c>
      <c r="B17110" s="2" t="str">
        <f>IFERROR(__xludf.DUMMYFUNCTION("GOOGLETRANSLATE(A17110, ""en"", ""mt"")"),"Robert Koch")</f>
        <v>Robert Koch</v>
      </c>
    </row>
    <row r="17111" ht="15.75" customHeight="1">
      <c r="A17111" s="2" t="s">
        <v>17111</v>
      </c>
      <c r="B17111" s="2" t="str">
        <f>IFERROR(__xludf.DUMMYFUNCTION("GOOGLETRANSLATE(A17111, ""en"", ""mt"")"),"Liema netwerk wera tabib li film?")</f>
        <v>Liema netwerk wera tabib li film?</v>
      </c>
    </row>
    <row r="17112" ht="15.75" customHeight="1">
      <c r="A17112" s="2" t="s">
        <v>17112</v>
      </c>
      <c r="B17112" s="2" t="str">
        <f>IFERROR(__xludf.DUMMYFUNCTION("GOOGLETRANSLATE(A17112, ""en"", ""mt"")"),"12")</f>
        <v>12</v>
      </c>
    </row>
    <row r="17113" ht="15.75" customHeight="1">
      <c r="A17113" s="2" t="s">
        <v>17113</v>
      </c>
      <c r="B17113" s="2" t="str">
        <f>IFERROR(__xludf.DUMMYFUNCTION("GOOGLETRANSLATE(A17113, ""en"", ""mt"")"),"Mill-14 sas-Seklu 19")</f>
        <v>Mill-14 sas-Seklu 19</v>
      </c>
    </row>
    <row r="17114" ht="15.75" customHeight="1">
      <c r="A17114" s="2" t="s">
        <v>17114</v>
      </c>
      <c r="B17114" s="2" t="str">
        <f>IFERROR(__xludf.DUMMYFUNCTION("GOOGLETRANSLATE(A17114, ""en"", ""mt"")"),"Teorija termodinamika")</f>
        <v>Teorija termodinamika</v>
      </c>
    </row>
    <row r="17115" ht="15.75" customHeight="1">
      <c r="A17115" s="2" t="s">
        <v>17115</v>
      </c>
      <c r="B17115" s="2" t="str">
        <f>IFERROR(__xludf.DUMMYFUNCTION("GOOGLETRANSLATE(A17115, ""en"", ""mt"")"),"£ 1")</f>
        <v>£ 1</v>
      </c>
    </row>
    <row r="17116" ht="15.75" customHeight="1">
      <c r="A17116" s="2" t="s">
        <v>17116</v>
      </c>
      <c r="B17116" s="2" t="str">
        <f>IFERROR(__xludf.DUMMYFUNCTION("GOOGLETRANSLATE(A17116, ""en"", ""mt"")"),"X'inhu eżempju ta 'problema li għaliha l-algoritmi effettivi pprovdew soluzzjoni minkejja l-intrattabilità assoċjata mal-wisa' tad-daqsijiet?")</f>
        <v>X'inhu eżempju ta 'problema li għaliha l-algoritmi effettivi pprovdew soluzzjoni minkejja l-intrattabilità assoċjata mal-wisa' tad-daqsijiet?</v>
      </c>
    </row>
    <row r="17117" ht="15.75" customHeight="1">
      <c r="A17117" s="2" t="s">
        <v>17117</v>
      </c>
      <c r="B17117" s="2" t="str">
        <f>IFERROR(__xludf.DUMMYFUNCTION("GOOGLETRANSLATE(A17117, ""en"", ""mt"")"),"Fejn jgħixu l-platyctenids minorenni?")</f>
        <v>Fejn jgħixu l-platyctenids minorenni?</v>
      </c>
    </row>
    <row r="17118" ht="15.75" customHeight="1">
      <c r="A17118" s="2" t="s">
        <v>17118</v>
      </c>
      <c r="B17118" s="2" t="str">
        <f>IFERROR(__xludf.DUMMYFUNCTION("GOOGLETRANSLATE(A17118, ""en"", ""mt"")"),"biex taqsam reġistrazzjonijiet u midja oħra")</f>
        <v>biex taqsam reġistrazzjonijiet u midja oħra</v>
      </c>
    </row>
    <row r="17119" ht="15.75" customHeight="1">
      <c r="A17119" s="2" t="s">
        <v>17119</v>
      </c>
      <c r="B17119" s="2" t="str">
        <f>IFERROR(__xludf.DUMMYFUNCTION("GOOGLETRANSLATE(A17119, ""en"", ""mt"")"),"Ħafna mix-xogħlijiet ta 'arti Ċiniżi fil-kollezzjonijiet tal-Lvant Imbiegħed imorru minn liema żewġ dinastiji?")</f>
        <v>Ħafna mix-xogħlijiet ta 'arti Ċiniżi fil-kollezzjonijiet tal-Lvant Imbiegħed imorru minn liema żewġ dinastiji?</v>
      </c>
    </row>
    <row r="17120" ht="15.75" customHeight="1">
      <c r="A17120" s="2" t="s">
        <v>17120</v>
      </c>
      <c r="B17120" s="2" t="str">
        <f>IFERROR(__xludf.DUMMYFUNCTION("GOOGLETRANSLATE(A17120, ""en"", ""mt"")"),"Wrecking")</f>
        <v>Wrecking</v>
      </c>
    </row>
    <row r="17121" ht="15.75" customHeight="1">
      <c r="A17121" s="2" t="s">
        <v>17121</v>
      </c>
      <c r="B17121" s="2" t="str">
        <f>IFERROR(__xludf.DUMMYFUNCTION("GOOGLETRANSLATE(A17121, ""en"", ""mt"")"),"Mercedes-Benz Superdome ta 'New Orleans, Miami's Sun Life Stadium, u l-istadium Levi tal-Bajja ta' San Francisco Bay")</f>
        <v>Mercedes-Benz Superdome ta 'New Orleans, Miami's Sun Life Stadium, u l-istadium Levi tal-Bajja ta' San Francisco Bay</v>
      </c>
    </row>
    <row r="17122" ht="15.75" customHeight="1">
      <c r="A17122" s="2" t="s">
        <v>17122</v>
      </c>
      <c r="B17122" s="2" t="str">
        <f>IFERROR(__xludf.DUMMYFUNCTION("GOOGLETRANSLATE(A17122, ""en"", ""mt"")"),"Liema firxa tal-muntanji Genghis Khan qasmet biex tidħol fl-imperu Khwarezmian?")</f>
        <v>Liema firxa tal-muntanji Genghis Khan qasmet biex tidħol fl-imperu Khwarezmian?</v>
      </c>
    </row>
    <row r="17123" ht="15.75" customHeight="1">
      <c r="A17123" s="2" t="s">
        <v>17123</v>
      </c>
      <c r="B17123" s="2" t="str">
        <f>IFERROR(__xludf.DUMMYFUNCTION("GOOGLETRANSLATE(A17123, ""en"", ""mt"")"),"Inżul Lunar bl-ekwipaġġ.")</f>
        <v>Inżul Lunar bl-ekwipaġġ.</v>
      </c>
    </row>
    <row r="17124" ht="15.75" customHeight="1">
      <c r="A17124" s="2" t="s">
        <v>17124</v>
      </c>
      <c r="B17124" s="2" t="str">
        <f>IFERROR(__xludf.DUMMYFUNCTION("GOOGLETRANSLATE(A17124, ""en"", ""mt"")"),"Min għelbu l-Panthers fil-logħba tal-kampjonat NFC?")</f>
        <v>Min għelbu l-Panthers fil-logħba tal-kampjonat NFC?</v>
      </c>
    </row>
    <row r="17125" ht="15.75" customHeight="1">
      <c r="A17125" s="2" t="s">
        <v>17125</v>
      </c>
      <c r="B17125" s="2" t="str">
        <f>IFERROR(__xludf.DUMMYFUNCTION("GOOGLETRANSLATE(A17125, ""en"", ""mt"")"),"X'kien l-isem tal-konkors sponsorjat minn QuickBooks?")</f>
        <v>X'kien l-isem tal-konkors sponsorjat minn QuickBooks?</v>
      </c>
    </row>
    <row r="17126" ht="15.75" customHeight="1">
      <c r="A17126" s="2" t="s">
        <v>17126</v>
      </c>
      <c r="B17126" s="2" t="str">
        <f>IFERROR(__xludf.DUMMYFUNCTION("GOOGLETRANSLATE(A17126, ""en"", ""mt"")"),"klorofilla b")</f>
        <v>klorofilla b</v>
      </c>
    </row>
    <row r="17127" ht="15.75" customHeight="1">
      <c r="A17127" s="2" t="s">
        <v>17127</v>
      </c>
      <c r="B17127" s="2" t="str">
        <f>IFERROR(__xludf.DUMMYFUNCTION("GOOGLETRANSLATE(A17127, ""en"", ""mt"")"),"respirazzjoni")</f>
        <v>respirazzjoni</v>
      </c>
    </row>
    <row r="17128" ht="15.75" customHeight="1">
      <c r="A17128" s="2" t="s">
        <v>17128</v>
      </c>
      <c r="B17128" s="2" t="str">
        <f>IFERROR(__xludf.DUMMYFUNCTION("GOOGLETRANSLATE(A17128, ""en"", ""mt"")"),"Fil-Lvant Nofsani, u partikolarment fl-Iran, Genghis Khan huwa kważi universalment ikkundannat bħala kmandant distruttiv u ġenoċidali li kkawża ħsara enormi u qerda lill-popolazzjoni ta 'dawn iż-żoni. Steven R. Ward kiteb li ""b'mod ġenerali, il-vjolenza "&amp;"u d-depredazzjonijiet tal-Mongolja qatlu sa tliet kwarti tal-popolazzjoni tal-Plateau Iranjan, possibilment minn 10 sa 15-il miljun persuna. Xi storiċi stmaw li l-popolazzjoni tal-Iran ma reġgħetx laħqet il-pre-Mongol tagħha livelli sa nofs is-seklu 20. "&amp;"""")</f>
        <v>Fil-Lvant Nofsani, u partikolarment fl-Iran, Genghis Khan huwa kważi universalment ikkundannat bħala kmandant distruttiv u ġenoċidali li kkawża ħsara enormi u qerda lill-popolazzjoni ta 'dawn iż-żoni. Steven R. Ward kiteb li "b'mod ġenerali, il-vjolenza u d-depredazzjonijiet tal-Mongolja qatlu sa tliet kwarti tal-popolazzjoni tal-Plateau Iranjan, possibilment minn 10 sa 15-il miljun persuna. Xi storiċi stmaw li l-popolazzjoni tal-Iran ma reġgħetx laħqet il-pre-Mongol tagħha livelli sa nofs is-seklu 20. "</v>
      </c>
    </row>
    <row r="17129" ht="15.75" customHeight="1">
      <c r="A17129" s="2" t="s">
        <v>17129</v>
      </c>
      <c r="B17129" s="2" t="str">
        <f>IFERROR(__xludf.DUMMYFUNCTION("GOOGLETRANSLATE(A17129, ""en"", ""mt"")"),"tiġġustifika l-grazzja")</f>
        <v>tiġġustifika l-grazzja</v>
      </c>
    </row>
    <row r="17130" ht="15.75" customHeight="1">
      <c r="A17130" s="2" t="s">
        <v>17130</v>
      </c>
      <c r="B17130" s="2" t="str">
        <f>IFERROR(__xludf.DUMMYFUNCTION("GOOGLETRANSLATE(A17130, ""en"", ""mt"")"),"Sistema tradizzjonali Ċiniża Awtokratika-Bureakratika")</f>
        <v>Sistema tradizzjonali Ċiniża Awtokratika-Bureakratika</v>
      </c>
    </row>
    <row r="17131" ht="15.75" customHeight="1">
      <c r="A17131" s="2" t="s">
        <v>17131</v>
      </c>
      <c r="B17131" s="2" t="str">
        <f>IFERROR(__xludf.DUMMYFUNCTION("GOOGLETRANSLATE(A17131, ""en"", ""mt"")"),"Uħud mid-dħul marru għax-xiri ta 'armi li aggravaw it-tensjoni politika speċjalment f'liema qasam?")</f>
        <v>Uħud mid-dħul marru għax-xiri ta 'armi li aggravaw it-tensjoni politika speċjalment f'liema qasam?</v>
      </c>
    </row>
    <row r="17132" ht="15.75" customHeight="1">
      <c r="A17132" s="2" t="s">
        <v>17132</v>
      </c>
      <c r="B17132" s="2" t="str">
        <f>IFERROR(__xludf.DUMMYFUNCTION("GOOGLETRANSLATE(A17132, ""en"", ""mt"")"),"Meta Tesla ammettiet lil reporter li forsi hu ssagrifika wisq billi ma jkollux relazzjoni?")</f>
        <v>Meta Tesla ammettiet lil reporter li forsi hu ssagrifika wisq billi ma jkollux relazzjoni?</v>
      </c>
    </row>
    <row r="17133" ht="15.75" customHeight="1">
      <c r="A17133" s="2" t="s">
        <v>17133</v>
      </c>
      <c r="B17133" s="2" t="str">
        <f>IFERROR(__xludf.DUMMYFUNCTION("GOOGLETRANSLATE(A17133, ""en"", ""mt"")"),"Gerhard. Lessing")</f>
        <v>Gerhard. Lessing</v>
      </c>
    </row>
    <row r="17134" ht="15.75" customHeight="1">
      <c r="A17134" s="2" t="s">
        <v>17134</v>
      </c>
      <c r="B17134" s="2" t="str">
        <f>IFERROR(__xludf.DUMMYFUNCTION("GOOGLETRANSLATE(A17134, ""en"", ""mt"")"),"Għerf u prudenza ta 'ċerti deċiżjonijiet ta' akkwist")</f>
        <v>Għerf u prudenza ta 'ċerti deċiżjonijiet ta' akkwist</v>
      </c>
    </row>
    <row r="17135" ht="15.75" customHeight="1">
      <c r="A17135" s="2" t="s">
        <v>17135</v>
      </c>
      <c r="B17135" s="2" t="str">
        <f>IFERROR(__xludf.DUMMYFUNCTION("GOOGLETRANSLATE(A17135, ""en"", ""mt"")"),"Jekk 1 kien ikkunsidrat bħala prim")</f>
        <v>Jekk 1 kien ikkunsidrat bħala prim</v>
      </c>
    </row>
    <row r="17136" ht="15.75" customHeight="1">
      <c r="A17136" s="2" t="s">
        <v>17136</v>
      </c>
      <c r="B17136" s="2" t="str">
        <f>IFERROR(__xludf.DUMMYFUNCTION("GOOGLETRANSLATE(A17136, ""en"", ""mt"")"),"Il-kontrolli tal-prezzijiet aggravaw il-kriżi fl-Istati Uniti. Is-sistema illimitat il-prezz ta '""żejt qadim"" (dak li kien diġà ġie skopert) filwaqt li ppermetta li ż-żejt ġdid skopert jinbiegħ bi prezz ogħla biex jinkoraġġixxi l-investiment. Prevedibbi"&amp;"lment, żejt qadim ġie rtirat mis-suq, u ħoloq skarsezza akbar. Ir-regola skoraġġit ukoll l-iżvilupp ta 'enerġiji alternattivi. Ir-regola kienet maħsuba biex tippromwovi l-esplorazzjoni taż-żejt. L-iskarsezza kienet indirizzata mir-razzjonar (bħal f'ħafna "&amp;"pajjiżi). Is-sewwieqa ffaċċjaw linji twal fil-pompi tal-gass li jibdew fis-sajf tal-1972 u jiżdiedu sas-sajf tal-1973.")</f>
        <v>Il-kontrolli tal-prezzijiet aggravaw il-kriżi fl-Istati Uniti. Is-sistema illimitat il-prezz ta '"żejt qadim" (dak li kien diġà ġie skopert) filwaqt li ppermetta li ż-żejt ġdid skopert jinbiegħ bi prezz ogħla biex jinkoraġġixxi l-investiment. Prevedibbilment, żejt qadim ġie rtirat mis-suq, u ħoloq skarsezza akbar. Ir-regola skoraġġit ukoll l-iżvilupp ta 'enerġiji alternattivi. Ir-regola kienet maħsuba biex tippromwovi l-esplorazzjoni taż-żejt. L-iskarsezza kienet indirizzata mir-razzjonar (bħal f'ħafna pajjiżi). Is-sewwieqa ffaċċjaw linji twal fil-pompi tal-gass li jibdew fis-sajf tal-1972 u jiżdiedu sas-sajf tal-1973.</v>
      </c>
    </row>
    <row r="17137" ht="15.75" customHeight="1">
      <c r="A17137" s="2" t="s">
        <v>17137</v>
      </c>
      <c r="B17137" s="2" t="str">
        <f>IFERROR(__xludf.DUMMYFUNCTION("GOOGLETRANSLATE(A17137, ""en"", ""mt"")"),"X'jiġri minn sinjali ta 'speċi ta' ossiġnu reattivi peress li ma jħallux il-kloroplast?")</f>
        <v>X'jiġri minn sinjali ta 'speċi ta' ossiġnu reattivi peress li ma jħallux il-kloroplast?</v>
      </c>
    </row>
    <row r="17138" ht="15.75" customHeight="1">
      <c r="A17138" s="2" t="s">
        <v>17138</v>
      </c>
      <c r="B17138" s="2" t="str">
        <f>IFERROR(__xludf.DUMMYFUNCTION("GOOGLETRANSLATE(A17138, ""en"", ""mt"")"),"1850")</f>
        <v>1850</v>
      </c>
    </row>
    <row r="17139" ht="15.75" customHeight="1">
      <c r="A17139" s="2" t="s">
        <v>17139</v>
      </c>
      <c r="B17139" s="2" t="str">
        <f>IFERROR(__xludf.DUMMYFUNCTION("GOOGLETRANSLATE(A17139, ""en"", ""mt"")"),"Liema netwerk ġie kkonvertit f'sussidjarja indipendenti mill-RCA fl-1942?")</f>
        <v>Liema netwerk ġie kkonvertit f'sussidjarja indipendenti mill-RCA fl-1942?</v>
      </c>
    </row>
    <row r="17140" ht="15.75" customHeight="1">
      <c r="A17140" s="2" t="s">
        <v>17140</v>
      </c>
      <c r="B17140" s="2" t="str">
        <f>IFERROR(__xludf.DUMMYFUNCTION("GOOGLETRANSLATE(A17140, ""en"", ""mt"")"),"Liema grupp ma qabilx li jiffirma dawn il-ftehimiet?")</f>
        <v>Liema grupp ma qabilx li jiffirma dawn il-ftehimiet?</v>
      </c>
    </row>
    <row r="17141" ht="15.75" customHeight="1">
      <c r="A17141" s="2" t="s">
        <v>17141</v>
      </c>
      <c r="B17141" s="2" t="str">
        <f>IFERROR(__xludf.DUMMYFUNCTION("GOOGLETRANSLATE(A17141, ""en"", ""mt"")"),"n &lt;p &lt;2n - 2")</f>
        <v>n &lt;p &lt;2n - 2</v>
      </c>
    </row>
    <row r="17142" ht="15.75" customHeight="1">
      <c r="A17142" s="2" t="s">
        <v>17142</v>
      </c>
      <c r="B17142" s="2" t="str">
        <f>IFERROR(__xludf.DUMMYFUNCTION("GOOGLETRANSLATE(A17142, ""en"", ""mt"")"),"ewforiku")</f>
        <v>ewforiku</v>
      </c>
    </row>
    <row r="17143" ht="15.75" customHeight="1">
      <c r="A17143" s="2" t="s">
        <v>17143</v>
      </c>
      <c r="B17143" s="2" t="str">
        <f>IFERROR(__xludf.DUMMYFUNCTION("GOOGLETRANSLATE(A17143, ""en"", ""mt"")"),"Min hu l-uniku tim ieħor taċ-champion tal-AFC li jilbes flokkijiet tat-triq fis-Super Bowl?")</f>
        <v>Min hu l-uniku tim ieħor taċ-champion tal-AFC li jilbes flokkijiet tat-triq fis-Super Bowl?</v>
      </c>
    </row>
    <row r="17144" ht="15.75" customHeight="1">
      <c r="A17144" s="2" t="s">
        <v>17144</v>
      </c>
      <c r="B17144" s="2" t="str">
        <f>IFERROR(__xludf.DUMMYFUNCTION("GOOGLETRANSLATE(A17144, ""en"", ""mt"")"),"X'inhu, meta kkombinat ma 'ammont kbir ta' xogħol, jista 'jikkontribwixxi għall-istress fuq ix-xogħol?")</f>
        <v>X'inhu, meta kkombinat ma 'ammont kbir ta' xogħol, jista 'jikkontribwixxi għall-istress fuq ix-xogħol?</v>
      </c>
    </row>
    <row r="17145" ht="15.75" customHeight="1">
      <c r="A17145" s="2" t="s">
        <v>17145</v>
      </c>
      <c r="B17145" s="2" t="str">
        <f>IFERROR(__xludf.DUMMYFUNCTION("GOOGLETRANSLATE(A17145, ""en"", ""mt"")"),"20.4 biljun,")</f>
        <v>20.4 biljun,</v>
      </c>
    </row>
    <row r="17146" ht="15.75" customHeight="1">
      <c r="A17146" s="2" t="s">
        <v>17146</v>
      </c>
      <c r="B17146" s="2" t="str">
        <f>IFERROR(__xludf.DUMMYFUNCTION("GOOGLETRANSLATE(A17146, ""en"", ""mt"")"),"Wied tar-Renu Nofsani")</f>
        <v>Wied tar-Renu Nofsani</v>
      </c>
    </row>
    <row r="17147" ht="15.75" customHeight="1">
      <c r="A17147" s="2" t="s">
        <v>17147</v>
      </c>
      <c r="B17147" s="2" t="str">
        <f>IFERROR(__xludf.DUMMYFUNCTION("GOOGLETRANSLATE(A17147, ""en"", ""mt"")"),"l-ittra minn dinwiddie")</f>
        <v>l-ittra minn dinwiddie</v>
      </c>
    </row>
    <row r="17148" ht="15.75" customHeight="1">
      <c r="A17148" s="2" t="s">
        <v>17148</v>
      </c>
      <c r="B17148" s="2" t="str">
        <f>IFERROR(__xludf.DUMMYFUNCTION("GOOGLETRANSLATE(A17148, ""en"", ""mt"")"),"Sunspot, New Mexico")</f>
        <v>Sunspot, New Mexico</v>
      </c>
    </row>
    <row r="17149" ht="15.75" customHeight="1">
      <c r="A17149" s="2" t="s">
        <v>17149</v>
      </c>
      <c r="B17149" s="2" t="str">
        <f>IFERROR(__xludf.DUMMYFUNCTION("GOOGLETRANSLATE(A17149, ""en"", ""mt"")"),"Meta jista 'għalliem jaġixxi fir-rwol ta' ġenitur?")</f>
        <v>Meta jista 'għalliem jaġixxi fir-rwol ta' ġenitur?</v>
      </c>
    </row>
    <row r="17150" ht="15.75" customHeight="1">
      <c r="A17150" s="2" t="s">
        <v>17150</v>
      </c>
      <c r="B17150" s="2" t="str">
        <f>IFERROR(__xludf.DUMMYFUNCTION("GOOGLETRANSLATE(A17150, ""en"", ""mt"")"),"Kemm-il darba seħħet il-pesta f'Venezja?")</f>
        <v>Kemm-il darba seħħet il-pesta f'Venezja?</v>
      </c>
    </row>
    <row r="17151" ht="15.75" customHeight="1">
      <c r="A17151" s="2" t="s">
        <v>17151</v>
      </c>
      <c r="B17151" s="2" t="str">
        <f>IFERROR(__xludf.DUMMYFUNCTION("GOOGLETRANSLATE(A17151, ""en"", ""mt"")"),"Nar kbir tal-1901")</f>
        <v>Nar kbir tal-1901</v>
      </c>
    </row>
    <row r="17152" ht="15.75" customHeight="1">
      <c r="A17152" s="2" t="s">
        <v>17152</v>
      </c>
      <c r="B17152" s="2" t="str">
        <f>IFERROR(__xludf.DUMMYFUNCTION("GOOGLETRANSLATE(A17152, ""en"", ""mt"")"),"Konnessjoni tal-istess sekwenza diversi drabi mal-istess oġġett permezz tal-użu ta 'set-up li juża taljoli mobbli")</f>
        <v>Konnessjoni tal-istess sekwenza diversi drabi mal-istess oġġett permezz tal-użu ta 'set-up li juża taljoli mobbli</v>
      </c>
    </row>
    <row r="17153" ht="15.75" customHeight="1">
      <c r="A17153" s="2" t="s">
        <v>17153</v>
      </c>
      <c r="B17153" s="2" t="str">
        <f>IFERROR(__xludf.DUMMYFUNCTION("GOOGLETRANSLATE(A17153, ""en"", ""mt"")"),"Għaliex hemm bżonn it-tieni skeda ta 'żmien?")</f>
        <v>Għaliex hemm bżonn it-tieni skeda ta 'żmien?</v>
      </c>
    </row>
    <row r="17154" ht="15.75" customHeight="1">
      <c r="A17154" s="2" t="s">
        <v>17154</v>
      </c>
      <c r="B17154" s="2" t="str">
        <f>IFERROR(__xludf.DUMMYFUNCTION("GOOGLETRANSLATE(A17154, ""en"", ""mt"")"),"Nies li jagħtu servizzi ""għar-remunerazzjoni""")</f>
        <v>Nies li jagħtu servizzi "għar-remunerazzjoni"</v>
      </c>
    </row>
    <row r="17155" ht="15.75" customHeight="1">
      <c r="A17155" s="2" t="s">
        <v>17155</v>
      </c>
      <c r="B17155" s="2" t="str">
        <f>IFERROR(__xludf.DUMMYFUNCTION("GOOGLETRANSLATE(A17155, ""en"", ""mt"")"),"Liema ħakkiem Ġermaniż stieden l-immigrazzjoni Huguenot?")</f>
        <v>Liema ħakkiem Ġermaniż stieden l-immigrazzjoni Huguenot?</v>
      </c>
    </row>
    <row r="17156" ht="15.75" customHeight="1">
      <c r="A17156" s="2" t="s">
        <v>17156</v>
      </c>
      <c r="B17156" s="2" t="str">
        <f>IFERROR(__xludf.DUMMYFUNCTION("GOOGLETRANSLATE(A17156, ""en"", ""mt"")"),"Il-Liġi Kapitali Minima tad-Danimarka")</f>
        <v>Il-Liġi Kapitali Minima tad-Danimarka</v>
      </c>
    </row>
    <row r="17157" ht="15.75" customHeight="1">
      <c r="A17157" s="2" t="s">
        <v>17157</v>
      </c>
      <c r="B17157" s="2" t="str">
        <f>IFERROR(__xludf.DUMMYFUNCTION("GOOGLETRANSLATE(A17157, ""en"", ""mt"")"),"l-aħjar, l-agħar u l-medja tal-każ")</f>
        <v>l-aħjar, l-agħar u l-medja tal-każ</v>
      </c>
    </row>
    <row r="17158" ht="15.75" customHeight="1">
      <c r="A17158" s="2" t="s">
        <v>17158</v>
      </c>
      <c r="B17158" s="2" t="str">
        <f>IFERROR(__xludf.DUMMYFUNCTION("GOOGLETRANSLATE(A17158, ""en"", ""mt"")"),"Liema proċess ta 'wweldjar intwera fl-1901?")</f>
        <v>Liema proċess ta 'wweldjar intwera fl-1901?</v>
      </c>
    </row>
    <row r="17159" ht="15.75" customHeight="1">
      <c r="A17159" s="2" t="s">
        <v>17159</v>
      </c>
      <c r="B17159" s="2" t="str">
        <f>IFERROR(__xludf.DUMMYFUNCTION("GOOGLETRANSLATE(A17159, ""en"", ""mt"")"),"Meta miet Zhenjin?")</f>
        <v>Meta miet Zhenjin?</v>
      </c>
    </row>
    <row r="17160" ht="15.75" customHeight="1">
      <c r="A17160" s="2" t="s">
        <v>17160</v>
      </c>
      <c r="B17160" s="2" t="str">
        <f>IFERROR(__xludf.DUMMYFUNCTION("GOOGLETRANSLATE(A17160, ""en"", ""mt"")"),"Min Kubiak ħa l-post ta 'wara Super Bowl XXIV?")</f>
        <v>Min Kubiak ħa l-post ta 'wara Super Bowl XXIV?</v>
      </c>
    </row>
    <row r="17161" ht="15.75" customHeight="1">
      <c r="A17161" s="2" t="s">
        <v>17161</v>
      </c>
      <c r="B17161" s="2" t="str">
        <f>IFERROR(__xludf.DUMMYFUNCTION("GOOGLETRANSLATE(A17161, ""en"", ""mt"")"),"is-solvabilità ta 'ekwazzjonijiet kwadratiċi")</f>
        <v>is-solvabilità ta 'ekwazzjonijiet kwadratiċi</v>
      </c>
    </row>
    <row r="17162" ht="15.75" customHeight="1">
      <c r="A17162" s="2" t="s">
        <v>17162</v>
      </c>
      <c r="B17162" s="2" t="str">
        <f>IFERROR(__xludf.DUMMYFUNCTION("GOOGLETRANSLATE(A17162, ""en"", ""mt"")"),"ultravjola (UV)")</f>
        <v>ultravjola (UV)</v>
      </c>
    </row>
    <row r="17163" ht="15.75" customHeight="1">
      <c r="A17163" s="2" t="s">
        <v>17163</v>
      </c>
      <c r="B17163" s="2" t="str">
        <f>IFERROR(__xludf.DUMMYFUNCTION("GOOGLETRANSLATE(A17163, ""en"", ""mt"")"),"Punent")</f>
        <v>Punent</v>
      </c>
    </row>
    <row r="17164" ht="15.75" customHeight="1">
      <c r="A17164" s="2" t="s">
        <v>17164</v>
      </c>
      <c r="B17164" s="2" t="str">
        <f>IFERROR(__xludf.DUMMYFUNCTION("GOOGLETRANSLATE(A17164, ""en"", ""mt"")"),"Kemm hemm imħallfin totali fl-UE?")</f>
        <v>Kemm hemm imħallfin totali fl-UE?</v>
      </c>
    </row>
    <row r="17165" ht="15.75" customHeight="1">
      <c r="A17165" s="2" t="s">
        <v>17165</v>
      </c>
      <c r="B17165" s="2" t="str">
        <f>IFERROR(__xludf.DUMMYFUNCTION("GOOGLETRANSLATE(A17165, ""en"", ""mt"")"),"Xita mhux frekwenti")</f>
        <v>Xita mhux frekwenti</v>
      </c>
    </row>
    <row r="17166" ht="15.75" customHeight="1">
      <c r="A17166" s="2" t="s">
        <v>17166</v>
      </c>
      <c r="B17166" s="2" t="str">
        <f>IFERROR(__xludf.DUMMYFUNCTION("GOOGLETRANSLATE(A17166, ""en"", ""mt"")"),"X'kien l-isem tal-aġġornat Saturn li ċempilt?")</f>
        <v>X'kien l-isem tal-aġġornat Saturn li ċempilt?</v>
      </c>
    </row>
    <row r="17167" ht="15.75" customHeight="1">
      <c r="A17167" s="2" t="s">
        <v>17167</v>
      </c>
      <c r="B17167" s="2" t="str">
        <f>IFERROR(__xludf.DUMMYFUNCTION("GOOGLETRANSLATE(A17167, ""en"", ""mt"")"),"Warraghgey, li jfisser ""Hu li jagħmel affarijiet kbar.""")</f>
        <v>Warraghgey, li jfisser "Hu li jagħmel affarijiet kbar."</v>
      </c>
    </row>
    <row r="17168" ht="15.75" customHeight="1">
      <c r="A17168" s="2" t="s">
        <v>17168</v>
      </c>
      <c r="B17168" s="2" t="str">
        <f>IFERROR(__xludf.DUMMYFUNCTION("GOOGLETRANSLATE(A17168, ""en"", ""mt"")"),"pajjiżi ifqar")</f>
        <v>pajjiżi ifqar</v>
      </c>
    </row>
    <row r="17169" ht="15.75" customHeight="1">
      <c r="A17169" s="2" t="s">
        <v>17169</v>
      </c>
      <c r="B17169" s="2" t="str">
        <f>IFERROR(__xludf.DUMMYFUNCTION("GOOGLETRANSLATE(A17169, ""en"", ""mt"")"),"numerużi")</f>
        <v>numerużi</v>
      </c>
    </row>
    <row r="17170" ht="15.75" customHeight="1">
      <c r="A17170" s="2" t="s">
        <v>17170</v>
      </c>
      <c r="B17170" s="2" t="str">
        <f>IFERROR(__xludf.DUMMYFUNCTION("GOOGLETRANSLATE(A17170, ""en"", ""mt"")"),"X'tip ta 'inkurunazzjoni ġara?")</f>
        <v>X'tip ta 'inkurunazzjoni ġara?</v>
      </c>
    </row>
    <row r="17171" ht="15.75" customHeight="1">
      <c r="A17171" s="2" t="s">
        <v>17171</v>
      </c>
      <c r="B17171" s="2" t="str">
        <f>IFERROR(__xludf.DUMMYFUNCTION("GOOGLETRANSLATE(A17171, ""en"", ""mt"")"),"Umoriżmu Amerikan.")</f>
        <v>Umoriżmu Amerikan.</v>
      </c>
    </row>
    <row r="17172" ht="15.75" customHeight="1">
      <c r="A17172" s="2" t="s">
        <v>17172</v>
      </c>
      <c r="B17172" s="2" t="str">
        <f>IFERROR(__xludf.DUMMYFUNCTION("GOOGLETRANSLATE(A17172, ""en"", ""mt"")"),"Min ipproklama l-embargo taż-żejt?")</f>
        <v>Min ipproklama l-embargo taż-żejt?</v>
      </c>
    </row>
    <row r="17173" ht="15.75" customHeight="1">
      <c r="A17173" s="2" t="s">
        <v>17173</v>
      </c>
      <c r="B17173" s="2" t="str">
        <f>IFERROR(__xludf.DUMMYFUNCTION("GOOGLETRANSLATE(A17173, ""en"", ""mt"")"),"1990s")</f>
        <v>1990s</v>
      </c>
    </row>
    <row r="17174" ht="15.75" customHeight="1">
      <c r="A17174" s="2" t="s">
        <v>17174</v>
      </c>
      <c r="B17174" s="2" t="str">
        <f>IFERROR(__xludf.DUMMYFUNCTION("GOOGLETRANSLATE(A17174, ""en"", ""mt"")"),"il-mużew tal-immaġni li tiċċaqlaq")</f>
        <v>il-mużew tal-immaġni li tiċċaqlaq</v>
      </c>
    </row>
    <row r="17175" ht="15.75" customHeight="1">
      <c r="A17175" s="2" t="s">
        <v>17175</v>
      </c>
      <c r="B17175" s="2" t="str">
        <f>IFERROR(__xludf.DUMMYFUNCTION("GOOGLETRANSLATE(A17175, ""en"", ""mt"")"),"2004")</f>
        <v>2004</v>
      </c>
    </row>
    <row r="17176" ht="15.75" customHeight="1">
      <c r="A17176" s="2" t="s">
        <v>17176</v>
      </c>
      <c r="B17176" s="2" t="str">
        <f>IFERROR(__xludf.DUMMYFUNCTION("GOOGLETRANSLATE(A17176, ""en"", ""mt"")"),"X'inhu l-isem tat-tim mill-USC?")</f>
        <v>X'inhu l-isem tat-tim mill-USC?</v>
      </c>
    </row>
    <row r="17177" ht="15.75" customHeight="1">
      <c r="A17177" s="2" t="s">
        <v>17177</v>
      </c>
      <c r="B17177" s="2" t="str">
        <f>IFERROR(__xludf.DUMMYFUNCTION("GOOGLETRANSLATE(A17177, ""en"", ""mt"")"),"1 a.m.")</f>
        <v>1 a.m.</v>
      </c>
    </row>
    <row r="17178" ht="15.75" customHeight="1">
      <c r="A17178" s="2" t="s">
        <v>17178</v>
      </c>
      <c r="B17178" s="2" t="str">
        <f>IFERROR(__xludf.DUMMYFUNCTION("GOOGLETRANSLATE(A17178, ""en"", ""mt"")"),"Splużjoni tat-tank tal-ossiġnu fi tranżitu")</f>
        <v>Splużjoni tat-tank tal-ossiġnu fi tranżitu</v>
      </c>
    </row>
    <row r="17179" ht="15.75" customHeight="1">
      <c r="A17179" s="2" t="s">
        <v>17179</v>
      </c>
      <c r="B17179" s="2" t="str">
        <f>IFERROR(__xludf.DUMMYFUNCTION("GOOGLETRANSLATE(A17179, ""en"", ""mt"")"),"Għal min huma dibattiti u laqgħat miftuħa?")</f>
        <v>Għal min huma dibattiti u laqgħat miftuħa?</v>
      </c>
    </row>
    <row r="17180" ht="15.75" customHeight="1">
      <c r="A17180" s="2" t="s">
        <v>17180</v>
      </c>
      <c r="B17180" s="2" t="str">
        <f>IFERROR(__xludf.DUMMYFUNCTION("GOOGLETRANSLATE(A17180, ""en"", ""mt"")"),"Liema belt saret l-avveniment tal-midja għal Super Bowl 50?")</f>
        <v>Liema belt saret l-avveniment tal-midja għal Super Bowl 50?</v>
      </c>
    </row>
    <row r="17181" ht="15.75" customHeight="1">
      <c r="A17181" s="2" t="s">
        <v>17181</v>
      </c>
      <c r="B17181" s="2" t="str">
        <f>IFERROR(__xludf.DUMMYFUNCTION("GOOGLETRANSLATE(A17181, ""en"", ""mt"")"),"X'intlef il-kloroplasti tat-tip peridinin?")</f>
        <v>X'intlef il-kloroplasti tat-tip peridinin?</v>
      </c>
    </row>
    <row r="17182" ht="15.75" customHeight="1">
      <c r="A17182" s="2" t="s">
        <v>17182</v>
      </c>
      <c r="B17182" s="2" t="str">
        <f>IFERROR(__xludf.DUMMYFUNCTION("GOOGLETRANSLATE(A17182, ""en"", ""mt"")"),"Hans Tanzler")</f>
        <v>Hans Tanzler</v>
      </c>
    </row>
    <row r="17183" ht="15.75" customHeight="1">
      <c r="A17183" s="2" t="s">
        <v>17183</v>
      </c>
      <c r="B17183" s="2" t="str">
        <f>IFERROR(__xludf.DUMMYFUNCTION("GOOGLETRANSLATE(A17183, ""en"", ""mt"")"),"L-aħħar snin tad-dinastija Yuan kienu mmarkati mill-ġlieda, il-ġuħ, u l-imrar fost il-popolazzjoni. Biż-żmien, is-suċċessuri ta 'Kublai Khan tilfu l-influwenza kollha fuq artijiet oħra tal-Mongolja madwar l-Asja, filwaqt li l-Mongoli lil hinn mir-Renju No"&amp;"fsani rawhom bħala Ċiniżi wisq. Gradwalment, huma tilfu l-influwenza wkoll fiċ-Ċina. Ir-renji tal-imperaturi tal-Yuan aktar tard kienu qosra u mmarkati minn intrigues u rivalitajiet. Mhux interessati fl-amministrazzjoni, ġew separati kemm mill-armata kif "&amp;"ukoll mill-popolazzjoni, u ċ-Ċina kienet imqatta 'minn dissensjoni u inkwiet. Outlaws ħarbtu l-pajjiż mingħajr interferenza mill-armati tal-wan li jiddgħajfu.")</f>
        <v>L-aħħar snin tad-dinastija Yuan kienu mmarkati mill-ġlieda, il-ġuħ, u l-imrar fost il-popolazzjoni. Biż-żmien, is-suċċessuri ta 'Kublai Khan tilfu l-influwenza kollha fuq artijiet oħra tal-Mongolja madwar l-Asja, filwaqt li l-Mongoli lil hinn mir-Renju Nofsani rawhom bħala Ċiniżi wisq. Gradwalment, huma tilfu l-influwenza wkoll fiċ-Ċina. Ir-renji tal-imperaturi tal-Yuan aktar tard kienu qosra u mmarkati minn intrigues u rivalitajiet. Mhux interessati fl-amministrazzjoni, ġew separati kemm mill-armata kif ukoll mill-popolazzjoni, u ċ-Ċina kienet imqatta 'minn dissensjoni u inkwiet. Outlaws ħarbtu l-pajjiż mingħajr interferenza mill-armati tal-wan li jiddgħajfu.</v>
      </c>
    </row>
    <row r="17184" ht="15.75" customHeight="1">
      <c r="A17184" s="2" t="s">
        <v>17184</v>
      </c>
      <c r="B17184" s="2" t="str">
        <f>IFERROR(__xludf.DUMMYFUNCTION("GOOGLETRANSLATE(A17184, ""en"", ""mt"")"),"Kontroll tal-isfond u evalwazzjoni psikjatrika")</f>
        <v>Kontroll tal-isfond u evalwazzjoni psikjatrika</v>
      </c>
    </row>
    <row r="17185" ht="15.75" customHeight="1">
      <c r="A17185" s="2" t="s">
        <v>17185</v>
      </c>
      <c r="B17185" s="2" t="str">
        <f>IFERROR(__xludf.DUMMYFUNCTION("GOOGLETRANSLATE(A17185, ""en"", ""mt"")"),"Id-Direttiva dwar il-Prattiki Kummerċjali Inġusti")</f>
        <v>Id-Direttiva dwar il-Prattiki Kummerċjali Inġusti</v>
      </c>
    </row>
    <row r="17186" ht="15.75" customHeight="1">
      <c r="A17186" s="2" t="s">
        <v>17186</v>
      </c>
      <c r="B17186" s="2" t="str">
        <f>IFERROR(__xludf.DUMMYFUNCTION("GOOGLETRANSLATE(A17186, ""en"", ""mt"")"),"sistema plug-n-play")</f>
        <v>sistema plug-n-play</v>
      </c>
    </row>
    <row r="17187" ht="15.75" customHeight="1">
      <c r="A17187" s="2" t="s">
        <v>17187</v>
      </c>
      <c r="B17187" s="2" t="str">
        <f>IFERROR(__xludf.DUMMYFUNCTION("GOOGLETRANSLATE(A17187, ""en"", ""mt"")"),"Minħabba li huwa ħela ta 'riżorsi")</f>
        <v>Minħabba li huwa ħela ta 'riżorsi</v>
      </c>
    </row>
    <row r="17188" ht="15.75" customHeight="1">
      <c r="A17188" s="2" t="s">
        <v>17188</v>
      </c>
      <c r="B17188" s="2" t="str">
        <f>IFERROR(__xludf.DUMMYFUNCTION("GOOGLETRANSLATE(A17188, ""en"", ""mt"")"),"X'inhu t-taħriġ għall-immaniġġjar tal-istress?")</f>
        <v>X'inhu t-taħriġ għall-immaniġġjar tal-istress?</v>
      </c>
    </row>
    <row r="17189" ht="15.75" customHeight="1">
      <c r="A17189" s="2" t="s">
        <v>17189</v>
      </c>
      <c r="B17189" s="2" t="str">
        <f>IFERROR(__xludf.DUMMYFUNCTION("GOOGLETRANSLATE(A17189, ""en"", ""mt"")"),"2.666 miljun resident")</f>
        <v>2.666 miljun resident</v>
      </c>
    </row>
    <row r="17190" ht="15.75" customHeight="1">
      <c r="A17190" s="2" t="s">
        <v>17190</v>
      </c>
      <c r="B17190" s="2" t="str">
        <f>IFERROR(__xludf.DUMMYFUNCTION("GOOGLETRANSLATE(A17190, ""en"", ""mt"")"),"antiġeni")</f>
        <v>antiġeni</v>
      </c>
    </row>
    <row r="17191" ht="15.75" customHeight="1">
      <c r="A17191" s="2" t="s">
        <v>17191</v>
      </c>
      <c r="B17191" s="2" t="str">
        <f>IFERROR(__xludf.DUMMYFUNCTION("GOOGLETRANSLATE(A17191, ""en"", ""mt"")"),"Apollo x")</f>
        <v>Apollo x</v>
      </c>
    </row>
    <row r="17192" ht="15.75" customHeight="1">
      <c r="A17192" s="2" t="s">
        <v>17192</v>
      </c>
      <c r="B17192" s="2" t="str">
        <f>IFERROR(__xludf.DUMMYFUNCTION("GOOGLETRANSLATE(A17192, ""en"", ""mt"")"),"Meta twieled Martin Luther?")</f>
        <v>Meta twieled Martin Luther?</v>
      </c>
    </row>
    <row r="17193" ht="15.75" customHeight="1">
      <c r="A17193" s="2" t="s">
        <v>17193</v>
      </c>
      <c r="B17193" s="2" t="str">
        <f>IFERROR(__xludf.DUMMYFUNCTION("GOOGLETRANSLATE(A17193, ""en"", ""mt"")"),"Maġġoranza ta 'żewġ terzi")</f>
        <v>Maġġoranza ta 'żewġ terzi</v>
      </c>
    </row>
    <row r="17194" ht="15.75" customHeight="1">
      <c r="A17194" s="2" t="s">
        <v>17194</v>
      </c>
      <c r="B17194" s="2" t="str">
        <f>IFERROR(__xludf.DUMMYFUNCTION("GOOGLETRANSLATE(A17194, ""en"", ""mt"")"),"Kif kien jissejjaħ il-kanal li jirriżulta tal-għaqda tal-arti?")</f>
        <v>Kif kien jissejjaħ il-kanal li jirriżulta tal-għaqda tal-arti?</v>
      </c>
    </row>
    <row r="17195" ht="15.75" customHeight="1">
      <c r="A17195" s="2" t="s">
        <v>17195</v>
      </c>
      <c r="B17195" s="2" t="str">
        <f>IFERROR(__xludf.DUMMYFUNCTION("GOOGLETRANSLATE(A17195, ""en"", ""mt"")"),"Fejn kien jinsab id-Dyrrachium?")</f>
        <v>Fejn kien jinsab id-Dyrrachium?</v>
      </c>
    </row>
    <row r="17196" ht="15.75" customHeight="1">
      <c r="A17196" s="2" t="s">
        <v>17196</v>
      </c>
      <c r="B17196" s="2" t="str">
        <f>IFERROR(__xludf.DUMMYFUNCTION("GOOGLETRANSLATE(A17196, ""en"", ""mt"")"),"Mhux aktar minn disa 'membri")</f>
        <v>Mhux aktar minn disa 'membri</v>
      </c>
    </row>
    <row r="17197" ht="15.75" customHeight="1">
      <c r="A17197" s="2" t="s">
        <v>17197</v>
      </c>
      <c r="B17197" s="2" t="str">
        <f>IFERROR(__xludf.DUMMYFUNCTION("GOOGLETRANSLATE(A17197, ""en"", ""mt"")"),"X'tip ta 'attivitajiet ikun jeħtieġ li għalliem jieħu rwol ta' superviżur?")</f>
        <v>X'tip ta 'attivitajiet ikun jeħtieġ li għalliem jieħu rwol ta' superviżur?</v>
      </c>
    </row>
    <row r="17198" ht="15.75" customHeight="1">
      <c r="A17198" s="2" t="s">
        <v>17198</v>
      </c>
      <c r="B17198" s="2" t="str">
        <f>IFERROR(__xludf.DUMMYFUNCTION("GOOGLETRANSLATE(A17198, ""en"", ""mt"")"),"madwar tletin")</f>
        <v>madwar tletin</v>
      </c>
    </row>
    <row r="17199" ht="15.75" customHeight="1">
      <c r="A17199" s="2" t="s">
        <v>17199</v>
      </c>
      <c r="B17199" s="2" t="str">
        <f>IFERROR(__xludf.DUMMYFUNCTION("GOOGLETRANSLATE(A17199, ""en"", ""mt"")"),"Residenza tal-Prattika tal-Ispiżerija")</f>
        <v>Residenza tal-Prattika tal-Ispiżerija</v>
      </c>
    </row>
    <row r="17200" ht="15.75" customHeight="1">
      <c r="A17200" s="2" t="s">
        <v>17200</v>
      </c>
      <c r="B17200" s="2" t="str">
        <f>IFERROR(__xludf.DUMMYFUNCTION("GOOGLETRANSLATE(A17200, ""en"", ""mt"")"),"Il-Ġurnal tan-Natura")</f>
        <v>Il-Ġurnal tan-Natura</v>
      </c>
    </row>
    <row r="17201" ht="15.75" customHeight="1">
      <c r="A17201" s="2" t="s">
        <v>17201</v>
      </c>
      <c r="B17201" s="2" t="str">
        <f>IFERROR(__xludf.DUMMYFUNCTION("GOOGLETRANSLATE(A17201, ""en"", ""mt"")"),"Kumpanija tat-Telegrafu")</f>
        <v>Kumpanija tat-Telegrafu</v>
      </c>
    </row>
    <row r="17202" ht="15.75" customHeight="1">
      <c r="A17202" s="2" t="s">
        <v>17202</v>
      </c>
      <c r="B17202" s="2" t="str">
        <f>IFERROR(__xludf.DUMMYFUNCTION("GOOGLETRANSLATE(A17202, ""en"", ""mt"")"),"Eck")</f>
        <v>Eck</v>
      </c>
    </row>
    <row r="17203" ht="15.75" customHeight="1">
      <c r="A17203" s="2" t="s">
        <v>17203</v>
      </c>
      <c r="B17203" s="2" t="str">
        <f>IFERROR(__xludf.DUMMYFUNCTION("GOOGLETRANSLATE(A17203, ""en"", ""mt"")"),"Formazzjonijiet tal-ħadid banded")</f>
        <v>Formazzjonijiet tal-ħadid banded</v>
      </c>
    </row>
    <row r="17204" ht="15.75" customHeight="1">
      <c r="A17204" s="2" t="s">
        <v>17204</v>
      </c>
      <c r="B17204" s="2" t="str">
        <f>IFERROR(__xludf.DUMMYFUNCTION("GOOGLETRANSLATE(A17204, ""en"", ""mt"")"),"Ku Band")</f>
        <v>Ku Band</v>
      </c>
    </row>
    <row r="17205" ht="15.75" customHeight="1">
      <c r="A17205" s="2" t="s">
        <v>17205</v>
      </c>
      <c r="B17205" s="2" t="str">
        <f>IFERROR(__xludf.DUMMYFUNCTION("GOOGLETRANSLATE(A17205, ""en"", ""mt"")"),"Min ħareġ il-proklamazzjoni rjali tal-1763?")</f>
        <v>Min ħareġ il-proklamazzjoni rjali tal-1763?</v>
      </c>
    </row>
    <row r="17206" ht="15.75" customHeight="1">
      <c r="A17206" s="2" t="s">
        <v>17206</v>
      </c>
      <c r="B17206" s="2" t="str">
        <f>IFERROR(__xludf.DUMMYFUNCTION("GOOGLETRANSLATE(A17206, ""en"", ""mt"")"),"fil-pajjiz")</f>
        <v>fil-pajjiz</v>
      </c>
    </row>
    <row r="17207" ht="15.75" customHeight="1">
      <c r="A17207" s="2" t="s">
        <v>17207</v>
      </c>
      <c r="B17207" s="2" t="str">
        <f>IFERROR(__xludf.DUMMYFUNCTION("GOOGLETRANSLATE(A17207, ""en"", ""mt"")"),"Evoluzzjoni tal-lingwa u l-letteratura Ġermaniżi")</f>
        <v>Evoluzzjoni tal-lingwa u l-letteratura Ġermaniżi</v>
      </c>
    </row>
    <row r="17208" ht="15.75" customHeight="1">
      <c r="A17208" s="2" t="s">
        <v>17208</v>
      </c>
      <c r="B17208" s="2" t="str">
        <f>IFERROR(__xludf.DUMMYFUNCTION("GOOGLETRANSLATE(A17208, ""en"", ""mt"")"),"X’għamlu l-astronawti fuq il-qamar lura lejn id-Dinja permezz ta ’sinjali?")</f>
        <v>X’għamlu l-astronawti fuq il-qamar lura lejn id-Dinja permezz ta ’sinjali?</v>
      </c>
    </row>
    <row r="17209" ht="15.75" customHeight="1">
      <c r="A17209" s="2" t="s">
        <v>17209</v>
      </c>
      <c r="B17209" s="2" t="str">
        <f>IFERROR(__xludf.DUMMYFUNCTION("GOOGLETRANSLATE(A17209, ""en"", ""mt"")"),"Flimkien mas-sorsi tal-fjuwil, liema tħassib ikkontribwixxa għall-iżvilupp tal-moviment tal-fwar avvanzat?")</f>
        <v>Flimkien mas-sorsi tal-fjuwil, liema tħassib ikkontribwixxa għall-iżvilupp tal-moviment tal-fwar avvanzat?</v>
      </c>
    </row>
    <row r="17210" ht="15.75" customHeight="1">
      <c r="A17210" s="2" t="s">
        <v>17210</v>
      </c>
      <c r="B17210" s="2" t="str">
        <f>IFERROR(__xludf.DUMMYFUNCTION("GOOGLETRANSLATE(A17210, ""en"", ""mt"")"),"$ 60,000 fi flus u stokk u royalties ta '$ 2.50 għal kull horsepower AC prodott minn kull mutur")</f>
        <v>$ 60,000 fi flus u stokk u royalties ta '$ 2.50 għal kull horsepower AC prodott minn kull mutur</v>
      </c>
    </row>
    <row r="17211" ht="15.75" customHeight="1">
      <c r="A17211" s="2" t="s">
        <v>17211</v>
      </c>
      <c r="B17211" s="2" t="str">
        <f>IFERROR(__xludf.DUMMYFUNCTION("GOOGLETRANSLATE(A17211, ""en"", ""mt"")"),"F’liema sena t-tabib li beda jintwera fl-HDTV?")</f>
        <v>F’liema sena t-tabib li beda jintwera fl-HDTV?</v>
      </c>
    </row>
    <row r="17212" ht="15.75" customHeight="1">
      <c r="A17212" s="2" t="s">
        <v>17212</v>
      </c>
      <c r="B17212" s="2" t="str">
        <f>IFERROR(__xludf.DUMMYFUNCTION("GOOGLETRANSLATE(A17212, ""en"", ""mt"")"),"L- ""10 miljun dollaru miljunarji"" kiber għal kważi $ 41 triljun fl-2008")</f>
        <v>L- "10 miljun dollaru miljunarji" kiber għal kważi $ 41 triljun fl-2008</v>
      </c>
    </row>
    <row r="17213" ht="15.75" customHeight="1">
      <c r="A17213" s="2" t="s">
        <v>17213</v>
      </c>
      <c r="B17213" s="2" t="str">
        <f>IFERROR(__xludf.DUMMYFUNCTION("GOOGLETRANSLATE(A17213, ""en"", ""mt"")")," Xi numru uniformi ikbar minn dak li ma jistax jitqies bħala ewlieni?")</f>
        <v> Xi numru uniformi ikbar minn dak li ma jistax jitqies bħala ewlieni?</v>
      </c>
    </row>
    <row r="17214" ht="15.75" customHeight="1">
      <c r="A17214" s="2" t="s">
        <v>17214</v>
      </c>
      <c r="B17214" s="2" t="str">
        <f>IFERROR(__xludf.DUMMYFUNCTION("GOOGLETRANSLATE(A17214, ""en"", ""mt"")"),"gradwali")</f>
        <v>gradwali</v>
      </c>
    </row>
    <row r="17215" ht="15.75" customHeight="1">
      <c r="A17215" s="2" t="s">
        <v>17215</v>
      </c>
      <c r="B17215" s="2" t="str">
        <f>IFERROR(__xludf.DUMMYFUNCTION("GOOGLETRANSLATE(A17215, ""en"", ""mt"")"),"William Shirley")</f>
        <v>William Shirley</v>
      </c>
    </row>
    <row r="17216" ht="15.75" customHeight="1">
      <c r="A17216" s="2" t="s">
        <v>17216</v>
      </c>
      <c r="B17216" s="2" t="str">
        <f>IFERROR(__xludf.DUMMYFUNCTION("GOOGLETRANSLATE(A17216, ""en"", ""mt"")"),"X'kienet il-kapitali tal-imperu Mongoljan?")</f>
        <v>X'kienet il-kapitali tal-imperu Mongoljan?</v>
      </c>
    </row>
    <row r="17217" ht="15.75" customHeight="1">
      <c r="A17217" s="2" t="s">
        <v>17217</v>
      </c>
      <c r="B17217" s="2" t="str">
        <f>IFERROR(__xludf.DUMMYFUNCTION("GOOGLETRANSLATE(A17217, ""en"", ""mt"")"),"Bankiera, accountants u inġiniera tal-ispejjeż ipoteki x'aktarx huma parteċipanti fil-ħolqien ta 'pjan ġenerali għall-ġestjoni finanzjarja tal-proġett tal-kostruzzjoni tal-bini. Il-preżenza tal-bankier tal-ipoteki hija probabbli ħafna, anke fi proġetti re"&amp;"lattivament żgħar peress li l-ekwità tas-sid fil-propjetà hija l-iktar sors ovvju ta 'finanzjament għal proġett ta' bini. Il-kontabilisti jaġixxu biex jistudjaw il-fluss monetarju mistenni matul il-ħajja tal-proġett u jimmonitorja l-ħlasijiet matul il-pro"&amp;"ċess. Inġiniera tal-ispejjeż u estimaturi japplikaw għarfien espert biex jirrelataw ix-xogħol u l-materjali involuti ma 'valutazzjoni xierqa. L-ispejjeż żejda ma 'proġetti tal-gvern seħħew meta l-kuntrattur identifika ordnijiet ta' bidla jew bidliet fil-p"&amp;"roġett li żiedu l-ispejjeż, li mhumiex soġġetti għal kompetizzjoni minn ditti oħra peress li diġà ġew eliminati mill-konsiderazzjoni wara l-offerta inizjali.")</f>
        <v>Bankiera, accountants u inġiniera tal-ispejjeż ipoteki x'aktarx huma parteċipanti fil-ħolqien ta 'pjan ġenerali għall-ġestjoni finanzjarja tal-proġett tal-kostruzzjoni tal-bini. Il-preżenza tal-bankier tal-ipoteki hija probabbli ħafna, anke fi proġetti relattivament żgħar peress li l-ekwità tas-sid fil-propjetà hija l-iktar sors ovvju ta 'finanzjament għal proġett ta' bini. Il-kontabilisti jaġixxu biex jistudjaw il-fluss monetarju mistenni matul il-ħajja tal-proġett u jimmonitorja l-ħlasijiet matul il-proċess. Inġiniera tal-ispejjeż u estimaturi japplikaw għarfien espert biex jirrelataw ix-xogħol u l-materjali involuti ma 'valutazzjoni xierqa. L-ispejjeż żejda ma 'proġetti tal-gvern seħħew meta l-kuntrattur identifika ordnijiet ta' bidla jew bidliet fil-proġett li żiedu l-ispejjeż, li mhumiex soġġetti għal kompetizzjoni minn ditti oħra peress li diġà ġew eliminati mill-konsiderazzjoni wara l-offerta inizjali.</v>
      </c>
    </row>
    <row r="17218" ht="15.75" customHeight="1">
      <c r="A17218" s="2" t="s">
        <v>17218</v>
      </c>
      <c r="B17218" s="2" t="str">
        <f>IFERROR(__xludf.DUMMYFUNCTION("GOOGLETRANSLATE(A17218, ""en"", ""mt"")"),"Iż-żona ta 'San Diego")</f>
        <v>Iż-żona ta 'San Diego</v>
      </c>
    </row>
    <row r="17219" ht="15.75" customHeight="1">
      <c r="A17219" s="2" t="s">
        <v>17219</v>
      </c>
      <c r="B17219" s="2" t="str">
        <f>IFERROR(__xludf.DUMMYFUNCTION("GOOGLETRANSLATE(A17219, ""en"", ""mt"")"),"X'tip ta 'gwerra ċivili ġiet miġġielda bejn kmandanti tal-gwerra politiċi u tribali?")</f>
        <v>X'tip ta 'gwerra ċivili ġiet miġġielda bejn kmandanti tal-gwerra politiċi u tribali?</v>
      </c>
    </row>
    <row r="17220" ht="15.75" customHeight="1">
      <c r="A17220" s="2" t="s">
        <v>17220</v>
      </c>
      <c r="B17220" s="2" t="str">
        <f>IFERROR(__xludf.DUMMYFUNCTION("GOOGLETRANSLATE(A17220, ""en"", ""mt"")"),"billi toffri paga ogħla")</f>
        <v>billi toffri paga ogħla</v>
      </c>
    </row>
    <row r="17221" ht="15.75" customHeight="1">
      <c r="A17221" s="2" t="s">
        <v>17221</v>
      </c>
      <c r="B17221" s="2" t="str">
        <f>IFERROR(__xludf.DUMMYFUNCTION("GOOGLETRANSLATE(A17221, ""en"", ""mt"")")," J. A. Hobson ried liema tiġrijiet tiżviluppa d-dinja?")</f>
        <v> J. A. Hobson ried liema tiġrijiet tiżviluppa d-dinja?</v>
      </c>
    </row>
    <row r="17222" ht="15.75" customHeight="1">
      <c r="A17222" s="2" t="s">
        <v>17222</v>
      </c>
      <c r="B17222" s="2" t="str">
        <f>IFERROR(__xludf.DUMMYFUNCTION("GOOGLETRANSLATE(A17222, ""en"", ""mt"")"),"il-BBC")</f>
        <v>il-BBC</v>
      </c>
    </row>
    <row r="17223" ht="15.75" customHeight="1">
      <c r="A17223" s="2" t="s">
        <v>17223</v>
      </c>
      <c r="B17223" s="2" t="str">
        <f>IFERROR(__xludf.DUMMYFUNCTION("GOOGLETRANSLATE(A17223, ""en"", ""mt"")"),"Hendrix v impjegat")</f>
        <v>Hendrix v impjegat</v>
      </c>
    </row>
    <row r="17224" ht="15.75" customHeight="1">
      <c r="A17224" s="2" t="s">
        <v>17224</v>
      </c>
      <c r="B17224" s="2" t="str">
        <f>IFERROR(__xludf.DUMMYFUNCTION("GOOGLETRANSLATE(A17224, ""en"", ""mt"")"),"ir-razza finanzjarja tax-xiri tal-privattivi u tal-kiri tal-inġiniera meħtieġa biex jibnu")</f>
        <v>ir-razza finanzjarja tax-xiri tal-privattivi u tal-kiri tal-inġiniera meħtieġa biex jibnu</v>
      </c>
    </row>
    <row r="17225" ht="15.75" customHeight="1">
      <c r="A17225" s="2" t="s">
        <v>17225</v>
      </c>
      <c r="B17225" s="2" t="str">
        <f>IFERROR(__xludf.DUMMYFUNCTION("GOOGLETRANSLATE(A17225, ""en"", ""mt"")"),"Kemm kolonizzaturi oriġinali stabbilixxew f'Manakintown?")</f>
        <v>Kemm kolonizzaturi oriġinali stabbilixxew f'Manakintown?</v>
      </c>
    </row>
    <row r="17226" ht="15.75" customHeight="1">
      <c r="A17226" s="2" t="s">
        <v>17226</v>
      </c>
      <c r="B17226" s="2" t="str">
        <f>IFERROR(__xludf.DUMMYFUNCTION("GOOGLETRANSLATE(A17226, ""en"", ""mt"")"),"Liema teorija tiddikjara li proċessi ġeoloġiċi bil-mod għadhom qed iseħħu llum, u seħħew fl-istorja tad-Dinja?")</f>
        <v>Liema teorija tiddikjara li proċessi ġeoloġiċi bil-mod għadhom qed iseħħu llum, u seħħew fl-istorja tad-Dinja?</v>
      </c>
    </row>
    <row r="17227" ht="15.75" customHeight="1">
      <c r="A17227" s="2" t="s">
        <v>17227</v>
      </c>
      <c r="B17227" s="2" t="str">
        <f>IFERROR(__xludf.DUMMYFUNCTION("GOOGLETRANSLATE(A17227, ""en"", ""mt"")"),"It-teorija ta ’min kienet it-teorija tad-drift kontinentali?")</f>
        <v>It-teorija ta ’min kienet it-teorija tad-drift kontinentali?</v>
      </c>
    </row>
    <row r="17228" ht="15.75" customHeight="1">
      <c r="A17228" s="2" t="s">
        <v>17228</v>
      </c>
      <c r="B17228" s="2" t="str">
        <f>IFERROR(__xludf.DUMMYFUNCTION("GOOGLETRANSLATE(A17228, ""en"", ""mt"")"),"elettromanjetiku unifikat")</f>
        <v>elettromanjetiku unifikat</v>
      </c>
    </row>
    <row r="17229" ht="15.75" customHeight="1">
      <c r="A17229" s="2" t="s">
        <v>17229</v>
      </c>
      <c r="B17229" s="2" t="str">
        <f>IFERROR(__xludf.DUMMYFUNCTION("GOOGLETRANSLATE(A17229, ""en"", ""mt"")"),"X'kien il-persentaġġ ta 'familja femminili mingħajr l-ebda raġel preżenti?")</f>
        <v>X'kien il-persentaġġ ta 'familja femminili mingħajr l-ebda raġel preżenti?</v>
      </c>
    </row>
    <row r="17230" ht="15.75" customHeight="1">
      <c r="A17230" s="2" t="s">
        <v>17230</v>
      </c>
      <c r="B17230" s="2" t="str">
        <f>IFERROR(__xludf.DUMMYFUNCTION("GOOGLETRANSLATE(A17230, ""en"", ""mt"")"),"L-akbar oġġetti fil-V &amp; A taċ-ċeramika u l-ġbir tal-ħġieġ ġew prodotti matul liema perjodu ta 'żmien?")</f>
        <v>L-akbar oġġetti fil-V &amp; A taċ-ċeramika u l-ġbir tal-ħġieġ ġew prodotti matul liema perjodu ta 'żmien?</v>
      </c>
    </row>
    <row r="17231" ht="15.75" customHeight="1">
      <c r="A17231" s="2" t="s">
        <v>17231</v>
      </c>
      <c r="B17231" s="2" t="str">
        <f>IFERROR(__xludf.DUMMYFUNCTION("GOOGLETRANSLATE(A17231, ""en"", ""mt"")"),"N2 + 1")</f>
        <v>N2 + 1</v>
      </c>
    </row>
    <row r="17232" ht="15.75" customHeight="1">
      <c r="A17232" s="2" t="s">
        <v>17232</v>
      </c>
      <c r="B17232" s="2" t="str">
        <f>IFERROR(__xludf.DUMMYFUNCTION("GOOGLETRANSLATE(A17232, ""en"", ""mt"")"),"L-aħjar attriċi ta 'appoġġ")</f>
        <v>L-aħjar attriċi ta 'appoġġ</v>
      </c>
    </row>
    <row r="17233" ht="15.75" customHeight="1">
      <c r="A17233" s="2" t="s">
        <v>17233</v>
      </c>
      <c r="B17233" s="2" t="str">
        <f>IFERROR(__xludf.DUMMYFUNCTION("GOOGLETRANSLATE(A17233, ""en"", ""mt"")"),"Fuq xiex kien jiddependi n-numru ta 'leġjuni fi żminijiet Rumani?")</f>
        <v>Fuq xiex kien jiddependi n-numru ta 'leġjuni fi żminijiet Rumani?</v>
      </c>
    </row>
    <row r="17234" ht="15.75" customHeight="1">
      <c r="A17234" s="2" t="s">
        <v>17234</v>
      </c>
      <c r="B17234" s="2" t="str">
        <f>IFERROR(__xludf.DUMMYFUNCTION("GOOGLETRANSLATE(A17234, ""en"", ""mt"")"),"Min hu l-archenemy tat-tabib min?")</f>
        <v>Min hu l-archenemy tat-tabib min?</v>
      </c>
    </row>
    <row r="17235" ht="15.75" customHeight="1">
      <c r="A17235" s="2" t="s">
        <v>17235</v>
      </c>
      <c r="B17235" s="2" t="str">
        <f>IFERROR(__xludf.DUMMYFUNCTION("GOOGLETRANSLATE(A17235, ""en"", ""mt"")"),"25m")</f>
        <v>25m</v>
      </c>
    </row>
    <row r="17236" ht="15.75" customHeight="1">
      <c r="A17236" s="2" t="s">
        <v>17236</v>
      </c>
      <c r="B17236" s="2" t="str">
        <f>IFERROR(__xludf.DUMMYFUNCTION("GOOGLETRANSLATE(A17236, ""en"", ""mt"")"),"Victoria_ (l-Awstralja)")</f>
        <v>Victoria_ (l-Awstralja)</v>
      </c>
    </row>
    <row r="17237" ht="15.75" customHeight="1">
      <c r="A17237" s="2" t="s">
        <v>17237</v>
      </c>
      <c r="B17237" s="2" t="str">
        <f>IFERROR(__xludf.DUMMYFUNCTION("GOOGLETRANSLATE(A17237, ""en"", ""mt"")"),"Uhf")</f>
        <v>Uhf</v>
      </c>
    </row>
    <row r="17238" ht="15.75" customHeight="1">
      <c r="A17238" s="2" t="s">
        <v>17238</v>
      </c>
      <c r="B17238" s="2" t="str">
        <f>IFERROR(__xludf.DUMMYFUNCTION("GOOGLETRANSLATE(A17238, ""en"", ""mt"")"),"Min hu adattat biex jinterpreta t-trattati?")</f>
        <v>Min hu adattat biex jinterpreta t-trattati?</v>
      </c>
    </row>
    <row r="17239" ht="15.75" customHeight="1">
      <c r="A17239" s="2" t="s">
        <v>17239</v>
      </c>
      <c r="B17239" s="2" t="str">
        <f>IFERROR(__xludf.DUMMYFUNCTION("GOOGLETRANSLATE(A17239, ""en"", ""mt"")"),"Min awtur il-Liber Servitoris?")</f>
        <v>Min awtur il-Liber Servitoris?</v>
      </c>
    </row>
    <row r="17240" ht="15.75" customHeight="1">
      <c r="A17240" s="2" t="s">
        <v>17240</v>
      </c>
      <c r="B17240" s="2" t="str">
        <f>IFERROR(__xludf.DUMMYFUNCTION("GOOGLETRANSLATE(A17240, ""en"", ""mt"")"),"Twaqqif ta '""Fruntieri Naturali""")</f>
        <v>Twaqqif ta '"Fruntieri Naturali"</v>
      </c>
    </row>
    <row r="17241" ht="15.75" customHeight="1">
      <c r="A17241" s="2" t="s">
        <v>17241</v>
      </c>
      <c r="B17241" s="2" t="str">
        <f>IFERROR(__xludf.DUMMYFUNCTION("GOOGLETRANSLATE(A17241, ""en"", ""mt"")"),"Solidarjetà tal-ħabs")</f>
        <v>Solidarjetà tal-ħabs</v>
      </c>
    </row>
    <row r="17242" ht="15.75" customHeight="1">
      <c r="A17242" s="2" t="s">
        <v>17242</v>
      </c>
      <c r="B17242" s="2" t="str">
        <f>IFERROR(__xludf.DUMMYFUNCTION("GOOGLETRANSLATE(A17242, ""en"", ""mt"")"),"Università ta ’Chicago Press")</f>
        <v>Università ta ’Chicago Press</v>
      </c>
    </row>
    <row r="17243" ht="15.75" customHeight="1">
      <c r="A17243" s="2" t="s">
        <v>17243</v>
      </c>
      <c r="B17243" s="2" t="str">
        <f>IFERROR(__xludf.DUMMYFUNCTION("GOOGLETRANSLATE(A17243, ""en"", ""mt"")"),"Eżempju partikolarment sempliċi ta 'test probabilistiku huwa t-test tal-primalità Fermat, li jiddependi fuq il-fatt (it-teorema ftit ta' Fermat) li NP≡N (mod P) għal kwalunkwe n jekk p huwa numru ewlieni. Jekk għandna numru B li rridu nittestjaw għall-pri"&amp;"malità, allura naħdmu NB (Mod B) għal valur każwali ta 'N bħala t-test tagħna. Difett ma 'dan it-test huwa li hemm xi numri komposti (in-numri ta' Carmichael) li jissodisfaw l-identità Fermat minkejja li mhumiex ewlenin, u għalhekk it-test m'għandu l-ebda"&amp;" mod li jiddistingwi bejn numri ewlenin u numri ta 'Carmichael. In-numri ta 'Carmichael huma sostanzjalment aktar rari minn numri ewlenin, għalkemm dan it-test jista' jkun utli għal skopijiet prattiċi. Estensjonijiet aktar qawwija tat-test tal-primalità t"&amp;"al-Fermat, bħalma huma t-testijiet Baillie-PSW, Miller-Rabin u Solovay-Strassen, huma garantiti li jonqsu mill-inqas ftit mill-ħin meta jiġu applikati għal numru kompost.")</f>
        <v>Eżempju partikolarment sempliċi ta 'test probabilistiku huwa t-test tal-primalità Fermat, li jiddependi fuq il-fatt (it-teorema ftit ta' Fermat) li NP≡N (mod P) għal kwalunkwe n jekk p huwa numru ewlieni. Jekk għandna numru B li rridu nittestjaw għall-primalità, allura naħdmu NB (Mod B) għal valur każwali ta 'N bħala t-test tagħna. Difett ma 'dan it-test huwa li hemm xi numri komposti (in-numri ta' Carmichael) li jissodisfaw l-identità Fermat minkejja li mhumiex ewlenin, u għalhekk it-test m'għandu l-ebda mod li jiddistingwi bejn numri ewlenin u numri ta 'Carmichael. In-numri ta 'Carmichael huma sostanzjalment aktar rari minn numri ewlenin, għalkemm dan it-test jista' jkun utli għal skopijiet prattiċi. Estensjonijiet aktar qawwija tat-test tal-primalità tal-Fermat, bħalma huma t-testijiet Baillie-PSW, Miller-Rabin u Solovay-Strassen, huma garantiti li jonqsu mill-inqas ftit mill-ħin meta jiġu applikati għal numru kompost.</v>
      </c>
    </row>
    <row r="17244" ht="15.75" customHeight="1">
      <c r="A17244" s="2" t="s">
        <v>17244</v>
      </c>
      <c r="B17244" s="2" t="str">
        <f>IFERROR(__xludf.DUMMYFUNCTION("GOOGLETRANSLATE(A17244, ""en"", ""mt"")"),"Tylakoid")</f>
        <v>Tylakoid</v>
      </c>
    </row>
    <row r="17245" ht="15.75" customHeight="1">
      <c r="A17245" s="2" t="s">
        <v>17245</v>
      </c>
      <c r="B17245" s="2" t="str">
        <f>IFERROR(__xludf.DUMMYFUNCTION("GOOGLETRANSLATE(A17245, ""en"", ""mt"")"),"Grazzja ta ’Alla li ssostni lil dawk li jemmnu fil-vjaġġ lejn il-perfezzjoni Nisranija")</f>
        <v>Grazzja ta ’Alla li ssostni lil dawk li jemmnu fil-vjaġġ lejn il-perfezzjoni Nisranija</v>
      </c>
    </row>
    <row r="17246" ht="15.75" customHeight="1">
      <c r="A17246" s="2" t="s">
        <v>17246</v>
      </c>
      <c r="B17246" s="2" t="str">
        <f>IFERROR(__xludf.DUMMYFUNCTION("GOOGLETRANSLATE(A17246, ""en"", ""mt"")"),"Min kienu s-Super Bowl 50 ħabbar sideline?")</f>
        <v>Min kienu s-Super Bowl 50 ħabbar sideline?</v>
      </c>
    </row>
    <row r="17247" ht="15.75" customHeight="1">
      <c r="A17247" s="2" t="s">
        <v>17247</v>
      </c>
      <c r="B17247" s="2" t="str">
        <f>IFERROR(__xludf.DUMMYFUNCTION("GOOGLETRANSLATE(A17247, ""en"", ""mt"")"),"L-Afrika tat-Tramuntana u tal-Punent, kif ukoll l-Asja tax-Xlokk,")</f>
        <v>L-Afrika tat-Tramuntana u tal-Punent, kif ukoll l-Asja tax-Xlokk,</v>
      </c>
    </row>
    <row r="17248" ht="15.75" customHeight="1">
      <c r="A17248" s="2" t="s">
        <v>17248</v>
      </c>
      <c r="B17248" s="2" t="str">
        <f>IFERROR(__xludf.DUMMYFUNCTION("GOOGLETRANSLATE(A17248, ""en"", ""mt"")"),"2018")</f>
        <v>2018</v>
      </c>
    </row>
    <row r="17249" ht="15.75" customHeight="1">
      <c r="A17249" s="2" t="s">
        <v>17249</v>
      </c>
      <c r="B17249" s="2" t="str">
        <f>IFERROR(__xludf.DUMMYFUNCTION("GOOGLETRANSLATE(A17249, ""en"", ""mt"")"),"F’liema reliġjon ġie mgħammed Martin Luther?")</f>
        <v>F’liema reliġjon ġie mgħammed Martin Luther?</v>
      </c>
    </row>
    <row r="17250" ht="15.75" customHeight="1">
      <c r="A17250" s="2" t="s">
        <v>17250</v>
      </c>
      <c r="B17250" s="2" t="str">
        <f>IFERROR(__xludf.DUMMYFUNCTION("GOOGLETRANSLATE(A17250, ""en"", ""mt"")"),"Kemm speċi ta 'siġar jistgħu jinstabu fil-foresta tropikali tal-Amażonja?")</f>
        <v>Kemm speċi ta 'siġar jistgħu jinstabu fil-foresta tropikali tal-Amażonja?</v>
      </c>
    </row>
    <row r="17251" ht="15.75" customHeight="1">
      <c r="A17251" s="2" t="s">
        <v>17251</v>
      </c>
      <c r="B17251" s="2" t="str">
        <f>IFERROR(__xludf.DUMMYFUNCTION("GOOGLETRANSLATE(A17251, ""en"", ""mt"")"),"X'tip ta 'lbies ta' taħt, jekk hemm, kien inkluż fis-Spacesuit Apollo?")</f>
        <v>X'tip ta 'lbies ta' taħt, jekk hemm, kien inkluż fis-Spacesuit Apollo?</v>
      </c>
    </row>
    <row r="17252" ht="15.75" customHeight="1">
      <c r="A17252" s="2" t="s">
        <v>17252</v>
      </c>
      <c r="B17252" s="2" t="str">
        <f>IFERROR(__xludf.DUMMYFUNCTION("GOOGLETRANSLATE(A17252, ""en"", ""mt"")"),"X'inhu t-terminu tal-uffiċċju għal kull membru tad-dar?")</f>
        <v>X'inhu t-terminu tal-uffiċċju għal kull membru tad-dar?</v>
      </c>
    </row>
    <row r="17253" ht="15.75" customHeight="1">
      <c r="A17253" s="2" t="s">
        <v>17253</v>
      </c>
      <c r="B17253" s="2" t="str">
        <f>IFERROR(__xludf.DUMMYFUNCTION("GOOGLETRANSLATE(A17253, ""en"", ""mt"")"),"Telekomunikazzjonijiet bla fili Trans-Atlantiċi")</f>
        <v>Telekomunikazzjonijiet bla fili Trans-Atlantiċi</v>
      </c>
    </row>
    <row r="17254" ht="15.75" customHeight="1">
      <c r="A17254" s="2" t="s">
        <v>17254</v>
      </c>
      <c r="B17254" s="2" t="str">
        <f>IFERROR(__xludf.DUMMYFUNCTION("GOOGLETRANSLATE(A17254, ""en"", ""mt"")"),"jum wara")</f>
        <v>jum wara</v>
      </c>
    </row>
    <row r="17255" ht="15.75" customHeight="1">
      <c r="A17255" s="2" t="s">
        <v>17255</v>
      </c>
      <c r="B17255" s="2" t="str">
        <f>IFERROR(__xludf.DUMMYFUNCTION("GOOGLETRANSLATE(A17255, ""en"", ""mt"")"),"Min kiseb il-kontroll ta ’Florida wara l-konklużjoni tal-Gwerra Rivoluzzjonarja?")</f>
        <v>Min kiseb il-kontroll ta ’Florida wara l-konklużjoni tal-Gwerra Rivoluzzjonarja?</v>
      </c>
    </row>
    <row r="17256" ht="15.75" customHeight="1">
      <c r="A17256" s="2" t="s">
        <v>17256</v>
      </c>
      <c r="B17256" s="2" t="str">
        <f>IFERROR(__xludf.DUMMYFUNCTION("GOOGLETRANSLATE(A17256, ""en"", ""mt"")"),"Sa liema sena Temüjin ħoloq alleanza tribali sinifikanti ""Mongolja""?")</f>
        <v>Sa liema sena Temüjin ħoloq alleanza tribali sinifikanti "Mongolja"?</v>
      </c>
    </row>
    <row r="17257" ht="15.75" customHeight="1">
      <c r="A17257" s="2" t="s">
        <v>17257</v>
      </c>
      <c r="B17257" s="2" t="str">
        <f>IFERROR(__xludf.DUMMYFUNCTION("GOOGLETRANSLATE(A17257, ""en"", ""mt"")"),"X’jegwi l-ipprogrammar lokali tard wara Super Bowl 50?")</f>
        <v>X’jegwi l-ipprogrammar lokali tard wara Super Bowl 50?</v>
      </c>
    </row>
    <row r="17258" ht="15.75" customHeight="1">
      <c r="A17258" s="2" t="s">
        <v>17258</v>
      </c>
      <c r="B17258" s="2" t="str">
        <f>IFERROR(__xludf.DUMMYFUNCTION("GOOGLETRANSLATE(A17258, ""en"", ""mt"")"),"Min kien Iqbal kritiku?")</f>
        <v>Min kien Iqbal kritiku?</v>
      </c>
    </row>
    <row r="17259" ht="15.75" customHeight="1">
      <c r="A17259" s="2" t="s">
        <v>17259</v>
      </c>
      <c r="B17259" s="2" t="str">
        <f>IFERROR(__xludf.DUMMYFUNCTION("GOOGLETRANSLATE(A17259, ""en"", ""mt"")"),"Riċettur taċ-ċelloli T")</f>
        <v>Riċettur taċ-ċelloli T</v>
      </c>
    </row>
    <row r="17260" ht="15.75" customHeight="1">
      <c r="A17260" s="2" t="s">
        <v>17260</v>
      </c>
      <c r="B17260" s="2" t="str">
        <f>IFERROR(__xludf.DUMMYFUNCTION("GOOGLETRANSLATE(A17260, ""en"", ""mt"")"),"Spiża tal-kostruzzjoni")</f>
        <v>Spiża tal-kostruzzjoni</v>
      </c>
    </row>
    <row r="17261" ht="15.75" customHeight="1">
      <c r="A17261" s="2" t="s">
        <v>17261</v>
      </c>
      <c r="B17261" s="2" t="str">
        <f>IFERROR(__xludf.DUMMYFUNCTION("GOOGLETRANSLATE(A17261, ""en"", ""mt"")"),"Ikomplu l-istil tal-binjiet preċedenti, diversi disinjaturi kienu responsabbli għad-dekorazzjoni, it-tiżjin tat-terracotta reġa 'kien ix-xogħol ta' Godfrey Sykes, għalkemm Sgraffito kien użat biex iżejnu n-naħa tal-lvant tal-bini ddisinjat minn F. W. Mood"&amp;"y, it-tneħħija finali kienet il-maħruġa Il-kanċelli tal-ħadid magħmula sa mill-1885 iddisinjati minn Starkie Gardner, dawn iwasslu għal passaġġ mill-bini. Scott iddisinja wkoll iż-żewġ qrati mitfugħa 1870-73 lejn ix-Xlokk tal-Ġnien (is-sit tal- ""Boilers "&amp;"Brompton""), dawn l-ispazji vasti għandhom soqfa 70 pied (21 m) fl-għoli biex jakkomodaw il-kasti tal-ġibs ta 'partijiet ta' bini famuż , inkluża l-kolonna ta 'Trajan (f'żewġ biċċiet separati). L-aħħar parti tal-mużew iddisinjat minn Scott kienet il-libre"&amp;"rija tal-arti u dak li issa hija l-gallerija tal-iskultura fuq in-naħa tan-nofsinhar tal-ġnien, mibnija 1877–83, il-pannelli tal-mużajk ta ’barra fil-parapett kienu ddisinjati minn Reuben Townroe li wkoll iddisinja l-ġibs Xogħol fil-librerija, Sir John Ta"&amp;"ylor iddisinja l-ixkafef tal-kotba u l-każijiet, ukoll din kienet l-ewwel parti tal-mużew li jkollu dawl elettriku. Dan temm in-nofs tat-tramuntana tas-sit, u ħoloq kwadrangle mal-ġnien fiċ-ċentru tiegħu, iżda ħalla l-mużew mingħajr faċċata xierqa. Fl-189"&amp;"0 il-gvern nieda kompetizzjoni biex tiddisinja bini ġdid għall-mużew, bil-perit Alfred Waterhouse bħala wieħed mill-imħallfin; Dan jagħti lill-mużew entratura ġdida imponenti ta 'quddiem.")</f>
        <v>Ikomplu l-istil tal-binjiet preċedenti, diversi disinjaturi kienu responsabbli għad-dekorazzjoni, it-tiżjin tat-terracotta reġa 'kien ix-xogħol ta' Godfrey Sykes, għalkemm Sgraffito kien użat biex iżejnu n-naħa tal-lvant tal-bini ddisinjat minn F. W. Moody, it-tneħħija finali kienet il-maħruġa Il-kanċelli tal-ħadid magħmula sa mill-1885 iddisinjati minn Starkie Gardner, dawn iwasslu għal passaġġ mill-bini. Scott iddisinja wkoll iż-żewġ qrati mitfugħa 1870-73 lejn ix-Xlokk tal-Ġnien (is-sit tal- "Boilers Brompton"), dawn l-ispazji vasti għandhom soqfa 70 pied (21 m) fl-għoli biex jakkomodaw il-kasti tal-ġibs ta 'partijiet ta' bini famuż , inkluża l-kolonna ta 'Trajan (f'żewġ biċċiet separati). L-aħħar parti tal-mużew iddisinjat minn Scott kienet il-librerija tal-arti u dak li issa hija l-gallerija tal-iskultura fuq in-naħa tan-nofsinhar tal-ġnien, mibnija 1877–83, il-pannelli tal-mużajk ta ’barra fil-parapett kienu ddisinjati minn Reuben Townroe li wkoll iddisinja l-ġibs Xogħol fil-librerija, Sir John Taylor iddisinja l-ixkafef tal-kotba u l-każijiet, ukoll din kienet l-ewwel parti tal-mużew li jkollu dawl elettriku. Dan temm in-nofs tat-tramuntana tas-sit, u ħoloq kwadrangle mal-ġnien fiċ-ċentru tiegħu, iżda ħalla l-mużew mingħajr faċċata xierqa. Fl-1890 il-gvern nieda kompetizzjoni biex tiddisinja bini ġdid għall-mużew, bil-perit Alfred Waterhouse bħala wieħed mill-imħallfin; Dan jagħti lill-mużew entratura ġdida imponenti ta 'quddiem.</v>
      </c>
    </row>
    <row r="17262" ht="15.75" customHeight="1">
      <c r="A17262" s="2" t="s">
        <v>17262</v>
      </c>
      <c r="B17262" s="2" t="str">
        <f>IFERROR(__xludf.DUMMYFUNCTION("GOOGLETRANSLATE(A17262, ""en"", ""mt"")"),"Ix-xogħol tat-tfal huwa komuni fil-Kenja. Ħafna tfal li jaħdmu huma attivi fl-agrikoltura. Fl-2006, l-UNICEF stmat li sa 30% tal-bniet fiż-żoni kostali ta 'Malindi, Mombasa, Kilifi, u Diani kienu soġġetti għal prostituzzjoni. Il-biċċa l-kbira tal-prostitu"&amp;"ti fil-Kenja għandhom bejn 9 u 18-il sena. Il-Ministeru tal-Ġeneru u l-Affarijiet tat-Tfal impjegat 400 uffiċjal għall-protezzjoni tat-tfal fl-2009. Il-kawżi tax-xogħol tat-tfal jinkludu l-faqar, in-nuqqas ta 'aċċess għall-edukazzjoni u istituzzjonijiet t"&amp;"al-gvern dgħajfa. Il-Kenja rratifikat il-Konvenzjoni Nru 81 dwar l-Ispezzjoni tax-Xogħol fl-Industriji u l-Konvenzjoni Nru 129 dwar l-Ispezzjoni tax-Xogħol fl-Agrikoltura.")</f>
        <v>Ix-xogħol tat-tfal huwa komuni fil-Kenja. Ħafna tfal li jaħdmu huma attivi fl-agrikoltura. Fl-2006, l-UNICEF stmat li sa 30% tal-bniet fiż-żoni kostali ta 'Malindi, Mombasa, Kilifi, u Diani kienu soġġetti għal prostituzzjoni. Il-biċċa l-kbira tal-prostituti fil-Kenja għandhom bejn 9 u 18-il sena. Il-Ministeru tal-Ġeneru u l-Affarijiet tat-Tfal impjegat 400 uffiċjal għall-protezzjoni tat-tfal fl-2009. Il-kawżi tax-xogħol tat-tfal jinkludu l-faqar, in-nuqqas ta 'aċċess għall-edukazzjoni u istituzzjonijiet tal-gvern dgħajfa. Il-Kenja rratifikat il-Konvenzjoni Nru 81 dwar l-Ispezzjoni tax-Xogħol fl-Industriji u l-Konvenzjoni Nru 129 dwar l-Ispezzjoni tax-Xogħol fl-Agrikoltura.</v>
      </c>
    </row>
    <row r="17263" ht="15.75" customHeight="1">
      <c r="A17263" s="2" t="s">
        <v>17263</v>
      </c>
      <c r="B17263" s="2" t="str">
        <f>IFERROR(__xludf.DUMMYFUNCTION("GOOGLETRANSLATE(A17263, ""en"", ""mt"")"),"1923")</f>
        <v>1923</v>
      </c>
    </row>
    <row r="17264" ht="15.75" customHeight="1">
      <c r="A17264" s="2" t="s">
        <v>17264</v>
      </c>
      <c r="B17264" s="2" t="str">
        <f>IFERROR(__xludf.DUMMYFUNCTION("GOOGLETRANSLATE(A17264, ""en"", ""mt"")"),"Al-Qaeda u t-Taliban")</f>
        <v>Al-Qaeda u t-Taliban</v>
      </c>
    </row>
    <row r="17265" ht="15.75" customHeight="1">
      <c r="A17265" s="2" t="s">
        <v>17265</v>
      </c>
      <c r="B17265" s="2" t="str">
        <f>IFERROR(__xludf.DUMMYFUNCTION("GOOGLETRANSLATE(A17265, ""en"", ""mt"")"),"599 m sa 396 m")</f>
        <v>599 m sa 396 m</v>
      </c>
    </row>
    <row r="17266" ht="15.75" customHeight="1">
      <c r="A17266" s="2" t="s">
        <v>17266</v>
      </c>
      <c r="B17266" s="2" t="str">
        <f>IFERROR(__xludf.DUMMYFUNCTION("GOOGLETRANSLATE(A17266, ""en"", ""mt"")"),"Shakespeare")</f>
        <v>Shakespeare</v>
      </c>
    </row>
    <row r="17267" ht="15.75" customHeight="1">
      <c r="A17267" s="2" t="s">
        <v>17267</v>
      </c>
      <c r="B17267" s="2" t="str">
        <f>IFERROR(__xludf.DUMMYFUNCTION("GOOGLETRANSLATE(A17267, ""en"", ""mt"")"),"Xjentisti tal-Lvant Nofsani")</f>
        <v>Xjentisti tal-Lvant Nofsani</v>
      </c>
    </row>
    <row r="17268" ht="15.75" customHeight="1">
      <c r="A17268" s="2" t="s">
        <v>17268</v>
      </c>
      <c r="B17268" s="2" t="str">
        <f>IFERROR(__xludf.DUMMYFUNCTION("GOOGLETRANSLATE(A17268, ""en"", ""mt"")"),"Fuq liema hija l-biċċa l-kbira tat-tkabbir modern ta 'Varsavja?")</f>
        <v>Fuq liema hija l-biċċa l-kbira tat-tkabbir modern ta 'Varsavja?</v>
      </c>
    </row>
    <row r="17269" ht="15.75" customHeight="1">
      <c r="A17269" s="2" t="s">
        <v>17269</v>
      </c>
      <c r="B17269" s="2" t="str">
        <f>IFERROR(__xludf.DUMMYFUNCTION("GOOGLETRANSLATE(A17269, ""en"", ""mt"")"),"Negozju / Ċentru Finanzjarju tal-Ospitalità")</f>
        <v>Negozju / Ċentru Finanzjarju tal-Ospitalità</v>
      </c>
    </row>
    <row r="17270" ht="15.75" customHeight="1">
      <c r="A17270" s="2" t="s">
        <v>17270</v>
      </c>
      <c r="B17270" s="2" t="str">
        <f>IFERROR(__xludf.DUMMYFUNCTION("GOOGLETRANSLATE(A17270, ""en"", ""mt"")"),"il-pesta Taljana tal-1629-1631")</f>
        <v>il-pesta Taljana tal-1629-1631</v>
      </c>
    </row>
    <row r="17271" ht="15.75" customHeight="1">
      <c r="A17271" s="2" t="s">
        <v>17271</v>
      </c>
      <c r="B17271" s="2" t="str">
        <f>IFERROR(__xludf.DUMMYFUNCTION("GOOGLETRANSLATE(A17271, ""en"", ""mt"")"),"Liema astronomi huwa wkoll membru tal-alumni tal-università?")</f>
        <v>Liema astronomi huwa wkoll membru tal-alumni tal-università?</v>
      </c>
    </row>
    <row r="17272" ht="15.75" customHeight="1">
      <c r="A17272" s="2" t="s">
        <v>17272</v>
      </c>
      <c r="B17272" s="2" t="str">
        <f>IFERROR(__xludf.DUMMYFUNCTION("GOOGLETRANSLATE(A17272, ""en"", ""mt"")"),"F'liema galleriji huma murija l-pitturi Franċiżi mogħtija minn Jones?")</f>
        <v>F'liema galleriji huma murija l-pitturi Franċiżi mogħtija minn Jones?</v>
      </c>
    </row>
    <row r="17273" ht="15.75" customHeight="1">
      <c r="A17273" s="2" t="s">
        <v>17273</v>
      </c>
      <c r="B17273" s="2" t="str">
        <f>IFERROR(__xludf.DUMMYFUNCTION("GOOGLETRANSLATE(A17273, ""en"", ""mt"")"),"tikkompressa u tkessaħ")</f>
        <v>tikkompressa u tkessaħ</v>
      </c>
    </row>
    <row r="17274" ht="15.75" customHeight="1">
      <c r="A17274" s="2" t="s">
        <v>17274</v>
      </c>
      <c r="B17274" s="2" t="str">
        <f>IFERROR(__xludf.DUMMYFUNCTION("GOOGLETRANSLATE(A17274, ""en"", ""mt"")"),"Fejn ġiet iffurmata l-FIS?")</f>
        <v>Fejn ġiet iffurmata l-FIS?</v>
      </c>
    </row>
    <row r="17275" ht="15.75" customHeight="1">
      <c r="A17275" s="2" t="s">
        <v>17275</v>
      </c>
      <c r="B17275" s="2" t="str">
        <f>IFERROR(__xludf.DUMMYFUNCTION("GOOGLETRANSLATE(A17275, ""en"", ""mt"")"),"Oligocene")</f>
        <v>Oligocene</v>
      </c>
    </row>
    <row r="17276" ht="15.75" customHeight="1">
      <c r="A17276" s="2" t="s">
        <v>17276</v>
      </c>
      <c r="B17276" s="2" t="str">
        <f>IFERROR(__xludf.DUMMYFUNCTION("GOOGLETRANSLATE(A17276, ""en"", ""mt"")"),"Minn liema pajjiż REWE-ZENTRALE AG xtaqet timporta?")</f>
        <v>Minn liema pajjiż REWE-ZENTRALE AG xtaqet timporta?</v>
      </c>
    </row>
    <row r="17277" ht="15.75" customHeight="1">
      <c r="A17277" s="2" t="s">
        <v>17277</v>
      </c>
      <c r="B17277" s="2" t="str">
        <f>IFERROR(__xludf.DUMMYFUNCTION("GOOGLETRANSLATE(A17277, ""en"", ""mt"")"),"Taħt liema trattat il-Kummissjoni Ewropea tista 'tieħu azzjoni kontra l-Istati Membri?")</f>
        <v>Taħt liema trattat il-Kummissjoni Ewropea tista 'tieħu azzjoni kontra l-Istati Membri?</v>
      </c>
    </row>
    <row r="17278" ht="15.75" customHeight="1">
      <c r="A17278" s="2" t="s">
        <v>17278</v>
      </c>
      <c r="B17278" s="2" t="str">
        <f>IFERROR(__xludf.DUMMYFUNCTION("GOOGLETRANSLATE(A17278, ""en"", ""mt"")"),"huma ewlenin għal kwalunkwe numru naturali n. Hawnhekk jirrappreżenta l-funzjoni tal-paviment, i.e., l-akbar numru sħiħ mhux akbar min-numru in kwistjoni. Din l-aħħar formula tista 'tintwera bl-użu tal-postulat ta' Bertrand (ippruvat l-ewwel minn Chebyshe"&amp;"v), li jiddikjara li dejjem jeżisti mill-inqas numru ewlieni p b'n &lt;p &lt;2n - 2, għal kwalunkwe numru naturali n&gt; 3. Madankollu, il-komputazzjoni a jew μ teħtieġ l-għarfien ta 'ħafna primes infinitament biex tibda. Formula oħra hija bbażata fuq it-teorema t"&amp;"a 'Wilson u tiġġenera n-numru 2 ħafna drabi u l-primes l-oħra kollha eżattament darba.")</f>
        <v>huma ewlenin għal kwalunkwe numru naturali n. Hawnhekk jirrappreżenta l-funzjoni tal-paviment, i.e., l-akbar numru sħiħ mhux akbar min-numru in kwistjoni. Din l-aħħar formula tista 'tintwera bl-użu tal-postulat ta' Bertrand (ippruvat l-ewwel minn Chebyshev), li jiddikjara li dejjem jeżisti mill-inqas numru ewlieni p b'n &lt;p &lt;2n - 2, għal kwalunkwe numru naturali n&gt; 3. Madankollu, il-komputazzjoni a jew μ teħtieġ l-għarfien ta 'ħafna primes infinitament biex tibda. Formula oħra hija bbażata fuq it-teorema ta 'Wilson u tiġġenera n-numru 2 ħafna drabi u l-primes l-oħra kollha eżattament darba.</v>
      </c>
    </row>
    <row r="17279" ht="15.75" customHeight="1">
      <c r="A17279" s="2" t="s">
        <v>17279</v>
      </c>
      <c r="B17279" s="2" t="str">
        <f>IFERROR(__xludf.DUMMYFUNCTION("GOOGLETRANSLATE(A17279, ""en"", ""mt"")"),"X'kien l-isem ta 'l-istil Ċiniż ta' Tugh?")</f>
        <v>X'kien l-isem ta 'l-istil Ċiniż ta' Tugh?</v>
      </c>
    </row>
    <row r="17280" ht="15.75" customHeight="1">
      <c r="A17280" s="2" t="s">
        <v>17280</v>
      </c>
      <c r="B17280" s="2" t="str">
        <f>IFERROR(__xludf.DUMMYFUNCTION("GOOGLETRANSLATE(A17280, ""en"", ""mt"")"),"Xi teħtieġ l-ewwel Artikolu 11 tad-Direttiva tal-Liġi tal-Kumpanija?")</f>
        <v>Xi teħtieġ l-ewwel Artikolu 11 tad-Direttiva tal-Liġi tal-Kumpanija?</v>
      </c>
    </row>
    <row r="17281" ht="15.75" customHeight="1">
      <c r="A17281" s="2" t="s">
        <v>17281</v>
      </c>
      <c r="B17281" s="2" t="str">
        <f>IFERROR(__xludf.DUMMYFUNCTION("GOOGLETRANSLATE(A17281, ""en"", ""mt"")"),"politiċi elite")</f>
        <v>politiċi elite</v>
      </c>
    </row>
    <row r="17282" ht="15.75" customHeight="1">
      <c r="A17282" s="2" t="s">
        <v>17282</v>
      </c>
      <c r="B17282" s="2" t="str">
        <f>IFERROR(__xludf.DUMMYFUNCTION("GOOGLETRANSLATE(A17282, ""en"", ""mt"")"),"Il-Kungress Nazzjonali Nazzjonalist Indjan u Sekularist Mainstream")</f>
        <v>Il-Kungress Nazzjonali Nazzjonalist Indjan u Sekularist Mainstream</v>
      </c>
    </row>
    <row r="17283" ht="15.75" customHeight="1">
      <c r="A17283" s="2" t="s">
        <v>17283</v>
      </c>
      <c r="B17283" s="2" t="str">
        <f>IFERROR(__xludf.DUMMYFUNCTION("GOOGLETRANSLATE(A17283, ""en"", ""mt"")"),"Liema qaddis tal-knisja huwa mlaqqam il-martri?")</f>
        <v>Liema qaddis tal-knisja huwa mlaqqam il-martri?</v>
      </c>
    </row>
    <row r="17284" ht="15.75" customHeight="1">
      <c r="A17284" s="2" t="s">
        <v>17284</v>
      </c>
      <c r="B17284" s="2" t="str">
        <f>IFERROR(__xludf.DUMMYFUNCTION("GOOGLETRANSLATE(A17284, ""en"", ""mt"")"),"Skola Nazzjonali")</f>
        <v>Skola Nazzjonali</v>
      </c>
    </row>
    <row r="17285" ht="15.75" customHeight="1">
      <c r="A17285" s="2" t="s">
        <v>17285</v>
      </c>
      <c r="B17285" s="2" t="str">
        <f>IFERROR(__xludf.DUMMYFUNCTION("GOOGLETRANSLATE(A17285, ""en"", ""mt"")"),"X'kien l-isem oriġinali ta 'California State University fi Fresno?")</f>
        <v>X'kien l-isem oriġinali ta 'California State University fi Fresno?</v>
      </c>
    </row>
    <row r="17286" ht="15.75" customHeight="1">
      <c r="A17286" s="2" t="s">
        <v>17286</v>
      </c>
      <c r="B17286" s="2" t="str">
        <f>IFERROR(__xludf.DUMMYFUNCTION("GOOGLETRANSLATE(A17286, ""en"", ""mt"")"),"F'liema staġun il-logo ABC deher l-ewwel bħala bug fuq l-iskrin?")</f>
        <v>F'liema staġun il-logo ABC deher l-ewwel bħala bug fuq l-iskrin?</v>
      </c>
    </row>
    <row r="17287" ht="15.75" customHeight="1">
      <c r="A17287" s="2" t="s">
        <v>17287</v>
      </c>
      <c r="B17287" s="2" t="str">
        <f>IFERROR(__xludf.DUMMYFUNCTION("GOOGLETRANSLATE(A17287, ""en"", ""mt"")"),"Emmerich Rhine Bridge")</f>
        <v>Emmerich Rhine Bridge</v>
      </c>
    </row>
    <row r="17288" ht="15.75" customHeight="1">
      <c r="A17288" s="2" t="s">
        <v>17288</v>
      </c>
      <c r="B17288" s="2" t="str">
        <f>IFERROR(__xludf.DUMMYFUNCTION("GOOGLETRANSLATE(A17288, ""en"", ""mt"")"),"X'kien l-isem tal-esperiment li ttestja kif oriġina l-ħajja?")</f>
        <v>X'kien l-isem tal-esperiment li ttestja kif oriġina l-ħajja?</v>
      </c>
    </row>
    <row r="17289" ht="15.75" customHeight="1">
      <c r="A17289" s="2" t="s">
        <v>17289</v>
      </c>
      <c r="B17289" s="2" t="str">
        <f>IFERROR(__xludf.DUMMYFUNCTION("GOOGLETRANSLATE(A17289, ""en"", ""mt"")"),"Wasal tard wisq biex jinkitbu")</f>
        <v>Wasal tard wisq biex jinkitbu</v>
      </c>
    </row>
    <row r="17290" ht="15.75" customHeight="1">
      <c r="A17290" s="2" t="s">
        <v>17290</v>
      </c>
      <c r="B17290" s="2" t="str">
        <f>IFERROR(__xludf.DUMMYFUNCTION("GOOGLETRANSLATE(A17290, ""en"", ""mt"")"),"l-ogħla")</f>
        <v>l-ogħla</v>
      </c>
    </row>
    <row r="17291" ht="15.75" customHeight="1">
      <c r="A17291" s="2" t="s">
        <v>17291</v>
      </c>
      <c r="B17291" s="2" t="str">
        <f>IFERROR(__xludf.DUMMYFUNCTION("GOOGLETRANSLATE(A17291, ""en"", ""mt"")"),"pagi u profitti")</f>
        <v>pagi u profitti</v>
      </c>
    </row>
    <row r="17292" ht="15.75" customHeight="1">
      <c r="A17292" s="2" t="s">
        <v>17292</v>
      </c>
      <c r="B17292" s="2" t="str">
        <f>IFERROR(__xludf.DUMMYFUNCTION("GOOGLETRANSLATE(A17292, ""en"", ""mt"")"),"raġunijiet politiċi")</f>
        <v>raġunijiet politiċi</v>
      </c>
    </row>
    <row r="17293" ht="15.75" customHeight="1">
      <c r="A17293" s="2" t="s">
        <v>17293</v>
      </c>
      <c r="B17293" s="2" t="str">
        <f>IFERROR(__xludf.DUMMYFUNCTION("GOOGLETRANSLATE(A17293, ""en"", ""mt"")"),"bit-tema")</f>
        <v>bit-tema</v>
      </c>
    </row>
    <row r="17294" ht="15.75" customHeight="1">
      <c r="A17294" s="2" t="s">
        <v>17294</v>
      </c>
      <c r="B17294" s="2" t="str">
        <f>IFERROR(__xludf.DUMMYFUNCTION("GOOGLETRANSLATE(A17294, ""en"", ""mt"")"),"Min kien missier Shi Tianze?")</f>
        <v>Min kien missier Shi Tianze?</v>
      </c>
    </row>
    <row r="17295" ht="15.75" customHeight="1">
      <c r="A17295" s="2" t="s">
        <v>17295</v>
      </c>
      <c r="B17295" s="2" t="str">
        <f>IFERROR(__xludf.DUMMYFUNCTION("GOOGLETRANSLATE(A17295, ""en"", ""mt"")"),"Assoċjazzjoni tal-Karozzi tal-Istat tal-Kalifornja")</f>
        <v>Assoċjazzjoni tal-Karozzi tal-Istat tal-Kalifornja</v>
      </c>
    </row>
    <row r="17296" ht="15.75" customHeight="1">
      <c r="A17296" s="2" t="s">
        <v>17296</v>
      </c>
      <c r="B17296" s="2" t="str">
        <f>IFERROR(__xludf.DUMMYFUNCTION("GOOGLETRANSLATE(A17296, ""en"", ""mt"")"),"Elettur tas-Sassonja")</f>
        <v>Elettur tas-Sassonja</v>
      </c>
    </row>
    <row r="17297" ht="15.75" customHeight="1">
      <c r="A17297" s="2" t="s">
        <v>17297</v>
      </c>
      <c r="B17297" s="2" t="str">
        <f>IFERROR(__xludf.DUMMYFUNCTION("GOOGLETRANSLATE(A17297, ""en"", ""mt"")"),"1507")</f>
        <v>1507</v>
      </c>
    </row>
    <row r="17298" ht="15.75" customHeight="1">
      <c r="A17298" s="2" t="s">
        <v>17298</v>
      </c>
      <c r="B17298" s="2" t="str">
        <f>IFERROR(__xludf.DUMMYFUNCTION("GOOGLETRANSLATE(A17298, ""en"", ""mt"")"),"magna atmosferika")</f>
        <v>magna atmosferika</v>
      </c>
    </row>
    <row r="17299" ht="15.75" customHeight="1">
      <c r="A17299" s="2" t="s">
        <v>17299</v>
      </c>
      <c r="B17299" s="2" t="str">
        <f>IFERROR(__xludf.DUMMYFUNCTION("GOOGLETRANSLATE(A17299, ""en"", ""mt"")"),"Franza kif kienet differenti mill-Gran Brittanja fil-ġestjoni tal-kolonji tagħha?")</f>
        <v>Franza kif kienet differenti mill-Gran Brittanja fil-ġestjoni tal-kolonji tagħha?</v>
      </c>
    </row>
    <row r="17300" ht="15.75" customHeight="1">
      <c r="A17300" s="2" t="s">
        <v>17300</v>
      </c>
      <c r="B17300" s="2" t="str">
        <f>IFERROR(__xludf.DUMMYFUNCTION("GOOGLETRANSLATE(A17300, ""en"", ""mt"")"),"4,097.9")</f>
        <v>4,097.9</v>
      </c>
    </row>
    <row r="17301" ht="15.75" customHeight="1">
      <c r="A17301" s="2" t="s">
        <v>17301</v>
      </c>
      <c r="B17301" s="2" t="str">
        <f>IFERROR(__xludf.DUMMYFUNCTION("GOOGLETRANSLATE(A17301, ""en"", ""mt"")"),"aktar assertiv u konfrontazzjonali")</f>
        <v>aktar assertiv u konfrontazzjonali</v>
      </c>
    </row>
    <row r="17302" ht="15.75" customHeight="1">
      <c r="A17302" s="2" t="s">
        <v>17302</v>
      </c>
      <c r="B17302" s="2" t="str">
        <f>IFERROR(__xludf.DUMMYFUNCTION("GOOGLETRANSLATE(A17302, ""en"", ""mt"")"),"Il-katekiżmu żgħir ta 'Luther wera speċjalment effettiv biex jgħin lill-ġenituri jgħallmu lil uliedhom; Bl-istess mod il-katekiżmu akbar kien effettiv għar-ragħajja. Bl-użu tal-vernakulari Ġermaniż, huma esprimew il-kredu tal-appostli f'lingwaġġ aktar sem"&amp;"pliċi, aktar personali u trinitarju. Huwa kiteb kull artiklu tal-kredu biex jesprimi l-karattru tal-Missier, l-Iben, jew l-Ispirtu s-Santu. L-għan ta 'Luther kien li jippermetti lill-katekumens jaraw lilhom infushom bħala oġġett personali tax-xogħol tat-t"&amp;"liet persuni tat-Trinità, li kull wieħed minnhom jaħdem fil-ħajja tal-katekumen. Jiġifieri, Luther iddisinja t-Trinità mhux bħala duttrina li għandha titgħallem, imma bħala persuni li għandhom ikunu magħrufa. Il-Missier joħloq, l-iben jifdi, u l-Ispirtu j"&amp;"qaddes, għaqda divina ma 'personalitajiet separati. Is-salvazzjoni toriġina mal-Missier u tiġbed lil min jemmen lill-Missier. It-trattament ta 'Luther tal-kredu tal-appostli għandu jinftiehem fil-kuntest tad-dekalogu (l-Għaxar Kmandamenti) u t-talb tal-Mu"&amp;"lej, li huma wkoll parti mit-tagħlim katekika Luterana.")</f>
        <v>Il-katekiżmu żgħir ta 'Luther wera speċjalment effettiv biex jgħin lill-ġenituri jgħallmu lil uliedhom; Bl-istess mod il-katekiżmu akbar kien effettiv għar-ragħajja. Bl-użu tal-vernakulari Ġermaniż, huma esprimew il-kredu tal-appostli f'lingwaġġ aktar sempliċi, aktar personali u trinitarju. Huwa kiteb kull artiklu tal-kredu biex jesprimi l-karattru tal-Missier, l-Iben, jew l-Ispirtu s-Santu. L-għan ta 'Luther kien li jippermetti lill-katekumens jaraw lilhom infushom bħala oġġett personali tax-xogħol tat-tliet persuni tat-Trinità, li kull wieħed minnhom jaħdem fil-ħajja tal-katekumen. Jiġifieri, Luther iddisinja t-Trinità mhux bħala duttrina li għandha titgħallem, imma bħala persuni li għandhom ikunu magħrufa. Il-Missier joħloq, l-iben jifdi, u l-Ispirtu jqaddes, għaqda divina ma 'personalitajiet separati. Is-salvazzjoni toriġina mal-Missier u tiġbed lil min jemmen lill-Missier. It-trattament ta 'Luther tal-kredu tal-appostli għandu jinftiehem fil-kuntest tad-dekalogu (l-Għaxar Kmandamenti) u t-talb tal-Mulej, li huma wkoll parti mit-tagħlim katekika Luterana.</v>
      </c>
    </row>
    <row r="17303" ht="15.75" customHeight="1">
      <c r="A17303" s="2" t="s">
        <v>17303</v>
      </c>
      <c r="B17303" s="2" t="str">
        <f>IFERROR(__xludf.DUMMYFUNCTION("GOOGLETRANSLATE(A17303, ""en"", ""mt"")"),"Fejn tinsab l-unika sinagoga Lhudija?")</f>
        <v>Fejn tinsab l-unika sinagoga Lhudija?</v>
      </c>
    </row>
    <row r="17304" ht="15.75" customHeight="1">
      <c r="A17304" s="2" t="s">
        <v>17304</v>
      </c>
      <c r="B17304" s="2" t="str">
        <f>IFERROR(__xludf.DUMMYFUNCTION("GOOGLETRANSLATE(A17304, ""en"", ""mt"")"),"jisraq l-invenzjoni")</f>
        <v>jisraq l-invenzjoni</v>
      </c>
    </row>
    <row r="17305" ht="15.75" customHeight="1">
      <c r="A17305" s="2" t="s">
        <v>17305</v>
      </c>
      <c r="B17305" s="2" t="str">
        <f>IFERROR(__xludf.DUMMYFUNCTION("GOOGLETRANSLATE(A17305, ""en"", ""mt"")"),"L-uffiċċji u l-kamra tal-bord eċċ.")</f>
        <v>L-uffiċċji u l-kamra tal-bord eċċ.</v>
      </c>
    </row>
    <row r="17306" ht="15.75" customHeight="1">
      <c r="A17306" s="2" t="s">
        <v>17306</v>
      </c>
      <c r="B17306" s="2" t="str">
        <f>IFERROR(__xludf.DUMMYFUNCTION("GOOGLETRANSLATE(A17306, ""en"", ""mt"")"),"il-kolonji tal-Amerika Ingliża u Franza l-ġdida")</f>
        <v>il-kolonji tal-Amerika Ingliża u Franza l-ġdida</v>
      </c>
    </row>
    <row r="17307" ht="15.75" customHeight="1">
      <c r="A17307" s="2" t="s">
        <v>17307</v>
      </c>
      <c r="B17307" s="2" t="str">
        <f>IFERROR(__xludf.DUMMYFUNCTION("GOOGLETRANSLATE(A17307, ""en"", ""mt"")"),"riċiklat kontinwament")</f>
        <v>riċiklat kontinwament</v>
      </c>
    </row>
    <row r="17308" ht="15.75" customHeight="1">
      <c r="A17308" s="2" t="s">
        <v>17308</v>
      </c>
      <c r="B17308" s="2" t="str">
        <f>IFERROR(__xludf.DUMMYFUNCTION("GOOGLETRANSLATE(A17308, ""en"", ""mt"")"),"X'kienu l-elezzjonijiet nazzjonali fl-1991 ikkanċellati minn?")</f>
        <v>X'kienu l-elezzjonijiet nazzjonali fl-1991 ikkanċellati minn?</v>
      </c>
    </row>
    <row r="17309" ht="15.75" customHeight="1">
      <c r="A17309" s="2" t="s">
        <v>17309</v>
      </c>
      <c r="B17309" s="2" t="str">
        <f>IFERROR(__xludf.DUMMYFUNCTION("GOOGLETRANSLATE(A17309, ""en"", ""mt"")"),"Liema għan ikun ittikkettat bħala prattiku?")</f>
        <v>Liema għan ikun ittikkettat bħala prattiku?</v>
      </c>
    </row>
    <row r="17310" ht="15.75" customHeight="1">
      <c r="A17310" s="2" t="s">
        <v>17310</v>
      </c>
      <c r="B17310" s="2" t="str">
        <f>IFERROR(__xludf.DUMMYFUNCTION("GOOGLETRANSLATE(A17310, ""en"", ""mt"")"),"Rail ħafif tal-metro")</f>
        <v>Rail ħafif tal-metro</v>
      </c>
    </row>
    <row r="17311" ht="15.75" customHeight="1">
      <c r="A17311" s="2" t="s">
        <v>17311</v>
      </c>
      <c r="B17311" s="2" t="str">
        <f>IFERROR(__xludf.DUMMYFUNCTION("GOOGLETRANSLATE(A17311, ""en"", ""mt"")"),"temporanju")</f>
        <v>temporanju</v>
      </c>
    </row>
    <row r="17312" ht="15.75" customHeight="1">
      <c r="A17312" s="2" t="s">
        <v>17312</v>
      </c>
      <c r="B17312" s="2" t="str">
        <f>IFERROR(__xludf.DUMMYFUNCTION("GOOGLETRANSLATE(A17312, ""en"", ""mt"")"),"David Graeber u Donald Johanson")</f>
        <v>David Graeber u Donald Johanson</v>
      </c>
    </row>
    <row r="17313" ht="15.75" customHeight="1">
      <c r="A17313" s="2" t="s">
        <v>17313</v>
      </c>
      <c r="B17313" s="2" t="str">
        <f>IFERROR(__xludf.DUMMYFUNCTION("GOOGLETRANSLATE(A17313, ""en"", ""mt"")"),"Il-president tal-kummissjoni (")</f>
        <v>Il-president tal-kummissjoni (</v>
      </c>
    </row>
    <row r="17314" ht="15.75" customHeight="1">
      <c r="A17314" s="2" t="s">
        <v>17314</v>
      </c>
      <c r="B17314" s="2" t="str">
        <f>IFERROR(__xludf.DUMMYFUNCTION("GOOGLETRANSLATE(A17314, ""en"", ""mt"")"),"Ma 'min ikkompeti l-BSKYB inizjalment?")</f>
        <v>Ma 'min ikkompeti l-BSKYB inizjalment?</v>
      </c>
    </row>
    <row r="17315" ht="15.75" customHeight="1">
      <c r="A17315" s="2" t="s">
        <v>17315</v>
      </c>
      <c r="B17315" s="2" t="str">
        <f>IFERROR(__xludf.DUMMYFUNCTION("GOOGLETRANSLATE(A17315, ""en"", ""mt"")"),"Kif jissejjaħ ukoll l-Oncorhynchus?")</f>
        <v>Kif jissejjaħ ukoll l-Oncorhynchus?</v>
      </c>
    </row>
    <row r="17316" ht="15.75" customHeight="1">
      <c r="A17316" s="2" t="s">
        <v>17316</v>
      </c>
      <c r="B17316" s="2" t="str">
        <f>IFERROR(__xludf.DUMMYFUNCTION("GOOGLETRANSLATE(A17316, ""en"", ""mt"")"),"X'inhu, lil Luther kellha l-knisja tilfet?")</f>
        <v>X'inhu, lil Luther kellha l-knisja tilfet?</v>
      </c>
    </row>
    <row r="17317" ht="15.75" customHeight="1">
      <c r="A17317" s="2" t="s">
        <v>17317</v>
      </c>
      <c r="B17317" s="2" t="str">
        <f>IFERROR(__xludf.DUMMYFUNCTION("GOOGLETRANSLATE(A17317, ""en"", ""mt"")"),"Dak li ta lil Priestley it-talba li kienet l-ewwel skoperta ta ’ossiġnu?")</f>
        <v>Dak li ta lil Priestley it-talba li kienet l-ewwel skoperta ta ’ossiġnu?</v>
      </c>
    </row>
    <row r="17318" ht="15.75" customHeight="1">
      <c r="A17318" s="2" t="s">
        <v>17318</v>
      </c>
      <c r="B17318" s="2" t="str">
        <f>IFERROR(__xludf.DUMMYFUNCTION("GOOGLETRANSLATE(A17318, ""en"", ""mt"")"),"Fowler")</f>
        <v>Fowler</v>
      </c>
    </row>
    <row r="17319" ht="15.75" customHeight="1">
      <c r="A17319" s="2" t="s">
        <v>17319</v>
      </c>
      <c r="B17319" s="2" t="str">
        <f>IFERROR(__xludf.DUMMYFUNCTION("GOOGLETRANSLATE(A17319, ""en"", ""mt"")"),"1251")</f>
        <v>1251</v>
      </c>
    </row>
    <row r="17320" ht="15.75" customHeight="1">
      <c r="A17320" s="2" t="s">
        <v>17320</v>
      </c>
      <c r="B17320" s="2" t="str">
        <f>IFERROR(__xludf.DUMMYFUNCTION("GOOGLETRANSLATE(A17320, ""en"", ""mt"")"),"tip ta 'kumitat")</f>
        <v>tip ta 'kumitat</v>
      </c>
    </row>
    <row r="17321" ht="15.75" customHeight="1">
      <c r="A17321" s="2" t="s">
        <v>17321</v>
      </c>
      <c r="B17321" s="2" t="str">
        <f>IFERROR(__xludf.DUMMYFUNCTION("GOOGLETRANSLATE(A17321, ""en"", ""mt"")"),"Kemm kien militari Brittaniku fl-Amerika ta ’Fuq fil-bidu tal-gwerra?")</f>
        <v>Kemm kien militari Brittaniku fl-Amerika ta ’Fuq fil-bidu tal-gwerra?</v>
      </c>
    </row>
    <row r="17322" ht="15.75" customHeight="1">
      <c r="A17322" s="2" t="s">
        <v>17322</v>
      </c>
      <c r="B17322" s="2" t="str">
        <f>IFERROR(__xludf.DUMMYFUNCTION("GOOGLETRANSLATE(A17322, ""en"", ""mt"")"),"Liema parti tar-Rhine flussi lejn il-punent f'Katwijk?")</f>
        <v>Liema parti tar-Rhine flussi lejn il-punent f'Katwijk?</v>
      </c>
    </row>
    <row r="17323" ht="15.75" customHeight="1">
      <c r="A17323" s="2" t="s">
        <v>17323</v>
      </c>
      <c r="B17323" s="2" t="str">
        <f>IFERROR(__xludf.DUMMYFUNCTION("GOOGLETRANSLATE(A17323, ""en"", ""mt"")"),"Troika")</f>
        <v>Troika</v>
      </c>
    </row>
    <row r="17324" ht="15.75" customHeight="1">
      <c r="A17324" s="2" t="s">
        <v>17324</v>
      </c>
      <c r="B17324" s="2" t="str">
        <f>IFERROR(__xludf.DUMMYFUNCTION("GOOGLETRANSLATE(A17324, ""en"", ""mt"")"),"X'inhu terminu deskrittiv għal rabta ta 'enerġija baxxa għal għolja?")</f>
        <v>X'inhu terminu deskrittiv għal rabta ta 'enerġija baxxa għal għolja?</v>
      </c>
    </row>
    <row r="17325" ht="15.75" customHeight="1">
      <c r="A17325" s="2" t="s">
        <v>17325</v>
      </c>
      <c r="B17325" s="2" t="str">
        <f>IFERROR(__xludf.DUMMYFUNCTION("GOOGLETRANSLATE(A17325, ""en"", ""mt"")"),"it- ""tiċrit ta 'differenzi teoloġiċi u konfessjonali fl-interessi ta' l-għaqda.""")</f>
        <v>it- "tiċrit ta 'differenzi teoloġiċi u konfessjonali fl-interessi ta' l-għaqda."</v>
      </c>
    </row>
    <row r="17326" ht="15.75" customHeight="1">
      <c r="A17326" s="2" t="s">
        <v>17326</v>
      </c>
      <c r="B17326" s="2" t="str">
        <f>IFERROR(__xludf.DUMMYFUNCTION("GOOGLETRANSLATE(A17326, ""en"", ""mt"")"),"L-Assoċjazzjoni Internazzjonali ta 'Skejjel, Kulleġġi u Universitajiet relatati mal-Metodisti")</f>
        <v>L-Assoċjazzjoni Internazzjonali ta 'Skejjel, Kulleġġi u Universitajiet relatati mal-Metodisti</v>
      </c>
    </row>
    <row r="17327" ht="15.75" customHeight="1">
      <c r="A17327" s="2" t="s">
        <v>17327</v>
      </c>
      <c r="B17327" s="2" t="str">
        <f>IFERROR(__xludf.DUMMYFUNCTION("GOOGLETRANSLATE(A17327, ""en"", ""mt"")"),"Kul!")</f>
        <v>Kul!</v>
      </c>
    </row>
    <row r="17328" ht="15.75" customHeight="1">
      <c r="A17328" s="2" t="s">
        <v>17328</v>
      </c>
      <c r="B17328" s="2" t="str">
        <f>IFERROR(__xludf.DUMMYFUNCTION("GOOGLETRANSLATE(A17328, ""en"", ""mt"")"),"Liema kumpanija ġiet ospitata fit-Teatru Royal għal aktar minn 25 sena?")</f>
        <v>Liema kumpanija ġiet ospitata fit-Teatru Royal għal aktar minn 25 sena?</v>
      </c>
    </row>
    <row r="17329" ht="15.75" customHeight="1">
      <c r="A17329" s="2" t="s">
        <v>17329</v>
      </c>
      <c r="B17329" s="2" t="str">
        <f>IFERROR(__xludf.DUMMYFUNCTION("GOOGLETRANSLATE(A17329, ""en"", ""mt"")"),"Gżira Merritt")</f>
        <v>Gżira Merritt</v>
      </c>
    </row>
    <row r="17330" ht="15.75" customHeight="1">
      <c r="A17330" s="2" t="s">
        <v>17330</v>
      </c>
      <c r="B17330" s="2" t="str">
        <f>IFERROR(__xludf.DUMMYFUNCTION("GOOGLETRANSLATE(A17330, ""en"", ""mt"")"),"Il-ħdax")</f>
        <v>Il-ħdax</v>
      </c>
    </row>
    <row r="17331" ht="15.75" customHeight="1">
      <c r="A17331" s="2" t="s">
        <v>17331</v>
      </c>
      <c r="B17331" s="2" t="str">
        <f>IFERROR(__xludf.DUMMYFUNCTION("GOOGLETRANSLATE(A17331, ""en"", ""mt"")"),"żoni li qed jiġu deformati b'mod attiv")</f>
        <v>żoni li qed jiġu deformati b'mod attiv</v>
      </c>
    </row>
    <row r="17332" ht="15.75" customHeight="1">
      <c r="A17332" s="2" t="s">
        <v>17332</v>
      </c>
      <c r="B17332" s="2" t="str">
        <f>IFERROR(__xludf.DUMMYFUNCTION("GOOGLETRANSLATE(A17332, ""en"", ""mt"")"),"Walter Reed.")</f>
        <v>Walter Reed.</v>
      </c>
    </row>
    <row r="17333" ht="15.75" customHeight="1">
      <c r="A17333" s="2" t="s">
        <v>17333</v>
      </c>
      <c r="B17333" s="2" t="str">
        <f>IFERROR(__xludf.DUMMYFUNCTION("GOOGLETRANSLATE(A17333, ""en"", ""mt"")"),"Dak li jipprojbixxi l-atomi milli jgħaddu minn xulxin?")</f>
        <v>Dak li jipprojbixxi l-atomi milli jgħaddu minn xulxin?</v>
      </c>
    </row>
    <row r="17334" ht="15.75" customHeight="1">
      <c r="A17334" s="2" t="s">
        <v>17334</v>
      </c>
      <c r="B17334" s="2" t="str">
        <f>IFERROR(__xludf.DUMMYFUNCTION("GOOGLETRANSLATE(A17334, ""en"", ""mt"")"),"Minn liema pajjiżi ġew prodotti l-ġabra ta 'Delftware tal-V &amp; A?")</f>
        <v>Minn liema pajjiżi ġew prodotti l-ġabra ta 'Delftware tal-V &amp; A?</v>
      </c>
    </row>
    <row r="17335" ht="15.75" customHeight="1">
      <c r="A17335" s="2" t="s">
        <v>17335</v>
      </c>
      <c r="B17335" s="2" t="str">
        <f>IFERROR(__xludf.DUMMYFUNCTION("GOOGLETRANSLATE(A17335, ""en"", ""mt"")"),"Innu Luterani bikrija")</f>
        <v>Innu Luterani bikrija</v>
      </c>
    </row>
    <row r="17336" ht="15.75" customHeight="1">
      <c r="A17336" s="2" t="s">
        <v>17336</v>
      </c>
      <c r="B17336" s="2" t="str">
        <f>IFERROR(__xludf.DUMMYFUNCTION("GOOGLETRANSLATE(A17336, ""en"", ""mt"")"),"Bejn l-1402 u l-1405, l-ispedizzjoni mmexxija min-Norman Noble Jean de Bethencourt u l-Poitevine Gadifer de la Salle ħakmu l-gżejjer Kanariji ta 'Lanzarote, Fuerteventura u El Hierro barra l-kosta tal-Atlantiku tal-Afrika. It-truppi tagħhom inġabru fin-No"&amp;"rmandija, Gasony u aktar tard ġew imsaħħa minn kolonisti Kastiljani.")</f>
        <v>Bejn l-1402 u l-1405, l-ispedizzjoni mmexxija min-Norman Noble Jean de Bethencourt u l-Poitevine Gadifer de la Salle ħakmu l-gżejjer Kanariji ta 'Lanzarote, Fuerteventura u El Hierro barra l-kosta tal-Atlantiku tal-Afrika. It-truppi tagħhom inġabru fin-Normandija, Gasony u aktar tard ġew imsaħħa minn kolonisti Kastiljani.</v>
      </c>
    </row>
    <row r="17337" ht="15.75" customHeight="1">
      <c r="A17337" s="2" t="s">
        <v>17337</v>
      </c>
      <c r="B17337" s="2" t="str">
        <f>IFERROR(__xludf.DUMMYFUNCTION("GOOGLETRANSLATE(A17337, ""en"", ""mt"")"),"Kif tissejjaħ l-ewwel liwja ewlenija fir-Renu?")</f>
        <v>Kif tissejjaħ l-ewwel liwja ewlenija fir-Renu?</v>
      </c>
    </row>
    <row r="17338" ht="15.75" customHeight="1">
      <c r="A17338" s="2" t="s">
        <v>17338</v>
      </c>
      <c r="B17338" s="2" t="str">
        <f>IFERROR(__xludf.DUMMYFUNCTION("GOOGLETRANSLATE(A17338, ""en"", ""mt"")"),"F'April 1970, il-Kungress għadda l-Att dwar it-Tipjip tas-Sigaretti tas-Saħħa Pubblika li pprojbixxa r-reklamar tas-sigaretti min-netwerks kollha tat-televiżjoni u tar-radju, inkluż ABC, meta daħal fis-seħħ fit-2 ta 'Jannar, 1971. Iċċita profittabilità li"&amp;"mitata taċ-ċinemas tiegħu, ABC Great Stati, il-Punent Ċentrali, il-Punent Ċentrali Id-Diviżjoni tat-Teatri tal-ABC, inbiegħet lil Henry Plitt fl-1974. Fis-17 ta 'Jannar, 1972, ir-regola Elton ġiet imsemmija president u uffiċjal kap operattiv ta' ABC ftit "&amp;"xhur wara li Goldenson naqqas ir-rwol tiegħu fil-kumpanija wara li sofra attakk tal-qalb.")</f>
        <v>F'April 1970, il-Kungress għadda l-Att dwar it-Tipjip tas-Sigaretti tas-Saħħa Pubblika li pprojbixxa r-reklamar tas-sigaretti min-netwerks kollha tat-televiżjoni u tar-radju, inkluż ABC, meta daħal fis-seħħ fit-2 ta 'Jannar, 1971. Iċċita profittabilità limitata taċ-ċinemas tiegħu, ABC Great Stati, il-Punent Ċentrali, il-Punent Ċentrali Id-Diviżjoni tat-Teatri tal-ABC, inbiegħet lil Henry Plitt fl-1974. Fis-17 ta 'Jannar, 1972, ir-regola Elton ġiet imsemmija president u uffiċjal kap operattiv ta' ABC ftit xhur wara li Goldenson naqqas ir-rwol tiegħu fil-kumpanija wara li sofra attakk tal-qalb.</v>
      </c>
    </row>
    <row r="17339" ht="15.75" customHeight="1">
      <c r="A17339" s="2" t="s">
        <v>17339</v>
      </c>
      <c r="B17339" s="2" t="str">
        <f>IFERROR(__xludf.DUMMYFUNCTION("GOOGLETRANSLATE(A17339, ""en"", ""mt"")"),"kuntest modern")</f>
        <v>kuntest modern</v>
      </c>
    </row>
    <row r="17340" ht="15.75" customHeight="1">
      <c r="A17340" s="2" t="s">
        <v>17340</v>
      </c>
      <c r="B17340" s="2" t="str">
        <f>IFERROR(__xludf.DUMMYFUNCTION("GOOGLETRANSLATE(A17340, ""en"", ""mt"")"),"Kumitati tas-suġġetti huma stabbiliti fil-bidu ta 'kull sessjoni parlamentari, u għal darb'oħra l-membri f'kull kumitat jirriflettu l-bilanċ tal-partijiet madwar il-Parlament. Tipikament kull kumitat jikkorrispondi ma 'wieħed (jew aktar) tad-dipartimenti "&amp;"(jew ministeri) tal-gvern Skoċċiż. Il-kumitati tas-suġġetti attwali fir-raba 'sessjoni huma: ekonomija, enerġija u turiżmu; Edukazzjoni u kultura; Saħħa u sport; Ġustizzja; Gvern lokali u riġenerazzjoni; Affarijiet rurali, bidla fil-klima u ambjent; Rifor"&amp;"ma tal-benesseri; u infrastruttura u investiment kapitali.")</f>
        <v>Kumitati tas-suġġetti huma stabbiliti fil-bidu ta 'kull sessjoni parlamentari, u għal darb'oħra l-membri f'kull kumitat jirriflettu l-bilanċ tal-partijiet madwar il-Parlament. Tipikament kull kumitat jikkorrispondi ma 'wieħed (jew aktar) tad-dipartimenti (jew ministeri) tal-gvern Skoċċiż. Il-kumitati tas-suġġetti attwali fir-raba 'sessjoni huma: ekonomija, enerġija u turiżmu; Edukazzjoni u kultura; Saħħa u sport; Ġustizzja; Gvern lokali u riġenerazzjoni; Affarijiet rurali, bidla fil-klima u ambjent; Riforma tal-benesseri; u infrastruttura u investiment kapitali.</v>
      </c>
    </row>
    <row r="17341" ht="15.75" customHeight="1">
      <c r="A17341" s="2" t="s">
        <v>17341</v>
      </c>
      <c r="B17341" s="2" t="str">
        <f>IFERROR(__xludf.DUMMYFUNCTION("GOOGLETRANSLATE(A17341, ""en"", ""mt"")"),"L-arkitettura residenzjali tad-distrett tat-Torri tqabbel jew tikkuntrasta ma 'parti oħra ta' Fresno?")</f>
        <v>L-arkitettura residenzjali tad-distrett tat-Torri tqabbel jew tikkuntrasta ma 'parti oħra ta' Fresno?</v>
      </c>
    </row>
    <row r="17342" ht="15.75" customHeight="1">
      <c r="A17342" s="2" t="s">
        <v>17342</v>
      </c>
      <c r="B17342" s="2" t="str">
        <f>IFERROR(__xludf.DUMMYFUNCTION("GOOGLETRANSLATE(A17342, ""en"", ""mt"")"),"Kemm kienu kbar il-boltijiet artifiċjali tiegħu?")</f>
        <v>Kemm kienu kbar il-boltijiet artifiċjali tiegħu?</v>
      </c>
    </row>
    <row r="17343" ht="15.75" customHeight="1">
      <c r="A17343" s="2" t="s">
        <v>17343</v>
      </c>
      <c r="B17343" s="2" t="str">
        <f>IFERROR(__xludf.DUMMYFUNCTION("GOOGLETRANSLATE(A17343, ""en"", ""mt"")"),"Is-sismologi jistgħu jużaw il-ħinijiet tal-wasla tal-mewġ sismiku bil-maqlub biex jimmaġinaw l-intern tad-dinja. Avvanzi bikrija f'dan il-qasam urew l-eżistenza ta 'qalba ta' barra likwidu (fejn il-mewġ ta 'shear ma setgħux jinfirxu) u qalba ta' ġewwa sol"&amp;"ida densa. Dawn l-avvanzi wasslu għall-iżvilupp ta 'mudell b'saffi ta' l-art, bil-qoxra u l-litosfera fuq nett, il-mantell ta 'taħt (separat fih innifsu permezz ta' diskontinwitajiet sismiċi f'410 u 660 kilometru), u l-qalba ta 'barra u l-qalba ta' ġewwa "&amp;"u l-qalba ta 'ġewwa taħt dak. Aktar reċentement, is-sismologi setgħu joħolqu immaġini dettaljati ta 'veloċitajiet tal-mewġ ġewwa d-Dinja bl-istess mod li tabib jimmaġina korp fi scan CT. Dawn l-immaġini wasslu għal veduta ferm aktar dettaljata ta 'l-inter"&amp;"n tad-dinja, u biddlu l-mudell simplifikat b'saffi b'mudell ferm aktar dinamiku.")</f>
        <v>Is-sismologi jistgħu jużaw il-ħinijiet tal-wasla tal-mewġ sismiku bil-maqlub biex jimmaġinaw l-intern tad-dinja. Avvanzi bikrija f'dan il-qasam urew l-eżistenza ta 'qalba ta' barra likwidu (fejn il-mewġ ta 'shear ma setgħux jinfirxu) u qalba ta' ġewwa solida densa. Dawn l-avvanzi wasslu għall-iżvilupp ta 'mudell b'saffi ta' l-art, bil-qoxra u l-litosfera fuq nett, il-mantell ta 'taħt (separat fih innifsu permezz ta' diskontinwitajiet sismiċi f'410 u 660 kilometru), u l-qalba ta 'barra u l-qalba ta' ġewwa u l-qalba ta 'ġewwa taħt dak. Aktar reċentement, is-sismologi setgħu joħolqu immaġini dettaljati ta 'veloċitajiet tal-mewġ ġewwa d-Dinja bl-istess mod li tabib jimmaġina korp fi scan CT. Dawn l-immaġini wasslu għal veduta ferm aktar dettaljata ta 'l-intern tad-dinja, u biddlu l-mudell simplifikat b'saffi b'mudell ferm aktar dinamiku.</v>
      </c>
    </row>
    <row r="17344" ht="15.75" customHeight="1">
      <c r="A17344" s="2" t="s">
        <v>17344</v>
      </c>
      <c r="B17344" s="2" t="str">
        <f>IFERROR(__xludf.DUMMYFUNCTION("GOOGLETRANSLATE(A17344, ""en"", ""mt"")"),"Netwerks taż-żona lokali permessi jiġu stabbiliti ad hoc mingħajr ir-rekwiżit għal router jew server ċentralizzat")</f>
        <v>Netwerks taż-żona lokali permessi jiġu stabbiliti ad hoc mingħajr ir-rekwiżit għal router jew server ċentralizzat</v>
      </c>
    </row>
    <row r="17345" ht="15.75" customHeight="1">
      <c r="A17345" s="2" t="s">
        <v>17345</v>
      </c>
      <c r="B17345" s="2" t="str">
        <f>IFERROR(__xludf.DUMMYFUNCTION("GOOGLETRANSLATE(A17345, ""en"", ""mt"")"),"Liema funzjoni jagħmlu komposti bħall-fenol u l-aċetun iservu fil-manifattura ta 'ħafna sustanzi oħra?")</f>
        <v>Liema funzjoni jagħmlu komposti bħall-fenol u l-aċetun iservu fil-manifattura ta 'ħafna sustanzi oħra?</v>
      </c>
    </row>
    <row r="17346" ht="15.75" customHeight="1">
      <c r="A17346" s="2" t="s">
        <v>17346</v>
      </c>
      <c r="B17346" s="2" t="str">
        <f>IFERROR(__xludf.DUMMYFUNCTION("GOOGLETRANSLATE(A17346, ""en"", ""mt"")"),"Meta Genghis Khan qabad il-kapitali Jin Dynasty?")</f>
        <v>Meta Genghis Khan qabad il-kapitali Jin Dynasty?</v>
      </c>
    </row>
    <row r="17347" ht="15.75" customHeight="1">
      <c r="A17347" s="2" t="s">
        <v>17347</v>
      </c>
      <c r="B17347" s="2" t="str">
        <f>IFERROR(__xludf.DUMMYFUNCTION("GOOGLETRANSLATE(A17347, ""en"", ""mt"")"),"Era Mesozoic")</f>
        <v>Era Mesozoic</v>
      </c>
    </row>
    <row r="17348" ht="15.75" customHeight="1">
      <c r="A17348" s="2" t="s">
        <v>17348</v>
      </c>
      <c r="B17348" s="2" t="str">
        <f>IFERROR(__xludf.DUMMYFUNCTION("GOOGLETRANSLATE(A17348, ""en"", ""mt"")"),"Konferenza Ġenerali tal-1996")</f>
        <v>Konferenza Ġenerali tal-1996</v>
      </c>
    </row>
    <row r="17349" ht="15.75" customHeight="1">
      <c r="A17349" s="2" t="s">
        <v>17349</v>
      </c>
      <c r="B17349" s="2" t="str">
        <f>IFERROR(__xludf.DUMMYFUNCTION("GOOGLETRANSLATE(A17349, ""en"", ""mt"")"),"Kemm hemm sororitajiet apparti mill-università?")</f>
        <v>Kemm hemm sororitajiet apparti mill-università?</v>
      </c>
    </row>
    <row r="17350" ht="15.75" customHeight="1">
      <c r="A17350" s="2" t="s">
        <v>17350</v>
      </c>
      <c r="B17350" s="2" t="str">
        <f>IFERROR(__xludf.DUMMYFUNCTION("GOOGLETRANSLATE(A17350, ""en"", ""mt"")"),"30 jum")</f>
        <v>30 jum</v>
      </c>
    </row>
    <row r="17351" ht="15.75" customHeight="1">
      <c r="A17351" s="2" t="s">
        <v>17351</v>
      </c>
      <c r="B17351" s="2" t="str">
        <f>IFERROR(__xludf.DUMMYFUNCTION("GOOGLETRANSLATE(A17351, ""en"", ""mt"")"),"Madwar 1015 Kelvins")</f>
        <v>Madwar 1015 Kelvins</v>
      </c>
    </row>
    <row r="17352" ht="15.75" customHeight="1">
      <c r="A17352" s="2" t="s">
        <v>17352</v>
      </c>
      <c r="B17352" s="2" t="str">
        <f>IFERROR(__xludf.DUMMYFUNCTION("GOOGLETRANSLATE(A17352, ""en"", ""mt"")"),"nofs daqskemm")</f>
        <v>nofs daqskemm</v>
      </c>
    </row>
    <row r="17353" ht="15.75" customHeight="1">
      <c r="A17353" s="2" t="s">
        <v>17353</v>
      </c>
      <c r="B17353" s="2" t="str">
        <f>IFERROR(__xludf.DUMMYFUNCTION("GOOGLETRANSLATE(A17353, ""en"", ""mt"")"),"Alsace")</f>
        <v>Alsace</v>
      </c>
    </row>
    <row r="17354" ht="15.75" customHeight="1">
      <c r="A17354" s="2" t="s">
        <v>17354</v>
      </c>
      <c r="B17354" s="2" t="str">
        <f>IFERROR(__xludf.DUMMYFUNCTION("GOOGLETRANSLATE(A17354, ""en"", ""mt"")"),"ma jiġbor fil-qosor ir-rapport sħiħ tal-WGI")</f>
        <v>ma jiġbor fil-qosor ir-rapport sħiħ tal-WGI</v>
      </c>
    </row>
    <row r="17355" ht="15.75" customHeight="1">
      <c r="A17355" s="2" t="s">
        <v>17355</v>
      </c>
      <c r="B17355" s="2" t="str">
        <f>IFERROR(__xludf.DUMMYFUNCTION("GOOGLETRANSLATE(A17355, ""en"", ""mt"")"),"Serje ta 'stufi taċ-ċeramika mżejna b'mod elaborat")</f>
        <v>Serje ta 'stufi taċ-ċeramika mżejna b'mod elaborat</v>
      </c>
    </row>
    <row r="17356" ht="15.75" customHeight="1">
      <c r="A17356" s="2" t="s">
        <v>17356</v>
      </c>
      <c r="B17356" s="2" t="str">
        <f>IFERROR(__xludf.DUMMYFUNCTION("GOOGLETRANSLATE(A17356, ""en"", ""mt"")"),"Minbarra l-ossidi, liema komposti oħra jinkludu porzjon kbir tal-qoxra tad-Dinja?")</f>
        <v>Minbarra l-ossidi, liema komposti oħra jinkludu porzjon kbir tal-qoxra tad-Dinja?</v>
      </c>
    </row>
    <row r="17357" ht="15.75" customHeight="1">
      <c r="A17357" s="2" t="s">
        <v>17357</v>
      </c>
      <c r="B17357" s="2" t="str">
        <f>IFERROR(__xludf.DUMMYFUNCTION("GOOGLETRANSLATE(A17357, ""en"", ""mt"")"),"Cameron")</f>
        <v>Cameron</v>
      </c>
    </row>
    <row r="17358" ht="15.75" customHeight="1">
      <c r="A17358" s="2" t="s">
        <v>17358</v>
      </c>
      <c r="B17358" s="2" t="str">
        <f>IFERROR(__xludf.DUMMYFUNCTION("GOOGLETRANSLATE(A17358, ""en"", ""mt"")"),"X'inhu l-isem tal-għalliem spiritwali fl-Induiżmu?")</f>
        <v>X'inhu l-isem tal-għalliem spiritwali fl-Induiżmu?</v>
      </c>
    </row>
    <row r="17359" ht="15.75" customHeight="1">
      <c r="A17359" s="2" t="s">
        <v>17359</v>
      </c>
      <c r="B17359" s="2" t="str">
        <f>IFERROR(__xludf.DUMMYFUNCTION("GOOGLETRANSLATE(A17359, ""en"", ""mt"")"),"sallur elettriku")</f>
        <v>sallur elettriku</v>
      </c>
    </row>
    <row r="17360" ht="15.75" customHeight="1">
      <c r="A17360" s="2" t="s">
        <v>17360</v>
      </c>
      <c r="B17360" s="2" t="str">
        <f>IFERROR(__xludf.DUMMYFUNCTION("GOOGLETRANSLATE(A17360, ""en"", ""mt"")"),"Ir-rivalità atletika ta 'Harvard ma' Yale hija intensa f'kull sport li fih jiltaqgħu magħhom, li jaslu għal qofol kull waqgħa fil-laqgħa annwali tal-futbol, ​​li tmur lura għall-1875 u ġeneralment tissejjaħ sempliċement ""il-logħba"". Filwaqt li t-tim tal"&amp;"-futbol ta 'Harvard m'għadux wieħed mill-aqwa tal-pajjiż peress li ta' spiss kien seklu ilu matul il-jiem bikrin tal-futbol (rebaħ il-Rose Bowl fl-1920), kemm dan kif ukoll Yale influwenzaw il-mod kif tintlagħab il-logħba. Fl-1903, il-Harvard Stadium intr"&amp;"oduċa era ġdida fil-futbol bl-ewwel grawnd tal-konkrit rinforzat permanenti tat-tip tiegħu fil-pajjiż. L-istruttura tal-istadium fil-fatt kellha rwol fl-evoluzzjoni tal-logħba tal-kulleġġ. Fittex li tnaqqas in-numru allarmanti ta 'mwiet u korrimenti serji"&amp;" fl-isport, Walter Camp (ex kaptan tat-tim tal-futbol Yale), issuġġerixxa li titwessa' l-grawnd biex tiftaħ il-logħba. Iżda l-istadium kien dejjaq wisq biex jakkomoda wiċċ ta 'logħob usa'. Allura, kellhom jittieħdu passi oħra. Camp minflok jappoġġja regol"&amp;"i rivoluzzjonarji ġodda għall-istaġun tal-1906. Dawn kienu jinkludu l-legalizzazzjoni tal-pass 'il quddiem, forsi l-iktar bidla sinifikanti fir-regola fl-istorja tal-isport.")</f>
        <v>Ir-rivalità atletika ta 'Harvard ma' Yale hija intensa f'kull sport li fih jiltaqgħu magħhom, li jaslu għal qofol kull waqgħa fil-laqgħa annwali tal-futbol, ​​li tmur lura għall-1875 u ġeneralment tissejjaħ sempliċement "il-logħba". Filwaqt li t-tim tal-futbol ta 'Harvard m'għadux wieħed mill-aqwa tal-pajjiż peress li ta' spiss kien seklu ilu matul il-jiem bikrin tal-futbol (rebaħ il-Rose Bowl fl-1920), kemm dan kif ukoll Yale influwenzaw il-mod kif tintlagħab il-logħba. Fl-1903, il-Harvard Stadium introduċa era ġdida fil-futbol bl-ewwel grawnd tal-konkrit rinforzat permanenti tat-tip tiegħu fil-pajjiż. L-istruttura tal-istadium fil-fatt kellha rwol fl-evoluzzjoni tal-logħba tal-kulleġġ. Fittex li tnaqqas in-numru allarmanti ta 'mwiet u korrimenti serji fl-isport, Walter Camp (ex kaptan tat-tim tal-futbol Yale), issuġġerixxa li titwessa' l-grawnd biex tiftaħ il-logħba. Iżda l-istadium kien dejjaq wisq biex jakkomoda wiċċ ta 'logħob usa'. Allura, kellhom jittieħdu passi oħra. Camp minflok jappoġġja regoli rivoluzzjonarji ġodda għall-istaġun tal-1906. Dawn kienu jinkludu l-legalizzazzjoni tal-pass 'il quddiem, forsi l-iktar bidla sinifikanti fir-regola fl-istorja tal-isport.</v>
      </c>
    </row>
    <row r="17361" ht="15.75" customHeight="1">
      <c r="A17361" s="2" t="s">
        <v>17361</v>
      </c>
      <c r="B17361" s="2" t="str">
        <f>IFERROR(__xludf.DUMMYFUNCTION("GOOGLETRANSLATE(A17361, ""en"", ""mt"")"),"Min kien miġbud lejn Jacksonville fl-1910?")</f>
        <v>Min kien miġbud lejn Jacksonville fl-1910?</v>
      </c>
    </row>
    <row r="17362" ht="15.75" customHeight="1">
      <c r="A17362" s="2" t="s">
        <v>17362</v>
      </c>
      <c r="B17362" s="2" t="str">
        <f>IFERROR(__xludf.DUMMYFUNCTION("GOOGLETRANSLATE(A17362, ""en"", ""mt"")"),"bejn p u pspace")</f>
        <v>bejn p u pspace</v>
      </c>
    </row>
    <row r="17363" ht="15.75" customHeight="1">
      <c r="A17363" s="2" t="s">
        <v>17363</v>
      </c>
      <c r="B17363" s="2" t="str">
        <f>IFERROR(__xludf.DUMMYFUNCTION("GOOGLETRANSLATE(A17363, ""en"", ""mt"")"),"Kif jgħaddu l-kontijiet mill-Parlament?")</f>
        <v>Kif jgħaddu l-kontijiet mill-Parlament?</v>
      </c>
    </row>
    <row r="17364" ht="15.75" customHeight="1">
      <c r="A17364" s="2" t="s">
        <v>17364</v>
      </c>
      <c r="B17364" s="2" t="str">
        <f>IFERROR(__xludf.DUMMYFUNCTION("GOOGLETRANSLATE(A17364, ""en"", ""mt"")"),"Iz-zijiet ta ’Tesla")</f>
        <v>Iz-zijiet ta ’Tesla</v>
      </c>
    </row>
    <row r="17365" ht="15.75" customHeight="1">
      <c r="A17365" s="2" t="s">
        <v>17365</v>
      </c>
      <c r="B17365" s="2" t="str">
        <f>IFERROR(__xludf.DUMMYFUNCTION("GOOGLETRANSLATE(A17365, ""en"", ""mt"")"),"Ir-Renu kanalizzat")</f>
        <v>Ir-Renu kanalizzat</v>
      </c>
    </row>
    <row r="17366" ht="15.75" customHeight="1">
      <c r="A17366" s="2" t="s">
        <v>17366</v>
      </c>
      <c r="B17366" s="2" t="str">
        <f>IFERROR(__xludf.DUMMYFUNCTION("GOOGLETRANSLATE(A17366, ""en"", ""mt"")"),"is-sett ta 'trippli (a, b, c) tali li r-relazzjoni a × b = c iżżomm")</f>
        <v>is-sett ta 'trippli (a, b, c) tali li r-relazzjoni a × b = c iżżomm</v>
      </c>
    </row>
    <row r="17367" ht="15.75" customHeight="1">
      <c r="A17367" s="2" t="s">
        <v>17367</v>
      </c>
      <c r="B17367" s="2" t="str">
        <f>IFERROR(__xludf.DUMMYFUNCTION("GOOGLETRANSLATE(A17367, ""en"", ""mt"")"),"Stb")</f>
        <v>Stb</v>
      </c>
    </row>
    <row r="17368" ht="15.75" customHeight="1">
      <c r="A17368" s="2" t="s">
        <v>17368</v>
      </c>
      <c r="B17368" s="2" t="str">
        <f>IFERROR(__xludf.DUMMYFUNCTION("GOOGLETRANSLATE(A17368, ""en"", ""mt"")"),"Liema trattat jipprovdi li l-liġi tal-Unjoni Ewropea tiġi applikata għal territorji metropolitani ta 'l-istati membri?")</f>
        <v>Liema trattat jipprovdi li l-liġi tal-Unjoni Ewropea tiġi applikata għal territorji metropolitani ta 'l-istati membri?</v>
      </c>
    </row>
    <row r="17369" ht="15.75" customHeight="1">
      <c r="A17369" s="2" t="s">
        <v>17369</v>
      </c>
      <c r="B17369" s="2" t="str">
        <f>IFERROR(__xludf.DUMMYFUNCTION("GOOGLETRANSLATE(A17369, ""en"", ""mt"")"),"Astra's")</f>
        <v>Astra's</v>
      </c>
    </row>
    <row r="17370" ht="15.75" customHeight="1">
      <c r="A17370" s="2" t="s">
        <v>17370</v>
      </c>
      <c r="B17370" s="2" t="str">
        <f>IFERROR(__xludf.DUMMYFUNCTION("GOOGLETRANSLATE(A17370, ""en"", ""mt"")"),"Min kien wieħed mill-ewwel eżempji ta 'diżubbidjenza ċivili kontra?")</f>
        <v>Min kien wieħed mill-ewwel eżempji ta 'diżubbidjenza ċivili kontra?</v>
      </c>
    </row>
    <row r="17371" ht="15.75" customHeight="1">
      <c r="A17371" s="2" t="s">
        <v>17371</v>
      </c>
      <c r="B17371" s="2" t="str">
        <f>IFERROR(__xludf.DUMMYFUNCTION("GOOGLETRANSLATE(A17371, ""en"", ""mt"")"),"Ħamsin fil-mija aktar")</f>
        <v>Ħamsin fil-mija aktar</v>
      </c>
    </row>
    <row r="17372" ht="15.75" customHeight="1">
      <c r="A17372" s="2" t="s">
        <v>17372</v>
      </c>
      <c r="B17372" s="2" t="str">
        <f>IFERROR(__xludf.DUMMYFUNCTION("GOOGLETRANSLATE(A17372, ""en"", ""mt"")"),"Sajd żejjed u bidliet ambjentali fit-tul")</f>
        <v>Sajd żejjed u bidliet ambjentali fit-tul</v>
      </c>
    </row>
    <row r="17373" ht="15.75" customHeight="1">
      <c r="A17373" s="2" t="s">
        <v>17373</v>
      </c>
      <c r="B17373" s="2" t="str">
        <f>IFERROR(__xludf.DUMMYFUNCTION("GOOGLETRANSLATE(A17373, ""en"", ""mt"")"),"Tliet tipi ta 'moviment")</f>
        <v>Tliet tipi ta 'moviment</v>
      </c>
    </row>
    <row r="17374" ht="15.75" customHeight="1">
      <c r="A17374" s="2" t="s">
        <v>17374</v>
      </c>
      <c r="B17374" s="2" t="str">
        <f>IFERROR(__xludf.DUMMYFUNCTION("GOOGLETRANSLATE(A17374, ""en"", ""mt"")"),"Test ta 'prelaunch")</f>
        <v>Test ta 'prelaunch</v>
      </c>
    </row>
    <row r="17375" ht="15.75" customHeight="1">
      <c r="A17375" s="2" t="s">
        <v>17375</v>
      </c>
      <c r="B17375" s="2" t="str">
        <f>IFERROR(__xludf.DUMMYFUNCTION("GOOGLETRANSLATE(A17375, ""en"", ""mt"")"),"xadina")</f>
        <v>xadina</v>
      </c>
    </row>
    <row r="17376" ht="15.75" customHeight="1">
      <c r="A17376" s="2" t="s">
        <v>17376</v>
      </c>
      <c r="B17376" s="2" t="str">
        <f>IFERROR(__xludf.DUMMYFUNCTION("GOOGLETRANSLATE(A17376, ""en"", ""mt"")"),"Kif jirriproduċu l-platyctenids?")</f>
        <v>Kif jirriproduċu l-platyctenids?</v>
      </c>
    </row>
    <row r="17377" ht="15.75" customHeight="1">
      <c r="A17377" s="2" t="s">
        <v>17377</v>
      </c>
      <c r="B17377" s="2" t="str">
        <f>IFERROR(__xludf.DUMMYFUNCTION("GOOGLETRANSLATE(A17377, ""en"", ""mt"")"),"Kemm żdied il-prodott agrikolu gross mill-2003-04?")</f>
        <v>Kemm żdied il-prodott agrikolu gross mill-2003-04?</v>
      </c>
    </row>
    <row r="17378" ht="15.75" customHeight="1">
      <c r="A17378" s="2" t="s">
        <v>17378</v>
      </c>
      <c r="B17378" s="2" t="str">
        <f>IFERROR(__xludf.DUMMYFUNCTION("GOOGLETRANSLATE(A17378, ""en"", ""mt"")"),"X'inhu l-isem tal-pont li jingħaqad ma 'partijiet tal-kampus tax-xmara Charles?")</f>
        <v>X'inhu l-isem tal-pont li jingħaqad ma 'partijiet tal-kampus tax-xmara Charles?</v>
      </c>
    </row>
    <row r="17379" ht="15.75" customHeight="1">
      <c r="A17379" s="2" t="s">
        <v>17379</v>
      </c>
      <c r="B17379" s="2" t="str">
        <f>IFERROR(__xludf.DUMMYFUNCTION("GOOGLETRANSLATE(A17379, ""en"", ""mt"")"),"Swiss-Awstrijan")</f>
        <v>Swiss-Awstrijan</v>
      </c>
    </row>
    <row r="17380" ht="15.75" customHeight="1">
      <c r="A17380" s="2" t="s">
        <v>17380</v>
      </c>
      <c r="B17380" s="2" t="str">
        <f>IFERROR(__xludf.DUMMYFUNCTION("GOOGLETRANSLATE(A17380, ""en"", ""mt"")"),"Il-kriżi tal-enerġija")</f>
        <v>Il-kriżi tal-enerġija</v>
      </c>
    </row>
    <row r="17381" ht="15.75" customHeight="1">
      <c r="A17381" s="2" t="s">
        <v>17381</v>
      </c>
      <c r="B17381" s="2" t="str">
        <f>IFERROR(__xludf.DUMMYFUNCTION("GOOGLETRANSLATE(A17381, ""en"", ""mt"")"),"Liema kumpanija bla fili kellha drittijiet ta 'streaming esklussivi fuq telefowns ċellulari?")</f>
        <v>Liema kumpanija bla fili kellha drittijiet ta 'streaming esklussivi fuq telefowns ċellulari?</v>
      </c>
    </row>
    <row r="17382" ht="15.75" customHeight="1">
      <c r="A17382" s="2" t="s">
        <v>17382</v>
      </c>
      <c r="B17382" s="2" t="str">
        <f>IFERROR(__xludf.DUMMYFUNCTION("GOOGLETRANSLATE(A17382, ""en"", ""mt"")"),"Wirt Dinji tal-UNESCO")</f>
        <v>Wirt Dinji tal-UNESCO</v>
      </c>
    </row>
    <row r="17383" ht="15.75" customHeight="1">
      <c r="A17383" s="2" t="s">
        <v>17383</v>
      </c>
      <c r="B17383" s="2" t="str">
        <f>IFERROR(__xludf.DUMMYFUNCTION("GOOGLETRANSLATE(A17383, ""en"", ""mt"")"),"Gegeen Khan")</f>
        <v>Gegeen Khan</v>
      </c>
    </row>
    <row r="17384" ht="15.75" customHeight="1">
      <c r="A17384" s="2" t="s">
        <v>17384</v>
      </c>
      <c r="B17384" s="2" t="str">
        <f>IFERROR(__xludf.DUMMYFUNCTION("GOOGLETRANSLATE(A17384, ""en"", ""mt"")"),"Kemm ġew irreġistrati kumpaniji f'Varsavja fl-2006?")</f>
        <v>Kemm ġew irreġistrati kumpaniji f'Varsavja fl-2006?</v>
      </c>
    </row>
    <row r="17385" ht="15.75" customHeight="1">
      <c r="A17385" s="2" t="s">
        <v>17385</v>
      </c>
      <c r="B17385" s="2" t="str">
        <f>IFERROR(__xludf.DUMMYFUNCTION("GOOGLETRANSLATE(A17385, ""en"", ""mt"")"),"Fejn f'Varsavja hemm oġġetti patrijottiċi u politiċi konnessi mal-ġlidiet tal-Polonja għall-indipendenza?")</f>
        <v>Fejn f'Varsavja hemm oġġetti patrijottiċi u politiċi konnessi mal-ġlidiet tal-Polonja għall-indipendenza?</v>
      </c>
    </row>
    <row r="17386" ht="15.75" customHeight="1">
      <c r="A17386" s="2" t="s">
        <v>17386</v>
      </c>
      <c r="B17386" s="2" t="str">
        <f>IFERROR(__xludf.DUMMYFUNCTION("GOOGLETRANSLATE(A17386, ""en"", ""mt"")"),"L-imperjalizmu Ewropew kien iffokat fuq xiex?")</f>
        <v>L-imperjalizmu Ewropew kien iffokat fuq xiex?</v>
      </c>
    </row>
    <row r="17387" ht="15.75" customHeight="1">
      <c r="A17387" s="2" t="s">
        <v>17387</v>
      </c>
      <c r="B17387" s="2" t="str">
        <f>IFERROR(__xludf.DUMMYFUNCTION("GOOGLETRANSLATE(A17387, ""en"", ""mt"")"),"3600 rivoluzzjoni kull minuta")</f>
        <v>3600 rivoluzzjoni kull minuta</v>
      </c>
    </row>
    <row r="17388" ht="15.75" customHeight="1">
      <c r="A17388" s="2" t="s">
        <v>17388</v>
      </c>
      <c r="B17388" s="2" t="str">
        <f>IFERROR(__xludf.DUMMYFUNCTION("GOOGLETRANSLATE(A17388, ""en"", ""mt"")"),"Min ipprevjeni l-Broncos milli jmur fis-Super Bowl?")</f>
        <v>Min ipprevjeni l-Broncos milli jmur fis-Super Bowl?</v>
      </c>
    </row>
    <row r="17389" ht="15.75" customHeight="1">
      <c r="A17389" s="2" t="s">
        <v>17389</v>
      </c>
      <c r="B17389" s="2" t="str">
        <f>IFERROR(__xludf.DUMMYFUNCTION("GOOGLETRANSLATE(A17389, ""en"", ""mt"")"),"$ 230 miljun")</f>
        <v>$ 230 miljun</v>
      </c>
    </row>
    <row r="17390" ht="15.75" customHeight="1">
      <c r="A17390" s="2" t="s">
        <v>17390</v>
      </c>
      <c r="B17390" s="2" t="str">
        <f>IFERROR(__xludf.DUMMYFUNCTION("GOOGLETRANSLATE(A17390, ""en"", ""mt"")"),"Liema kumpanija tal-logħob tal-vidjow iddebuttaw ir-riklam tagħhom għall-ewwel darba waqt Super Bowl 50?")</f>
        <v>Liema kumpanija tal-logħob tal-vidjow iddebuttaw ir-riklam tagħhom għall-ewwel darba waqt Super Bowl 50?</v>
      </c>
    </row>
    <row r="17391" ht="15.75" customHeight="1">
      <c r="A17391" s="2" t="s">
        <v>17391</v>
      </c>
      <c r="B17391" s="2" t="str">
        <f>IFERROR(__xludf.DUMMYFUNCTION("GOOGLETRANSLATE(A17391, ""en"", ""mt"")"),"Liema aġenda fit-tul kienet l-atti ta 'artijiet Musulmani li jisirqu mill-punent?")</f>
        <v>Liema aġenda fit-tul kienet l-atti ta 'artijiet Musulmani li jisirqu mill-punent?</v>
      </c>
    </row>
    <row r="17392" ht="15.75" customHeight="1">
      <c r="A17392" s="2" t="s">
        <v>17392</v>
      </c>
      <c r="B17392" s="2" t="str">
        <f>IFERROR(__xludf.DUMMYFUNCTION("GOOGLETRANSLATE(A17392, ""en"", ""mt"")"),"X'kien l-ammont ta 'royalties ġenerużi żżejjed li Tesla kienet qed tirċievi?")</f>
        <v>X'kien l-ammont ta 'royalties ġenerużi żżejjed li Tesla kienet qed tirċievi?</v>
      </c>
    </row>
    <row r="17393" ht="15.75" customHeight="1">
      <c r="A17393" s="2" t="s">
        <v>17393</v>
      </c>
      <c r="B17393" s="2" t="str">
        <f>IFERROR(__xludf.DUMMYFUNCTION("GOOGLETRANSLATE(A17393, ""en"", ""mt"")"),"Liema korpi barranin, li huma eqdem mill-blat infushom, iseħħu blat igneous?")</f>
        <v>Liema korpi barranin, li huma eqdem mill-blat infushom, iseħħu blat igneous?</v>
      </c>
    </row>
    <row r="17394" ht="15.75" customHeight="1">
      <c r="A17394" s="2" t="s">
        <v>17394</v>
      </c>
      <c r="B17394" s="2" t="str">
        <f>IFERROR(__xludf.DUMMYFUNCTION("GOOGLETRANSLATE(A17394, ""en"", ""mt"")"),"Kumpanija tal-Ħażna u l-Maħżen Manhattan")</f>
        <v>Kumpanija tal-Ħażna u l-Maħżen Manhattan</v>
      </c>
    </row>
    <row r="17395" ht="15.75" customHeight="1">
      <c r="A17395" s="2" t="s">
        <v>17395</v>
      </c>
      <c r="B17395" s="2" t="str">
        <f>IFERROR(__xludf.DUMMYFUNCTION("GOOGLETRANSLATE(A17395, ""en"", ""mt"")"),"X'kien id-daqs medju tad-dar?")</f>
        <v>X'kien id-daqs medju tad-dar?</v>
      </c>
    </row>
    <row r="17396" ht="15.75" customHeight="1">
      <c r="A17396" s="2" t="s">
        <v>17396</v>
      </c>
      <c r="B17396" s="2" t="str">
        <f>IFERROR(__xludf.DUMMYFUNCTION("GOOGLETRANSLATE(A17396, ""en"", ""mt"")"),"Liema grupp politiku beda jikseb appoġġ wara l-iskandlu tal-korruzzjoni?")</f>
        <v>Liema grupp politiku beda jikseb appoġġ wara l-iskandlu tal-korruzzjoni?</v>
      </c>
    </row>
    <row r="17397" ht="15.75" customHeight="1">
      <c r="A17397" s="2" t="s">
        <v>17397</v>
      </c>
      <c r="B17397" s="2" t="str">
        <f>IFERROR(__xludf.DUMMYFUNCTION("GOOGLETRANSLATE(A17397, ""en"", ""mt"")"),"Ġnien John Madejski")</f>
        <v>Ġnien John Madejski</v>
      </c>
    </row>
    <row r="17398" ht="15.75" customHeight="1">
      <c r="A17398" s="2" t="s">
        <v>17398</v>
      </c>
      <c r="B17398" s="2" t="str">
        <f>IFERROR(__xludf.DUMMYFUNCTION("GOOGLETRANSLATE(A17398, ""en"", ""mt"")"),"żieda fl-iskrutinju")</f>
        <v>żieda fl-iskrutinju</v>
      </c>
    </row>
    <row r="17399" ht="15.75" customHeight="1">
      <c r="A17399" s="2" t="s">
        <v>17399</v>
      </c>
      <c r="B17399" s="2" t="str">
        <f>IFERROR(__xludf.DUMMYFUNCTION("GOOGLETRANSLATE(A17399, ""en"", ""mt"")"),"Il-moviment liberu tar-regolament tal-ħaddiema artikoli 1 sa 7 stabbilixxa d-dispożizzjonijiet ewlenin dwar trattament ugwali tal-ħaddiema. L-ewwel, l-Artikoli 1 sa 4 ġeneralment jirrikjedu li l-ħaddiema jistgħu jieħdu impjieg, jikkonkludu kuntratti, u ma"&amp;" jsofrux diskriminazzjoni meta mqabbla ma 'ċittadini ta' l-Istat Membru. F'każ famuż, l-Assoċjazzjoni Belġjana tal-Futbol V Bosman, futboler Belġjan jismu Jean-Marc Bosman iddikjara li għandu jkun jista 'jittrasferixxi minn R.F.C. De Liège lil USL Dunkerq"&amp;"ue meta l-kuntratt tiegħu spiċċa, irrispettivament minn jekk Dunkerque jistax jaffordja li jħallas lil Liège l-miżati tat-trasferiment abitwali. Il-Qorti tal-Ġustizzja għamlet ""ir-regoli ta 'trasferiment jikkostitwixxu [d] ostaklu għall-moviment liberu"""&amp;" u kienu illegali sakemm ma jkunux jistgħu jiġu ġġustifikati fl-interess pubbliku, iżda dan kien improbabbli. Fil-Ministru Groener v għall-Edukazzjoni, il-Qorti tal-Ġustizzja aċċettat li r-rekwiżit li titkellem fil-Galliku biex tgħallem f'kulleġġ tad-disi"&amp;"nn ta 'Dublin jista' jkun iġġustifikat bħala parti mill-politika pubblika tal-promozzjoni tal-lingwa Irlandiża, iżda biss jekk il-miżura ma kinitx sproporzjonata. B'kuntrast fl-Angones v Cassa di Risparmio di Bolzano Spa A Bank f'Bolzano, l-Italja, ma tħa"&amp;"llewx jirrikjedu li s-Sur Angonese jkollu ċertifikat bilingwi li jista 'jinkiseb biss f'Bolzano. Il-Qorti tal-Ġustizzja, li tagħti effett dirett ""orizzontali"" lill-Artikolu 45 tat-TFEU, irraġuna li nies minn pajjiżi oħra ma tantx ikollhom ċans li jakkwi"&amp;"staw iċ-ċertifikat, u minħabba li kien ""impossibbli li tissottometti prova tal-għarfien lingwistiku meħtieġ bi kwalunkwe mezz ieħor"" , il-miżura kienet sproporzjonata. It-tieni, l-Artikolu 7 (2) jirrikjedi trattament ugwali fir-rigward tat-taxxa. Fil-Fi"&amp;"nanzamt Köln Altstadt vs Schumacker, il-Qorti tal-Ġustizzja ddeċidiet li kienet tikser l-Art TFEU 45 biex tiċħad il-benefiċċji tat-taxxa (e.g. għal koppji miżżewġa, u tnaqqis tal-ispejjeż tal-assigurazzjoni soċjali) lil raġel li ħadem fil-Ġermanja, iżda k"&amp;"ien residenti fil-Belġju meta residenti oħra Ġermaniżi sibt il-benefiċċji. B'kuntrast f'Weigel vs Finanzlandesdirektion für Vorarlberg Il-Qorti tal-Ġustizzja ċaħdet it-talba tas-Sur Weigel li ħlas mill-ġdid ta 'reġistrazzjoni meta ressaq il-karozza tiegħu"&amp;" fl-Awstrija kiser id-dritt tiegħu għall-moviment ħieles. Għalkemm it-taxxa kienet ""x'aktarx ikollha effett negattiv fuq id-deċiżjoni tal-ħaddiema migranti li jeżerċitaw id-dritt tagħhom għal-libertà tal-moviment"", minħabba li l-ħlas applika bl-istess m"&amp;"od għall-Awstrijaċi, fin-nuqqas ta 'leġislazzjoni tal-UE dwar il-kwistjoni li kellha titqies bħala ġustifikata bħala ġustifikata - It-tielet, in-nies għandhom jirċievu trattament ugwali rigward ""vantaġġi soċjali"", għalkemm il-qorti approvat perjodi ta '"&amp;"kwalifikazzjoni residenzjali. Fl-Istitut tal-Assigurazzjoni tal-Impjegati Hendrix vs il-Qorti tal-Ġustizzja ddeċidiet li ċittadin Olandiż ma kellux id-dritt li jkompli jirċievi benefiċċji ta 'inkapaċità meta mar il-Belġju, minħabba li l-benefiċċju kien """&amp;"marbut mill-qrib mas-sitwazzjoni soċjo-ekonomika"" tal-Pajjiżi l-Baxxi. Bil-maqlub, f'Geven v Land Nordrhein-Westfalen Il-Qorti tal-Ġustizzja ddeċidiet li mara Olandiża li tgħix fl-Olanda, iżda taħdem bejn 3 u 14-il siegħa fil-ġimgħa fil-Ġermanja, ma kell"&amp;"hiex id-dritt li tirċievi benefiċċji tat-tfal Ġermaniżi, minkejja li l-mara ta 'raġel li ħadem full-time fil-Ġermanja iżda kien residenti fl-Awstrija. Il-ġustifikazzjonijiet ġenerali għall-limitazzjoni tal-moviment liberu fl-Artikolu 45 (3) huma ""politik"&amp;"a pubblika, sigurtà pubblika jew saħħa pubblika"", u hemm ukoll eċċezzjoni ġenerali fl-Artikolu 45 (4) għal ""impjieg fis-servizz pubbliku"".")</f>
        <v>Il-moviment liberu tar-regolament tal-ħaddiema artikoli 1 sa 7 stabbilixxa d-dispożizzjonijiet ewlenin dwar trattament ugwali tal-ħaddiema. L-ewwel, l-Artikoli 1 sa 4 ġeneralment jirrikjedu li l-ħaddiema jistgħu jieħdu impjieg, jikkonkludu kuntratti, u ma jsofrux diskriminazzjoni meta mqabbla ma 'ċittadini ta' l-Istat Membru. F'każ famuż, l-Assoċjazzjoni Belġjana tal-Futbol V Bosman, futboler Belġjan jismu Jean-Marc Bosman iddikjara li għandu jkun jista 'jittrasferixxi minn R.F.C. De Liège lil USL Dunkerque meta l-kuntratt tiegħu spiċċa, irrispettivament minn jekk Dunkerque jistax jaffordja li jħallas lil Liège l-miżati tat-trasferiment abitwali. Il-Qorti tal-Ġustizzja għamlet "ir-regoli ta 'trasferiment jikkostitwixxu [d] ostaklu għall-moviment liberu" u kienu illegali sakemm ma jkunux jistgħu jiġu ġġustifikati fl-interess pubbliku, iżda dan kien improbabbli. Fil-Ministru Groener v għall-Edukazzjoni, il-Qorti tal-Ġustizzja aċċettat li r-rekwiżit li titkellem fil-Galliku biex tgħallem f'kulleġġ tad-disinn ta 'Dublin jista' jkun iġġustifikat bħala parti mill-politika pubblika tal-promozzjoni tal-lingwa Irlandiża, iżda biss jekk il-miżura ma kinitx sproporzjonata. B'kuntrast fl-Angones v Cassa di Risparmio di Bolzano Spa A Bank f'Bolzano, l-Italja, ma tħallewx jirrikjedu li s-Sur Angonese jkollu ċertifikat bilingwi li jista 'jinkiseb biss f'Bolzano. Il-Qorti tal-Ġustizzja, li tagħti effett dirett "orizzontali" lill-Artikolu 45 tat-TFEU, irraġuna li nies minn pajjiżi oħra ma tantx ikollhom ċans li jakkwistaw iċ-ċertifikat, u minħabba li kien "impossibbli li tissottometti prova tal-għarfien lingwistiku meħtieġ bi kwalunkwe mezz ieħor" , il-miżura kienet sproporzjonata. It-tieni, l-Artikolu 7 (2) jirrikjedi trattament ugwali fir-rigward tat-taxxa. Fil-Finanzamt Köln Altstadt vs Schumacker, il-Qorti tal-Ġustizzja ddeċidiet li kienet tikser l-Art TFEU 45 biex tiċħad il-benefiċċji tat-taxxa (e.g. għal koppji miżżewġa, u tnaqqis tal-ispejjeż tal-assigurazzjoni soċjali) lil raġel li ħadem fil-Ġermanja, iżda kien residenti fil-Belġju meta residenti oħra Ġermaniżi sibt il-benefiċċji. B'kuntrast f'Weigel vs Finanzlandesdirektion für Vorarlberg Il-Qorti tal-Ġustizzja ċaħdet it-talba tas-Sur Weigel li ħlas mill-ġdid ta 'reġistrazzjoni meta ressaq il-karozza tiegħu fl-Awstrija kiser id-dritt tiegħu għall-moviment ħieles. Għalkemm it-taxxa kienet "x'aktarx ikollha effett negattiv fuq id-deċiżjoni tal-ħaddiema migranti li jeżerċitaw id-dritt tagħhom għal-libertà tal-moviment", minħabba li l-ħlas applika bl-istess mod għall-Awstrijaċi, fin-nuqqas ta 'leġislazzjoni tal-UE dwar il-kwistjoni li kellha titqies bħala ġustifikata bħala ġustifikata - It-tielet, in-nies għandhom jirċievu trattament ugwali rigward "vantaġġi soċjali", għalkemm il-qorti approvat perjodi ta 'kwalifikazzjoni residenzjali. Fl-Istitut tal-Assigurazzjoni tal-Impjegati Hendrix vs il-Qorti tal-Ġustizzja ddeċidiet li ċittadin Olandiż ma kellux id-dritt li jkompli jirċievi benefiċċji ta 'inkapaċità meta mar il-Belġju, minħabba li l-benefiċċju kien "marbut mill-qrib mas-sitwazzjoni soċjo-ekonomika" tal-Pajjiżi l-Baxxi. Bil-maqlub, f'Geven v Land Nordrhein-Westfalen Il-Qorti tal-Ġustizzja ddeċidiet li mara Olandiża li tgħix fl-Olanda, iżda taħdem bejn 3 u 14-il siegħa fil-ġimgħa fil-Ġermanja, ma kellhiex id-dritt li tirċievi benefiċċji tat-tfal Ġermaniżi, minkejja li l-mara ta 'raġel li ħadem full-time fil-Ġermanja iżda kien residenti fl-Awstrija. Il-ġustifikazzjonijiet ġenerali għall-limitazzjoni tal-moviment liberu fl-Artikolu 45 (3) huma "politika pubblika, sigurtà pubblika jew saħħa pubblika", u hemm ukoll eċċezzjoni ġenerali fl-Artikolu 45 (4) għal "impjieg fis-servizz pubbliku".</v>
      </c>
    </row>
    <row r="17400" ht="15.75" customHeight="1">
      <c r="A17400" s="2" t="s">
        <v>17400</v>
      </c>
      <c r="B17400" s="2" t="str">
        <f>IFERROR(__xludf.DUMMYFUNCTION("GOOGLETRANSLATE(A17400, ""en"", ""mt"")"),"Liema grupp ta 'xandir huwa l-akbar operatur ta' stazzjonijiet ABC?")</f>
        <v>Liema grupp ta 'xandir huwa l-akbar operatur ta' stazzjonijiet ABC?</v>
      </c>
    </row>
    <row r="17401" ht="15.75" customHeight="1">
      <c r="A17401" s="2" t="s">
        <v>17401</v>
      </c>
      <c r="B17401" s="2" t="str">
        <f>IFERROR(__xludf.DUMMYFUNCTION("GOOGLETRANSLATE(A17401, ""en"", ""mt"")"),"mhux vjolenti")</f>
        <v>mhux vjolenti</v>
      </c>
    </row>
    <row r="17402" ht="15.75" customHeight="1">
      <c r="A17402" s="2" t="s">
        <v>17402</v>
      </c>
      <c r="B17402" s="2" t="str">
        <f>IFERROR(__xludf.DUMMYFUNCTION("GOOGLETRANSLATE(A17402, ""en"", ""mt"")"),"Mill-bidu tagħha, ABC kellha ħafna stazzjonijiet affiljati, li jinkludu WABC-TV u WPVI-TV, l-ewwel żewġ stazzjonijiet li jġorru l-ipprogrammar tan-netwerk. Minn Marzu 2015 [aġġornament], ABC għandha tmien stazzjonijiet ta 'proprjetà u mħaddma, u ftehimiet"&amp;" ta' affiljazzjoni attwali u pendenti ma '235 stazzjon tat-televiżjoni addizzjonali li jinkludu 49 stat, id-Distrett ta' Columbia, erba 'possedimenti ta' l-Istati Uniti, il-Bermuda u SABA; Dan jagħmel l-ABC l-akbar netwerk tat-televiżjoni tax-xandir tal-I"&amp;"stati Uniti skont in-numru totali ta 'affiljati. In-netwerk għandu firxa nazzjonali stmata ta '96 .26% tad-djar kollha fl-Istati Uniti (jew 300,794,157 Amerikani b'mill-inqas sett televiżiv wieħed).")</f>
        <v>Mill-bidu tagħha, ABC kellha ħafna stazzjonijiet affiljati, li jinkludu WABC-TV u WPVI-TV, l-ewwel żewġ stazzjonijiet li jġorru l-ipprogrammar tan-netwerk. Minn Marzu 2015 [aġġornament], ABC għandha tmien stazzjonijiet ta 'proprjetà u mħaddma, u ftehimiet ta' affiljazzjoni attwali u pendenti ma '235 stazzjon tat-televiżjoni addizzjonali li jinkludu 49 stat, id-Distrett ta' Columbia, erba 'possedimenti ta' l-Istati Uniti, il-Bermuda u SABA; Dan jagħmel l-ABC l-akbar netwerk tat-televiżjoni tax-xandir tal-Istati Uniti skont in-numru totali ta 'affiljati. In-netwerk għandu firxa nazzjonali stmata ta '96 .26% tad-djar kollha fl-Istati Uniti (jew 300,794,157 Amerikani b'mill-inqas sett televiżiv wieħed).</v>
      </c>
    </row>
    <row r="17403" ht="15.75" customHeight="1">
      <c r="A17403" s="2" t="s">
        <v>17403</v>
      </c>
      <c r="B17403" s="2" t="str">
        <f>IFERROR(__xludf.DUMMYFUNCTION("GOOGLETRANSLATE(A17403, ""en"", ""mt"")"),"L-ewwel astronawt xjentist tan-NASA li jtir fl-ispazju")</f>
        <v>L-ewwel astronawt xjentist tan-NASA li jtir fl-ispazju</v>
      </c>
    </row>
    <row r="17404" ht="15.75" customHeight="1">
      <c r="A17404" s="2" t="s">
        <v>17404</v>
      </c>
      <c r="B17404" s="2" t="str">
        <f>IFERROR(__xludf.DUMMYFUNCTION("GOOGLETRANSLATE(A17404, ""en"", ""mt"")"),"enerġija")</f>
        <v>enerġija</v>
      </c>
    </row>
    <row r="17405" ht="15.75" customHeight="1">
      <c r="A17405" s="2" t="s">
        <v>17405</v>
      </c>
      <c r="B17405" s="2" t="str">
        <f>IFERROR(__xludf.DUMMYFUNCTION("GOOGLETRANSLATE(A17405, ""en"", ""mt"")"),"X'inhi l-Forest Bielany l-aħħar fdal ta '?")</f>
        <v>X'inhi l-Forest Bielany l-aħħar fdal ta '?</v>
      </c>
    </row>
    <row r="17406" ht="15.75" customHeight="1">
      <c r="A17406" s="2" t="s">
        <v>17406</v>
      </c>
      <c r="B17406" s="2" t="str">
        <f>IFERROR(__xludf.DUMMYFUNCTION("GOOGLETRANSLATE(A17406, ""en"", ""mt"")"),"Tnedija Countdown")</f>
        <v>Tnedija Countdown</v>
      </c>
    </row>
    <row r="17407" ht="15.75" customHeight="1">
      <c r="A17407" s="2" t="s">
        <v>17407</v>
      </c>
      <c r="B17407" s="2" t="str">
        <f>IFERROR(__xludf.DUMMYFUNCTION("GOOGLETRANSLATE(A17407, ""en"", ""mt"")"),"Ipprovdi metodu ta 'rotta tolleranti għall-ħsarat u effiċjenti għal messaġġi tat-telekomunikazzjoni")</f>
        <v>Ipprovdi metodu ta 'rotta tolleranti għall-ħsarat u effiċjenti għal messaġġi tat-telekomunikazzjoni</v>
      </c>
    </row>
    <row r="17408" ht="15.75" customHeight="1">
      <c r="A17408" s="2" t="s">
        <v>17408</v>
      </c>
      <c r="B17408" s="2" t="str">
        <f>IFERROR(__xludf.DUMMYFUNCTION("GOOGLETRANSLATE(A17408, ""en"", ""mt"")"),"Tnaqqis fil-ħin polinomjali")</f>
        <v>Tnaqqis fil-ħin polinomjali</v>
      </c>
    </row>
    <row r="17409" ht="15.75" customHeight="1">
      <c r="A17409" s="2" t="s">
        <v>17409</v>
      </c>
      <c r="B17409" s="2" t="str">
        <f>IFERROR(__xludf.DUMMYFUNCTION("GOOGLETRANSLATE(A17409, ""en"", ""mt"")"),"regoli komuni għall-faħam u l-azzar, u mbagħad l-enerġija atomika")</f>
        <v>regoli komuni għall-faħam u l-azzar, u mbagħad l-enerġija atomika</v>
      </c>
    </row>
    <row r="17410" ht="15.75" customHeight="1">
      <c r="A17410" s="2" t="s">
        <v>17410</v>
      </c>
      <c r="B17410" s="2" t="str">
        <f>IFERROR(__xludf.DUMMYFUNCTION("GOOGLETRANSLATE(A17410, ""en"", ""mt"")"),"Velenu")</f>
        <v>Velenu</v>
      </c>
    </row>
    <row r="17411" ht="15.75" customHeight="1">
      <c r="A17411" s="2" t="s">
        <v>17411</v>
      </c>
      <c r="B17411" s="2" t="str">
        <f>IFERROR(__xludf.DUMMYFUNCTION("GOOGLETRANSLATE(A17411, ""en"", ""mt"")"),"Goodell")</f>
        <v>Goodell</v>
      </c>
    </row>
    <row r="17412" ht="15.75" customHeight="1">
      <c r="A17412" s="2" t="s">
        <v>17412</v>
      </c>
      <c r="B17412" s="2" t="str">
        <f>IFERROR(__xludf.DUMMYFUNCTION("GOOGLETRANSLATE(A17412, ""en"", ""mt"")"),"Dak li kultant isegwi l-kloroplasti li jiċċaqilqu?")</f>
        <v>Dak li kultant isegwi l-kloroplasti li jiċċaqilqu?</v>
      </c>
    </row>
    <row r="17413" ht="15.75" customHeight="1">
      <c r="A17413" s="2" t="s">
        <v>17413</v>
      </c>
      <c r="B17413" s="2" t="str">
        <f>IFERROR(__xludf.DUMMYFUNCTION("GOOGLETRANSLATE(A17413, ""en"", ""mt"")"),"Kurunell tal-Iroquois")</f>
        <v>Kurunell tal-Iroquois</v>
      </c>
    </row>
    <row r="17414" ht="15.75" customHeight="1">
      <c r="A17414" s="2" t="s">
        <v>17414</v>
      </c>
      <c r="B17414" s="2" t="str">
        <f>IFERROR(__xludf.DUMMYFUNCTION("GOOGLETRANSLATE(A17414, ""en"", ""mt"")"),"Regola informali")</f>
        <v>Regola informali</v>
      </c>
    </row>
    <row r="17415" ht="15.75" customHeight="1">
      <c r="A17415" s="2" t="s">
        <v>17415</v>
      </c>
      <c r="B17415" s="2" t="str">
        <f>IFERROR(__xludf.DUMMYFUNCTION("GOOGLETRANSLATE(A17415, ""en"", ""mt"")"),"L-istruttura l-ġdida tippermetti tluq mill-iskejjel fil-livelli kollha jew tkun taħdem għal rasha jew biex tiżgura impjieg fis-settur informali")</f>
        <v>L-istruttura l-ġdida tippermetti tluq mill-iskejjel fil-livelli kollha jew tkun taħdem għal rasha jew biex tiżgura impjieg fis-settur informali</v>
      </c>
    </row>
    <row r="17416" ht="15.75" customHeight="1">
      <c r="A17416" s="2" t="s">
        <v>17416</v>
      </c>
      <c r="B17416" s="2" t="str">
        <f>IFERROR(__xludf.DUMMYFUNCTION("GOOGLETRANSLATE(A17416, ""en"", ""mt"")"),"Il-qtil tal-President Amerikan John F. Kennedy")</f>
        <v>Il-qtil tal-President Amerikan John F. Kennedy</v>
      </c>
    </row>
    <row r="17417" ht="15.75" customHeight="1">
      <c r="A17417" s="2" t="s">
        <v>17417</v>
      </c>
      <c r="B17417" s="2" t="str">
        <f>IFERROR(__xludf.DUMMYFUNCTION("GOOGLETRANSLATE(A17417, ""en"", ""mt"")"),"X'taffar it-triq għall-konfessjoni ta 'Augsburg?")</f>
        <v>X'taffar it-triq għall-konfessjoni ta 'Augsburg?</v>
      </c>
    </row>
    <row r="17418" ht="15.75" customHeight="1">
      <c r="A17418" s="2" t="s">
        <v>17418</v>
      </c>
      <c r="B17418" s="2" t="str">
        <f>IFERROR(__xludf.DUMMYFUNCTION("GOOGLETRANSLATE(A17418, ""en"", ""mt"")"),"Hagen")</f>
        <v>Hagen</v>
      </c>
    </row>
    <row r="17419" ht="15.75" customHeight="1">
      <c r="A17419" s="2" t="s">
        <v>17419</v>
      </c>
      <c r="B17419" s="2" t="str">
        <f>IFERROR(__xludf.DUMMYFUNCTION("GOOGLETRANSLATE(A17419, ""en"", ""mt"")"),"Min inizjalment ried aktar ittestjar mingħajr ekwipaġġ rigward l-LM?")</f>
        <v>Min inizjalment ried aktar ittestjar mingħajr ekwipaġġ rigward l-LM?</v>
      </c>
    </row>
    <row r="17420" ht="15.75" customHeight="1">
      <c r="A17420" s="2" t="s">
        <v>17420</v>
      </c>
      <c r="B17420" s="2" t="str">
        <f>IFERROR(__xludf.DUMMYFUNCTION("GOOGLETRANSLATE(A17420, ""en"", ""mt"")"),"Newton's Third")</f>
        <v>Newton's Third</v>
      </c>
    </row>
    <row r="17421" ht="15.75" customHeight="1">
      <c r="A17421" s="2" t="s">
        <v>17421</v>
      </c>
      <c r="B17421" s="2" t="str">
        <f>IFERROR(__xludf.DUMMYFUNCTION("GOOGLETRANSLATE(A17421, ""en"", ""mt"")"),"topografiku")</f>
        <v>topografiku</v>
      </c>
    </row>
    <row r="17422" ht="15.75" customHeight="1">
      <c r="A17422" s="2" t="s">
        <v>17422</v>
      </c>
      <c r="B17422" s="2" t="str">
        <f>IFERROR(__xludf.DUMMYFUNCTION("GOOGLETRANSLATE(A17422, ""en"", ""mt"")"),"Kemm-il darba Arizona dawwar il-ballun fil-Kampjonat NFC?")</f>
        <v>Kemm-il darba Arizona dawwar il-ballun fil-Kampjonat NFC?</v>
      </c>
    </row>
    <row r="17423" ht="15.75" customHeight="1">
      <c r="A17423" s="2" t="s">
        <v>17423</v>
      </c>
      <c r="B17423" s="2" t="str">
        <f>IFERROR(__xludf.DUMMYFUNCTION("GOOGLETRANSLATE(A17423, ""en"", ""mt"")"),"Fejn hu l-ogħla punt tal-Baċin tar-Renu?")</f>
        <v>Fejn hu l-ogħla punt tal-Baċin tar-Renu?</v>
      </c>
    </row>
    <row r="17424" ht="15.75" customHeight="1">
      <c r="A17424" s="2" t="s">
        <v>17424</v>
      </c>
      <c r="B17424" s="2" t="str">
        <f>IFERROR(__xludf.DUMMYFUNCTION("GOOGLETRANSLATE(A17424, ""en"", ""mt"")"),"Mill-2008, dwar liema persentaġġ ta 'studenti Żvediżi attendew skejjel privati?")</f>
        <v>Mill-2008, dwar liema persentaġġ ta 'studenti Żvediżi attendew skejjel privati?</v>
      </c>
    </row>
    <row r="17425" ht="15.75" customHeight="1">
      <c r="A17425" s="2" t="s">
        <v>17425</v>
      </c>
      <c r="B17425" s="2" t="str">
        <f>IFERROR(__xludf.DUMMYFUNCTION("GOOGLETRANSLATE(A17425, ""en"", ""mt"")"),"Meta kienet qed tispiċċa l-amministrazzjoni ta 'Kublai?")</f>
        <v>Meta kienet qed tispiċċa l-amministrazzjoni ta 'Kublai?</v>
      </c>
    </row>
    <row r="17426" ht="15.75" customHeight="1">
      <c r="A17426" s="2" t="s">
        <v>17426</v>
      </c>
      <c r="B17426" s="2" t="str">
        <f>IFERROR(__xludf.DUMMYFUNCTION("GOOGLETRANSLATE(A17426, ""en"", ""mt"")"),"Meta ġie mniedi s-servizz diġitali ta 'BSKYB?")</f>
        <v>Meta ġie mniedi s-servizz diġitali ta 'BSKYB?</v>
      </c>
    </row>
    <row r="17427" ht="15.75" customHeight="1">
      <c r="A17427" s="2" t="s">
        <v>17427</v>
      </c>
      <c r="B17427" s="2" t="str">
        <f>IFERROR(__xludf.DUMMYFUNCTION("GOOGLETRANSLATE(A17427, ""en"", ""mt"")"),"Fejn jinstab il-peridinin?")</f>
        <v>Fejn jinstab il-peridinin?</v>
      </c>
    </row>
    <row r="17428" ht="15.75" customHeight="1">
      <c r="A17428" s="2" t="s">
        <v>17428</v>
      </c>
      <c r="B17428" s="2" t="str">
        <f>IFERROR(__xludf.DUMMYFUNCTION("GOOGLETRANSLATE(A17428, ""en"", ""mt"")"),"1964, sakemm kiseb l-ewwel inżul ta 'l-ekwipaġġ f'Lulju 1969,")</f>
        <v>1964, sakemm kiseb l-ewwel inżul ta 'l-ekwipaġġ f'Lulju 1969,</v>
      </c>
    </row>
    <row r="17429" ht="15.75" customHeight="1">
      <c r="A17429" s="2" t="s">
        <v>17429</v>
      </c>
      <c r="B17429" s="2" t="str">
        <f>IFERROR(__xludf.DUMMYFUNCTION("GOOGLETRANSLATE(A17429, ""en"", ""mt"")"),"Yinchuan")</f>
        <v>Yinchuan</v>
      </c>
    </row>
    <row r="17430" ht="15.75" customHeight="1">
      <c r="A17430" s="2" t="s">
        <v>17430</v>
      </c>
      <c r="B17430" s="2" t="str">
        <f>IFERROR(__xludf.DUMMYFUNCTION("GOOGLETRANSLATE(A17430, ""en"", ""mt"")"),"Xi tuża Ctenophora għad-diġestjoni u r-respirazzjoni?")</f>
        <v>Xi tuża Ctenophora għad-diġestjoni u r-respirazzjoni?</v>
      </c>
    </row>
    <row r="17431" ht="15.75" customHeight="1">
      <c r="A17431" s="2" t="s">
        <v>17431</v>
      </c>
      <c r="B17431" s="2" t="str">
        <f>IFERROR(__xludf.DUMMYFUNCTION("GOOGLETRANSLATE(A17431, ""en"", ""mt"")"),"kodifikazzjoni tal-input")</f>
        <v>kodifikazzjoni tal-input</v>
      </c>
    </row>
    <row r="17432" ht="15.75" customHeight="1">
      <c r="A17432" s="2" t="s">
        <v>17432</v>
      </c>
      <c r="B17432" s="2" t="str">
        <f>IFERROR(__xludf.DUMMYFUNCTION("GOOGLETRANSLATE(A17432, ""en"", ""mt"")"),"X'tip ta 'reazzjoni huwa preżenti fil-ġeneratur ta' ossiġnu ta 'emerġenza ta' ajruplan?")</f>
        <v>X'tip ta 'reazzjoni huwa preżenti fil-ġeneratur ta' ossiġnu ta 'emerġenza ta' ajruplan?</v>
      </c>
    </row>
    <row r="17433" ht="15.75" customHeight="1">
      <c r="A17433" s="2" t="s">
        <v>17433</v>
      </c>
      <c r="B17433" s="2" t="str">
        <f>IFERROR(__xludf.DUMMYFUNCTION("GOOGLETRANSLATE(A17433, ""en"", ""mt"")"),"Mużew")</f>
        <v>Mużew</v>
      </c>
    </row>
    <row r="17434" ht="15.75" customHeight="1">
      <c r="A17434" s="2" t="s">
        <v>17434</v>
      </c>
      <c r="B17434" s="2" t="str">
        <f>IFERROR(__xludf.DUMMYFUNCTION("GOOGLETRANSLATE(A17434, ""en"", ""mt"")"),"Il-gass tal-ossiġnu ħieles kien kważi ma jeżistix fl-atmosfera tad-Dinja qabel ma evolvew archaea fotosintetika u batterji, probabbilment madwar 3.5 biljun sena ilu. L-ossiġnu ħieles deher l-ewwel fi kwantitajiet sinifikanti matul l-EON Paleoproterozoic ("&amp;"bejn 3.0 u 2.3 biljun sena ilu). Għall-ewwel biljun sena, kwalunkwe ossiġnu ħieles prodott minn dawn l-organiżmi flimkien ma 'ħadid maħlul fl-oċeani biex jiffurmaw formazzjonijiet ta' ħadid banded. Meta dawn il-bjar ta 'ossiġnu sar saturat, l-ossiġnu ħiel"&amp;"es beda joħroġ mill-oċeani 3-2,7 biljun sena ilu, u laħaq 10% tal-livell preżenti tiegħu madwar 1.7 biljun sena ilu.")</f>
        <v>Il-gass tal-ossiġnu ħieles kien kważi ma jeżistix fl-atmosfera tad-Dinja qabel ma evolvew archaea fotosintetika u batterji, probabbilment madwar 3.5 biljun sena ilu. L-ossiġnu ħieles deher l-ewwel fi kwantitajiet sinifikanti matul l-EON Paleoproterozoic (bejn 3.0 u 2.3 biljun sena ilu). Għall-ewwel biljun sena, kwalunkwe ossiġnu ħieles prodott minn dawn l-organiżmi flimkien ma 'ħadid maħlul fl-oċeani biex jiffurmaw formazzjonijiet ta' ħadid banded. Meta dawn il-bjar ta 'ossiġnu sar saturat, l-ossiġnu ħieles beda joħroġ mill-oċeani 3-2,7 biljun sena ilu, u laħaq 10% tal-livell preżenti tiegħu madwar 1.7 biljun sena ilu.</v>
      </c>
    </row>
    <row r="17435" ht="15.75" customHeight="1">
      <c r="A17435" s="2" t="s">
        <v>17435</v>
      </c>
      <c r="B17435" s="2" t="str">
        <f>IFERROR(__xludf.DUMMYFUNCTION("GOOGLETRANSLATE(A17435, ""en"", ""mt"")"),"Ikklassifikat 'il fuq miż-żewġ tobba personali tal-Imperatur")</f>
        <v>Ikklassifikat 'il fuq miż-żewġ tobba personali tal-Imperatur</v>
      </c>
    </row>
    <row r="17436" ht="15.75" customHeight="1">
      <c r="A17436" s="2" t="s">
        <v>17436</v>
      </c>
      <c r="B17436" s="2" t="str">
        <f>IFERROR(__xludf.DUMMYFUNCTION("GOOGLETRANSLATE(A17436, ""en"", ""mt"")"),"Ipotesi ta 'Hugues")</f>
        <v>Ipotesi ta 'Hugues</v>
      </c>
    </row>
    <row r="17437" ht="15.75" customHeight="1">
      <c r="A17437" s="2" t="s">
        <v>17437</v>
      </c>
      <c r="B17437" s="2" t="str">
        <f>IFERROR(__xludf.DUMMYFUNCTION("GOOGLETRANSLATE(A17437, ""en"", ""mt"")"),"Liema avvenimenti huma spiss assoċjati ma 'vulkanizmu u attività igneous?")</f>
        <v>Liema avvenimenti huma spiss assoċjati ma 'vulkanizmu u attività igneous?</v>
      </c>
    </row>
    <row r="17438" ht="15.75" customHeight="1">
      <c r="A17438" s="2" t="s">
        <v>17438</v>
      </c>
      <c r="B17438" s="2" t="str">
        <f>IFERROR(__xludf.DUMMYFUNCTION("GOOGLETRANSLATE(A17438, ""en"", ""mt"")"),"Kif osserva Genghis Khan it-termini taċ-ċediment wara li Samarkand waqa '?")</f>
        <v>Kif osserva Genghis Khan it-termini taċ-ċediment wara li Samarkand waqa '?</v>
      </c>
    </row>
    <row r="17439" ht="15.75" customHeight="1">
      <c r="A17439" s="2" t="s">
        <v>17439</v>
      </c>
      <c r="B17439" s="2" t="str">
        <f>IFERROR(__xludf.DUMMYFUNCTION("GOOGLETRANSLATE(A17439, ""en"", ""mt"")"),"X'tip ta 'kreatura normalment huwa ħbieb ta' Doctor Who?")</f>
        <v>X'tip ta 'kreatura normalment huwa ħbieb ta' Doctor Who?</v>
      </c>
    </row>
    <row r="17440" ht="15.75" customHeight="1">
      <c r="A17440" s="2" t="s">
        <v>17440</v>
      </c>
      <c r="B17440" s="2" t="str">
        <f>IFERROR(__xludf.DUMMYFUNCTION("GOOGLETRANSLATE(A17440, ""en"", ""mt"")"),"Liema tip ta 'arkitettura ġie wara Norman fl-Ingilterra?")</f>
        <v>Liema tip ta 'arkitettura ġie wara Norman fl-Ingilterra?</v>
      </c>
    </row>
    <row r="17441" ht="15.75" customHeight="1">
      <c r="A17441" s="2" t="s">
        <v>17441</v>
      </c>
      <c r="B17441" s="2" t="str">
        <f>IFERROR(__xludf.DUMMYFUNCTION("GOOGLETRANSLATE(A17441, ""en"", ""mt"")"),"X'inhi Viżjoni 2030?")</f>
        <v>X'inhi Viżjoni 2030?</v>
      </c>
    </row>
    <row r="17442" ht="15.75" customHeight="1">
      <c r="A17442" s="2" t="s">
        <v>17442</v>
      </c>
      <c r="B17442" s="2" t="str">
        <f>IFERROR(__xludf.DUMMYFUNCTION("GOOGLETRANSLATE(A17442, ""en"", ""mt"")"),"Liema eks MVP intwera fil-locker room?")</f>
        <v>Liema eks MVP intwera fil-locker room?</v>
      </c>
    </row>
    <row r="17443" ht="15.75" customHeight="1">
      <c r="A17443" s="2" t="s">
        <v>17443</v>
      </c>
      <c r="B17443" s="2" t="str">
        <f>IFERROR(__xludf.DUMMYFUNCTION("GOOGLETRANSLATE(A17443, ""en"", ""mt"")"),"Il-prinċipju ta 'relazzjonijiet ta' qtugħ ta 'qtugħ jappartjeni għall-formazzjoni ta' ħsarat u l-età tas-sekwenzi li minnhom jinqatgħu. Ħsarat huma iżgħar mill-blat li qatgħu; Għaldaqstant, jekk jinstab tort li jippenetra xi formazzjonijiet iżda mhux dawk"&amp;" fuqha, allura l-formazzjonijiet li kienu maqtugħin huma eqdem mill-ħsara, u dawk li mhumiex maqtugħin għandhom ikunu iżgħar mill-ħsara. Is-sejba tas-sodda ewlenija f'dawn is-sitwazzjonijiet tista 'tgħin tiddetermina jekk it-tort huwiex difett normali jew"&amp;" tort tal-ġibda.")</f>
        <v>Il-prinċipju ta 'relazzjonijiet ta' qtugħ ta 'qtugħ jappartjeni għall-formazzjoni ta' ħsarat u l-età tas-sekwenzi li minnhom jinqatgħu. Ħsarat huma iżgħar mill-blat li qatgħu; Għaldaqstant, jekk jinstab tort li jippenetra xi formazzjonijiet iżda mhux dawk fuqha, allura l-formazzjonijiet li kienu maqtugħin huma eqdem mill-ħsara, u dawk li mhumiex maqtugħin għandhom ikunu iżgħar mill-ħsara. Is-sejba tas-sodda ewlenija f'dawn is-sitwazzjonijiet tista 'tgħin tiddetermina jekk it-tort huwiex difett normali jew tort tal-ġibda.</v>
      </c>
    </row>
    <row r="17444" ht="15.75" customHeight="1">
      <c r="A17444" s="2" t="s">
        <v>17444</v>
      </c>
      <c r="B17444" s="2" t="str">
        <f>IFERROR(__xludf.DUMMYFUNCTION("GOOGLETRANSLATE(A17444, ""en"", ""mt"")"),"1.1 × 1011 tunnellata metrika")</f>
        <v>1.1 × 1011 tunnellata metrika</v>
      </c>
    </row>
    <row r="17445" ht="15.75" customHeight="1">
      <c r="A17445" s="2" t="s">
        <v>17445</v>
      </c>
      <c r="B17445" s="2" t="str">
        <f>IFERROR(__xludf.DUMMYFUNCTION("GOOGLETRANSLATE(A17445, ""en"", ""mt"")"),"X’għandu jonqos il-kolonjaliżmu dak l-imperjalizmu?")</f>
        <v>X’għandu jonqos il-kolonjaliżmu dak l-imperjalizmu?</v>
      </c>
    </row>
    <row r="17446" ht="15.75" customHeight="1">
      <c r="A17446" s="2" t="s">
        <v>17446</v>
      </c>
      <c r="B17446" s="2" t="str">
        <f>IFERROR(__xludf.DUMMYFUNCTION("GOOGLETRANSLATE(A17446, ""en"", ""mt"")"),"isir iżgħar")</f>
        <v>isir iżgħar</v>
      </c>
    </row>
    <row r="17447" ht="15.75" customHeight="1">
      <c r="A17447" s="2" t="s">
        <v>17447</v>
      </c>
      <c r="B17447" s="2" t="str">
        <f>IFERROR(__xludf.DUMMYFUNCTION("GOOGLETRANSLATE(A17447, ""en"", ""mt"")"),"validità tal-kuntratt soċjali")</f>
        <v>validità tal-kuntratt soċjali</v>
      </c>
    </row>
    <row r="17448" ht="15.75" customHeight="1">
      <c r="A17448" s="2" t="s">
        <v>17448</v>
      </c>
      <c r="B17448" s="2" t="str">
        <f>IFERROR(__xludf.DUMMYFUNCTION("GOOGLETRANSLATE(A17448, ""en"", ""mt"")"),"aktar minn 4.5 miljun oġġett")</f>
        <v>aktar minn 4.5 miljun oġġett</v>
      </c>
    </row>
    <row r="17449" ht="15.75" customHeight="1">
      <c r="A17449" s="2" t="s">
        <v>17449</v>
      </c>
      <c r="B17449" s="2" t="str">
        <f>IFERROR(__xludf.DUMMYFUNCTION("GOOGLETRANSLATE(A17449, ""en"", ""mt"")"),"X'jista 'jweġġa' s-saħħa mentali u fiżika ta 'għalliem?")</f>
        <v>X'jista 'jweġġa' s-saħħa mentali u fiżika ta 'għalliem?</v>
      </c>
    </row>
    <row r="17450" ht="15.75" customHeight="1">
      <c r="A17450" s="2" t="s">
        <v>17450</v>
      </c>
      <c r="B17450" s="2" t="str">
        <f>IFERROR(__xludf.DUMMYFUNCTION("GOOGLETRANSLATE(A17450, ""en"", ""mt"")"),"Fejn qatta 'Genghis Khan is-sajf wara li ħa lil Deshun?")</f>
        <v>Fejn qatta 'Genghis Khan is-sajf wara li ħa lil Deshun?</v>
      </c>
    </row>
    <row r="17451" ht="15.75" customHeight="1">
      <c r="A17451" s="2" t="s">
        <v>17451</v>
      </c>
      <c r="B17451" s="2" t="str">
        <f>IFERROR(__xludf.DUMMYFUNCTION("GOOGLETRANSLATE(A17451, ""en"", ""mt"")"),"X'inhuma l-attakki fuq l-għalliema li jikkawżaw?")</f>
        <v>X'inhuma l-attakki fuq l-għalliema li jikkawżaw?</v>
      </c>
    </row>
    <row r="17452" ht="15.75" customHeight="1">
      <c r="A17452" s="2" t="s">
        <v>17452</v>
      </c>
      <c r="B17452" s="2" t="str">
        <f>IFERROR(__xludf.DUMMYFUNCTION("GOOGLETRANSLATE(A17452, ""en"", ""mt"")"),"36% tad-djar")</f>
        <v>36% tad-djar</v>
      </c>
    </row>
    <row r="17453" ht="15.75" customHeight="1">
      <c r="A17453" s="2" t="s">
        <v>17453</v>
      </c>
      <c r="B17453" s="2" t="str">
        <f>IFERROR(__xludf.DUMMYFUNCTION("GOOGLETRANSLATE(A17453, ""en"", ""mt"")"),"Ma 'min għandu xi ħadd li jrid jgħallem jirreġistra?")</f>
        <v>Ma 'min għandu xi ħadd li jrid jgħallem jirreġistra?</v>
      </c>
    </row>
    <row r="17454" ht="15.75" customHeight="1">
      <c r="A17454" s="2" t="s">
        <v>17454</v>
      </c>
      <c r="B17454" s="2" t="str">
        <f>IFERROR(__xludf.DUMMYFUNCTION("GOOGLETRANSLATE(A17454, ""en"", ""mt"")"),"Bejn l-1978 D2008 studenti li għadhom ma ggradwawx full time D2008 kienu meħtieġa jlestu kemm klassijiet barra mill-konċentrazzjoni tagħhom?")</f>
        <v>Bejn l-1978 D2008 studenti li għadhom ma ggradwawx full time D2008 kienu meħtieġa jlestu kemm klassijiet barra mill-konċentrazzjoni tagħhom?</v>
      </c>
    </row>
    <row r="17455" ht="15.75" customHeight="1">
      <c r="A17455" s="2" t="s">
        <v>17455</v>
      </c>
      <c r="B17455" s="2" t="str">
        <f>IFERROR(__xludf.DUMMYFUNCTION("GOOGLETRANSLATE(A17455, ""en"", ""mt"")"),"Upstate New York u l-Pajjiż Ohio")</f>
        <v>Upstate New York u l-Pajjiż Ohio</v>
      </c>
    </row>
    <row r="17456" ht="15.75" customHeight="1">
      <c r="A17456" s="2" t="s">
        <v>17456</v>
      </c>
      <c r="B17456" s="2" t="str">
        <f>IFERROR(__xludf.DUMMYFUNCTION("GOOGLETRANSLATE(A17456, ""en"", ""mt"")"),"1974 Mustang i")</f>
        <v>1974 Mustang i</v>
      </c>
    </row>
    <row r="17457" ht="15.75" customHeight="1">
      <c r="A17457" s="2" t="s">
        <v>17457</v>
      </c>
      <c r="B17457" s="2" t="str">
        <f>IFERROR(__xludf.DUMMYFUNCTION("GOOGLETRANSLATE(A17457, ""en"", ""mt"")"),"Minn minn fejn Luther ried jkeċċi l-Lhud?")</f>
        <v>Minn minn fejn Luther ried jkeċċi l-Lhud?</v>
      </c>
    </row>
    <row r="17458" ht="15.75" customHeight="1">
      <c r="A17458" s="2" t="s">
        <v>17458</v>
      </c>
      <c r="B17458" s="2" t="str">
        <f>IFERROR(__xludf.DUMMYFUNCTION("GOOGLETRANSLATE(A17458, ""en"", ""mt"")"),"X'kien il-persentaġġ fil-mira tad-djar li ried jilħaq?")</f>
        <v>X'kien il-persentaġġ fil-mira tad-djar li ried jilħaq?</v>
      </c>
    </row>
    <row r="17459" ht="15.75" customHeight="1">
      <c r="A17459" s="2" t="s">
        <v>17459</v>
      </c>
      <c r="B17459" s="2" t="str">
        <f>IFERROR(__xludf.DUMMYFUNCTION("GOOGLETRANSLATE(A17459, ""en"", ""mt"")"),"6.1")</f>
        <v>6.1</v>
      </c>
    </row>
    <row r="17460" ht="15.75" customHeight="1">
      <c r="A17460" s="2" t="s">
        <v>17460</v>
      </c>
      <c r="B17460" s="2" t="str">
        <f>IFERROR(__xludf.DUMMYFUNCTION("GOOGLETRANSLATE(A17460, ""en"", ""mt"")"),"Taħt liema mexxej il-Huguenots ġġieldu f'dan il-kunflitt?")</f>
        <v>Taħt liema mexxej il-Huguenots ġġieldu f'dan il-kunflitt?</v>
      </c>
    </row>
    <row r="17461" ht="15.75" customHeight="1">
      <c r="A17461" s="2" t="s">
        <v>17461</v>
      </c>
      <c r="B17461" s="2" t="str">
        <f>IFERROR(__xludf.DUMMYFUNCTION("GOOGLETRANSLATE(A17461, ""en"", ""mt"")"),"Fil-bidu tal-1961, it-tlugħ dirett kien ġeneralment il-mod tal-missjoni favur in-NASA. Bosta inġiniera beżgħu li rendikont - ħalli waħdu docking - l-ebda wieħed minnhom ma kien ġie ppruvat anke fl-orbita tad-dinja, ma jkun diffiċli ħafna fl-orbita lunari."&amp;" Dissensers inklużi John Houbolt fiċ-Ċentru ta 'Riċerka ta' Langley enfasizzaw it-tnaqqis importanti tal-piż li ġie offrut mill-approċċ LOR. Matul l-1960 u l-1961, Houbolt għamlet kampanja għar-rikonoxximent ta 'LOR bħala għażla vijabbli u prattika. Billi"&amp;" qabeż il-ġerarkija tan-NASA, huwa bagħat serje ta ’memoranda u rapporti dwar il-kwistjoni lill-Amministratur Assoċjat Robert Seamans; Filwaqt li rrikonoxxa li huwa tkellem ""xi ftit bħala vuċi fid-deżert,"" Houbolt wieġeb li Lor m'għandux jiġi skontat fl"&amp;"-istudji tal-kwistjoni.")</f>
        <v>Fil-bidu tal-1961, it-tlugħ dirett kien ġeneralment il-mod tal-missjoni favur in-NASA. Bosta inġiniera beżgħu li rendikont - ħalli waħdu docking - l-ebda wieħed minnhom ma kien ġie ppruvat anke fl-orbita tad-dinja, ma jkun diffiċli ħafna fl-orbita lunari. Dissensers inklużi John Houbolt fiċ-Ċentru ta 'Riċerka ta' Langley enfasizzaw it-tnaqqis importanti tal-piż li ġie offrut mill-approċċ LOR. Matul l-1960 u l-1961, Houbolt għamlet kampanja għar-rikonoxximent ta 'LOR bħala għażla vijabbli u prattika. Billi qabeż il-ġerarkija tan-NASA, huwa bagħat serje ta ’memoranda u rapporti dwar il-kwistjoni lill-Amministratur Assoċjat Robert Seamans; Filwaqt li rrikonoxxa li huwa tkellem "xi ftit bħala vuċi fid-deżert," Houbolt wieġeb li Lor m'għandux jiġi skontat fl-istudji tal-kwistjoni.</v>
      </c>
    </row>
    <row r="17462" ht="15.75" customHeight="1">
      <c r="A17462" s="2" t="s">
        <v>17462</v>
      </c>
      <c r="B17462" s="2" t="str">
        <f>IFERROR(__xludf.DUMMYFUNCTION("GOOGLETRANSLATE(A17462, ""en"", ""mt"")"),"Qrati tal-Istati Membri")</f>
        <v>Qrati tal-Istati Membri</v>
      </c>
    </row>
    <row r="17463" ht="15.75" customHeight="1">
      <c r="A17463" s="2" t="s">
        <v>17463</v>
      </c>
      <c r="B17463" s="2" t="str">
        <f>IFERROR(__xludf.DUMMYFUNCTION("GOOGLETRANSLATE(A17463, ""en"", ""mt"")"),"Fil-Ġappun, fi tmiem il-perjodu ta 'Asuka (538-710) u l-perjodu NARA bikri (710-794), l-irġiel li ssodisfaw ir-rwoli simili għal dawk tal-ispiżjara moderni kienu rispettati ħafna. Il-post tal-ispiżjara fis-soċjetà ġie definit espressament fil-kodiċi Taihō"&amp;" (701) u ddikjarat mill-ġdid fil-kodiċi Yōrō (718). Ġew stabbiliti pożizzjonijiet ikklassifikati fil-qorti imperjali ta 'qabel il-Heian; u din l-istruttura organizzattiva baqgħet fil-biċċa l-kbira intatta sal-Meiji Restawr (1868). F'din il-ġerarkija stabb"&amp;"li ħafna, l-ispiżjara - u anke l-assistenti tal-ispiżjar - ġew assenjati status superjuri għall-oħrajn kollha f'oqsma relatati mas-saħħa bħal tobba u acupuncturists. Fid-dar Imperjali, l-ispiżjar kien saħansitra kklassifikat 'il fuq miż-żewġ tobba persona"&amp;"li tal-Imperatur.")</f>
        <v>Fil-Ġappun, fi tmiem il-perjodu ta 'Asuka (538-710) u l-perjodu NARA bikri (710-794), l-irġiel li ssodisfaw ir-rwoli simili għal dawk tal-ispiżjara moderni kienu rispettati ħafna. Il-post tal-ispiżjara fis-soċjetà ġie definit espressament fil-kodiċi Taihō (701) u ddikjarat mill-ġdid fil-kodiċi Yōrō (718). Ġew stabbiliti pożizzjonijiet ikklassifikati fil-qorti imperjali ta 'qabel il-Heian; u din l-istruttura organizzattiva baqgħet fil-biċċa l-kbira intatta sal-Meiji Restawr (1868). F'din il-ġerarkija stabbli ħafna, l-ispiżjara - u anke l-assistenti tal-ispiżjar - ġew assenjati status superjuri għall-oħrajn kollha f'oqsma relatati mas-saħħa bħal tobba u acupuncturists. Fid-dar Imperjali, l-ispiżjar kien saħansitra kklassifikat 'il fuq miż-żewġ tobba personali tal-Imperatur.</v>
      </c>
    </row>
    <row r="17464" ht="15.75" customHeight="1">
      <c r="A17464" s="2" t="s">
        <v>17464</v>
      </c>
      <c r="B17464" s="2" t="str">
        <f>IFERROR(__xludf.DUMMYFUNCTION("GOOGLETRANSLATE(A17464, ""en"", ""mt"")"),"ċelloli T qattiel")</f>
        <v>ċelloli T qattiel</v>
      </c>
    </row>
    <row r="17465" ht="15.75" customHeight="1">
      <c r="A17465" s="2" t="s">
        <v>17465</v>
      </c>
      <c r="B17465" s="2" t="str">
        <f>IFERROR(__xludf.DUMMYFUNCTION("GOOGLETRANSLATE(A17465, ""en"", ""mt"")"),"X'kien it-titlu tal-programm tal-films tax-xandir tal-ABC li ddebutta l-Ħdud fl-1962?")</f>
        <v>X'kien it-titlu tal-programm tal-films tax-xandir tal-ABC li ddebutta l-Ħdud fl-1962?</v>
      </c>
    </row>
    <row r="17466" ht="15.75" customHeight="1">
      <c r="A17466" s="2" t="s">
        <v>17466</v>
      </c>
      <c r="B17466" s="2" t="str">
        <f>IFERROR(__xludf.DUMMYFUNCTION("GOOGLETRANSLATE(A17466, ""en"", ""mt"")"),"Min jgħin lill-anzjani fis-sagramenti tat-Tqarbin Imqaddes u l-Magħmudija?")</f>
        <v>Min jgħin lill-anzjani fis-sagramenti tat-Tqarbin Imqaddes u l-Magħmudija?</v>
      </c>
    </row>
    <row r="17467" ht="15.75" customHeight="1">
      <c r="A17467" s="2" t="s">
        <v>17467</v>
      </c>
      <c r="B17467" s="2" t="str">
        <f>IFERROR(__xludf.DUMMYFUNCTION("GOOGLETRANSLATE(A17467, ""en"", ""mt"")"),"Meta seħħet il-kolonizzazzjoni tal-Indja?")</f>
        <v>Meta seħħet il-kolonizzazzjoni tal-Indja?</v>
      </c>
    </row>
    <row r="17468" ht="15.75" customHeight="1">
      <c r="A17468" s="2" t="s">
        <v>17468</v>
      </c>
      <c r="B17468" s="2" t="str">
        <f>IFERROR(__xludf.DUMMYFUNCTION("GOOGLETRANSLATE(A17468, ""en"", ""mt"")"),"biex iżommu l-leġittimità tagħhom")</f>
        <v>biex iżommu l-leġittimità tagħhom</v>
      </c>
    </row>
    <row r="17469" ht="15.75" customHeight="1">
      <c r="A17469" s="2" t="s">
        <v>17469</v>
      </c>
      <c r="B17469" s="2" t="str">
        <f>IFERROR(__xludf.DUMMYFUNCTION("GOOGLETRANSLATE(A17469, ""en"", ""mt"")"),"Lhud imkeċċija")</f>
        <v>Lhud imkeċċija</v>
      </c>
    </row>
    <row r="17470" ht="15.75" customHeight="1">
      <c r="A17470" s="2" t="s">
        <v>17470</v>
      </c>
      <c r="B17470" s="2" t="str">
        <f>IFERROR(__xludf.DUMMYFUNCTION("GOOGLETRANSLATE(A17470, ""en"", ""mt"")"),"Fl-1830")</f>
        <v>Fl-1830</v>
      </c>
    </row>
    <row r="17471" ht="15.75" customHeight="1">
      <c r="A17471" s="2" t="s">
        <v>17471</v>
      </c>
      <c r="B17471" s="2" t="str">
        <f>IFERROR(__xludf.DUMMYFUNCTION("GOOGLETRANSLATE(A17471, ""en"", ""mt"")"),"Kaifeng")</f>
        <v>Kaifeng</v>
      </c>
    </row>
    <row r="17472" ht="15.75" customHeight="1">
      <c r="A17472" s="2" t="s">
        <v>17472</v>
      </c>
      <c r="B17472" s="2" t="str">
        <f>IFERROR(__xludf.DUMMYFUNCTION("GOOGLETRANSLATE(A17472, ""en"", ""mt"")"),"L-Ispirtu Brittaniku tal-Imperjalizmu")</f>
        <v>L-Ispirtu Brittaniku tal-Imperjalizmu</v>
      </c>
    </row>
    <row r="17473" ht="15.75" customHeight="1">
      <c r="A17473" s="2" t="s">
        <v>17473</v>
      </c>
      <c r="B17473" s="2" t="str">
        <f>IFERROR(__xludf.DUMMYFUNCTION("GOOGLETRANSLATE(A17473, ""en"", ""mt"")"),"Biex iġġiegħel lill-Ġappun ikun aktar involut fil-kriżi, x’għamlu l-gvern Sawdi u Kuwajt?")</f>
        <v>Biex iġġiegħel lill-Ġappun ikun aktar involut fil-kriżi, x’għamlu l-gvern Sawdi u Kuwajt?</v>
      </c>
    </row>
    <row r="17474" ht="15.75" customHeight="1">
      <c r="A17474" s="2" t="s">
        <v>17474</v>
      </c>
      <c r="B17474" s="2" t="str">
        <f>IFERROR(__xludf.DUMMYFUNCTION("GOOGLETRANSLATE(A17474, ""en"", ""mt"")"),"F'Lulju 2013, il-Qorti Għolja tal-Ġustizzja Ingliża sabet li l-użu ta 'Microsoft tat-terminu ""SkyDrive"" kiser id-dritt ta' Sky għat-trademark ""Sky"". Fil-31 ta 'Lulju 2013, BSKYB u Microsoft ħabbru s-saldu tagħhom, li fih Microsoft ma jappellawx id-deċ"&amp;"iżjoni, u jerġgħu jibdew is-servizz ta' ħażna tas-sħab skydrive tagħha wara ""perjodu raġonevoli ta 'żmien biex jippermettu tranżizzjoni ordnata għal marka ġdida,"" ""Termini finanzjarji u oħrajn, li d-dettalji tagħhom huma kunfidenzjali"". Fis-27 ta 'Jan"&amp;"nar 2014, Microsoft ħabbret ""li SkyDrive dalwaqt se ssir OneDrive"" u ""SkyDrive Pro"" isir ""OneDrive for Business"".")</f>
        <v>F'Lulju 2013, il-Qorti Għolja tal-Ġustizzja Ingliża sabet li l-użu ta 'Microsoft tat-terminu "SkyDrive" kiser id-dritt ta' Sky għat-trademark "Sky". Fil-31 ta 'Lulju 2013, BSKYB u Microsoft ħabbru s-saldu tagħhom, li fih Microsoft ma jappellawx id-deċiżjoni, u jerġgħu jibdew is-servizz ta' ħażna tas-sħab skydrive tagħha wara "perjodu raġonevoli ta 'żmien biex jippermettu tranżizzjoni ordnata għal marka ġdida," "Termini finanzjarji u oħrajn, li d-dettalji tagħhom huma kunfidenzjali". Fis-27 ta 'Jannar 2014, Microsoft ħabbret "li SkyDrive dalwaqt se ssir OneDrive" u "SkyDrive Pro" isir "OneDrive for Business".</v>
      </c>
    </row>
    <row r="17475" ht="15.75" customHeight="1">
      <c r="A17475" s="2" t="s">
        <v>17475</v>
      </c>
      <c r="B17475" s="2" t="str">
        <f>IFERROR(__xludf.DUMMYFUNCTION("GOOGLETRANSLATE(A17475, ""en"", ""mt"")"),"Kemm tista 'tkun mhedda l-Amazon Rainforest, skond xi mudelli tal-kompjuter?")</f>
        <v>Kemm tista 'tkun mhedda l-Amazon Rainforest, skond xi mudelli tal-kompjuter?</v>
      </c>
    </row>
    <row r="17476" ht="15.75" customHeight="1">
      <c r="A17476" s="2" t="s">
        <v>17476</v>
      </c>
      <c r="B17476" s="2" t="str">
        <f>IFERROR(__xludf.DUMMYFUNCTION("GOOGLETRANSLATE(A17476, ""en"", ""mt"")"),"L-edukazzjoni formali bażika tibda fl-età ta 'sitt snin u ddum 12-il sena li tinkludi tmien snin fl-iskola primarja u erba' snin fl-iskola għolja jew skola sekondarja. L-iskola primarja hija bla ħlas fl-iskejjel pubbliċi u dawk li joħorġu f'dan il-livell "&amp;"jistgħu jingħaqdu ma 'politekniku taż-żgħażagħ / villaġġi vokazzjonali jew jagħmlu l-arranġamenti tagħhom stess għal programm ta' apprendistat u jitgħallmu kummerċ bħal tfassil, karpenterija, tiswija ta 'vetturi bil-mutur, briks u ġebel u ġebel għal madwa"&amp;"r sentejn. Dawk li jtemmu l-iskola għolja jistgħu jingħaqdu ma 'politekniku jew kulleġġ tekniku ieħor u jistudjaw għal tliet snin jew jipproċedu direttament lejn l-università u jistudjaw għal erba' snin. Gradwati mill-Politeknika u l-Kulleġġi jistgħu mbag"&amp;"ħad jingħaqdu mal-forza tax-xogħol u aktar tard jiksbu kwalifika ta 'diploma ogħla speċjalizzata wara sena jew sentejn oħra ta' taħriġ, jew jingħaqdu fl-università - ġeneralment fit-tieni jew it-tielet sena tal-kors rispettiv tagħhom. L-ogħla diploma hija"&amp;" aċċettata minn bosta impjegaturi minflok grad ta 'baċellerat u ammissjoni diretta jew aċċellerata għal studji post-gradwati hija possibbli f'xi universitajiet.")</f>
        <v>L-edukazzjoni formali bażika tibda fl-età ta 'sitt snin u ddum 12-il sena li tinkludi tmien snin fl-iskola primarja u erba' snin fl-iskola għolja jew skola sekondarja. L-iskola primarja hija bla ħlas fl-iskejjel pubbliċi u dawk li joħorġu f'dan il-livell jistgħu jingħaqdu ma 'politekniku taż-żgħażagħ / villaġġi vokazzjonali jew jagħmlu l-arranġamenti tagħhom stess għal programm ta' apprendistat u jitgħallmu kummerċ bħal tfassil, karpenterija, tiswija ta 'vetturi bil-mutur, briks u ġebel u ġebel għal madwar sentejn. Dawk li jtemmu l-iskola għolja jistgħu jingħaqdu ma 'politekniku jew kulleġġ tekniku ieħor u jistudjaw għal tliet snin jew jipproċedu direttament lejn l-università u jistudjaw għal erba' snin. Gradwati mill-Politeknika u l-Kulleġġi jistgħu mbagħad jingħaqdu mal-forza tax-xogħol u aktar tard jiksbu kwalifika ta 'diploma ogħla speċjalizzata wara sena jew sentejn oħra ta' taħriġ, jew jingħaqdu fl-università - ġeneralment fit-tieni jew it-tielet sena tal-kors rispettiv tagħhom. L-ogħla diploma hija aċċettata minn bosta impjegaturi minflok grad ta 'baċellerat u ammissjoni diretta jew aċċellerata għal studji post-gradwati hija possibbli f'xi universitajiet.</v>
      </c>
    </row>
    <row r="17477" ht="15.75" customHeight="1">
      <c r="A17477" s="2" t="s">
        <v>17477</v>
      </c>
      <c r="B17477" s="2" t="str">
        <f>IFERROR(__xludf.DUMMYFUNCTION("GOOGLETRANSLATE(A17477, ""en"", ""mt"")"),"4 ta 'April, 1968")</f>
        <v>4 ta 'April, 1968</v>
      </c>
    </row>
    <row r="17478" ht="15.75" customHeight="1">
      <c r="A17478" s="2" t="s">
        <v>17478</v>
      </c>
      <c r="B17478" s="2" t="str">
        <f>IFERROR(__xludf.DUMMYFUNCTION("GOOGLETRANSLATE(A17478, ""en"", ""mt"")"),"Il-forza ta 'espedizzjoni ta' Céloron kienet tikkonsisti f'madwar 200 truppa de la Marine u 30 Indjan. L-ispedizzjoni kienet tkopri madwar 3,000 mil (4,800 km) bejn Ġunju u Novembru 1749. Hija telgħet is-San Lawrenz, kompliet tul ix-xatt tat-tramuntana ta"&amp;"l-Lag Ontario, qasmet il-portage f'Niagara, u segwiet ix-xatt tan-Nofsinhar tal-Lag Erie. Fil-Chautauqua Portage (ħdejn il-lum Barċellona, ​​New York), l-ispedizzjoni marret lejn il-passaġġ lejn ix-Xmara Allegheny, li segwiet għas-sit tal-lum Pittsburgh. "&amp;"Hemm Céloron midfun pjanċi taċ-ċomb imnaqqxa bit-talba Franċiża lill-pajjiż ta ’Ohio. Kull meta ltaqa 'ma' negozjanti Ingliżi jew negozji tal-pil, Céloron għarrafhom bit-talbiet Franċiżi fit-territorju u qalilhom biex jitilqu.")</f>
        <v>Il-forza ta 'espedizzjoni ta' Céloron kienet tikkonsisti f'madwar 200 truppa de la Marine u 30 Indjan. L-ispedizzjoni kienet tkopri madwar 3,000 mil (4,800 km) bejn Ġunju u Novembru 1749. Hija telgħet is-San Lawrenz, kompliet tul ix-xatt tat-tramuntana tal-Lag Ontario, qasmet il-portage f'Niagara, u segwiet ix-xatt tan-Nofsinhar tal-Lag Erie. Fil-Chautauqua Portage (ħdejn il-lum Barċellona, ​​New York), l-ispedizzjoni marret lejn il-passaġġ lejn ix-Xmara Allegheny, li segwiet għas-sit tal-lum Pittsburgh. Hemm Céloron midfun pjanċi taċ-ċomb imnaqqxa bit-talba Franċiża lill-pajjiż ta ’Ohio. Kull meta ltaqa 'ma' negozjanti Ingliżi jew negozji tal-pil, Céloron għarrafhom bit-talbiet Franċiżi fit-territorju u qalilhom biex jitilqu.</v>
      </c>
    </row>
    <row r="17479" ht="15.75" customHeight="1">
      <c r="A17479" s="2" t="s">
        <v>17479</v>
      </c>
      <c r="B17479" s="2" t="str">
        <f>IFERROR(__xludf.DUMMYFUNCTION("GOOGLETRANSLATE(A17479, ""en"", ""mt"")"),"bejn wieħed u ieħor 260 kilometru")</f>
        <v>bejn wieħed u ieħor 260 kilometru</v>
      </c>
    </row>
    <row r="17480" ht="15.75" customHeight="1">
      <c r="A17480" s="2" t="s">
        <v>17480</v>
      </c>
      <c r="B17480" s="2" t="str">
        <f>IFERROR(__xludf.DUMMYFUNCTION("GOOGLETRANSLATE(A17480, ""en"", ""mt"")"),"jiddetermina dawk li jipproċedu għall-universitajiet")</f>
        <v>jiddetermina dawk li jipproċedu għall-universitajiet</v>
      </c>
    </row>
    <row r="17481" ht="15.75" customHeight="1">
      <c r="A17481" s="2" t="s">
        <v>17481</v>
      </c>
      <c r="B17481" s="2" t="str">
        <f>IFERROR(__xludf.DUMMYFUNCTION("GOOGLETRANSLATE(A17481, ""en"", ""mt"")"),"Katharina von Bora")</f>
        <v>Katharina von Bora</v>
      </c>
    </row>
    <row r="17482" ht="15.75" customHeight="1">
      <c r="A17482" s="2" t="s">
        <v>17482</v>
      </c>
      <c r="B17482" s="2" t="str">
        <f>IFERROR(__xludf.DUMMYFUNCTION("GOOGLETRANSLATE(A17482, ""en"", ""mt"")"),"Min iddisinja l-bibien tal-ħadid li jżejnu l-bini tad-dħul il-ġdid?")</f>
        <v>Min iddisinja l-bibien tal-ħadid li jżejnu l-bini tad-dħul il-ġdid?</v>
      </c>
    </row>
    <row r="17483" ht="15.75" customHeight="1">
      <c r="A17483" s="2" t="s">
        <v>17483</v>
      </c>
      <c r="B17483" s="2" t="str">
        <f>IFERROR(__xludf.DUMMYFUNCTION("GOOGLETRANSLATE(A17483, ""en"", ""mt"")"),"rati aktar baxxi")</f>
        <v>rati aktar baxxi</v>
      </c>
    </row>
    <row r="17484" ht="15.75" customHeight="1">
      <c r="A17484" s="2" t="s">
        <v>17484</v>
      </c>
      <c r="B17484" s="2" t="str">
        <f>IFERROR(__xludf.DUMMYFUNCTION("GOOGLETRANSLATE(A17484, ""en"", ""mt"")"),"Parks Nazzjonali")</f>
        <v>Parks Nazzjonali</v>
      </c>
    </row>
    <row r="17485" ht="15.75" customHeight="1">
      <c r="A17485" s="2" t="s">
        <v>17485</v>
      </c>
      <c r="B17485" s="2" t="str">
        <f>IFERROR(__xludf.DUMMYFUNCTION("GOOGLETRANSLATE(A17485, ""en"", ""mt"")"),"Senser tal-bilanċ li jikkonsisti fi statolit")</f>
        <v>Senser tal-bilanċ li jikkonsisti fi statolit</v>
      </c>
    </row>
    <row r="17486" ht="15.75" customHeight="1">
      <c r="A17486" s="2" t="s">
        <v>17486</v>
      </c>
      <c r="B17486" s="2" t="str">
        <f>IFERROR(__xludf.DUMMYFUNCTION("GOOGLETRANSLATE(A17486, ""en"", ""mt"")"),"Xi jfittex li jikseb ir-reċiproċità kwadratika?")</f>
        <v>Xi jfittex li jikseb ir-reċiproċità kwadratika?</v>
      </c>
    </row>
    <row r="17487" ht="15.75" customHeight="1">
      <c r="A17487" s="2" t="s">
        <v>17487</v>
      </c>
      <c r="B17487" s="2" t="str">
        <f>IFERROR(__xludf.DUMMYFUNCTION("GOOGLETRANSLATE(A17487, ""en"", ""mt"")"),"Min ried iċ-Ċiniż Han biex jgħin lill-Mongoli jiġġieldu?")</f>
        <v>Min ried iċ-Ċiniż Han biex jgħin lill-Mongoli jiġġieldu?</v>
      </c>
    </row>
    <row r="17488" ht="15.75" customHeight="1">
      <c r="A17488" s="2" t="s">
        <v>17488</v>
      </c>
      <c r="B17488" s="2" t="str">
        <f>IFERROR(__xludf.DUMMYFUNCTION("GOOGLETRANSLATE(A17488, ""en"", ""mt"")"),"Kalendarju għall-iffissar tal-istaġuni")</f>
        <v>Kalendarju għall-iffissar tal-istaġuni</v>
      </c>
    </row>
    <row r="17489" ht="15.75" customHeight="1">
      <c r="A17489" s="2" t="s">
        <v>17489</v>
      </c>
      <c r="B17489" s="2" t="str">
        <f>IFERROR(__xludf.DUMMYFUNCTION("GOOGLETRANSLATE(A17489, ""en"", ""mt"")"),"Dikjarazzjoni ssuġġeriet nuqqas ta 'dispjaċir")</f>
        <v>Dikjarazzjoni ssuġġeriet nuqqas ta 'dispjaċir</v>
      </c>
    </row>
    <row r="17490" ht="15.75" customHeight="1">
      <c r="A17490" s="2" t="s">
        <v>17490</v>
      </c>
      <c r="B17490" s="2" t="str">
        <f>IFERROR(__xludf.DUMMYFUNCTION("GOOGLETRANSLATE(A17490, ""en"", ""mt"")"),"Fuq liema horsepower huma turbini tal-fwar ġeneralment aktar effiċjenti mill-magni tal-fwar li jużaw pistuni reċiprokanti?")</f>
        <v>Fuq liema horsepower huma turbini tal-fwar ġeneralment aktar effiċjenti mill-magni tal-fwar li jużaw pistuni reċiprokanti?</v>
      </c>
    </row>
    <row r="17491" ht="15.75" customHeight="1">
      <c r="A17491" s="2" t="s">
        <v>17491</v>
      </c>
      <c r="B17491" s="2" t="str">
        <f>IFERROR(__xludf.DUMMYFUNCTION("GOOGLETRANSLATE(A17491, ""en"", ""mt"")"),"Min kiteb l-ewwel dwar l-iskoperta u l-fruntiera tar-Rhine?")</f>
        <v>Min kiteb l-ewwel dwar l-iskoperta u l-fruntiera tar-Rhine?</v>
      </c>
    </row>
    <row r="17492" ht="15.75" customHeight="1">
      <c r="A17492" s="2" t="s">
        <v>17492</v>
      </c>
      <c r="B17492" s="2" t="str">
        <f>IFERROR(__xludf.DUMMYFUNCTION("GOOGLETRANSLATE(A17492, ""en"", ""mt"")"),"Atlantiku")</f>
        <v>Atlantiku</v>
      </c>
    </row>
    <row r="17493" ht="15.75" customHeight="1">
      <c r="A17493" s="2" t="s">
        <v>17493</v>
      </c>
      <c r="B17493" s="2" t="str">
        <f>IFERROR(__xludf.DUMMYFUNCTION("GOOGLETRANSLATE(A17493, ""en"", ""mt"")"),"X'tip ta 'oġġetti huma murija fil-Mużew ta' Esteve Pharmacy?")</f>
        <v>X'tip ta 'oġġetti huma murija fil-Mużew ta' Esteve Pharmacy?</v>
      </c>
    </row>
    <row r="17494" ht="15.75" customHeight="1">
      <c r="A17494" s="2" t="s">
        <v>17494</v>
      </c>
      <c r="B17494" s="2" t="str">
        <f>IFERROR(__xludf.DUMMYFUNCTION("GOOGLETRANSLATE(A17494, ""en"", ""mt"")"),"cangue")</f>
        <v>cangue</v>
      </c>
    </row>
    <row r="17495" ht="15.75" customHeight="1">
      <c r="A17495" s="2" t="s">
        <v>17495</v>
      </c>
      <c r="B17495" s="2" t="str">
        <f>IFERROR(__xludf.DUMMYFUNCTION("GOOGLETRANSLATE(A17495, ""en"", ""mt"")"),"Guyard de Moulin")</f>
        <v>Guyard de Moulin</v>
      </c>
    </row>
    <row r="17496" ht="15.75" customHeight="1">
      <c r="A17496" s="2" t="s">
        <v>17496</v>
      </c>
      <c r="B17496" s="2" t="str">
        <f>IFERROR(__xludf.DUMMYFUNCTION("GOOGLETRANSLATE(A17496, ""en"", ""mt"")"),"F'liema korp ta 'l-ilma jinżamm ir-Regatta ta' Harvard - Yale?")</f>
        <v>F'liema korp ta 'l-ilma jinżamm ir-Regatta ta' Harvard - Yale?</v>
      </c>
    </row>
    <row r="17497" ht="15.75" customHeight="1">
      <c r="A17497" s="2" t="s">
        <v>17497</v>
      </c>
      <c r="B17497" s="2" t="str">
        <f>IFERROR(__xludf.DUMMYFUNCTION("GOOGLETRANSLATE(A17497, ""en"", ""mt"")"),"Stacks ta 'tnejn")</f>
        <v>Stacks ta 'tnejn</v>
      </c>
    </row>
    <row r="17498" ht="15.75" customHeight="1">
      <c r="A17498" s="2" t="s">
        <v>17498</v>
      </c>
      <c r="B17498" s="2" t="str">
        <f>IFERROR(__xludf.DUMMYFUNCTION("GOOGLETRANSLATE(A17498, ""en"", ""mt"")"),"30%")</f>
        <v>30%</v>
      </c>
    </row>
    <row r="17499" ht="15.75" customHeight="1">
      <c r="A17499" s="2" t="s">
        <v>17499</v>
      </c>
      <c r="B17499" s="2" t="str">
        <f>IFERROR(__xludf.DUMMYFUNCTION("GOOGLETRANSLATE(A17499, ""en"", ""mt"")"),"Kurunell Monckton")</f>
        <v>Kurunell Monckton</v>
      </c>
    </row>
    <row r="17500" ht="15.75" customHeight="1">
      <c r="A17500" s="2" t="s">
        <v>17500</v>
      </c>
      <c r="B17500" s="2" t="str">
        <f>IFERROR(__xludf.DUMMYFUNCTION("GOOGLETRANSLATE(A17500, ""en"", ""mt"")"),"X'inhu l-kejl konvenzjonali tar-Renu?")</f>
        <v>X'inhu l-kejl konvenzjonali tar-Renu?</v>
      </c>
    </row>
    <row r="17501" ht="15.75" customHeight="1">
      <c r="A17501" s="2" t="s">
        <v>17501</v>
      </c>
      <c r="B17501" s="2" t="str">
        <f>IFERROR(__xludf.DUMMYFUNCTION("GOOGLETRANSLATE(A17501, ""en"", ""mt"")"),"Renu Nofsani")</f>
        <v>Renu Nofsani</v>
      </c>
    </row>
    <row r="17502" ht="15.75" customHeight="1">
      <c r="A17502" s="2" t="s">
        <v>17502</v>
      </c>
      <c r="B17502" s="2" t="str">
        <f>IFERROR(__xludf.DUMMYFUNCTION("GOOGLETRANSLATE(A17502, ""en"", ""mt"")"),"madwar 40 nanometru madwar")</f>
        <v>madwar 40 nanometru madwar</v>
      </c>
    </row>
    <row r="17503" ht="15.75" customHeight="1">
      <c r="A17503" s="2" t="s">
        <v>17503</v>
      </c>
      <c r="B17503" s="2" t="str">
        <f>IFERROR(__xludf.DUMMYFUNCTION("GOOGLETRANSLATE(A17503, ""en"", ""mt"")"),"Moselle")</f>
        <v>Moselle</v>
      </c>
    </row>
    <row r="17504" ht="15.75" customHeight="1">
      <c r="A17504" s="2" t="s">
        <v>17504</v>
      </c>
      <c r="B17504" s="2" t="str">
        <f>IFERROR(__xludf.DUMMYFUNCTION("GOOGLETRANSLATE(A17504, ""en"", ""mt"")"),"Liema Doctor Who-Episode ġie muri waqt il-promettenti?")</f>
        <v>Liema Doctor Who-Episode ġie muri waqt il-promettenti?</v>
      </c>
    </row>
    <row r="17505" ht="15.75" customHeight="1">
      <c r="A17505" s="2" t="s">
        <v>17505</v>
      </c>
      <c r="B17505" s="2" t="str">
        <f>IFERROR(__xludf.DUMMYFUNCTION("GOOGLETRANSLATE(A17505, ""en"", ""mt"")"),"il-mistrieħ")</f>
        <v>il-mistrieħ</v>
      </c>
    </row>
    <row r="17506" ht="15.75" customHeight="1">
      <c r="A17506" s="2" t="s">
        <v>17506</v>
      </c>
      <c r="B17506" s="2" t="str">
        <f>IFERROR(__xludf.DUMMYFUNCTION("GOOGLETRANSLATE(A17506, ""en"", ""mt"")"),"X'kien l-isem tat-Tabib Min jilgħab mis-snin 1980?")</f>
        <v>X'kien l-isem tat-Tabib Min jilgħab mis-snin 1980?</v>
      </c>
    </row>
    <row r="17507" ht="15.75" customHeight="1">
      <c r="A17507" s="2" t="s">
        <v>17507</v>
      </c>
      <c r="B17507" s="2" t="str">
        <f>IFERROR(__xludf.DUMMYFUNCTION("GOOGLETRANSLATE(A17507, ""en"", ""mt"")"),"Diversità tar-riċetturi")</f>
        <v>Diversità tar-riċetturi</v>
      </c>
    </row>
    <row r="17508" ht="15.75" customHeight="1">
      <c r="A17508" s="2" t="s">
        <v>17508</v>
      </c>
      <c r="B17508" s="2" t="str">
        <f>IFERROR(__xludf.DUMMYFUNCTION("GOOGLETRANSLATE(A17508, ""en"", ""mt"")"),"X'tip ta 'kloroplasti ma tilfux id-dijatomi?")</f>
        <v>X'tip ta 'kloroplasti ma tilfux id-dijatomi?</v>
      </c>
    </row>
    <row r="17509" ht="15.75" customHeight="1">
      <c r="A17509" s="2" t="s">
        <v>17509</v>
      </c>
      <c r="B17509" s="2" t="str">
        <f>IFERROR(__xludf.DUMMYFUNCTION("GOOGLETRANSLATE(A17509, ""en"", ""mt"")"),"3.55 pulzier")</f>
        <v>3.55 pulzier</v>
      </c>
    </row>
    <row r="17510" ht="15.75" customHeight="1">
      <c r="A17510" s="2" t="s">
        <v>17510</v>
      </c>
      <c r="B17510" s="2" t="str">
        <f>IFERROR(__xludf.DUMMYFUNCTION("GOOGLETRANSLATE(A17510, ""en"", ""mt"")"),"L-avjazzjoni tal-Amerika ta ’Fuq rebħet il-kuntratt biex tibni s-CSM, u wkoll it-tieni stadju tal-vettura tat-tnedija Saturn V għan-NASA. Minħabba li d-disinn tas-CSM kien beda kmieni qabel l-għażla tal-orbita lunari li rreżistenti, il-magna tal-propulsjo"&amp;"ni tas-servizz kienet daqs biex tneħħi s-CSM barra mill-qamar, u b'hekk kienet eċċessiva għal madwar id-doppju tal-ispinta meħtieġa għat-titjira transcrunger. Ukoll, ma kien hemm l-ebda dispożizzjoni għall-docking mal-modulu Lunar. Studju dwar id-definizz"&amp;"joni tal-programm tal-1964 ikkonkluda li d-disinn inizjali għandu jitkompla bħala blokka I li tintuża għall-ittestjar bikri, filwaqt li l-Blokk II, il-vettura spazjali Lunar attwali, jinkorpora t-tagħmir tad-docking u jieħu vantaġġ mill-lezzjonijiet meħud"&amp;"a fl-iżvilupp tal-Blokk I.")</f>
        <v>L-avjazzjoni tal-Amerika ta ’Fuq rebħet il-kuntratt biex tibni s-CSM, u wkoll it-tieni stadju tal-vettura tat-tnedija Saturn V għan-NASA. Minħabba li d-disinn tas-CSM kien beda kmieni qabel l-għażla tal-orbita lunari li rreżistenti, il-magna tal-propulsjoni tas-servizz kienet daqs biex tneħħi s-CSM barra mill-qamar, u b'hekk kienet eċċessiva għal madwar id-doppju tal-ispinta meħtieġa għat-titjira transcrunger. Ukoll, ma kien hemm l-ebda dispożizzjoni għall-docking mal-modulu Lunar. Studju dwar id-definizzjoni tal-programm tal-1964 ikkonkluda li d-disinn inizjali għandu jitkompla bħala blokka I li tintuża għall-ittestjar bikri, filwaqt li l-Blokk II, il-vettura spazjali Lunar attwali, jinkorpora t-tagħmir tad-docking u jieħu vantaġġ mill-lezzjonijiet meħuda fl-iżvilupp tal-Blokk I.</v>
      </c>
    </row>
    <row r="17511" ht="15.75" customHeight="1">
      <c r="A17511" s="2" t="s">
        <v>17511</v>
      </c>
      <c r="B17511" s="2" t="str">
        <f>IFERROR(__xludf.DUMMYFUNCTION("GOOGLETRANSLATE(A17511, ""en"", ""mt"")"),"X'inhu ""Il-Bieb""?")</f>
        <v>X'inhu "Il-Bieb"?</v>
      </c>
    </row>
    <row r="17512" ht="15.75" customHeight="1">
      <c r="A17512" s="2" t="s">
        <v>17512</v>
      </c>
      <c r="B17512" s="2" t="str">
        <f>IFERROR(__xludf.DUMMYFUNCTION("GOOGLETRANSLATE(A17512, ""en"", ""mt"")"),"Liema magħruf Ġeneral abbanduna l-koalizzjoni ta 'Jamukha kontra Temüjin?")</f>
        <v>Liema magħruf Ġeneral abbanduna l-koalizzjoni ta 'Jamukha kontra Temüjin?</v>
      </c>
    </row>
    <row r="17513" ht="15.75" customHeight="1">
      <c r="A17513" s="2" t="s">
        <v>17513</v>
      </c>
      <c r="B17513" s="2" t="str">
        <f>IFERROR(__xludf.DUMMYFUNCTION("GOOGLETRANSLATE(A17513, ""en"", ""mt"")"),"F’liema tmiem tal-Ġnien Sassonu jinsab it-Tom tas-Suldat Mhux magħruf?")</f>
        <v>F’liema tmiem tal-Ġnien Sassonu jinsab it-Tom tas-Suldat Mhux magħruf?</v>
      </c>
    </row>
    <row r="17514" ht="15.75" customHeight="1">
      <c r="A17514" s="2" t="s">
        <v>17514</v>
      </c>
      <c r="B17514" s="2" t="str">
        <f>IFERROR(__xludf.DUMMYFUNCTION("GOOGLETRANSLATE(A17514, ""en"", ""mt"")"),"Liema industrija rnexxielha tibqa 'ħajja ta' tnaqqis kbir ta 'l-infiq militari?")</f>
        <v>Liema industrija rnexxielha tibqa 'ħajja ta' tnaqqis kbir ta 'l-infiq militari?</v>
      </c>
    </row>
    <row r="17515" ht="15.75" customHeight="1">
      <c r="A17515" s="2" t="s">
        <v>17515</v>
      </c>
      <c r="B17515" s="2" t="str">
        <f>IFERROR(__xludf.DUMMYFUNCTION("GOOGLETRANSLATE(A17515, ""en"", ""mt"")"),"Minbarra l-konċepiment tal-punt, liema monument jintuża fid-definizzjoni l-oħra tan-Nofsinhar ta 'California?")</f>
        <v>Minbarra l-konċepiment tal-punt, liema monument jintuża fid-definizzjoni l-oħra tan-Nofsinhar ta 'California?</v>
      </c>
    </row>
    <row r="17516" ht="15.75" customHeight="1">
      <c r="A17516" s="2" t="s">
        <v>17516</v>
      </c>
      <c r="B17516" s="2" t="str">
        <f>IFERROR(__xludf.DUMMYFUNCTION("GOOGLETRANSLATE(A17516, ""en"", ""mt"")"),"X'inhu meqjus bħala vantaġġ potenzjali għall-ġid għal xi Amerikani?")</f>
        <v>X'inhu meqjus bħala vantaġġ potenzjali għall-ġid għal xi Amerikani?</v>
      </c>
    </row>
    <row r="17517" ht="15.75" customHeight="1">
      <c r="A17517" s="2" t="s">
        <v>17517</v>
      </c>
      <c r="B17517" s="2" t="str">
        <f>IFERROR(__xludf.DUMMYFUNCTION("GOOGLETRANSLATE(A17517, ""en"", ""mt"")"),"Mark Twain")</f>
        <v>Mark Twain</v>
      </c>
    </row>
    <row r="17518" ht="15.75" customHeight="1">
      <c r="A17518" s="2" t="s">
        <v>17518</v>
      </c>
      <c r="B17518" s="2" t="str">
        <f>IFERROR(__xludf.DUMMYFUNCTION("GOOGLETRANSLATE(A17518, ""en"", ""mt"")"),"Meta l-kumpaniji tal-karozzi Amerikani ħarġu bil-karozzi sostituti domestiċi tagħhom, liema politika ntemmet?")</f>
        <v>Meta l-kumpaniji tal-karozzi Amerikani ħarġu bil-karozzi sostituti domestiċi tagħhom, liema politika ntemmet?</v>
      </c>
    </row>
    <row r="17519" ht="15.75" customHeight="1">
      <c r="A17519" s="2" t="s">
        <v>17519</v>
      </c>
      <c r="B17519" s="2" t="str">
        <f>IFERROR(__xludf.DUMMYFUNCTION("GOOGLETRANSLATE(A17519, ""en"", ""mt"")"),"X'kienu ż-żewġ teoriji ewlenin tal-immunità fl-aħħar tas-seklu 19?")</f>
        <v>X'kienu ż-żewġ teoriji ewlenin tal-immunità fl-aħħar tas-seklu 19?</v>
      </c>
    </row>
    <row r="17520" ht="15.75" customHeight="1">
      <c r="A17520" s="2" t="s">
        <v>17520</v>
      </c>
      <c r="B17520" s="2" t="str">
        <f>IFERROR(__xludf.DUMMYFUNCTION("GOOGLETRANSLATE(A17520, ""en"", ""mt"")"),"John D. Rockefeller")</f>
        <v>John D. Rockefeller</v>
      </c>
    </row>
    <row r="17521" ht="15.75" customHeight="1">
      <c r="A17521" s="2" t="s">
        <v>17521</v>
      </c>
      <c r="B17521" s="2" t="str">
        <f>IFERROR(__xludf.DUMMYFUNCTION("GOOGLETRANSLATE(A17521, ""en"", ""mt"")"),"Min l-ewwel spjega bis-sħiħ l-oriġini ta 'kampi manjetiċi u elettriċi?")</f>
        <v>Min l-ewwel spjega bis-sħiħ l-oriġini ta 'kampi manjetiċi u elettriċi?</v>
      </c>
    </row>
    <row r="17522" ht="15.75" customHeight="1">
      <c r="A17522" s="2" t="s">
        <v>17522</v>
      </c>
      <c r="B17522" s="2" t="str">
        <f>IFERROR(__xludf.DUMMYFUNCTION("GOOGLETRANSLATE(A17522, ""en"", ""mt"")"),"1891")</f>
        <v>1891</v>
      </c>
    </row>
    <row r="17523" ht="15.75" customHeight="1">
      <c r="A17523" s="2" t="s">
        <v>17523</v>
      </c>
      <c r="B17523" s="2" t="str">
        <f>IFERROR(__xludf.DUMMYFUNCTION("GOOGLETRANSLATE(A17523, ""en"", ""mt"")"),"Studenti gradwati u li għadhom ma ggradwawx eletti biex jirrappreżentaw lill-membri mill-unità akkademika rispettiva tagħhom")</f>
        <v>Studenti gradwati u li għadhom ma ggradwawx eletti biex jirrappreżentaw lill-membri mill-unità akkademika rispettiva tagħhom</v>
      </c>
    </row>
    <row r="17524" ht="15.75" customHeight="1">
      <c r="A17524" s="2" t="s">
        <v>17524</v>
      </c>
      <c r="B17524" s="2" t="str">
        <f>IFERROR(__xludf.DUMMYFUNCTION("GOOGLETRANSLATE(A17524, ""en"", ""mt"")"),"F’liema toroq hemm il-kwartieri ġenerali tal-ABC")</f>
        <v>F’liema toroq hemm il-kwartieri ġenerali tal-ABC</v>
      </c>
    </row>
    <row r="17525" ht="15.75" customHeight="1">
      <c r="A17525" s="2" t="s">
        <v>17525</v>
      </c>
      <c r="B17525" s="2" t="str">
        <f>IFERROR(__xludf.DUMMYFUNCTION("GOOGLETRANSLATE(A17525, ""en"", ""mt"")"),"mill-inqas 90% ċerti")</f>
        <v>mill-inqas 90% ċerti</v>
      </c>
    </row>
    <row r="17526" ht="15.75" customHeight="1">
      <c r="A17526" s="2" t="s">
        <v>17526</v>
      </c>
      <c r="B17526" s="2" t="str">
        <f>IFERROR(__xludf.DUMMYFUNCTION("GOOGLETRANSLATE(A17526, ""en"", ""mt"")"),"il-belt Moor")</f>
        <v>il-belt Moor</v>
      </c>
    </row>
    <row r="17527" ht="15.75" customHeight="1">
      <c r="A17527" s="2" t="s">
        <v>17527</v>
      </c>
      <c r="B17527" s="2" t="str">
        <f>IFERROR(__xludf.DUMMYFUNCTION("GOOGLETRANSLATE(A17527, ""en"", ""mt"")"),"elementi irreducibbli")</f>
        <v>elementi irreducibbli</v>
      </c>
    </row>
    <row r="17528" ht="15.75" customHeight="1">
      <c r="A17528" s="2" t="s">
        <v>17528</v>
      </c>
      <c r="B17528" s="2" t="str">
        <f>IFERROR(__xludf.DUMMYFUNCTION("GOOGLETRANSLATE(A17528, ""en"", ""mt"")"),"1524–25,")</f>
        <v>1524–25,</v>
      </c>
    </row>
    <row r="17529" ht="15.75" customHeight="1">
      <c r="A17529" s="2" t="s">
        <v>17529</v>
      </c>
      <c r="B17529" s="2" t="str">
        <f>IFERROR(__xludf.DUMMYFUNCTION("GOOGLETRANSLATE(A17529, ""en"", ""mt"")"),"Meta t-Tabib Min jgħaddi għal korp ġdid?")</f>
        <v>Meta t-Tabib Min jgħaddi għal korp ġdid?</v>
      </c>
    </row>
    <row r="17530" ht="15.75" customHeight="1">
      <c r="A17530" s="2" t="s">
        <v>17530</v>
      </c>
      <c r="B17530" s="2" t="str">
        <f>IFERROR(__xludf.DUMMYFUNCTION("GOOGLETRANSLATE(A17530, ""en"", ""mt"")"),"Karatteristiċi tal-popli li jirbħu")</f>
        <v>Karatteristiċi tal-popli li jirbħu</v>
      </c>
    </row>
    <row r="17531" ht="15.75" customHeight="1">
      <c r="A17531" s="2" t="s">
        <v>17531</v>
      </c>
      <c r="B17531" s="2" t="str">
        <f>IFERROR(__xludf.DUMMYFUNCTION("GOOGLETRANSLATE(A17531, ""en"", ""mt"")"),"Kemm voti b'kollox għandu l-kunsill?")</f>
        <v>Kemm voti b'kollox għandu l-kunsill?</v>
      </c>
    </row>
    <row r="17532" ht="15.75" customHeight="1">
      <c r="A17532" s="2" t="s">
        <v>17532</v>
      </c>
      <c r="B17532" s="2" t="str">
        <f>IFERROR(__xludf.DUMMYFUNCTION("GOOGLETRANSLATE(A17532, ""en"", ""mt"")"),"X'inhi l-akbar karatteristika sensorja taċ-Ctenophora?")</f>
        <v>X'inhi l-akbar karatteristika sensorja taċ-Ctenophora?</v>
      </c>
    </row>
    <row r="17533" ht="15.75" customHeight="1">
      <c r="A17533" s="2" t="s">
        <v>17533</v>
      </c>
      <c r="B17533" s="2" t="str">
        <f>IFERROR(__xludf.DUMMYFUNCTION("GOOGLETRANSLATE(A17533, ""en"", ""mt"")"),"Il-Knisja tal-Ingilterra")</f>
        <v>Il-Knisja tal-Ingilterra</v>
      </c>
    </row>
    <row r="17534" ht="15.75" customHeight="1">
      <c r="A17534" s="2" t="s">
        <v>17534</v>
      </c>
      <c r="B17534" s="2" t="str">
        <f>IFERROR(__xludf.DUMMYFUNCTION("GOOGLETRANSLATE(A17534, ""en"", ""mt"")"),"Jassoċjaw forzi ma 'vettori")</f>
        <v>Jassoċjaw forzi ma 'vettori</v>
      </c>
    </row>
    <row r="17535" ht="15.75" customHeight="1">
      <c r="A17535" s="2" t="s">
        <v>17535</v>
      </c>
      <c r="B17535" s="2" t="str">
        <f>IFERROR(__xludf.DUMMYFUNCTION("GOOGLETRANSLATE(A17535, ""en"", ""mt"")"),"Gżejjer żgħar")</f>
        <v>Gżejjer żgħar</v>
      </c>
    </row>
    <row r="17536" ht="15.75" customHeight="1">
      <c r="A17536" s="2" t="s">
        <v>17536</v>
      </c>
      <c r="B17536" s="2" t="str">
        <f>IFERROR(__xludf.DUMMYFUNCTION("GOOGLETRANSLATE(A17536, ""en"", ""mt"")"),"Liema nisel jinkludi pjanti tal-art?")</f>
        <v>Liema nisel jinkludi pjanti tal-art?</v>
      </c>
    </row>
    <row r="17537" ht="15.75" customHeight="1">
      <c r="A17537" s="2" t="s">
        <v>17537</v>
      </c>
      <c r="B17537" s="2" t="str">
        <f>IFERROR(__xludf.DUMMYFUNCTION("GOOGLETRANSLATE(A17537, ""en"", ""mt"")"),"Forza tanġenzjali")</f>
        <v>Forza tanġenzjali</v>
      </c>
    </row>
    <row r="17538" ht="15.75" customHeight="1">
      <c r="A17538" s="2" t="s">
        <v>17538</v>
      </c>
      <c r="B17538" s="2" t="str">
        <f>IFERROR(__xludf.DUMMYFUNCTION("GOOGLETRANSLATE(A17538, ""en"", ""mt"")"),"Li ssaltan fuq l-Imperu Ottoman meta kien l-iktar qawwi tiegħu.")</f>
        <v>Li ssaltan fuq l-Imperu Ottoman meta kien l-iktar qawwi tiegħu.</v>
      </c>
    </row>
    <row r="17539" ht="15.75" customHeight="1">
      <c r="A17539" s="2" t="s">
        <v>17539</v>
      </c>
      <c r="B17539" s="2" t="str">
        <f>IFERROR(__xludf.DUMMYFUNCTION("GOOGLETRANSLATE(A17539, ""en"", ""mt"")"),"Ġesù")</f>
        <v>Ġesù</v>
      </c>
    </row>
    <row r="17540" ht="15.75" customHeight="1">
      <c r="A17540" s="2" t="s">
        <v>17540</v>
      </c>
      <c r="B17540" s="2" t="str">
        <f>IFERROR(__xludf.DUMMYFUNCTION("GOOGLETRANSLATE(A17540, ""en"", ""mt"")"),"Filwaqt li l-biċċa l-kbira tal-kloroplasti joriġinaw minn dak l-ewwel sett ta 'avvenimenti endosimbjotiċi, Paulinella Chromatophora hija eċċezzjoni li akkwistat endosymbiont cyanobacterial fotosintetiku aktar reċentement. Mhuwiex ċar jekk dak is-simbiont "&amp;"huwiex relatat mill-qrib mal-kloroplast antenat ta 'ewkarioti oħra. Billi fl-istadji bikrija ta 'l-endosimbjożi, Paulinella Chromatophora tista' toffri xi għarfien dwar kif evolvew il-kloroplasti. Iċ-ċelloli Paulinella fihom strutturi ta 'fotosintetizzazz"&amp;"joni ta' zalzett b'forma ta 'zalzett bl-aħdar imsejħa kromatofori, imnissla mis-Synechococcus Cyanobacterium. Il-kromatofori ma jistgħux jibqgħu ħajjin barra l-ospitanti tagħhom. Id-DNA tal-kromatofor huwa twil madwar miljun par bażi, li fih madwar 850 ġe"&amp;"ni li jikkodifikaw il-proteina - ferm inqas mill-ġenoma ta 'Synechococcus par ta' tliet miljun bażi, iżda ħafna akbar mill-ġenoma ta 'madwar 150,000 bażi tal-kloroplast aktar assimilati. Il-kromatofori ttrasferixxu ħafna inqas mid-DNA tagħhom għan-nukleu "&amp;"tal-ospitanti tagħhom. Madwar 0.3–0.8% tad-DNA nukleari f'Paulinella huwa mill-kromatofor, meta mqabbel ma '11 -14% mill-kloroplast fil-pjanti.")</f>
        <v>Filwaqt li l-biċċa l-kbira tal-kloroplasti joriġinaw minn dak l-ewwel sett ta 'avvenimenti endosimbjotiċi, Paulinella Chromatophora hija eċċezzjoni li akkwistat endosymbiont cyanobacterial fotosintetiku aktar reċentement. Mhuwiex ċar jekk dak is-simbiont huwiex relatat mill-qrib mal-kloroplast antenat ta 'ewkarioti oħra. Billi fl-istadji bikrija ta 'l-endosimbjożi, Paulinella Chromatophora tista' toffri xi għarfien dwar kif evolvew il-kloroplasti. Iċ-ċelloli Paulinella fihom strutturi ta 'fotosintetizzazzjoni ta' zalzett b'forma ta 'zalzett bl-aħdar imsejħa kromatofori, imnissla mis-Synechococcus Cyanobacterium. Il-kromatofori ma jistgħux jibqgħu ħajjin barra l-ospitanti tagħhom. Id-DNA tal-kromatofor huwa twil madwar miljun par bażi, li fih madwar 850 ġeni li jikkodifikaw il-proteina - ferm inqas mill-ġenoma ta 'Synechococcus par ta' tliet miljun bażi, iżda ħafna akbar mill-ġenoma ta 'madwar 150,000 bażi tal-kloroplast aktar assimilati. Il-kromatofori ttrasferixxu ħafna inqas mid-DNA tagħhom għan-nukleu tal-ospitanti tagħhom. Madwar 0.3–0.8% tad-DNA nukleari f'Paulinella huwa mill-kromatofor, meta mqabbel ma '11 -14% mill-kloroplast fil-pjanti.</v>
      </c>
    </row>
    <row r="17541" ht="15.75" customHeight="1">
      <c r="A17541" s="2" t="s">
        <v>17541</v>
      </c>
      <c r="B17541" s="2" t="str">
        <f>IFERROR(__xludf.DUMMYFUNCTION("GOOGLETRANSLATE(A17541, ""en"", ""mt"")"),"rapport")</f>
        <v>rapport</v>
      </c>
    </row>
    <row r="17542" ht="15.75" customHeight="1">
      <c r="A17542" s="2" t="s">
        <v>17542</v>
      </c>
      <c r="B17542" s="2" t="str">
        <f>IFERROR(__xludf.DUMMYFUNCTION("GOOGLETRANSLATE(A17542, ""en"", ""mt"")"),"F’liema snin Spanja u l-Portugall ingħaqdu mal-Unjoni Ewropea?")</f>
        <v>F’liema snin Spanja u l-Portugall ingħaqdu mal-Unjoni Ewropea?</v>
      </c>
    </row>
    <row r="17543" ht="15.75" customHeight="1">
      <c r="A17543" s="2" t="s">
        <v>17543</v>
      </c>
      <c r="B17543" s="2" t="str">
        <f>IFERROR(__xludf.DUMMYFUNCTION("GOOGLETRANSLATE(A17543, ""en"", ""mt"")"),"Dating ta 'lava u saffi ta' rmied vulkaniku misjuba f'sekwenza stratigrafika")</f>
        <v>Dating ta 'lava u saffi ta' rmied vulkaniku misjuba f'sekwenza stratigrafika</v>
      </c>
    </row>
    <row r="17544" ht="15.75" customHeight="1">
      <c r="A17544" s="2" t="s">
        <v>17544</v>
      </c>
      <c r="B17544" s="2" t="str">
        <f>IFERROR(__xludf.DUMMYFUNCTION("GOOGLETRANSLATE(A17544, ""en"", ""mt"")"),"Kemm inġabru flus mill-kumitat ospitanti?")</f>
        <v>Kemm inġabru flus mill-kumitat ospitanti?</v>
      </c>
    </row>
    <row r="17545" ht="15.75" customHeight="1">
      <c r="A17545" s="2" t="s">
        <v>17545</v>
      </c>
      <c r="B17545" s="2" t="str">
        <f>IFERROR(__xludf.DUMMYFUNCTION("GOOGLETRANSLATE(A17545, ""en"", ""mt"")"),"Ateni fl-430 QK")</f>
        <v>Ateni fl-430 QK</v>
      </c>
    </row>
    <row r="17546" ht="15.75" customHeight="1">
      <c r="A17546" s="2" t="s">
        <v>17546</v>
      </c>
      <c r="B17546" s="2" t="str">
        <f>IFERROR(__xludf.DUMMYFUNCTION("GOOGLETRANSLATE(A17546, ""en"", ""mt"")"),"1.6 kilometri")</f>
        <v>1.6 kilometri</v>
      </c>
    </row>
    <row r="17547" ht="15.75" customHeight="1">
      <c r="A17547" s="2" t="s">
        <v>17547</v>
      </c>
      <c r="B17547" s="2" t="str">
        <f>IFERROR(__xludf.DUMMYFUNCTION("GOOGLETRANSLATE(A17547, ""en"", ""mt"")"),"Fl-Istati Uniti speċjalment, diversi każijiet ta 'profil għoli bħal Debra Lafave, Pamela Rogers, u Mary Kay Letourneau kkawżaw żieda fl-iskrutinju fuq kondotta ħażina tal-għalliema.")</f>
        <v>Fl-Istati Uniti speċjalment, diversi każijiet ta 'profil għoli bħal Debra Lafave, Pamela Rogers, u Mary Kay Letourneau kkawżaw żieda fl-iskrutinju fuq kondotta ħażina tal-għalliema.</v>
      </c>
    </row>
    <row r="17548" ht="15.75" customHeight="1">
      <c r="A17548" s="2" t="s">
        <v>17548</v>
      </c>
      <c r="B17548" s="2" t="str">
        <f>IFERROR(__xludf.DUMMYFUNCTION("GOOGLETRANSLATE(A17548, ""en"", ""mt"")"),"Il-kodiċi Taihō (701) u ddikjarat mill-ġdid fil-kodiċi Yōrō (718)")</f>
        <v>Il-kodiċi Taihō (701) u ddikjarat mill-ġdid fil-kodiċi Yōrō (718)</v>
      </c>
    </row>
    <row r="17549" ht="15.75" customHeight="1">
      <c r="A17549" s="2" t="s">
        <v>17549</v>
      </c>
      <c r="B17549" s="2" t="str">
        <f>IFERROR(__xludf.DUMMYFUNCTION("GOOGLETRANSLATE(A17549, ""en"", ""mt"")"),"Tip Nazzjonali")</f>
        <v>Tip Nazzjonali</v>
      </c>
    </row>
    <row r="17550" ht="15.75" customHeight="1">
      <c r="A17550" s="2" t="s">
        <v>17550</v>
      </c>
      <c r="B17550" s="2" t="str">
        <f>IFERROR(__xludf.DUMMYFUNCTION("GOOGLETRANSLATE(A17550, ""en"", ""mt"")"),"L-imblokk Ingliż tal-kosta Franċiża limitat it-tbaħħir Franċiż.")</f>
        <v>L-imblokk Ingliż tal-kosta Franċiża limitat it-tbaħħir Franċiż.</v>
      </c>
    </row>
    <row r="17551" ht="15.75" customHeight="1">
      <c r="A17551" s="2" t="s">
        <v>17551</v>
      </c>
      <c r="B17551" s="2" t="str">
        <f>IFERROR(__xludf.DUMMYFUNCTION("GOOGLETRANSLATE(A17551, ""en"", ""mt"")"),"Bl-4: 51 fadal fir-regolament, Carolina kisbu l-ballun fuq il-linja ta '24 -yard tagħhom stess b'ċans li jintramaw sewqan rebbieħa tal-logħba, u malajr ffaċċjaw it-3 u d-9. Fid-dramm li jmiss, Miller imxekkel il-ballun 'il bogħod minn Newton, u wara li di"&amp;"versi plejers ħamiema għaliha, ħadu rebħa twila lura u ġie rkuprat minn Ward, li rritornah ħames tarzni lejn il-linja ta' 4-tarzna Panthers. Għalkemm diversi plejers jidħlu fil-munzell biex jippruvaw jirkuprawha, Newton ma kienx u n-nuqqas ta 'aggressjoni"&amp;" tiegħu aktar tard qalgħu kritika qawwija. Sadanittant, ir-reat ta 'Denver inżamm barra miż-żona finali għal tliet logħbiet, iżda penalty fuq il-kantuniera Josh Norman ta lill-Broncos sett ġdid ta' downs. Imbagħad Anderson skorja fuq ġirja ta '2-tarzna u "&amp;"Manning temm pass lil Bennie Fowler għal konverżjoni ta' 2 punti, u ta lil Denver vantaġġ ta '24 -10 bi 3:08 xellug u essenzjalment poġġa l-logħba 'l bogħod. Carolina kellha żewġ drives oħra, iżda naqset milli tikseb l-ewwel 'l isfel fuq kull wieħed.")</f>
        <v>Bl-4: 51 fadal fir-regolament, Carolina kisbu l-ballun fuq il-linja ta '24 -yard tagħhom stess b'ċans li jintramaw sewqan rebbieħa tal-logħba, u malajr ffaċċjaw it-3 u d-9. Fid-dramm li jmiss, Miller imxekkel il-ballun 'il bogħod minn Newton, u wara li diversi plejers ħamiema għaliha, ħadu rebħa twila lura u ġie rkuprat minn Ward, li rritornah ħames tarzni lejn il-linja ta' 4-tarzna Panthers. Għalkemm diversi plejers jidħlu fil-munzell biex jippruvaw jirkuprawha, Newton ma kienx u n-nuqqas ta 'aggressjoni tiegħu aktar tard qalgħu kritika qawwija. Sadanittant, ir-reat ta 'Denver inżamm barra miż-żona finali għal tliet logħbiet, iżda penalty fuq il-kantuniera Josh Norman ta lill-Broncos sett ġdid ta' downs. Imbagħad Anderson skorja fuq ġirja ta '2-tarzna u Manning temm pass lil Bennie Fowler għal konverżjoni ta' 2 punti, u ta lil Denver vantaġġ ta '24 -10 bi 3:08 xellug u essenzjalment poġġa l-logħba 'l bogħod. Carolina kellha żewġ drives oħra, iżda naqset milli tikseb l-ewwel 'l isfel fuq kull wieħed.</v>
      </c>
    </row>
    <row r="17552" ht="15.75" customHeight="1">
      <c r="A17552" s="2" t="s">
        <v>17552</v>
      </c>
      <c r="B17552" s="2" t="str">
        <f>IFERROR(__xludf.DUMMYFUNCTION("GOOGLETRANSLATE(A17552, ""en"", ""mt"")"),"Propulsjoni, enerġija elettrika u appoġġ għall-ħajja")</f>
        <v>Propulsjoni, enerġija elettrika u appoġġ għall-ħajja</v>
      </c>
    </row>
    <row r="17553" ht="15.75" customHeight="1">
      <c r="A17553" s="2" t="s">
        <v>17553</v>
      </c>
      <c r="B17553" s="2" t="str">
        <f>IFERROR(__xludf.DUMMYFUNCTION("GOOGLETRANSLATE(A17553, ""en"", ""mt"")"),"Mamluks")</f>
        <v>Mamluks</v>
      </c>
    </row>
    <row r="17554" ht="15.75" customHeight="1">
      <c r="A17554" s="2" t="s">
        <v>17554</v>
      </c>
      <c r="B17554" s="2" t="str">
        <f>IFERROR(__xludf.DUMMYFUNCTION("GOOGLETRANSLATE(A17554, ""en"", ""mt"")"),"Il-piż tal-bojlers u l-kondensaturi ġeneralment jagħmel il-proporzjon tal-enerġija għall-piż ta 'impjant tal-fwar inqas milli għal magni ta' kombustjoni interna. Għal applikazzjonijiet mobbli l-istim ġie sostitwit fil-biċċa l-kbira minn magni ta 'kombustj"&amp;"oni interna jew muturi elettriċi. Madankollu, il-biċċa l-kbira tal-enerġija elettrika hija ġġenerata bl-użu tal-impjant tat-turbina tal-fwar, sabiex indirettament l-industrija tad-dinja għadha tiddependi fuq l-enerġija tal-fwar. Tħassib riċenti dwar is-so"&amp;"rsi tal-fjuwil u t-tniġġis inċitaw interess imġedded fil-fwar kemm bħala komponent tal-proċessi ta 'kogenerazzjoni kif ukoll bħala mover ewlieni. Dan qed isir magħruf bħala l-moviment avvanzat tal-fwar. [Ċitazzjoni meħtieġa]")</f>
        <v>Il-piż tal-bojlers u l-kondensaturi ġeneralment jagħmel il-proporzjon tal-enerġija għall-piż ta 'impjant tal-fwar inqas milli għal magni ta' kombustjoni interna. Għal applikazzjonijiet mobbli l-istim ġie sostitwit fil-biċċa l-kbira minn magni ta 'kombustjoni interna jew muturi elettriċi. Madankollu, il-biċċa l-kbira tal-enerġija elettrika hija ġġenerata bl-użu tal-impjant tat-turbina tal-fwar, sabiex indirettament l-industrija tad-dinja għadha tiddependi fuq l-enerġija tal-fwar. Tħassib riċenti dwar is-sorsi tal-fjuwil u t-tniġġis inċitaw interess imġedded fil-fwar kemm bħala komponent tal-proċessi ta 'kogenerazzjoni kif ukoll bħala mover ewlieni. Dan qed isir magħruf bħala l-moviment avvanzat tal-fwar. [Ċitazzjoni meħtieġa]</v>
      </c>
    </row>
    <row r="17555" ht="15.75" customHeight="1">
      <c r="A17555" s="2" t="s">
        <v>17555</v>
      </c>
      <c r="B17555" s="2" t="str">
        <f>IFERROR(__xludf.DUMMYFUNCTION("GOOGLETRANSLATE(A17555, ""en"", ""mt"")"),"Akkademja")</f>
        <v>Akkademja</v>
      </c>
    </row>
    <row r="17556" ht="15.75" customHeight="1">
      <c r="A17556" s="2" t="s">
        <v>17556</v>
      </c>
      <c r="B17556" s="2" t="str">
        <f>IFERROR(__xludf.DUMMYFUNCTION("GOOGLETRANSLATE(A17556, ""en"", ""mt"")"),"Kemm innijiet Luther kiteb għall-ewwel innu korali?")</f>
        <v>Kemm innijiet Luther kiteb għall-ewwel innu korali?</v>
      </c>
    </row>
    <row r="17557" ht="15.75" customHeight="1">
      <c r="A17557" s="2" t="s">
        <v>17557</v>
      </c>
      <c r="B17557" s="2" t="str">
        <f>IFERROR(__xludf.DUMMYFUNCTION("GOOGLETRANSLATE(A17557, ""en"", ""mt"")"),"Il-karti ta 'liema awtur famuż Ingliż Vittorjan jinġabru fil-librerija?")</f>
        <v>Il-karti ta 'liema awtur famuż Ingliż Vittorjan jinġabru fil-librerija?</v>
      </c>
    </row>
    <row r="17558" ht="15.75" customHeight="1">
      <c r="A17558" s="2" t="s">
        <v>17558</v>
      </c>
      <c r="B17558" s="2" t="str">
        <f>IFERROR(__xludf.DUMMYFUNCTION("GOOGLETRANSLATE(A17558, ""en"", ""mt"")"),"Nofsinhar ta 'l-Istati Uniti")</f>
        <v>Nofsinhar ta 'l-Istati Uniti</v>
      </c>
    </row>
    <row r="17559" ht="15.75" customHeight="1">
      <c r="A17559" s="2" t="s">
        <v>17559</v>
      </c>
      <c r="B17559" s="2" t="str">
        <f>IFERROR(__xludf.DUMMYFUNCTION("GOOGLETRANSLATE(A17559, ""en"", ""mt"")"),"Metodu ta 'lokomozzjoni")</f>
        <v>Metodu ta 'lokomozzjoni</v>
      </c>
    </row>
    <row r="17560" ht="15.75" customHeight="1">
      <c r="A17560" s="2" t="s">
        <v>17560</v>
      </c>
      <c r="B17560" s="2" t="str">
        <f>IFERROR(__xludf.DUMMYFUNCTION("GOOGLETRANSLATE(A17560, ""en"", ""mt"")"),"Pictish")</f>
        <v>Pictish</v>
      </c>
    </row>
    <row r="17561" ht="15.75" customHeight="1">
      <c r="A17561" s="2" t="s">
        <v>17561</v>
      </c>
      <c r="B17561" s="2" t="str">
        <f>IFERROR(__xludf.DUMMYFUNCTION("GOOGLETRANSLATE(A17561, ""en"", ""mt"")"),"Kemm kien suċċess l-isforz inizjali minn Braddock?")</f>
        <v>Kemm kien suċċess l-isforz inizjali minn Braddock?</v>
      </c>
    </row>
    <row r="17562" ht="15.75" customHeight="1">
      <c r="A17562" s="2" t="s">
        <v>17562</v>
      </c>
      <c r="B17562" s="2" t="str">
        <f>IFERROR(__xludf.DUMMYFUNCTION("GOOGLETRANSLATE(A17562, ""en"", ""mt"")"),"Liema wirja tal-logħob iddebutta fuq ABC fl-2007 bħala sostitut għal programmi impressjonanti?")</f>
        <v>Liema wirja tal-logħob iddebutta fuq ABC fl-2007 bħala sostitut għal programmi impressjonanti?</v>
      </c>
    </row>
    <row r="17563" ht="15.75" customHeight="1">
      <c r="A17563" s="2" t="s">
        <v>17563</v>
      </c>
      <c r="B17563" s="2" t="str">
        <f>IFERROR(__xludf.DUMMYFUNCTION("GOOGLETRANSLATE(A17563, ""en"", ""mt"")"),"flashbacks")</f>
        <v>flashbacks</v>
      </c>
    </row>
    <row r="17564" ht="15.75" customHeight="1">
      <c r="A17564" s="2" t="s">
        <v>17564</v>
      </c>
      <c r="B17564" s="2" t="str">
        <f>IFERROR(__xludf.DUMMYFUNCTION("GOOGLETRANSLATE(A17564, ""en"", ""mt"")"),"X'jista 'jagħmel Hermaphrodite simultanju?")</f>
        <v>X'jista 'jagħmel Hermaphrodite simultanju?</v>
      </c>
    </row>
    <row r="17565" ht="15.75" customHeight="1">
      <c r="A17565" s="2" t="s">
        <v>17565</v>
      </c>
      <c r="B17565" s="2" t="str">
        <f>IFERROR(__xludf.DUMMYFUNCTION("GOOGLETRANSLATE(A17565, ""en"", ""mt"")"),"Hu li jagħmel affarijiet kbar")</f>
        <v>Hu li jagħmel affarijiet kbar</v>
      </c>
    </row>
    <row r="17566" ht="15.75" customHeight="1">
      <c r="A17566" s="2" t="s">
        <v>17566</v>
      </c>
      <c r="B17566" s="2" t="str">
        <f>IFERROR(__xludf.DUMMYFUNCTION("GOOGLETRANSLATE(A17566, ""en"", ""mt"")"),"Ċittadella ta ’Varsavja")</f>
        <v>Ċittadella ta ’Varsavja</v>
      </c>
    </row>
    <row r="17567" ht="15.75" customHeight="1">
      <c r="A17567" s="2" t="s">
        <v>17567</v>
      </c>
      <c r="B17567" s="2" t="str">
        <f>IFERROR(__xludf.DUMMYFUNCTION("GOOGLETRANSLATE(A17567, ""en"", ""mt"")"),"Sports Programs, Inc.")</f>
        <v>Sports Programs, Inc.</v>
      </c>
    </row>
    <row r="17568" ht="15.75" customHeight="1">
      <c r="A17568" s="2" t="s">
        <v>17568</v>
      </c>
      <c r="B17568" s="2" t="str">
        <f>IFERROR(__xludf.DUMMYFUNCTION("GOOGLETRANSLATE(A17568, ""en"", ""mt"")"),"Fuq liema bażi l-organizzazzjonijiet Iżlamiċi radikali jmexxu l-attakki tagħhom?")</f>
        <v>Fuq liema bażi l-organizzazzjonijiet Iżlamiċi radikali jmexxu l-attakki tagħhom?</v>
      </c>
    </row>
    <row r="17569" ht="15.75" customHeight="1">
      <c r="A17569" s="2" t="s">
        <v>17569</v>
      </c>
      <c r="B17569" s="2" t="str">
        <f>IFERROR(__xludf.DUMMYFUNCTION("GOOGLETRANSLATE(A17569, ""en"", ""mt"")"),"X’ħaseb Luther dwar il-purgatorju?")</f>
        <v>X’ħaseb Luther dwar il-purgatorju?</v>
      </c>
    </row>
    <row r="17570" ht="15.75" customHeight="1">
      <c r="A17570" s="2" t="s">
        <v>17570</v>
      </c>
      <c r="B17570" s="2" t="str">
        <f>IFERROR(__xludf.DUMMYFUNCTION("GOOGLETRANSLATE(A17570, ""en"", ""mt"")"),"Privat tradizzjonali")</f>
        <v>Privat tradizzjonali</v>
      </c>
    </row>
    <row r="17571" ht="15.75" customHeight="1">
      <c r="A17571" s="2" t="s">
        <v>17571</v>
      </c>
      <c r="B17571" s="2" t="str">
        <f>IFERROR(__xludf.DUMMYFUNCTION("GOOGLETRANSLATE(A17571, ""en"", ""mt"")"),"X'impatt l-inugwaljanza bejn is-sessi fil-pagi?")</f>
        <v>X'impatt l-inugwaljanza bejn is-sessi fil-pagi?</v>
      </c>
    </row>
    <row r="17572" ht="15.75" customHeight="1">
      <c r="A17572" s="2" t="s">
        <v>17572</v>
      </c>
      <c r="B17572" s="2" t="str">
        <f>IFERROR(__xludf.DUMMYFUNCTION("GOOGLETRANSLATE(A17572, ""en"", ""mt"")"),"Temüjin u ħuh Khasar")</f>
        <v>Temüjin u ħuh Khasar</v>
      </c>
    </row>
    <row r="17573" ht="15.75" customHeight="1">
      <c r="A17573" s="2" t="s">
        <v>17573</v>
      </c>
      <c r="B17573" s="2" t="str">
        <f>IFERROR(__xludf.DUMMYFUNCTION("GOOGLETRANSLATE(A17573, ""en"", ""mt"")"),"Luther meta rritorna lejn Wittenberg?")</f>
        <v>Luther meta rritorna lejn Wittenberg?</v>
      </c>
    </row>
    <row r="17574" ht="15.75" customHeight="1">
      <c r="A17574" s="2" t="s">
        <v>17574</v>
      </c>
      <c r="B17574" s="2" t="str">
        <f>IFERROR(__xludf.DUMMYFUNCTION("GOOGLETRANSLATE(A17574, ""en"", ""mt"")"),"Dai Setsen")</f>
        <v>Dai Setsen</v>
      </c>
    </row>
    <row r="17575" ht="15.75" customHeight="1">
      <c r="A17575" s="2" t="s">
        <v>17575</v>
      </c>
      <c r="B17575" s="2" t="str">
        <f>IFERROR(__xludf.DUMMYFUNCTION("GOOGLETRANSLATE(A17575, ""en"", ""mt"")"),"toroq, pontijiet u pjazi kbar")</f>
        <v>toroq, pontijiet u pjazi kbar</v>
      </c>
    </row>
    <row r="17576" ht="15.75" customHeight="1">
      <c r="A17576" s="2" t="s">
        <v>17576</v>
      </c>
      <c r="B17576" s="2" t="str">
        <f>IFERROR(__xludf.DUMMYFUNCTION("GOOGLETRANSLATE(A17576, ""en"", ""mt"")"),"Eisleben")</f>
        <v>Eisleben</v>
      </c>
    </row>
    <row r="17577" ht="15.75" customHeight="1">
      <c r="A17577" s="2" t="s">
        <v>17577</v>
      </c>
      <c r="B17577" s="2" t="str">
        <f>IFERROR(__xludf.DUMMYFUNCTION("GOOGLETRANSLATE(A17577, ""en"", ""mt"")"),"billi toqgħod mal-istess grupp ta 'sħabhom għall-klassijiet kollha")</f>
        <v>billi toqgħod mal-istess grupp ta 'sħabhom għall-klassijiet kollha</v>
      </c>
    </row>
    <row r="17578" ht="15.75" customHeight="1">
      <c r="A17578" s="2" t="s">
        <v>17578</v>
      </c>
      <c r="B17578" s="2" t="str">
        <f>IFERROR(__xludf.DUMMYFUNCTION("GOOGLETRANSLATE(A17578, ""en"", ""mt"")"),"Karriera edukattiva")</f>
        <v>Karriera edukattiva</v>
      </c>
    </row>
    <row r="17579" ht="15.75" customHeight="1">
      <c r="A17579" s="2" t="s">
        <v>17579</v>
      </c>
      <c r="B17579" s="2" t="str">
        <f>IFERROR(__xludf.DUMMYFUNCTION("GOOGLETRANSLATE(A17579, ""en"", ""mt"")"),"imċaħħad milli jaqla 'daqshekk")</f>
        <v>imċaħħad milli jaqla 'daqshekk</v>
      </c>
    </row>
    <row r="17580" ht="15.75" customHeight="1">
      <c r="A17580" s="2" t="s">
        <v>17580</v>
      </c>
      <c r="B17580" s="2" t="str">
        <f>IFERROR(__xludf.DUMMYFUNCTION("GOOGLETRANSLATE(A17580, ""en"", ""mt"")"),"Ma kien kopert fl-ebda gazzetti fil-jiem, ġimgħat u xhur wara li ġara.")</f>
        <v>Ma kien kopert fl-ebda gazzetti fil-jiem, ġimgħat u xhur wara li ġara.</v>
      </c>
    </row>
    <row r="17581" ht="15.75" customHeight="1">
      <c r="A17581" s="2" t="s">
        <v>17581</v>
      </c>
      <c r="B17581" s="2" t="str">
        <f>IFERROR(__xludf.DUMMYFUNCTION("GOOGLETRANSLATE(A17581, ""en"", ""mt"")"),"Liema unità titkejjel biex tiddetermina l-kumplessità taċ-ċirkwit?")</f>
        <v>Liema unità titkejjel biex tiddetermina l-kumplessità taċ-ċirkwit?</v>
      </c>
    </row>
    <row r="17582" ht="15.75" customHeight="1">
      <c r="A17582" s="2" t="s">
        <v>17582</v>
      </c>
      <c r="B17582" s="2" t="str">
        <f>IFERROR(__xludf.DUMMYFUNCTION("GOOGLETRANSLATE(A17582, ""en"", ""mt"")"),"Bejgħ ta 'indulġenzi")</f>
        <v>Bejgħ ta 'indulġenzi</v>
      </c>
    </row>
    <row r="17583" ht="15.75" customHeight="1">
      <c r="A17583" s="2" t="s">
        <v>17583</v>
      </c>
      <c r="B17583" s="2" t="str">
        <f>IFERROR(__xludf.DUMMYFUNCTION("GOOGLETRANSLATE(A17583, ""en"", ""mt"")"),"ippubblika s-sejbiet tiegħu l-ewwel")</f>
        <v>ippubblika s-sejbiet tiegħu l-ewwel</v>
      </c>
    </row>
    <row r="17584" ht="15.75" customHeight="1">
      <c r="A17584" s="2" t="s">
        <v>17584</v>
      </c>
      <c r="B17584" s="2" t="str">
        <f>IFERROR(__xludf.DUMMYFUNCTION("GOOGLETRANSLATE(A17584, ""en"", ""mt"")"),"Fuq livell internazzjonali, liema pożizzjonijiet kompetittivi tal-industrija huma affettwati?")</f>
        <v>Fuq livell internazzjonali, liema pożizzjonijiet kompetittivi tal-industrija huma affettwati?</v>
      </c>
    </row>
    <row r="17585" ht="15.75" customHeight="1">
      <c r="A17585" s="2" t="s">
        <v>17585</v>
      </c>
      <c r="B17585" s="2" t="str">
        <f>IFERROR(__xludf.DUMMYFUNCTION("GOOGLETRANSLATE(A17585, ""en"", ""mt"")"),"ċar")</f>
        <v>ċar</v>
      </c>
    </row>
    <row r="17586" ht="15.75" customHeight="1">
      <c r="A17586" s="2" t="s">
        <v>17586</v>
      </c>
      <c r="B17586" s="2" t="str">
        <f>IFERROR(__xludf.DUMMYFUNCTION("GOOGLETRANSLATE(A17586, ""en"", ""mt"")"),"Diarmaid MacCulloch")</f>
        <v>Diarmaid MacCulloch</v>
      </c>
    </row>
    <row r="17587" ht="15.75" customHeight="1">
      <c r="A17587" s="2" t="s">
        <v>17587</v>
      </c>
      <c r="B17587" s="2" t="str">
        <f>IFERROR(__xludf.DUMMYFUNCTION("GOOGLETRANSLATE(A17587, ""en"", ""mt"")"),"Mill-1510 sal-1520, Luther għamel konferenza fuq is-Salmi, il-kotba tal-Lhud, Rumani, u Galatin. Hekk kif studja dawn il-porzjonijiet tal-Bibbja, huwa ġie biex jara l-użu ta 'termini bħal penitenza u tjieba mill-Knisja Kattolika b'modi ġodda. Huwa sar kon"&amp;"vint li l-knisja kienet korrotta fil-modi tagħha u kienet tilfet il-vista ta 'dak li ra bħala bosta mill-veritajiet ċentrali tal-Kristjaneżmu. L-iktar importanti għal Luther kienet id-duttrina tal-ġustifikazzjoni - l-att ta ’Alla li jiddikjara midneb ġust"&amp;" - bil-fidi biss permezz tal-grazzja ta’ Alla. Huwa beda jgħallem li s-salvazzjoni jew il-fidwa hija rigal tal-grazzja ta ’Alla, li tista’ tinkiseb biss permezz tal-fidi f’Ġesù bħala l-Messija. ""Dan il-blat wieħed u sod, li nsejħu d-duttrina tal-ġustifik"&amp;"azzjoni,"" kiteb, ""huwa l-artikolu ewlieni tad-duttrina Nisranija kollha, li tifhem il-fehim tal-alla kollha.""")</f>
        <v>Mill-1510 sal-1520, Luther għamel konferenza fuq is-Salmi, il-kotba tal-Lhud, Rumani, u Galatin. Hekk kif studja dawn il-porzjonijiet tal-Bibbja, huwa ġie biex jara l-użu ta 'termini bħal penitenza u tjieba mill-Knisja Kattolika b'modi ġodda. Huwa sar konvint li l-knisja kienet korrotta fil-modi tagħha u kienet tilfet il-vista ta 'dak li ra bħala bosta mill-veritajiet ċentrali tal-Kristjaneżmu. L-iktar importanti għal Luther kienet id-duttrina tal-ġustifikazzjoni - l-att ta ’Alla li jiddikjara midneb ġust - bil-fidi biss permezz tal-grazzja ta’ Alla. Huwa beda jgħallem li s-salvazzjoni jew il-fidwa hija rigal tal-grazzja ta ’Alla, li tista’ tinkiseb biss permezz tal-fidi f’Ġesù bħala l-Messija. "Dan il-blat wieħed u sod, li nsejħu d-duttrina tal-ġustifikazzjoni," kiteb, "huwa l-artikolu ewlieni tad-duttrina Nisranija kollha, li tifhem il-fehim tal-alla kollha."</v>
      </c>
    </row>
    <row r="17588" ht="15.75" customHeight="1">
      <c r="A17588" s="2" t="s">
        <v>17588</v>
      </c>
      <c r="B17588" s="2" t="str">
        <f>IFERROR(__xludf.DUMMYFUNCTION("GOOGLETRANSLATE(A17588, ""en"", ""mt"")"),"Liema arma kkawżat il-feriti li qatlu t-Tangut Ġenerali Ma Jianlong?")</f>
        <v>Liema arma kkawżat il-feriti li qatlu t-Tangut Ġenerali Ma Jianlong?</v>
      </c>
    </row>
    <row r="17589" ht="15.75" customHeight="1">
      <c r="A17589" s="2" t="s">
        <v>17589</v>
      </c>
      <c r="B17589" s="2" t="str">
        <f>IFERROR(__xludf.DUMMYFUNCTION("GOOGLETRANSLATE(A17589, ""en"", ""mt"")"),"Daniel 8: 9–12, 23–25")</f>
        <v>Daniel 8: 9–12, 23–25</v>
      </c>
    </row>
    <row r="17590" ht="15.75" customHeight="1">
      <c r="A17590" s="2" t="s">
        <v>17590</v>
      </c>
      <c r="B17590" s="2" t="str">
        <f>IFERROR(__xludf.DUMMYFUNCTION("GOOGLETRANSLATE(A17590, ""en"", ""mt"")"),"1892, u fl-1937")</f>
        <v>1892, u fl-1937</v>
      </c>
    </row>
    <row r="17591" ht="15.75" customHeight="1">
      <c r="A17591" s="2" t="s">
        <v>17591</v>
      </c>
      <c r="B17591" s="2" t="str">
        <f>IFERROR(__xludf.DUMMYFUNCTION("GOOGLETRANSLATE(A17591, ""en"", ""mt"")"),"Volleyball tan-Nisa fl-Afrika")</f>
        <v>Volleyball tan-Nisa fl-Afrika</v>
      </c>
    </row>
    <row r="17592" ht="15.75" customHeight="1">
      <c r="A17592" s="2" t="s">
        <v>17592</v>
      </c>
      <c r="B17592" s="2" t="str">
        <f>IFERROR(__xludf.DUMMYFUNCTION("GOOGLETRANSLATE(A17592, ""en"", ""mt"")"),"Mill-1951")</f>
        <v>Mill-1951</v>
      </c>
    </row>
    <row r="17593" ht="15.75" customHeight="1">
      <c r="A17593" s="2" t="s">
        <v>17593</v>
      </c>
      <c r="B17593" s="2" t="str">
        <f>IFERROR(__xludf.DUMMYFUNCTION("GOOGLETRANSLATE(A17593, ""en"", ""mt"")"),"C1600")</f>
        <v>C1600</v>
      </c>
    </row>
    <row r="17594" ht="15.75" customHeight="1">
      <c r="A17594" s="2" t="s">
        <v>17594</v>
      </c>
      <c r="B17594" s="2" t="str">
        <f>IFERROR(__xludf.DUMMYFUNCTION("GOOGLETRANSLATE(A17594, ""en"", ""mt"")"),"Fil-fiżika tal-partikuli moderni, il-forzi u l-aċċellerazzjoni tal-partiċelli huma spjegati bħala prodott sekondarju matematiku tal-iskambju ta 'bosons tal-gauge li jġorru l-momentum. Bl-iżvilupp tat-teorija tal-kamp kwantum u r-relatività ġenerali, ġie r"&amp;"ealizzat li l-forza hija kunċett żejjed li jirriżulta mill-konservazzjoni tal-momentum (4-momentum fir-relatività u l-momentum ta 'partiċelli virtwali fl-elettrodinamiċità kwantistika). Il-konservazzjoni tal-momentum tista 'tiġi derivata direttament mill-"&amp;"omoġenjità jew is-simetrija ta' l-ispazju u għalhekk ġeneralment titqies aktar fundamentali mill-kunċett ta 'forza. Għalhekk il-forzi fundamentali magħrufa bħalissa huma kkunsidrati b'mod aktar preċiż bħala ""interazzjonijiet fundamentali"".: 199–128 meta"&amp;" l-partikula A jarmi (joħloq) jew tassorbi (annihilate) partiċella v virtwali B, konservazzjoni tal-momentum tirriżulta fl-irkupru ta 'partiċelli A li tagħmel impressjoni ta' repulsjoni jew attrazzjoni bejn il-partiċelli A 'skambjar minn B. Din id-deskriz"&amp;"zjoni tapplika għall-forzi kollha li jirriżultaw minn interazzjonijiet fundamentali. Filwaqt li d-deskrizzjonijiet matematiċi sofistikati huma meħtieġa biex ibassru, fid-dettall kollu, ir-riżultat preċiż ta 'dawn l-interazzjonijiet, hemm mod kunċettwalmen"&amp;"t sempliċi biex tiddeskrivi dawn l-interazzjonijiet permezz tal-użu tad-dijagrammi Feynman. F'dijagramma ta 'Feynman, kull partiċella tal-materja hija rrappreżentata bħala linja dritta (ara l-linja tad-dinja) li tivvjaġġa maż-żmien, li normalment tiżdied "&amp;"jew fuq il-lemin fid-dijagramma. Il-materja u l-partiċelli kontra l-materja huma identiċi ħlief għad-direzzjoni tal-propagazzjoni tagħhom permezz tad-dijagramma Feynman. Linji dinjija ta 'partiċelli jaqsmu f'vertices ta' interazzjoni, u d-dijagramma Feynm"&amp;"an tirrappreżenta kwalunkwe forza li tirriżulta minn interazzjoni kif isseħħ fil-vertiċi b'bidla istantanja assoċjata fid-direzzjoni tal-linji tad-dinja tal-partikuli. Il-bosons tal-gauge jiġu emessi 'l bogħod mill-vertiċi bħala linji immewġin u, fil-każ "&amp;"ta' skambju ta 'partiċelli virtwali, huma assorbiti fi vertiċi li jmissu magħhom.")</f>
        <v>Fil-fiżika tal-partikuli moderni, il-forzi u l-aċċellerazzjoni tal-partiċelli huma spjegati bħala prodott sekondarju matematiku tal-iskambju ta 'bosons tal-gauge li jġorru l-momentum. Bl-iżvilupp tat-teorija tal-kamp kwantum u r-relatività ġenerali, ġie realizzat li l-forza hija kunċett żejjed li jirriżulta mill-konservazzjoni tal-momentum (4-momentum fir-relatività u l-momentum ta 'partiċelli virtwali fl-elettrodinamiċità kwantistika). Il-konservazzjoni tal-momentum tista 'tiġi derivata direttament mill-omoġenjità jew is-simetrija ta' l-ispazju u għalhekk ġeneralment titqies aktar fundamentali mill-kunċett ta 'forza. Għalhekk il-forzi fundamentali magħrufa bħalissa huma kkunsidrati b'mod aktar preċiż bħala "interazzjonijiet fundamentali".: 199–128 meta l-partikula A jarmi (joħloq) jew tassorbi (annihilate) partiċella v virtwali B, konservazzjoni tal-momentum tirriżulta fl-irkupru ta 'partiċelli A li tagħmel impressjoni ta' repulsjoni jew attrazzjoni bejn il-partiċelli A 'skambjar minn B. Din id-deskrizzjoni tapplika għall-forzi kollha li jirriżultaw minn interazzjonijiet fundamentali. Filwaqt li d-deskrizzjonijiet matematiċi sofistikati huma meħtieġa biex ibassru, fid-dettall kollu, ir-riżultat preċiż ta 'dawn l-interazzjonijiet, hemm mod kunċettwalment sempliċi biex tiddeskrivi dawn l-interazzjonijiet permezz tal-użu tad-dijagrammi Feynman. F'dijagramma ta 'Feynman, kull partiċella tal-materja hija rrappreżentata bħala linja dritta (ara l-linja tad-dinja) li tivvjaġġa maż-żmien, li normalment tiżdied jew fuq il-lemin fid-dijagramma. Il-materja u l-partiċelli kontra l-materja huma identiċi ħlief għad-direzzjoni tal-propagazzjoni tagħhom permezz tad-dijagramma Feynman. Linji dinjija ta 'partiċelli jaqsmu f'vertices ta' interazzjoni, u d-dijagramma Feynman tirrappreżenta kwalunkwe forza li tirriżulta minn interazzjoni kif isseħħ fil-vertiċi b'bidla istantanja assoċjata fid-direzzjoni tal-linji tad-dinja tal-partikuli. Il-bosons tal-gauge jiġu emessi 'l bogħod mill-vertiċi bħala linji immewġin u, fil-każ ta' skambju ta 'partiċelli virtwali, huma assorbiti fi vertiċi li jmissu magħhom.</v>
      </c>
    </row>
    <row r="17595" ht="15.75" customHeight="1">
      <c r="A17595" s="2" t="s">
        <v>17595</v>
      </c>
      <c r="B17595" s="2" t="str">
        <f>IFERROR(__xludf.DUMMYFUNCTION("GOOGLETRANSLATE(A17595, ""en"", ""mt"")"),"Fis-17 ta 'Marzu, 1752, il-Gvernatur Ġenerali ta' New France, Marquis de la Jonquière, miet u ġie sostitwit temporanjament minn Charles Le Moyne de Longueuil. Is-sostituzzjoni permanenti tiegħu, il-Markiz Duquesne, ma waslitx fi Franza l-ġdida sal-1752 bi"&amp;"ex tieħu f'idejha l-lasta. L-attività Brittanika kontinwa fit-territorji ta 'Ohio wasslet lil Longueuil biex jibgħat spedizzjoni oħra lejn iż-żona taħt il-kmand ta' Charles Michel de Langlade, uffiċjal fit-Troupes de la Marine. Langlade ingħata 300 irġiel"&amp;", inklużi Franċiżi-Kanadiżi u ġellieda tal-Ottawa. L-għan tiegħu kien li jikkastiga lin-nies ta ’Miami ta’ Pickawillany talli ma segwewx l-ordnijiet ta ’Céloron biex jieqfu jinnegozjaw mal-Ingliżi. Fil-21 ta 'Ġunju, il-partit tal-gwerra Franċiż attakka ċ-"&amp;"ċentru tal-kummerċ fi Pickawillany, qabad tliet negozjanti u qatel 14-il persuna tan-nazzjon ta' Miami, inkluż il-Brittaniku Old. Huwa kien rappurtat li kien ritually cannibalized minn xi membri aboriġini ta 'l-ispedizzjoni.")</f>
        <v>Fis-17 ta 'Marzu, 1752, il-Gvernatur Ġenerali ta' New France, Marquis de la Jonquière, miet u ġie sostitwit temporanjament minn Charles Le Moyne de Longueuil. Is-sostituzzjoni permanenti tiegħu, il-Markiz Duquesne, ma waslitx fi Franza l-ġdida sal-1752 biex tieħu f'idejha l-lasta. L-attività Brittanika kontinwa fit-territorji ta 'Ohio wasslet lil Longueuil biex jibgħat spedizzjoni oħra lejn iż-żona taħt il-kmand ta' Charles Michel de Langlade, uffiċjal fit-Troupes de la Marine. Langlade ingħata 300 irġiel, inklużi Franċiżi-Kanadiżi u ġellieda tal-Ottawa. L-għan tiegħu kien li jikkastiga lin-nies ta ’Miami ta’ Pickawillany talli ma segwewx l-ordnijiet ta ’Céloron biex jieqfu jinnegozjaw mal-Ingliżi. Fil-21 ta 'Ġunju, il-partit tal-gwerra Franċiż attakka ċ-ċentru tal-kummerċ fi Pickawillany, qabad tliet negozjanti u qatel 14-il persuna tan-nazzjon ta' Miami, inkluż il-Brittaniku Old. Huwa kien rappurtat li kien ritually cannibalized minn xi membri aboriġini ta 'l-ispedizzjoni.</v>
      </c>
    </row>
    <row r="17596" ht="15.75" customHeight="1">
      <c r="A17596" s="2" t="s">
        <v>17596</v>
      </c>
      <c r="B17596" s="2" t="str">
        <f>IFERROR(__xludf.DUMMYFUNCTION("GOOGLETRANSLATE(A17596, ""en"", ""mt"")"),"Min kien id-disinjatur tal-qrati Orjentali?")</f>
        <v>Min kien id-disinjatur tal-qrati Orjentali?</v>
      </c>
    </row>
    <row r="17597" ht="15.75" customHeight="1">
      <c r="A17597" s="2" t="s">
        <v>17597</v>
      </c>
      <c r="B17597" s="2" t="str">
        <f>IFERROR(__xludf.DUMMYFUNCTION("GOOGLETRANSLATE(A17597, ""en"", ""mt"")"),"Il-Galleriji tat-Teatru u l-Prestazzjoni V&amp;A, li qabel kienu l-Mużew tat-Teatru, infetħu f'Marzu 2009. Il-kollezzjonijiet huma maħżuna mill-V &amp; A, u huma disponibbli għal riċerka, esibizzjonijiet u wirjiet oħra. Huma għandhom l-ikbar kollezzjoni nazzjonal"&amp;"i tar-Renju Unit dwar il-prestazzjoni diretta fir-Renju Unit mill-Jum ta 'Shakespeare, li jkopru drama, żfin, teatru mużikali, ċirku, sala tal-mużika, rock u pop, u ħafna forom oħra ta' divertiment live. Tipi ta 'oġġetti murija jinkludu kostumi, mudelli s"&amp;"tabbiliti, parrokki, kotba fil-pront, u posters.")</f>
        <v>Il-Galleriji tat-Teatru u l-Prestazzjoni V&amp;A, li qabel kienu l-Mużew tat-Teatru, infetħu f'Marzu 2009. Il-kollezzjonijiet huma maħżuna mill-V &amp; A, u huma disponibbli għal riċerka, esibizzjonijiet u wirjiet oħra. Huma għandhom l-ikbar kollezzjoni nazzjonali tar-Renju Unit dwar il-prestazzjoni diretta fir-Renju Unit mill-Jum ta 'Shakespeare, li jkopru drama, żfin, teatru mużikali, ċirku, sala tal-mużika, rock u pop, u ħafna forom oħra ta' divertiment live. Tipi ta 'oġġetti murija jinkludu kostumi, mudelli stabbiliti, parrokki, kotba fil-pront, u posters.</v>
      </c>
    </row>
    <row r="17598" ht="15.75" customHeight="1">
      <c r="A17598" s="2" t="s">
        <v>17598</v>
      </c>
      <c r="B17598" s="2" t="str">
        <f>IFERROR(__xludf.DUMMYFUNCTION("GOOGLETRANSLATE(A17598, ""en"", ""mt"")"),"Numru totali ta 'transizzjonijiet tal-istat, jew passi, il-magna tagħmel qabel ma tieqaf u toħroġ it-tweġiba")</f>
        <v>Numru totali ta 'transizzjonijiet tal-istat, jew passi, il-magna tagħmel qabel ma tieqaf u toħroġ it-tweġiba</v>
      </c>
    </row>
    <row r="17599" ht="15.75" customHeight="1">
      <c r="A17599" s="2" t="s">
        <v>17599</v>
      </c>
      <c r="B17599" s="2" t="str">
        <f>IFERROR(__xludf.DUMMYFUNCTION("GOOGLETRANSLATE(A17599, ""en"", ""mt"")"),"inqas minn 10")</f>
        <v>inqas minn 10</v>
      </c>
    </row>
    <row r="17600" ht="15.75" customHeight="1">
      <c r="A17600" s="2" t="s">
        <v>17600</v>
      </c>
      <c r="B17600" s="2" t="str">
        <f>IFERROR(__xludf.DUMMYFUNCTION("GOOGLETRANSLATE(A17600, ""en"", ""mt"")"),"Katharina")</f>
        <v>Katharina</v>
      </c>
    </row>
    <row r="17601" ht="15.75" customHeight="1">
      <c r="A17601" s="2" t="s">
        <v>17601</v>
      </c>
      <c r="B17601" s="2" t="str">
        <f>IFERROR(__xludf.DUMMYFUNCTION("GOOGLETRANSLATE(A17601, ""en"", ""mt"")"),"Għal liema tip ta 'pagi twassal il-mekkanizzazzjoni u l-awtomazzjoni?")</f>
        <v>Għal liema tip ta 'pagi twassal il-mekkanizzazzjoni u l-awtomazzjoni?</v>
      </c>
    </row>
    <row r="17602" ht="15.75" customHeight="1">
      <c r="A17602" s="2" t="s">
        <v>17602</v>
      </c>
      <c r="B17602" s="2" t="str">
        <f>IFERROR(__xludf.DUMMYFUNCTION("GOOGLETRANSLATE(A17602, ""en"", ""mt"")"),"Liema dipartiment jisponsorja l-Mużew tar-Rabat u Albert?")</f>
        <v>Liema dipartiment jisponsorja l-Mużew tar-Rabat u Albert?</v>
      </c>
    </row>
    <row r="17603" ht="15.75" customHeight="1">
      <c r="A17603" s="2" t="s">
        <v>17603</v>
      </c>
      <c r="B17603" s="2" t="str">
        <f>IFERROR(__xludf.DUMMYFUNCTION("GOOGLETRANSLATE(A17603, ""en"", ""mt"")"),"tieħu kontroll fiżiku ta 'ieħor")</f>
        <v>tieħu kontroll fiżiku ta 'ieħor</v>
      </c>
    </row>
    <row r="17604" ht="15.75" customHeight="1">
      <c r="A17604" s="2" t="s">
        <v>17604</v>
      </c>
      <c r="B17604" s="2" t="str">
        <f>IFERROR(__xludf.DUMMYFUNCTION("GOOGLETRANSLATE(A17604, ""en"", ""mt"")"),"Kera fil-lukanda New Yorker")</f>
        <v>Kera fil-lukanda New Yorker</v>
      </c>
    </row>
    <row r="17605" ht="15.75" customHeight="1">
      <c r="A17605" s="2" t="s">
        <v>17605</v>
      </c>
      <c r="B17605" s="2" t="str">
        <f>IFERROR(__xludf.DUMMYFUNCTION("GOOGLETRANSLATE(A17605, ""en"", ""mt"")"),"Xi tfisser l-iskala CPI?")</f>
        <v>Xi tfisser l-iskala CPI?</v>
      </c>
    </row>
    <row r="17606" ht="15.75" customHeight="1">
      <c r="A17606" s="2" t="s">
        <v>17606</v>
      </c>
      <c r="B17606" s="2" t="str">
        <f>IFERROR(__xludf.DUMMYFUNCTION("GOOGLETRANSLATE(A17606, ""en"", ""mt"")"),"hija dik il-grazzja ta ’Alla li ssostni lil dawk li jemmnu fil-vjaġġ lejn il-perfezzjoni Nisranija")</f>
        <v>hija dik il-grazzja ta ’Alla li ssostni lil dawk li jemmnu fil-vjaġġ lejn il-perfezzjoni Nisranija</v>
      </c>
    </row>
    <row r="17607" ht="15.75" customHeight="1">
      <c r="A17607" s="2" t="s">
        <v>17607</v>
      </c>
      <c r="B17607" s="2" t="str">
        <f>IFERROR(__xludf.DUMMYFUNCTION("GOOGLETRANSLATE(A17607, ""en"", ""mt"")"),"kordi ideali li huma bla massa")</f>
        <v>kordi ideali li huma bla massa</v>
      </c>
    </row>
    <row r="17608" ht="15.75" customHeight="1">
      <c r="A17608" s="2" t="s">
        <v>17608</v>
      </c>
      <c r="B17608" s="2" t="str">
        <f>IFERROR(__xludf.DUMMYFUNCTION("GOOGLETRANSLATE(A17608, ""en"", ""mt"")"),"Meta twaqqfet il-fabbrika tal-karozzi FSO?")</f>
        <v>Meta twaqqfet il-fabbrika tal-karozzi FSO?</v>
      </c>
    </row>
    <row r="17609" ht="15.75" customHeight="1">
      <c r="A17609" s="2" t="s">
        <v>17609</v>
      </c>
      <c r="B17609" s="2" t="str">
        <f>IFERROR(__xludf.DUMMYFUNCTION("GOOGLETRANSLATE(A17609, ""en"", ""mt"")"),"Kemm hemm offerti possibbli għall-premju fl-1915?")</f>
        <v>Kemm hemm offerti possibbli għall-premju fl-1915?</v>
      </c>
    </row>
    <row r="17610" ht="15.75" customHeight="1">
      <c r="A17610" s="2" t="s">
        <v>17610</v>
      </c>
      <c r="B17610" s="2" t="str">
        <f>IFERROR(__xludf.DUMMYFUNCTION("GOOGLETRANSLATE(A17610, ""en"", ""mt"")"),"X'kien l-ewwel innu Luteran?")</f>
        <v>X'kien l-ewwel innu Luteran?</v>
      </c>
    </row>
    <row r="17611" ht="15.75" customHeight="1">
      <c r="A17611" s="2" t="s">
        <v>17611</v>
      </c>
      <c r="B17611" s="2" t="str">
        <f>IFERROR(__xludf.DUMMYFUNCTION("GOOGLETRANSLATE(A17611, ""en"", ""mt"")"),"Kif tipprova tistabbilixxi assemblea Skoċċiża devolta fl-1979?")</f>
        <v>Kif tipprova tistabbilixxi assemblea Skoċċiża devolta fl-1979?</v>
      </c>
    </row>
    <row r="17612" ht="15.75" customHeight="1">
      <c r="A17612" s="2" t="s">
        <v>17612</v>
      </c>
      <c r="B17612" s="2" t="str">
        <f>IFERROR(__xludf.DUMMYFUNCTION("GOOGLETRANSLATE(A17612, ""en"", ""mt"")"),"Beta tħassir")</f>
        <v>Beta tħassir</v>
      </c>
    </row>
    <row r="17613" ht="15.75" customHeight="1">
      <c r="A17613" s="2" t="s">
        <v>17613</v>
      </c>
      <c r="B17613" s="2" t="str">
        <f>IFERROR(__xludf.DUMMYFUNCTION("GOOGLETRANSLATE(A17613, ""en"", ""mt"")"),"devjazzjoni")</f>
        <v>devjazzjoni</v>
      </c>
    </row>
    <row r="17614" ht="15.75" customHeight="1">
      <c r="A17614" s="2" t="s">
        <v>17614</v>
      </c>
      <c r="B17614" s="2" t="str">
        <f>IFERROR(__xludf.DUMMYFUNCTION("GOOGLETRANSLATE(A17614, ""en"", ""mt"")"),"Min kien il-ħabbar għall-kopertura tas-Super Bowl 50 ta 'Westwood One?")</f>
        <v>Min kien il-ħabbar għall-kopertura tas-Super Bowl 50 ta 'Westwood One?</v>
      </c>
    </row>
    <row r="17615" ht="15.75" customHeight="1">
      <c r="A17615" s="2" t="s">
        <v>17615</v>
      </c>
      <c r="B17615" s="2" t="str">
        <f>IFERROR(__xludf.DUMMYFUNCTION("GOOGLETRANSLATE(A17615, ""en"", ""mt"")"),"X'inhi l-ortografija Mongoljana ta 'Genghis Khan?")</f>
        <v>X'inhi l-ortografija Mongoljana ta 'Genghis Khan?</v>
      </c>
    </row>
    <row r="17616" ht="15.75" customHeight="1">
      <c r="A17616" s="2" t="s">
        <v>17616</v>
      </c>
      <c r="B17616" s="2" t="str">
        <f>IFERROR(__xludf.DUMMYFUNCTION("GOOGLETRANSLATE(A17616, ""en"", ""mt"")"),"Dragonnades")</f>
        <v>Dragonnades</v>
      </c>
    </row>
    <row r="17617" ht="15.75" customHeight="1">
      <c r="A17617" s="2" t="s">
        <v>17617</v>
      </c>
      <c r="B17617" s="2" t="str">
        <f>IFERROR(__xludf.DUMMYFUNCTION("GOOGLETRANSLATE(A17617, ""en"", ""mt"")"),"It-tfaċċar ta 'Hollywood")</f>
        <v>It-tfaċċar ta 'Hollywood</v>
      </c>
    </row>
    <row r="17618" ht="15.75" customHeight="1">
      <c r="A17618" s="2" t="s">
        <v>17618</v>
      </c>
      <c r="B17618" s="2" t="str">
        <f>IFERROR(__xludf.DUMMYFUNCTION("GOOGLETRANSLATE(A17618, ""en"", ""mt"")"),"Fejn jiltaqa 'l-kunsill?")</f>
        <v>Fejn jiltaqa 'l-kunsill?</v>
      </c>
    </row>
    <row r="17619" ht="15.75" customHeight="1">
      <c r="A17619" s="2" t="s">
        <v>17619</v>
      </c>
      <c r="B17619" s="2" t="str">
        <f>IFERROR(__xludf.DUMMYFUNCTION("GOOGLETRANSLATE(A17619, ""en"", ""mt"")"),"Royal Ujazdów Castle")</f>
        <v>Royal Ujazdów Castle</v>
      </c>
    </row>
    <row r="17620" ht="15.75" customHeight="1">
      <c r="A17620" s="2" t="s">
        <v>17620</v>
      </c>
      <c r="B17620" s="2" t="str">
        <f>IFERROR(__xludf.DUMMYFUNCTION("GOOGLETRANSLATE(A17620, ""en"", ""mt"")"),"Disinji molekulari marbuta mal-patoġeni")</f>
        <v>Disinji molekulari marbuta mal-patoġeni</v>
      </c>
    </row>
    <row r="17621" ht="15.75" customHeight="1">
      <c r="A17621" s="2" t="s">
        <v>17621</v>
      </c>
      <c r="B17621" s="2" t="str">
        <f>IFERROR(__xludf.DUMMYFUNCTION("GOOGLETRANSLATE(A17621, ""en"", ""mt"")"),"Minn liema grupp fit-tabella perjodika huwa ossiġnu membru?")</f>
        <v>Minn liema grupp fit-tabella perjodika huwa ossiġnu membru?</v>
      </c>
    </row>
    <row r="17622" ht="15.75" customHeight="1">
      <c r="A17622" s="2" t="s">
        <v>17622</v>
      </c>
      <c r="B17622" s="2" t="str">
        <f>IFERROR(__xludf.DUMMYFUNCTION("GOOGLETRANSLATE(A17622, ""en"", ""mt"")"),"tnejn.")</f>
        <v>tnejn.</v>
      </c>
    </row>
    <row r="17623" ht="15.75" customHeight="1">
      <c r="A17623" s="2" t="s">
        <v>17623</v>
      </c>
      <c r="B17623" s="2" t="str">
        <f>IFERROR(__xludf.DUMMYFUNCTION("GOOGLETRANSLATE(A17623, ""en"", ""mt"")"),"ħames l-iktar popolati fl-istat")</f>
        <v>ħames l-iktar popolati fl-istat</v>
      </c>
    </row>
    <row r="17624" ht="15.75" customHeight="1">
      <c r="A17624" s="2" t="s">
        <v>17624</v>
      </c>
      <c r="B17624" s="2" t="str">
        <f>IFERROR(__xludf.DUMMYFUNCTION("GOOGLETRANSLATE(A17624, ""en"", ""mt"")"),"favur l-għażla")</f>
        <v>favur l-għażla</v>
      </c>
    </row>
    <row r="17625" ht="15.75" customHeight="1">
      <c r="A17625" s="2" t="s">
        <v>17625</v>
      </c>
      <c r="B17625" s="2" t="str">
        <f>IFERROR(__xludf.DUMMYFUNCTION("GOOGLETRANSLATE(A17625, ""en"", ""mt"")"),"Il-Konvenzjoni Qafas tan-Nazzjonijiet Uniti dwar it-Tibdil fil-Klima (UNFCCC),")</f>
        <v>Il-Konvenzjoni Qafas tan-Nazzjonijiet Uniti dwar it-Tibdil fil-Klima (UNFCCC),</v>
      </c>
    </row>
    <row r="17626" ht="15.75" customHeight="1">
      <c r="A17626" s="2" t="s">
        <v>17626</v>
      </c>
      <c r="B17626" s="2" t="str">
        <f>IFERROR(__xludf.DUMMYFUNCTION("GOOGLETRANSLATE(A17626, ""en"", ""mt"")"),"1754")</f>
        <v>1754</v>
      </c>
    </row>
    <row r="17627" ht="15.75" customHeight="1">
      <c r="A17627" s="2" t="s">
        <v>17627</v>
      </c>
      <c r="B17627" s="2" t="str">
        <f>IFERROR(__xludf.DUMMYFUNCTION("GOOGLETRANSLATE(A17627, ""en"", ""mt"")"),"Fejn ir-Renu jagħmel dawra distintiva lejn it-tramuntana?")</f>
        <v>Fejn ir-Renu jagħmel dawra distintiva lejn it-tramuntana?</v>
      </c>
    </row>
    <row r="17628" ht="15.75" customHeight="1">
      <c r="A17628" s="2" t="s">
        <v>17628</v>
      </c>
      <c r="B17628" s="2" t="str">
        <f>IFERROR(__xludf.DUMMYFUNCTION("GOOGLETRANSLATE(A17628, ""en"", ""mt"")"),"Għaliex hija rranġata l-post bil-qiegħda tal-kamra tad-dibattitu kif inhi?")</f>
        <v>Għaliex hija rranġata l-post bil-qiegħda tal-kamra tad-dibattitu kif inhi?</v>
      </c>
    </row>
    <row r="17629" ht="15.75" customHeight="1">
      <c r="A17629" s="2" t="s">
        <v>17629</v>
      </c>
      <c r="B17629" s="2" t="str">
        <f>IFERROR(__xludf.DUMMYFUNCTION("GOOGLETRANSLATE(A17629, ""en"", ""mt"")"),"Il-Viċi Konslu tal-Afrika t'Isfel Duke Kent-Brown.")</f>
        <v>Il-Viċi Konslu tal-Afrika t'Isfel Duke Kent-Brown.</v>
      </c>
    </row>
    <row r="17630" ht="15.75" customHeight="1">
      <c r="A17630" s="2" t="s">
        <v>17630</v>
      </c>
      <c r="B17630" s="2" t="str">
        <f>IFERROR(__xludf.DUMMYFUNCTION("GOOGLETRANSLATE(A17630, ""en"", ""mt"")"),"Saħħa tad-dinjità")</f>
        <v>Saħħa tad-dinjità</v>
      </c>
    </row>
    <row r="17631" ht="15.75" customHeight="1">
      <c r="A17631" s="2" t="s">
        <v>17631</v>
      </c>
      <c r="B17631" s="2" t="str">
        <f>IFERROR(__xludf.DUMMYFUNCTION("GOOGLETRANSLATE(A17631, ""en"", ""mt"")"),"X'inhuma l-konsiderazzjonijiet ta 'Malum Projbitu?")</f>
        <v>X'inhuma l-konsiderazzjonijiet ta 'Malum Projbitu?</v>
      </c>
    </row>
    <row r="17632" ht="15.75" customHeight="1">
      <c r="A17632" s="2" t="s">
        <v>17632</v>
      </c>
      <c r="B17632" s="2" t="str">
        <f>IFERROR(__xludf.DUMMYFUNCTION("GOOGLETRANSLATE(A17632, ""en"", ""mt"")"),"Identifika, tirrekluta")</f>
        <v>Identifika, tirrekluta</v>
      </c>
    </row>
    <row r="17633" ht="15.75" customHeight="1">
      <c r="A17633" s="2" t="s">
        <v>17633</v>
      </c>
      <c r="B17633" s="2" t="str">
        <f>IFERROR(__xludf.DUMMYFUNCTION("GOOGLETRANSLATE(A17633, ""en"", ""mt"")"),"Partit Nazzjonali")</f>
        <v>Partit Nazzjonali</v>
      </c>
    </row>
    <row r="17634" ht="15.75" customHeight="1">
      <c r="A17634" s="2" t="s">
        <v>17634</v>
      </c>
      <c r="B17634" s="2" t="str">
        <f>IFERROR(__xludf.DUMMYFUNCTION("GOOGLETRANSLATE(A17634, ""en"", ""mt"")"),"Mudell ta 'Sudbury L-iskejjel Demokratiċi jsostnu li awtorità bbażata b'mod popolari tista' żżomm l-ordni b'mod aktar effettiv mill-awtorità dittatorjali għall-gvernijiet u l-iskejjel bl-istess mod. Huma jsostnu wkoll li f'dawn l-iskejjel il-preservazzjon"&amp;"i tal-ordni pubblika hija aktar faċli u aktar effiċjenti minn kullimkien ieħor. Prinċipalment minħabba li r-regoli u r-regolamenti jsiru mill-komunità kollha kemm hi, minn hemm l-atmosfera tal-iskola hija waħda ta 'persważjoni u negozjar, aktar milli konf"&amp;"rontazzjoni peress li m'hemm ħadd li jikkonfronta. Mudell ta 'Sudbury Il-proponenti tal-iskejjel Demokratiċi jargumentaw li skola li għandha liġijiet tajbin, ċari, mgħoddija b'mod ġust u demokratikament mill-komunità skolastika kollha, u sistema ġudizzjar"&amp;"ja tajba għall-infurzar ta' dawn il-liġijiet, hija skola li fiha tipprevali dixxiplina fil-komunità, u li fiha Il-kunċett dejjem aktar sofistikat tal-liġi u l-ordni jiżviluppa, kontra skejjel oħra llum, fejn ir-regoli huma arbitrarji, l-awtorità hija asso"&amp;"luta, il-kastig huwa kapriċjuż, u l-proċess dovut tal-liġi għadu mhux magħruf.")</f>
        <v>Mudell ta 'Sudbury L-iskejjel Demokratiċi jsostnu li awtorità bbażata b'mod popolari tista' żżomm l-ordni b'mod aktar effettiv mill-awtorità dittatorjali għall-gvernijiet u l-iskejjel bl-istess mod. Huma jsostnu wkoll li f'dawn l-iskejjel il-preservazzjoni tal-ordni pubblika hija aktar faċli u aktar effiċjenti minn kullimkien ieħor. Prinċipalment minħabba li r-regoli u r-regolamenti jsiru mill-komunità kollha kemm hi, minn hemm l-atmosfera tal-iskola hija waħda ta 'persważjoni u negozjar, aktar milli konfrontazzjoni peress li m'hemm ħadd li jikkonfronta. Mudell ta 'Sudbury Il-proponenti tal-iskejjel Demokratiċi jargumentaw li skola li għandha liġijiet tajbin, ċari, mgħoddija b'mod ġust u demokratikament mill-komunità skolastika kollha, u sistema ġudizzjarja tajba għall-infurzar ta' dawn il-liġijiet, hija skola li fiha tipprevali dixxiplina fil-komunità, u li fiha Il-kunċett dejjem aktar sofistikat tal-liġi u l-ordni jiżviluppa, kontra skejjel oħra llum, fejn ir-regoli huma arbitrarji, l-awtorità hija assoluta, il-kastig huwa kapriċjuż, u l-proċess dovut tal-liġi għadu mhux magħruf.</v>
      </c>
    </row>
    <row r="17635" ht="15.75" customHeight="1">
      <c r="A17635" s="2" t="s">
        <v>17635</v>
      </c>
      <c r="B17635" s="2" t="str">
        <f>IFERROR(__xludf.DUMMYFUNCTION("GOOGLETRANSLATE(A17635, ""en"", ""mt"")"),"62 acres")</f>
        <v>62 acres</v>
      </c>
    </row>
    <row r="17636" ht="15.75" customHeight="1">
      <c r="A17636" s="2" t="s">
        <v>17636</v>
      </c>
      <c r="B17636" s="2" t="str">
        <f>IFERROR(__xludf.DUMMYFUNCTION("GOOGLETRANSLATE(A17636, ""en"", ""mt"")"),"Min hu l-aħjar kapaċi jsaħħaħ l-akkumulazzjoni tal-ġid?")</f>
        <v>Min hu l-aħjar kapaċi jsaħħaħ l-akkumulazzjoni tal-ġid?</v>
      </c>
    </row>
    <row r="17637" ht="15.75" customHeight="1">
      <c r="A17637" s="2" t="s">
        <v>17637</v>
      </c>
      <c r="B17637" s="2" t="str">
        <f>IFERROR(__xludf.DUMMYFUNCTION("GOOGLETRANSLATE(A17637, ""en"", ""mt"")"),"klassijiet ta 'kumplessità")</f>
        <v>klassijiet ta 'kumplessità</v>
      </c>
    </row>
    <row r="17638" ht="15.75" customHeight="1">
      <c r="A17638" s="2" t="s">
        <v>17638</v>
      </c>
      <c r="B17638" s="2" t="str">
        <f>IFERROR(__xludf.DUMMYFUNCTION("GOOGLETRANSLATE(A17638, ""en"", ""mt"")"),"30% –50%")</f>
        <v>30% –50%</v>
      </c>
    </row>
    <row r="17639" ht="15.75" customHeight="1">
      <c r="A17639" s="2" t="s">
        <v>17639</v>
      </c>
      <c r="B17639" s="2" t="str">
        <f>IFERROR(__xludf.DUMMYFUNCTION("GOOGLETRANSLATE(A17639, ""en"", ""mt"")"),"X'inhi l-ogħla temperatura ta 'kull xahar tar-Rabat?")</f>
        <v>X'inhi l-ogħla temperatura ta 'kull xahar tar-Rabat?</v>
      </c>
    </row>
    <row r="17640" ht="15.75" customHeight="1">
      <c r="A17640" s="2" t="s">
        <v>17640</v>
      </c>
      <c r="B17640" s="2" t="str">
        <f>IFERROR(__xludf.DUMMYFUNCTION("GOOGLETRANSLATE(A17640, ""en"", ""mt"")"),"temp")</f>
        <v>temp</v>
      </c>
    </row>
    <row r="17641" ht="15.75" customHeight="1">
      <c r="A17641" s="2" t="s">
        <v>17641</v>
      </c>
      <c r="B17641" s="2" t="str">
        <f>IFERROR(__xludf.DUMMYFUNCTION("GOOGLETRANSLATE(A17641, ""en"", ""mt"")"),"nervituri")</f>
        <v>nervituri</v>
      </c>
    </row>
    <row r="17642" ht="15.75" customHeight="1">
      <c r="A17642" s="2" t="s">
        <v>17642</v>
      </c>
      <c r="B17642" s="2" t="str">
        <f>IFERROR(__xludf.DUMMYFUNCTION("GOOGLETRANSLATE(A17642, ""en"", ""mt"")"),"6000")</f>
        <v>6000</v>
      </c>
    </row>
    <row r="17643" ht="15.75" customHeight="1">
      <c r="A17643" s="2" t="s">
        <v>17643</v>
      </c>
      <c r="B17643" s="2" t="str">
        <f>IFERROR(__xludf.DUMMYFUNCTION("GOOGLETRANSLATE(A17643, ""en"", ""mt"")"),"Liema kompożitur uża l-innijiet ta 'Luther fix-xogħlijiet tiegħu?")</f>
        <v>Liema kompożitur uża l-innijiet ta 'Luther fix-xogħlijiet tiegħu?</v>
      </c>
    </row>
    <row r="17644" ht="15.75" customHeight="1">
      <c r="A17644" s="2" t="s">
        <v>17644</v>
      </c>
      <c r="B17644" s="2" t="str">
        <f>IFERROR(__xludf.DUMMYFUNCTION("GOOGLETRANSLATE(A17644, ""en"", ""mt"")"),"Il-President Johnson ħareġ ordni eżekuttiva biex tibdel l-isem taċ-Ċentru tal-Operazzjonijiet ta 'Tnedija wara min?")</f>
        <v>Il-President Johnson ħareġ ordni eżekuttiva biex tibdel l-isem taċ-Ċentru tal-Operazzjonijiet ta 'Tnedija wara min?</v>
      </c>
    </row>
    <row r="17645" ht="15.75" customHeight="1">
      <c r="A17645" s="2" t="s">
        <v>17645</v>
      </c>
      <c r="B17645" s="2" t="str">
        <f>IFERROR(__xludf.DUMMYFUNCTION("GOOGLETRANSLATE(A17645, ""en"", ""mt"")"),"Kors ta 'ħames snin ta' S")</f>
        <v>Kors ta 'ħames snin ta' S</v>
      </c>
    </row>
    <row r="17646" ht="15.75" customHeight="1">
      <c r="A17646" s="2" t="s">
        <v>17646</v>
      </c>
      <c r="B17646" s="2" t="str">
        <f>IFERROR(__xludf.DUMMYFUNCTION("GOOGLETRANSLATE(A17646, ""en"", ""mt"")"),"X'tip ta 'tnedija kien qed iseħħ waqt l-inċident ta' Apollo 1?")</f>
        <v>X'tip ta 'tnedija kien qed iseħħ waqt l-inċident ta' Apollo 1?</v>
      </c>
    </row>
    <row r="17647" ht="15.75" customHeight="1">
      <c r="A17647" s="2" t="s">
        <v>17647</v>
      </c>
      <c r="B17647" s="2" t="str">
        <f>IFERROR(__xludf.DUMMYFUNCTION("GOOGLETRANSLATE(A17647, ""en"", ""mt"")"),"Eric Roberts")</f>
        <v>Eric Roberts</v>
      </c>
    </row>
    <row r="17648" ht="15.75" customHeight="1">
      <c r="A17648" s="2" t="s">
        <v>17648</v>
      </c>
      <c r="B17648" s="2" t="str">
        <f>IFERROR(__xludf.DUMMYFUNCTION("GOOGLETRANSLATE(A17648, ""en"", ""mt"")"),"X'inhuma dawk bi dħul aktar baxx inqas probabbli li jkollhom biex jippreparaw għall-futur?")</f>
        <v>X'inhuma dawk bi dħul aktar baxx inqas probabbli li jkollhom biex jippreparaw għall-futur?</v>
      </c>
    </row>
    <row r="17649" ht="15.75" customHeight="1">
      <c r="A17649" s="2" t="s">
        <v>17649</v>
      </c>
      <c r="B17649" s="2" t="str">
        <f>IFERROR(__xludf.DUMMYFUNCTION("GOOGLETRANSLATE(A17649, ""en"", ""mt"")"),"Staġun 1993–94")</f>
        <v>Staġun 1993–94</v>
      </c>
    </row>
    <row r="17650" ht="15.75" customHeight="1">
      <c r="A17650" s="2" t="s">
        <v>17650</v>
      </c>
      <c r="B17650" s="2" t="str">
        <f>IFERROR(__xludf.DUMMYFUNCTION("GOOGLETRANSLATE(A17650, ""en"", ""mt"")"),"Il-kompromess ta 'Missouri")</f>
        <v>Il-kompromess ta 'Missouri</v>
      </c>
    </row>
    <row r="17651" ht="15.75" customHeight="1">
      <c r="A17651" s="2" t="s">
        <v>17651</v>
      </c>
      <c r="B17651" s="2" t="str">
        <f>IFERROR(__xludf.DUMMYFUNCTION("GOOGLETRANSLATE(A17651, ""en"", ""mt"")"),"Fejn jinsab l-organu aboral?")</f>
        <v>Fejn jinsab l-organu aboral?</v>
      </c>
    </row>
    <row r="17652" ht="15.75" customHeight="1">
      <c r="A17652" s="2" t="s">
        <v>17652</v>
      </c>
      <c r="B17652" s="2" t="str">
        <f>IFERROR(__xludf.DUMMYFUNCTION("GOOGLETRANSLATE(A17652, ""en"", ""mt"")"),"Għal xiex hi meħtieġa qabel l-iskola?")</f>
        <v>Għal xiex hi meħtieġa qabel l-iskola?</v>
      </c>
    </row>
    <row r="17653" ht="15.75" customHeight="1">
      <c r="A17653" s="2" t="s">
        <v>17653</v>
      </c>
      <c r="B17653" s="2" t="str">
        <f>IFERROR(__xludf.DUMMYFUNCTION("GOOGLETRANSLATE(A17653, ""en"", ""mt"")"),"Min jospita t-talk show ta 'matul il-lejl li jidher fuq ABC Networks?")</f>
        <v>Min jospita t-talk show ta 'matul il-lejl li jidher fuq ABC Networks?</v>
      </c>
    </row>
    <row r="17654" ht="15.75" customHeight="1">
      <c r="A17654" s="2" t="s">
        <v>17654</v>
      </c>
      <c r="B17654" s="2" t="str">
        <f>IFERROR(__xludf.DUMMYFUNCTION("GOOGLETRANSLATE(A17654, ""en"", ""mt"")"),"Kompli jaduraw fit-tradizzjoni Kattolika Rumana tagħhom, komplew is-sjieda tal-propjetà tagħhom, u d-dritt li jibqgħu mhux disturbati")</f>
        <v>Kompli jaduraw fit-tradizzjoni Kattolika Rumana tagħhom, komplew is-sjieda tal-propjetà tagħhom, u d-dritt li jibqgħu mhux disturbati</v>
      </c>
    </row>
    <row r="17655" ht="15.75" customHeight="1">
      <c r="A17655" s="2" t="s">
        <v>17655</v>
      </c>
      <c r="B17655" s="2" t="str">
        <f>IFERROR(__xludf.DUMMYFUNCTION("GOOGLETRANSLATE(A17655, ""en"", ""mt"")"),"Bing Crosby")</f>
        <v>Bing Crosby</v>
      </c>
    </row>
    <row r="17656" ht="15.75" customHeight="1">
      <c r="A17656" s="2" t="s">
        <v>17656</v>
      </c>
      <c r="B17656" s="2" t="str">
        <f>IFERROR(__xludf.DUMMYFUNCTION("GOOGLETRANSLATE(A17656, ""en"", ""mt"")"),"Fejn qed jiġi żviluppat dan l-istil tad-djar reċentement?")</f>
        <v>Fejn qed jiġi żviluppat dan l-istil tad-djar reċentement?</v>
      </c>
    </row>
    <row r="17657" ht="15.75" customHeight="1">
      <c r="A17657" s="2" t="s">
        <v>17657</v>
      </c>
      <c r="B17657" s="2" t="str">
        <f>IFERROR(__xludf.DUMMYFUNCTION("GOOGLETRANSLATE(A17657, ""en"", ""mt"")"),"Ludwig Krapf irreġistra l-isem kemm kemm Kenja kif ukoll Kegnia emmnu fil-biċċa l-kbira bħala korruzzjoni tal-verżjoni Kamba. Oħrajn jgħidu li dan kien il-kuntrarju - notazzjoni preċiża ħafna ta 'pronunzja Afrikana korretta / ˈkɛnjə /. Mappa tal-1882 miġb"&amp;"uda minn Joseph Thompsons, ġeologu u naturalista Skoċċiż, indikat Mt. Kenya bħala Mt. Kenia, 1862. Kontroversja dwar it-tifsira attwali tal-kelma Kenja minkejja, huwa ċar li l-isem tal-muntanja sar aċċettat ħafna, Pars Pro Toto , bħala l-isem tal-pajjiż.")</f>
        <v>Ludwig Krapf irreġistra l-isem kemm kemm Kenja kif ukoll Kegnia emmnu fil-biċċa l-kbira bħala korruzzjoni tal-verżjoni Kamba. Oħrajn jgħidu li dan kien il-kuntrarju - notazzjoni preċiża ħafna ta 'pronunzja Afrikana korretta / ˈkɛnjə /. Mappa tal-1882 miġbuda minn Joseph Thompsons, ġeologu u naturalista Skoċċiż, indikat Mt. Kenya bħala Mt. Kenia, 1862. Kontroversja dwar it-tifsira attwali tal-kelma Kenja minkejja, huwa ċar li l-isem tal-muntanja sar aċċettat ħafna, Pars Pro Toto , bħala l-isem tal-pajjiż.</v>
      </c>
    </row>
    <row r="17658" ht="15.75" customHeight="1">
      <c r="A17658" s="2" t="s">
        <v>17658</v>
      </c>
      <c r="B17658" s="2" t="str">
        <f>IFERROR(__xludf.DUMMYFUNCTION("GOOGLETRANSLATE(A17658, ""en"", ""mt"")"),"Imperu Ingliż")</f>
        <v>Imperu Ingliż</v>
      </c>
    </row>
    <row r="17659" ht="15.75" customHeight="1">
      <c r="A17659" s="2" t="s">
        <v>17659</v>
      </c>
      <c r="B17659" s="2" t="str">
        <f>IFERROR(__xludf.DUMMYFUNCTION("GOOGLETRANSLATE(A17659, ""en"", ""mt"")"),"rwol ta 'yersinia pestis fil-mewt l-Iswed")</f>
        <v>rwol ta 'yersinia pestis fil-mewt l-Iswed</v>
      </c>
    </row>
    <row r="17660" ht="15.75" customHeight="1">
      <c r="A17660" s="2" t="s">
        <v>17660</v>
      </c>
      <c r="B17660" s="2" t="str">
        <f>IFERROR(__xludf.DUMMYFUNCTION("GOOGLETRANSLATE(A17660, ""en"", ""mt"")"),"Matul liema snin kienet preżenti l-pesta fil-pajjiżi Iżlamiċi?")</f>
        <v>Matul liema snin kienet preżenti l-pesta fil-pajjiżi Iżlamiċi?</v>
      </c>
    </row>
    <row r="17661" ht="15.75" customHeight="1">
      <c r="A17661" s="2" t="s">
        <v>17661</v>
      </c>
      <c r="B17661" s="2" t="str">
        <f>IFERROR(__xludf.DUMMYFUNCTION("GOOGLETRANSLATE(A17661, ""en"", ""mt"")"),"Dragon's Den")</f>
        <v>Dragon's Den</v>
      </c>
    </row>
    <row r="17662" ht="15.75" customHeight="1">
      <c r="A17662" s="2" t="s">
        <v>17662</v>
      </c>
      <c r="B17662" s="2" t="str">
        <f>IFERROR(__xludf.DUMMYFUNCTION("GOOGLETRANSLATE(A17662, ""en"", ""mt"")"),"X'tip ta 'magni saru mifruxa madwar l-aħħar tas-seklu 19?")</f>
        <v>X'tip ta 'magni saru mifruxa madwar l-aħħar tas-seklu 19?</v>
      </c>
    </row>
    <row r="17663" ht="15.75" customHeight="1">
      <c r="A17663" s="2" t="s">
        <v>17663</v>
      </c>
      <c r="B17663" s="2" t="str">
        <f>IFERROR(__xludf.DUMMYFUNCTION("GOOGLETRANSLATE(A17663, ""en"", ""mt"")"),"Lukandi ta ’New York")</f>
        <v>Lukandi ta ’New York</v>
      </c>
    </row>
    <row r="17664" ht="15.75" customHeight="1">
      <c r="A17664" s="2" t="s">
        <v>17664</v>
      </c>
      <c r="B17664" s="2" t="str">
        <f>IFERROR(__xludf.DUMMYFUNCTION("GOOGLETRANSLATE(A17664, ""en"", ""mt"")"),"X'inhu l-isem tax-xena tal-klabb omosesswali ta 'Newcastle?")</f>
        <v>X'inhu l-isem tax-xena tal-klabb omosesswali ta 'Newcastle?</v>
      </c>
    </row>
    <row r="17665" ht="15.75" customHeight="1">
      <c r="A17665" s="2" t="s">
        <v>17665</v>
      </c>
      <c r="B17665" s="2" t="str">
        <f>IFERROR(__xludf.DUMMYFUNCTION("GOOGLETRANSLATE(A17665, ""en"", ""mt"")"),"Fejn qal Luther li r-ruħ ma torqodx, anzi għandha viżjonijiet?")</f>
        <v>Fejn qal Luther li r-ruħ ma torqodx, anzi għandha viżjonijiet?</v>
      </c>
    </row>
    <row r="17666" ht="15.75" customHeight="1">
      <c r="A17666" s="2" t="s">
        <v>17666</v>
      </c>
      <c r="B17666" s="2" t="str">
        <f>IFERROR(__xludf.DUMMYFUNCTION("GOOGLETRANSLATE(A17666, ""en"", ""mt"")"),"L-Iskola Ortogenika ta 'Sonia Shankman")</f>
        <v>L-Iskola Ortogenika ta 'Sonia Shankman</v>
      </c>
    </row>
    <row r="17667" ht="15.75" customHeight="1">
      <c r="A17667" s="2" t="s">
        <v>17667</v>
      </c>
      <c r="B17667" s="2" t="str">
        <f>IFERROR(__xludf.DUMMYFUNCTION("GOOGLETRANSLATE(A17667, ""en"", ""mt"")"),"Petitcodiac fl-1755 u fi Bloody Creek")</f>
        <v>Petitcodiac fl-1755 u fi Bloody Creek</v>
      </c>
    </row>
    <row r="17668" ht="15.75" customHeight="1">
      <c r="A17668" s="2" t="s">
        <v>17668</v>
      </c>
      <c r="B17668" s="2" t="str">
        <f>IFERROR(__xludf.DUMMYFUNCTION("GOOGLETRANSLATE(A17668, ""en"", ""mt"")"),"Il-Kulleġġ ta 'l-Università ta' Chicago jagħti Baċellerat fl-Arti u Baċellerat ta 'Gradi tax-Xjenza f'50 maġġuri akkademiċi u 28 minorenni. L-akkademiċi tal-kulleġġ huma maqsuma f'ħames diviżjonijiet: id-Diviżjoni tal-Kolleġġjata tax-Xjenzi Bijoloġiċi, id"&amp;"-Diviżjoni Kolleġġjata tax-Xjenzi Fiżiċi, id-Diviżjoni Kolleġġjata tax-Xjenzi Soċjali, id-Diviżjoni Kolleġġjata tal-Umanistika, u d-Diviżjoni Kolleġġjata l-Ġdida. L-ewwel erbgħa huma sezzjonijiet fi ħdan id-diviżjonijiet tal-gradwati korrispondenti tagħho"&amp;"m, filwaqt li d-diviżjoni kolleġjali l-ġdida tamministra maġġuri interdixxiplinarji u studji li ma jidħlux f'waħda mill-erba 'diviżjonijiet l-oħra.")</f>
        <v>Il-Kulleġġ ta 'l-Università ta' Chicago jagħti Baċellerat fl-Arti u Baċellerat ta 'Gradi tax-Xjenza f'50 maġġuri akkademiċi u 28 minorenni. L-akkademiċi tal-kulleġġ huma maqsuma f'ħames diviżjonijiet: id-Diviżjoni tal-Kolleġġjata tax-Xjenzi Bijoloġiċi, id-Diviżjoni Kolleġġjata tax-Xjenzi Fiżiċi, id-Diviżjoni Kolleġġjata tax-Xjenzi Soċjali, id-Diviżjoni Kolleġġjata tal-Umanistika, u d-Diviżjoni Kolleġġjata l-Ġdida. L-ewwel erbgħa huma sezzjonijiet fi ħdan id-diviżjonijiet tal-gradwati korrispondenti tagħhom, filwaqt li d-diviżjoni kolleġjali l-ġdida tamministra maġġuri interdixxiplinarji u studji li ma jidħlux f'waħda mill-erba 'diviżjonijiet l-oħra.</v>
      </c>
    </row>
    <row r="17669" ht="15.75" customHeight="1">
      <c r="A17669" s="2" t="s">
        <v>17669</v>
      </c>
      <c r="B17669" s="2" t="str">
        <f>IFERROR(__xludf.DUMMYFUNCTION("GOOGLETRANSLATE(A17669, ""en"", ""mt"")"),"probabilistiku")</f>
        <v>probabilistiku</v>
      </c>
    </row>
    <row r="17670" ht="15.75" customHeight="1">
      <c r="A17670" s="2" t="s">
        <v>17670</v>
      </c>
      <c r="B17670" s="2" t="str">
        <f>IFERROR(__xludf.DUMMYFUNCTION("GOOGLETRANSLATE(A17670, ""en"", ""mt"")"),"Liema knisja hija organizzata f'konferenzi?")</f>
        <v>Liema knisja hija organizzata f'konferenzi?</v>
      </c>
    </row>
    <row r="17671" ht="15.75" customHeight="1">
      <c r="A17671" s="2" t="s">
        <v>17671</v>
      </c>
      <c r="B17671" s="2" t="str">
        <f>IFERROR(__xludf.DUMMYFUNCTION("GOOGLETRANSLATE(A17671, ""en"", ""mt"")"),"Kemm l-ewwel downs kellu Denver għal Super Bowl 50?")</f>
        <v>Kemm l-ewwel downs kellu Denver għal Super Bowl 50?</v>
      </c>
    </row>
    <row r="17672" ht="15.75" customHeight="1">
      <c r="A17672" s="2" t="s">
        <v>17672</v>
      </c>
      <c r="B17672" s="2" t="str">
        <f>IFERROR(__xludf.DUMMYFUNCTION("GOOGLETRANSLATE(A17672, ""en"", ""mt"")"),"Oriġini lingwistiċi doppji jew tripli mhux Franċiżi")</f>
        <v>Oriġini lingwistiċi doppji jew tripli mhux Franċiżi</v>
      </c>
    </row>
    <row r="17673" ht="15.75" customHeight="1">
      <c r="A17673" s="2" t="s">
        <v>17673</v>
      </c>
      <c r="B17673" s="2" t="str">
        <f>IFERROR(__xludf.DUMMYFUNCTION("GOOGLETRANSLATE(A17673, ""en"", ""mt"")"),"George Westinghouse")</f>
        <v>George Westinghouse</v>
      </c>
    </row>
    <row r="17674" ht="15.75" customHeight="1">
      <c r="A17674" s="2" t="s">
        <v>17674</v>
      </c>
      <c r="B17674" s="2" t="str">
        <f>IFERROR(__xludf.DUMMYFUNCTION("GOOGLETRANSLATE(A17674, ""en"", ""mt"")"),"Kien hemm 158,349 djar, li minnhom 68,511 (43.3%) kellhom tfal taħt it-18-il sena li jgħixu fihom, 69.284 (43,8%) kienu koppji miżżewġa tas-sess oppost li jgħixu flimkien, 30,547 (19.3%) kellhom housolder femminili mingħajr raġel preżenti , 11,698 (7.4%) "&amp;"kellhom familja maskili mingħajr l-ebda mara preżenti. Kien hemm 12,843 (8.1%) sħubijiet mhux miżżewġa tas-sess oppost, u 1,388 (0.9%) koppji jew sħubijiet miżżewġa tal-istess sess. 35,064 djar (22.1%) kienu magħmula minn individwi u 12,344 (7.8%) kellhom"&amp;" lil xi ħadd li jgħix waħdu li kellu 65 sena jew aktar. Id-daqs medju tad-dar kien 3.07. Kien hemm 111,529 familja (70.4% tad-djar kollha); Id-daqs medju tal-familja kien 3.62.")</f>
        <v>Kien hemm 158,349 djar, li minnhom 68,511 (43.3%) kellhom tfal taħt it-18-il sena li jgħixu fihom, 69.284 (43,8%) kienu koppji miżżewġa tas-sess oppost li jgħixu flimkien, 30,547 (19.3%) kellhom housolder femminili mingħajr raġel preżenti , 11,698 (7.4%) kellhom familja maskili mingħajr l-ebda mara preżenti. Kien hemm 12,843 (8.1%) sħubijiet mhux miżżewġa tas-sess oppost, u 1,388 (0.9%) koppji jew sħubijiet miżżewġa tal-istess sess. 35,064 djar (22.1%) kienu magħmula minn individwi u 12,344 (7.8%) kellhom lil xi ħadd li jgħix waħdu li kellu 65 sena jew aktar. Id-daqs medju tad-dar kien 3.07. Kien hemm 111,529 familja (70.4% tad-djar kollha); Id-daqs medju tal-familja kien 3.62.</v>
      </c>
    </row>
    <row r="17675" ht="15.75" customHeight="1">
      <c r="A17675" s="2" t="s">
        <v>17675</v>
      </c>
      <c r="B17675" s="2" t="str">
        <f>IFERROR(__xludf.DUMMYFUNCTION("GOOGLETRANSLATE(A17675, ""en"", ""mt"")"),"L-istudju AAUW")</f>
        <v>L-istudju AAUW</v>
      </c>
    </row>
    <row r="17676" ht="15.75" customHeight="1">
      <c r="A17676" s="2" t="s">
        <v>17676</v>
      </c>
      <c r="B17676" s="2" t="str">
        <f>IFERROR(__xludf.DUMMYFUNCTION("GOOGLETRANSLATE(A17676, ""en"", ""mt"")"),"ħdejn Diepoldsau")</f>
        <v>ħdejn Diepoldsau</v>
      </c>
    </row>
    <row r="17677" ht="15.75" customHeight="1">
      <c r="A17677" s="2" t="s">
        <v>17677</v>
      </c>
      <c r="B17677" s="2" t="str">
        <f>IFERROR(__xludf.DUMMYFUNCTION("GOOGLETRANSLATE(A17677, ""en"", ""mt"")"),"Min hu s-Sindku ta 'San Francisco?")</f>
        <v>Min hu s-Sindku ta 'San Francisco?</v>
      </c>
    </row>
    <row r="17678" ht="15.75" customHeight="1">
      <c r="A17678" s="2" t="s">
        <v>17678</v>
      </c>
      <c r="B17678" s="2" t="str">
        <f>IFERROR(__xludf.DUMMYFUNCTION("GOOGLETRANSLATE(A17678, ""en"", ""mt"")"),"Approċċ interdixxiplinarju")</f>
        <v>Approċċ interdixxiplinarju</v>
      </c>
    </row>
    <row r="17679" ht="15.75" customHeight="1">
      <c r="A17679" s="2" t="s">
        <v>17679</v>
      </c>
      <c r="B17679" s="2" t="str">
        <f>IFERROR(__xludf.DUMMYFUNCTION("GOOGLETRANSLATE(A17679, ""en"", ""mt"")"),"Il-problemi ma 'l-Amerika ta' Fuq kienu severi biżżejjed fl-aħħar tal-1965 biex jikkawżaw lill-amministratur tat-titjira spazjali George Mueller biex jaħtar lid-direttur tal-programm Samuel Phillips biex imexxi ""tim tat-tiger"" biex jinvestiga l-problemi"&amp;" tal-Amerika ta 'Fuq u jidentifika l-korrezzjonijiet. Phillips iddokumenta s-sejbiet tiegħu f'ittra tad-19 ta 'Diċembru lill-President tan-NAA Lee Atwood, b'ittra miktuba bil-qawwa minn Mueller, u ta wkoll preżentazzjoni tar-riżultati lil Mueller u d-Depu"&amp;"tat Amministratur Robert Seamans. Sadanittant, Grumman kien qed jiltaqa 'wkoll ma' problemi mal-modulu Lunar, u jelimina t-tamiet li jkun lest għal titjira mgħammra fl-1967, mhux twil wara l-ewwel titjiriet CSM mgħammra.")</f>
        <v>Il-problemi ma 'l-Amerika ta' Fuq kienu severi biżżejjed fl-aħħar tal-1965 biex jikkawżaw lill-amministratur tat-titjira spazjali George Mueller biex jaħtar lid-direttur tal-programm Samuel Phillips biex imexxi "tim tat-tiger" biex jinvestiga l-problemi tal-Amerika ta 'Fuq u jidentifika l-korrezzjonijiet. Phillips iddokumenta s-sejbiet tiegħu f'ittra tad-19 ta 'Diċembru lill-President tan-NAA Lee Atwood, b'ittra miktuba bil-qawwa minn Mueller, u ta wkoll preżentazzjoni tar-riżultati lil Mueller u d-Deputat Amministratur Robert Seamans. Sadanittant, Grumman kien qed jiltaqa 'wkoll ma' problemi mal-modulu Lunar, u jelimina t-tamiet li jkun lest għal titjira mgħammra fl-1967, mhux twil wara l-ewwel titjiriet CSM mgħammra.</v>
      </c>
    </row>
    <row r="17680" ht="15.75" customHeight="1">
      <c r="A17680" s="2" t="s">
        <v>17680</v>
      </c>
      <c r="B17680" s="2" t="str">
        <f>IFERROR(__xludf.DUMMYFUNCTION("GOOGLETRANSLATE(A17680, ""en"", ""mt"")"),"L-ebda kamra tar-reviżjoni")</f>
        <v>L-ebda kamra tar-reviżjoni</v>
      </c>
    </row>
    <row r="17681" ht="15.75" customHeight="1">
      <c r="A17681" s="2" t="s">
        <v>17681</v>
      </c>
      <c r="B17681" s="2" t="str">
        <f>IFERROR(__xludf.DUMMYFUNCTION("GOOGLETRANSLATE(A17681, ""en"", ""mt"")"),"Meta kienet id-dimostrazzjoni tar-radju ta 'Marconi?")</f>
        <v>Meta kienet id-dimostrazzjoni tar-radju ta 'Marconi?</v>
      </c>
    </row>
    <row r="17682" ht="15.75" customHeight="1">
      <c r="A17682" s="2" t="s">
        <v>17682</v>
      </c>
      <c r="B17682" s="2" t="str">
        <f>IFERROR(__xludf.DUMMYFUNCTION("GOOGLETRANSLATE(A17682, ""en"", ""mt"")"),"tfixkel il-membrana tal-plażma tagħhom")</f>
        <v>tfixkel il-membrana tal-plażma tagħhom</v>
      </c>
    </row>
    <row r="17683" ht="15.75" customHeight="1">
      <c r="A17683" s="2" t="s">
        <v>17683</v>
      </c>
      <c r="B17683" s="2" t="str">
        <f>IFERROR(__xludf.DUMMYFUNCTION("GOOGLETRANSLATE(A17683, ""en"", ""mt"")"),"Circa 1964–1965")</f>
        <v>Circa 1964–1965</v>
      </c>
    </row>
    <row r="17684" ht="15.75" customHeight="1">
      <c r="A17684" s="2" t="s">
        <v>17684</v>
      </c>
      <c r="B17684" s="2" t="str">
        <f>IFERROR(__xludf.DUMMYFUNCTION("GOOGLETRANSLATE(A17684, ""en"", ""mt"")"),"Anwar Sadat")</f>
        <v>Anwar Sadat</v>
      </c>
    </row>
    <row r="17685" ht="15.75" customHeight="1">
      <c r="A17685" s="2" t="s">
        <v>17685</v>
      </c>
      <c r="B17685" s="2" t="str">
        <f>IFERROR(__xludf.DUMMYFUNCTION("GOOGLETRANSLATE(A17685, ""en"", ""mt"")"),"Masai Mara")</f>
        <v>Masai Mara</v>
      </c>
    </row>
    <row r="17686" ht="15.75" customHeight="1">
      <c r="A17686" s="2" t="s">
        <v>17686</v>
      </c>
      <c r="B17686" s="2" t="str">
        <f>IFERROR(__xludf.DUMMYFUNCTION("GOOGLETRANSLATE(A17686, ""en"", ""mt"")"),"Bond doppju kovalenti li jirriżulta mill-mili ta 'orbitali molekulari ffurmati mill-orbitali atomiċi ta' l-atomi ta 'ossiġnu individwali")</f>
        <v>Bond doppju kovalenti li jirriżulta mill-mili ta 'orbitali molekulari ffurmati mill-orbitali atomiċi ta' l-atomi ta 'ossiġnu individwali</v>
      </c>
    </row>
    <row r="17687" ht="15.75" customHeight="1">
      <c r="A17687" s="2" t="s">
        <v>17687</v>
      </c>
      <c r="B17687" s="2" t="str">
        <f>IFERROR(__xludf.DUMMYFUNCTION("GOOGLETRANSLATE(A17687, ""en"", ""mt"")"),"kloroplast tal-alka ħamra")</f>
        <v>kloroplast tal-alka ħamra</v>
      </c>
    </row>
    <row r="17688" ht="15.75" customHeight="1">
      <c r="A17688" s="2" t="s">
        <v>17688</v>
      </c>
      <c r="B17688" s="2" t="str">
        <f>IFERROR(__xludf.DUMMYFUNCTION("GOOGLETRANSLATE(A17688, ""en"", ""mt"")"),"X'tip ta 'konfini ta' difett huwa definit billi jkollok terremoti qawwija mifruxa, bħal fl-istat ta 'California?")</f>
        <v>X'tip ta 'konfini ta' difett huwa definit billi jkollok terremoti qawwija mifruxa, bħal fl-istat ta 'California?</v>
      </c>
    </row>
    <row r="17689" ht="15.75" customHeight="1">
      <c r="A17689" s="2" t="s">
        <v>17689</v>
      </c>
      <c r="B17689" s="2" t="str">
        <f>IFERROR(__xludf.DUMMYFUNCTION("GOOGLETRANSLATE(A17689, ""en"", ""mt"")"),"Liema ġeneru tal-film kien il-film tal-1988 Stormy Monday?")</f>
        <v>Liema ġeneru tal-film kien il-film tal-1988 Stormy Monday?</v>
      </c>
    </row>
    <row r="17690" ht="15.75" customHeight="1">
      <c r="A17690" s="2" t="s">
        <v>17690</v>
      </c>
      <c r="B17690" s="2" t="str">
        <f>IFERROR(__xludf.DUMMYFUNCTION("GOOGLETRANSLATE(A17690, ""en"", ""mt"")"),"Londra Greater għandha aktar minn 900,000 Musulman, (il-biċċa l-kbira tal-oriġini tal-Asja t'Isfel u kkonċentrata fil-distretti tal-Lvant ta 'Newham, Hamlets Tower u Waltham Forest), u fosthom hemm uħud bi prospett Iżlamiku qawwi. Il-preżenza tagħhom, fli"&amp;"mkien ma 'politika Ingliża perċepita li tippermettilhom riedni ħielsa, imsaħħa minn esponimenti bħall-programm dokumentarju Channel 4 tal-2007, wasslet għat-terminu ta' Londonistan. Wara l-attakki tad-9/11, madankollu, Abu Hamza al-Masri, l-imam tal-Moske"&amp;"a tal-Park Finsbury, ġie arrestat u akkużat b'inċitament għat-terroriżmu li kkawża ħafna Iżlamisti jitilqu mir-Renju Unit biex jevitaw internament. [Ċitazzjoni meħtieġa]")</f>
        <v>Londra Greater għandha aktar minn 900,000 Musulman, (il-biċċa l-kbira tal-oriġini tal-Asja t'Isfel u kkonċentrata fil-distretti tal-Lvant ta 'Newham, Hamlets Tower u Waltham Forest), u fosthom hemm uħud bi prospett Iżlamiku qawwi. Il-preżenza tagħhom, flimkien ma 'politika Ingliża perċepita li tippermettilhom riedni ħielsa, imsaħħa minn esponimenti bħall-programm dokumentarju Channel 4 tal-2007, wasslet għat-terminu ta' Londonistan. Wara l-attakki tad-9/11, madankollu, Abu Hamza al-Masri, l-imam tal-Moskea tal-Park Finsbury, ġie arrestat u akkużat b'inċitament għat-terroriżmu li kkawża ħafna Iżlamisti jitilqu mir-Renju Unit biex jevitaw internament. [Ċitazzjoni meħtieġa]</v>
      </c>
    </row>
    <row r="17691" ht="15.75" customHeight="1">
      <c r="A17691" s="2" t="s">
        <v>17691</v>
      </c>
      <c r="B17691" s="2" t="str">
        <f>IFERROR(__xludf.DUMMYFUNCTION("GOOGLETRANSLATE(A17691, ""en"", ""mt"")"),"żbaljat")</f>
        <v>żbaljat</v>
      </c>
    </row>
    <row r="17692" ht="15.75" customHeight="1">
      <c r="A17692" s="2" t="s">
        <v>17692</v>
      </c>
      <c r="B17692" s="2" t="str">
        <f>IFERROR(__xludf.DUMMYFUNCTION("GOOGLETRANSLATE(A17692, ""en"", ""mt"")"),"X'kien l-isem tal-battalja li mmarkat l-ewwel rebħa Konfederata fi Florida?")</f>
        <v>X'kien l-isem tal-battalja li mmarkat l-ewwel rebħa Konfederata fi Florida?</v>
      </c>
    </row>
    <row r="17693" ht="15.75" customHeight="1">
      <c r="A17693" s="2" t="s">
        <v>17693</v>
      </c>
      <c r="B17693" s="2" t="str">
        <f>IFERROR(__xludf.DUMMYFUNCTION("GOOGLETRANSLATE(A17693, ""en"", ""mt"")"),"ħbiberija u ta 'appoġġ")</f>
        <v>ħbiberija u ta 'appoġġ</v>
      </c>
    </row>
    <row r="17694" ht="15.75" customHeight="1">
      <c r="A17694" s="2" t="s">
        <v>17694</v>
      </c>
      <c r="B17694" s="2" t="str">
        <f>IFERROR(__xludf.DUMMYFUNCTION("GOOGLETRANSLATE(A17694, ""en"", ""mt"")"),"F'Lulju 2013")</f>
        <v>F'Lulju 2013</v>
      </c>
    </row>
    <row r="17695" ht="15.75" customHeight="1">
      <c r="A17695" s="2" t="s">
        <v>17695</v>
      </c>
      <c r="B17695" s="2" t="str">
        <f>IFERROR(__xludf.DUMMYFUNCTION("GOOGLETRANSLATE(A17695, ""en"", ""mt"")"),"Kważi $ 40 kull barmil")</f>
        <v>Kważi $ 40 kull barmil</v>
      </c>
    </row>
    <row r="17696" ht="15.75" customHeight="1">
      <c r="A17696" s="2" t="s">
        <v>17696</v>
      </c>
      <c r="B17696" s="2" t="str">
        <f>IFERROR(__xludf.DUMMYFUNCTION("GOOGLETRANSLATE(A17696, ""en"", ""mt"")"),"Liema alumni huwa wkoll il-Gvernatur tal-Bank tal-Ġappun?")</f>
        <v>Liema alumni huwa wkoll il-Gvernatur tal-Bank tal-Ġappun?</v>
      </c>
    </row>
    <row r="17697" ht="15.75" customHeight="1">
      <c r="A17697" s="2" t="s">
        <v>17697</v>
      </c>
      <c r="B17697" s="2" t="str">
        <f>IFERROR(__xludf.DUMMYFUNCTION("GOOGLETRANSLATE(A17697, ""en"", ""mt"")"),"Il-piżelli tal-ħamiem huma reżistenti għan-nixfa ħafna,")</f>
        <v>Il-piżelli tal-ħamiem huma reżistenti għan-nixfa ħafna,</v>
      </c>
    </row>
    <row r="17698" ht="15.75" customHeight="1">
      <c r="A17698" s="2" t="s">
        <v>17698</v>
      </c>
      <c r="B17698" s="2" t="str">
        <f>IFERROR(__xludf.DUMMYFUNCTION("GOOGLETRANSLATE(A17698, ""en"", ""mt"")"),"ABC1")</f>
        <v>ABC1</v>
      </c>
    </row>
    <row r="17699" ht="15.75" customHeight="1">
      <c r="A17699" s="2" t="s">
        <v>17699</v>
      </c>
      <c r="B17699" s="2" t="str">
        <f>IFERROR(__xludf.DUMMYFUNCTION("GOOGLETRANSLATE(A17699, ""en"", ""mt"")"),"0.5%")</f>
        <v>0.5%</v>
      </c>
    </row>
    <row r="17700" ht="15.75" customHeight="1">
      <c r="A17700" s="2" t="s">
        <v>17700</v>
      </c>
      <c r="B17700" s="2" t="str">
        <f>IFERROR(__xludf.DUMMYFUNCTION("GOOGLETRANSLATE(A17700, ""en"", ""mt"")"),"Sistemi ta 'dawl")</f>
        <v>Sistemi ta 'dawl</v>
      </c>
    </row>
    <row r="17701" ht="15.75" customHeight="1">
      <c r="A17701" s="2" t="s">
        <v>17701</v>
      </c>
      <c r="B17701" s="2" t="str">
        <f>IFERROR(__xludf.DUMMYFUNCTION("GOOGLETRANSLATE(A17701, ""en"", ""mt"")"),"Kublai Khan")</f>
        <v>Kublai Khan</v>
      </c>
    </row>
    <row r="17702" ht="15.75" customHeight="1">
      <c r="A17702" s="2" t="s">
        <v>17702</v>
      </c>
      <c r="B17702" s="2" t="str">
        <f>IFERROR(__xludf.DUMMYFUNCTION("GOOGLETRANSLATE(A17702, ""en"", ""mt"")"),"8 sa 10 mili")</f>
        <v>8 sa 10 mili</v>
      </c>
    </row>
    <row r="17703" ht="15.75" customHeight="1">
      <c r="A17703" s="2" t="s">
        <v>17703</v>
      </c>
      <c r="B17703" s="2" t="str">
        <f>IFERROR(__xludf.DUMMYFUNCTION("GOOGLETRANSLATE(A17703, ""en"", ""mt"")"),"X'għandu definizzjonijiet ikkumplikati li jipprevjenu l-klassifikazzjoni f'qafas?")</f>
        <v>X'għandu definizzjonijiet ikkumplikati li jipprevjenu l-klassifikazzjoni f'qafas?</v>
      </c>
    </row>
    <row r="17704" ht="15.75" customHeight="1">
      <c r="A17704" s="2" t="s">
        <v>17704</v>
      </c>
      <c r="B17704" s="2" t="str">
        <f>IFERROR(__xludf.DUMMYFUNCTION("GOOGLETRANSLATE(A17704, ""en"", ""mt"")"),"kompressjoni orizzontali")</f>
        <v>kompressjoni orizzontali</v>
      </c>
    </row>
    <row r="17705" ht="15.75" customHeight="1">
      <c r="A17705" s="2" t="s">
        <v>17705</v>
      </c>
      <c r="B17705" s="2" t="str">
        <f>IFERROR(__xludf.DUMMYFUNCTION("GOOGLETRANSLATE(A17705, ""en"", ""mt"")")," Liema formazzjonijiet moderni jistudjaw il-ġeoloġi?")</f>
        <v> Liema formazzjonijiet moderni jistudjaw il-ġeoloġi?</v>
      </c>
    </row>
    <row r="17706" ht="15.75" customHeight="1">
      <c r="A17706" s="2" t="s">
        <v>17706</v>
      </c>
      <c r="B17706" s="2" t="str">
        <f>IFERROR(__xludf.DUMMYFUNCTION("GOOGLETRANSLATE(A17706, ""en"", ""mt"")"),"Il-biċċa l-kbira tal-pajjiżi tal-Punent")</f>
        <v>Il-biċċa l-kbira tal-pajjiżi tal-Punent</v>
      </c>
    </row>
    <row r="17707" ht="15.75" customHeight="1">
      <c r="A17707" s="2" t="s">
        <v>17707</v>
      </c>
      <c r="B17707" s="2" t="str">
        <f>IFERROR(__xludf.DUMMYFUNCTION("GOOGLETRANSLATE(A17707, ""en"", ""mt"")"),"il-kumplament tal-Gżejjer Brittaniċi")</f>
        <v>il-kumplament tal-Gżejjer Brittaniċi</v>
      </c>
    </row>
    <row r="17708" ht="15.75" customHeight="1">
      <c r="A17708" s="2" t="s">
        <v>17708</v>
      </c>
      <c r="B17708" s="2" t="str">
        <f>IFERROR(__xludf.DUMMYFUNCTION("GOOGLETRANSLATE(A17708, ""en"", ""mt"")"),"Verżjonijiet tat- ""tema tad-Doctor Who"" ġew rilaxxati wkoll bħala mużika pop matul is-snin. Fil-bidu tas-snin sebgħin, Jon Pertwee, li kien lagħab it-Tielet Tabib, irreġistra verżjoni tat-tema tad-Doctor Who bil-lirika mitkellma, intitolata, ""Who Is Th"&amp;"e Doctor"". [Nota 6] Fl-1978 ġiet rilaxxata verżjoni disco tat-tema Fir-Renju Unit, id-Danimarka u l-Awstralja mill-grupp tal-bniedem, li laħaq in-numru 24 fit-tabelli tar-Renju Unit. Fl-1988 il-banda The Justified Ancients of Mu Mu (aktar tard magħrufa b"&amp;"ħala l-KLF) ħarġet is-single ""Doctorin 'the Tardis"" taħt l-isem The TimeLords, li laħqet in-Nru 1 fir-Renju Unit u Nru 2 fl-Awstralja; Din il-verżjoni inkorporat bosta kanzunetti oħra, inklużi ""Rock and Roll Part 2"" minn Gary Glitter (li rreġistra vok"&amp;"ali għal uħud mill-verżjonijiet CD-Single Remix ta '""DoctorIn' The Tardis""). Oħrajn li koprew jew interpretaw mill-ġdid it-tema jinkludu Orbital, Pink Floyd, The Australian String Ensemble Fourplay, New Zealand Punk Band Blam Blam Blam, The Pogues, Thin"&amp;" Lizzy, Dub Syndicate, u l-kummidjanti Bill Bailey u Mitch Benn. Kemm it-tema kif ukoll il-fannijiet ossessivi ġew satirizzati fuq il-gwerra ta 'Chaser fuq kollox. L-intonazzjoni tat-tema dehret ukoll fuq bosta CDs tal-kumpilazzjoni, u għamlet triqtu fir-"&amp;"ringtones tal-mowbajl. Fannijiet ipproduċew u qassmu wkoll it-temi tagħhom stess tat-tema. F'Jannar 2011 il-verżjoni tal-bniedem ġiet rilaxxata bħala tniżżil diġitali fl-album Gallifrey u Beyond.")</f>
        <v>Verżjonijiet tat- "tema tad-Doctor Who" ġew rilaxxati wkoll bħala mużika pop matul is-snin. Fil-bidu tas-snin sebgħin, Jon Pertwee, li kien lagħab it-Tielet Tabib, irreġistra verżjoni tat-tema tad-Doctor Who bil-lirika mitkellma, intitolata, "Who Is The Doctor". [Nota 6] Fl-1978 ġiet rilaxxata verżjoni disco tat-tema Fir-Renju Unit, id-Danimarka u l-Awstralja mill-grupp tal-bniedem, li laħaq in-numru 24 fit-tabelli tar-Renju Unit. Fl-1988 il-banda The Justified Ancients of Mu Mu (aktar tard magħrufa bħala l-KLF) ħarġet is-single "Doctorin 'the Tardis" taħt l-isem The TimeLords, li laħqet in-Nru 1 fir-Renju Unit u Nru 2 fl-Awstralja; Din il-verżjoni inkorporat bosta kanzunetti oħra, inklużi "Rock and Roll Part 2" minn Gary Glitter (li rreġistra vokali għal uħud mill-verżjonijiet CD-Single Remix ta '"DoctorIn' The Tardis"). Oħrajn li koprew jew interpretaw mill-ġdid it-tema jinkludu Orbital, Pink Floyd, The Australian String Ensemble Fourplay, New Zealand Punk Band Blam Blam Blam, The Pogues, Thin Lizzy, Dub Syndicate, u l-kummidjanti Bill Bailey u Mitch Benn. Kemm it-tema kif ukoll il-fannijiet ossessivi ġew satirizzati fuq il-gwerra ta 'Chaser fuq kollox. L-intonazzjoni tat-tema dehret ukoll fuq bosta CDs tal-kumpilazzjoni, u għamlet triqtu fir-ringtones tal-mowbajl. Fannijiet ipproduċew u qassmu wkoll it-temi tagħhom stess tat-tema. F'Jannar 2011 il-verżjoni tal-bniedem ġiet rilaxxata bħala tniżżil diġitali fl-album Gallifrey u Beyond.</v>
      </c>
    </row>
    <row r="17709" ht="15.75" customHeight="1">
      <c r="A17709" s="2" t="s">
        <v>17709</v>
      </c>
      <c r="B17709" s="2" t="str">
        <f>IFERROR(__xludf.DUMMYFUNCTION("GOOGLETRANSLATE(A17709, ""en"", ""mt"")"),"Asja")</f>
        <v>Asja</v>
      </c>
    </row>
    <row r="17710" ht="15.75" customHeight="1">
      <c r="A17710" s="2" t="s">
        <v>17710</v>
      </c>
      <c r="B17710" s="2" t="str">
        <f>IFERROR(__xludf.DUMMYFUNCTION("GOOGLETRANSLATE(A17710, ""en"", ""mt"")"),"Edukazzjoni mhux obbligatorja")</f>
        <v>Edukazzjoni mhux obbligatorja</v>
      </c>
    </row>
    <row r="17711" ht="15.75" customHeight="1">
      <c r="A17711" s="2" t="s">
        <v>17711</v>
      </c>
      <c r="B17711" s="2" t="str">
        <f>IFERROR(__xludf.DUMMYFUNCTION("GOOGLETRANSLATE(A17711, ""en"", ""mt"")"),"Speċi reattivi ta 'ossiġnu")</f>
        <v>Speċi reattivi ta 'ossiġnu</v>
      </c>
    </row>
    <row r="17712" ht="15.75" customHeight="1">
      <c r="A17712" s="2" t="s">
        <v>17712</v>
      </c>
      <c r="B17712" s="2" t="str">
        <f>IFERROR(__xludf.DUMMYFUNCTION("GOOGLETRANSLATE(A17712, ""en"", ""mt"")"),"tnaqqas il-prezzijiet tal-konsumatur")</f>
        <v>tnaqqas il-prezzijiet tal-konsumatur</v>
      </c>
    </row>
    <row r="17713" ht="15.75" customHeight="1">
      <c r="A17713" s="2" t="s">
        <v>17713</v>
      </c>
      <c r="B17713" s="2" t="str">
        <f>IFERROR(__xludf.DUMMYFUNCTION("GOOGLETRANSLATE(A17713, ""en"", ""mt"")"),"Liema korp ta 'ilma poġġa fil-punent tal-imperu Mongoljan meta miet Genghis Khan?")</f>
        <v>Liema korp ta 'ilma poġġa fil-punent tal-imperu Mongoljan meta miet Genghis Khan?</v>
      </c>
    </row>
    <row r="17714" ht="15.75" customHeight="1">
      <c r="A17714" s="2" t="s">
        <v>17714</v>
      </c>
      <c r="B17714" s="2" t="str">
        <f>IFERROR(__xludf.DUMMYFUNCTION("GOOGLETRANSLATE(A17714, ""en"", ""mt"")"),"Tour tat-Turingija")</f>
        <v>Tour tat-Turingija</v>
      </c>
    </row>
    <row r="17715" ht="15.75" customHeight="1">
      <c r="A17715" s="2" t="s">
        <v>17715</v>
      </c>
      <c r="B17715" s="2" t="str">
        <f>IFERROR(__xludf.DUMMYFUNCTION("GOOGLETRANSLATE(A17715, ""en"", ""mt"")"),"li sistema ta 'qsim ta' ħin, ibbażata fuq ix-xogħol ta 'Kemney f'Dartmouth - li uża kompjuter b'self minn GE - jista' jkun ta 'profitt")</f>
        <v>li sistema ta 'qsim ta' ħin, ibbażata fuq ix-xogħol ta 'Kemney f'Dartmouth - li uża kompjuter b'self minn GE - jista' jkun ta 'profitt</v>
      </c>
    </row>
    <row r="17716" ht="15.75" customHeight="1">
      <c r="A17716" s="2" t="s">
        <v>17716</v>
      </c>
      <c r="B17716" s="2" t="str">
        <f>IFERROR(__xludf.DUMMYFUNCTION("GOOGLETRANSLATE(A17716, ""en"", ""mt"")"),"it-tieni")</f>
        <v>it-tieni</v>
      </c>
    </row>
    <row r="17717" ht="15.75" customHeight="1">
      <c r="A17717" s="2" t="s">
        <v>17717</v>
      </c>
      <c r="B17717" s="2" t="str">
        <f>IFERROR(__xludf.DUMMYFUNCTION("GOOGLETRANSLATE(A17717, ""en"", ""mt"")"),"In-nazzjonijiet industrijalizzati żiedu r-riservi tagħhom (billi espandu l-provvisti ta 'flushom) f'ammonti ferm akbar minn qabel")</f>
        <v>In-nazzjonijiet industrijalizzati żiedu r-riservi tagħhom (billi espandu l-provvisti ta 'flushom) f'ammonti ferm akbar minn qabel</v>
      </c>
    </row>
    <row r="17718" ht="15.75" customHeight="1">
      <c r="A17718" s="2" t="s">
        <v>17718</v>
      </c>
      <c r="B17718" s="2" t="str">
        <f>IFERROR(__xludf.DUMMYFUNCTION("GOOGLETRANSLATE(A17718, ""en"", ""mt"")"),"X’kopera l-Iskandinavja, il-Baltiċi, l-Iskozja, u l-Alpi fl-aħħar era tas-silġ?")</f>
        <v>X’kopera l-Iskandinavja, il-Baltiċi, l-Iskozja, u l-Alpi fl-aħħar era tas-silġ?</v>
      </c>
    </row>
    <row r="17719" ht="15.75" customHeight="1">
      <c r="A17719" s="2" t="s">
        <v>17719</v>
      </c>
      <c r="B17719" s="2" t="str">
        <f>IFERROR(__xludf.DUMMYFUNCTION("GOOGLETRANSLATE(A17719, ""en"", ""mt"")"),"Kemm-il sena ġie nnominat premjijiet li ġie nnominat, matul is-snin?")</f>
        <v>Kemm-il sena ġie nnominat premjijiet li ġie nnominat, matul is-snin?</v>
      </c>
    </row>
    <row r="17720" ht="15.75" customHeight="1">
      <c r="A17720" s="2" t="s">
        <v>17720</v>
      </c>
      <c r="B17720" s="2" t="str">
        <f>IFERROR(__xludf.DUMMYFUNCTION("GOOGLETRANSLATE(A17720, ""en"", ""mt"")"),"Protezzjoni tat-Tfal u Gruppi tad-Drittijiet tal-Ġenituri")</f>
        <v>Protezzjoni tat-Tfal u Gruppi tad-Drittijiet tal-Ġenituri</v>
      </c>
    </row>
    <row r="17721" ht="15.75" customHeight="1">
      <c r="A17721" s="2" t="s">
        <v>17721</v>
      </c>
      <c r="B17721" s="2" t="str">
        <f>IFERROR(__xludf.DUMMYFUNCTION("GOOGLETRANSLATE(A17721, ""en"", ""mt"")"),"L-anarkisti ma jridux jaċċettaw kastig għal liema raġuni?")</f>
        <v>L-anarkisti ma jridux jaċċettaw kastig għal liema raġuni?</v>
      </c>
    </row>
    <row r="17722" ht="15.75" customHeight="1">
      <c r="A17722" s="2" t="s">
        <v>17722</v>
      </c>
      <c r="B17722" s="2" t="str">
        <f>IFERROR(__xludf.DUMMYFUNCTION("GOOGLETRANSLATE(A17722, ""en"", ""mt"")"),"Jordan Norwood")</f>
        <v>Jordan Norwood</v>
      </c>
    </row>
    <row r="17723" ht="15.75" customHeight="1">
      <c r="A17723" s="2" t="s">
        <v>17723</v>
      </c>
      <c r="B17723" s="2" t="str">
        <f>IFERROR(__xludf.DUMMYFUNCTION("GOOGLETRANSLATE(A17723, ""en"", ""mt"")"),"50% ossiġnu")</f>
        <v>50% ossiġnu</v>
      </c>
    </row>
    <row r="17724" ht="15.75" customHeight="1">
      <c r="A17724" s="2" t="s">
        <v>17724</v>
      </c>
      <c r="B17724" s="2" t="str">
        <f>IFERROR(__xludf.DUMMYFUNCTION("GOOGLETRANSLATE(A17724, ""en"", ""mt"")"),"Meta l-Metodisti fl-Amerika ġew separati mill-Knisja tal-Ingilterra,")</f>
        <v>Meta l-Metodisti fl-Amerika ġew separati mill-Knisja tal-Ingilterra,</v>
      </c>
    </row>
    <row r="17725" ht="15.75" customHeight="1">
      <c r="A17725" s="2" t="s">
        <v>17725</v>
      </c>
      <c r="B17725" s="2" t="str">
        <f>IFERROR(__xludf.DUMMYFUNCTION("GOOGLETRANSLATE(A17725, ""en"", ""mt"")"),"15 ta 'Ġunju 1520")</f>
        <v>15 ta 'Ġunju 1520</v>
      </c>
    </row>
    <row r="17726" ht="15.75" customHeight="1">
      <c r="A17726" s="2" t="s">
        <v>17726</v>
      </c>
      <c r="B17726" s="2" t="str">
        <f>IFERROR(__xludf.DUMMYFUNCTION("GOOGLETRANSLATE(A17726, ""en"", ""mt"")"),"il-fluss tal-Għid")</f>
        <v>il-fluss tal-Għid</v>
      </c>
    </row>
    <row r="17727" ht="15.75" customHeight="1">
      <c r="A17727" s="2" t="s">
        <v>17727</v>
      </c>
      <c r="B17727" s="2" t="str">
        <f>IFERROR(__xludf.DUMMYFUNCTION("GOOGLETRANSLATE(A17727, ""en"", ""mt"")"),"sogħla u għatis")</f>
        <v>sogħla u għatis</v>
      </c>
    </row>
    <row r="17728" ht="15.75" customHeight="1">
      <c r="A17728" s="2" t="s">
        <v>17728</v>
      </c>
      <c r="B17728" s="2" t="str">
        <f>IFERROR(__xludf.DUMMYFUNCTION("GOOGLETRANSLATE(A17728, ""en"", ""mt"")"),"X'inhi l-forma attiva ta 'vitamina D magħrufa bħala?")</f>
        <v>X'inhi l-forma attiva ta 'vitamina D magħrufa bħala?</v>
      </c>
    </row>
    <row r="17729" ht="15.75" customHeight="1">
      <c r="A17729" s="2" t="s">
        <v>17729</v>
      </c>
      <c r="B17729" s="2" t="str">
        <f>IFERROR(__xludf.DUMMYFUNCTION("GOOGLETRANSLATE(A17729, ""en"", ""mt"")"),"Fl-1979, matul il-kriżi taż-żejt, liema kien l-ogħla prezz taż-żejt?")</f>
        <v>Fl-1979, matul il-kriżi taż-żejt, liema kien l-ogħla prezz taż-żejt?</v>
      </c>
    </row>
    <row r="17730" ht="15.75" customHeight="1">
      <c r="A17730" s="2" t="s">
        <v>17730</v>
      </c>
      <c r="B17730" s="2" t="str">
        <f>IFERROR(__xludf.DUMMYFUNCTION("GOOGLETRANSLATE(A17730, ""en"", ""mt"")"),"Knisja Metodista Magħquda")</f>
        <v>Knisja Metodista Magħquda</v>
      </c>
    </row>
    <row r="17731" ht="15.75" customHeight="1">
      <c r="A17731" s="2" t="s">
        <v>17731</v>
      </c>
      <c r="B17731" s="2" t="str">
        <f>IFERROR(__xludf.DUMMYFUNCTION("GOOGLETRANSLATE(A17731, ""en"", ""mt"")"),"Liema art ġiet ċedjata lil Spanja?")</f>
        <v>Liema art ġiet ċedjata lil Spanja?</v>
      </c>
    </row>
    <row r="17732" ht="15.75" customHeight="1">
      <c r="A17732" s="2" t="s">
        <v>17732</v>
      </c>
      <c r="B17732" s="2" t="str">
        <f>IFERROR(__xludf.DUMMYFUNCTION("GOOGLETRANSLATE(A17732, ""en"", ""mt"")"),"70")</f>
        <v>70</v>
      </c>
    </row>
    <row r="17733" ht="15.75" customHeight="1">
      <c r="A17733" s="2" t="s">
        <v>17733</v>
      </c>
      <c r="B17733" s="2" t="str">
        <f>IFERROR(__xludf.DUMMYFUNCTION("GOOGLETRANSLATE(A17733, ""en"", ""mt"")"),"Ma 'liema velenu tal-annimal Pierre-Louis Moreau de Maupertuis jaħdem?")</f>
        <v>Ma 'liema velenu tal-annimal Pierre-Louis Moreau de Maupertuis jaħdem?</v>
      </c>
    </row>
    <row r="17734" ht="15.75" customHeight="1">
      <c r="A17734" s="2" t="s">
        <v>17734</v>
      </c>
      <c r="B17734" s="2" t="str">
        <f>IFERROR(__xludf.DUMMYFUNCTION("GOOGLETRANSLATE(A17734, ""en"", ""mt"")"),"Sema + Kaxxa HD")</f>
        <v>Sema + Kaxxa HD</v>
      </c>
    </row>
    <row r="17735" ht="15.75" customHeight="1">
      <c r="A17735" s="2" t="s">
        <v>17735</v>
      </c>
      <c r="B17735" s="2" t="str">
        <f>IFERROR(__xludf.DUMMYFUNCTION("GOOGLETRANSLATE(A17735, ""en"", ""mt"")"),"billi jkollok kolloblasti")</f>
        <v>billi jkollok kolloblasti</v>
      </c>
    </row>
    <row r="17736" ht="15.75" customHeight="1">
      <c r="A17736" s="2" t="s">
        <v>17736</v>
      </c>
      <c r="B17736" s="2" t="str">
        <f>IFERROR(__xludf.DUMMYFUNCTION("GOOGLETRANSLATE(A17736, ""en"", ""mt"")"),"X'inhi waħda mir-raġunijiet li l-produzzjoni tal-Istati Uniti nżammet responsabbli għar-reċessjonijiet u tkabbir ekonomiku aktar baxx?")</f>
        <v>X'inhi waħda mir-raġunijiet li l-produzzjoni tal-Istati Uniti nżammet responsabbli għar-reċessjonijiet u tkabbir ekonomiku aktar baxx?</v>
      </c>
    </row>
    <row r="17737" ht="15.75" customHeight="1">
      <c r="A17737" s="2" t="s">
        <v>17737</v>
      </c>
      <c r="B17737" s="2" t="str">
        <f>IFERROR(__xludf.DUMMYFUNCTION("GOOGLETRANSLATE(A17737, ""en"", ""mt"")"),"X'inhu l-isem tal-istadium ta 'San Francisco meta ħares bħala possibbiltà għas-Super Bowl 50?")</f>
        <v>X'inhu l-isem tal-istadium ta 'San Francisco meta ħares bħala possibbiltà għas-Super Bowl 50?</v>
      </c>
    </row>
    <row r="17738" ht="15.75" customHeight="1">
      <c r="A17738" s="2" t="s">
        <v>17738</v>
      </c>
      <c r="B17738" s="2" t="str">
        <f>IFERROR(__xludf.DUMMYFUNCTION("GOOGLETRANSLATE(A17738, ""en"", ""mt"")"),"Spiżeriji Speċjalizzati")</f>
        <v>Spiżeriji Speċjalizzati</v>
      </c>
    </row>
    <row r="17739" ht="15.75" customHeight="1">
      <c r="A17739" s="2" t="s">
        <v>17739</v>
      </c>
      <c r="B17739" s="2" t="str">
        <f>IFERROR(__xludf.DUMMYFUNCTION("GOOGLETRANSLATE(A17739, ""en"", ""mt"")"),"il-laboratorju")</f>
        <v>il-laboratorju</v>
      </c>
    </row>
    <row r="17740" ht="15.75" customHeight="1">
      <c r="A17740" s="2" t="s">
        <v>17740</v>
      </c>
      <c r="B17740" s="2" t="str">
        <f>IFERROR(__xludf.DUMMYFUNCTION("GOOGLETRANSLATE(A17740, ""en"", ""mt"")"),"Kemm-il darba jsiru l-elezzjonijiet għall-Parlament Vittorjan?")</f>
        <v>Kemm-il darba jsiru l-elezzjonijiet għall-Parlament Vittorjan?</v>
      </c>
    </row>
    <row r="17741" ht="15.75" customHeight="1">
      <c r="A17741" s="2" t="s">
        <v>17741</v>
      </c>
      <c r="B17741" s="2" t="str">
        <f>IFERROR(__xludf.DUMMYFUNCTION("GOOGLETRANSLATE(A17741, ""en"", ""mt"")"),"20,427")</f>
        <v>20,427</v>
      </c>
    </row>
    <row r="17742" ht="15.75" customHeight="1">
      <c r="A17742" s="2" t="s">
        <v>17742</v>
      </c>
      <c r="B17742" s="2" t="str">
        <f>IFERROR(__xludf.DUMMYFUNCTION("GOOGLETRANSLATE(A17742, ""en"", ""mt"")"),"Il-kloroplasti huma dinamiċi ħafna - jiċċirkolaw u jiġu mċaqalqa fiċ-ċelloli tal-pjanti, u kultant għafsu fi tnejn biex jirriproduċu. L-imġieba tagħhom hija influwenzata sew minn fatturi ambjentali bħall-kulur ħafif u l-intensità. Il-kloroplasti, bħall-mi"&amp;"tokondrija, fihom id-DNA tagħhom stess, li huwa maħsub li jintiret mill-antenat tagħhom - cyanobacterium fotosintetiku li kien maħkum minn ċellula ewkarjotika bikrija. Il-kloroplasti ma jistgħux isiru miċ-ċellula tal-pjanti u għandhom jintirtu minn kull t"&amp;"ifla taċ-ċellula waqt id-diviżjoni taċ-ċellula.")</f>
        <v>Il-kloroplasti huma dinamiċi ħafna - jiċċirkolaw u jiġu mċaqalqa fiċ-ċelloli tal-pjanti, u kultant għafsu fi tnejn biex jirriproduċu. L-imġieba tagħhom hija influwenzata sew minn fatturi ambjentali bħall-kulur ħafif u l-intensità. Il-kloroplasti, bħall-mitokondrija, fihom id-DNA tagħhom stess, li huwa maħsub li jintiret mill-antenat tagħhom - cyanobacterium fotosintetiku li kien maħkum minn ċellula ewkarjotika bikrija. Il-kloroplasti ma jistgħux isiru miċ-ċellula tal-pjanti u għandhom jintirtu minn kull tifla taċ-ċellula waqt id-diviżjoni taċ-ċellula.</v>
      </c>
    </row>
    <row r="17743" ht="15.75" customHeight="1">
      <c r="A17743" s="2" t="s">
        <v>17743</v>
      </c>
      <c r="B17743" s="2" t="str">
        <f>IFERROR(__xludf.DUMMYFUNCTION("GOOGLETRANSLATE(A17743, ""en"", ""mt"")"),"Jacksonville beda jsofri u jonqos wara liema avveniment dinji ewlieni?")</f>
        <v>Jacksonville beda jsofri u jonqos wara liema avveniment dinji ewlieni?</v>
      </c>
    </row>
    <row r="17744" ht="15.75" customHeight="1">
      <c r="A17744" s="2" t="s">
        <v>17744</v>
      </c>
      <c r="B17744" s="2" t="str">
        <f>IFERROR(__xludf.DUMMYFUNCTION("GOOGLETRANSLATE(A17744, ""en"", ""mt"")"),"Flimkien ma 'vetturi tat-triq, lokomottivi u vapuri, fuq liema vetturi ntużaw magni tal-fwar matul ir-rivoluzzjoni industrijali?")</f>
        <v>Flimkien ma 'vetturi tat-triq, lokomottivi u vapuri, fuq liema vetturi ntużaw magni tal-fwar matul ir-rivoluzzjoni industrijali?</v>
      </c>
    </row>
    <row r="17745" ht="15.75" customHeight="1">
      <c r="A17745" s="2" t="s">
        <v>17745</v>
      </c>
      <c r="B17745" s="2" t="str">
        <f>IFERROR(__xludf.DUMMYFUNCTION("GOOGLETRANSLATE(A17745, ""en"", ""mt"")"),"X’kien iddiskrimina l-Artikolu 34 fil-Actureur du Roi v Dassonville?")</f>
        <v>X’kien iddiskrimina l-Artikolu 34 fil-Actureur du Roi v Dassonville?</v>
      </c>
    </row>
    <row r="17746" ht="15.75" customHeight="1">
      <c r="A17746" s="2" t="s">
        <v>17746</v>
      </c>
      <c r="B17746" s="2" t="str">
        <f>IFERROR(__xludf.DUMMYFUNCTION("GOOGLETRANSLATE(A17746, ""en"", ""mt"")"),"Kemm mill-indulġenzi marru Ruma?")</f>
        <v>Kemm mill-indulġenzi marru Ruma?</v>
      </c>
    </row>
    <row r="17747" ht="15.75" customHeight="1">
      <c r="A17747" s="2" t="s">
        <v>17747</v>
      </c>
      <c r="B17747" s="2" t="str">
        <f>IFERROR(__xludf.DUMMYFUNCTION("GOOGLETRANSLATE(A17747, ""en"", ""mt"")"),"Imperu Mongol")</f>
        <v>Imperu Mongol</v>
      </c>
    </row>
    <row r="17748" ht="15.75" customHeight="1">
      <c r="A17748" s="2" t="s">
        <v>17748</v>
      </c>
      <c r="B17748" s="2" t="str">
        <f>IFERROR(__xludf.DUMMYFUNCTION("GOOGLETRANSLATE(A17748, ""en"", ""mt"")"),"Industrija tal-Inbid")</f>
        <v>Industrija tal-Inbid</v>
      </c>
    </row>
    <row r="17749" ht="15.75" customHeight="1">
      <c r="A17749" s="2" t="s">
        <v>17749</v>
      </c>
      <c r="B17749" s="2" t="str">
        <f>IFERROR(__xludf.DUMMYFUNCTION("GOOGLETRANSLATE(A17749, ""en"", ""mt"")"),"Sistema ta 'rappreżentazzjoni proporzjonali b'ħafna membri")</f>
        <v>Sistema ta 'rappreżentazzjoni proporzjonali b'ħafna membri</v>
      </c>
    </row>
    <row r="17750" ht="15.75" customHeight="1">
      <c r="A17750" s="2" t="s">
        <v>17750</v>
      </c>
      <c r="B17750" s="2" t="str">
        <f>IFERROR(__xludf.DUMMYFUNCTION("GOOGLETRANSLATE(A17750, ""en"", ""mt"")"),"Il-magna tal-fwar ikkontribwiet ħafna għall-iżvilupp tat-teorija termodinamika; Madankollu, l-uniċi applikazzjonijiet tat-teorija xjentifika li influwenzaw il-magna tal-fwar kienu l-kunċetti oriġinali ta 'l-użu tal-qawwa tal-fwar u tal-pressjoni atmosferi"&amp;"ka u l-għarfien tal-proprjetajiet tas-sħana u tal-fwar. Il-kejl sperimentali magħmul minn Watt fuq mudell tal-magna tal-fwar wassal għall-iżvilupp tal-kondensatur separat. Watt skopra b'mod indipendenti s-sħana moħbija, li ġiet ikkonfermata mill-iskoperta"&amp;"ur oriġinali Joseph Black, li wkoll ta parir lil Watt dwar proċeduri sperimentali. Watt kien konxju wkoll tal-bidla fil-punt tat-togħlija tal-ilma bi pressjoni. Inkella, it-titjib fil-magna nnifisha kien ta ’natura iktar mekkanika. Il-kunċetti termodinami"&amp;"ċi taċ-ċiklu ta 'Rankine taw lill-inġiniera l-fehim meħtieġ biex tikkalkula l-effiċjenza li għenet l-iżvilupp ta' bojlers moderni ta 'pressjoni għolja u temperatura u t-turbina tal-fwar.")</f>
        <v>Il-magna tal-fwar ikkontribwiet ħafna għall-iżvilupp tat-teorija termodinamika; Madankollu, l-uniċi applikazzjonijiet tat-teorija xjentifika li influwenzaw il-magna tal-fwar kienu l-kunċetti oriġinali ta 'l-użu tal-qawwa tal-fwar u tal-pressjoni atmosferika u l-għarfien tal-proprjetajiet tas-sħana u tal-fwar. Il-kejl sperimentali magħmul minn Watt fuq mudell tal-magna tal-fwar wassal għall-iżvilupp tal-kondensatur separat. Watt skopra b'mod indipendenti s-sħana moħbija, li ġiet ikkonfermata mill-iskopertaur oriġinali Joseph Black, li wkoll ta parir lil Watt dwar proċeduri sperimentali. Watt kien konxju wkoll tal-bidla fil-punt tat-togħlija tal-ilma bi pressjoni. Inkella, it-titjib fil-magna nnifisha kien ta ’natura iktar mekkanika. Il-kunċetti termodinamiċi taċ-ċiklu ta 'Rankine taw lill-inġiniera l-fehim meħtieġ biex tikkalkula l-effiċjenza li għenet l-iżvilupp ta' bojlers moderni ta 'pressjoni għolja u temperatura u t-turbina tal-fwar.</v>
      </c>
    </row>
    <row r="17751" ht="15.75" customHeight="1">
      <c r="A17751" s="2" t="s">
        <v>17751</v>
      </c>
      <c r="B17751" s="2" t="str">
        <f>IFERROR(__xludf.DUMMYFUNCTION("GOOGLETRANSLATE(A17751, ""en"", ""mt"")"),"Infezzjonijiet tal-batterjofagi")</f>
        <v>Infezzjonijiet tal-batterjofagi</v>
      </c>
    </row>
    <row r="17752" ht="15.75" customHeight="1">
      <c r="A17752" s="2" t="s">
        <v>17752</v>
      </c>
      <c r="B17752" s="2" t="str">
        <f>IFERROR(__xludf.DUMMYFUNCTION("GOOGLETRANSLATE(A17752, ""en"", ""mt"")"),"Liema lingwa tintuża biex teduka f'Wales?")</f>
        <v>Liema lingwa tintuża biex teduka f'Wales?</v>
      </c>
    </row>
    <row r="17753" ht="15.75" customHeight="1">
      <c r="A17753" s="2" t="s">
        <v>17753</v>
      </c>
      <c r="B17753" s="2" t="str">
        <f>IFERROR(__xludf.DUMMYFUNCTION("GOOGLETRANSLATE(A17753, ""en"", ""mt"")"),"il-kategorija speċjali tagħha stess bħala ""unità""")</f>
        <v>il-kategorija speċjali tagħha stess bħala "unità"</v>
      </c>
    </row>
    <row r="17754" ht="15.75" customHeight="1">
      <c r="A17754" s="2" t="s">
        <v>17754</v>
      </c>
      <c r="B17754" s="2" t="str">
        <f>IFERROR(__xludf.DUMMYFUNCTION("GOOGLETRANSLATE(A17754, ""en"", ""mt"")"),"Ir-Renu huwa l-itwal xmara fil-Ġermanja. Huwa hawn li r-Rhine jiltaqa 'ma' xi tributarji ewlenin tiegħu, bħalma huma l-Neckar, il-Main u, aktar tard, il-Moselle, li tikkontribwixxi kwittanza medja ta 'aktar minn 300 m3 / s (11,000 cu ft / s). Franza fil-g"&amp;"rigal tiskula lejn ir-Renu permezz tal-Moselle; Xmajjar iżgħar ixxotta l-vosges u l-muntanji tal-ġura. Il-biċċa l-kbira tal-Lussemburgu u parti żgħira ħafna tal-Belġju wkoll ixxotta lejn ir-Renu permezz tal-Moselle. Hekk kif tersaq lejn il-fruntiera Oland"&amp;"iża, ir-Rhine għandu rilaxx medju annwali ta '2,290 m3 / s (81,000 cu ft / s) u wisa' medja ta '400 m (1,300 ft).")</f>
        <v>Ir-Renu huwa l-itwal xmara fil-Ġermanja. Huwa hawn li r-Rhine jiltaqa 'ma' xi tributarji ewlenin tiegħu, bħalma huma l-Neckar, il-Main u, aktar tard, il-Moselle, li tikkontribwixxi kwittanza medja ta 'aktar minn 300 m3 / s (11,000 cu ft / s). Franza fil-grigal tiskula lejn ir-Renu permezz tal-Moselle; Xmajjar iżgħar ixxotta l-vosges u l-muntanji tal-ġura. Il-biċċa l-kbira tal-Lussemburgu u parti żgħira ħafna tal-Belġju wkoll ixxotta lejn ir-Renu permezz tal-Moselle. Hekk kif tersaq lejn il-fruntiera Olandiża, ir-Rhine għandu rilaxx medju annwali ta '2,290 m3 / s (81,000 cu ft / s) u wisa' medja ta '400 m (1,300 ft).</v>
      </c>
    </row>
    <row r="17755" ht="15.75" customHeight="1">
      <c r="A17755" s="2" t="s">
        <v>17755</v>
      </c>
      <c r="B17755" s="2" t="str">
        <f>IFERROR(__xludf.DUMMYFUNCTION("GOOGLETRANSLATE(A17755, ""en"", ""mt"")"),"Għal dak li Martin Luther iddedika l-attenzjoni kollha tiegħu?")</f>
        <v>Għal dak li Martin Luther iddedika l-attenzjoni kollha tiegħu?</v>
      </c>
    </row>
    <row r="17756" ht="15.75" customHeight="1">
      <c r="A17756" s="2" t="s">
        <v>17756</v>
      </c>
      <c r="B17756" s="2" t="str">
        <f>IFERROR(__xludf.DUMMYFUNCTION("GOOGLETRANSLATE(A17756, ""en"", ""mt"")"),"differenza fl-enerġija potenzjali")</f>
        <v>differenza fl-enerġija potenzjali</v>
      </c>
    </row>
    <row r="17757" ht="15.75" customHeight="1">
      <c r="A17757" s="2" t="s">
        <v>17757</v>
      </c>
      <c r="B17757" s="2" t="str">
        <f>IFERROR(__xludf.DUMMYFUNCTION("GOOGLETRANSLATE(A17757, ""en"", ""mt"")"),"Fl-1973")</f>
        <v>Fl-1973</v>
      </c>
    </row>
    <row r="17758" ht="15.75" customHeight="1">
      <c r="A17758" s="2" t="s">
        <v>17758</v>
      </c>
      <c r="B17758" s="2" t="str">
        <f>IFERROR(__xludf.DUMMYFUNCTION("GOOGLETRANSLATE(A17758, ""en"", ""mt"")"),"WKST-TV fi Youngstown")</f>
        <v>WKST-TV fi Youngstown</v>
      </c>
    </row>
    <row r="17759" ht="15.75" customHeight="1">
      <c r="A17759" s="2" t="s">
        <v>17759</v>
      </c>
      <c r="B17759" s="2" t="str">
        <f>IFERROR(__xludf.DUMMYFUNCTION("GOOGLETRANSLATE(A17759, ""en"", ""mt"")"),"Il-kleru huma membri ta 'liema grupp aktar milli ta' xi kongregazzjoni lokali?")</f>
        <v>Il-kleru huma membri ta 'liema grupp aktar milli ta' xi kongregazzjoni lokali?</v>
      </c>
    </row>
    <row r="17760" ht="15.75" customHeight="1">
      <c r="A17760" s="2" t="s">
        <v>17760</v>
      </c>
      <c r="B17760" s="2" t="str">
        <f>IFERROR(__xludf.DUMMYFUNCTION("GOOGLETRANSLATE(A17760, ""en"", ""mt"")"),"Meta l-Ewropa bil-mod bdiet tisħon mill-aħħar età tas-silġ?")</f>
        <v>Meta l-Ewropa bil-mod bdiet tisħon mill-aħħar età tas-silġ?</v>
      </c>
    </row>
    <row r="17761" ht="15.75" customHeight="1">
      <c r="A17761" s="2" t="s">
        <v>17761</v>
      </c>
      <c r="B17761" s="2" t="str">
        <f>IFERROR(__xludf.DUMMYFUNCTION("GOOGLETRANSLATE(A17761, ""en"", ""mt"")"),"Qoxra u l-ogħla porzjon riġidu tal-mantell ta 'fuq")</f>
        <v>Qoxra u l-ogħla porzjon riġidu tal-mantell ta 'fuq</v>
      </c>
    </row>
    <row r="17762" ht="15.75" customHeight="1">
      <c r="A17762" s="2" t="s">
        <v>17762</v>
      </c>
      <c r="B17762" s="2" t="str">
        <f>IFERROR(__xludf.DUMMYFUNCTION("GOOGLETRANSLATE(A17762, ""en"", ""mt"")"),"Fil-viċin, f'Ogród Saski (il-Ġnien Sassonu), it-Teatru tas-Sajf kien qed jopera mill-1870 sal-1939, u fil-perjodu ta 'bejn il-gwerra, il-kumpless tat-teatru inkluda wkoll Momus, l-ewwel kabaret letterarju ta' Varsavja, u l-melodram tat-teatru mużikali ta "&amp;"'Leon Schiller. It-Teatru Wojciech Bogusławski (1922-26), kien l-aħjar eżempju ta '""Teatru Monumentali Pollakk"". Minn nofs is-snin 1930, il-bini tat-teatru l-kbir kien fih l-Istitut tal-Arti Drammatiċi tal-Upati - l-ewwel Akkademja tal-Arti Dramatiċi mm"&amp;"exxija mill-istat, b'dipartiment tal-aġir u dipartiment li jidderieġi l-palk.")</f>
        <v>Fil-viċin, f'Ogród Saski (il-Ġnien Sassonu), it-Teatru tas-Sajf kien qed jopera mill-1870 sal-1939, u fil-perjodu ta 'bejn il-gwerra, il-kumpless tat-teatru inkluda wkoll Momus, l-ewwel kabaret letterarju ta' Varsavja, u l-melodram tat-teatru mużikali ta 'Leon Schiller. It-Teatru Wojciech Bogusławski (1922-26), kien l-aħjar eżempju ta '"Teatru Monumentali Pollakk". Minn nofs is-snin 1930, il-bini tat-teatru l-kbir kien fih l-Istitut tal-Arti Drammatiċi tal-Upati - l-ewwel Akkademja tal-Arti Dramatiċi mmexxija mill-istat, b'dipartiment tal-aġir u dipartiment li jidderieġi l-palk.</v>
      </c>
    </row>
    <row r="17763" ht="15.75" customHeight="1">
      <c r="A17763" s="2" t="s">
        <v>17763</v>
      </c>
      <c r="B17763" s="2" t="str">
        <f>IFERROR(__xludf.DUMMYFUNCTION("GOOGLETRANSLATE(A17763, ""en"", ""mt"")"),"Ottubru 2011")</f>
        <v>Ottubru 2011</v>
      </c>
    </row>
    <row r="17764" ht="15.75" customHeight="1">
      <c r="A17764" s="2" t="s">
        <v>17764</v>
      </c>
      <c r="B17764" s="2" t="str">
        <f>IFERROR(__xludf.DUMMYFUNCTION("GOOGLETRANSLATE(A17764, ""en"", ""mt"")"),"Konsiderazzjonijiet makrofiżiċi li jrendu l-forzi bħala li jirriżultaw minn medja statistika makroskopika ta 'mikrostati")</f>
        <v>Konsiderazzjonijiet makrofiżiċi li jrendu l-forzi bħala li jirriżultaw minn medja statistika makroskopika ta 'mikrostati</v>
      </c>
    </row>
    <row r="17765" ht="15.75" customHeight="1">
      <c r="A17765" s="2" t="s">
        <v>17765</v>
      </c>
      <c r="B17765" s="2" t="str">
        <f>IFERROR(__xludf.DUMMYFUNCTION("GOOGLETRANSLATE(A17765, ""en"", ""mt"")"),"River Aare")</f>
        <v>River Aare</v>
      </c>
    </row>
    <row r="17766" ht="15.75" customHeight="1">
      <c r="A17766" s="2" t="s">
        <v>17766</v>
      </c>
      <c r="B17766" s="2" t="str">
        <f>IFERROR(__xludf.DUMMYFUNCTION("GOOGLETRANSLATE(A17766, ""en"", ""mt"")"),"Liema titlu kiseb Newcastle Native Basil Hume?")</f>
        <v>Liema titlu kiseb Newcastle Native Basil Hume?</v>
      </c>
    </row>
    <row r="17767" ht="15.75" customHeight="1">
      <c r="A17767" s="2" t="s">
        <v>17767</v>
      </c>
      <c r="B17767" s="2" t="str">
        <f>IFERROR(__xludf.DUMMYFUNCTION("GOOGLETRANSLATE(A17767, ""en"", ""mt"")"),"in-nies ta 'Timucua")</f>
        <v>in-nies ta 'Timucua</v>
      </c>
    </row>
    <row r="17768" ht="15.75" customHeight="1">
      <c r="A17768" s="2" t="s">
        <v>17768</v>
      </c>
      <c r="B17768" s="2" t="str">
        <f>IFERROR(__xludf.DUMMYFUNCTION("GOOGLETRANSLATE(A17768, ""en"", ""mt"")"),"Liema rikostruzzjonijiet appoġġjaw l-informazzjoni tal-karta tal-1999?")</f>
        <v>Liema rikostruzzjonijiet appoġġjaw l-informazzjoni tal-karta tal-1999?</v>
      </c>
    </row>
    <row r="17769" ht="15.75" customHeight="1">
      <c r="A17769" s="2" t="s">
        <v>17769</v>
      </c>
      <c r="B17769" s="2" t="str">
        <f>IFERROR(__xludf.DUMMYFUNCTION("GOOGLETRANSLATE(A17769, ""en"", ""mt"")"),"Min laqat il-lasta tal-goal fuq attentat ta 'gowl fil-grawnd?")</f>
        <v>Min laqat il-lasta tal-goal fuq attentat ta 'gowl fil-grawnd?</v>
      </c>
    </row>
    <row r="17770" ht="15.75" customHeight="1">
      <c r="A17770" s="2" t="s">
        <v>17770</v>
      </c>
      <c r="B17770" s="2" t="str">
        <f>IFERROR(__xludf.DUMMYFUNCTION("GOOGLETRANSLATE(A17770, ""en"", ""mt"")"),"Artrite, u infezzjoni fil-widna")</f>
        <v>Artrite, u infezzjoni fil-widna</v>
      </c>
    </row>
    <row r="17771" ht="15.75" customHeight="1">
      <c r="A17771" s="2" t="s">
        <v>17771</v>
      </c>
      <c r="B17771" s="2" t="str">
        <f>IFERROR(__xludf.DUMMYFUNCTION("GOOGLETRANSLATE(A17771, ""en"", ""mt"")"),"Studju ta 'saffi sedimentarji")</f>
        <v>Studju ta 'saffi sedimentarji</v>
      </c>
    </row>
    <row r="17772" ht="15.75" customHeight="1">
      <c r="A17772" s="2" t="s">
        <v>17772</v>
      </c>
      <c r="B17772" s="2" t="str">
        <f>IFERROR(__xludf.DUMMYFUNCTION("GOOGLETRANSLATE(A17772, ""en"", ""mt"")"),"Magma Ġdida")</f>
        <v>Magma Ġdida</v>
      </c>
    </row>
    <row r="17773" ht="15.75" customHeight="1">
      <c r="A17773" s="2" t="s">
        <v>17773</v>
      </c>
      <c r="B17773" s="2" t="str">
        <f>IFERROR(__xludf.DUMMYFUNCTION("GOOGLETRANSLATE(A17773, ""en"", ""mt"")"),"Prinċep Frederick III")</f>
        <v>Prinċep Frederick III</v>
      </c>
    </row>
    <row r="17774" ht="15.75" customHeight="1">
      <c r="A17774" s="2" t="s">
        <v>17774</v>
      </c>
      <c r="B17774" s="2" t="str">
        <f>IFERROR(__xludf.DUMMYFUNCTION("GOOGLETRANSLATE(A17774, ""en"", ""mt"")"),"X'jista 'jagħmel il-fwar tal-egżost meta l-avveniment tal-egżost ma jkunx twil biżżejjed?")</f>
        <v>X'jista 'jagħmel il-fwar tal-egżost meta l-avveniment tal-egżost ma jkunx twil biżżejjed?</v>
      </c>
    </row>
    <row r="17775" ht="15.75" customHeight="1">
      <c r="A17775" s="2" t="s">
        <v>17775</v>
      </c>
      <c r="B17775" s="2" t="str">
        <f>IFERROR(__xludf.DUMMYFUNCTION("GOOGLETRANSLATE(A17775, ""en"", ""mt"")"),"F'liema data Henry Kissinger innegozja irtirar ta 'truppi Iżraeljani mill-Peniżola tas-Sinaj?")</f>
        <v>F'liema data Henry Kissinger innegozja irtirar ta 'truppi Iżraeljani mill-Peniżola tas-Sinaj?</v>
      </c>
    </row>
    <row r="17776" ht="15.75" customHeight="1">
      <c r="A17776" s="2" t="s">
        <v>17776</v>
      </c>
      <c r="B17776" s="2" t="str">
        <f>IFERROR(__xludf.DUMMYFUNCTION("GOOGLETRANSLATE(A17776, ""en"", ""mt"")"),"Hemm 3 kumpaniji ewlenin tax-xarabanks li jipprovdu servizzi fil-belt; Arriva fit-tramuntana tal-lvant, mur fit-tramuntana tal-lvant u stagecoach fit-tramuntana tal-lvant. Hemm żewġ stazzjonijiet tax-xarabank ewlenin fil-belt: Haymarket Bus Station u Eldo"&amp;"n Square Bus Station. Arriva topera prinċipalment mill-istazzjon tax-xarabank Haymarket li tipprovdi l-maġġoranza tas-servizzi fit-tramuntana ta 'Newcastle, Northumberland u North Tyneside. Go-Ahead jopera mill-istazzjon tax-xarabank Eldon Square, li jipp"&amp;"rovdi l-maġġoranza tas-servizzi fin-Nofsinhar tax-Xmara f'Gateshead, South Tyneside, Sunderland, u l-Kontea ta 'Durham. Stagecoach huwa l-operatur primarju fil-belt kif suppost, b'servizzi bejn il-belt kemm bejn it-truf tal-Punent kif ukoll tal-Lvant perm"&amp;"ezz taċ-ċentru tal-belt b'xi servizzi jestendu għall-Metrocentre, Killingworth, Wallsend u Ponteland. Is-servizzi tax-xarabank fi Newcastle upon Tyne u l-boroughs tal-madwar parti taż-żona ta 'Tyne u Wear huma kkoordinati minn Nexus, l-eżekuttiv tat-trasp"&amp;"ort tal-passiġġieri Tyne u Wear.")</f>
        <v>Hemm 3 kumpaniji ewlenin tax-xarabanks li jipprovdu servizzi fil-belt; Arriva fit-tramuntana tal-lvant, mur fit-tramuntana tal-lvant u stagecoach fit-tramuntana tal-lvant. Hemm żewġ stazzjonijiet tax-xarabank ewlenin fil-belt: Haymarket Bus Station u Eldon Square Bus Station. Arriva topera prinċipalment mill-istazzjon tax-xarabank Haymarket li tipprovdi l-maġġoranza tas-servizzi fit-tramuntana ta 'Newcastle, Northumberland u North Tyneside. Go-Ahead jopera mill-istazzjon tax-xarabank Eldon Square, li jipprovdi l-maġġoranza tas-servizzi fin-Nofsinhar tax-Xmara f'Gateshead, South Tyneside, Sunderland, u l-Kontea ta 'Durham. Stagecoach huwa l-operatur primarju fil-belt kif suppost, b'servizzi bejn il-belt kemm bejn it-truf tal-Punent kif ukoll tal-Lvant permezz taċ-ċentru tal-belt b'xi servizzi jestendu għall-Metrocentre, Killingworth, Wallsend u Ponteland. Is-servizzi tax-xarabank fi Newcastle upon Tyne u l-boroughs tal-madwar parti taż-żona ta 'Tyne u Wear huma kkoordinati minn Nexus, l-eżekuttiv tat-trasport tal-passiġġieri Tyne u Wear.</v>
      </c>
    </row>
    <row r="17777" ht="15.75" customHeight="1">
      <c r="A17777" s="2" t="s">
        <v>17777</v>
      </c>
      <c r="B17777" s="2" t="str">
        <f>IFERROR(__xludf.DUMMYFUNCTION("GOOGLETRANSLATE(A17777, ""en"", ""mt"")"),"Diċembru 1963")</f>
        <v>Diċembru 1963</v>
      </c>
    </row>
    <row r="17778" ht="15.75" customHeight="1">
      <c r="A17778" s="2" t="s">
        <v>17778</v>
      </c>
      <c r="B17778" s="2" t="str">
        <f>IFERROR(__xludf.DUMMYFUNCTION("GOOGLETRANSLATE(A17778, ""en"", ""mt"")"),"Fama Eugene")</f>
        <v>Fama Eugene</v>
      </c>
    </row>
    <row r="17779" ht="15.75" customHeight="1">
      <c r="A17779" s="2" t="s">
        <v>17779</v>
      </c>
      <c r="B17779" s="2" t="str">
        <f>IFERROR(__xludf.DUMMYFUNCTION("GOOGLETRANSLATE(A17779, ""en"", ""mt"")"),"Naddafhom")</f>
        <v>Naddafhom</v>
      </c>
    </row>
    <row r="17780" ht="15.75" customHeight="1">
      <c r="A17780" s="2" t="s">
        <v>17780</v>
      </c>
      <c r="B17780" s="2" t="str">
        <f>IFERROR(__xludf.DUMMYFUNCTION("GOOGLETRANSLATE(A17780, ""en"", ""mt"")"),"Mozzjoni Rotary")</f>
        <v>Mozzjoni Rotary</v>
      </c>
    </row>
    <row r="17781" ht="15.75" customHeight="1">
      <c r="A17781" s="2" t="s">
        <v>17781</v>
      </c>
      <c r="B17781" s="2" t="str">
        <f>IFERROR(__xludf.DUMMYFUNCTION("GOOGLETRANSLATE(A17781, ""en"", ""mt"")"),"il-honeyeater elmu")</f>
        <v>il-honeyeater elmu</v>
      </c>
    </row>
    <row r="17782" ht="15.75" customHeight="1">
      <c r="A17782" s="2" t="s">
        <v>17782</v>
      </c>
      <c r="B17782" s="2" t="str">
        <f>IFERROR(__xludf.DUMMYFUNCTION("GOOGLETRANSLATE(A17782, ""en"", ""mt"")"),"Wara t-Tieni Gwerra Dinjija, taħt reġim komunista mwaqqaf mis-Sovjetiċi li qed jirbħu, inbdiet il-kampanja ""Bricks for Varsav Belt, bħall-Palazz tal-Kultura u x-Xjenza, rigal mill-Unjoni Sovjetika. Il-belt reġgħet bdiet ir-rwol tagħha bħala l-kapitali ta"&amp;"l-Polonja u ċ-ċentru tal-ħajja politika u ekonomika tal-pajjiż. Ħafna mit-toroq storiċi, il-bini, u l-knejjes ġew restawrati għall-forma oriġinali tagħhom. Fl-1980, il-Belt il-Qadima Storika ta 'Varsavja kienet miktuba fil-lista tal-Wirt Dinji tal-UNESCO.")</f>
        <v>Wara t-Tieni Gwerra Dinjija, taħt reġim komunista mwaqqaf mis-Sovjetiċi li qed jirbħu, inbdiet il-kampanja "Bricks for Varsav Belt, bħall-Palazz tal-Kultura u x-Xjenza, rigal mill-Unjoni Sovjetika. Il-belt reġgħet bdiet ir-rwol tagħha bħala l-kapitali tal-Polonja u ċ-ċentru tal-ħajja politika u ekonomika tal-pajjiż. Ħafna mit-toroq storiċi, il-bini, u l-knejjes ġew restawrati għall-forma oriġinali tagħhom. Fl-1980, il-Belt il-Qadima Storika ta 'Varsavja kienet miktuba fil-lista tal-Wirt Dinji tal-UNESCO.</v>
      </c>
    </row>
    <row r="17783" ht="15.75" customHeight="1">
      <c r="A17783" s="2" t="s">
        <v>17783</v>
      </c>
      <c r="B17783" s="2" t="str">
        <f>IFERROR(__xludf.DUMMYFUNCTION("GOOGLETRANSLATE(A17783, ""en"", ""mt"")"),"Għal għaxart ijiem")</f>
        <v>Għal għaxart ijiem</v>
      </c>
    </row>
    <row r="17784" ht="15.75" customHeight="1">
      <c r="A17784" s="2" t="s">
        <v>17784</v>
      </c>
      <c r="B17784" s="2" t="str">
        <f>IFERROR(__xludf.DUMMYFUNCTION("GOOGLETRANSLATE(A17784, ""en"", ""mt"")"),"antiġeni virali")</f>
        <v>antiġeni virali</v>
      </c>
    </row>
    <row r="17785" ht="15.75" customHeight="1">
      <c r="A17785" s="2" t="s">
        <v>17785</v>
      </c>
      <c r="B17785" s="2" t="str">
        <f>IFERROR(__xludf.DUMMYFUNCTION("GOOGLETRANSLATE(A17785, ""en"", ""mt"")"),"Mapep tas-seklu dsatax")</f>
        <v>Mapep tas-seklu dsatax</v>
      </c>
    </row>
    <row r="17786" ht="15.75" customHeight="1">
      <c r="A17786" s="2" t="s">
        <v>17786</v>
      </c>
      <c r="B17786" s="2" t="str">
        <f>IFERROR(__xludf.DUMMYFUNCTION("GOOGLETRANSLATE(A17786, ""en"", ""mt"")"),"Nuda")</f>
        <v>Nuda</v>
      </c>
    </row>
    <row r="17787" ht="15.75" customHeight="1">
      <c r="A17787" s="2" t="s">
        <v>17787</v>
      </c>
      <c r="B17787" s="2" t="str">
        <f>IFERROR(__xludf.DUMMYFUNCTION("GOOGLETRANSLATE(A17787, ""en"", ""mt"")"),"F'liema pajjiż tal-Lvant Nofsani huwa l-isem popolari ta 'Genghis Khan għal tfal maskili?")</f>
        <v>F'liema pajjiż tal-Lvant Nofsani huwa l-isem popolari ta 'Genghis Khan għal tfal maskili?</v>
      </c>
    </row>
    <row r="17788" ht="15.75" customHeight="1">
      <c r="A17788" s="2" t="s">
        <v>17788</v>
      </c>
      <c r="B17788" s="2" t="str">
        <f>IFERROR(__xludf.DUMMYFUNCTION("GOOGLETRANSLATE(A17788, ""en"", ""mt"")"),"Zhongdu")</f>
        <v>Zhongdu</v>
      </c>
    </row>
    <row r="17789" ht="15.75" customHeight="1">
      <c r="A17789" s="2" t="s">
        <v>17789</v>
      </c>
      <c r="B17789" s="2" t="str">
        <f>IFERROR(__xludf.DUMMYFUNCTION("GOOGLETRANSLATE(A17789, ""en"", ""mt"")"),"X'inhi l-firxa ta 'fuq ta' miżati annwali għal studenti li mhumiex abbord fi skejjel pubbliċi Ingliżi?")</f>
        <v>X'inhi l-firxa ta 'fuq ta' miżati annwali għal studenti li mhumiex abbord fi skejjel pubbliċi Ingliżi?</v>
      </c>
    </row>
    <row r="17790" ht="15.75" customHeight="1">
      <c r="A17790" s="2" t="s">
        <v>17790</v>
      </c>
      <c r="B17790" s="2" t="str">
        <f>IFERROR(__xludf.DUMMYFUNCTION("GOOGLETRANSLATE(A17790, ""en"", ""mt"")"),"Vidjows tad-Dar l-iktar Funniest ta 'l-Amerika")</f>
        <v>Vidjows tad-Dar l-iktar Funniest ta 'l-Amerika</v>
      </c>
    </row>
    <row r="17791" ht="15.75" customHeight="1">
      <c r="A17791" s="2" t="s">
        <v>17791</v>
      </c>
      <c r="B17791" s="2" t="str">
        <f>IFERROR(__xludf.DUMMYFUNCTION("GOOGLETRANSLATE(A17791, ""en"", ""mt"")"),"Kemm tunnellata ta 'pjanti ħajjin hemm fil-foresta tropikali?")</f>
        <v>Kemm tunnellata ta 'pjanti ħajjin hemm fil-foresta tropikali?</v>
      </c>
    </row>
    <row r="17792" ht="15.75" customHeight="1">
      <c r="A17792" s="2" t="s">
        <v>17792</v>
      </c>
      <c r="B17792" s="2" t="str">
        <f>IFERROR(__xludf.DUMMYFUNCTION("GOOGLETRANSLATE(A17792, ""en"", ""mt"")"),"X'ħin l-MSPs normalment jiddeċiedu dwar il-mozzjonijiet u l-emendi minn dak in-nhar?")</f>
        <v>X'ħin l-MSPs normalment jiddeċiedu dwar il-mozzjonijiet u l-emendi minn dak in-nhar?</v>
      </c>
    </row>
    <row r="17793" ht="15.75" customHeight="1">
      <c r="A17793" s="2" t="s">
        <v>17793</v>
      </c>
      <c r="B17793" s="2" t="str">
        <f>IFERROR(__xludf.DUMMYFUNCTION("GOOGLETRANSLATE(A17793, ""en"", ""mt"")"),"Benazir Bhutto")</f>
        <v>Benazir Bhutto</v>
      </c>
    </row>
    <row r="17794" ht="15.75" customHeight="1">
      <c r="A17794" s="2" t="s">
        <v>17794</v>
      </c>
      <c r="B17794" s="2" t="str">
        <f>IFERROR(__xludf.DUMMYFUNCTION("GOOGLETRANSLATE(A17794, ""en"", ""mt"")"),"Min ried lil Iżrael jirtira mill-fruntiera tiegħu?")</f>
        <v>Min ried lil Iżrael jirtira mill-fruntiera tiegħu?</v>
      </c>
    </row>
    <row r="17795" ht="15.75" customHeight="1">
      <c r="A17795" s="2" t="s">
        <v>17795</v>
      </c>
      <c r="B17795" s="2" t="str">
        <f>IFERROR(__xludf.DUMMYFUNCTION("GOOGLETRANSLATE(A17795, ""en"", ""mt"")"),"Tort ta 'San Andreas")</f>
        <v>Tort ta 'San Andreas</v>
      </c>
    </row>
    <row r="17796" ht="15.75" customHeight="1">
      <c r="A17796" s="2" t="s">
        <v>17796</v>
      </c>
      <c r="B17796" s="2" t="str">
        <f>IFERROR(__xludf.DUMMYFUNCTION("GOOGLETRANSLATE(A17796, ""en"", ""mt"")"),"fil-punent tal-muntanji Appalaċi")</f>
        <v>fil-punent tal-muntanji Appalaċi</v>
      </c>
    </row>
    <row r="17797" ht="15.75" customHeight="1">
      <c r="A17797" s="2" t="s">
        <v>17797</v>
      </c>
      <c r="B17797" s="2" t="str">
        <f>IFERROR(__xludf.DUMMYFUNCTION("GOOGLETRANSLATE(A17797, ""en"", ""mt"")"),"UV")</f>
        <v>UV</v>
      </c>
    </row>
    <row r="17798" ht="15.75" customHeight="1">
      <c r="A17798" s="2" t="s">
        <v>17798</v>
      </c>
      <c r="B17798" s="2" t="str">
        <f>IFERROR(__xludf.DUMMYFUNCTION("GOOGLETRANSLATE(A17798, ""en"", ""mt"")"),"Loudoun, amministratur kapaċi iżda kmandant kawt tal-qasam, ippjana operazzjoni waħda kbira għall-1757: attakk fuq il-kapital ġdid ta 'Franza, Quebec. Meta ħalla forza mdaqqsa fil-Fort William Henry biex jaljena lil Montcalm, huwa beda jorganizza għall-is"&amp;"pedizzjoni lejn il-Quebec. Imbagħad ġie ordnat minn William Pitt, is-Segretarju tal-Istat responsabbli għall-Kolonji, biex jattakka l-ewwel Louisbourg. Beset minn dewmien ta 'kull tip, l-ispedizzjoni kienet finalment lesta biex tbaħħar minn Halifax, in-No"&amp;"va Scotia fil-bidu ta' Awwissu. Sadanittant il-vapuri Franċiżi ħarbu mill-imblokk Ingliż tal-kosta Franċiża, u flotta li qabżet lill-Brittaniku wieħed jistenna l-loudoun fi Louisbourg. Quddiem din is-saħħa, Loudoun irritorna fi New York fost aħbarijiet li"&amp;" seħħ massakru fil-Fort William Henry.")</f>
        <v>Loudoun, amministratur kapaċi iżda kmandant kawt tal-qasam, ippjana operazzjoni waħda kbira għall-1757: attakk fuq il-kapital ġdid ta 'Franza, Quebec. Meta ħalla forza mdaqqsa fil-Fort William Henry biex jaljena lil Montcalm, huwa beda jorganizza għall-ispedizzjoni lejn il-Quebec. Imbagħad ġie ordnat minn William Pitt, is-Segretarju tal-Istat responsabbli għall-Kolonji, biex jattakka l-ewwel Louisbourg. Beset minn dewmien ta 'kull tip, l-ispedizzjoni kienet finalment lesta biex tbaħħar minn Halifax, in-Nova Scotia fil-bidu ta' Awwissu. Sadanittant il-vapuri Franċiżi ħarbu mill-imblokk Ingliż tal-kosta Franċiża, u flotta li qabżet lill-Brittaniku wieħed jistenna l-loudoun fi Louisbourg. Quddiem din is-saħħa, Loudoun irritorna fi New York fost aħbarijiet li seħħ massakru fil-Fort William Henry.</v>
      </c>
    </row>
    <row r="17799" ht="15.75" customHeight="1">
      <c r="A17799" s="2" t="s">
        <v>17799</v>
      </c>
      <c r="B17799" s="2" t="str">
        <f>IFERROR(__xludf.DUMMYFUNCTION("GOOGLETRANSLATE(A17799, ""en"", ""mt"")"),"WBT (1110 AM)")</f>
        <v>WBT (1110 AM)</v>
      </c>
    </row>
    <row r="17800" ht="15.75" customHeight="1">
      <c r="A17800" s="2" t="s">
        <v>17800</v>
      </c>
      <c r="B17800" s="2" t="str">
        <f>IFERROR(__xludf.DUMMYFUNCTION("GOOGLETRANSLATE(A17800, ""en"", ""mt"")"),"Fuq dak li l-ħabib ta ’Luther tort id-dwejjaq u d-dħul tiegħu fil-kjostru?")</f>
        <v>Fuq dak li l-ħabib ta ’Luther tort id-dwejjaq u d-dħul tiegħu fil-kjostru?</v>
      </c>
    </row>
    <row r="17801" ht="15.75" customHeight="1">
      <c r="A17801" s="2" t="s">
        <v>17801</v>
      </c>
      <c r="B17801" s="2" t="str">
        <f>IFERROR(__xludf.DUMMYFUNCTION("GOOGLETRANSLATE(A17801, ""en"", ""mt"")"),"Anarkisti")</f>
        <v>Anarkisti</v>
      </c>
    </row>
    <row r="17802" ht="15.75" customHeight="1">
      <c r="A17802" s="2" t="s">
        <v>17802</v>
      </c>
      <c r="B17802" s="2" t="str">
        <f>IFERROR(__xludf.DUMMYFUNCTION("GOOGLETRANSLATE(A17802, ""en"", ""mt"")"),"Il-fatt li mhux il-fossili kollha jistgħu jinstabu globalment fl-istess ħin jikkawża li l-prinċipju jsir?")</f>
        <v>Il-fatt li mhux il-fossili kollha jistgħu jinstabu globalment fl-istess ħin jikkawża li l-prinċipju jsir?</v>
      </c>
    </row>
    <row r="17803" ht="15.75" customHeight="1">
      <c r="A17803" s="2" t="s">
        <v>17803</v>
      </c>
      <c r="B17803" s="2" t="str">
        <f>IFERROR(__xludf.DUMMYFUNCTION("GOOGLETRANSLATE(A17803, ""en"", ""mt"")"),"X'inhu importanti ħafna għat-tkabbir tal-ekonomija?")</f>
        <v>X'inhu importanti ħafna għat-tkabbir tal-ekonomija?</v>
      </c>
    </row>
    <row r="17804" ht="15.75" customHeight="1">
      <c r="A17804" s="2" t="s">
        <v>17804</v>
      </c>
      <c r="B17804" s="2" t="str">
        <f>IFERROR(__xludf.DUMMYFUNCTION("GOOGLETRANSLATE(A17804, ""en"", ""mt"")"),"Il-biċċa l-kbira tal-Griegi bikrija lanqas biss ikkunsidraw 1 bħala numru, u għalhekk ma setgħux iqisuh bħala prim. Mill-Medju Evu u r-Rinaxximent ħafna matematiċi kienu jinkludu 1 bħala l-ewwel numru ewlieni. F’nofs is-seklu 18, Christian Goldbach elenka"&amp;" 1 bħala l-ewwel prim fil-famuża korrispondenza tiegħu ma ’Leonhard Euler - li ma qabilx. Fis-seklu 19 ħafna matematiċi għadhom ikkunsidraw in-numru 1 bħala prim. Pereżempju, il-lista ta 'primes ta' Derrick Norman Lehmer sa 10,006,721, stampata mill-ġdid "&amp;"sa l-1956, bdiet b'1 bħala l-ewwel prim tagħha. Henri Lebesgue jingħad li huwa l-aħħar matematiku professjonali li jċempel 1 Prime. Sal-bidu tas-seklu 20, il-matematiċi bdew jaċċettaw li 1 mhuwiex numru ewlieni, iżda jifforma l-kategorija speċjali tiegħu "&amp;"stess bħala ""unità"".")</f>
        <v>Il-biċċa l-kbira tal-Griegi bikrija lanqas biss ikkunsidraw 1 bħala numru, u għalhekk ma setgħux iqisuh bħala prim. Mill-Medju Evu u r-Rinaxximent ħafna matematiċi kienu jinkludu 1 bħala l-ewwel numru ewlieni. F’nofs is-seklu 18, Christian Goldbach elenka 1 bħala l-ewwel prim fil-famuża korrispondenza tiegħu ma ’Leonhard Euler - li ma qabilx. Fis-seklu 19 ħafna matematiċi għadhom ikkunsidraw in-numru 1 bħala prim. Pereżempju, il-lista ta 'primes ta' Derrick Norman Lehmer sa 10,006,721, stampata mill-ġdid sa l-1956, bdiet b'1 bħala l-ewwel prim tagħha. Henri Lebesgue jingħad li huwa l-aħħar matematiku professjonali li jċempel 1 Prime. Sal-bidu tas-seklu 20, il-matematiċi bdew jaċċettaw li 1 mhuwiex numru ewlieni, iżda jifforma l-kategorija speċjali tiegħu stess bħala "unità".</v>
      </c>
    </row>
    <row r="17805" ht="15.75" customHeight="1">
      <c r="A17805" s="2" t="s">
        <v>17805</v>
      </c>
      <c r="B17805" s="2" t="str">
        <f>IFERROR(__xludf.DUMMYFUNCTION("GOOGLETRANSLATE(A17805, ""en"", ""mt"")"),"għanijiet li jirċievi mis-superjur tiegħu.")</f>
        <v>għanijiet li jirċievi mis-superjur tiegħu.</v>
      </c>
    </row>
    <row r="17806" ht="15.75" customHeight="1">
      <c r="A17806" s="2" t="s">
        <v>17806</v>
      </c>
      <c r="B17806" s="2" t="str">
        <f>IFERROR(__xludf.DUMMYFUNCTION("GOOGLETRANSLATE(A17806, ""en"", ""mt"")"),"tibgħat email")</f>
        <v>tibgħat email</v>
      </c>
    </row>
    <row r="17807" ht="15.75" customHeight="1">
      <c r="A17807" s="2" t="s">
        <v>17807</v>
      </c>
      <c r="B17807" s="2" t="str">
        <f>IFERROR(__xludf.DUMMYFUNCTION("GOOGLETRANSLATE(A17807, ""en"", ""mt"")"),"Dorothy Skerrit")</f>
        <v>Dorothy Skerrit</v>
      </c>
    </row>
    <row r="17808" ht="15.75" customHeight="1">
      <c r="A17808" s="2" t="s">
        <v>17808</v>
      </c>
      <c r="B17808" s="2" t="str">
        <f>IFERROR(__xludf.DUMMYFUNCTION("GOOGLETRANSLATE(A17808, ""en"", ""mt"")"),"Studjużi oħra jsostnu li l-kliem ta ’Luther issellfu liema element għal suspett Kristjan tal-Lhud?")</f>
        <v>Studjużi oħra jsostnu li l-kliem ta ’Luther issellfu liema element għal suspett Kristjan tal-Lhud?</v>
      </c>
    </row>
    <row r="17809" ht="15.75" customHeight="1">
      <c r="A17809" s="2" t="s">
        <v>17809</v>
      </c>
      <c r="B17809" s="2" t="str">
        <f>IFERROR(__xludf.DUMMYFUNCTION("GOOGLETRANSLATE(A17809, ""en"", ""mt"")"),"Għaliex it-temperatura tista 'taffettwa t-teorija tat-tixrid tal-pesta?")</f>
        <v>Għaliex it-temperatura tista 'taffettwa t-teorija tat-tixrid tal-pesta?</v>
      </c>
    </row>
    <row r="17810" ht="15.75" customHeight="1">
      <c r="A17810" s="2" t="s">
        <v>17810</v>
      </c>
      <c r="B17810" s="2" t="str">
        <f>IFERROR(__xludf.DUMMYFUNCTION("GOOGLETRANSLATE(A17810, ""en"", ""mt"")"),"Accountants")</f>
        <v>Accountants</v>
      </c>
    </row>
    <row r="17811" ht="15.75" customHeight="1">
      <c r="A17811" s="2" t="s">
        <v>17811</v>
      </c>
      <c r="B17811" s="2" t="str">
        <f>IFERROR(__xludf.DUMMYFUNCTION("GOOGLETRANSLATE(A17811, ""en"", ""mt"")"),"Il-Walt Disney Company hija sid ta 'parti minn liema servizz ta' streaming VOD?")</f>
        <v>Il-Walt Disney Company hija sid ta 'parti minn liema servizz ta' streaming VOD?</v>
      </c>
    </row>
    <row r="17812" ht="15.75" customHeight="1">
      <c r="A17812" s="2" t="s">
        <v>17812</v>
      </c>
      <c r="B17812" s="2" t="str">
        <f>IFERROR(__xludf.DUMMYFUNCTION("GOOGLETRANSLATE(A17812, ""en"", ""mt"")"),"Xkupilji mekkaniċi")</f>
        <v>Xkupilji mekkaniċi</v>
      </c>
    </row>
    <row r="17813" ht="15.75" customHeight="1">
      <c r="A17813" s="2" t="s">
        <v>17813</v>
      </c>
      <c r="B17813" s="2" t="str">
        <f>IFERROR(__xludf.DUMMYFUNCTION("GOOGLETRANSLATE(A17813, ""en"", ""mt"")"),"2017")</f>
        <v>2017</v>
      </c>
    </row>
    <row r="17814" ht="15.75" customHeight="1">
      <c r="A17814" s="2" t="s">
        <v>17814</v>
      </c>
      <c r="B17814" s="2" t="str">
        <f>IFERROR(__xludf.DUMMYFUNCTION("GOOGLETRANSLATE(A17814, ""en"", ""mt"")"),"""Tim tat-Tiger""")</f>
        <v>"Tim tat-Tiger"</v>
      </c>
    </row>
    <row r="17815" ht="15.75" customHeight="1">
      <c r="A17815" s="2" t="s">
        <v>17815</v>
      </c>
      <c r="B17815" s="2" t="str">
        <f>IFERROR(__xludf.DUMMYFUNCTION("GOOGLETRANSLATE(A17815, ""en"", ""mt"")"),"Semmi waħda mill-kawżi ta 'l-immunodefiċjenza.")</f>
        <v>Semmi waħda mill-kawżi ta 'l-immunodefiċjenza.</v>
      </c>
    </row>
    <row r="17816" ht="15.75" customHeight="1">
      <c r="A17816" s="2" t="s">
        <v>17816</v>
      </c>
      <c r="B17816" s="2" t="str">
        <f>IFERROR(__xludf.DUMMYFUNCTION("GOOGLETRANSLATE(A17816, ""en"", ""mt"")"),"Il-bord tal-IPCC huwa magħmul minn rappreżentanti maħtura minn gvernijiet u organizzazzjonijiet. Il-parteċipazzjoni ta 'delegati b'kompetenza xierqa hija mħeġġa. Is-sessjonijiet plenarji tal-gruppi ta 'ħidma tal-IPCC u tal-IPCC huma miżmuma fil-livell tar"&amp;"-rappreżentanti tal-gvern. Organizzazzjonijiet mhux governattivi u intergovernattivi jistgħu jitħallew jattendu bħala osservaturi. Is-sessjonijiet tal-Uffiċċju tal-IPCC, workshops, esperti u laqgħat tal-awturi ewlenin huma bi stedina biss. L-attendenza fi"&amp;"l-laqgħa tal-2003 kienet tinkludi 350 uffiċjal tal-gvern u esperti fil-bidla fil-klima. Wara ċ-ċerimonji tal-ftuħ, saru sessjonijiet plenarji magħluqa. Ir-rapport tal-laqgħa jiddikjara li kien hemm 322 persuna li attendew f’sessjonijiet b’madwar sebgħa u "&amp;"tmienja tal-parteċipanti li huma minn organizzazzjonijiet governattivi.")</f>
        <v>Il-bord tal-IPCC huwa magħmul minn rappreżentanti maħtura minn gvernijiet u organizzazzjonijiet. Il-parteċipazzjoni ta 'delegati b'kompetenza xierqa hija mħeġġa. Is-sessjonijiet plenarji tal-gruppi ta 'ħidma tal-IPCC u tal-IPCC huma miżmuma fil-livell tar-rappreżentanti tal-gvern. Organizzazzjonijiet mhux governattivi u intergovernattivi jistgħu jitħallew jattendu bħala osservaturi. Is-sessjonijiet tal-Uffiċċju tal-IPCC, workshops, esperti u laqgħat tal-awturi ewlenin huma bi stedina biss. L-attendenza fil-laqgħa tal-2003 kienet tinkludi 350 uffiċjal tal-gvern u esperti fil-bidla fil-klima. Wara ċ-ċerimonji tal-ftuħ, saru sessjonijiet plenarji magħluqa. Ir-rapport tal-laqgħa jiddikjara li kien hemm 322 persuna li attendew f’sessjonijiet b’madwar sebgħa u tmienja tal-parteċipanti li huma minn organizzazzjonijiet governattivi.</v>
      </c>
    </row>
    <row r="17817" ht="15.75" customHeight="1">
      <c r="A17817" s="2" t="s">
        <v>17817</v>
      </c>
      <c r="B17817" s="2" t="str">
        <f>IFERROR(__xludf.DUMMYFUNCTION("GOOGLETRANSLATE(A17817, ""en"", ""mt"")"),"Din kienet l-ewwel darba li t-tim ta ’Carolina ffaċċja x’inhu fil-post staġun?")</f>
        <v>Din kienet l-ewwel darba li t-tim ta ’Carolina ffaċċja x’inhu fil-post staġun?</v>
      </c>
    </row>
    <row r="17818" ht="15.75" customHeight="1">
      <c r="A17818" s="2" t="s">
        <v>17818</v>
      </c>
      <c r="B17818" s="2" t="str">
        <f>IFERROR(__xludf.DUMMYFUNCTION("GOOGLETRANSLATE(A17818, ""en"", ""mt"")"),"Liema mill-faċilitajiet ta 'produzzjoni ewlenin ta' ABC jinsabu f'Hollywood, CA?")</f>
        <v>Liema mill-faċilitajiet ta 'produzzjoni ewlenin ta' ABC jinsabu f'Hollywood, CA?</v>
      </c>
    </row>
    <row r="17819" ht="15.75" customHeight="1">
      <c r="A17819" s="2" t="s">
        <v>17819</v>
      </c>
      <c r="B17819" s="2" t="str">
        <f>IFERROR(__xludf.DUMMYFUNCTION("GOOGLETRANSLATE(A17819, ""en"", ""mt"")"),"X'inhuma s-sorsi sekondarji tal-liġi primarja?")</f>
        <v>X'inhuma s-sorsi sekondarji tal-liġi primarja?</v>
      </c>
    </row>
    <row r="17820" ht="15.75" customHeight="1">
      <c r="A17820" s="2" t="s">
        <v>17820</v>
      </c>
      <c r="B17820" s="2" t="str">
        <f>IFERROR(__xludf.DUMMYFUNCTION("GOOGLETRANSLATE(A17820, ""en"", ""mt"")"),"Liema sena mmutu tnejn minn ulied Ghengis Khan u Börte?")</f>
        <v>Liema sena mmutu tnejn minn ulied Ghengis Khan u Börte?</v>
      </c>
    </row>
    <row r="17821" ht="15.75" customHeight="1">
      <c r="A17821" s="2" t="s">
        <v>17821</v>
      </c>
      <c r="B17821" s="2" t="str">
        <f>IFERROR(__xludf.DUMMYFUNCTION("GOOGLETRANSLATE(A17821, ""en"", ""mt"")"),"It-tabella li ġejja tagħti l-akbar primes magħrufa tat-tipi msemmija. Uħud minn dawn il-primes instabu bl-użu ta ’kompjuters distribwiti. Fl-2009, il-proġett kbir ta 'tfittxija ta' l-Internet Mersenne ingħata premju ta '$ 100,000 għall-ewwel skoperta ta' "&amp;"prim b'mill-inqas 10 miljun ċifra. Il-Fondazzjoni Electronic Frontier toffri wkoll $ 150,000 u $ 250,000 għal primes b'mill-inqas 100 miljun ċifra u 1 biljun ċifra, rispettivament. Uħud mill-ikbar primes mhux magħrufa li għandhom xi forma partikolari (jiġ"&amp;"ifieri, l-ebda formula sempliċi bħal dik ta 'Mersenne Primes) ma nstabu billi ħadu biċċa ta' dejta binarja semi-random, li jibdluha f'numru N, li timmultiplikaha billi 256k għal xi numru sħiħ pożittiv K, u tfittxija għal primes possibbli fl-intervall [256"&amp;"KN + 1, 256K (n + 1) - 1]. [Ċitazzjoni meħtieġa]")</f>
        <v>It-tabella li ġejja tagħti l-akbar primes magħrufa tat-tipi msemmija. Uħud minn dawn il-primes instabu bl-użu ta ’kompjuters distribwiti. Fl-2009, il-proġett kbir ta 'tfittxija ta' l-Internet Mersenne ingħata premju ta '$ 100,000 għall-ewwel skoperta ta' prim b'mill-inqas 10 miljun ċifra. Il-Fondazzjoni Electronic Frontier toffri wkoll $ 150,000 u $ 250,000 għal primes b'mill-inqas 100 miljun ċifra u 1 biljun ċifra, rispettivament. Uħud mill-ikbar primes mhux magħrufa li għandhom xi forma partikolari (jiġifieri, l-ebda formula sempliċi bħal dik ta 'Mersenne Primes) ma nstabu billi ħadu biċċa ta' dejta binarja semi-random, li jibdluha f'numru N, li timmultiplikaha billi 256k għal xi numru sħiħ pożittiv K, u tfittxija għal primes possibbli fl-intervall [256KN + 1, 256K (n + 1) - 1]. [Ċitazzjoni meħtieġa]</v>
      </c>
    </row>
    <row r="17822" ht="15.75" customHeight="1">
      <c r="A17822" s="2" t="s">
        <v>17822</v>
      </c>
      <c r="B17822" s="2" t="str">
        <f>IFERROR(__xludf.DUMMYFUNCTION("GOOGLETRANSLATE(A17822, ""en"", ""mt"")"),"Min appella biex tiġi maħluqa aġenzija biex tkun iffokata biss biex timmina l-ideoloġija tal-Iżlamiżmu?")</f>
        <v>Min appella biex tiġi maħluqa aġenzija biex tkun iffokata biss biex timmina l-ideoloġija tal-Iżlamiżmu?</v>
      </c>
    </row>
    <row r="17823" ht="15.75" customHeight="1">
      <c r="A17823" s="2" t="s">
        <v>17823</v>
      </c>
      <c r="B17823" s="2" t="str">
        <f>IFERROR(__xludf.DUMMYFUNCTION("GOOGLETRANSLATE(A17823, ""en"", ""mt"")"),"X'inhu t-titlu uffiċjali tar-ragħaj lokali?")</f>
        <v>X'inhu t-titlu uffiċjali tar-ragħaj lokali?</v>
      </c>
    </row>
    <row r="17824" ht="15.75" customHeight="1">
      <c r="A17824" s="2" t="s">
        <v>17824</v>
      </c>
      <c r="B17824" s="2" t="str">
        <f>IFERROR(__xludf.DUMMYFUNCTION("GOOGLETRANSLATE(A17824, ""en"", ""mt"")"),"75%")</f>
        <v>75%</v>
      </c>
    </row>
    <row r="17825" ht="15.75" customHeight="1">
      <c r="A17825" s="2" t="s">
        <v>17825</v>
      </c>
      <c r="B17825" s="2" t="str">
        <f>IFERROR(__xludf.DUMMYFUNCTION("GOOGLETRANSLATE(A17825, ""en"", ""mt"")"),"Imperatur Ningzong")</f>
        <v>Imperatur Ningzong</v>
      </c>
    </row>
    <row r="17826" ht="15.75" customHeight="1">
      <c r="A17826" s="2" t="s">
        <v>17826</v>
      </c>
      <c r="B17826" s="2" t="str">
        <f>IFERROR(__xludf.DUMMYFUNCTION("GOOGLETRANSLATE(A17826, ""en"", ""mt"")"),"Slayton")</f>
        <v>Slayton</v>
      </c>
    </row>
    <row r="17827" ht="15.75" customHeight="1">
      <c r="A17827" s="2" t="s">
        <v>17827</v>
      </c>
      <c r="B17827" s="2" t="str">
        <f>IFERROR(__xludf.DUMMYFUNCTION("GOOGLETRANSLATE(A17827, ""en"", ""mt"")"),"Fl-1952, wara pressjoni min-neputi ta 'Tesla, Sava Kosanović, il-propjetà kollha ta' Tesla ġiet mibgħuta lejn Belgrad fi 80 bagolli mmarkati N.T. Fl-1957, is-segretarja ta 'Kosanović Charlotte Muzar ittrasportat l-irmied ta' Tesla mill-Istati Uniti għal B"&amp;"elgrad. L-irmied huma murija fi sfera miksija bid-deheb fuq pedestall tal-irħam fil-Mużew Nikola Tesla.")</f>
        <v>Fl-1952, wara pressjoni min-neputi ta 'Tesla, Sava Kosanović, il-propjetà kollha ta' Tesla ġiet mibgħuta lejn Belgrad fi 80 bagolli mmarkati N.T. Fl-1957, is-segretarja ta 'Kosanović Charlotte Muzar ittrasportat l-irmied ta' Tesla mill-Istati Uniti għal Belgrad. L-irmied huma murija fi sfera miksija bid-deheb fuq pedestall tal-irħam fil-Mużew Nikola Tesla.</v>
      </c>
    </row>
    <row r="17828" ht="15.75" customHeight="1">
      <c r="A17828" s="2" t="s">
        <v>17828</v>
      </c>
      <c r="B17828" s="2" t="str">
        <f>IFERROR(__xludf.DUMMYFUNCTION("GOOGLETRANSLATE(A17828, ""en"", ""mt"")"),"ħamrija, xmajjar, pajsaġġi, u glaċieri")</f>
        <v>ħamrija, xmajjar, pajsaġġi, u glaċieri</v>
      </c>
    </row>
    <row r="17829" ht="15.75" customHeight="1">
      <c r="A17829" s="2" t="s">
        <v>17829</v>
      </c>
      <c r="B17829" s="2" t="str">
        <f>IFERROR(__xludf.DUMMYFUNCTION("GOOGLETRANSLATE(A17829, ""en"", ""mt"")"),"Fil-bidu tal-gwerra, l-ebda truppi tal-Armata Regolari Franċiżi ma kienu stazzjonati fl-Amerika ta ’Fuq, u ftit truppi Ingliżi. Ġdid Franza ġie difiż minn madwar 3,000 truppa de la Marine, kumpaniji ta 'regolari kolonjali (li wħud minnhom kellhom esperjen"&amp;"za ta' ġlieda kontra l-imsaġar sinifikanti). Il-gvern kolonjali rrekluta l-appoġġ tal-milizja meta jkun meħtieġ. Il-biċċa l-kbira tal-kolonji Ingliżi ġabru kumpaniji tal-milizja lokali, ġeneralment imħarrġa morda u disponibbli biss għal perjodi qosra, bie"&amp;"x jittrattaw theddid indiġenu, iżda ma kellhom l-ebda forzi permanenti.")</f>
        <v>Fil-bidu tal-gwerra, l-ebda truppi tal-Armata Regolari Franċiżi ma kienu stazzjonati fl-Amerika ta ’Fuq, u ftit truppi Ingliżi. Ġdid Franza ġie difiż minn madwar 3,000 truppa de la Marine, kumpaniji ta 'regolari kolonjali (li wħud minnhom kellhom esperjenza ta' ġlieda kontra l-imsaġar sinifikanti). Il-gvern kolonjali rrekluta l-appoġġ tal-milizja meta jkun meħtieġ. Il-biċċa l-kbira tal-kolonji Ingliżi ġabru kumpaniji tal-milizja lokali, ġeneralment imħarrġa morda u disponibbli biss għal perjodi qosra, biex jittrattaw theddid indiġenu, iżda ma kellhom l-ebda forzi permanenti.</v>
      </c>
    </row>
    <row r="17830" ht="15.75" customHeight="1">
      <c r="A17830" s="2" t="s">
        <v>17830</v>
      </c>
      <c r="B17830" s="2" t="str">
        <f>IFERROR(__xludf.DUMMYFUNCTION("GOOGLETRANSLATE(A17830, ""en"", ""mt"")"),"Fl-istess ħin il-Mongoli importaw lill-Musulmani tal-Asja Ċentrali biex iservu bħala amministraturi fiċ-Ċina, il-Mongoli bagħtu wkoll lil Han Ċiniżi u Khitans miċ-Ċina biex iservu bħala amministraturi fuq il-popolazzjoni Musulmana f'Bukhara fl-Asja Ċentra"&amp;"li, billi jużaw barranin biex inaqqsu l-poter tal-lokal popli taż-żewġ artijiet. Iċ-Ċiniżi Han ġew imċaqalqa lejn żoni tal-Asja Ċentrali bħal Besh Baliq, AlmalIQ, u Samarqand mill-Mongoli fejn ħadmu bħala artiġjani u bdiewa. Alans ġew ingaġġati fil-forzi "&amp;"tal-Mongolja b'unità waħda msejħa ""Guard Alan Dritt"" li kienet ikkombinata ma 'suldati ""reċentement ċeduti"", Mongoli, u suldati Ċiniżi stazzjonati fl-inħawi ta' l-eks renju ta 'Qocho u f'Besh Balikh il-Mongoli stabbilixxew Ċiniż Kolonja militari mmexx"&amp;"ija mill-Ġeneral Ċiniż Qi Kongzhi (Ch'i Kung-Chih). Wara l-konkwista tal-Mongolja tal-Asja Ċentrali minn Genghis Khan, il-barranin ġew magħżula bħala amministraturi u ko-ġestjoni ma 'Ċiniżi u Qara-Khitays (Khitans) ta' ġonna u għelieqi f'Samarqand tqiegħd"&amp;"u fuq il-Musulmani bħala rekwiżit peress li l-Musulmani ma tħallewx jimmaniġġjaw mingħajrhom. Il-Gvernatur maħtur tal-Mongoljan ta ’Samarqand kien Qara-Khitay (Khitan), kellu t-titlu taishi, familjari mal-kultura Ċiniża li ismu kien Ahai")</f>
        <v>Fl-istess ħin il-Mongoli importaw lill-Musulmani tal-Asja Ċentrali biex iservu bħala amministraturi fiċ-Ċina, il-Mongoli bagħtu wkoll lil Han Ċiniżi u Khitans miċ-Ċina biex iservu bħala amministraturi fuq il-popolazzjoni Musulmana f'Bukhara fl-Asja Ċentrali, billi jużaw barranin biex inaqqsu l-poter tal-lokal popli taż-żewġ artijiet. Iċ-Ċiniżi Han ġew imċaqalqa lejn żoni tal-Asja Ċentrali bħal Besh Baliq, AlmalIQ, u Samarqand mill-Mongoli fejn ħadmu bħala artiġjani u bdiewa. Alans ġew ingaġġati fil-forzi tal-Mongolja b'unità waħda msejħa "Guard Alan Dritt" li kienet ikkombinata ma 'suldati "reċentement ċeduti", Mongoli, u suldati Ċiniżi stazzjonati fl-inħawi ta' l-eks renju ta 'Qocho u f'Besh Balikh il-Mongoli stabbilixxew Ċiniż Kolonja militari mmexxija mill-Ġeneral Ċiniż Qi Kongzhi (Ch'i Kung-Chih). Wara l-konkwista tal-Mongolja tal-Asja Ċentrali minn Genghis Khan, il-barranin ġew magħżula bħala amministraturi u ko-ġestjoni ma 'Ċiniżi u Qara-Khitays (Khitans) ta' ġonna u għelieqi f'Samarqand tqiegħdu fuq il-Musulmani bħala rekwiżit peress li l-Musulmani ma tħallewx jimmaniġġjaw mingħajrhom. Il-Gvernatur maħtur tal-Mongoljan ta ’Samarqand kien Qara-Khitay (Khitan), kellu t-titlu taishi, familjari mal-kultura Ċiniża li ismu kien Ahai</v>
      </c>
    </row>
    <row r="17831" ht="15.75" customHeight="1">
      <c r="A17831" s="2" t="s">
        <v>17831</v>
      </c>
      <c r="B17831" s="2" t="str">
        <f>IFERROR(__xludf.DUMMYFUNCTION("GOOGLETRANSLATE(A17831, ""en"", ""mt"")"),"Outlaws")</f>
        <v>Outlaws</v>
      </c>
    </row>
    <row r="17832" ht="15.75" customHeight="1">
      <c r="A17832" s="2" t="s">
        <v>17832</v>
      </c>
      <c r="B17832" s="2" t="str">
        <f>IFERROR(__xludf.DUMMYFUNCTION("GOOGLETRANSLATE(A17832, ""en"", ""mt"")"),"Meta miet Ronald Robinson?")</f>
        <v>Meta miet Ronald Robinson?</v>
      </c>
    </row>
    <row r="17833" ht="15.75" customHeight="1">
      <c r="A17833" s="2" t="s">
        <v>17833</v>
      </c>
      <c r="B17833" s="2" t="str">
        <f>IFERROR(__xludf.DUMMYFUNCTION("GOOGLETRANSLATE(A17833, ""en"", ""mt"")"),"Ed Mangan")</f>
        <v>Ed Mangan</v>
      </c>
    </row>
    <row r="17834" ht="15.75" customHeight="1">
      <c r="A17834" s="2" t="s">
        <v>17834</v>
      </c>
      <c r="B17834" s="2" t="str">
        <f>IFERROR(__xludf.DUMMYFUNCTION("GOOGLETRANSLATE(A17834, ""en"", ""mt"")"),"Fejn in-nazzjonalisti Ċiniżi mexxew il-mausoleum 'il bogħod milli javvanzaw il-forzi Komunisti Ċiniżi?")</f>
        <v>Fejn in-nazzjonalisti Ċiniżi mexxew il-mausoleum 'il bogħod milli javvanzaw il-forzi Komunisti Ċiniżi?</v>
      </c>
    </row>
    <row r="17835" ht="15.75" customHeight="1">
      <c r="A17835" s="2" t="s">
        <v>17835</v>
      </c>
      <c r="B17835" s="2" t="str">
        <f>IFERROR(__xludf.DUMMYFUNCTION("GOOGLETRANSLATE(A17835, ""en"", ""mt"")"),"Liema stazzjon beda juri lit-Tabib Min wara li ngħalaq il-kanal SF?")</f>
        <v>Liema stazzjon beda juri lit-Tabib Min wara li ngħalaq il-kanal SF?</v>
      </c>
    </row>
    <row r="17836" ht="15.75" customHeight="1">
      <c r="A17836" s="2" t="s">
        <v>17836</v>
      </c>
      <c r="B17836" s="2" t="str">
        <f>IFERROR(__xludf.DUMMYFUNCTION("GOOGLETRANSLATE(A17836, ""en"", ""mt"")"),"F'liema belt tinsab WBT-FM?")</f>
        <v>F'liema belt tinsab WBT-FM?</v>
      </c>
    </row>
    <row r="17837" ht="15.75" customHeight="1">
      <c r="A17837" s="2" t="s">
        <v>17837</v>
      </c>
      <c r="B17837" s="2" t="str">
        <f>IFERROR(__xludf.DUMMYFUNCTION("GOOGLETRANSLATE(A17837, ""en"", ""mt"")"),"Chur")</f>
        <v>Chur</v>
      </c>
    </row>
    <row r="17838" ht="15.75" customHeight="1">
      <c r="A17838" s="2" t="s">
        <v>17838</v>
      </c>
      <c r="B17838" s="2" t="str">
        <f>IFERROR(__xludf.DUMMYFUNCTION("GOOGLETRANSLATE(A17838, ""en"", ""mt"")"),"Meta kien l-aħħar użu mix-xogħol ta 'Bach tax-Xogħol ta' Luther?")</f>
        <v>Meta kien l-aħħar użu mix-xogħol ta 'Bach tax-Xogħol ta' Luther?</v>
      </c>
    </row>
    <row r="17839" ht="15.75" customHeight="1">
      <c r="A17839" s="2" t="s">
        <v>17839</v>
      </c>
      <c r="B17839" s="2" t="str">
        <f>IFERROR(__xludf.DUMMYFUNCTION("GOOGLETRANSLATE(A17839, ""en"", ""mt"")"),"Sal-1544 x'għandu jittratta Luther f 'saħħtu?")</f>
        <v>Sal-1544 x'għandu jittratta Luther f 'saħħtu?</v>
      </c>
    </row>
    <row r="17840" ht="15.75" customHeight="1">
      <c r="A17840" s="2" t="s">
        <v>17840</v>
      </c>
      <c r="B17840" s="2" t="str">
        <f>IFERROR(__xludf.DUMMYFUNCTION("GOOGLETRANSLATE(A17840, ""en"", ""mt"")"),"It-terminu jista 'jkun relatat ma' liema politikant mill-Isvizzera?")</f>
        <v>It-terminu jista 'jkun relatat ma' liema politikant mill-Isvizzera?</v>
      </c>
    </row>
    <row r="17841" ht="15.75" customHeight="1">
      <c r="A17841" s="2" t="s">
        <v>17841</v>
      </c>
      <c r="B17841" s="2" t="str">
        <f>IFERROR(__xludf.DUMMYFUNCTION("GOOGLETRANSLATE(A17841, ""en"", ""mt"")"),"Radju 5 live")</f>
        <v>Radju 5 live</v>
      </c>
    </row>
    <row r="17842" ht="15.75" customHeight="1">
      <c r="A17842" s="2" t="s">
        <v>17842</v>
      </c>
      <c r="B17842" s="2" t="str">
        <f>IFERROR(__xludf.DUMMYFUNCTION("GOOGLETRANSLATE(A17842, ""en"", ""mt"")"),"indirizzi")</f>
        <v>indirizzi</v>
      </c>
    </row>
    <row r="17843" ht="15.75" customHeight="1">
      <c r="A17843" s="2" t="s">
        <v>17843</v>
      </c>
      <c r="B17843" s="2" t="str">
        <f>IFERROR(__xludf.DUMMYFUNCTION("GOOGLETRANSLATE(A17843, ""en"", ""mt"")"),"Liema direzzjoni joħroġ żewġ terzi tar-Renu barra l-Ġermanja?")</f>
        <v>Liema direzzjoni joħroġ żewġ terzi tar-Renu barra l-Ġermanja?</v>
      </c>
    </row>
    <row r="17844" ht="15.75" customHeight="1">
      <c r="A17844" s="2" t="s">
        <v>17844</v>
      </c>
      <c r="B17844" s="2" t="str">
        <f>IFERROR(__xludf.DUMMYFUNCTION("GOOGLETRANSLATE(A17844, ""en"", ""mt"")"),"Input kontinwu tas-sediment fil-lag")</f>
        <v>Input kontinwu tas-sediment fil-lag</v>
      </c>
    </row>
    <row r="17845" ht="15.75" customHeight="1">
      <c r="A17845" s="2" t="s">
        <v>17845</v>
      </c>
      <c r="B17845" s="2" t="str">
        <f>IFERROR(__xludf.DUMMYFUNCTION("GOOGLETRANSLATE(A17845, ""en"", ""mt"")"),"Liema żewġ fatturi ġeneralment jistgħu jżidu s-salarju ta 'għalliem?")</f>
        <v>Liema żewġ fatturi ġeneralment jistgħu jżidu s-salarju ta 'għalliem?</v>
      </c>
    </row>
    <row r="17846" ht="15.75" customHeight="1">
      <c r="A17846" s="2" t="s">
        <v>17846</v>
      </c>
      <c r="B17846" s="2" t="str">
        <f>IFERROR(__xludf.DUMMYFUNCTION("GOOGLETRANSLATE(A17846, ""en"", ""mt"")"),"X'pożizzjoni kellha Luther f'Wittenberg?")</f>
        <v>X'pożizzjoni kellha Luther f'Wittenberg?</v>
      </c>
    </row>
    <row r="17847" ht="15.75" customHeight="1">
      <c r="A17847" s="2" t="s">
        <v>17847</v>
      </c>
      <c r="B17847" s="2" t="str">
        <f>IFERROR(__xludf.DUMMYFUNCTION("GOOGLETRANSLATE(A17847, ""en"", ""mt"")"),"L-isem Ingliż ""Normans"" ġej mill-kliem Franċiż Normans / Normanz, plural ta 'Normand Normant, modern Franċiż, li huwa nnifsu misluf minn Nortmann Old Low Franconian ""Northman"" jew direttament minn Old Norveġja Norðmaðr, Latinizzat differenti bħala Nor"&amp;"tmannus, Normannus, jew Nordmannus (irreġistrat fil-Latin medjevali, 9 seklu) biex ifisser ""Norseman, Viking"".")</f>
        <v>L-isem Ingliż "Normans" ġej mill-kliem Franċiż Normans / Normanz, plural ta 'Normand Normant, modern Franċiż, li huwa nnifsu misluf minn Nortmann Old Low Franconian "Northman" jew direttament minn Old Norveġja Norðmaðr, Latinizzat differenti bħala Nortmannus, Normannus, jew Nordmannus (irreġistrat fil-Latin medjevali, 9 seklu) biex ifisser "Norseman, Viking".</v>
      </c>
    </row>
    <row r="17848" ht="15.75" customHeight="1">
      <c r="A17848" s="2" t="s">
        <v>17848</v>
      </c>
      <c r="B17848" s="2" t="str">
        <f>IFERROR(__xludf.DUMMYFUNCTION("GOOGLETRANSLATE(A17848, ""en"", ""mt"")"),"Min qabbad lil Tesla meta mar jgħix New York?")</f>
        <v>Min qabbad lil Tesla meta mar jgħix New York?</v>
      </c>
    </row>
    <row r="17849" ht="15.75" customHeight="1">
      <c r="A17849" s="2" t="s">
        <v>17849</v>
      </c>
      <c r="B17849" s="2" t="str">
        <f>IFERROR(__xludf.DUMMYFUNCTION("GOOGLETRANSLATE(A17849, ""en"", ""mt"")"),"is-saħħa marret għall-agħar")</f>
        <v>is-saħħa marret għall-agħar</v>
      </c>
    </row>
    <row r="17850" ht="15.75" customHeight="1">
      <c r="A17850" s="2" t="s">
        <v>17850</v>
      </c>
      <c r="B17850" s="2" t="str">
        <f>IFERROR(__xludf.DUMMYFUNCTION("GOOGLETRANSLATE(A17850, ""en"", ""mt"")"),"268 U.S. 510 (1925)")</f>
        <v>268 U.S. 510 (1925)</v>
      </c>
    </row>
    <row r="17851" ht="15.75" customHeight="1">
      <c r="A17851" s="2" t="s">
        <v>17851</v>
      </c>
      <c r="B17851" s="2" t="str">
        <f>IFERROR(__xludf.DUMMYFUNCTION("GOOGLETRANSLATE(A17851, ""en"", ""mt"")"),"Xi fisser Luther Luther fisser l-istudju tal-liġi?")</f>
        <v>Xi fisser Luther Luther fisser l-istudju tal-liġi?</v>
      </c>
    </row>
    <row r="17852" ht="15.75" customHeight="1">
      <c r="A17852" s="2" t="s">
        <v>17852</v>
      </c>
      <c r="B17852" s="2" t="str">
        <f>IFERROR(__xludf.DUMMYFUNCTION("GOOGLETRANSLATE(A17852, ""en"", ""mt"")"),"Inerzja rotazzjonali")</f>
        <v>Inerzja rotazzjonali</v>
      </c>
    </row>
    <row r="17853" ht="15.75" customHeight="1">
      <c r="A17853" s="2" t="s">
        <v>17853</v>
      </c>
      <c r="B17853" s="2" t="str">
        <f>IFERROR(__xludf.DUMMYFUNCTION("GOOGLETRANSLATE(A17853, ""en"", ""mt"")"),"korporali")</f>
        <v>korporali</v>
      </c>
    </row>
    <row r="17854" ht="15.75" customHeight="1">
      <c r="A17854" s="2" t="s">
        <v>17854</v>
      </c>
      <c r="B17854" s="2" t="str">
        <f>IFERROR(__xludf.DUMMYFUNCTION("GOOGLETRANSLATE(A17854, ""en"", ""mt"")"),"Għal min kienet maħsuba din il-massa ġdida?")</f>
        <v>Għal min kienet maħsuba din il-massa ġdida?</v>
      </c>
    </row>
    <row r="17855" ht="15.75" customHeight="1">
      <c r="A17855" s="2" t="s">
        <v>17855</v>
      </c>
      <c r="B17855" s="2" t="str">
        <f>IFERROR(__xludf.DUMMYFUNCTION("GOOGLETRANSLATE(A17855, ""en"", ""mt"")"),"X'inhu żżid ir-rati ta 'intraprenditorija fil-livell individwali?")</f>
        <v>X'inhu żżid ir-rati ta 'intraprenditorija fil-livell individwali?</v>
      </c>
    </row>
    <row r="17856" ht="15.75" customHeight="1">
      <c r="A17856" s="2" t="s">
        <v>17856</v>
      </c>
      <c r="B17856" s="2" t="str">
        <f>IFERROR(__xludf.DUMMYFUNCTION("GOOGLETRANSLATE(A17856, ""en"", ""mt"")"),"Richard Allen u Absalom Jones saru l-ewwel Amerikani Afrikani ordnati mill-Knisja Metodista. Huma kienu liċenzjati mill-Knisja ta ’San Ġorġ fl-1784. Tliet snin wara, jipprotestaw is-segregazzjoni razzjali fis-servizzi ta’ qima, Allen mexxa ħafna mill-memb"&amp;"ri s-suwed barra minn San Ġorġ; Eventwalment huma waqqfu l-omm Bethel A.M.E. Il-Knisja u d-Denominazzjoni Episkopali Metodista Afrikana. Absalom Jones sar saċerdot Episkopali. Fl-1836, il-kantina tal-knisja ġiet skavata biex tagħmel spazju għal skola tal-"&amp;"Ħadd. Fis-snin 1920 każ tal-qorti salva lill-knisja milli titwaqqa 'biex tagħmel triq għall-Benjamin Franklin Bridge. Il-każ irriżulta li l-pont jiġi rilokat. St Georges storiku jilqa ’l-viżitaturi u huwa dar għall-arkivji u mużew dwar il-metodiżmu.")</f>
        <v>Richard Allen u Absalom Jones saru l-ewwel Amerikani Afrikani ordnati mill-Knisja Metodista. Huma kienu liċenzjati mill-Knisja ta ’San Ġorġ fl-1784. Tliet snin wara, jipprotestaw is-segregazzjoni razzjali fis-servizzi ta’ qima, Allen mexxa ħafna mill-membri s-suwed barra minn San Ġorġ; Eventwalment huma waqqfu l-omm Bethel A.M.E. Il-Knisja u d-Denominazzjoni Episkopali Metodista Afrikana. Absalom Jones sar saċerdot Episkopali. Fl-1836, il-kantina tal-knisja ġiet skavata biex tagħmel spazju għal skola tal-Ħadd. Fis-snin 1920 każ tal-qorti salva lill-knisja milli titwaqqa 'biex tagħmel triq għall-Benjamin Franklin Bridge. Il-każ irriżulta li l-pont jiġi rilokat. St Georges storiku jilqa ’l-viżitaturi u huwa dar għall-arkivji u mużew dwar il-metodiżmu.</v>
      </c>
    </row>
    <row r="17857" ht="15.75" customHeight="1">
      <c r="A17857" s="2" t="s">
        <v>17857</v>
      </c>
      <c r="B17857" s="2" t="str">
        <f>IFERROR(__xludf.DUMMYFUNCTION("GOOGLETRANSLATE(A17857, ""en"", ""mt"")"),"Is-Sibt, 23 ta ’Novembru 1963")</f>
        <v>Is-Sibt, 23 ta ’Novembru 1963</v>
      </c>
    </row>
    <row r="17858" ht="15.75" customHeight="1">
      <c r="A17858" s="2" t="s">
        <v>17858</v>
      </c>
      <c r="B17858" s="2" t="str">
        <f>IFERROR(__xludf.DUMMYFUNCTION("GOOGLETRANSLATE(A17858, ""en"", ""mt"")"),"Il-50 sena tiegħu fl-1906")</f>
        <v>Il-50 sena tiegħu fl-1906</v>
      </c>
    </row>
    <row r="17859" ht="15.75" customHeight="1">
      <c r="A17859" s="2" t="s">
        <v>17859</v>
      </c>
      <c r="B17859" s="2" t="str">
        <f>IFERROR(__xludf.DUMMYFUNCTION("GOOGLETRANSLATE(A17859, ""en"", ""mt"")"),"Alumni prominenti oħra jinkludu l-antropologi David Graeber u Donald Johanson, li huwa l-aktar magħruf għall-iskoperta tal-fossili ta 'australopithecine femminili ta' hominid magħruf bħala ""Lucy"" fir-reġjun tat-trijanglu 'l bogħod, il-psikologu John B. "&amp;"Watson, psikologu Amerikan li stabbilixxa l-iskola psikoloġika tal-kompitiżmu , Teoriku tal-Komunikazzjoni Harold Innis, Grandmaster taċ-Ċess Samuel Reshevsky, u Scholar Internazzjonali tar-Relazzjonijiet Internazzjonali Konservattivi u Koordinatur tal-Wh"&amp;"ite House għall-Ippjanar tas-Sigurtà għall-Kunsill tas-Sigurtà Nazzjonali Samuel P. Huntington.")</f>
        <v>Alumni prominenti oħra jinkludu l-antropologi David Graeber u Donald Johanson, li huwa l-aktar magħruf għall-iskoperta tal-fossili ta 'australopithecine femminili ta' hominid magħruf bħala "Lucy" fir-reġjun tat-trijanglu 'l bogħod, il-psikologu John B. Watson, psikologu Amerikan li stabbilixxa l-iskola psikoloġika tal-kompitiżmu , Teoriku tal-Komunikazzjoni Harold Innis, Grandmaster taċ-Ċess Samuel Reshevsky, u Scholar Internazzjonali tar-Relazzjonijiet Internazzjonali Konservattivi u Koordinatur tal-White House għall-Ippjanar tas-Sigurtà għall-Kunsill tas-Sigurtà Nazzjonali Samuel P. Huntington.</v>
      </c>
    </row>
    <row r="17860" ht="15.75" customHeight="1">
      <c r="A17860" s="2" t="s">
        <v>17860</v>
      </c>
      <c r="B17860" s="2" t="str">
        <f>IFERROR(__xludf.DUMMYFUNCTION("GOOGLETRANSLATE(A17860, ""en"", ""mt"")"),"28 ta ’Frar 2008")</f>
        <v>28 ta ’Frar 2008</v>
      </c>
    </row>
    <row r="17861" ht="15.75" customHeight="1">
      <c r="A17861" s="2" t="s">
        <v>17861</v>
      </c>
      <c r="B17861" s="2" t="str">
        <f>IFERROR(__xludf.DUMMYFUNCTION("GOOGLETRANSLATE(A17861, ""en"", ""mt"")"),"Seklu 5")</f>
        <v>Seklu 5</v>
      </c>
    </row>
    <row r="17862" ht="15.75" customHeight="1">
      <c r="A17862" s="2" t="s">
        <v>17862</v>
      </c>
      <c r="B17862" s="2" t="str">
        <f>IFERROR(__xludf.DUMMYFUNCTION("GOOGLETRANSLATE(A17862, ""en"", ""mt"")"),"Meta s-seba 'knejjes Protestanti qablu mal-politika Nażista li ġiegħlu lill-Lhud jilbsu baned tad-driegħ isfar?")</f>
        <v>Meta s-seba 'knejjes Protestanti qablu mal-politika Nażista li ġiegħlu lill-Lhud jilbsu baned tad-driegħ isfar?</v>
      </c>
    </row>
    <row r="17863" ht="15.75" customHeight="1">
      <c r="A17863" s="2" t="s">
        <v>17863</v>
      </c>
      <c r="B17863" s="2" t="str">
        <f>IFERROR(__xludf.DUMMYFUNCTION("GOOGLETRANSLATE(A17863, ""en"", ""mt"")"),"università jew kulleġġ")</f>
        <v>università jew kulleġġ</v>
      </c>
    </row>
    <row r="17864" ht="15.75" customHeight="1">
      <c r="A17864" s="2" t="s">
        <v>17864</v>
      </c>
      <c r="B17864" s="2" t="str">
        <f>IFERROR(__xludf.DUMMYFUNCTION("GOOGLETRANSLATE(A17864, ""en"", ""mt"")"),"Ergäzungsschulen")</f>
        <v>Ergäzungsschulen</v>
      </c>
    </row>
    <row r="17865" ht="15.75" customHeight="1">
      <c r="A17865" s="2" t="s">
        <v>17865</v>
      </c>
      <c r="B17865" s="2" t="str">
        <f>IFERROR(__xludf.DUMMYFUNCTION("GOOGLETRANSLATE(A17865, ""en"", ""mt"")"),"Kemm stazzjonijiet ABC kellhom ftehim ta 'affiljazzjoni fl-2015?")</f>
        <v>Kemm stazzjonijiet ABC kellhom ftehim ta 'affiljazzjoni fl-2015?</v>
      </c>
    </row>
    <row r="17866" ht="15.75" customHeight="1">
      <c r="A17866" s="2" t="s">
        <v>17866</v>
      </c>
      <c r="B17866" s="2" t="str">
        <f>IFERROR(__xludf.DUMMYFUNCTION("GOOGLETRANSLATE(A17866, ""en"", ""mt"")"),"mibgħuta sitt reġimenti lil Franza Ġdida")</f>
        <v>mibgħuta sitt reġimenti lil Franza Ġdida</v>
      </c>
    </row>
    <row r="17867" ht="15.75" customHeight="1">
      <c r="A17867" s="2" t="s">
        <v>17867</v>
      </c>
      <c r="B17867" s="2" t="str">
        <f>IFERROR(__xludf.DUMMYFUNCTION("GOOGLETRANSLATE(A17867, ""en"", ""mt"")"),"L-10 u l-11-il seklu")</f>
        <v>L-10 u l-11-il seklu</v>
      </c>
    </row>
    <row r="17868" ht="15.75" customHeight="1">
      <c r="A17868" s="2" t="s">
        <v>17868</v>
      </c>
      <c r="B17868" s="2" t="str">
        <f>IFERROR(__xludf.DUMMYFUNCTION("GOOGLETRANSLATE(A17868, ""en"", ""mt"")"),"Abu al-Qasim al-Zahrawi")</f>
        <v>Abu al-Qasim al-Zahrawi</v>
      </c>
    </row>
    <row r="17869" ht="15.75" customHeight="1">
      <c r="A17869" s="2" t="s">
        <v>17869</v>
      </c>
      <c r="B17869" s="2" t="str">
        <f>IFERROR(__xludf.DUMMYFUNCTION("GOOGLETRANSLATE(A17869, ""en"", ""mt"")"),"F'magna kompost b'erba 'ċilindri, f'liema grad kienu l-pistuni individwali bilanċjati?")</f>
        <v>F'magna kompost b'erba 'ċilindri, f'liema grad kienu l-pistuni individwali bilanċjati?</v>
      </c>
    </row>
    <row r="17870" ht="15.75" customHeight="1">
      <c r="A17870" s="2" t="s">
        <v>17870</v>
      </c>
      <c r="B17870" s="2" t="str">
        <f>IFERROR(__xludf.DUMMYFUNCTION("GOOGLETRANSLATE(A17870, ""en"", ""mt"")"),"twettaq riċerka u lanqas tissorvelja d-dejta relatata mal-klima")</f>
        <v>twettaq riċerka u lanqas tissorvelja d-dejta relatata mal-klima</v>
      </c>
    </row>
    <row r="17871" ht="15.75" customHeight="1">
      <c r="A17871" s="2" t="s">
        <v>17871</v>
      </c>
      <c r="B17871" s="2" t="str">
        <f>IFERROR(__xludf.DUMMYFUNCTION("GOOGLETRANSLATE(A17871, ""en"", ""mt"")"),"żieda fil-livelli tad-dħul tal-proprjetà")</f>
        <v>żieda fil-livelli tad-dħul tal-proprjetà</v>
      </c>
    </row>
    <row r="17872" ht="15.75" customHeight="1">
      <c r="A17872" s="2" t="s">
        <v>17872</v>
      </c>
      <c r="B17872" s="2" t="str">
        <f>IFERROR(__xludf.DUMMYFUNCTION("GOOGLETRANSLATE(A17872, ""en"", ""mt"")"),"1998")</f>
        <v>1998</v>
      </c>
    </row>
    <row r="17873" ht="15.75" customHeight="1">
      <c r="A17873" s="2" t="s">
        <v>17873</v>
      </c>
      <c r="B17873" s="2" t="str">
        <f>IFERROR(__xludf.DUMMYFUNCTION("GOOGLETRANSLATE(A17873, ""en"", ""mt"")"),"Kif jissejjaħ ir-Rhine bil-Franċiż?")</f>
        <v>Kif jissejjaħ ir-Rhine bil-Franċiż?</v>
      </c>
    </row>
    <row r="17874" ht="15.75" customHeight="1">
      <c r="A17874" s="2" t="s">
        <v>17874</v>
      </c>
      <c r="B17874" s="2" t="str">
        <f>IFERROR(__xludf.DUMMYFUNCTION("GOOGLETRANSLATE(A17874, ""en"", ""mt"")"),"għaxar miljun")</f>
        <v>għaxar miljun</v>
      </c>
    </row>
    <row r="17875" ht="15.75" customHeight="1">
      <c r="A17875" s="2" t="s">
        <v>17875</v>
      </c>
      <c r="B17875" s="2" t="str">
        <f>IFERROR(__xludf.DUMMYFUNCTION("GOOGLETRANSLATE(A17875, ""en"", ""mt"")"),"forma ta 'weraq")</f>
        <v>forma ta 'weraq</v>
      </c>
    </row>
    <row r="17876" ht="15.75" customHeight="1">
      <c r="A17876" s="2" t="s">
        <v>17876</v>
      </c>
      <c r="B17876" s="2" t="str">
        <f>IFERROR(__xludf.DUMMYFUNCTION("GOOGLETRANSLATE(A17876, ""en"", ""mt"")"),"22,338,618")</f>
        <v>22,338,618</v>
      </c>
    </row>
    <row r="17877" ht="15.75" customHeight="1">
      <c r="A17877" s="2" t="s">
        <v>17877</v>
      </c>
      <c r="B17877" s="2" t="str">
        <f>IFERROR(__xludf.DUMMYFUNCTION("GOOGLETRANSLATE(A17877, ""en"", ""mt"")"),"Madwar 11.5 pulzier")</f>
        <v>Madwar 11.5 pulzier</v>
      </c>
    </row>
    <row r="17878" ht="15.75" customHeight="1">
      <c r="A17878" s="2" t="s">
        <v>17878</v>
      </c>
      <c r="B17878" s="2" t="str">
        <f>IFERROR(__xludf.DUMMYFUNCTION("GOOGLETRANSLATE(A17878, ""en"", ""mt"")"),"Min jista 'jinforza l-liġi tal-Unjoni Ewropea meta l-istati membri jipprovdu drittijiet inqas?")</f>
        <v>Min jista 'jinforza l-liġi tal-Unjoni Ewropea meta l-istati membri jipprovdu drittijiet inqas?</v>
      </c>
    </row>
    <row r="17879" ht="15.75" customHeight="1">
      <c r="A17879" s="2" t="s">
        <v>17879</v>
      </c>
      <c r="B17879" s="2" t="str">
        <f>IFERROR(__xludf.DUMMYFUNCTION("GOOGLETRANSLATE(A17879, ""en"", ""mt"")"),"detrimentali")</f>
        <v>detrimentali</v>
      </c>
    </row>
    <row r="17880" ht="15.75" customHeight="1">
      <c r="A17880" s="2" t="s">
        <v>17880</v>
      </c>
      <c r="B17880" s="2" t="str">
        <f>IFERROR(__xludf.DUMMYFUNCTION("GOOGLETRANSLATE(A17880, ""en"", ""mt"")"),"nar")</f>
        <v>nar</v>
      </c>
    </row>
    <row r="17881" ht="15.75" customHeight="1">
      <c r="A17881" s="2" t="s">
        <v>17881</v>
      </c>
      <c r="B17881" s="2" t="str">
        <f>IFERROR(__xludf.DUMMYFUNCTION("GOOGLETRANSLATE(A17881, ""en"", ""mt"")"),"6 piedi 2 pulzieri (1.88 m)")</f>
        <v>6 piedi 2 pulzieri (1.88 m)</v>
      </c>
    </row>
    <row r="17882" ht="15.75" customHeight="1">
      <c r="A17882" s="2" t="s">
        <v>17882</v>
      </c>
      <c r="B17882" s="2" t="str">
        <f>IFERROR(__xludf.DUMMYFUNCTION("GOOGLETRANSLATE(A17882, ""en"", ""mt"")"),"Meta Carl Wilhelm Scheele skopra l-ossiġnu?")</f>
        <v>Meta Carl Wilhelm Scheele skopra l-ossiġnu?</v>
      </c>
    </row>
    <row r="17883" ht="15.75" customHeight="1">
      <c r="A17883" s="2" t="s">
        <v>17883</v>
      </c>
      <c r="B17883" s="2" t="str">
        <f>IFERROR(__xludf.DUMMYFUNCTION("GOOGLETRANSLATE(A17883, ""en"", ""mt"")"),"Kif il-pjanti jiksbu kloroplasti?")</f>
        <v>Kif il-pjanti jiksbu kloroplasti?</v>
      </c>
    </row>
    <row r="17884" ht="15.75" customHeight="1">
      <c r="A17884" s="2" t="s">
        <v>17884</v>
      </c>
      <c r="B17884" s="2" t="str">
        <f>IFERROR(__xludf.DUMMYFUNCTION("GOOGLETRANSLATE(A17884, ""en"", ""mt"")"),"id-defection ta 'numru ta' atleti Kenjani biex jirrappreżentaw pajjiżi oħra")</f>
        <v>id-defection ta 'numru ta' atleti Kenjani biex jirrappreżentaw pajjiżi oħra</v>
      </c>
    </row>
    <row r="17885" ht="15.75" customHeight="1">
      <c r="A17885" s="2" t="s">
        <v>17885</v>
      </c>
      <c r="B17885" s="2" t="str">
        <f>IFERROR(__xludf.DUMMYFUNCTION("GOOGLETRANSLATE(A17885, ""en"", ""mt"")"),"Il-gvernaturi kolonjali meta ltaqgħu mal-Ġeneral Edward Braddock dwar attakk fuq il-Franċiżi?")</f>
        <v>Il-gvernaturi kolonjali meta ltaqgħu mal-Ġeneral Edward Braddock dwar attakk fuq il-Franċiżi?</v>
      </c>
    </row>
    <row r="17886" ht="15.75" customHeight="1">
      <c r="A17886" s="2" t="s">
        <v>17886</v>
      </c>
      <c r="B17886" s="2" t="str">
        <f>IFERROR(__xludf.DUMMYFUNCTION("GOOGLETRANSLATE(A17886, ""en"", ""mt"")"),"L-ożonu ġġenerat f'kuntatt mal-ġilda")</f>
        <v>L-ożonu ġġenerat f'kuntatt mal-ġilda</v>
      </c>
    </row>
    <row r="17887" ht="15.75" customHeight="1">
      <c r="A17887" s="2" t="s">
        <v>17887</v>
      </c>
      <c r="B17887" s="2" t="str">
        <f>IFERROR(__xludf.DUMMYFUNCTION("GOOGLETRANSLATE(A17887, ""en"", ""mt"")"),"X'inhu l-isem tal-akbar ajruport tal-Mongolja?")</f>
        <v>X'inhu l-isem tal-akbar ajruport tal-Mongolja?</v>
      </c>
    </row>
    <row r="17888" ht="15.75" customHeight="1">
      <c r="A17888" s="2" t="s">
        <v>17888</v>
      </c>
      <c r="B17888" s="2" t="str">
        <f>IFERROR(__xludf.DUMMYFUNCTION("GOOGLETRANSLATE(A17888, ""en"", ""mt"")"),"Min brevettat magna tal-fwar fl-1781?")</f>
        <v>Min brevettat magna tal-fwar fl-1781?</v>
      </c>
    </row>
    <row r="17889" ht="15.75" customHeight="1">
      <c r="A17889" s="2" t="s">
        <v>17889</v>
      </c>
      <c r="B17889" s="2" t="str">
        <f>IFERROR(__xludf.DUMMYFUNCTION("GOOGLETRANSLATE(A17889, ""en"", ""mt"")"),"Min jagħżel il-membri tal-Parlament Ewropew?")</f>
        <v>Min jagħżel il-membri tal-Parlament Ewropew?</v>
      </c>
    </row>
    <row r="17890" ht="15.75" customHeight="1">
      <c r="A17890" s="2" t="s">
        <v>17890</v>
      </c>
      <c r="B17890" s="2" t="str">
        <f>IFERROR(__xludf.DUMMYFUNCTION("GOOGLETRANSLATE(A17890, ""en"", ""mt"")"),"Marquis de Vaudreuil")</f>
        <v>Marquis de Vaudreuil</v>
      </c>
    </row>
    <row r="17891" ht="15.75" customHeight="1">
      <c r="A17891" s="2" t="s">
        <v>17891</v>
      </c>
      <c r="B17891" s="2" t="str">
        <f>IFERROR(__xludf.DUMMYFUNCTION("GOOGLETRANSLATE(A17891, ""en"", ""mt"")"),"Dak li ma jinbidilx mill-mistrieħ għall-moviment b'veloċità kostanti?")</f>
        <v>Dak li ma jinbidilx mill-mistrieħ għall-moviment b'veloċità kostanti?</v>
      </c>
    </row>
    <row r="17892" ht="15.75" customHeight="1">
      <c r="A17892" s="2" t="s">
        <v>17892</v>
      </c>
      <c r="B17892" s="2" t="str">
        <f>IFERROR(__xludf.DUMMYFUNCTION("GOOGLETRANSLATE(A17892, ""en"", ""mt"")"),"X'inhu mrażżan bil-lieva fil-parti ta 'fuq ta' bojler?")</f>
        <v>X'inhu mrażżan bil-lieva fil-parti ta 'fuq ta' bojler?</v>
      </c>
    </row>
    <row r="17893" ht="15.75" customHeight="1">
      <c r="A17893" s="2" t="s">
        <v>17893</v>
      </c>
      <c r="B17893" s="2" t="str">
        <f>IFERROR(__xludf.DUMMYFUNCTION("GOOGLETRANSLATE(A17893, ""en"", ""mt"")"),"Eadweard Muybridge")</f>
        <v>Eadweard Muybridge</v>
      </c>
    </row>
    <row r="17894" ht="15.75" customHeight="1">
      <c r="A17894" s="2" t="s">
        <v>17894</v>
      </c>
      <c r="B17894" s="2" t="str">
        <f>IFERROR(__xludf.DUMMYFUNCTION("GOOGLETRANSLATE(A17894, ""en"", ""mt"")"),"Kemm affiljati jġorru l-għalf tan-netwerk ABC fid-definizzjoni standard 480i?")</f>
        <v>Kemm affiljati jġorru l-għalf tan-netwerk ABC fid-definizzjoni standard 480i?</v>
      </c>
    </row>
    <row r="17895" ht="15.75" customHeight="1">
      <c r="A17895" s="2" t="s">
        <v>17895</v>
      </c>
      <c r="B17895" s="2" t="str">
        <f>IFERROR(__xludf.DUMMYFUNCTION("GOOGLETRANSLATE(A17895, ""en"", ""mt"")"),"M'hemm l-ebda każ magħruf")</f>
        <v>M'hemm l-ebda każ magħruf</v>
      </c>
    </row>
    <row r="17896" ht="15.75" customHeight="1">
      <c r="A17896" s="2" t="s">
        <v>17896</v>
      </c>
      <c r="B17896" s="2" t="str">
        <f>IFERROR(__xludf.DUMMYFUNCTION("GOOGLETRANSLATE(A17896, ""en"", ""mt"")"),"Id-diżubbidjenza ċivili tista 'sseħħ meta n-nies jitkellmu dwar ċertu suġġett li huwa meqjus bħala?")</f>
        <v>Id-diżubbidjenza ċivili tista 'sseħħ meta n-nies jitkellmu dwar ċertu suġġett li huwa meqjus bħala?</v>
      </c>
    </row>
    <row r="17897" ht="15.75" customHeight="1">
      <c r="A17897" s="2" t="s">
        <v>17897</v>
      </c>
      <c r="B17897" s="2" t="str">
        <f>IFERROR(__xludf.DUMMYFUNCTION("GOOGLETRANSLATE(A17897, ""en"", ""mt"")"),"Liema mija tgħix taħt il-linja povertly?")</f>
        <v>Liema mija tgħix taħt il-linja povertly?</v>
      </c>
    </row>
    <row r="17898" ht="15.75" customHeight="1">
      <c r="A17898" s="2" t="s">
        <v>17898</v>
      </c>
      <c r="B17898" s="2" t="str">
        <f>IFERROR(__xludf.DUMMYFUNCTION("GOOGLETRANSLATE(A17898, ""en"", ""mt"")"),"Min ħabb lil Varsavja tant li baqa ’jpoġġih fir-rumanzi tiegħu?")</f>
        <v>Min ħabb lil Varsavja tant li baqa ’jpoġġih fir-rumanzi tiegħu?</v>
      </c>
    </row>
    <row r="17899" ht="15.75" customHeight="1">
      <c r="A17899" s="2" t="s">
        <v>17899</v>
      </c>
      <c r="B17899" s="2" t="str">
        <f>IFERROR(__xludf.DUMMYFUNCTION("GOOGLETRANSLATE(A17899, ""en"", ""mt"")"),"Min ta l-elulogija ta 'Tesla?")</f>
        <v>Min ta l-elulogija ta 'Tesla?</v>
      </c>
    </row>
    <row r="17900" ht="15.75" customHeight="1">
      <c r="A17900" s="2" t="s">
        <v>17900</v>
      </c>
      <c r="B17900" s="2" t="str">
        <f>IFERROR(__xludf.DUMMYFUNCTION("GOOGLETRANSLATE(A17900, ""en"", ""mt"")"),"Battalja ta 'Fort Bull")</f>
        <v>Battalja ta 'Fort Bull</v>
      </c>
    </row>
    <row r="17901" ht="15.75" customHeight="1">
      <c r="A17901" s="2" t="s">
        <v>17901</v>
      </c>
      <c r="B17901" s="2" t="str">
        <f>IFERROR(__xludf.DUMMYFUNCTION("GOOGLETRANSLATE(A17901, ""en"", ""mt"")"),"Liema żewġ affarijiet l-informatika tal-ispiżerija tiġbor flimkien?")</f>
        <v>Liema żewġ affarijiet l-informatika tal-ispiżerija tiġbor flimkien?</v>
      </c>
    </row>
    <row r="17902" ht="15.75" customHeight="1">
      <c r="A17902" s="2" t="s">
        <v>17902</v>
      </c>
      <c r="B17902" s="2" t="str">
        <f>IFERROR(__xludf.DUMMYFUNCTION("GOOGLETRANSLATE(A17902, ""en"", ""mt"")"),"ir-relazzjoni bejn l-għalliema u t-tfal.")</f>
        <v>ir-relazzjoni bejn l-għalliema u t-tfal.</v>
      </c>
    </row>
    <row r="17903" ht="15.75" customHeight="1">
      <c r="A17903" s="2" t="s">
        <v>17903</v>
      </c>
      <c r="B17903" s="2" t="str">
        <f>IFERROR(__xludf.DUMMYFUNCTION("GOOGLETRANSLATE(A17903, ""en"", ""mt"")"),"X'kien l-isem tal-istorja mit-tielet serje Torchwood?")</f>
        <v>X'kien l-isem tal-istorja mit-tielet serje Torchwood?</v>
      </c>
    </row>
    <row r="17904" ht="15.75" customHeight="1">
      <c r="A17904" s="2" t="s">
        <v>17904</v>
      </c>
      <c r="B17904" s="2" t="str">
        <f>IFERROR(__xludf.DUMMYFUNCTION("GOOGLETRANSLATE(A17904, ""en"", ""mt"")"),"Iċ-ċelloli jirrilaxxaw sinjali")</f>
        <v>Iċ-ċelloli jirrilaxxaw sinjali</v>
      </c>
    </row>
    <row r="17905" ht="15.75" customHeight="1">
      <c r="A17905" s="2" t="s">
        <v>17905</v>
      </c>
      <c r="B17905" s="2" t="str">
        <f>IFERROR(__xludf.DUMMYFUNCTION("GOOGLETRANSLATE(A17905, ""en"", ""mt"")"),"riċetturi ta 'immunoglobulina taċ-ċelloli qattiel (KIR)")</f>
        <v>riċetturi ta 'immunoglobulina taċ-ċelloli qattiel (KIR)</v>
      </c>
    </row>
    <row r="17906" ht="15.75" customHeight="1">
      <c r="A17906" s="2" t="s">
        <v>17906</v>
      </c>
      <c r="B17906" s="2" t="str">
        <f>IFERROR(__xludf.DUMMYFUNCTION("GOOGLETRANSLATE(A17906, ""en"", ""mt"")"),"X'kien l-iktar premju revered li rebaħ it-Tabib Min rebaħ?")</f>
        <v>X'kien l-iktar premju revered li rebaħ it-Tabib Min rebaħ?</v>
      </c>
    </row>
    <row r="17907" ht="15.75" customHeight="1">
      <c r="A17907" s="2" t="s">
        <v>17907</v>
      </c>
      <c r="B17907" s="2" t="str">
        <f>IFERROR(__xludf.DUMMYFUNCTION("GOOGLETRANSLATE(A17907, ""en"", ""mt"")"),"Il-Kumpanija E. W. Scripps")</f>
        <v>Il-Kumpanija E. W. Scripps</v>
      </c>
    </row>
    <row r="17908" ht="15.75" customHeight="1">
      <c r="A17908" s="2" t="s">
        <v>17908</v>
      </c>
      <c r="B17908" s="2" t="str">
        <f>IFERROR(__xludf.DUMMYFUNCTION("GOOGLETRANSLATE(A17908, ""en"", ""mt"")"),"il-kumitat ospitanti tas-Super Bowl 50")</f>
        <v>il-kumitat ospitanti tas-Super Bowl 50</v>
      </c>
    </row>
    <row r="17909" ht="15.75" customHeight="1">
      <c r="A17909" s="2" t="s">
        <v>17909</v>
      </c>
      <c r="B17909" s="2" t="str">
        <f>IFERROR(__xludf.DUMMYFUNCTION("GOOGLETRANSLATE(A17909, ""en"", ""mt"")"),"L-Iżlamiżmu huwa kunċett kontroversjali mhux biss minħabba li huwa rwol politiku għall-Iżlam iżda wkoll minħabba li l-partitarji tiegħu jemmnu li l-fehmiet tagħhom jirriflettu biss l-Islam, filwaqt li l-idea kuntrarja li l-Islam huwa, jew jista 'jkun, Apo"&amp;"litical huwa żball. Studjużi u osservaturi li ma jemmnux li l-Iżlam huwa sempliċement ideoloġija politika jinkludu Fred Halliday, John Esposito u intellettwali Musulmani bħal Javed Ahmad Ghamidi. Hayri Abaza jargumenta li n-nuqqas ta ’distinzjoni bejn l-I"&amp;"żlam u l-Iżlamiżmu jwassal ħafna fil-Punent biex jappoġġjaw reġimi Iżlamiċi illiberali, għad-detriment ta’ moderati progressivi li jfittxu li jisseparaw ir-reliġjon mill-politika.")</f>
        <v>L-Iżlamiżmu huwa kunċett kontroversjali mhux biss minħabba li huwa rwol politiku għall-Iżlam iżda wkoll minħabba li l-partitarji tiegħu jemmnu li l-fehmiet tagħhom jirriflettu biss l-Islam, filwaqt li l-idea kuntrarja li l-Islam huwa, jew jista 'jkun, Apolitical huwa żball. Studjużi u osservaturi li ma jemmnux li l-Iżlam huwa sempliċement ideoloġija politika jinkludu Fred Halliday, John Esposito u intellettwali Musulmani bħal Javed Ahmad Ghamidi. Hayri Abaza jargumenta li n-nuqqas ta ’distinzjoni bejn l-Iżlam u l-Iżlamiżmu jwassal ħafna fil-Punent biex jappoġġjaw reġimi Iżlamiċi illiberali, għad-detriment ta’ moderati progressivi li jfittxu li jisseparaw ir-reliġjon mill-politika.</v>
      </c>
    </row>
    <row r="17910" ht="15.75" customHeight="1">
      <c r="A17910" s="2" t="s">
        <v>17910</v>
      </c>
      <c r="B17910" s="2" t="str">
        <f>IFERROR(__xludf.DUMMYFUNCTION("GOOGLETRANSLATE(A17910, ""en"", ""mt"")"),"Festivals")</f>
        <v>Festivals</v>
      </c>
    </row>
    <row r="17911" ht="15.75" customHeight="1">
      <c r="A17911" s="2" t="s">
        <v>17911</v>
      </c>
      <c r="B17911" s="2" t="str">
        <f>IFERROR(__xludf.DUMMYFUNCTION("GOOGLETRANSLATE(A17911, ""en"", ""mt"")"),"Rhenus")</f>
        <v>Rhenus</v>
      </c>
    </row>
    <row r="17912" ht="15.75" customHeight="1">
      <c r="A17912" s="2" t="s">
        <v>17912</v>
      </c>
      <c r="B17912" s="2" t="str">
        <f>IFERROR(__xludf.DUMMYFUNCTION("GOOGLETRANSLATE(A17912, ""en"", ""mt"")"),"Kull pakkett huwa ttikkettjat b'indirizz ta 'destinazzjoni, indirizz tas-sors, u numri tal-port. Jista 'jkun ukoll ittikkettat bin-numru tas-sekwenza tal-pakkett")</f>
        <v>Kull pakkett huwa ttikkettjat b'indirizz ta 'destinazzjoni, indirizz tas-sors, u numri tal-port. Jista 'jkun ukoll ittikkettat bin-numru tas-sekwenza tal-pakkett</v>
      </c>
    </row>
    <row r="17913" ht="15.75" customHeight="1">
      <c r="A17913" s="2" t="s">
        <v>17913</v>
      </c>
      <c r="B17913" s="2" t="str">
        <f>IFERROR(__xludf.DUMMYFUNCTION("GOOGLETRANSLATE(A17913, ""en"", ""mt"")"),"Tnaqqis tas-Sajjar, Tnaqqis tal-Karp")</f>
        <v>Tnaqqis tas-Sajjar, Tnaqqis tal-Karp</v>
      </c>
    </row>
    <row r="17914" ht="15.75" customHeight="1">
      <c r="A17914" s="2" t="s">
        <v>17914</v>
      </c>
      <c r="B17914" s="2" t="str">
        <f>IFERROR(__xludf.DUMMYFUNCTION("GOOGLETRANSLATE(A17914, ""en"", ""mt"")"),"Wara l-kampanji Brittaniċi diżastrużi tal-1757 (li rriżultaw fi spedizzjoni falluta kontra Louisbourg u l-assedju tal-Fort William Henry, li kienet segwita minn tortura Indjana u massakri ta 'vittmi Ingliżi), il-gvern Ingliż waqa'. William Pitt daħal fil-"&amp;"poter u żied b'mod sinifikanti r-riżorsi militari Ingliżi fil-kolonji fi żmien meta Franza ma riedx tirriskja konvojs kbar biex tgħin il-forzi limitati li kellha fi Franza l-ġdida. Franza kkonċentrat il-forzi tagħha kontra l-Prussja u l-alleati tagħha fit"&amp;"-Teatru Ewropew tal-Gwerra. Bejn l-1758 u l-1760, il-militar Ingliż nediet kampanja biex taqbad il-kolonja tal-Kanada. Huma rnexxielhom jaqbdu territorju fil-kolonji tal-madwar u fl-aħħar mill-Quebec. Għalkemm l-Ingliżi aktar tard ġew megħluba f'Sainte Fo"&amp;"y fil-Quebec, il-Franċiżi ċedew il-Kanada skont it-Trattat tal-1763.")</f>
        <v>Wara l-kampanji Brittaniċi diżastrużi tal-1757 (li rriżultaw fi spedizzjoni falluta kontra Louisbourg u l-assedju tal-Fort William Henry, li kienet segwita minn tortura Indjana u massakri ta 'vittmi Ingliżi), il-gvern Ingliż waqa'. William Pitt daħal fil-poter u żied b'mod sinifikanti r-riżorsi militari Ingliżi fil-kolonji fi żmien meta Franza ma riedx tirriskja konvojs kbar biex tgħin il-forzi limitati li kellha fi Franza l-ġdida. Franza kkonċentrat il-forzi tagħha kontra l-Prussja u l-alleati tagħha fit-Teatru Ewropew tal-Gwerra. Bejn l-1758 u l-1760, il-militar Ingliż nediet kampanja biex taqbad il-kolonja tal-Kanada. Huma rnexxielhom jaqbdu territorju fil-kolonji tal-madwar u fl-aħħar mill-Quebec. Għalkemm l-Ingliżi aktar tard ġew megħluba f'Sainte Foy fil-Quebec, il-Franċiżi ċedew il-Kanada skont it-Trattat tal-1763.</v>
      </c>
    </row>
    <row r="17915" ht="15.75" customHeight="1">
      <c r="A17915" s="2" t="s">
        <v>17915</v>
      </c>
      <c r="B17915" s="2" t="str">
        <f>IFERROR(__xludf.DUMMYFUNCTION("GOOGLETRANSLATE(A17915, ""en"", ""mt"")"),"muntanji")</f>
        <v>muntanji</v>
      </c>
    </row>
    <row r="17916" ht="15.75" customHeight="1">
      <c r="A17916" s="2" t="s">
        <v>17916</v>
      </c>
      <c r="B17916" s="2" t="str">
        <f>IFERROR(__xludf.DUMMYFUNCTION("GOOGLETRANSLATE(A17916, ""en"", ""mt"")"),"Min ingħata art minn government Ingliż għall-iżvilupp ta 'pajjiż ta' Ohio?")</f>
        <v>Min ingħata art minn government Ingliż għall-iżvilupp ta 'pajjiż ta' Ohio?</v>
      </c>
    </row>
    <row r="17917" ht="15.75" customHeight="1">
      <c r="A17917" s="2" t="s">
        <v>17917</v>
      </c>
      <c r="B17917" s="2" t="str">
        <f>IFERROR(__xludf.DUMMYFUNCTION("GOOGLETRANSLATE(A17917, ""en"", ""mt"")"),"F'liema sens trid tkun qed tosserva l-kurvatura ta 'l-ispazju-ħin?")</f>
        <v>F'liema sens trid tkun qed tosserva l-kurvatura ta 'l-ispazju-ħin?</v>
      </c>
    </row>
    <row r="17918" ht="15.75" customHeight="1">
      <c r="A17918" s="2" t="s">
        <v>17918</v>
      </c>
      <c r="B17918" s="2" t="str">
        <f>IFERROR(__xludf.DUMMYFUNCTION("GOOGLETRANSLATE(A17918, ""en"", ""mt"")"),"Iċ-Ċentru tad-Distribuzzjoni tad-Dejta u l-Programm Nazzjonali tal-Inventar tal-Gass Serra")</f>
        <v>Iċ-Ċentru tad-Distribuzzjoni tad-Dejta u l-Programm Nazzjonali tal-Inventar tal-Gass Serra</v>
      </c>
    </row>
    <row r="17919" ht="15.75" customHeight="1">
      <c r="A17919" s="2" t="s">
        <v>17919</v>
      </c>
      <c r="B17919" s="2" t="str">
        <f>IFERROR(__xludf.DUMMYFUNCTION("GOOGLETRANSLATE(A17919, ""en"", ""mt"")"),"F'liema kienu aktar tard l-imperaturi tal-wan diżinteressati?")</f>
        <v>F'liema kienu aktar tard l-imperaturi tal-wan diżinteressati?</v>
      </c>
    </row>
    <row r="17920" ht="15.75" customHeight="1">
      <c r="A17920" s="2" t="s">
        <v>17920</v>
      </c>
      <c r="B17920" s="2" t="str">
        <f>IFERROR(__xludf.DUMMYFUNCTION("GOOGLETRANSLATE(A17920, ""en"", ""mt"")"),"John Smeaton")</f>
        <v>John Smeaton</v>
      </c>
    </row>
    <row r="17921" ht="15.75" customHeight="1">
      <c r="A17921" s="2" t="s">
        <v>17921</v>
      </c>
      <c r="B17921" s="2" t="str">
        <f>IFERROR(__xludf.DUMMYFUNCTION("GOOGLETRANSLATE(A17921, ""en"", ""mt"")"),"Liema partikula subatomika kienet tiċħad l-eżistenza ta 'Tesla?")</f>
        <v>Liema partikula subatomika kienet tiċħad l-eżistenza ta 'Tesla?</v>
      </c>
    </row>
    <row r="17922" ht="15.75" customHeight="1">
      <c r="A17922" s="2" t="s">
        <v>17922</v>
      </c>
      <c r="B17922" s="2" t="str">
        <f>IFERROR(__xludf.DUMMYFUNCTION("GOOGLETRANSLATE(A17922, ""en"", ""mt"")"),"51")</f>
        <v>51</v>
      </c>
    </row>
    <row r="17923" ht="15.75" customHeight="1">
      <c r="A17923" s="2" t="s">
        <v>17923</v>
      </c>
      <c r="B17923" s="2" t="str">
        <f>IFERROR(__xludf.DUMMYFUNCTION("GOOGLETRANSLATE(A17923, ""en"", ""mt"")"),"Kemm għamlet Von Miller f'Sup Miller fis-Super Bowl 50?")</f>
        <v>Kemm għamlet Von Miller f'Sup Miller fis-Super Bowl 50?</v>
      </c>
    </row>
    <row r="17924" ht="15.75" customHeight="1">
      <c r="A17924" s="2" t="s">
        <v>17924</v>
      </c>
      <c r="B17924" s="2" t="str">
        <f>IFERROR(__xludf.DUMMYFUNCTION("GOOGLETRANSLATE(A17924, ""en"", ""mt"")"),"Antikrist tat-2 Tessalonjani 2")</f>
        <v>Antikrist tat-2 Tessalonjani 2</v>
      </c>
    </row>
    <row r="17925" ht="15.75" customHeight="1">
      <c r="A17925" s="2" t="s">
        <v>17925</v>
      </c>
      <c r="B17925" s="2" t="str">
        <f>IFERROR(__xludf.DUMMYFUNCTION("GOOGLETRANSLATE(A17925, ""en"", ""mt"")"),"In-Normanni (Norman: Nourmands; Franċiżi: Normands; Latin: Normanni) kienu n-nies li fis-sekli 10 u 11 taw isimhom għan-Normandija, reġjun fi Franza. Kienu dixxendenti minn Norveġja (""Norman"" ġej minn ""Norseman"") Raiders u Pirati mid-Danimarka, l-Isla"&amp;"nda u n-Norveġja li, taħt il-mexxej tagħhom Rollo, qablu li jaħlef il-fealty lir-Re Charles III ta 'West Francia. Permezz ta 'ġenerazzjonijiet ta' assimilazzjoni u taħlit mal-popolazzjonijiet indiġeni ta 'Frankish u Rumani-gaulish, id-dixxendenti tagħhom "&amp;"jingħaqdu gradwalment mal-kulturi bbażati fil-Karolingja tal-Punent ta' Francia. L-identità kulturali u etnika distinta tan-Normanni ħarġet inizjalment fl-ewwel nofs tas-seklu 10, u kompliet tevolvi matul is-sekli suċċessivi.")</f>
        <v>In-Normanni (Norman: Nourmands; Franċiżi: Normands; Latin: Normanni) kienu n-nies li fis-sekli 10 u 11 taw isimhom għan-Normandija, reġjun fi Franza. Kienu dixxendenti minn Norveġja ("Norman" ġej minn "Norseman") Raiders u Pirati mid-Danimarka, l-Islanda u n-Norveġja li, taħt il-mexxej tagħhom Rollo, qablu li jaħlef il-fealty lir-Re Charles III ta 'West Francia. Permezz ta 'ġenerazzjonijiet ta' assimilazzjoni u taħlit mal-popolazzjonijiet indiġeni ta 'Frankish u Rumani-gaulish, id-dixxendenti tagħhom jingħaqdu gradwalment mal-kulturi bbażati fil-Karolingja tal-Punent ta' Francia. L-identità kulturali u etnika distinta tan-Normanni ħarġet inizjalment fl-ewwel nofs tas-seklu 10, u kompliet tevolvi matul is-sekli suċċessivi.</v>
      </c>
    </row>
    <row r="17926" ht="15.75" customHeight="1">
      <c r="A17926" s="2" t="s">
        <v>17926</v>
      </c>
      <c r="B17926" s="2" t="str">
        <f>IFERROR(__xludf.DUMMYFUNCTION("GOOGLETRANSLATE(A17926, ""en"", ""mt"")"),"Baxx")</f>
        <v>Baxx</v>
      </c>
    </row>
    <row r="17927" ht="15.75" customHeight="1">
      <c r="A17927" s="2" t="s">
        <v>17927</v>
      </c>
      <c r="B17927" s="2" t="str">
        <f>IFERROR(__xludf.DUMMYFUNCTION("GOOGLETRANSLATE(A17927, ""en"", ""mt"")"),"marġinali")</f>
        <v>marġinali</v>
      </c>
    </row>
    <row r="17928" ht="15.75" customHeight="1">
      <c r="A17928" s="2" t="s">
        <v>17928</v>
      </c>
      <c r="B17928" s="2" t="str">
        <f>IFERROR(__xludf.DUMMYFUNCTION("GOOGLETRANSLATE(A17928, ""en"", ""mt"")"),"1,230 km")</f>
        <v>1,230 km</v>
      </c>
    </row>
    <row r="17929" ht="15.75" customHeight="1">
      <c r="A17929" s="2" t="s">
        <v>17929</v>
      </c>
      <c r="B17929" s="2" t="str">
        <f>IFERROR(__xludf.DUMMYFUNCTION("GOOGLETRANSLATE(A17929, ""en"", ""mt"")"),"Prinċipji ta 'Allokazzjoni minn qabel tal-bandwidth tan-netwerk")</f>
        <v>Prinċipji ta 'Allokazzjoni minn qabel tal-bandwidth tan-netwerk</v>
      </c>
    </row>
    <row r="17930" ht="15.75" customHeight="1">
      <c r="A17930" s="2" t="s">
        <v>17930</v>
      </c>
      <c r="B17930" s="2" t="str">
        <f>IFERROR(__xludf.DUMMYFUNCTION("GOOGLETRANSLATE(A17930, ""en"", ""mt"")"),"L-iskejjel għolja pubbliċi tilfu l-akkreditazzjoni tagħhom")</f>
        <v>L-iskejjel għolja pubbliċi tilfu l-akkreditazzjoni tagħhom</v>
      </c>
    </row>
    <row r="17931" ht="15.75" customHeight="1">
      <c r="A17931" s="2" t="s">
        <v>17931</v>
      </c>
      <c r="B17931" s="2" t="str">
        <f>IFERROR(__xludf.DUMMYFUNCTION("GOOGLETRANSLATE(A17931, ""en"", ""mt"")"),"X'tista 'Tesla twettaq fir-ras tiegħu?")</f>
        <v>X'tista 'Tesla twettaq fir-ras tiegħu?</v>
      </c>
    </row>
    <row r="17932" ht="15.75" customHeight="1">
      <c r="A17932" s="2" t="s">
        <v>17932</v>
      </c>
      <c r="B17932" s="2" t="str">
        <f>IFERROR(__xludf.DUMMYFUNCTION("GOOGLETRANSLATE(A17932, ""en"", ""mt"")"),"Formali")</f>
        <v>Formali</v>
      </c>
    </row>
    <row r="17933" ht="15.75" customHeight="1">
      <c r="A17933" s="2" t="s">
        <v>17933</v>
      </c>
      <c r="B17933" s="2" t="str">
        <f>IFERROR(__xludf.DUMMYFUNCTION("GOOGLETRANSLATE(A17933, ""en"", ""mt"")"),"X’għandu l-att tat-tipjip tas-sigaretti tas-saħħa pubblika?")</f>
        <v>X’għandu l-att tat-tipjip tas-sigaretti tas-saħħa pubblika?</v>
      </c>
    </row>
    <row r="17934" ht="15.75" customHeight="1">
      <c r="A17934" s="2" t="s">
        <v>17934</v>
      </c>
      <c r="B17934" s="2" t="str">
        <f>IFERROR(__xludf.DUMMYFUNCTION("GOOGLETRANSLATE(A17934, ""en"", ""mt"")"),"ċelloli T helper")</f>
        <v>ċelloli T helper</v>
      </c>
    </row>
    <row r="17935" ht="15.75" customHeight="1">
      <c r="A17935" s="2" t="s">
        <v>17935</v>
      </c>
      <c r="B17935" s="2" t="str">
        <f>IFERROR(__xludf.DUMMYFUNCTION("GOOGLETRANSLATE(A17935, ""en"", ""mt"")"),"Firenze, l-Italja")</f>
        <v>Firenze, l-Italja</v>
      </c>
    </row>
    <row r="17936" ht="15.75" customHeight="1">
      <c r="A17936" s="2" t="s">
        <v>17936</v>
      </c>
      <c r="B17936" s="2" t="str">
        <f>IFERROR(__xludf.DUMMYFUNCTION("GOOGLETRANSLATE(A17936, ""en"", ""mt"")"),"tagħmel iktar ħsara milli ġid")</f>
        <v>tagħmel iktar ħsara milli ġid</v>
      </c>
    </row>
    <row r="17937" ht="15.75" customHeight="1">
      <c r="A17937" s="2" t="s">
        <v>17937</v>
      </c>
      <c r="B17937" s="2" t="str">
        <f>IFERROR(__xludf.DUMMYFUNCTION("GOOGLETRANSLATE(A17937, ""en"", ""mt"")"),"L-istat huwa l-aktar komuni u promoss mill-gruppi tat-turiżmu reġjonali tiegħu bħala li jikkonsisti f'reġjuni ta 'Tramuntana, Ċentrali u tan-Nofsinhar ta' California. Iż-żewġ klabbs tal-karozzi AAA tal-istat, l-Assoċjazzjoni tal-Karozzi tal-Istat ta 'Cali"&amp;"fornia u l-Klabb tal-Karozzi tan-Nofsinhar ta' California, jagħżlu li jissimplifikaw il-kwistjonijiet billi jaqsmu l-istat skond il-linji fejn japplikaw il-ġurisdizzjonijiet tagħhom għas-sħubija, bħalma huma jew it-Tramuntana jew in-Nofsinhar ta 'Californ"&amp;"ia, b'kuntrast ma' Il-perspettiva bi tliet reġjuni. Influwenza oħra hija l-frażi ġeografika fin-Nofsinhar tat-Tehachapis, li taqsam ir-reġjun tan-Nofsinhar barra mill-krest ta 'dik il-firxa trasversa Ir-reġjun tan-Nofsinhar tal-Kalifornja minħabba l-bogħo"&amp;"d mill-wied ċentrali u l-pajsaġġ tad-deżert intern.")</f>
        <v>L-istat huwa l-aktar komuni u promoss mill-gruppi tat-turiżmu reġjonali tiegħu bħala li jikkonsisti f'reġjuni ta 'Tramuntana, Ċentrali u tan-Nofsinhar ta' California. Iż-żewġ klabbs tal-karozzi AAA tal-istat, l-Assoċjazzjoni tal-Karozzi tal-Istat ta 'California u l-Klabb tal-Karozzi tan-Nofsinhar ta' California, jagħżlu li jissimplifikaw il-kwistjonijiet billi jaqsmu l-istat skond il-linji fejn japplikaw il-ġurisdizzjonijiet tagħhom għas-sħubija, bħalma huma jew it-Tramuntana jew in-Nofsinhar ta 'California, b'kuntrast ma' Il-perspettiva bi tliet reġjuni. Influwenza oħra hija l-frażi ġeografika fin-Nofsinhar tat-Tehachapis, li taqsam ir-reġjun tan-Nofsinhar barra mill-krest ta 'dik il-firxa trasversa Ir-reġjun tan-Nofsinhar tal-Kalifornja minħabba l-bogħod mill-wied ċentrali u l-pajsaġġ tad-deżert intern.</v>
      </c>
    </row>
    <row r="17938" ht="15.75" customHeight="1">
      <c r="A17938" s="2" t="s">
        <v>17938</v>
      </c>
      <c r="B17938" s="2" t="str">
        <f>IFERROR(__xludf.DUMMYFUNCTION("GOOGLETRANSLATE(A17938, ""en"", ""mt"")"),"1807")</f>
        <v>1807</v>
      </c>
    </row>
    <row r="17939" ht="15.75" customHeight="1">
      <c r="A17939" s="2" t="s">
        <v>17939</v>
      </c>
      <c r="B17939" s="2" t="str">
        <f>IFERROR(__xludf.DUMMYFUNCTION("GOOGLETRANSLATE(A17939, ""en"", ""mt"")"),"Kif huma spazjati l-pettnijiet?")</f>
        <v>Kif huma spazjati l-pettnijiet?</v>
      </c>
    </row>
    <row r="17940" ht="15.75" customHeight="1">
      <c r="A17940" s="2" t="s">
        <v>17940</v>
      </c>
      <c r="B17940" s="2" t="str">
        <f>IFERROR(__xludf.DUMMYFUNCTION("GOOGLETRANSLATE(A17940, ""en"", ""mt"")"),"Kanali HD")</f>
        <v>Kanali HD</v>
      </c>
    </row>
    <row r="17941" ht="15.75" customHeight="1">
      <c r="A17941" s="2" t="s">
        <v>17941</v>
      </c>
      <c r="B17941" s="2" t="str">
        <f>IFERROR(__xludf.DUMMYFUNCTION("GOOGLETRANSLATE(A17941, ""en"", ""mt"")"),"300 irġiel, inklużi Franċiżi-Kanadiżi u ġellieda tal-Ottawa")</f>
        <v>300 irġiel, inklużi Franċiżi-Kanadiżi u ġellieda tal-Ottawa</v>
      </c>
    </row>
    <row r="17942" ht="15.75" customHeight="1">
      <c r="A17942" s="2" t="s">
        <v>17942</v>
      </c>
      <c r="B17942" s="2" t="str">
        <f>IFERROR(__xludf.DUMMYFUNCTION("GOOGLETRANSLATE(A17942, ""en"", ""mt"")"),"Liema forza tbiddel oġġetti ta 'oġġetti ta' l-ivvjaġġar?")</f>
        <v>Liema forza tbiddel oġġetti ta 'oġġetti ta' l-ivvjaġġar?</v>
      </c>
    </row>
    <row r="17943" ht="15.75" customHeight="1">
      <c r="A17943" s="2" t="s">
        <v>17943</v>
      </c>
      <c r="B17943" s="2" t="str">
        <f>IFERROR(__xludf.DUMMYFUNCTION("GOOGLETRANSLATE(A17943, ""en"", ""mt"")"),"erbgħa")</f>
        <v>erbgħa</v>
      </c>
    </row>
    <row r="17944" ht="15.75" customHeight="1">
      <c r="A17944" s="2" t="s">
        <v>17944</v>
      </c>
      <c r="B17944" s="2" t="str">
        <f>IFERROR(__xludf.DUMMYFUNCTION("GOOGLETRANSLATE(A17944, ""en"", ""mt"")"),"Fejn jgħixu Ctenophora?")</f>
        <v>Fejn jgħixu Ctenophora?</v>
      </c>
    </row>
    <row r="17945" ht="15.75" customHeight="1">
      <c r="A17945" s="2" t="s">
        <v>17945</v>
      </c>
      <c r="B17945" s="2" t="str">
        <f>IFERROR(__xludf.DUMMYFUNCTION("GOOGLETRANSLATE(A17945, ""en"", ""mt"")"),"Kif effettwa dan il-prezzijiet tal-produttur?")</f>
        <v>Kif effettwa dan il-prezzijiet tal-produttur?</v>
      </c>
    </row>
    <row r="17946" ht="15.75" customHeight="1">
      <c r="A17946" s="2" t="s">
        <v>17946</v>
      </c>
      <c r="B17946" s="2" t="str">
        <f>IFERROR(__xludf.DUMMYFUNCTION("GOOGLETRANSLATE(A17946, ""en"", ""mt"")"),"ribosoma")</f>
        <v>ribosoma</v>
      </c>
    </row>
    <row r="17947" ht="15.75" customHeight="1">
      <c r="A17947" s="2" t="s">
        <v>17947</v>
      </c>
      <c r="B17947" s="2" t="str">
        <f>IFERROR(__xludf.DUMMYFUNCTION("GOOGLETRANSLATE(A17947, ""en"", ""mt"")"),"Kriżi Finanzjarja tal-2007–08")</f>
        <v>Kriżi Finanzjarja tal-2007–08</v>
      </c>
    </row>
    <row r="17948" ht="15.75" customHeight="1">
      <c r="A17948" s="2" t="s">
        <v>17948</v>
      </c>
      <c r="B17948" s="2" t="str">
        <f>IFERROR(__xludf.DUMMYFUNCTION("GOOGLETRANSLATE(A17948, ""en"", ""mt"")"),"kedd parzjali tal-fasciitis plantar")</f>
        <v>kedd parzjali tal-fasciitis plantar</v>
      </c>
    </row>
    <row r="17949" ht="15.75" customHeight="1">
      <c r="A17949" s="2" t="s">
        <v>17949</v>
      </c>
      <c r="B17949" s="2" t="str">
        <f>IFERROR(__xludf.DUMMYFUNCTION("GOOGLETRANSLATE(A17949, ""en"", ""mt"")"),"Kurrikulu")</f>
        <v>Kurrikulu</v>
      </c>
    </row>
    <row r="17950" ht="15.75" customHeight="1">
      <c r="A17950" s="2" t="s">
        <v>17950</v>
      </c>
      <c r="B17950" s="2" t="str">
        <f>IFERROR(__xludf.DUMMYFUNCTION("GOOGLETRANSLATE(A17950, ""en"", ""mt"")"),"Liema żvilupp influwenza t-traduzzjonijiet tal-innijiet ta 'Luther?")</f>
        <v>Liema żvilupp influwenza t-traduzzjonijiet tal-innijiet ta 'Luther?</v>
      </c>
    </row>
    <row r="17951" ht="15.75" customHeight="1">
      <c r="A17951" s="2" t="s">
        <v>17951</v>
      </c>
      <c r="B17951" s="2" t="str">
        <f>IFERROR(__xludf.DUMMYFUNCTION("GOOGLETRANSLATE(A17951, ""en"", ""mt"")"),"Tassazzjoni ridistributtiva")</f>
        <v>Tassazzjoni ridistributtiva</v>
      </c>
    </row>
    <row r="17952" ht="15.75" customHeight="1">
      <c r="A17952" s="2" t="s">
        <v>17952</v>
      </c>
      <c r="B17952" s="2" t="str">
        <f>IFERROR(__xludf.DUMMYFUNCTION("GOOGLETRANSLATE(A17952, ""en"", ""mt"")"),"Liema verżjoni tal-Windows appoġġat l-app CBS Sports?")</f>
        <v>Liema verżjoni tal-Windows appoġġat l-app CBS Sports?</v>
      </c>
    </row>
    <row r="17953" ht="15.75" customHeight="1">
      <c r="A17953" s="2" t="s">
        <v>17953</v>
      </c>
      <c r="B17953" s="2" t="str">
        <f>IFERROR(__xludf.DUMMYFUNCTION("GOOGLETRANSLATE(A17953, ""en"", ""mt"")"),"Meta l-FCC bdiet timponi r-regoli tal-Fin-Syn?")</f>
        <v>Meta l-FCC bdiet timponi r-regoli tal-Fin-Syn?</v>
      </c>
    </row>
    <row r="17954" ht="15.75" customHeight="1">
      <c r="A17954" s="2" t="s">
        <v>17954</v>
      </c>
      <c r="B17954" s="2" t="str">
        <f>IFERROR(__xludf.DUMMYFUNCTION("GOOGLETRANSLATE(A17954, ""en"", ""mt"")"),"Fejn jiċċaqalqu l-vesikuli tat-trasport?")</f>
        <v>Fejn jiċċaqalqu l-vesikuli tat-trasport?</v>
      </c>
    </row>
    <row r="17955" ht="15.75" customHeight="1">
      <c r="A17955" s="2" t="s">
        <v>17955</v>
      </c>
      <c r="B17955" s="2" t="str">
        <f>IFERROR(__xludf.DUMMYFUNCTION("GOOGLETRANSLATE(A17955, ""en"", ""mt"")"),"Matul is-snin 1960, ABC kompla fl-istess triq li bdiet tieħu f'nofs is-snin 1950, billi kkonsolida n-netwerk bħala parti mill-isforz tagħha biex tikseb lealtà mill-pubbliku. Il-finanzi tan-netwerk tjiebu u ppermettewha tinvesti fi proprjetajiet u programm"&amp;"azzjoni oħra. F'Mejju 1960, ABC xtrat Chicago Radio Station WLS, li kienet qasmet il-ħin tal-arja ma 'WENR mill-1920. Dan l-akkwist ippermetta lil ABC biex tikkonsolida l-preżenza tagħha fis-suq. Fid-9 ta 'Mejju, 1960, WLS nediet lineup ġdid li jikkonsist"&amp;"i fi programmazzjoni tar-radju ABC. Fl-1960, l-intraprenditur Kanadiż John Bassett, li kien qed jipprova jistabbilixxi stazzjon tat-televiżjoni f'Toronto, fittex l-għajnuna ta 'ABC biex tniedi l-istazzjon. Leonard Goldenson aċċetta li jakkwista interess t"&amp;"a '25% fis-CFTO-TV; Madankollu, il-leġislazzjoni mill-Kummissjoni Kanadiża tar-Radju-Televiżjoni pprojbixxiet l-involviment ta 'ABC, li rriżultat fil-kumpanija li tirtira mill-proġett qabel it-tnedija tal-istazzjon.")</f>
        <v>Matul is-snin 1960, ABC kompla fl-istess triq li bdiet tieħu f'nofs is-snin 1950, billi kkonsolida n-netwerk bħala parti mill-isforz tagħha biex tikseb lealtà mill-pubbliku. Il-finanzi tan-netwerk tjiebu u ppermettewha tinvesti fi proprjetajiet u programmazzjoni oħra. F'Mejju 1960, ABC xtrat Chicago Radio Station WLS, li kienet qasmet il-ħin tal-arja ma 'WENR mill-1920. Dan l-akkwist ippermetta lil ABC biex tikkonsolida l-preżenza tagħha fis-suq. Fid-9 ta 'Mejju, 1960, WLS nediet lineup ġdid li jikkonsisti fi programmazzjoni tar-radju ABC. Fl-1960, l-intraprenditur Kanadiż John Bassett, li kien qed jipprova jistabbilixxi stazzjon tat-televiżjoni f'Toronto, fittex l-għajnuna ta 'ABC biex tniedi l-istazzjon. Leonard Goldenson aċċetta li jakkwista interess ta '25% fis-CFTO-TV; Madankollu, il-leġislazzjoni mill-Kummissjoni Kanadiża tar-Radju-Televiżjoni pprojbixxiet l-involviment ta 'ABC, li rriżultat fil-kumpanija li tirtira mill-proġett qabel it-tnedija tal-istazzjon.</v>
      </c>
    </row>
    <row r="17956" ht="15.75" customHeight="1">
      <c r="A17956" s="2" t="s">
        <v>17956</v>
      </c>
      <c r="B17956" s="2" t="str">
        <f>IFERROR(__xludf.DUMMYFUNCTION("GOOGLETRANSLATE(A17956, ""en"", ""mt"")"),"304,016")</f>
        <v>304,016</v>
      </c>
    </row>
    <row r="17957" ht="15.75" customHeight="1">
      <c r="A17957" s="2" t="s">
        <v>17957</v>
      </c>
      <c r="B17957" s="2" t="str">
        <f>IFERROR(__xludf.DUMMYFUNCTION("GOOGLETRANSLATE(A17957, ""en"", ""mt"")"),"Doctor Who deher fuq il-palk bosta drabi. Fil-bidu tas-snin sebgħin, Trevor Martin kellu r-rwol fit-Tabib Min u d-Daleks fis-Seba 'Ċwievet għal Doomsday. Fl-aħħar tas-snin 1980, Jon Pertwee u Colin Baker it-tnejn lagħbu lit-tabib fi żminijiet differenti w"&amp;"aqt il-ġirja ta 'dramm bit-tema Doctor Who - l-Avventura Ultima. Għal żewġ wirjiet, waqt li Pertwee kien marid, David Banks (magħruf aħjar għal-logħob Cybermen) lagħab it-tabib. Drays oriġinali oħra ġew imtellgħin bħala produzzjonijiet ta 'dilettanti, b'a"&amp;"tturi oħra jdoqq it-tabib, filwaqt li Terry Nation kiteb The Curse of the Daleks, dramm tal-palk immuntat fl-aħħar tas-snin 1960, iżda mingħajr it-tabib.")</f>
        <v>Doctor Who deher fuq il-palk bosta drabi. Fil-bidu tas-snin sebgħin, Trevor Martin kellu r-rwol fit-Tabib Min u d-Daleks fis-Seba 'Ċwievet għal Doomsday. Fl-aħħar tas-snin 1980, Jon Pertwee u Colin Baker it-tnejn lagħbu lit-tabib fi żminijiet differenti waqt il-ġirja ta 'dramm bit-tema Doctor Who - l-Avventura Ultima. Għal żewġ wirjiet, waqt li Pertwee kien marid, David Banks (magħruf aħjar għal-logħob Cybermen) lagħab it-tabib. Drays oriġinali oħra ġew imtellgħin bħala produzzjonijiet ta 'dilettanti, b'atturi oħra jdoqq it-tabib, filwaqt li Terry Nation kiteb The Curse of the Daleks, dramm tal-palk immuntat fl-aħħar tas-snin 1960, iżda mingħajr it-tabib.</v>
      </c>
    </row>
    <row r="17958" ht="15.75" customHeight="1">
      <c r="A17958" s="2" t="s">
        <v>17958</v>
      </c>
      <c r="B17958" s="2" t="str">
        <f>IFERROR(__xludf.DUMMYFUNCTION("GOOGLETRANSLATE(A17958, ""en"", ""mt"")"),"Imħallfin")</f>
        <v>Imħallfin</v>
      </c>
    </row>
    <row r="17959" ht="15.75" customHeight="1">
      <c r="A17959" s="2" t="s">
        <v>17959</v>
      </c>
      <c r="B17959" s="2" t="str">
        <f>IFERROR(__xludf.DUMMYFUNCTION("GOOGLETRANSLATE(A17959, ""en"", ""mt"")"),"ċelloli infettati jirrilaxxaw sinjali li jwissu l-kumplament tal-pjanta tal-preżenza tal-patoġen")</f>
        <v>ċelloli infettati jirrilaxxaw sinjali li jwissu l-kumplament tal-pjanta tal-preżenza tal-patoġen</v>
      </c>
    </row>
    <row r="17960" ht="15.75" customHeight="1">
      <c r="A17960" s="2" t="s">
        <v>17960</v>
      </c>
      <c r="B17960" s="2" t="str">
        <f>IFERROR(__xludf.DUMMYFUNCTION("GOOGLETRANSLATE(A17960, ""en"", ""mt"")"),"$ 960 biljun")</f>
        <v>$ 960 biljun</v>
      </c>
    </row>
    <row r="17961" ht="15.75" customHeight="1">
      <c r="A17961" s="2" t="s">
        <v>17961</v>
      </c>
      <c r="B17961" s="2" t="str">
        <f>IFERROR(__xludf.DUMMYFUNCTION("GOOGLETRANSLATE(A17961, ""en"", ""mt"")"),"Kemm mill-atmosfera tad-Dinja hija ossiġnu diatomiku?")</f>
        <v>Kemm mill-atmosfera tad-Dinja hija ossiġnu diatomiku?</v>
      </c>
    </row>
    <row r="17962" ht="15.75" customHeight="1">
      <c r="A17962" s="2" t="s">
        <v>17962</v>
      </c>
      <c r="B17962" s="2" t="str">
        <f>IFERROR(__xludf.DUMMYFUNCTION("GOOGLETRANSLATE(A17962, ""en"", ""mt"")"),"il-gwerer orribbli kollha")</f>
        <v>il-gwerer orribbli kollha</v>
      </c>
    </row>
    <row r="17963" ht="15.75" customHeight="1">
      <c r="A17963" s="2" t="s">
        <v>17963</v>
      </c>
      <c r="B17963" s="2" t="str">
        <f>IFERROR(__xludf.DUMMYFUNCTION("GOOGLETRANSLATE(A17963, ""en"", ""mt"")"),"Kull erba 'snin.")</f>
        <v>Kull erba 'snin.</v>
      </c>
    </row>
    <row r="17964" ht="15.75" customHeight="1">
      <c r="A17964" s="2" t="s">
        <v>17964</v>
      </c>
      <c r="B17964" s="2" t="str">
        <f>IFERROR(__xludf.DUMMYFUNCTION("GOOGLETRANSLATE(A17964, ""en"", ""mt"")"),"kloroplasti derivati ​​minn alka ħadra")</f>
        <v>kloroplasti derivati ​​minn alka ħadra</v>
      </c>
    </row>
    <row r="17965" ht="15.75" customHeight="1">
      <c r="A17965" s="2" t="s">
        <v>17965</v>
      </c>
      <c r="B17965" s="2" t="str">
        <f>IFERROR(__xludf.DUMMYFUNCTION("GOOGLETRANSLATE(A17965, ""en"", ""mt"")"),"Il-President tal-Università Robert Maynard Hutchins De-enfasizza Varsity Athletics")</f>
        <v>Il-President tal-Università Robert Maynard Hutchins De-enfasizza Varsity Athletics</v>
      </c>
    </row>
    <row r="17966" ht="15.75" customHeight="1">
      <c r="A17966" s="2" t="s">
        <v>17966</v>
      </c>
      <c r="B17966" s="2" t="str">
        <f>IFERROR(__xludf.DUMMYFUNCTION("GOOGLETRANSLATE(A17966, ""en"", ""mt"")"),"Jista 'jaqraha mingħajr tfixkil")</f>
        <v>Jista 'jaqraha mingħajr tfixkil</v>
      </c>
    </row>
    <row r="17967" ht="15.75" customHeight="1">
      <c r="A17967" s="2" t="s">
        <v>17967</v>
      </c>
      <c r="B17967" s="2" t="str">
        <f>IFERROR(__xludf.DUMMYFUNCTION("GOOGLETRANSLATE(A17967, ""en"", ""mt"")"),"Il-Gżejjer Channel")</f>
        <v>Il-Gżejjer Channel</v>
      </c>
    </row>
    <row r="17968" ht="15.75" customHeight="1">
      <c r="A17968" s="2" t="s">
        <v>17968</v>
      </c>
      <c r="B17968" s="2" t="str">
        <f>IFERROR(__xludf.DUMMYFUNCTION("GOOGLETRANSLATE(A17968, ""en"", ""mt"")"),"Huguenot")</f>
        <v>Huguenot</v>
      </c>
    </row>
    <row r="17969" ht="15.75" customHeight="1">
      <c r="A17969" s="2" t="s">
        <v>17969</v>
      </c>
      <c r="B17969" s="2" t="str">
        <f>IFERROR(__xludf.DUMMYFUNCTION("GOOGLETRANSLATE(A17969, ""en"", ""mt"")"),"Żrar")</f>
        <v>Żrar</v>
      </c>
    </row>
    <row r="17970" ht="15.75" customHeight="1">
      <c r="A17970" s="2" t="s">
        <v>17970</v>
      </c>
      <c r="B17970" s="2" t="str">
        <f>IFERROR(__xludf.DUMMYFUNCTION("GOOGLETRANSLATE(A17970, ""en"", ""mt"")"),"Filwaqt li l-liġi kostituzzjonali tikkonċerna l-istruttura tal-governanza tal-Unjoni Ewropea, il-liġi amministrattiva tgħaqqad istituzzjonijiet tal-UE u stati membri biex isegwu l-liġi. Kemm l-istati membri kif ukoll il-kummissjoni għandhom dritt legali ġ"&amp;"enerali jew ""permanenti"" (locus standa) biex iġibu talbiet kontra istituzzjonijiet tal-UE u stati membri oħra għall-ksur tat-trattati. Mill-fondazzjoni tal-UE, il-Qorti tal-Ġustizzja ddeċidiet ukoll li t-trattati ppermettew liċ-ċittadini jew korporazzjo"&amp;"nijiet biex iġibu talbiet kontra l-UE u istituzzjonijiet tal-Istat Membru għall-ksur tat-trattati u r-regolamenti, jekk ġew interpretati sewwa bħala li joħolqu drittijiet u obbligi. Madankollu, taħt direttivi, iċ-ċittadini jew korporazzjonijiet intqal fl-"&amp;"1986 biex ma jitħallewx iġibu talbiet kontra partijiet oħra mhux statali. Dan kien ifisser li qrati ta 'l-istati membri ma kinux marbuta li japplikaw liġi tal-UE fejn regola nazzjonali kienet f'kunflitt, minkejja li l-gvern tal-istat membru jista' jiġi mħ"&amp;"arrek, jekk timponi obbligu fuq ċittadin jew korporazzjoni oħra. Dawn ir-regoli dwar ""effett dirett"" jillimitaw sa liema punt il-qrati tal-istat membri huma marbuta li jamministraw il-liġi tal-UE. L-azzjonijiet kollha mill-istituzzjonijiet tal-UE jistgħ"&amp;"u jkunu soġġetti għal reviżjoni ġudizzjarja, u ġġudikati minn standards ta 'proporzjonalità, partikolarment fejn huma involuti prinċipji ġenerali tal-liġi, jew drittijiet fundamentali. Ir-rimedju għal pretendent fejn kien hemm ksur tal-liġi ħafna drabi hu"&amp;"wa danni monetarji, iżda l-qrati jistgħu wkoll jeħtieġu prestazzjoni speċifika jew jagħtu mandat ta 'inibizzjoni, sabiex ikun assigurat li l-liġi tkun effettiva kemm jista' jkun.")</f>
        <v>Filwaqt li l-liġi kostituzzjonali tikkonċerna l-istruttura tal-governanza tal-Unjoni Ewropea, il-liġi amministrattiva tgħaqqad istituzzjonijiet tal-UE u stati membri biex isegwu l-liġi. Kemm l-istati membri kif ukoll il-kummissjoni għandhom dritt legali ġenerali jew "permanenti" (locus standa) biex iġibu talbiet kontra istituzzjonijiet tal-UE u stati membri oħra għall-ksur tat-trattati. Mill-fondazzjoni tal-UE, il-Qorti tal-Ġustizzja ddeċidiet ukoll li t-trattati ppermettew liċ-ċittadini jew korporazzjonijiet biex iġibu talbiet kontra l-UE u istituzzjonijiet tal-Istat Membru għall-ksur tat-trattati u r-regolamenti, jekk ġew interpretati sewwa bħala li joħolqu drittijiet u obbligi. Madankollu, taħt direttivi, iċ-ċittadini jew korporazzjonijiet intqal fl-1986 biex ma jitħallewx iġibu talbiet kontra partijiet oħra mhux statali. Dan kien ifisser li qrati ta 'l-istati membri ma kinux marbuta li japplikaw liġi tal-UE fejn regola nazzjonali kienet f'kunflitt, minkejja li l-gvern tal-istat membru jista' jiġi mħarrek, jekk timponi obbligu fuq ċittadin jew korporazzjoni oħra. Dawn ir-regoli dwar "effett dirett" jillimitaw sa liema punt il-qrati tal-istat membri huma marbuta li jamministraw il-liġi tal-UE. L-azzjonijiet kollha mill-istituzzjonijiet tal-UE jistgħu jkunu soġġetti għal reviżjoni ġudizzjarja, u ġġudikati minn standards ta 'proporzjonalità, partikolarment fejn huma involuti prinċipji ġenerali tal-liġi, jew drittijiet fundamentali. Ir-rimedju għal pretendent fejn kien hemm ksur tal-liġi ħafna drabi huwa danni monetarji, iżda l-qrati jistgħu wkoll jeħtieġu prestazzjoni speċifika jew jagħtu mandat ta 'inibizzjoni, sabiex ikun assigurat li l-liġi tkun effettiva kemm jista' jkun.</v>
      </c>
    </row>
    <row r="17971" ht="15.75" customHeight="1">
      <c r="A17971" s="2" t="s">
        <v>17971</v>
      </c>
      <c r="B17971" s="2" t="str">
        <f>IFERROR(__xludf.DUMMYFUNCTION("GOOGLETRANSLATE(A17971, ""en"", ""mt"")"),"Skond it-teorija umoristika tal-immunità, x'kienu l-aġenti immuni tal-korpi?")</f>
        <v>Skond it-teorija umoristika tal-immunità, x'kienu l-aġenti immuni tal-korpi?</v>
      </c>
    </row>
    <row r="17972" ht="15.75" customHeight="1">
      <c r="A17972" s="2" t="s">
        <v>17972</v>
      </c>
      <c r="B17972" s="2" t="str">
        <f>IFERROR(__xludf.DUMMYFUNCTION("GOOGLETRANSLATE(A17972, ""en"", ""mt"")"),"Kristjani Ortodossi")</f>
        <v>Kristjani Ortodossi</v>
      </c>
    </row>
    <row r="17973" ht="15.75" customHeight="1">
      <c r="A17973" s="2" t="s">
        <v>17973</v>
      </c>
      <c r="B17973" s="2" t="str">
        <f>IFERROR(__xludf.DUMMYFUNCTION("GOOGLETRANSLATE(A17973, ""en"", ""mt"")"),"Luther iddedika ruħu għall-ordni Agostinjan, jiddedika lilu nnifsu għas-sawm, sigħat twal fit-talb, pellegrinaġġ, u konfessjoni frekwenti. Luther iddeskriva dan il-perjodu ta ’ħajtu bħala wieħed ta’ disperazzjoni spiritwali profonda. Huwa qal, ""Tlift il-"&amp;"kuntatt ma 'Kristu s-Salvatur u l-Comforter, u għamilt minnu l-ħabs u l-hangman tar-ruħ fqira tiegħi."" Johann von Staupitz, is-superjur tiegħu, indika l-moħħ ta 'Luther' il bogħod minn riflessjoni kontinwa fuq dnubietu lejn il-mertu ta 'Kristu. Huwa għal"&amp;"lem li l-indiema vera ma tinvolvix penitenzi u pieni li jinfetħu lilhom infushom iżda pjuttost bidla fil-qalb.")</f>
        <v>Luther iddedika ruħu għall-ordni Agostinjan, jiddedika lilu nnifsu għas-sawm, sigħat twal fit-talb, pellegrinaġġ, u konfessjoni frekwenti. Luther iddeskriva dan il-perjodu ta ’ħajtu bħala wieħed ta’ disperazzjoni spiritwali profonda. Huwa qal, "Tlift il-kuntatt ma 'Kristu s-Salvatur u l-Comforter, u għamilt minnu l-ħabs u l-hangman tar-ruħ fqira tiegħi." Johann von Staupitz, is-superjur tiegħu, indika l-moħħ ta 'Luther' il bogħod minn riflessjoni kontinwa fuq dnubietu lejn il-mertu ta 'Kristu. Huwa għallem li l-indiema vera ma tinvolvix penitenzi u pieni li jinfetħu lilhom infushom iżda pjuttost bidla fil-qalb.</v>
      </c>
    </row>
    <row r="17974" ht="15.75" customHeight="1">
      <c r="A17974" s="2" t="s">
        <v>17974</v>
      </c>
      <c r="B17974" s="2" t="str">
        <f>IFERROR(__xludf.DUMMYFUNCTION("GOOGLETRANSLATE(A17974, ""en"", ""mt"")"),"Kif l-operatur li josserva s-sinjal rifless?")</f>
        <v>Kif l-operatur li josserva s-sinjal rifless?</v>
      </c>
    </row>
    <row r="17975" ht="15.75" customHeight="1">
      <c r="A17975" s="2" t="s">
        <v>17975</v>
      </c>
      <c r="B17975" s="2" t="str">
        <f>IFERROR(__xludf.DUMMYFUNCTION("GOOGLETRANSLATE(A17975, ""en"", ""mt"")"),"Liema snowbaorder famuż jgħix fin-nofsinhar ta 'California?")</f>
        <v>Liema snowbaorder famuż jgħix fin-nofsinhar ta 'California?</v>
      </c>
    </row>
    <row r="17976" ht="15.75" customHeight="1">
      <c r="A17976" s="2" t="s">
        <v>17976</v>
      </c>
      <c r="B17976" s="2" t="str">
        <f>IFERROR(__xludf.DUMMYFUNCTION("GOOGLETRANSLATE(A17976, ""en"", ""mt"")"),"Diversi mijiet ta ’horsepower")</f>
        <v>Diversi mijiet ta ’horsepower</v>
      </c>
    </row>
    <row r="17977" ht="15.75" customHeight="1">
      <c r="A17977" s="2" t="s">
        <v>17977</v>
      </c>
      <c r="B17977" s="2" t="str">
        <f>IFERROR(__xludf.DUMMYFUNCTION("GOOGLETRANSLATE(A17977, ""en"", ""mt"")"),"Liema żona hija responsabbli għall-preservazzjoni fit-tul tal-kollezzjonijiet ta 'V &amp; A?")</f>
        <v>Liema żona hija responsabbli għall-preservazzjoni fit-tul tal-kollezzjonijiet ta 'V &amp; A?</v>
      </c>
    </row>
    <row r="17978" ht="15.75" customHeight="1">
      <c r="A17978" s="2" t="s">
        <v>17978</v>
      </c>
      <c r="B17978" s="2" t="str">
        <f>IFERROR(__xludf.DUMMYFUNCTION("GOOGLETRANSLATE(A17978, ""en"", ""mt"")"),"tyrosinase")</f>
        <v>tyrosinase</v>
      </c>
    </row>
    <row r="17979" ht="15.75" customHeight="1">
      <c r="A17979" s="2" t="s">
        <v>17979</v>
      </c>
      <c r="B17979" s="2" t="str">
        <f>IFERROR(__xludf.DUMMYFUNCTION("GOOGLETRANSLATE(A17979, ""en"", ""mt"")"),"Minkejja l-korpi artab u ġelatinuż tagħhom, il-fossili ħasbu li jirrappreżentaw ctenophores, apparentement mingħajr tentakli iżda ħafna iktar rewwix tal-moxt minn forom moderni, instabu f'Lagerstätten kemm lura daqs il-bidu ta 'Cambrian, madwar 515 miljun"&amp;" sena ilu. Il-pożizzjoni taċ-ctenophores fis-siġra tal-familja evoluzzjonarja ta 'l-annimali ilha diskussa, u l-maġġoranza tal-veduta fil-preżent, ibbażata fuq filogenetika molekulari, hija li ċ-cnidarians u l-bilaterjani huma relatati aktar mill-qrib ma'"&amp;" xulxin milli jew huma għal ctenophores. Analiżi riċenti ta 'filogenetika molekulari kkonkludiet li l-antenat komuni taċ-ctenophores moderni kollha kien simili għal Cydippid, u li l-gruppi moderni kollha dehru relattivament reċentement, probabbilment wara"&amp;" l-avveniment ta' estinzjoni Kretaċeju-Paleogene 66 miljun sena ilu. L-evidenza li takkumula sa mis-snin 1980 tindika li ċ- ""cydippids"" mhumiex monofiletiċi, fi kliem ieħor ma jinkludux id-dixxendenti kollha u biss ta 'antenat komuni wieħed, minħabba li"&amp;" l-gruppi l-oħra kollha tradizzjonali ta' ctenophore huma dixxendenti ta 'diversi ċidippidi.")</f>
        <v>Minkejja l-korpi artab u ġelatinuż tagħhom, il-fossili ħasbu li jirrappreżentaw ctenophores, apparentement mingħajr tentakli iżda ħafna iktar rewwix tal-moxt minn forom moderni, instabu f'Lagerstätten kemm lura daqs il-bidu ta 'Cambrian, madwar 515 miljun sena ilu. Il-pożizzjoni taċ-ctenophores fis-siġra tal-familja evoluzzjonarja ta 'l-annimali ilha diskussa, u l-maġġoranza tal-veduta fil-preżent, ibbażata fuq filogenetika molekulari, hija li ċ-cnidarians u l-bilaterjani huma relatati aktar mill-qrib ma' xulxin milli jew huma għal ctenophores. Analiżi riċenti ta 'filogenetika molekulari kkonkludiet li l-antenat komuni taċ-ctenophores moderni kollha kien simili għal Cydippid, u li l-gruppi moderni kollha dehru relattivament reċentement, probabbilment wara l-avveniment ta' estinzjoni Kretaċeju-Paleogene 66 miljun sena ilu. L-evidenza li takkumula sa mis-snin 1980 tindika li ċ- "cydippids" mhumiex monofiletiċi, fi kliem ieħor ma jinkludux id-dixxendenti kollha u biss ta 'antenat komuni wieħed, minħabba li l-gruppi l-oħra kollha tradizzjonali ta' ctenophore huma dixxendenti ta 'diversi ċidippidi.</v>
      </c>
    </row>
    <row r="17980" ht="15.75" customHeight="1">
      <c r="A17980" s="2" t="s">
        <v>17980</v>
      </c>
      <c r="B17980" s="2" t="str">
        <f>IFERROR(__xludf.DUMMYFUNCTION("GOOGLETRANSLATE(A17980, ""en"", ""mt"")"),"fl-ispazju")</f>
        <v>fl-ispazju</v>
      </c>
    </row>
    <row r="17981" ht="15.75" customHeight="1">
      <c r="A17981" s="2" t="s">
        <v>17981</v>
      </c>
      <c r="B17981" s="2" t="str">
        <f>IFERROR(__xludf.DUMMYFUNCTION("GOOGLETRANSLATE(A17981, ""en"", ""mt"")"),"Il-minorenni se jegħleb aktar jgħajjat")</f>
        <v>Il-minorenni se jegħleb aktar jgħajjat</v>
      </c>
    </row>
    <row r="17982" ht="15.75" customHeight="1">
      <c r="A17982" s="2" t="s">
        <v>17982</v>
      </c>
      <c r="B17982" s="2" t="str">
        <f>IFERROR(__xludf.DUMMYFUNCTION("GOOGLETRANSLATE(A17982, ""en"", ""mt"")"),"X'inhu ligand fuq il-wiċċ taċ-ċellula li huwa rregolat wara l-attivazzjoni taċ-ċellula T helper?")</f>
        <v>X'inhu ligand fuq il-wiċċ taċ-ċellula li huwa rregolat wara l-attivazzjoni taċ-ċellula T helper?</v>
      </c>
    </row>
    <row r="17983" ht="15.75" customHeight="1">
      <c r="A17983" s="2" t="s">
        <v>17983</v>
      </c>
      <c r="B17983" s="2" t="str">
        <f>IFERROR(__xludf.DUMMYFUNCTION("GOOGLETRANSLATE(A17983, ""en"", ""mt"")"),"Kif it-trattament mhux ugwali taċ-Ċiniż kontra l-Mongoli fil-wan għamel id-dinastija tidher?")</f>
        <v>Kif it-trattament mhux ugwali taċ-Ċiniż kontra l-Mongoli fil-wan għamel id-dinastija tidher?</v>
      </c>
    </row>
    <row r="17984" ht="15.75" customHeight="1">
      <c r="A17984" s="2" t="s">
        <v>17984</v>
      </c>
      <c r="B17984" s="2" t="str">
        <f>IFERROR(__xludf.DUMMYFUNCTION("GOOGLETRANSLATE(A17984, ""en"", ""mt"")"),"L-Atlantiku")</f>
        <v>L-Atlantiku</v>
      </c>
    </row>
    <row r="17985" ht="15.75" customHeight="1">
      <c r="A17985" s="2" t="s">
        <v>17985</v>
      </c>
      <c r="B17985" s="2" t="str">
        <f>IFERROR(__xludf.DUMMYFUNCTION("GOOGLETRANSLATE(A17985, ""en"", ""mt"")"),"Minbarra l-Ġermanja u l-Isvizzera, fejn inkella l-Lag Constance?")</f>
        <v>Minbarra l-Ġermanja u l-Isvizzera, fejn inkella l-Lag Constance?</v>
      </c>
    </row>
    <row r="17986" ht="15.75" customHeight="1">
      <c r="A17986" s="2" t="s">
        <v>17986</v>
      </c>
      <c r="B17986" s="2" t="str">
        <f>IFERROR(__xludf.DUMMYFUNCTION("GOOGLETRANSLATE(A17986, ""en"", ""mt"")"),"Super Bowl XLIV")</f>
        <v>Super Bowl XLIV</v>
      </c>
    </row>
    <row r="17987" ht="15.75" customHeight="1">
      <c r="A17987" s="2" t="s">
        <v>17987</v>
      </c>
      <c r="B17987" s="2" t="str">
        <f>IFERROR(__xludf.DUMMYFUNCTION("GOOGLETRANSLATE(A17987, ""en"", ""mt"")"),"X’għamel ma ’saqajh bil-lejl?")</f>
        <v>X’għamel ma ’saqajh bil-lejl?</v>
      </c>
    </row>
    <row r="17988" ht="15.75" customHeight="1">
      <c r="A17988" s="2" t="s">
        <v>17988</v>
      </c>
      <c r="B17988" s="2" t="str">
        <f>IFERROR(__xludf.DUMMYFUNCTION("GOOGLETRANSLATE(A17988, ""en"", ""mt"")"),"Min minbarra r-Russi spiss jitħallew barra mid-dibattitu tal-kolonjaliżmu?")</f>
        <v>Min minbarra r-Russi spiss jitħallew barra mid-dibattitu tal-kolonjaliżmu?</v>
      </c>
    </row>
    <row r="17989" ht="15.75" customHeight="1">
      <c r="A17989" s="2" t="s">
        <v>17989</v>
      </c>
      <c r="B17989" s="2" t="str">
        <f>IFERROR(__xludf.DUMMYFUNCTION("GOOGLETRANSLATE(A17989, ""en"", ""mt"")"),"Fejn kienet il-forza Kievjana li kkonfrontat l-armata ta 'Subutai megħluba fl-1223?")</f>
        <v>Fejn kienet il-forza Kievjana li kkonfrontat l-armata ta 'Subutai megħluba fl-1223?</v>
      </c>
    </row>
    <row r="17990" ht="15.75" customHeight="1">
      <c r="A17990" s="2" t="s">
        <v>17990</v>
      </c>
      <c r="B17990" s="2" t="str">
        <f>IFERROR(__xludf.DUMMYFUNCTION("GOOGLETRANSLATE(A17990, ""en"", ""mt"")"),"Liema parti tal-kollezzjoni V&amp;A tagħmel id-djar tal-ġwienaħ ta 'Henry Cole?")</f>
        <v>Liema parti tal-kollezzjoni V&amp;A tagħmel id-djar tal-ġwienaħ ta 'Henry Cole?</v>
      </c>
    </row>
    <row r="17991" ht="15.75" customHeight="1">
      <c r="A17991" s="2" t="s">
        <v>17991</v>
      </c>
      <c r="B17991" s="2" t="str">
        <f>IFERROR(__xludf.DUMMYFUNCTION("GOOGLETRANSLATE(A17991, ""en"", ""mt"")"),"Ġunju u Settembru")</f>
        <v>Ġunju u Settembru</v>
      </c>
    </row>
    <row r="17992" ht="15.75" customHeight="1">
      <c r="A17992" s="2" t="s">
        <v>17992</v>
      </c>
      <c r="B17992" s="2" t="str">
        <f>IFERROR(__xludf.DUMMYFUNCTION("GOOGLETRANSLATE(A17992, ""en"", ""mt"")"),"Zhenjin")</f>
        <v>Zhenjin</v>
      </c>
    </row>
    <row r="17993" ht="15.75" customHeight="1">
      <c r="A17993" s="2" t="s">
        <v>17993</v>
      </c>
      <c r="B17993" s="2" t="str">
        <f>IFERROR(__xludf.DUMMYFUNCTION("GOOGLETRANSLATE(A17993, ""en"", ""mt"")"),"X'kien il-prezz taż-żejt f'Marzu tal-1974?")</f>
        <v>X'kien il-prezz taż-żejt f'Marzu tal-1974?</v>
      </c>
    </row>
    <row r="17994" ht="15.75" customHeight="1">
      <c r="A17994" s="2" t="s">
        <v>17994</v>
      </c>
      <c r="B17994" s="2" t="str">
        <f>IFERROR(__xludf.DUMMYFUNCTION("GOOGLETRANSLATE(A17994, ""en"", ""mt"")"),"Kif in-nies tal-bniedem jinġabru tul il-banek tal-vistula għall-festival ta 'Wianki?")</f>
        <v>Kif in-nies tal-bniedem jinġabru tul il-banek tal-vistula għall-festival ta 'Wianki?</v>
      </c>
    </row>
    <row r="17995" ht="15.75" customHeight="1">
      <c r="A17995" s="2" t="s">
        <v>17995</v>
      </c>
      <c r="B17995" s="2" t="str">
        <f>IFERROR(__xludf.DUMMYFUNCTION("GOOGLETRANSLATE(A17995, ""en"", ""mt"")"),"identifikazzjoni tal-blat")</f>
        <v>identifikazzjoni tal-blat</v>
      </c>
    </row>
    <row r="17996" ht="15.75" customHeight="1">
      <c r="A17996" s="2" t="s">
        <v>17996</v>
      </c>
      <c r="B17996" s="2" t="str">
        <f>IFERROR(__xludf.DUMMYFUNCTION("GOOGLETRANSLATE(A17996, ""en"", ""mt"")"),"L-inkorporazzjonijiet jiġu annullati biss għal lista fissa ta 'raġunijiet")</f>
        <v>L-inkorporazzjonijiet jiġu annullati biss għal lista fissa ta 'raġunijiet</v>
      </c>
    </row>
    <row r="17997" ht="15.75" customHeight="1">
      <c r="A17997" s="2" t="s">
        <v>17997</v>
      </c>
      <c r="B17997" s="2" t="str">
        <f>IFERROR(__xludf.DUMMYFUNCTION("GOOGLETRANSLATE(A17997, ""en"", ""mt"")"),"Knaurs Lexikon")</f>
        <v>Knaurs Lexikon</v>
      </c>
    </row>
    <row r="17998" ht="15.75" customHeight="1">
      <c r="A17998" s="2" t="s">
        <v>17998</v>
      </c>
      <c r="B17998" s="2" t="str">
        <f>IFERROR(__xludf.DUMMYFUNCTION("GOOGLETRANSLATE(A17998, ""en"", ""mt"")"),"X'qed Josel ta 'Rosheim sostna li Luther qal minn dawk li jistgħu jgħinu lill-Lhud?")</f>
        <v>X'qed Josel ta 'Rosheim sostna li Luther qal minn dawk li jistgħu jgħinu lill-Lhud?</v>
      </c>
    </row>
    <row r="17999" ht="15.75" customHeight="1">
      <c r="A17999" s="2" t="s">
        <v>17999</v>
      </c>
      <c r="B17999" s="2" t="str">
        <f>IFERROR(__xludf.DUMMYFUNCTION("GOOGLETRANSLATE(A17999, ""en"", ""mt"")"),"Innu")</f>
        <v>Innu</v>
      </c>
    </row>
    <row r="18000" ht="15.75" customHeight="1">
      <c r="A18000" s="2" t="s">
        <v>18000</v>
      </c>
      <c r="B18000" s="2" t="str">
        <f>IFERROR(__xludf.DUMMYFUNCTION("GOOGLETRANSLATE(A18000, ""en"", ""mt"")"),"Xi trid in-NU trid tistabbilizza?")</f>
        <v>Xi trid in-NU trid tistabbilizza?</v>
      </c>
    </row>
    <row r="18001" ht="15.75" customHeight="1">
      <c r="A18001" s="2" t="s">
        <v>18001</v>
      </c>
      <c r="B18001" s="2" t="str">
        <f>IFERROR(__xludf.DUMMYFUNCTION("GOOGLETRANSLATE(A18001, ""en"", ""mt"")"),"Il-baqar ingħataw")</f>
        <v>Il-baqar ingħataw</v>
      </c>
    </row>
    <row r="18002" ht="15.75" customHeight="1">
      <c r="A18002" s="2" t="s">
        <v>18002</v>
      </c>
      <c r="B18002" s="2" t="str">
        <f>IFERROR(__xludf.DUMMYFUNCTION("GOOGLETRANSLATE(A18002, ""en"", ""mt"")"),"11.1")</f>
        <v>11.1</v>
      </c>
    </row>
    <row r="18003" ht="15.75" customHeight="1">
      <c r="A18003" s="2" t="s">
        <v>18003</v>
      </c>
      <c r="B18003" s="2" t="str">
        <f>IFERROR(__xludf.DUMMYFUNCTION("GOOGLETRANSLATE(A18003, ""en"", ""mt"")"),"""Filosofija ta 'kontrogrammazzjoni kontra l-kompetituri tagħha""")</f>
        <v>"Filosofija ta 'kontrogrammazzjoni kontra l-kompetituri tagħha"</v>
      </c>
    </row>
    <row r="18004" ht="15.75" customHeight="1">
      <c r="A18004" s="2" t="s">
        <v>18004</v>
      </c>
      <c r="B18004" s="2" t="str">
        <f>IFERROR(__xludf.DUMMYFUNCTION("GOOGLETRANSLATE(A18004, ""en"", ""mt"")"),"Varsavja tinsab fil-Polonja ċentrali tal-lvant madwar 300 km (190 mi) mill-Muntanji tal-Karpazji u madwar 260 km (160 mi) mill-Baħar Baltiku, 523 km (325 mi) fil-lvant ta 'Berlin, il-Ġermanja. Il-belt tmur ix-xmara Vistula. Hija tinsab fil-qalba tal-pjanu"&amp;"ra Masovjana, u l-elevazzjoni medja tagħha hija ta '100 metru (330 ft)' il fuq mil-livell tal-baħar. L-ogħla punt fuq in-naħa tax-xellug tal-belt jinsab f'għoli ta '115.7 metri (379.6 ft) (""Redutowa"" Bus Depot, Distrett ta' Wola), fuq in-naħa tal-lemin "&amp;"- 122.1 metri (400.6 ft) (proprjetà ""Groszówka"", Distrett ta 'Wesoła, mill-fruntiera tal-Lvant). L-iktar punt baxx jinsab f'għoli ta '75.6 metri (248.0 ft) (fix-xatt tal-lemin tal-Vistula, mill-fruntiera tal-Lvant ta' Varsavja). Hemm xi għoljiet (l-akta"&amp;"r artifiċjali) li jinsabu fil-konfini tal-belt - p.e. Varsavja Rebbiegħa Hill (121 metru (397.0 ft)), Szczęśliwice Hill (138 metru (452.8 ft) - l-ogħla punt ta ’Varsavja b’mod ġenerali).")</f>
        <v>Varsavja tinsab fil-Polonja ċentrali tal-lvant madwar 300 km (190 mi) mill-Muntanji tal-Karpazji u madwar 260 km (160 mi) mill-Baħar Baltiku, 523 km (325 mi) fil-lvant ta 'Berlin, il-Ġermanja. Il-belt tmur ix-xmara Vistula. Hija tinsab fil-qalba tal-pjanura Masovjana, u l-elevazzjoni medja tagħha hija ta '100 metru (330 ft)' il fuq mil-livell tal-baħar. L-ogħla punt fuq in-naħa tax-xellug tal-belt jinsab f'għoli ta '115.7 metri (379.6 ft) ("Redutowa" Bus Depot, Distrett ta' Wola), fuq in-naħa tal-lemin - 122.1 metri (400.6 ft) (proprjetà "Groszówka", Distrett ta 'Wesoła, mill-fruntiera tal-Lvant). L-iktar punt baxx jinsab f'għoli ta '75.6 metri (248.0 ft) (fix-xatt tal-lemin tal-Vistula, mill-fruntiera tal-Lvant ta' Varsavja). Hemm xi għoljiet (l-aktar artifiċjali) li jinsabu fil-konfini tal-belt - p.e. Varsavja Rebbiegħa Hill (121 metru (397.0 ft)), Szczęśliwice Hill (138 metru (452.8 ft) - l-ogħla punt ta ’Varsavja b’mod ġenerali).</v>
      </c>
    </row>
    <row r="18005" ht="15.75" customHeight="1">
      <c r="A18005" s="2" t="s">
        <v>18005</v>
      </c>
      <c r="B18005" s="2" t="str">
        <f>IFERROR(__xludf.DUMMYFUNCTION("GOOGLETRANSLATE(A18005, ""en"", ""mt"")"),"ċaħdet l-eżistenza")</f>
        <v>ċaħdet l-eżistenza</v>
      </c>
    </row>
    <row r="18006" ht="15.75" customHeight="1">
      <c r="A18006" s="2" t="s">
        <v>18006</v>
      </c>
      <c r="B18006" s="2" t="str">
        <f>IFERROR(__xludf.DUMMYFUNCTION("GOOGLETRANSLATE(A18006, ""en"", ""mt"")"),"Luther kif iddeskriviet l-Università ta 'Erfurt?")</f>
        <v>Luther kif iddeskriviet l-Università ta 'Erfurt?</v>
      </c>
    </row>
    <row r="18007" ht="15.75" customHeight="1">
      <c r="A18007" s="2" t="s">
        <v>18007</v>
      </c>
      <c r="B18007" s="2" t="str">
        <f>IFERROR(__xludf.DUMMYFUNCTION("GOOGLETRANSLATE(A18007, ""en"", ""mt"")"),"Meta nħoloq Doctor Who?")</f>
        <v>Meta nħoloq Doctor Who?</v>
      </c>
    </row>
    <row r="18008" ht="15.75" customHeight="1">
      <c r="A18008" s="2" t="s">
        <v>18008</v>
      </c>
      <c r="B18008" s="2" t="str">
        <f>IFERROR(__xludf.DUMMYFUNCTION("GOOGLETRANSLATE(A18008, ""en"", ""mt"")"),"Min akkuża lil Genghis Khan meta sab u jikkastiga lil Shah?")</f>
        <v>Min akkuża lil Genghis Khan meta sab u jikkastiga lil Shah?</v>
      </c>
    </row>
    <row r="18009" ht="15.75" customHeight="1">
      <c r="A18009" s="2" t="s">
        <v>18009</v>
      </c>
      <c r="B18009" s="2" t="str">
        <f>IFERROR(__xludf.DUMMYFUNCTION("GOOGLETRANSLATE(A18009, ""en"", ""mt"")"),"Kif wieġeb Luther wara li ġie mistoqsi jekk il-kotba kinux tiegħu?")</f>
        <v>Kif wieġeb Luther wara li ġie mistoqsi jekk il-kotba kinux tiegħu?</v>
      </c>
    </row>
    <row r="18010" ht="15.75" customHeight="1">
      <c r="A18010" s="2" t="s">
        <v>18010</v>
      </c>
      <c r="B18010" s="2" t="str">
        <f>IFERROR(__xludf.DUMMYFUNCTION("GOOGLETRANSLATE(A18010, ""en"", ""mt"")"),"Sybilla tan-Normandija")</f>
        <v>Sybilla tan-Normandija</v>
      </c>
    </row>
    <row r="18011" ht="15.75" customHeight="1">
      <c r="A18011" s="2" t="s">
        <v>18011</v>
      </c>
      <c r="B18011" s="2" t="str">
        <f>IFERROR(__xludf.DUMMYFUNCTION("GOOGLETRANSLATE(A18011, ""en"", ""mt"")"),"X'inhu l-kilogramma-forza xi kultant mill-ġdid kif ukoll?")</f>
        <v>X'inhu l-kilogramma-forza xi kultant mill-ġdid kif ukoll?</v>
      </c>
    </row>
    <row r="18012" ht="15.75" customHeight="1">
      <c r="A18012" s="2" t="s">
        <v>18012</v>
      </c>
      <c r="B18012" s="2" t="str">
        <f>IFERROR(__xludf.DUMMYFUNCTION("GOOGLETRANSLATE(A18012, ""en"", ""mt"")"),"Partijiet ħodor")</f>
        <v>Partijiet ħodor</v>
      </c>
    </row>
    <row r="18013" ht="15.75" customHeight="1">
      <c r="A18013" s="2" t="s">
        <v>18013</v>
      </c>
      <c r="B18013" s="2" t="str">
        <f>IFERROR(__xludf.DUMMYFUNCTION("GOOGLETRANSLATE(A18013, ""en"", ""mt"")"),"Kif akkwistaw il-Mongoli Teknoloġija tal-Istampar Ċiniża?")</f>
        <v>Kif akkwistaw il-Mongoli Teknoloġija tal-Istampar Ċiniża?</v>
      </c>
    </row>
    <row r="18014" ht="15.75" customHeight="1">
      <c r="A18014" s="2" t="s">
        <v>18014</v>
      </c>
      <c r="B18014" s="2" t="str">
        <f>IFERROR(__xludf.DUMMYFUNCTION("GOOGLETRANSLATE(A18014, ""en"", ""mt"")"),"Min kien il-qtil ta 'Al-Banna bħala ritaljazzjoni għall-qtil minn qabel?")</f>
        <v>Min kien il-qtil ta 'Al-Banna bħala ritaljazzjoni għall-qtil minn qabel?</v>
      </c>
    </row>
    <row r="18015" ht="15.75" customHeight="1">
      <c r="A18015" s="2" t="s">
        <v>18015</v>
      </c>
      <c r="B18015" s="2" t="str">
        <f>IFERROR(__xludf.DUMMYFUNCTION("GOOGLETRANSLATE(A18015, ""en"", ""mt"")"),"livell aktar baxx")</f>
        <v>livell aktar baxx</v>
      </c>
    </row>
    <row r="18016" ht="15.75" customHeight="1">
      <c r="A18016" s="2" t="s">
        <v>18016</v>
      </c>
      <c r="B18016" s="2" t="str">
        <f>IFERROR(__xludf.DUMMYFUNCTION("GOOGLETRANSLATE(A18016, ""en"", ""mt"")"),"Shi Bingzhi")</f>
        <v>Shi Bingzhi</v>
      </c>
    </row>
    <row r="18017" ht="15.75" customHeight="1">
      <c r="A18017" s="2" t="s">
        <v>18017</v>
      </c>
      <c r="B18017" s="2" t="str">
        <f>IFERROR(__xludf.DUMMYFUNCTION("GOOGLETRANSLATE(A18017, ""en"", ""mt"")"),"Meta Tesla wera l-ewwel darba t-turbina?")</f>
        <v>Meta Tesla wera l-ewwel darba t-turbina?</v>
      </c>
    </row>
    <row r="18018" ht="15.75" customHeight="1">
      <c r="A18018" s="2" t="s">
        <v>18018</v>
      </c>
      <c r="B18018" s="2" t="str">
        <f>IFERROR(__xludf.DUMMYFUNCTION("GOOGLETRANSLATE(A18018, ""en"", ""mt"")"),"ħu ġuramentat")</f>
        <v>ħu ġuramentat</v>
      </c>
    </row>
    <row r="18019" ht="15.75" customHeight="1">
      <c r="A18019" s="2" t="s">
        <v>18019</v>
      </c>
      <c r="B18019" s="2" t="str">
        <f>IFERROR(__xludf.DUMMYFUNCTION("GOOGLETRANSLATE(A18019, ""en"", ""mt"")"),"Is-setturi ekonomiċi dominanti fiż-żona tan-nofs tar-Renu huma l-vinikultura u t-turiżmu. Il-Gorge Rhine bejn Rüdesheim Am Rhein u Koblenz huwa elenkat bħala Sit tal-Wirt Dinji tal-UNESCO. Ħdejn Sankt Goarshausen, ir-Rhine joħroġ madwar il-famuż rock lore"&amp;"lei. Bil-monumenti arkitettoniċi pendenti tagħha, l-għoljiet mimlijin dwieli, insedjamenti iffullati fuq ix-xmajjar dojoq u punteġġi ta 'kastelli allinjati tul il-parti ta' fuq tal-għoljiet weqfin, il-Wied tar-Renu Nofsani jista 'jitqies bħala l-epitome t"&amp;"ar-Rhine Romanticism.")</f>
        <v>Is-setturi ekonomiċi dominanti fiż-żona tan-nofs tar-Renu huma l-vinikultura u t-turiżmu. Il-Gorge Rhine bejn Rüdesheim Am Rhein u Koblenz huwa elenkat bħala Sit tal-Wirt Dinji tal-UNESCO. Ħdejn Sankt Goarshausen, ir-Rhine joħroġ madwar il-famuż rock lorelei. Bil-monumenti arkitettoniċi pendenti tagħha, l-għoljiet mimlijin dwieli, insedjamenti iffullati fuq ix-xmajjar dojoq u punteġġi ta 'kastelli allinjati tul il-parti ta' fuq tal-għoljiet weqfin, il-Wied tar-Renu Nofsani jista 'jitqies bħala l-epitome tar-Rhine Romanticism.</v>
      </c>
    </row>
    <row r="18020" ht="15.75" customHeight="1">
      <c r="A18020" s="2" t="s">
        <v>18020</v>
      </c>
      <c r="B18020" s="2" t="str">
        <f>IFERROR(__xludf.DUMMYFUNCTION("GOOGLETRANSLATE(A18020, ""en"", ""mt"")"),"X'inhu l-mekkaniżmu tad-difiża ewlieni tal-batterji magħruf bħala?")</f>
        <v>X'inhu l-mekkaniżmu tad-difiża ewlieni tal-batterji magħruf bħala?</v>
      </c>
    </row>
    <row r="18021" ht="15.75" customHeight="1">
      <c r="A18021" s="2" t="s">
        <v>18021</v>
      </c>
      <c r="B18021" s="2" t="str">
        <f>IFERROR(__xludf.DUMMYFUNCTION("GOOGLETRANSLATE(A18021, ""en"", ""mt"")"),"Fil-ħin tal-formazzjoni tagħha, kemm membri kellhom l-UMC?")</f>
        <v>Fil-ħin tal-formazzjoni tagħha, kemm membri kellhom l-UMC?</v>
      </c>
    </row>
    <row r="18022" ht="15.75" customHeight="1">
      <c r="A18022" s="2" t="s">
        <v>18022</v>
      </c>
      <c r="B18022" s="2" t="str">
        <f>IFERROR(__xludf.DUMMYFUNCTION("GOOGLETRANSLATE(A18022, ""en"", ""mt"")"),"Fl-1640")</f>
        <v>Fl-1640</v>
      </c>
    </row>
    <row r="18023" ht="15.75" customHeight="1">
      <c r="A18023" s="2" t="s">
        <v>18023</v>
      </c>
      <c r="B18023" s="2" t="str">
        <f>IFERROR(__xludf.DUMMYFUNCTION("GOOGLETRANSLATE(A18023, ""en"", ""mt"")"),"L-Innu Nazzjonali")</f>
        <v>L-Innu Nazzjonali</v>
      </c>
    </row>
    <row r="18024" ht="15.75" customHeight="1">
      <c r="A18024" s="2" t="s">
        <v>18024</v>
      </c>
      <c r="B18024" s="2" t="str">
        <f>IFERROR(__xludf.DUMMYFUNCTION("GOOGLETRANSLATE(A18024, ""en"", ""mt"")"),"Erbgħa")</f>
        <v>Erbgħa</v>
      </c>
    </row>
    <row r="18025" ht="15.75" customHeight="1">
      <c r="A18025" s="2" t="s">
        <v>18025</v>
      </c>
      <c r="B18025" s="2" t="str">
        <f>IFERROR(__xludf.DUMMYFUNCTION("GOOGLETRANSLATE(A18025, ""en"", ""mt"")"),"Liema lag fi gżira Ġermaniża Mainau jirċievi frazzjoni tal-fluss tar-Renu?")</f>
        <v>Liema lag fi gżira Ġermaniża Mainau jirċievi frazzjoni tal-fluss tar-Renu?</v>
      </c>
    </row>
    <row r="18026" ht="15.75" customHeight="1">
      <c r="A18026" s="2" t="s">
        <v>18026</v>
      </c>
      <c r="B18026" s="2" t="str">
        <f>IFERROR(__xludf.DUMMYFUNCTION("GOOGLETRANSLATE(A18026, ""en"", ""mt"")"),"Thomas Savery.")</f>
        <v>Thomas Savery.</v>
      </c>
    </row>
    <row r="18027" ht="15.75" customHeight="1">
      <c r="A18027" s="2" t="s">
        <v>18027</v>
      </c>
      <c r="B18027" s="2" t="str">
        <f>IFERROR(__xludf.DUMMYFUNCTION("GOOGLETRANSLATE(A18027, ""en"", ""mt"")"),"Taraġ")</f>
        <v>Taraġ</v>
      </c>
    </row>
    <row r="18028" ht="15.75" customHeight="1">
      <c r="A18028" s="2" t="s">
        <v>18028</v>
      </c>
      <c r="B18028" s="2" t="str">
        <f>IFERROR(__xludf.DUMMYFUNCTION("GOOGLETRANSLATE(A18028, ""en"", ""mt"")"),"X’kien jidher iż-żwieġ ta ’Luther bħala minn oħrajn?")</f>
        <v>X’kien jidher iż-żwieġ ta ’Luther bħala minn oħrajn?</v>
      </c>
    </row>
    <row r="18029" ht="15.75" customHeight="1">
      <c r="A18029" s="2" t="s">
        <v>18029</v>
      </c>
      <c r="B18029" s="2" t="str">
        <f>IFERROR(__xludf.DUMMYFUNCTION("GOOGLETRANSLATE(A18029, ""en"", ""mt"")"),"Fejn kienet l-ewwel ftehim fir-Rabat?")</f>
        <v>Fejn kienet l-ewwel ftehim fir-Rabat?</v>
      </c>
    </row>
    <row r="18030" ht="15.75" customHeight="1">
      <c r="A18030" s="2" t="s">
        <v>18030</v>
      </c>
      <c r="B18030" s="2" t="str">
        <f>IFERROR(__xludf.DUMMYFUNCTION("GOOGLETRANSLATE(A18030, ""en"", ""mt"")"),"X'inhu jinsab f'dan id-distrett?")</f>
        <v>X'inhu jinsab f'dan id-distrett?</v>
      </c>
    </row>
    <row r="18031" ht="15.75" customHeight="1">
      <c r="A18031" s="2" t="s">
        <v>18031</v>
      </c>
      <c r="B18031" s="2" t="str">
        <f>IFERROR(__xludf.DUMMYFUNCTION("GOOGLETRANSLATE(A18031, ""en"", ""mt"")"),"bejn wieħed u ieħor sferiku")</f>
        <v>bejn wieħed u ieħor sferiku</v>
      </c>
    </row>
    <row r="18032" ht="15.75" customHeight="1">
      <c r="A18032" s="2" t="s">
        <v>18032</v>
      </c>
      <c r="B18032" s="2" t="str">
        <f>IFERROR(__xludf.DUMMYFUNCTION("GOOGLETRANSLATE(A18032, ""en"", ""mt"")"),"X'kien il-gvernijiet tar-Renju Unit jibbenefikaw l-iċċekkjar tal-agenchy fl-2012?")</f>
        <v>X'kien il-gvernijiet tar-Renju Unit jibbenefikaw l-iċċekkjar tal-agenchy fl-2012?</v>
      </c>
    </row>
    <row r="18033" ht="15.75" customHeight="1">
      <c r="A18033" s="2" t="s">
        <v>18033</v>
      </c>
      <c r="B18033" s="2" t="str">
        <f>IFERROR(__xludf.DUMMYFUNCTION("GOOGLETRANSLATE(A18033, ""en"", ""mt"")"),"1115")</f>
        <v>1115</v>
      </c>
    </row>
    <row r="18034" ht="15.75" customHeight="1">
      <c r="A18034" s="2" t="s">
        <v>18034</v>
      </c>
      <c r="B18034" s="2" t="str">
        <f>IFERROR(__xludf.DUMMYFUNCTION("GOOGLETRANSLATE(A18034, ""en"", ""mt"")"),"Genghis Khan huwa meqjus bħala wieħed mill-mexxejja prominenti fl-istorja tal-Mongolja. Huwa responsabbli għall-ħolqien tal-Mongoli bħala identità politika u etnika minħabba li ma kien hemm l-ebda identità unifikata bejn it-tribujiet li kellhom xebh kultu"&amp;"rali. Huwa rrinfurza ħafna tradizzjonijiet Mongoljani u pprovda stabbiltà u għaqda matul żmien ta 'gwerra kważi endemika bejn it-tribujiet. Huwa jingħata wkoll kreditu għall-introduzzjoni tal-iskrittura Mongoljana tradizzjonali u l-ħolqien tal-IKH Zasag ("&amp;"amministrazzjoni kbira), l-ewwel liġi Mongoljana miktuba. ""Il-liġi Ikh Zasag adottata matul iż-żmien ta 'Genghis Khan fil-Mongolja kellha punti biex tikkastiga kwistjonijiet illegali relatati mal-korruzzjoni u t-tixħim ħafna,"" innota l-President Mongolj"&amp;"an Tsakhiagiin Elbegdorj. Il-President Elbegdorj jara lil Genghis Khan bħala mexxej li minnu jitgħallem għall-isforzi kontra l-korruzzjoni hekk kif Genghis Khan fittex protezzjoni ugwali skont il-liġi għaċ-ċittadini kollha irrispettivament mill-istatus je"&amp;"w mill-ġid. ""Chinggis (Genghis Khan) ... kien raġel li rrealizza profondament li l-ġustizzja tibda u tikkonsolida bl-ugwaljanza tal-liġi, u mhux bid-distinzjonijiet bejn in-nies. Huwa kien raġel li kien jaf li l-liġijiet tajbin u r-regoli għexu aktar min"&amp;"n Palazzi fancy, ""qal Elbegdorj fid-diskors tiegħu fit-850 anniversarju tat-twelid ta 'Chinggis Khaan. Fil-qosor, il-Mongoljani jarawh bħala l-figura fundamentali fil-fondazzjoni tal-imperu Mongoljan u għalhekk il-bażi għall-Mongolja bħala pajjiż.")</f>
        <v>Genghis Khan huwa meqjus bħala wieħed mill-mexxejja prominenti fl-istorja tal-Mongolja. Huwa responsabbli għall-ħolqien tal-Mongoli bħala identità politika u etnika minħabba li ma kien hemm l-ebda identità unifikata bejn it-tribujiet li kellhom xebh kulturali. Huwa rrinfurza ħafna tradizzjonijiet Mongoljani u pprovda stabbiltà u għaqda matul żmien ta 'gwerra kważi endemika bejn it-tribujiet. Huwa jingħata wkoll kreditu għall-introduzzjoni tal-iskrittura Mongoljana tradizzjonali u l-ħolqien tal-IKH Zasag (amministrazzjoni kbira), l-ewwel liġi Mongoljana miktuba. "Il-liġi Ikh Zasag adottata matul iż-żmien ta 'Genghis Khan fil-Mongolja kellha punti biex tikkastiga kwistjonijiet illegali relatati mal-korruzzjoni u t-tixħim ħafna," innota l-President Mongoljan Tsakhiagiin Elbegdorj. Il-President Elbegdorj jara lil Genghis Khan bħala mexxej li minnu jitgħallem għall-isforzi kontra l-korruzzjoni hekk kif Genghis Khan fittex protezzjoni ugwali skont il-liġi għaċ-ċittadini kollha irrispettivament mill-istatus jew mill-ġid. "Chinggis (Genghis Khan) ... kien raġel li rrealizza profondament li l-ġustizzja tibda u tikkonsolida bl-ugwaljanza tal-liġi, u mhux bid-distinzjonijiet bejn in-nies. Huwa kien raġel li kien jaf li l-liġijiet tajbin u r-regoli għexu aktar minn Palazzi fancy, "qal Elbegdorj fid-diskors tiegħu fit-850 anniversarju tat-twelid ta 'Chinggis Khaan. Fil-qosor, il-Mongoljani jarawh bħala l-figura fundamentali fil-fondazzjoni tal-imperu Mongoljan u għalhekk il-bażi għall-Mongolja bħala pajjiż.</v>
      </c>
    </row>
    <row r="18035" ht="15.75" customHeight="1">
      <c r="A18035" s="2" t="s">
        <v>18035</v>
      </c>
      <c r="B18035" s="2" t="str">
        <f>IFERROR(__xludf.DUMMYFUNCTION("GOOGLETRANSLATE(A18035, ""en"", ""mt"")"),"massa")</f>
        <v>massa</v>
      </c>
    </row>
    <row r="18036" ht="15.75" customHeight="1">
      <c r="A18036" s="2" t="s">
        <v>18036</v>
      </c>
      <c r="B18036" s="2" t="str">
        <f>IFERROR(__xludf.DUMMYFUNCTION("GOOGLETRANSLATE(A18036, ""en"", ""mt"")"),"Alfred Stevens")</f>
        <v>Alfred Stevens</v>
      </c>
    </row>
    <row r="18037" ht="15.75" customHeight="1">
      <c r="A18037" s="2" t="s">
        <v>18037</v>
      </c>
      <c r="B18037" s="2" t="str">
        <f>IFERROR(__xludf.DUMMYFUNCTION("GOOGLETRANSLATE(A18037, ""en"", ""mt"")"),"X'inhi l-popolazzjoni ta 'Los Angeles?")</f>
        <v>X'inhi l-popolazzjoni ta 'Los Angeles?</v>
      </c>
    </row>
    <row r="18038" ht="15.75" customHeight="1">
      <c r="A18038" s="2" t="s">
        <v>18038</v>
      </c>
      <c r="B18038" s="2" t="str">
        <f>IFERROR(__xludf.DUMMYFUNCTION("GOOGLETRANSLATE(A18038, ""en"", ""mt"")"),"Kemm huma kbar il-phycobilisomes?")</f>
        <v>Kemm huma kbar il-phycobilisomes?</v>
      </c>
    </row>
    <row r="18039" ht="15.75" customHeight="1">
      <c r="A18039" s="2" t="s">
        <v>18039</v>
      </c>
      <c r="B18039" s="2" t="str">
        <f>IFERROR(__xludf.DUMMYFUNCTION("GOOGLETRANSLATE(A18039, ""en"", ""mt"")"),"B'liema mod jistgħu jinġiebu lura")</f>
        <v>B'liema mod jistgħu jinġiebu lura</v>
      </c>
    </row>
    <row r="18040" ht="15.75" customHeight="1">
      <c r="A18040" s="2" t="s">
        <v>18040</v>
      </c>
      <c r="B18040" s="2" t="str">
        <f>IFERROR(__xludf.DUMMYFUNCTION("GOOGLETRANSLATE(A18040, ""en"", ""mt"")"),"Għal ħafna snin, is-Sudan kellu reġim Iżlamista taħt it-tmexxija ta ’Hassan al-Turabi. Il-Front Nazzjonali Iżlamiku tiegħu kiseb l-ewwel influwenza meta l-għotja ġenerali Gaafar al-Nimeiry stiednet lill-membri biex iservu fil-gvern tiegħu fl-1979. Turabi "&amp;"bena bażi ekonomika qawwija bi flus minn sistemi bankarji Iżlamisti barranin, speċjalment dawk marbuta mal-Arabja Sawdija. Huwa rrekluta wkoll u bena qafas ta 'lealiżi influwenti billi poġġa studenti simpatetiċi fl-università u l-akkademja militari waqt l"&amp;"i kien qed iservi bħala Ministru tal-Edukazzjoni.")</f>
        <v>Għal ħafna snin, is-Sudan kellu reġim Iżlamista taħt it-tmexxija ta ’Hassan al-Turabi. Il-Front Nazzjonali Iżlamiku tiegħu kiseb l-ewwel influwenza meta l-għotja ġenerali Gaafar al-Nimeiry stiednet lill-membri biex iservu fil-gvern tiegħu fl-1979. Turabi bena bażi ekonomika qawwija bi flus minn sistemi bankarji Iżlamisti barranin, speċjalment dawk marbuta mal-Arabja Sawdija. Huwa rrekluta wkoll u bena qafas ta 'lealiżi influwenti billi poġġa studenti simpatetiċi fl-università u l-akkademja militari waqt li kien qed iservi bħala Ministru tal-Edukazzjoni.</v>
      </c>
    </row>
    <row r="18041" ht="15.75" customHeight="1">
      <c r="A18041" s="2" t="s">
        <v>18041</v>
      </c>
      <c r="B18041" s="2" t="str">
        <f>IFERROR(__xludf.DUMMYFUNCTION("GOOGLETRANSLATE(A18041, ""en"", ""mt"")"),"""Formali""")</f>
        <v>"Formali"</v>
      </c>
    </row>
    <row r="18042" ht="15.75" customHeight="1">
      <c r="A18042" s="2" t="s">
        <v>18042</v>
      </c>
      <c r="B18042" s="2" t="str">
        <f>IFERROR(__xludf.DUMMYFUNCTION("GOOGLETRANSLATE(A18042, ""en"", ""mt"")"),"Mill-inqas kors avvanzat kull tliet snin")</f>
        <v>Mill-inqas kors avvanzat kull tliet snin</v>
      </c>
    </row>
    <row r="18043" ht="15.75" customHeight="1">
      <c r="A18043" s="2" t="s">
        <v>18043</v>
      </c>
      <c r="B18043" s="2" t="str">
        <f>IFERROR(__xludf.DUMMYFUNCTION("GOOGLETRANSLATE(A18043, ""en"", ""mt"")"),"Gwardja kontra gruppi armati")</f>
        <v>Gwardja kontra gruppi armati</v>
      </c>
    </row>
    <row r="18044" ht="15.75" customHeight="1">
      <c r="A18044" s="2" t="s">
        <v>18044</v>
      </c>
      <c r="B18044" s="2" t="str">
        <f>IFERROR(__xludf.DUMMYFUNCTION("GOOGLETRANSLATE(A18044, ""en"", ""mt"")"),"l-agħar kumplessità tal-ħin")</f>
        <v>l-agħar kumplessità tal-ħin</v>
      </c>
    </row>
    <row r="18045" ht="15.75" customHeight="1">
      <c r="A18045" s="2" t="s">
        <v>18045</v>
      </c>
      <c r="B18045" s="2" t="str">
        <f>IFERROR(__xludf.DUMMYFUNCTION("GOOGLETRANSLATE(A18045, ""en"", ""mt"")"),"temperaturi li huma kesħin wisq fl-Ewropa tat-Tramuntana għas-sopravivenza tal-briegħed")</f>
        <v>temperaturi li huma kesħin wisq fl-Ewropa tat-Tramuntana għas-sopravivenza tal-briegħed</v>
      </c>
    </row>
    <row r="18046" ht="15.75" customHeight="1">
      <c r="A18046" s="2" t="s">
        <v>18046</v>
      </c>
      <c r="B18046" s="2" t="str">
        <f>IFERROR(__xludf.DUMMYFUNCTION("GOOGLETRANSLATE(A18046, ""en"", ""mt"")"),"Friends of Luther")</f>
        <v>Friends of Luther</v>
      </c>
    </row>
    <row r="18047" ht="15.75" customHeight="1">
      <c r="A18047" s="2" t="s">
        <v>18047</v>
      </c>
      <c r="B18047" s="2" t="str">
        <f>IFERROR(__xludf.DUMMYFUNCTION("GOOGLETRANSLATE(A18047, ""en"", ""mt"")"),"Il-possedimenti kontinentali tagħha tal-Amerika ta ’Fuq fil-lvant tal-Mississippi jew il-Gżejjer tal-Karibew")</f>
        <v>Il-possedimenti kontinentali tagħha tal-Amerika ta ’Fuq fil-lvant tal-Mississippi jew il-Gżejjer tal-Karibew</v>
      </c>
    </row>
    <row r="18048" ht="15.75" customHeight="1">
      <c r="A18048" s="2" t="s">
        <v>18048</v>
      </c>
      <c r="B18048" s="2" t="str">
        <f>IFERROR(__xludf.DUMMYFUNCTION("GOOGLETRANSLATE(A18048, ""en"", ""mt"")"),"Kemm imsieħba tat-televiżjoni mxandra għandha l-NFL?")</f>
        <v>Kemm imsieħba tat-televiżjoni mxandra għandha l-NFL?</v>
      </c>
    </row>
    <row r="18049" ht="15.75" customHeight="1">
      <c r="A18049" s="2" t="s">
        <v>18049</v>
      </c>
      <c r="B18049" s="2" t="str">
        <f>IFERROR(__xludf.DUMMYFUNCTION("GOOGLETRANSLATE(A18049, ""en"", ""mt"")"),"Dan kien jipproduċi wkoll dokument kostituzzjonali wieħed")</f>
        <v>Dan kien jipproduċi wkoll dokument kostituzzjonali wieħed</v>
      </c>
    </row>
    <row r="18050" ht="15.75" customHeight="1">
      <c r="A18050" s="2" t="s">
        <v>18050</v>
      </c>
      <c r="B18050" s="2" t="str">
        <f>IFERROR(__xludf.DUMMYFUNCTION("GOOGLETRANSLATE(A18050, ""en"", ""mt"")"),"Frodi")</f>
        <v>Frodi</v>
      </c>
    </row>
    <row r="18051" ht="15.75" customHeight="1">
      <c r="A18051" s="2" t="s">
        <v>18051</v>
      </c>
      <c r="B18051" s="2" t="str">
        <f>IFERROR(__xludf.DUMMYFUNCTION("GOOGLETRANSLATE(A18051, ""en"", ""mt"")"),"Ekwilibriju statiku")</f>
        <v>Ekwilibriju statiku</v>
      </c>
    </row>
    <row r="18052" ht="15.75" customHeight="1">
      <c r="A18052" s="2" t="s">
        <v>18052</v>
      </c>
      <c r="B18052" s="2" t="str">
        <f>IFERROR(__xludf.DUMMYFUNCTION("GOOGLETRANSLATE(A18052, ""en"", ""mt"")"),"massa tas-sistema")</f>
        <v>massa tas-sistema</v>
      </c>
    </row>
    <row r="18053" ht="15.75" customHeight="1">
      <c r="A18053" s="2" t="s">
        <v>18053</v>
      </c>
      <c r="B18053" s="2" t="str">
        <f>IFERROR(__xludf.DUMMYFUNCTION("GOOGLETRANSLATE(A18053, ""en"", ""mt"")"),"Neofundamentalist")</f>
        <v>Neofundamentalist</v>
      </c>
    </row>
    <row r="18054" ht="15.75" customHeight="1">
      <c r="A18054" s="2" t="s">
        <v>18054</v>
      </c>
      <c r="B18054" s="2" t="str">
        <f>IFERROR(__xludf.DUMMYFUNCTION("GOOGLETRANSLATE(A18054, ""en"", ""mt"")"),"F'liema tip ta 'ċirku jistgħu jintużaw l-ideali ewlenin għall-validazzjoni ta' reċiproċità kwadratika?")</f>
        <v>F'liema tip ta 'ċirku jistgħu jintużaw l-ideali ewlenin għall-validazzjoni ta' reċiproċità kwadratika?</v>
      </c>
    </row>
    <row r="18055" ht="15.75" customHeight="1">
      <c r="A18055" s="2" t="s">
        <v>18055</v>
      </c>
      <c r="B18055" s="2" t="str">
        <f>IFERROR(__xludf.DUMMYFUNCTION("GOOGLETRANSLATE(A18055, ""en"", ""mt"")"),"Charles F. Peck")</f>
        <v>Charles F. Peck</v>
      </c>
    </row>
    <row r="18056" ht="15.75" customHeight="1">
      <c r="A18056" s="2" t="s">
        <v>18056</v>
      </c>
      <c r="B18056" s="2" t="str">
        <f>IFERROR(__xludf.DUMMYFUNCTION("GOOGLETRANSLATE(A18056, ""en"", ""mt"")"),"Kemm hemm membri fuq il-pajjiż tal-belt ta 'Varsavja?")</f>
        <v>Kemm hemm membri fuq il-pajjiż tal-belt ta 'Varsavja?</v>
      </c>
    </row>
    <row r="18057" ht="15.75" customHeight="1">
      <c r="A18057" s="2" t="s">
        <v>18057</v>
      </c>
      <c r="B18057" s="2" t="str">
        <f>IFERROR(__xludf.DUMMYFUNCTION("GOOGLETRANSLATE(A18057, ""en"", ""mt"")"),"kapaċità bħala uffiċjal pubbliku")</f>
        <v>kapaċità bħala uffiċjal pubbliku</v>
      </c>
    </row>
    <row r="18058" ht="15.75" customHeight="1">
      <c r="A18058" s="2" t="s">
        <v>18058</v>
      </c>
      <c r="B18058" s="2" t="str">
        <f>IFERROR(__xludf.DUMMYFUNCTION("GOOGLETRANSLATE(A18058, ""en"", ""mt"")"),"Punent")</f>
        <v>Punent</v>
      </c>
    </row>
    <row r="18059" ht="15.75" customHeight="1">
      <c r="A18059" s="2" t="s">
        <v>18059</v>
      </c>
      <c r="B18059" s="2" t="str">
        <f>IFERROR(__xludf.DUMMYFUNCTION("GOOGLETRANSLATE(A18059, ""en"", ""mt"")"),"merkanzija")</f>
        <v>merkanzija</v>
      </c>
    </row>
    <row r="18060" ht="15.75" customHeight="1">
      <c r="A18060" s="2" t="s">
        <v>18060</v>
      </c>
      <c r="B18060" s="2" t="str">
        <f>IFERROR(__xludf.DUMMYFUNCTION("GOOGLETRANSLATE(A18060, ""en"", ""mt"")"),"enerġija solari, enerġija nukleari jew enerġija ġeotermali")</f>
        <v>enerġija solari, enerġija nukleari jew enerġija ġeotermali</v>
      </c>
    </row>
    <row r="18061" ht="15.75" customHeight="1">
      <c r="A18061" s="2" t="s">
        <v>18061</v>
      </c>
      <c r="B18061" s="2" t="str">
        <f>IFERROR(__xludf.DUMMYFUNCTION("GOOGLETRANSLATE(A18061, ""en"", ""mt"")"),"Kif intużaw il-fieri ta 'Fresno?")</f>
        <v>Kif intużaw il-fieri ta 'Fresno?</v>
      </c>
    </row>
    <row r="18062" ht="15.75" customHeight="1">
      <c r="A18062" s="2" t="s">
        <v>18062</v>
      </c>
      <c r="B18062" s="2" t="str">
        <f>IFERROR(__xludf.DUMMYFUNCTION("GOOGLETRANSLATE(A18062, ""en"", ""mt"")"),"Interazzjoni Elettroweak")</f>
        <v>Interazzjoni Elettroweak</v>
      </c>
    </row>
    <row r="18063" ht="15.75" customHeight="1">
      <c r="A18063" s="2" t="s">
        <v>18063</v>
      </c>
      <c r="B18063" s="2" t="str">
        <f>IFERROR(__xludf.DUMMYFUNCTION("GOOGLETRANSLATE(A18063, ""en"", ""mt"")"),"Min waqqaf l-uffiċċju tal-mediċina tal-Punent?")</f>
        <v>Min waqqaf l-uffiċċju tal-mediċina tal-Punent?</v>
      </c>
    </row>
    <row r="18064" ht="15.75" customHeight="1">
      <c r="A18064" s="2" t="s">
        <v>18064</v>
      </c>
      <c r="B18064" s="2" t="str">
        <f>IFERROR(__xludf.DUMMYFUNCTION("GOOGLETRANSLATE(A18064, ""en"", ""mt"")"),"lute")</f>
        <v>lute</v>
      </c>
    </row>
    <row r="18065" ht="15.75" customHeight="1">
      <c r="A18065" s="2" t="s">
        <v>18065</v>
      </c>
      <c r="B18065" s="2" t="str">
        <f>IFERROR(__xludf.DUMMYFUNCTION("GOOGLETRANSLATE(A18065, ""en"", ""mt"")"),"Liema show ospitanti tal-kummiedja tard bil-lejl lagħab immedjatament wara li spiċċa Super Bowl 50?")</f>
        <v>Liema show ospitanti tal-kummiedja tard bil-lejl lagħab immedjatament wara li spiċċa Super Bowl 50?</v>
      </c>
    </row>
    <row r="18066" ht="15.75" customHeight="1">
      <c r="A18066" s="2" t="s">
        <v>18066</v>
      </c>
      <c r="B18066" s="2" t="str">
        <f>IFERROR(__xludf.DUMMYFUNCTION("GOOGLETRANSLATE(A18066, ""en"", ""mt"")"),"Depopolazzjoni serja u bidla permanenti kemm fl-istrutturi ekonomiċi kif ukoll soċjali")</f>
        <v>Depopolazzjoni serja u bidla permanenti kemm fl-istrutturi ekonomiċi kif ukoll soċjali</v>
      </c>
    </row>
    <row r="18067" ht="15.75" customHeight="1">
      <c r="A18067" s="2" t="s">
        <v>18067</v>
      </c>
      <c r="B18067" s="2" t="str">
        <f>IFERROR(__xludf.DUMMYFUNCTION("GOOGLETRANSLATE(A18067, ""en"", ""mt"")"),"tripartite")</f>
        <v>tripartite</v>
      </c>
    </row>
    <row r="18068" ht="15.75" customHeight="1">
      <c r="A18068" s="2" t="s">
        <v>18068</v>
      </c>
      <c r="B18068" s="2" t="str">
        <f>IFERROR(__xludf.DUMMYFUNCTION("GOOGLETRANSLATE(A18068, ""en"", ""mt"")"),"Min iddisinja t-Trofew Vince Lombardi?")</f>
        <v>Min iddisinja t-Trofew Vince Lombardi?</v>
      </c>
    </row>
    <row r="18069" ht="15.75" customHeight="1">
      <c r="A18069" s="2" t="s">
        <v>18069</v>
      </c>
      <c r="B18069" s="2" t="str">
        <f>IFERROR(__xludf.DUMMYFUNCTION("GOOGLETRANSLATE(A18069, ""en"", ""mt"")"),"Liema oqsma kkontrolla Genghis Khan fi tmiem ħajtu?")</f>
        <v>Liema oqsma kkontrolla Genghis Khan fi tmiem ħajtu?</v>
      </c>
    </row>
    <row r="18070" ht="15.75" customHeight="1">
      <c r="A18070" s="2" t="s">
        <v>18070</v>
      </c>
      <c r="B18070" s="2" t="str">
        <f>IFERROR(__xludf.DUMMYFUNCTION("GOOGLETRANSLATE(A18070, ""en"", ""mt"")"),"F’soluzzjoni fil-korpi tal-ilma tad-dinja")</f>
        <v>F’soluzzjoni fil-korpi tal-ilma tad-dinja</v>
      </c>
    </row>
    <row r="18071" ht="15.75" customHeight="1">
      <c r="A18071" s="2" t="s">
        <v>18071</v>
      </c>
      <c r="B18071" s="2" t="str">
        <f>IFERROR(__xludf.DUMMYFUNCTION("GOOGLETRANSLATE(A18071, ""en"", ""mt"")"),"Tliet azzjonijiet offensivi ewlenin li jinvolvu numru kbir ta 'truppi regolari")</f>
        <v>Tliet azzjonijiet offensivi ewlenin li jinvolvu numru kbir ta 'truppi regolari</v>
      </c>
    </row>
    <row r="18072" ht="15.75" customHeight="1">
      <c r="A18072" s="2" t="s">
        <v>18072</v>
      </c>
      <c r="B18072" s="2" t="str">
        <f>IFERROR(__xludf.DUMMYFUNCTION("GOOGLETRANSLATE(A18072, ""en"", ""mt"")"),"L-ossiġnu jinħall aktar fl-ilma milli hu n-nitroġenu. L-ilma f'ekwilibriju bl-arja fih madwar 1 molekula ta 'o maħlula
2 għal kull 2 ​​molekuli ta 'n
2, meta mqabbel ma 'proporzjon atmosferiku ta' madwar 1: 4. Is-solubilità ta 'l-ossiġenu fl-ilma tiddepen"&amp;"di mit-temperatura, u madwar id-doppju ta' (14.6 mg · l - 1) tinħall f'0 ° C milli f'20 ° C (7.6 mg · L - 1). F'25 ° C u 1 atmosfera standard (101.3 kPa) ta 'l-arja, l-ilma ħelu fih madwar 6.04 millilitri (ml) ta' ossiġnu għal kull litru, filwaqt li l-ilm"&amp;"a baħar fih madwar 4.95 ml kull litru. F'5 ° C is-solubilità tiżdied għal 9.0 ml (50% aktar minn 25 ° C) għal kull litru għall-ilma u 7.2 ml (45% aktar) għal kull litru għall-ilma baħar.")</f>
        <v>L-ossiġnu jinħall aktar fl-ilma milli hu n-nitroġenu. L-ilma f'ekwilibriju bl-arja fih madwar 1 molekula ta 'o maħlula
2 għal kull 2 ​​molekuli ta 'n
2, meta mqabbel ma 'proporzjon atmosferiku ta' madwar 1: 4. Is-solubilità ta 'l-ossiġenu fl-ilma tiddependi mit-temperatura, u madwar id-doppju ta' (14.6 mg · l - 1) tinħall f'0 ° C milli f'20 ° C (7.6 mg · L - 1). F'25 ° C u 1 atmosfera standard (101.3 kPa) ta 'l-arja, l-ilma ħelu fih madwar 6.04 millilitri (ml) ta' ossiġnu għal kull litru, filwaqt li l-ilma baħar fih madwar 4.95 ml kull litru. F'5 ° C is-solubilità tiżdied għal 9.0 ml (50% aktar minn 25 ° C) għal kull litru għall-ilma u 7.2 ml (45% aktar) għal kull litru għall-ilma baħar.</v>
      </c>
    </row>
    <row r="18073" ht="15.75" customHeight="1">
      <c r="A18073" s="2" t="s">
        <v>18073</v>
      </c>
      <c r="B18073" s="2" t="str">
        <f>IFERROR(__xludf.DUMMYFUNCTION("GOOGLETRANSLATE(A18073, ""en"", ""mt"")"),"$ 15.5")</f>
        <v>$ 15.5</v>
      </c>
    </row>
    <row r="18074" ht="15.75" customHeight="1">
      <c r="A18074" s="2" t="s">
        <v>18074</v>
      </c>
      <c r="B18074" s="2" t="str">
        <f>IFERROR(__xludf.DUMMYFUNCTION("GOOGLETRANSLATE(A18074, ""en"", ""mt"")"),"Teoloġija ta ’Wesleyan")</f>
        <v>Teoloġija ta ’Wesleyan</v>
      </c>
    </row>
    <row r="18075" ht="15.75" customHeight="1">
      <c r="A18075" s="2" t="s">
        <v>18075</v>
      </c>
      <c r="B18075" s="2" t="str">
        <f>IFERROR(__xludf.DUMMYFUNCTION("GOOGLETRANSLATE(A18075, ""en"", ""mt"")"),"X'inhu użat biex tikkalkula l-erja tas-sezzjoni trasversali fil-volum ta 'oġġett?")</f>
        <v>X'inhu użat biex tikkalkula l-erja tas-sezzjoni trasversali fil-volum ta 'oġġett?</v>
      </c>
    </row>
    <row r="18076" ht="15.75" customHeight="1">
      <c r="A18076" s="2" t="s">
        <v>18076</v>
      </c>
      <c r="B18076" s="2" t="str">
        <f>IFERROR(__xludf.DUMMYFUNCTION("GOOGLETRANSLATE(A18076, ""en"", ""mt"")"),"Liġijiet tal-Istat individwali")</f>
        <v>Liġijiet tal-Istat individwali</v>
      </c>
    </row>
    <row r="18077" ht="15.75" customHeight="1">
      <c r="A18077" s="2" t="s">
        <v>18077</v>
      </c>
      <c r="B18077" s="2" t="str">
        <f>IFERROR(__xludf.DUMMYFUNCTION("GOOGLETRANSLATE(A18077, ""en"", ""mt"")"),"F'liema forma huwa ttrasportat l-ossiġnu f'kontenituri iżgħar?")</f>
        <v>F'liema forma huwa ttrasportat l-ossiġnu f'kontenituri iżgħar?</v>
      </c>
    </row>
    <row r="18078" ht="15.75" customHeight="1">
      <c r="A18078" s="2" t="s">
        <v>18078</v>
      </c>
      <c r="B18078" s="2" t="str">
        <f>IFERROR(__xludf.DUMMYFUNCTION("GOOGLETRANSLATE(A18078, ""en"", ""mt"")"),"forza innata ta 'impetu")</f>
        <v>forza innata ta 'impetu</v>
      </c>
    </row>
    <row r="18079" ht="15.75" customHeight="1">
      <c r="A18079" s="2" t="s">
        <v>18079</v>
      </c>
      <c r="B18079" s="2" t="str">
        <f>IFERROR(__xludf.DUMMYFUNCTION("GOOGLETRANSLATE(A18079, ""en"", ""mt"")"),"ugwali bl-istess mod")</f>
        <v>ugwali bl-istess mod</v>
      </c>
    </row>
    <row r="18080" ht="15.75" customHeight="1">
      <c r="A18080" s="2" t="s">
        <v>18080</v>
      </c>
      <c r="B18080" s="2" t="str">
        <f>IFERROR(__xludf.DUMMYFUNCTION("GOOGLETRANSLATE(A18080, ""en"", ""mt"")"),"Recant")</f>
        <v>Recant</v>
      </c>
    </row>
    <row r="18081" ht="15.75" customHeight="1">
      <c r="A18081" s="2" t="s">
        <v>18081</v>
      </c>
      <c r="B18081" s="2" t="str">
        <f>IFERROR(__xludf.DUMMYFUNCTION("GOOGLETRANSLATE(A18081, ""en"", ""mt"")"),"Xmajjar Skoċċiżi")</f>
        <v>Xmajjar Skoċċiżi</v>
      </c>
    </row>
    <row r="18082" ht="15.75" customHeight="1">
      <c r="A18082" s="2" t="s">
        <v>18082</v>
      </c>
      <c r="B18082" s="2" t="str">
        <f>IFERROR(__xludf.DUMMYFUNCTION("GOOGLETRANSLATE(A18082, ""en"", ""mt"")"),"X’kawża s-sejba tad-deheb fir-Rabat?")</f>
        <v>X’kawża s-sejba tad-deheb fir-Rabat?</v>
      </c>
    </row>
    <row r="18083" ht="15.75" customHeight="1">
      <c r="A18083" s="2" t="s">
        <v>18083</v>
      </c>
      <c r="B18083" s="2" t="str">
        <f>IFERROR(__xludf.DUMMYFUNCTION("GOOGLETRANSLATE(A18083, ""en"", ""mt"")"),"Liema kumpanija qablet li ttemm il-proċeduri tal-qorti għolja ma 'BSKYB?")</f>
        <v>Liema kumpanija qablet li ttemm il-proċeduri tal-qorti għolja ma 'BSKYB?</v>
      </c>
    </row>
    <row r="18084" ht="15.75" customHeight="1">
      <c r="A18084" s="2" t="s">
        <v>18084</v>
      </c>
      <c r="B18084" s="2" t="str">
        <f>IFERROR(__xludf.DUMMYFUNCTION("GOOGLETRANSLATE(A18084, ""en"", ""mt"")"),"Meta l-kloroplasti jinfirxu ċatti?")</f>
        <v>Meta l-kloroplasti jinfirxu ċatti?</v>
      </c>
    </row>
    <row r="18085" ht="15.75" customHeight="1">
      <c r="A18085" s="2" t="s">
        <v>18085</v>
      </c>
      <c r="B18085" s="2" t="str">
        <f>IFERROR(__xludf.DUMMYFUNCTION("GOOGLETRANSLATE(A18085, ""en"", ""mt"")"),"Disneyland")</f>
        <v>Disneyland</v>
      </c>
    </row>
    <row r="18086" ht="15.75" customHeight="1">
      <c r="A18086" s="2" t="s">
        <v>18086</v>
      </c>
      <c r="B18086" s="2" t="str">
        <f>IFERROR(__xludf.DUMMYFUNCTION("GOOGLETRANSLATE(A18086, ""en"", ""mt"")"),"Ir-rati rrappurtati ta 'mortalità fiż-żoni rurali matul il-pandemija tas-seklu 14 kienu inkonsistenti mal-pesta bubonika moderna")</f>
        <v>Ir-rati rrappurtati ta 'mortalità fiż-żoni rurali matul il-pandemija tas-seklu 14 kienu inkonsistenti mal-pesta bubonika moderna</v>
      </c>
    </row>
    <row r="18087" ht="15.75" customHeight="1">
      <c r="A18087" s="2" t="s">
        <v>18087</v>
      </c>
      <c r="B18087" s="2" t="str">
        <f>IFERROR(__xludf.DUMMYFUNCTION("GOOGLETRANSLATE(A18087, ""en"", ""mt"")"),"McManus")</f>
        <v>McManus</v>
      </c>
    </row>
    <row r="18088" ht="15.75" customHeight="1">
      <c r="A18088" s="2" t="s">
        <v>18088</v>
      </c>
      <c r="B18088" s="2" t="str">
        <f>IFERROR(__xludf.DUMMYFUNCTION("GOOGLETRANSLATE(A18088, ""en"", ""mt"")"),"Kważi miljun viżitaturi u nofs")</f>
        <v>Kważi miljun viżitaturi u nofs</v>
      </c>
    </row>
    <row r="18089" ht="15.75" customHeight="1">
      <c r="A18089" s="2" t="s">
        <v>18089</v>
      </c>
      <c r="B18089" s="2" t="str">
        <f>IFERROR(__xludf.DUMMYFUNCTION("GOOGLETRANSLATE(A18089, ""en"", ""mt"")"),"lajċi qaddejja")</f>
        <v>lajċi qaddejja</v>
      </c>
    </row>
    <row r="18090" ht="15.75" customHeight="1">
      <c r="A18090" s="2" t="s">
        <v>18090</v>
      </c>
      <c r="B18090" s="2" t="str">
        <f>IFERROR(__xludf.DUMMYFUNCTION("GOOGLETRANSLATE(A18090, ""en"", ""mt"")"),"X'sar xi ripetizzjonijiet maqluba?")</f>
        <v>X'sar xi ripetizzjonijiet maqluba?</v>
      </c>
    </row>
    <row r="18091" ht="15.75" customHeight="1">
      <c r="A18091" s="2" t="s">
        <v>18091</v>
      </c>
      <c r="B18091" s="2" t="str">
        <f>IFERROR(__xludf.DUMMYFUNCTION("GOOGLETRANSLATE(A18091, ""en"", ""mt"")"),"Il-Kardinali tal-Arizona")</f>
        <v>Il-Kardinali tal-Arizona</v>
      </c>
    </row>
    <row r="18092" ht="15.75" customHeight="1">
      <c r="A18092" s="2" t="s">
        <v>18092</v>
      </c>
      <c r="B18092" s="2" t="str">
        <f>IFERROR(__xludf.DUMMYFUNCTION("GOOGLETRANSLATE(A18092, ""en"", ""mt"")"),"Terrazzi tal-vistula sempliċi")</f>
        <v>Terrazzi tal-vistula sempliċi</v>
      </c>
    </row>
    <row r="18093" ht="15.75" customHeight="1">
      <c r="A18093" s="2" t="s">
        <v>18093</v>
      </c>
      <c r="B18093" s="2" t="str">
        <f>IFERROR(__xludf.DUMMYFUNCTION("GOOGLETRANSLATE(A18093, ""en"", ""mt"")"),"li jibqa 'bl-iswed u bl-abjad")</f>
        <v>li jibqa 'bl-iswed u bl-abjad</v>
      </c>
    </row>
    <row r="18094" ht="15.75" customHeight="1">
      <c r="A18094" s="2" t="s">
        <v>18094</v>
      </c>
      <c r="B18094" s="2" t="str">
        <f>IFERROR(__xludf.DUMMYFUNCTION("GOOGLETRANSLATE(A18094, ""en"", ""mt"")"),"tobba")</f>
        <v>tobba</v>
      </c>
    </row>
    <row r="18095" ht="15.75" customHeight="1">
      <c r="A18095" s="2" t="s">
        <v>18095</v>
      </c>
      <c r="B18095" s="2" t="str">
        <f>IFERROR(__xludf.DUMMYFUNCTION("GOOGLETRANSLATE(A18095, ""en"", ""mt"")"),"Katharina von Bora,")</f>
        <v>Katharina von Bora,</v>
      </c>
    </row>
    <row r="18096" ht="15.75" customHeight="1">
      <c r="A18096" s="2" t="s">
        <v>18096</v>
      </c>
      <c r="B18096" s="2" t="str">
        <f>IFERROR(__xludf.DUMMYFUNCTION("GOOGLETRANSLATE(A18096, ""en"", ""mt"")"),"Jekk id-daqs tal-input huwa n, il-ħin meħud jista 'jiġi espress bħala funzjoni ta' n. Peress li l-ħin meħud fuq inputs differenti tal-istess daqs jista 'jkun differenti, l-agħar kumplessità tal-ħin t (n) hija definita bħala l-ħin massimu meħud fuq l-input"&amp;"s kollha tad-daqs N. Jekk T (n) huwa polinomju f'N, allura l-algoritmu jingħad li huwa algoritmu ta 'ħin polinomjali. It-teżi ta 'Cobham tgħid li problema tista' tissolva b'ammont fattibbli ta 'riżorsi jekk tammetti algoritmu ta' ħin polinomjali.")</f>
        <v>Jekk id-daqs tal-input huwa n, il-ħin meħud jista 'jiġi espress bħala funzjoni ta' n. Peress li l-ħin meħud fuq inputs differenti tal-istess daqs jista 'jkun differenti, l-agħar kumplessità tal-ħin t (n) hija definita bħala l-ħin massimu meħud fuq l-inputs kollha tad-daqs N. Jekk T (n) huwa polinomju f'N, allura l-algoritmu jingħad li huwa algoritmu ta 'ħin polinomjali. It-teżi ta 'Cobham tgħid li problema tista' tissolva b'ammont fattibbli ta 'riżorsi jekk tammetti algoritmu ta' ħin polinomjali.</v>
      </c>
    </row>
    <row r="18097" ht="15.75" customHeight="1">
      <c r="A18097" s="2" t="s">
        <v>18097</v>
      </c>
      <c r="B18097" s="2" t="str">
        <f>IFERROR(__xludf.DUMMYFUNCTION("GOOGLETRANSLATE(A18097, ""en"", ""mt"")"),"Talb għall-Grazzja")</f>
        <v>Talb għall-Grazzja</v>
      </c>
    </row>
    <row r="18098" ht="15.75" customHeight="1">
      <c r="A18098" s="2" t="s">
        <v>18098</v>
      </c>
      <c r="B18098" s="2" t="str">
        <f>IFERROR(__xludf.DUMMYFUNCTION("GOOGLETRANSLATE(A18098, ""en"", ""mt"")"),"Robert Guiscard, avventur Norman ieħor preċedentement elevat għad-dinjità tal-Konti ta 'Apulia bħala riżultat tas-suċċessi militari tiegħu, fl-aħħar mexxa l-Biżantini barra mill-Italja tan-Nofsinhar. Wara li kiseb il-kunsens tal-Papa Gregorju VII u jaġixx"&amp;"i bħala l-vassall tiegħu, Robert kompla l-kampanja tiegħu billi rbaħ il-Peniżola tal-Balkani bħala l-pedament għall-fewdali feudali tal-Punent u l-Knisja Kattolika. Wara li ngħaqad lilu nnifsu mal-Kroazja u l-ibliet Kattoliċi tad-Dalmatia, fl-1081 huwa me"&amp;"xxa armata ta '30, 000 irġiel fi 300 vapur li jinżlu fuq ix-xtut tan-Nofsinhar ta 'l-Albanija, jaqbdu Valona, ​​Kanina, Jericho (Orikumi), u laħaq Butrint wara bosta pillaġġi. Huma ngħaqdu mal-flotta li qabel kienet ħakmet lil Corfu u attakkaw id-Dyrrachi"&amp;"um mill-art u l-baħar, devastanti kollox tul it-triq. Taħt dawn iċ-ċirkostanzi ħorox, in-nies tal-post aċċettaw is-sejħa tal-Imperatur Alexius I Comnenus biex jingħaqdu mal-Biżantini kontra n-Normanni. Il-forzi Albaniżi ma setgħux jieħdu sehem fil-battalj"&amp;"a li ġejja minħabba li kienet bdiet qabel il-wasla tagħhom. Immedjatament qabel il-battalja, il-flotta Venezjana kienet assigurat rebħa fil-kosta li tdawwar il-belt. Imġiegħel jirtira, Alexius ċeda l-kmand lil uffiċjal Albaniż għoli jismu Comiscortes fis-"&amp;"servizz ta 'Bizanju. Il-garnizon tal-belt irreżista sa Frar 1082, meta d-Dyrrachium ġie ingannat lin-Normanni min-negozjanti Venezjani u Amalfitan li kienu stabbilixxew hemmhekk. In-Normanni issa kienu ħielsa li jippenetraw fil-hinterland; Huma ħadu Ioann"&amp;"ina u xi bliet minuri fil-Lbiċ tal-Maċedonja u Tessalja qabel ma dehru fil-gradi ta 'Tessalonica. Id-dissensjoni fost il-gradi għoljin sfurzat in-Normanni biex jirtiraw lejn l-Italja. Huma tilfu Dyrrachium, Valona, ​​u Butrint fl-1085, wara l-mewt ta 'Rob"&amp;"ert.")</f>
        <v>Robert Guiscard, avventur Norman ieħor preċedentement elevat għad-dinjità tal-Konti ta 'Apulia bħala riżultat tas-suċċessi militari tiegħu, fl-aħħar mexxa l-Biżantini barra mill-Italja tan-Nofsinhar. Wara li kiseb il-kunsens tal-Papa Gregorju VII u jaġixxi bħala l-vassall tiegħu, Robert kompla l-kampanja tiegħu billi rbaħ il-Peniżola tal-Balkani bħala l-pedament għall-fewdali feudali tal-Punent u l-Knisja Kattolika. Wara li ngħaqad lilu nnifsu mal-Kroazja u l-ibliet Kattoliċi tad-Dalmatia, fl-1081 huwa mexxa armata ta '30, 000 irġiel fi 300 vapur li jinżlu fuq ix-xtut tan-Nofsinhar ta 'l-Albanija, jaqbdu Valona, ​​Kanina, Jericho (Orikumi), u laħaq Butrint wara bosta pillaġġi. Huma ngħaqdu mal-flotta li qabel kienet ħakmet lil Corfu u attakkaw id-Dyrrachium mill-art u l-baħar, devastanti kollox tul it-triq. Taħt dawn iċ-ċirkostanzi ħorox, in-nies tal-post aċċettaw is-sejħa tal-Imperatur Alexius I Comnenus biex jingħaqdu mal-Biżantini kontra n-Normanni. Il-forzi Albaniżi ma setgħux jieħdu sehem fil-battalja li ġejja minħabba li kienet bdiet qabel il-wasla tagħhom. Immedjatament qabel il-battalja, il-flotta Venezjana kienet assigurat rebħa fil-kosta li tdawwar il-belt. Imġiegħel jirtira, Alexius ċeda l-kmand lil uffiċjal Albaniż għoli jismu Comiscortes fis-servizz ta 'Bizanju. Il-garnizon tal-belt irreżista sa Frar 1082, meta d-Dyrrachium ġie ingannat lin-Normanni min-negozjanti Venezjani u Amalfitan li kienu stabbilixxew hemmhekk. In-Normanni issa kienu ħielsa li jippenetraw fil-hinterland; Huma ħadu Ioannina u xi bliet minuri fil-Lbiċ tal-Maċedonja u Tessalja qabel ma dehru fil-gradi ta 'Tessalonica. Id-dissensjoni fost il-gradi għoljin sfurzat in-Normanni biex jirtiraw lejn l-Italja. Huma tilfu Dyrrachium, Valona, ​​u Butrint fl-1085, wara l-mewt ta 'Robert.</v>
      </c>
    </row>
    <row r="18099" ht="15.75" customHeight="1">
      <c r="A18099" s="2" t="s">
        <v>18099</v>
      </c>
      <c r="B18099" s="2" t="str">
        <f>IFERROR(__xludf.DUMMYFUNCTION("GOOGLETRANSLATE(A18099, ""en"", ""mt"")"),"Kemm Tesla biegħet il-privattivi tal-AC tiegħu lil Westinghouse Electric?")</f>
        <v>Kemm Tesla biegħet il-privattivi tal-AC tiegħu lil Westinghouse Electric?</v>
      </c>
    </row>
    <row r="18100" ht="15.75" customHeight="1">
      <c r="A18100" s="2" t="s">
        <v>18100</v>
      </c>
      <c r="B18100" s="2" t="str">
        <f>IFERROR(__xludf.DUMMYFUNCTION("GOOGLETRANSLATE(A18100, ""en"", ""mt"")"),"Kemm ġew issuġġeriti mudelli maġġuri ta 'replikazzjoni tal-kloroplast?")</f>
        <v>Kemm ġew issuġġeriti mudelli maġġuri ta 'replikazzjoni tal-kloroplast?</v>
      </c>
    </row>
    <row r="18101" ht="15.75" customHeight="1">
      <c r="A18101" s="2" t="s">
        <v>18101</v>
      </c>
      <c r="B18101" s="2" t="str">
        <f>IFERROR(__xludf.DUMMYFUNCTION("GOOGLETRANSLATE(A18101, ""en"", ""mt"")"),"Liema organizzazzjoni Tesla serva bħala viċi president?")</f>
        <v>Liema organizzazzjoni Tesla serva bħala viċi president?</v>
      </c>
    </row>
    <row r="18102" ht="15.75" customHeight="1">
      <c r="A18102" s="2" t="s">
        <v>18102</v>
      </c>
      <c r="B18102" s="2" t="str">
        <f>IFERROR(__xludf.DUMMYFUNCTION("GOOGLETRANSLATE(A18102, ""en"", ""mt"")"),"Sistema ta 'taxxa progressiva")</f>
        <v>Sistema ta 'taxxa progressiva</v>
      </c>
    </row>
    <row r="18103" ht="15.75" customHeight="1">
      <c r="A18103" s="2" t="s">
        <v>18103</v>
      </c>
      <c r="B18103" s="2" t="str">
        <f>IFERROR(__xludf.DUMMYFUNCTION("GOOGLETRANSLATE(A18103, ""en"", ""mt"")"),"Is-servizz diġitali ta 'BSKYB ġie mniedi uffiċjalment fl-1 ta' Ottubru 1998 taħt l-isem Sky Digital, għalkemm it-testijiet fuq skala żgħira saru qabel dakinhar. F'dan iż-żmien l-użu tal-marka Diġitali Sky għamel distinzjoni importanti bejn is-servizz il-ġ"&amp;"did u s-servizzi analoġiċi ta 'Sky. Il-punti ewlenin tal-bejgħ kienu t-titjib fl-istampi u l-kwalità tal-ħoss, numru miżjud ta 'kanali u servizz interattiv miftuħ .... Issa msejjaħ Sky Active, BSKYB ikkompeta ma' l-offerta terrestri ondigital (aktar tard "&amp;"ITV) offerta u servizzi tal-kejbil. Fi żmien 30 jum, aktar minn 100,000 digiboxes kienu nbiegħu, li jgħinu d-deċiżjoni ta 'BSKYB imsaħħaħ li tagħti lil DigiBoxes u minidish b'xejn minn Mejju 1999.")</f>
        <v>Is-servizz diġitali ta 'BSKYB ġie mniedi uffiċjalment fl-1 ta' Ottubru 1998 taħt l-isem Sky Digital, għalkemm it-testijiet fuq skala żgħira saru qabel dakinhar. F'dan iż-żmien l-użu tal-marka Diġitali Sky għamel distinzjoni importanti bejn is-servizz il-ġdid u s-servizzi analoġiċi ta 'Sky. Il-punti ewlenin tal-bejgħ kienu t-titjib fl-istampi u l-kwalità tal-ħoss, numru miżjud ta 'kanali u servizz interattiv miftuħ .... Issa msejjaħ Sky Active, BSKYB ikkompeta ma' l-offerta terrestri ondigital (aktar tard ITV) offerta u servizzi tal-kejbil. Fi żmien 30 jum, aktar minn 100,000 digiboxes kienu nbiegħu, li jgħinu d-deċiżjoni ta 'BSKYB imsaħħaħ li tagħti lil DigiBoxes u minidish b'xejn minn Mejju 1999.</v>
      </c>
    </row>
    <row r="18104" ht="15.75" customHeight="1">
      <c r="A18104" s="2" t="s">
        <v>18104</v>
      </c>
      <c r="B18104" s="2" t="str">
        <f>IFERROR(__xludf.DUMMYFUNCTION("GOOGLETRANSLATE(A18104, ""en"", ""mt"")"),"Meta s-sena ġie ffirmat it-Trattat Maastrich?")</f>
        <v>Meta s-sena ġie ffirmat it-Trattat Maastrich?</v>
      </c>
    </row>
    <row r="18105" ht="15.75" customHeight="1">
      <c r="A18105" s="2" t="s">
        <v>18105</v>
      </c>
      <c r="B18105" s="2" t="str">
        <f>IFERROR(__xludf.DUMMYFUNCTION("GOOGLETRANSLATE(A18105, ""en"", ""mt"")"),"Harvard xtara meded ta 'art f'Allston, mixja madwar ix-Xmara Charles minn Cambridge, bl-intenzjoni ta' espansjoni kbira lejn in-nofsinhar. L-università issa għandha madwar ħamsin fil-mija aktar art f'Allston milli f'Cambridge. Proposti biex tikkonnettja l"&amp;"-kampus ta 'Cambridge mal-kampus il-ġdid ta' Allston jinkludu pontijiet ġodda u mkabbra, servizz tax-shuttle u / jew tram. Il-pjanijiet jitolbu wkoll parti għall-għarqa ta 'Steor Drive (bi spejjeż ta' Harvard) għas-sostituzzjoni ma 'l-art tal-park u l-aċċ"&amp;"ess pedonali għax-Xmara Charles, kif ukoll għall-kostruzzjoni ta' mogħdijiet tar-rota, u bini fil-kampus ta 'Allston. L-istituzzjoni tafferma li din l-espansjoni se tibbenefika mhux biss l-iskola, iżda wkoll il-komunità li tindika, li tindika l-karatteris"&amp;"tiċi bħall-infrastruttura ta 'transitu msaħħa, shuttles possibbli miftuħa għall-pubbliku, u l-ispazju tal-park li se jkun ukoll aċċessibbli pubblikament.")</f>
        <v>Harvard xtara meded ta 'art f'Allston, mixja madwar ix-Xmara Charles minn Cambridge, bl-intenzjoni ta' espansjoni kbira lejn in-nofsinhar. L-università issa għandha madwar ħamsin fil-mija aktar art f'Allston milli f'Cambridge. Proposti biex tikkonnettja l-kampus ta 'Cambridge mal-kampus il-ġdid ta' Allston jinkludu pontijiet ġodda u mkabbra, servizz tax-shuttle u / jew tram. Il-pjanijiet jitolbu wkoll parti għall-għarqa ta 'Steor Drive (bi spejjeż ta' Harvard) għas-sostituzzjoni ma 'l-art tal-park u l-aċċess pedonali għax-Xmara Charles, kif ukoll għall-kostruzzjoni ta' mogħdijiet tar-rota, u bini fil-kampus ta 'Allston. L-istituzzjoni tafferma li din l-espansjoni se tibbenefika mhux biss l-iskola, iżda wkoll il-komunità li tindika, li tindika l-karatteristiċi bħall-infrastruttura ta 'transitu msaħħa, shuttles possibbli miftuħa għall-pubbliku, u l-ispazju tal-park li se jkun ukoll aċċessibbli pubblikament.</v>
      </c>
    </row>
    <row r="18106" ht="15.75" customHeight="1">
      <c r="A18106" s="2" t="s">
        <v>18106</v>
      </c>
      <c r="B18106" s="2" t="str">
        <f>IFERROR(__xludf.DUMMYFUNCTION("GOOGLETRANSLATE(A18106, ""en"", ""mt"")"),"1,655,114")</f>
        <v>1,655,114</v>
      </c>
    </row>
    <row r="18107" ht="15.75" customHeight="1">
      <c r="A18107" s="2" t="s">
        <v>18107</v>
      </c>
      <c r="B18107" s="2" t="str">
        <f>IFERROR(__xludf.DUMMYFUNCTION("GOOGLETRANSLATE(A18107, ""en"", ""mt"")"),"Min imexxi n-Niagara Falls Catarract Construction Company fl-1893?")</f>
        <v>Min imexxi n-Niagara Falls Catarract Construction Company fl-1893?</v>
      </c>
    </row>
    <row r="18108" ht="15.75" customHeight="1">
      <c r="A18108" s="2" t="s">
        <v>18108</v>
      </c>
      <c r="B18108" s="2" t="str">
        <f>IFERROR(__xludf.DUMMYFUNCTION("GOOGLETRANSLATE(A18108, ""en"", ""mt"")"),"Henry Cole Wing")</f>
        <v>Henry Cole Wing</v>
      </c>
    </row>
    <row r="18109" ht="15.75" customHeight="1">
      <c r="A18109" s="2" t="s">
        <v>18109</v>
      </c>
      <c r="B18109" s="2" t="str">
        <f>IFERROR(__xludf.DUMMYFUNCTION("GOOGLETRANSLATE(A18109, ""en"", ""mt"")"),"Monopolju")</f>
        <v>Monopolju</v>
      </c>
    </row>
    <row r="18110" ht="15.75" customHeight="1">
      <c r="A18110" s="2" t="s">
        <v>18110</v>
      </c>
      <c r="B18110" s="2" t="str">
        <f>IFERROR(__xludf.DUMMYFUNCTION("GOOGLETRANSLATE(A18110, ""en"", ""mt"")"),"tirrifjuta li tiffirma l-ħelsien mill-arrest")</f>
        <v>tirrifjuta li tiffirma l-ħelsien mill-arrest</v>
      </c>
    </row>
    <row r="18111" ht="15.75" customHeight="1">
      <c r="A18111" s="2" t="s">
        <v>18111</v>
      </c>
      <c r="B18111" s="2" t="str">
        <f>IFERROR(__xludf.DUMMYFUNCTION("GOOGLETRANSLATE(A18111, ""en"", ""mt"")"),"jittradixxi l-preżenza ta 'raġel fid-dar")</f>
        <v>jittradixxi l-preżenza ta 'raġel fid-dar</v>
      </c>
    </row>
    <row r="18112" ht="15.75" customHeight="1">
      <c r="A18112" s="2" t="s">
        <v>18112</v>
      </c>
      <c r="B18112" s="2" t="str">
        <f>IFERROR(__xludf.DUMMYFUNCTION("GOOGLETRANSLATE(A18112, ""en"", ""mt"")"),"Kemm tefa 'Cam Newton?")</f>
        <v>Kemm tefa 'Cam Newton?</v>
      </c>
    </row>
    <row r="18113" ht="15.75" customHeight="1">
      <c r="A18113" s="2" t="s">
        <v>18113</v>
      </c>
      <c r="B18113" s="2" t="str">
        <f>IFERROR(__xludf.DUMMYFUNCTION("GOOGLETRANSLATE(A18113, ""en"", ""mt"")"),"Staġun 17")</f>
        <v>Staġun 17</v>
      </c>
    </row>
    <row r="18114" ht="15.75" customHeight="1">
      <c r="A18114" s="2" t="s">
        <v>18114</v>
      </c>
      <c r="B18114" s="2" t="str">
        <f>IFERROR(__xludf.DUMMYFUNCTION("GOOGLETRANSLATE(A18114, ""en"", ""mt"")"),"Fl-2005, bejn wieħed u ieħor kemm kienu membri fl-UMC?")</f>
        <v>Fl-2005, bejn wieħed u ieħor kemm kienu membri fl-UMC?</v>
      </c>
    </row>
    <row r="18115" ht="15.75" customHeight="1">
      <c r="A18115" s="2" t="s">
        <v>18115</v>
      </c>
      <c r="B18115" s="2" t="str">
        <f>IFERROR(__xludf.DUMMYFUNCTION("GOOGLETRANSLATE(A18115, ""en"", ""mt"")"),"ħabbar rebbieħ")</f>
        <v>ħabbar rebbieħ</v>
      </c>
    </row>
    <row r="18116" ht="15.75" customHeight="1">
      <c r="A18116" s="2" t="s">
        <v>18116</v>
      </c>
      <c r="B18116" s="2" t="str">
        <f>IFERROR(__xludf.DUMMYFUNCTION("GOOGLETRANSLATE(A18116, ""en"", ""mt"")"),"Ir-riżultat kien wieħed mill-iżviluppi l-aktar sinifikanti f'seklu ta 'kunflitt Anglo-Franċiż. Franza ċediet it-territorju tagħha fil-lvant tal-Mississippi lill-Gran Brittanja. Huwa ċedew il-Louisiana Franċiża fil-punent tax-Xmara Mississippi (inkluż New "&amp;"Orleans) lill-alleat tagħha Spanja, bħala kumpens għat-telfa ta ’Spanja kontra l-Gran Brittanja ta’ Florida (Spanja kienet ċediet dan lill-Gran Brittanja bi skambju għar-ritorn ta ’Havana, Kuba). Il-preżenza kolonjali ta 'Franza fit-tramuntana tal-Karibew"&amp;" tnaqqset għall-gżejjer ta' San Pierre u Miquelon, li kkonfermat il-pożizzjoni tal-Gran Brittanja bħala l-poter kolonjali dominanti fil-Lvant ta 'l-Amerika ta' Fuq.")</f>
        <v>Ir-riżultat kien wieħed mill-iżviluppi l-aktar sinifikanti f'seklu ta 'kunflitt Anglo-Franċiż. Franza ċediet it-territorju tagħha fil-lvant tal-Mississippi lill-Gran Brittanja. Huwa ċedew il-Louisiana Franċiża fil-punent tax-Xmara Mississippi (inkluż New Orleans) lill-alleat tagħha Spanja, bħala kumpens għat-telfa ta ’Spanja kontra l-Gran Brittanja ta’ Florida (Spanja kienet ċediet dan lill-Gran Brittanja bi skambju għar-ritorn ta ’Havana, Kuba). Il-preżenza kolonjali ta 'Franza fit-tramuntana tal-Karibew tnaqqset għall-gżejjer ta' San Pierre u Miquelon, li kkonfermat il-pożizzjoni tal-Gran Brittanja bħala l-poter kolonjali dominanti fil-Lvant ta 'l-Amerika ta' Fuq.</v>
      </c>
    </row>
    <row r="18117" ht="15.75" customHeight="1">
      <c r="A18117" s="2" t="s">
        <v>18117</v>
      </c>
      <c r="B18117" s="2" t="str">
        <f>IFERROR(__xludf.DUMMYFUNCTION("GOOGLETRANSLATE(A18117, ""en"", ""mt"")"),"homeschooling")</f>
        <v>homeschooling</v>
      </c>
    </row>
    <row r="18118" ht="15.75" customHeight="1">
      <c r="A18118" s="2" t="s">
        <v>18118</v>
      </c>
      <c r="B18118" s="2" t="str">
        <f>IFERROR(__xludf.DUMMYFUNCTION("GOOGLETRANSLATE(A18118, ""en"", ""mt"")"),"huma mfixkla")</f>
        <v>huma mfixkla</v>
      </c>
    </row>
    <row r="18119" ht="15.75" customHeight="1">
      <c r="A18119" s="2" t="s">
        <v>18119</v>
      </c>
      <c r="B18119" s="2" t="str">
        <f>IFERROR(__xludf.DUMMYFUNCTION("GOOGLETRANSLATE(A18119, ""en"", ""mt"")"),"Dan ir-reġjun jinkludi territorju li jappartjeni għal disa 'nazzjonijiet.")</f>
        <v>Dan ir-reġjun jinkludi territorju li jappartjeni għal disa 'nazzjonijiet.</v>
      </c>
    </row>
    <row r="18120" ht="15.75" customHeight="1">
      <c r="A18120" s="2" t="s">
        <v>18120</v>
      </c>
      <c r="B18120" s="2" t="str">
        <f>IFERROR(__xludf.DUMMYFUNCTION("GOOGLETRANSLATE(A18120, ""en"", ""mt"")"),"L-ossiġenu huwa element kimiku bis-simbolu O u n-numru atomiku 8. Huwa membru tal-grupp ta 'chalcogen fuq it-tabella perjodika u huwa aġent mhux immetattiv u ossidanti reattiv ħafna li faċilment jifforma komposti (l-aktar ossidi) b'ħafna elementi. Bil-mas"&amp;"sa, l-ossiġnu huwa t-tielet l-iktar element abbundanti fl-univers, wara l-idroġenu u l-elju. F'temperatura u pressjoni standard, żewġ atomi ta 'l-element jorbtu biex jiffurmaw dijossiġnu, gass diatomiku bla kulur u bla riħa bil-formula o
2. Il-gass ossiġe"&amp;"nu diatomiku jikkostitwixxi 20.8% tal-atmosfera tad-dinja. Madankollu, il-monitoraġġ tal-livelli ta 'ossiġnu atmosferiku juri xejra' l isfel globali, minħabba ħruq ta 'fjuwils fossili. L-ossiġnu huwa l-iktar element abbundanti bil-massa fil-qoxra tad-dinj"&amp;"a bħala parti mill-komposti ta 'ossidu bħal dijossidu tas-silikon, li jifforma kważi nofs il-massa tal-qoxra.")</f>
        <v>L-ossiġenu huwa element kimiku bis-simbolu O u n-numru atomiku 8. Huwa membru tal-grupp ta 'chalcogen fuq it-tabella perjodika u huwa aġent mhux immetattiv u ossidanti reattiv ħafna li faċilment jifforma komposti (l-aktar ossidi) b'ħafna elementi. Bil-massa, l-ossiġnu huwa t-tielet l-iktar element abbundanti fl-univers, wara l-idroġenu u l-elju. F'temperatura u pressjoni standard, żewġ atomi ta 'l-element jorbtu biex jiffurmaw dijossiġnu, gass diatomiku bla kulur u bla riħa bil-formula o
2. Il-gass ossiġenu diatomiku jikkostitwixxi 20.8% tal-atmosfera tad-dinja. Madankollu, il-monitoraġġ tal-livelli ta 'ossiġnu atmosferiku juri xejra' l isfel globali, minħabba ħruq ta 'fjuwils fossili. L-ossiġnu huwa l-iktar element abbundanti bil-massa fil-qoxra tad-dinja bħala parti mill-komposti ta 'ossidu bħal dijossidu tas-silikon, li jifforma kważi nofs il-massa tal-qoxra.</v>
      </c>
    </row>
    <row r="18121" ht="15.75" customHeight="1">
      <c r="A18121" s="2" t="s">
        <v>18121</v>
      </c>
      <c r="B18121" s="2" t="str">
        <f>IFERROR(__xludf.DUMMYFUNCTION("GOOGLETRANSLATE(A18121, ""en"", ""mt"")"),"Tesla qrajt ħafna xogħlijiet, timmemorizza kotba kompluti, u allegatament kellha memorja fotografika. Fl-awtobijografija tiegħu li esperjenza mumenti dettaljati ta 'ispirazzjoni. Matul il-ħajja bikrija tiegħu, Tesla kienet ripetutament milquta bil-mard. H"&amp;"uwa sofra afflizzjoni partikolari li fiha l-fwawar tad-dawl jagħlqu quddiem għajnejh, ħafna drabi akkumpanjati mill-viżjonijiet. Fi żminijiet oħra huma kienu jipprovdu s-soluzzjoni għal problema partikolari li kien iltaqa 'magħhom. Sempliċement billi jism"&amp;"a 'l-isem ta' oġġett, huwa jkun jista 'jaħseb fid-dettall realistiku. Ritratt tal-ħsieb. Huwa tipikament ma għamilx tpinġijiet bl-idejn imma ħadem mill-memorja. Bidu fit-tfulija tiegħu, Tesla kellha flashbacks frekwenti għal avvenimenti li kienu ġraw qabe"&amp;"l f'ħajtu.: 33")</f>
        <v>Tesla qrajt ħafna xogħlijiet, timmemorizza kotba kompluti, u allegatament kellha memorja fotografika. Fl-awtobijografija tiegħu li esperjenza mumenti dettaljati ta 'ispirazzjoni. Matul il-ħajja bikrija tiegħu, Tesla kienet ripetutament milquta bil-mard. Huwa sofra afflizzjoni partikolari li fiha l-fwawar tad-dawl jagħlqu quddiem għajnejh, ħafna drabi akkumpanjati mill-viżjonijiet. Fi żminijiet oħra huma kienu jipprovdu s-soluzzjoni għal problema partikolari li kien iltaqa 'magħhom. Sempliċement billi jisma 'l-isem ta' oġġett, huwa jkun jista 'jaħseb fid-dettall realistiku. Ritratt tal-ħsieb. Huwa tipikament ma għamilx tpinġijiet bl-idejn imma ħadem mill-memorja. Bidu fit-tfulija tiegħu, Tesla kellha flashbacks frekwenti għal avvenimenti li kienu ġraw qabel f'ħajtu.: 33</v>
      </c>
    </row>
    <row r="18122" ht="15.75" customHeight="1">
      <c r="A18122" s="2" t="s">
        <v>18122</v>
      </c>
      <c r="B18122" s="2" t="str">
        <f>IFERROR(__xludf.DUMMYFUNCTION("GOOGLETRANSLATE(A18122, ""en"", ""mt"")"),"Liema pajjiż għandu punteġġi ogħla fuq testijiet standardizzati mill-Istati Uniti?")</f>
        <v>Liema pajjiż għandu punteġġi ogħla fuq testijiet standardizzati mill-Istati Uniti?</v>
      </c>
    </row>
    <row r="18123" ht="15.75" customHeight="1">
      <c r="A18123" s="2" t="s">
        <v>18123</v>
      </c>
      <c r="B18123" s="2" t="str">
        <f>IFERROR(__xludf.DUMMYFUNCTION("GOOGLETRANSLATE(A18123, ""en"", ""mt"")"),"Għal xiex għandu proġett?")</f>
        <v>Għal xiex għandu proġett?</v>
      </c>
    </row>
    <row r="18124" ht="15.75" customHeight="1">
      <c r="A18124" s="2" t="s">
        <v>18124</v>
      </c>
      <c r="B18124" s="2" t="str">
        <f>IFERROR(__xludf.DUMMYFUNCTION("GOOGLETRANSLATE(A18124, ""en"", ""mt"")"),"F'liema sena rċevew Hatmanis u Stearn fil-kumplessità tal-komputazzjoni?")</f>
        <v>F'liema sena rċevew Hatmanis u Stearn fil-kumplessità tal-komputazzjoni?</v>
      </c>
    </row>
    <row r="18125" ht="15.75" customHeight="1">
      <c r="A18125" s="2" t="s">
        <v>18125</v>
      </c>
      <c r="B18125" s="2" t="str">
        <f>IFERROR(__xludf.DUMMYFUNCTION("GOOGLETRANSLATE(A18125, ""en"", ""mt"")"),"Istitut tal-Inġiniera tar-Radju")</f>
        <v>Istitut tal-Inġiniera tar-Radju</v>
      </c>
    </row>
    <row r="18126" ht="15.75" customHeight="1">
      <c r="A18126" s="2" t="s">
        <v>18126</v>
      </c>
      <c r="B18126" s="2" t="str">
        <f>IFERROR(__xludf.DUMMYFUNCTION("GOOGLETRANSLATE(A18126, ""en"", ""mt"")"),"ħutu tiegħu")</f>
        <v>ħutu tiegħu</v>
      </c>
    </row>
    <row r="18127" ht="15.75" customHeight="1">
      <c r="A18127" s="2" t="s">
        <v>18127</v>
      </c>
      <c r="B18127" s="2" t="str">
        <f>IFERROR(__xludf.DUMMYFUNCTION("GOOGLETRANSLATE(A18127, ""en"", ""mt"")"),"Minbarra l-belt tad-deżert għaliex ħafna nies tal-post u turisti jiffrekwentaw in-Nofsinhar ta 'California?")</f>
        <v>Minbarra l-belt tad-deżert għaliex ħafna nies tal-post u turisti jiffrekwentaw in-Nofsinhar ta 'California?</v>
      </c>
    </row>
    <row r="18128" ht="15.75" customHeight="1">
      <c r="A18128" s="2" t="s">
        <v>18128</v>
      </c>
      <c r="B18128" s="2" t="str">
        <f>IFERROR(__xludf.DUMMYFUNCTION("GOOGLETRANSLATE(A18128, ""en"", ""mt"")"),"Żona Metropolitana ta 'Boston")</f>
        <v>Żona Metropolitana ta 'Boston</v>
      </c>
    </row>
    <row r="18129" ht="15.75" customHeight="1">
      <c r="A18129" s="2" t="s">
        <v>18129</v>
      </c>
      <c r="B18129" s="2" t="str">
        <f>IFERROR(__xludf.DUMMYFUNCTION("GOOGLETRANSLATE(A18129, ""en"", ""mt"")"),"Liema standards tal-gvern waqqfu l-iskejjel kollha biex jiltaqgħu?")</f>
        <v>Liema standards tal-gvern waqqfu l-iskejjel kollha biex jiltaqgħu?</v>
      </c>
    </row>
    <row r="18130" ht="15.75" customHeight="1">
      <c r="A18130" s="2" t="s">
        <v>18130</v>
      </c>
      <c r="B18130" s="2" t="str">
        <f>IFERROR(__xludf.DUMMYFUNCTION("GOOGLETRANSLATE(A18130, ""en"", ""mt"")"),"L-iktar strument utli għall-analiżi tal-prestazzjoni tal-magni tal-fwar huwa l-indikatur tal-magna tal-fwar. Verżjonijiet bikrija kienu qed jintużaw sal-1851, iżda l-aktar indikatur ta 'suċċess ġie żviluppat għall-inventur tal-magna b'veloċità għolja u l-"&amp;"manifattur Charles Porter minn Charles Richard u esibiti fil-wirja ta' Londra fl-1862. L-indikatur tal-magna tal-fwar jintraċċa fuq il-karta tal-pressjoni fil-karta fiċ-ċilindru matul il-madwar ċiklu, li jista 'jintuża biex jidentifika diversi problemi u "&amp;"jikkalkula l-horsepower żviluppata. Kien użat regolarment minn inġiniera, mekkaniċi u spetturi tal-assigurazzjoni. L-indikatur tal-magna jista 'jintuża wkoll fuq magni ta' kombustjoni interna. Ara l-immaġni tad-dijagramma tal-indikatur hawn taħt (fit-taqs"&amp;"ima tat-tipi ta ’unitajiet tal-mutur).")</f>
        <v>L-iktar strument utli għall-analiżi tal-prestazzjoni tal-magni tal-fwar huwa l-indikatur tal-magna tal-fwar. Verżjonijiet bikrija kienu qed jintużaw sal-1851, iżda l-aktar indikatur ta 'suċċess ġie żviluppat għall-inventur tal-magna b'veloċità għolja u l-manifattur Charles Porter minn Charles Richard u esibiti fil-wirja ta' Londra fl-1862. L-indikatur tal-magna tal-fwar jintraċċa fuq il-karta tal-pressjoni fil-karta fiċ-ċilindru matul il-madwar ċiklu, li jista 'jintuża biex jidentifika diversi problemi u jikkalkula l-horsepower żviluppata. Kien użat regolarment minn inġiniera, mekkaniċi u spetturi tal-assigurazzjoni. L-indikatur tal-magna jista 'jintuża wkoll fuq magni ta' kombustjoni interna. Ara l-immaġni tad-dijagramma tal-indikatur hawn taħt (fit-taqsima tat-tipi ta ’unitajiet tal-mutur).</v>
      </c>
    </row>
    <row r="18131" ht="15.75" customHeight="1">
      <c r="A18131" s="2" t="s">
        <v>18131</v>
      </c>
      <c r="B18131" s="2" t="str">
        <f>IFERROR(__xludf.DUMMYFUNCTION("GOOGLETRANSLATE(A18131, ""en"", ""mt"")"),"X'inhuma r-riżultati mistennija bil-ġestjoni tat-terapija tal-medikazzjoni?")</f>
        <v>X'inhuma r-riżultati mistennija bil-ġestjoni tat-terapija tal-medikazzjoni?</v>
      </c>
    </row>
    <row r="18132" ht="15.75" customHeight="1">
      <c r="A18132" s="2" t="s">
        <v>18132</v>
      </c>
      <c r="B18132" s="2" t="str">
        <f>IFERROR(__xludf.DUMMYFUNCTION("GOOGLETRANSLATE(A18132, ""en"", ""mt"")"),"Min inħatar għall-ewwel darba fl-ankra ta '20 / 20?")</f>
        <v>Min inħatar għall-ewwel darba fl-ankra ta '20 / 20?</v>
      </c>
    </row>
    <row r="18133" ht="15.75" customHeight="1">
      <c r="A18133" s="2" t="s">
        <v>18133</v>
      </c>
      <c r="B18133" s="2" t="str">
        <f>IFERROR(__xludf.DUMMYFUNCTION("GOOGLETRANSLATE(A18133, ""en"", ""mt"")"),"Ma jistax jinkiteb bħala s-somma tal-għoqda ta 'żewġ għoqod mhux privati")</f>
        <v>Ma jistax jinkiteb bħala s-somma tal-għoqda ta 'żewġ għoqod mhux privati</v>
      </c>
    </row>
    <row r="18134" ht="15.75" customHeight="1">
      <c r="A18134" s="2" t="s">
        <v>18134</v>
      </c>
      <c r="B18134" s="2" t="str">
        <f>IFERROR(__xludf.DUMMYFUNCTION("GOOGLETRANSLATE(A18134, ""en"", ""mt"")"),"17")</f>
        <v>17</v>
      </c>
    </row>
    <row r="18135" ht="15.75" customHeight="1">
      <c r="A18135" s="2" t="s">
        <v>18135</v>
      </c>
      <c r="B18135" s="2" t="str">
        <f>IFERROR(__xludf.DUMMYFUNCTION("GOOGLETRANSLATE(A18135, ""en"", ""mt"")"),"Unifikazzjoni awto-konsistenti")</f>
        <v>Unifikazzjoni awto-konsistenti</v>
      </c>
    </row>
    <row r="18136" ht="15.75" customHeight="1">
      <c r="A18136" s="2" t="s">
        <v>18136</v>
      </c>
      <c r="B18136" s="2" t="str">
        <f>IFERROR(__xludf.DUMMYFUNCTION("GOOGLETRANSLATE(A18136, ""en"", ""mt"")"),"promossi ideat u prattiki tal-Punent / barranin f'soċjetajiet Iżlamiċi")</f>
        <v>promossi ideat u prattiki tal-Punent / barranin f'soċjetajiet Iżlamiċi</v>
      </c>
    </row>
    <row r="18137" ht="15.75" customHeight="1">
      <c r="A18137" s="2" t="s">
        <v>18137</v>
      </c>
      <c r="B18137" s="2" t="str">
        <f>IFERROR(__xludf.DUMMYFUNCTION("GOOGLETRANSLATE(A18137, ""en"", ""mt"")"),"Li tillimita l-konkrit tal-ħin tal-komputazzjoni ta 'spiss tipproduċi klassijiet ta' kumplessità li jiddependu fuq xiex?")</f>
        <v>Li tillimita l-konkrit tal-ħin tal-komputazzjoni ta 'spiss tipproduċi klassijiet ta' kumplessità li jiddependu fuq xiex?</v>
      </c>
    </row>
    <row r="18138" ht="15.75" customHeight="1">
      <c r="A18138" s="2" t="s">
        <v>18138</v>
      </c>
      <c r="B18138" s="2" t="str">
        <f>IFERROR(__xludf.DUMMYFUNCTION("GOOGLETRANSLATE(A18138, ""en"", ""mt"")"),"L-aħħar massimu glaċjali")</f>
        <v>L-aħħar massimu glaċjali</v>
      </c>
    </row>
    <row r="18139" ht="15.75" customHeight="1">
      <c r="A18139" s="2" t="s">
        <v>18139</v>
      </c>
      <c r="B18139" s="2" t="str">
        <f>IFERROR(__xludf.DUMMYFUNCTION("GOOGLETRANSLATE(A18139, ""en"", ""mt"")"),"Risposta politika importanti bikrija għall-ftuħ ta 'ostilitajiet kienet it-tlaqqigħ tal-Kungress ta' Albany f'Ġunju u Lulju, 1754. L-għan tal-Kungress kien li jifformalizza front unifikat fil-kummerċ u n-negozjati ma 'diversi Indjani, peress li lealtà tad"&amp;"-diversi tribujiet u In-nazzjonijiet kienu meqjusa li huma fundamentali fis-suċċess fil-gwerra li kienet qed tiżvolġi. Il-pjan li d-delegati qablu li qatt ma ġie rratifikat mil-leġiżlaturi kolonjali u lanqas approvat mill-kuruna. Madankollu, il-format tal"&amp;"-Kungress u ħafna speċifiċitajiet tal-pjan saru l-prototip għall-Konfederazzjoni matul il-Gwerra tal-Indipendenza.")</f>
        <v>Risposta politika importanti bikrija għall-ftuħ ta 'ostilitajiet kienet it-tlaqqigħ tal-Kungress ta' Albany f'Ġunju u Lulju, 1754. L-għan tal-Kungress kien li jifformalizza front unifikat fil-kummerċ u n-negozjati ma 'diversi Indjani, peress li lealtà tad-diversi tribujiet u In-nazzjonijiet kienu meqjusa li huma fundamentali fis-suċċess fil-gwerra li kienet qed tiżvolġi. Il-pjan li d-delegati qablu li qatt ma ġie rratifikat mil-leġiżlaturi kolonjali u lanqas approvat mill-kuruna. Madankollu, il-format tal-Kungress u ħafna speċifiċitajiet tal-pjan saru l-prototip għall-Konfederazzjoni matul il-Gwerra tal-Indipendenza.</v>
      </c>
    </row>
    <row r="18140" ht="15.75" customHeight="1">
      <c r="A18140" s="2" t="s">
        <v>18140</v>
      </c>
      <c r="B18140" s="2" t="str">
        <f>IFERROR(__xludf.DUMMYFUNCTION("GOOGLETRANSLATE(A18140, ""en"", ""mt"")"),"Mur quddiem")</f>
        <v>Mur quddiem</v>
      </c>
    </row>
    <row r="18141" ht="15.75" customHeight="1">
      <c r="A18141" s="2" t="s">
        <v>18141</v>
      </c>
      <c r="B18141" s="2" t="str">
        <f>IFERROR(__xludf.DUMMYFUNCTION("GOOGLETRANSLATE(A18141, ""en"", ""mt"")"),"Jidher li jidher li t-tibdil fil-klima huwa iktar serju billi jeverti l-impatt")</f>
        <v>Jidher li jidher li t-tibdil fil-klima huwa iktar serju billi jeverti l-impatt</v>
      </c>
    </row>
    <row r="18142" ht="15.75" customHeight="1">
      <c r="A18142" s="2" t="s">
        <v>18142</v>
      </c>
      <c r="B18142" s="2" t="str">
        <f>IFERROR(__xludf.DUMMYFUNCTION("GOOGLETRANSLATE(A18142, ""en"", ""mt"")"),"Bil-massa, l-ossiġnu huwa t-tielet l-iktar element abbundanti fl-univers, wara l-idroġenu u l-elju")</f>
        <v>Bil-massa, l-ossiġnu huwa t-tielet l-iktar element abbundanti fl-univers, wara l-idroġenu u l-elju</v>
      </c>
    </row>
    <row r="18143" ht="15.75" customHeight="1">
      <c r="A18143" s="2" t="s">
        <v>18143</v>
      </c>
      <c r="B18143" s="2" t="str">
        <f>IFERROR(__xludf.DUMMYFUNCTION("GOOGLETRANSLATE(A18143, ""en"", ""mt"")"),"Università tar-Ross")</f>
        <v>Università tar-Ross</v>
      </c>
    </row>
    <row r="18144" ht="15.75" customHeight="1">
      <c r="A18144" s="2" t="s">
        <v>18144</v>
      </c>
      <c r="B18144" s="2" t="str">
        <f>IFERROR(__xludf.DUMMYFUNCTION("GOOGLETRANSLATE(A18144, ""en"", ""mt"")"),"X’għamlu l-poplu Lhudi u għalhekk oġġetti pagani ma kinux ikunu fit-Tempju ta ’Ġerusalemm?")</f>
        <v>X’għamlu l-poplu Lhudi u għalhekk oġġetti pagani ma kinux ikunu fit-Tempju ta ’Ġerusalemm?</v>
      </c>
    </row>
    <row r="18145" ht="15.75" customHeight="1">
      <c r="A18145" s="2" t="s">
        <v>18145</v>
      </c>
      <c r="B18145" s="2" t="str">
        <f>IFERROR(__xludf.DUMMYFUNCTION("GOOGLETRANSLATE(A18145, ""en"", ""mt"")"),"NASA")</f>
        <v>NASA</v>
      </c>
    </row>
    <row r="18146" ht="15.75" customHeight="1">
      <c r="A18146" s="2" t="s">
        <v>18146</v>
      </c>
      <c r="B18146" s="2" t="str">
        <f>IFERROR(__xludf.DUMMYFUNCTION("GOOGLETRANSLATE(A18146, ""en"", ""mt"")"),"il-qoxra u l-parti riġida tal-parti ta 'fuq tal-mantell ta' fuq")</f>
        <v>il-qoxra u l-parti riġida tal-parti ta 'fuq tal-mantell ta' fuq</v>
      </c>
    </row>
    <row r="18147" ht="15.75" customHeight="1">
      <c r="A18147" s="2" t="s">
        <v>18147</v>
      </c>
      <c r="B18147" s="2" t="str">
        <f>IFERROR(__xludf.DUMMYFUNCTION("GOOGLETRANSLATE(A18147, ""en"", ""mt"")"),"Turingija")</f>
        <v>Turingija</v>
      </c>
    </row>
    <row r="18148" ht="15.75" customHeight="1">
      <c r="A18148" s="2" t="s">
        <v>18148</v>
      </c>
      <c r="B18148" s="2" t="str">
        <f>IFERROR(__xludf.DUMMYFUNCTION("GOOGLETRANSLATE(A18148, ""en"", ""mt"")"),"Thomas Edison u Nikola Tesla")</f>
        <v>Thomas Edison u Nikola Tesla</v>
      </c>
    </row>
    <row r="18149" ht="15.75" customHeight="1">
      <c r="A18149" s="2" t="s">
        <v>18149</v>
      </c>
      <c r="B18149" s="2" t="str">
        <f>IFERROR(__xludf.DUMMYFUNCTION("GOOGLETRANSLATE(A18149, ""en"", ""mt"")"),"Pakistan")</f>
        <v>Pakistan</v>
      </c>
    </row>
    <row r="18150" ht="15.75" customHeight="1">
      <c r="A18150" s="2" t="s">
        <v>18150</v>
      </c>
      <c r="B18150" s="2" t="str">
        <f>IFERROR(__xludf.DUMMYFUNCTION("GOOGLETRANSLATE(A18150, ""en"", ""mt"")"),"Kif qabbad Utent of Tymnet")</f>
        <v>Kif qabbad Utent of Tymnet</v>
      </c>
    </row>
    <row r="18151" ht="15.75" customHeight="1">
      <c r="A18151" s="2" t="s">
        <v>18151</v>
      </c>
      <c r="B18151" s="2" t="str">
        <f>IFERROR(__xludf.DUMMYFUNCTION("GOOGLETRANSLATE(A18151, ""en"", ""mt"")"),"Djar mill-bidu tas-seklu 20 jillinjaw dan il-boulevard fil-qalba tal-passaġġ storiku Alta Vista. Is-sezzjoni ta ’Huntington Boulevard bejn l-Ewwel Triq fuq il-Punent sa Vjal Cedar fuq il-lvant hija d-dar għal ħafna djar kbar u mwarrba. L-iżvilupp oriġinal"&amp;"i ta 'din iż-żona beda madwar l-1910, fuq 190 acres ta' dak li kien qasam tal-alfalfa. Il-passaġġ Alta Vista, hekk kif l-art kienet issir magħrufa, kienet immappjata minn William Stranahan għall-Korporazzjoni ta 'Titjib tal-Paċifiku, u kienet uffiċjalment"&amp;" imqabbda fl-1911. ta 'Platt Avenue (fil-lvant tas-Sitt Triq) u Avenue Platt (fil-punent ta' Triq is-Sitt) fit-tramuntana, u l-Ewwel Triq fil-punent. Is-suddiviżjoni ġiet annessa mal-belt f'Jannar 1912, f'elezzjoni li kienet l-ewwel waħda li fiha n-nisa v"&amp;"vutaw fil-komunità. Fil-ħin tal-ammissjoni tagħha fil-belt, il-passaġġ Alta Vista kien abitat iżda msawwar, għalkemm is-siġar kellhom jiġu mdgħajfa mill-vagun tat-tank. Fl-1914 l-iżviluppaturi Billings &amp; Meyering akkwistaw il-passaġġ, komplew l-iżvilupp t"&amp;"at-triq, ipprovdew l-aħħar mit-titjib muniċipali meħtieġ inkluż is-servizz tal-ilma, u bdew jikkummerċjalizzaw il-propjetà bil-ħrara. Sempliċi nofs għaxar snin wara l-passaġġ kellu 267 djar. Dan l-iżvilupp rapidu kien bla dubju mgħaġġel mill-Kumpanija Fre"&amp;"sno Traction Land-of-way tul Huntington Boulevard, li pprovda konnessjonijiet tat-triq bejn iċ-ċentru u l-isptar tal-kontea.")</f>
        <v>Djar mill-bidu tas-seklu 20 jillinjaw dan il-boulevard fil-qalba tal-passaġġ storiku Alta Vista. Is-sezzjoni ta ’Huntington Boulevard bejn l-Ewwel Triq fuq il-Punent sa Vjal Cedar fuq il-lvant hija d-dar għal ħafna djar kbar u mwarrba. L-iżvilupp oriġinali ta 'din iż-żona beda madwar l-1910, fuq 190 acres ta' dak li kien qasam tal-alfalfa. Il-passaġġ Alta Vista, hekk kif l-art kienet issir magħrufa, kienet immappjata minn William Stranahan għall-Korporazzjoni ta 'Titjib tal-Paċifiku, u kienet uffiċjalment imqabbda fl-1911. ta 'Platt Avenue (fil-lvant tas-Sitt Triq) u Avenue Platt (fil-punent ta' Triq is-Sitt) fit-tramuntana, u l-Ewwel Triq fil-punent. Is-suddiviżjoni ġiet annessa mal-belt f'Jannar 1912, f'elezzjoni li kienet l-ewwel waħda li fiha n-nisa vvutaw fil-komunità. Fil-ħin tal-ammissjoni tagħha fil-belt, il-passaġġ Alta Vista kien abitat iżda msawwar, għalkemm is-siġar kellhom jiġu mdgħajfa mill-vagun tat-tank. Fl-1914 l-iżviluppaturi Billings &amp; Meyering akkwistaw il-passaġġ, komplew l-iżvilupp tat-triq, ipprovdew l-aħħar mit-titjib muniċipali meħtieġ inkluż is-servizz tal-ilma, u bdew jikkummerċjalizzaw il-propjetà bil-ħrara. Sempliċi nofs għaxar snin wara l-passaġġ kellu 267 djar. Dan l-iżvilupp rapidu kien bla dubju mgħaġġel mill-Kumpanija Fresno Traction Land-of-way tul Huntington Boulevard, li pprovda konnessjonijiet tat-triq bejn iċ-ċentru u l-isptar tal-kontea.</v>
      </c>
    </row>
    <row r="18152" ht="15.75" customHeight="1">
      <c r="A18152" s="2" t="s">
        <v>18152</v>
      </c>
      <c r="B18152" s="2" t="str">
        <f>IFERROR(__xludf.DUMMYFUNCTION("GOOGLETRANSLATE(A18152, ""en"", ""mt"")"),"Liema kwistjoni tas-saħħa sofriet Tesla?")</f>
        <v>Liema kwistjoni tas-saħħa sofriet Tesla?</v>
      </c>
    </row>
    <row r="18153" ht="15.75" customHeight="1">
      <c r="A18153" s="2" t="s">
        <v>18153</v>
      </c>
      <c r="B18153" s="2" t="str">
        <f>IFERROR(__xludf.DUMMYFUNCTION("GOOGLETRANSLATE(A18153, ""en"", ""mt"")"),"Liema talk show issostitwixxa ħajja waħda biex tgħix?")</f>
        <v>Liema talk show issostitwixxa ħajja waħda biex tgħix?</v>
      </c>
    </row>
    <row r="18154" ht="15.75" customHeight="1">
      <c r="A18154" s="2" t="s">
        <v>18154</v>
      </c>
      <c r="B18154" s="2" t="str">
        <f>IFERROR(__xludf.DUMMYFUNCTION("GOOGLETRANSLATE(A18154, ""en"", ""mt"")"),"il-gvern Awstraljan")</f>
        <v>il-gvern Awstraljan</v>
      </c>
    </row>
    <row r="18155" ht="15.75" customHeight="1">
      <c r="A18155" s="2" t="s">
        <v>18155</v>
      </c>
      <c r="B18155" s="2" t="str">
        <f>IFERROR(__xludf.DUMMYFUNCTION("GOOGLETRANSLATE(A18155, ""en"", ""mt"")"),"fuljetti kritiċi fuq l-Islam")</f>
        <v>fuljetti kritiċi fuq l-Islam</v>
      </c>
    </row>
    <row r="18156" ht="15.75" customHeight="1">
      <c r="A18156" s="2" t="s">
        <v>18156</v>
      </c>
      <c r="B18156" s="2" t="str">
        <f>IFERROR(__xludf.DUMMYFUNCTION("GOOGLETRANSLATE(A18156, ""en"", ""mt"")"),"1726")</f>
        <v>1726</v>
      </c>
    </row>
    <row r="18157" ht="15.75" customHeight="1">
      <c r="A18157" s="2" t="s">
        <v>18157</v>
      </c>
      <c r="B18157" s="2" t="str">
        <f>IFERROR(__xludf.DUMMYFUNCTION("GOOGLETRANSLATE(A18157, ""en"", ""mt"")"),"Ekonomija tad-Dinja")</f>
        <v>Ekonomija tad-Dinja</v>
      </c>
    </row>
    <row r="18158" ht="15.75" customHeight="1">
      <c r="A18158" s="2" t="s">
        <v>18158</v>
      </c>
      <c r="B18158" s="2" t="str">
        <f>IFERROR(__xludf.DUMMYFUNCTION("GOOGLETRANSLATE(A18158, ""en"", ""mt"")"),"Kurt H. Debus inħatar liema pożizzjoni għaċ-Ċentru tal-Operazzjonijiet tat-Tnedija?")</f>
        <v>Kurt H. Debus inħatar liema pożizzjoni għaċ-Ċentru tal-Operazzjonijiet tat-Tnedija?</v>
      </c>
    </row>
    <row r="18159" ht="15.75" customHeight="1">
      <c r="A18159" s="2" t="s">
        <v>18159</v>
      </c>
      <c r="B18159" s="2" t="str">
        <f>IFERROR(__xludf.DUMMYFUNCTION("GOOGLETRANSLATE(A18159, ""en"", ""mt"")"),"Standards ta 'prattika")</f>
        <v>Standards ta 'prattika</v>
      </c>
    </row>
    <row r="18160" ht="15.75" customHeight="1">
      <c r="A18160" s="2" t="s">
        <v>18160</v>
      </c>
      <c r="B18160" s="2" t="str">
        <f>IFERROR(__xludf.DUMMYFUNCTION("GOOGLETRANSLATE(A18160, ""en"", ""mt"")"),"Avveniment ta 'Ignition")</f>
        <v>Avveniment ta 'Ignition</v>
      </c>
    </row>
    <row r="18161" ht="15.75" customHeight="1">
      <c r="A18161" s="2" t="s">
        <v>18161</v>
      </c>
      <c r="B18161" s="2" t="str">
        <f>IFERROR(__xludf.DUMMYFUNCTION("GOOGLETRANSLATE(A18161, ""en"", ""mt"")"),"X'kienu l-astronawti liebes waqt il-missjoni doppja AS-278?")</f>
        <v>X'kienu l-astronawti liebes waqt il-missjoni doppja AS-278?</v>
      </c>
    </row>
    <row r="18162" ht="15.75" customHeight="1">
      <c r="A18162" s="2" t="s">
        <v>18162</v>
      </c>
      <c r="B18162" s="2" t="str">
        <f>IFERROR(__xludf.DUMMYFUNCTION("GOOGLETRANSLATE(A18162, ""en"", ""mt"")"),"Kemm kien twil l-għoli aħħari tat-torri?")</f>
        <v>Kemm kien twil l-għoli aħħari tat-torri?</v>
      </c>
    </row>
    <row r="18163" ht="15.75" customHeight="1">
      <c r="A18163" s="2" t="s">
        <v>18163</v>
      </c>
      <c r="B18163" s="2" t="str">
        <f>IFERROR(__xludf.DUMMYFUNCTION("GOOGLETRANSLATE(A18163, ""en"", ""mt"")"),"Min fost is-suġġetti ta 'Genghis Khan qasmu privileġġi simili għall-membri tal-familja viċin tiegħu?")</f>
        <v>Min fost is-suġġetti ta 'Genghis Khan qasmu privileġġi simili għall-membri tal-familja viċin tiegħu?</v>
      </c>
    </row>
    <row r="18164" ht="15.75" customHeight="1">
      <c r="A18164" s="2" t="s">
        <v>18164</v>
      </c>
      <c r="B18164" s="2" t="str">
        <f>IFERROR(__xludf.DUMMYFUNCTION("GOOGLETRANSLATE(A18164, ""en"", ""mt"")"),"Riġenerazzjoni fuq skala kbira")</f>
        <v>Riġenerazzjoni fuq skala kbira</v>
      </c>
    </row>
    <row r="18165" ht="15.75" customHeight="1">
      <c r="A18165" s="2" t="s">
        <v>18165</v>
      </c>
      <c r="B18165" s="2" t="str">
        <f>IFERROR(__xludf.DUMMYFUNCTION("GOOGLETRANSLATE(A18165, ""en"", ""mt"")"),"X'inhi grazzja prevenjenti?")</f>
        <v>X'inhi grazzja prevenjenti?</v>
      </c>
    </row>
    <row r="18166" ht="15.75" customHeight="1">
      <c r="A18166" s="2" t="s">
        <v>18166</v>
      </c>
      <c r="B18166" s="2" t="str">
        <f>IFERROR(__xludf.DUMMYFUNCTION("GOOGLETRANSLATE(A18166, ""en"", ""mt"")"),"l-ID tal-konnessjoni f'tabella")</f>
        <v>l-ID tal-konnessjoni f'tabella</v>
      </c>
    </row>
    <row r="18167" ht="15.75" customHeight="1">
      <c r="A18167" s="2" t="s">
        <v>18167</v>
      </c>
      <c r="B18167" s="2" t="str">
        <f>IFERROR(__xludf.DUMMYFUNCTION("GOOGLETRANSLATE(A18167, ""en"", ""mt"")"),"Sigurtà tal-Ikel")</f>
        <v>Sigurtà tal-Ikel</v>
      </c>
    </row>
    <row r="18168" ht="15.75" customHeight="1">
      <c r="A18168" s="2" t="s">
        <v>18168</v>
      </c>
      <c r="B18168" s="2" t="str">
        <f>IFERROR(__xludf.DUMMYFUNCTION("GOOGLETRANSLATE(A18168, ""en"", ""mt"")"),"9–88 cm")</f>
        <v>9–88 cm</v>
      </c>
    </row>
    <row r="18169" ht="15.75" customHeight="1">
      <c r="A18169" s="2" t="s">
        <v>18169</v>
      </c>
      <c r="B18169" s="2" t="str">
        <f>IFERROR(__xludf.DUMMYFUNCTION("GOOGLETRANSLATE(A18169, ""en"", ""mt"")"),"programmi biex tidentifika, tirrekluta u tappoġġja żgħażagħ b'talent")</f>
        <v>programmi biex tidentifika, tirrekluta u tappoġġja żgħażagħ b'talent</v>
      </c>
    </row>
    <row r="18170" ht="15.75" customHeight="1">
      <c r="A18170" s="2" t="s">
        <v>18170</v>
      </c>
      <c r="B18170" s="2" t="str">
        <f>IFERROR(__xludf.DUMMYFUNCTION("GOOGLETRANSLATE(A18170, ""en"", ""mt"")"),"ABC imxandar wirjiet sinfoniċi minn liema konduttur?")</f>
        <v>ABC imxandar wirjiet sinfoniċi minn liema konduttur?</v>
      </c>
    </row>
    <row r="18171" ht="15.75" customHeight="1">
      <c r="A18171" s="2" t="s">
        <v>18171</v>
      </c>
      <c r="B18171" s="2" t="str">
        <f>IFERROR(__xludf.DUMMYFUNCTION("GOOGLETRANSLATE(A18171, ""en"", ""mt"")"),"18 ta ’Frar 1546")</f>
        <v>18 ta ’Frar 1546</v>
      </c>
    </row>
    <row r="18172" ht="15.75" customHeight="1">
      <c r="A18172" s="2" t="s">
        <v>18172</v>
      </c>
      <c r="B18172" s="2" t="str">
        <f>IFERROR(__xludf.DUMMYFUNCTION("GOOGLETRANSLATE(A18172, ""en"", ""mt"")"),"Ir-reġjuni ripetuti maqluba huma kkonservati ħafna fost il-pjanti tal-art, u jakkumulaw ftit mutazzjonijiet. Ir-ripetizzjonijiet maqluba simili jeżistu fil-ġenomi ta 'cyanobacteria u ż-żewġ nisel l-ieħor tal-kloroplast (glaucophyta u rhodophyceæ), li jiss"&amp;"uġġerixxu li huma qabel il-kloroplast, għalkemm xi DNAs tal-kloroplast minn dakinhar tilfu jew flipped ir-ripetizzjonijiet maqluba (li jagħmluhom ripetuti diretti). Huwa possibbli li r-ripetizzjonijiet maqluba jgħinu jistabbilizzaw il-kumplament tal-ġenom"&amp;"a tal-kloroplast, bħala DNAs tal-kloroplast li tilfu wħud mis-segmenti ripetuti maqluba għandhom it-tendenza li jiġu rranġati aktar.")</f>
        <v>Ir-reġjuni ripetuti maqluba huma kkonservati ħafna fost il-pjanti tal-art, u jakkumulaw ftit mutazzjonijiet. Ir-ripetizzjonijiet maqluba simili jeżistu fil-ġenomi ta 'cyanobacteria u ż-żewġ nisel l-ieħor tal-kloroplast (glaucophyta u rhodophyceæ), li jissuġġerixxu li huma qabel il-kloroplast, għalkemm xi DNAs tal-kloroplast minn dakinhar tilfu jew flipped ir-ripetizzjonijiet maqluba (li jagħmluhom ripetuti diretti). Huwa possibbli li r-ripetizzjonijiet maqluba jgħinu jistabbilizzaw il-kumplament tal-ġenoma tal-kloroplast, bħala DNAs tal-kloroplast li tilfu wħud mis-segmenti ripetuti maqluba għandhom it-tendenza li jiġu rranġati aktar.</v>
      </c>
    </row>
    <row r="18173" ht="15.75" customHeight="1">
      <c r="A18173" s="2" t="s">
        <v>18173</v>
      </c>
      <c r="B18173" s="2" t="str">
        <f>IFERROR(__xludf.DUMMYFUNCTION("GOOGLETRANSLATE(A18173, ""en"", ""mt"")"),"Riċentement ġie żviluppat mudell aktar dettaljat tad-dinja. Is-sismologi setgħu joħolqu dan billi jużaw immaġini ta 'dak mill-intern tad-dinja?")</f>
        <v>Riċentement ġie żviluppat mudell aktar dettaljat tad-dinja. Is-sismologi setgħu joħolqu dan billi jużaw immaġini ta 'dak mill-intern tad-dinja?</v>
      </c>
    </row>
    <row r="18174" ht="15.75" customHeight="1">
      <c r="A18174" s="2" t="s">
        <v>18174</v>
      </c>
      <c r="B18174" s="2" t="str">
        <f>IFERROR(__xludf.DUMMYFUNCTION("GOOGLETRANSLATE(A18174, ""en"", ""mt"")"),"Kemm hemm laureati Nobel fost l-alumni tal-iskola?")</f>
        <v>Kemm hemm laureati Nobel fost l-alumni tal-iskola?</v>
      </c>
    </row>
    <row r="18175" ht="15.75" customHeight="1">
      <c r="A18175" s="2" t="s">
        <v>18175</v>
      </c>
      <c r="B18175" s="2" t="str">
        <f>IFERROR(__xludf.DUMMYFUNCTION("GOOGLETRANSLATE(A18175, ""en"", ""mt"")"),"Ġeneral Maġġur James Abercrombie")</f>
        <v>Ġeneral Maġġur James Abercrombie</v>
      </c>
    </row>
    <row r="18176" ht="15.75" customHeight="1">
      <c r="A18176" s="2" t="s">
        <v>18176</v>
      </c>
      <c r="B18176" s="2" t="str">
        <f>IFERROR(__xludf.DUMMYFUNCTION("GOOGLETRANSLATE(A18176, ""en"", ""mt"")"),"Uħud iddeskrivew il-konflitti interni bejn diversi gruppi ta ’nies bħala forma ta’ imperjalizmu jew kolonjaliżmu. Din il-forma interna hija distinta mill-imperjalizmu informali tal-Istati Uniti fil-forma ta 'eġemonija politika u finanzjarja. Din il-forma "&amp;"interna ta 'imperjalizmu hija wkoll distinta mill-formazzjoni ta' ""kolonji"" ta 'l-Istati Uniti barra mill-pajjiż. Permezz tat-trattament tal-popli indiġeni tagħha waqt l-espansjoni tal-punent, l-Istati Uniti ħadu l-forma ta 'poter imperjali qabel kull t"&amp;"entattiv ta' imperjalizmu estern. Din il-forma interna ta 'imperu ġiet imsejħa ""kolonjaliżmu intern"". Il-parteċipazzjoni fil-kummerċ tal-iskjavi Afrikani u t-trattament sussegwenti tat-12 sa 15-il miljun Afrikan tagħha hija meqjusa minn uħud bħala esten"&amp;"sjoni aktar moderna tal- ""kolonjaliżmu intern"" tal-Amerika. Madankollu, dan il-kolonjaliżmu intern ffaċċja r-reżistenza, kif għamel il-kolonjaliżmu estern, iżda l-preżenza anti-kolonjali kienet ferm inqas prominenti minħabba d-dominanza kważi kompluta l"&amp;"i l-Istati Uniti kienu kapaċi jaffermaw kemm fuq il-popli indiġeni kif ukoll fuq l-Afrikani-Amerikani. Fit-taħdita tiegħu fis-16 ta 'April, 2003, Edward qal għamel dikjarazzjoni kuraġġuża dwar l-imperjalizmu modern fl-Istati Uniti, li huwa ddeskriva bħala"&amp;" li juża mezzi aggressivi ta' attakk lejn l-Orjent Kontemporanju, ""minħabba l-għajxien lura tagħhom, in-nuqqas ta 'demokrazija u l-ksur tad-drittijiet tan-nisa. Id-dinja tal-Punent tinsa matul dan il-proċess li tikkonverti lill-ieħor li l-kjarifika u d-d"&amp;"emokrazija huma kunċetti li mhux kollha jaqblu dwarhom "".")</f>
        <v>Uħud iddeskrivew il-konflitti interni bejn diversi gruppi ta ’nies bħala forma ta’ imperjalizmu jew kolonjaliżmu. Din il-forma interna hija distinta mill-imperjalizmu informali tal-Istati Uniti fil-forma ta 'eġemonija politika u finanzjarja. Din il-forma interna ta 'imperjalizmu hija wkoll distinta mill-formazzjoni ta' "kolonji" ta 'l-Istati Uniti barra mill-pajjiż. Permezz tat-trattament tal-popli indiġeni tagħha waqt l-espansjoni tal-punent, l-Istati Uniti ħadu l-forma ta 'poter imperjali qabel kull tentattiv ta' imperjalizmu estern. Din il-forma interna ta 'imperu ġiet imsejħa "kolonjaliżmu intern". Il-parteċipazzjoni fil-kummerċ tal-iskjavi Afrikani u t-trattament sussegwenti tat-12 sa 15-il miljun Afrikan tagħha hija meqjusa minn uħud bħala estensjoni aktar moderna tal- "kolonjaliżmu intern" tal-Amerika. Madankollu, dan il-kolonjaliżmu intern ffaċċja r-reżistenza, kif għamel il-kolonjaliżmu estern, iżda l-preżenza anti-kolonjali kienet ferm inqas prominenti minħabba d-dominanza kważi kompluta li l-Istati Uniti kienu kapaċi jaffermaw kemm fuq il-popli indiġeni kif ukoll fuq l-Afrikani-Amerikani. Fit-taħdita tiegħu fis-16 ta 'April, 2003, Edward qal għamel dikjarazzjoni kuraġġuża dwar l-imperjalizmu modern fl-Istati Uniti, li huwa ddeskriva bħala li juża mezzi aggressivi ta' attakk lejn l-Orjent Kontemporanju, "minħabba l-għajxien lura tagħhom, in-nuqqas ta 'demokrazija u l-ksur tad-drittijiet tan-nisa. Id-dinja tal-Punent tinsa matul dan il-proċess li tikkonverti lill-ieħor li l-kjarifika u d-demokrazija huma kunċetti li mhux kollha jaqblu dwarhom ".</v>
      </c>
    </row>
    <row r="18177" ht="15.75" customHeight="1">
      <c r="A18177" s="2" t="s">
        <v>18177</v>
      </c>
      <c r="B18177" s="2" t="str">
        <f>IFERROR(__xludf.DUMMYFUNCTION("GOOGLETRANSLATE(A18177, ""en"", ""mt"")"),"Tentattiv biex tenfasizza l-akkademiċi fuq l-atletika")</f>
        <v>Tentattiv biex tenfasizza l-akkademiċi fuq l-atletika</v>
      </c>
    </row>
    <row r="18178" ht="15.75" customHeight="1">
      <c r="A18178" s="2" t="s">
        <v>18178</v>
      </c>
      <c r="B18178" s="2" t="str">
        <f>IFERROR(__xludf.DUMMYFUNCTION("GOOGLETRANSLATE(A18178, ""en"", ""mt"")"),"Liema monument huwa fil-memorja tal-ikbar insurrezzjoni tal-WWII?")</f>
        <v>Liema monument huwa fil-memorja tal-ikbar insurrezzjoni tal-WWII?</v>
      </c>
    </row>
    <row r="18179" ht="15.75" customHeight="1">
      <c r="A18179" s="2" t="s">
        <v>18179</v>
      </c>
      <c r="B18179" s="2" t="str">
        <f>IFERROR(__xludf.DUMMYFUNCTION("GOOGLETRANSLATE(A18179, ""en"", ""mt"")"),"L-għan huwa tipikament imwettaq permezz ta 'approċċ informali jew formali għat-tagħlim, inkluż kors ta' studju u pjan ta 'lezzjoni li jgħallem ħiliet, għarfien u / jew ħiliet ta' ħsieb. Modi differenti biex tgħallem huma spiss imsejħa pedagoġija. Meta tid"&amp;"deċiedi liema metodu ta 'tagħlim biex tuża l-għalliema jikkunsidraw l-għarfien ta' l-isfond, l-ambjent u l-għanijiet ta 'tagħlim tagħhom kif ukoll kurrikuli standardizzati kif determinat mill-awtorità rilevanti. Ħafna drabi, l-għalliema jgħinu fit-tagħlim"&amp;" barra l-klassi billi jakkumpanjaw lill-istudenti fuq vjaġġi fuq il-post. L-użu dejjem jiżdied tat-teknoloġija, speċifikament iż-żieda tal-internet matul l-aħħar għaxar snin, beda jsawwar il-mod kif l-għalliema javviċinaw ir-rwoli tagħhom fil-klassi.")</f>
        <v>L-għan huwa tipikament imwettaq permezz ta 'approċċ informali jew formali għat-tagħlim, inkluż kors ta' studju u pjan ta 'lezzjoni li jgħallem ħiliet, għarfien u / jew ħiliet ta' ħsieb. Modi differenti biex tgħallem huma spiss imsejħa pedagoġija. Meta tiddeċiedi liema metodu ta 'tagħlim biex tuża l-għalliema jikkunsidraw l-għarfien ta' l-isfond, l-ambjent u l-għanijiet ta 'tagħlim tagħhom kif ukoll kurrikuli standardizzati kif determinat mill-awtorità rilevanti. Ħafna drabi, l-għalliema jgħinu fit-tagħlim barra l-klassi billi jakkumpanjaw lill-istudenti fuq vjaġġi fuq il-post. L-użu dejjem jiżdied tat-teknoloġija, speċifikament iż-żieda tal-internet matul l-aħħar għaxar snin, beda jsawwar il-mod kif l-għalliema javviċinaw ir-rwoli tagħhom fil-klassi.</v>
      </c>
    </row>
    <row r="18180" ht="15.75" customHeight="1">
      <c r="A18180" s="2" t="s">
        <v>18180</v>
      </c>
      <c r="B18180" s="2" t="str">
        <f>IFERROR(__xludf.DUMMYFUNCTION("GOOGLETRANSLATE(A18180, ""en"", ""mt"")"),"spjegat id-diviżjoni u l-amministrazzjoni tat-territorju li għadu kif ġie maħkuma")</f>
        <v>spjegat id-diviżjoni u l-amministrazzjoni tat-territorju li għadu kif ġie maħkuma</v>
      </c>
    </row>
    <row r="18181" ht="15.75" customHeight="1">
      <c r="A18181" s="2" t="s">
        <v>18181</v>
      </c>
      <c r="B18181" s="2" t="str">
        <f>IFERROR(__xludf.DUMMYFUNCTION("GOOGLETRANSLATE(A18181, ""en"", ""mt"")"),"7.9 miljun fl-Istati Uniti")</f>
        <v>7.9 miljun fl-Istati Uniti</v>
      </c>
    </row>
    <row r="18182" ht="15.75" customHeight="1">
      <c r="A18182" s="2" t="s">
        <v>18182</v>
      </c>
      <c r="B18182" s="2" t="str">
        <f>IFERROR(__xludf.DUMMYFUNCTION("GOOGLETRANSLATE(A18182, ""en"", ""mt"")"),"Kemm huma għoljin ħafna mill-bini bit-turretti?")</f>
        <v>Kemm huma għoljin ħafna mill-bini bit-turretti?</v>
      </c>
    </row>
    <row r="18183" ht="15.75" customHeight="1">
      <c r="A18183" s="2" t="s">
        <v>18183</v>
      </c>
      <c r="B18183" s="2" t="str">
        <f>IFERROR(__xludf.DUMMYFUNCTION("GOOGLETRANSLATE(A18183, ""en"", ""mt"")"),"tinforma lill-ġurija u lill-pubbliku")</f>
        <v>tinforma lill-ġurija u lill-pubbliku</v>
      </c>
    </row>
    <row r="18184" ht="15.75" customHeight="1">
      <c r="A18184" s="2" t="s">
        <v>18184</v>
      </c>
      <c r="B18184" s="2" t="str">
        <f>IFERROR(__xludf.DUMMYFUNCTION("GOOGLETRANSLATE(A18184, ""en"", ""mt"")"),"Aalane ġiet irtirata u l-pjattaforma l-ġdida tissejjaħ")</f>
        <v>Aalane ġiet irtirata u l-pjattaforma l-ġdida tissejjaħ</v>
      </c>
    </row>
    <row r="18185" ht="15.75" customHeight="1">
      <c r="A18185" s="2" t="s">
        <v>18185</v>
      </c>
      <c r="B18185" s="2" t="str">
        <f>IFERROR(__xludf.DUMMYFUNCTION("GOOGLETRANSLATE(A18185, ""en"", ""mt"")"),"istokompatibilità")</f>
        <v>istokompatibilità</v>
      </c>
    </row>
    <row r="18186" ht="15.75" customHeight="1">
      <c r="A18186" s="2" t="s">
        <v>18186</v>
      </c>
      <c r="B18186" s="2" t="str">
        <f>IFERROR(__xludf.DUMMYFUNCTION("GOOGLETRANSLATE(A18186, ""en"", ""mt"")"),"Organiżmi anerobiċi obbligati")</f>
        <v>Organiżmi anerobiċi obbligati</v>
      </c>
    </row>
    <row r="18187" ht="15.75" customHeight="1">
      <c r="A18187" s="2" t="s">
        <v>18187</v>
      </c>
      <c r="B18187" s="2" t="str">
        <f>IFERROR(__xludf.DUMMYFUNCTION("GOOGLETRANSLATE(A18187, ""en"", ""mt"")"),"587,000")</f>
        <v>587,000</v>
      </c>
    </row>
    <row r="18188" ht="15.75" customHeight="1">
      <c r="A18188" s="2" t="s">
        <v>18188</v>
      </c>
      <c r="B18188" s="2" t="str">
        <f>IFERROR(__xludf.DUMMYFUNCTION("GOOGLETRANSLATE(A18188, ""en"", ""mt"")"),"Liema liġi Ingliża għamlet lil dak il-pajjiż aktar milqugħ lil Huguenots?")</f>
        <v>Liema liġi Ingliża għamlet lil dak il-pajjiż aktar milqugħ lil Huguenots?</v>
      </c>
    </row>
    <row r="18189" ht="15.75" customHeight="1">
      <c r="A18189" s="2" t="s">
        <v>18189</v>
      </c>
      <c r="B18189" s="2" t="str">
        <f>IFERROR(__xludf.DUMMYFUNCTION("GOOGLETRANSLATE(A18189, ""en"", ""mt"")"),"Min flimkien mar-Russja appoġġjaw il-movimenti komunisti ta 'wara l-WW-II?")</f>
        <v>Min flimkien mar-Russja appoġġjaw il-movimenti komunisti ta 'wara l-WW-II?</v>
      </c>
    </row>
    <row r="18190" ht="15.75" customHeight="1">
      <c r="A18190" s="2" t="s">
        <v>18190</v>
      </c>
      <c r="B18190" s="2" t="str">
        <f>IFERROR(__xludf.DUMMYFUNCTION("GOOGLETRANSLATE(A18190, ""en"", ""mt"")"),"Mill-1321 sal-1323")</f>
        <v>Mill-1321 sal-1323</v>
      </c>
    </row>
    <row r="18191" ht="15.75" customHeight="1">
      <c r="A18191" s="2" t="s">
        <v>18191</v>
      </c>
      <c r="B18191" s="2" t="str">
        <f>IFERROR(__xludf.DUMMYFUNCTION("GOOGLETRANSLATE(A18191, ""en"", ""mt"")"),"Liema grupp intitolat is-Super Bowl 50 Halftime Show?")</f>
        <v>Liema grupp intitolat is-Super Bowl 50 Halftime Show?</v>
      </c>
    </row>
    <row r="18192" ht="15.75" customHeight="1">
      <c r="A18192" s="2" t="s">
        <v>18192</v>
      </c>
      <c r="B18192" s="2" t="str">
        <f>IFERROR(__xludf.DUMMYFUNCTION("GOOGLETRANSLATE(A18192, ""en"", ""mt"")"),"Giuliano da Sangallo")</f>
        <v>Giuliano da Sangallo</v>
      </c>
    </row>
    <row r="18193" ht="15.75" customHeight="1">
      <c r="A18193" s="2" t="s">
        <v>18193</v>
      </c>
      <c r="B18193" s="2" t="str">
        <f>IFERROR(__xludf.DUMMYFUNCTION("GOOGLETRANSLATE(A18193, ""en"", ""mt"")"),"Alberta u l-Kolumbja Brittanika")</f>
        <v>Alberta u l-Kolumbja Brittanika</v>
      </c>
    </row>
    <row r="18194" ht="15.75" customHeight="1">
      <c r="A18194" s="2" t="s">
        <v>18194</v>
      </c>
      <c r="B18194" s="2" t="str">
        <f>IFERROR(__xludf.DUMMYFUNCTION("GOOGLETRANSLATE(A18194, ""en"", ""mt"")"),"enzima msejħa rubisco")</f>
        <v>enzima msejħa rubisco</v>
      </c>
    </row>
    <row r="18195" ht="15.75" customHeight="1">
      <c r="A18195" s="2" t="s">
        <v>18195</v>
      </c>
      <c r="B18195" s="2" t="str">
        <f>IFERROR(__xludf.DUMMYFUNCTION("GOOGLETRANSLATE(A18195, ""en"", ""mt"")"),"X'iktar intuża mill-Pharmas?")</f>
        <v>X'iktar intuża mill-Pharmas?</v>
      </c>
    </row>
    <row r="18196" ht="15.75" customHeight="1">
      <c r="A18196" s="2" t="s">
        <v>18196</v>
      </c>
      <c r="B18196" s="2" t="str">
        <f>IFERROR(__xludf.DUMMYFUNCTION("GOOGLETRANSLATE(A18196, ""en"", ""mt"")"),"Liema sena rat l-ewwel użu rreġistrat tal-indikatur tal-magna tal-fwar?")</f>
        <v>Liema sena rat l-ewwel użu rreġistrat tal-indikatur tal-magna tal-fwar?</v>
      </c>
    </row>
    <row r="18197" ht="15.75" customHeight="1">
      <c r="A18197" s="2" t="s">
        <v>18197</v>
      </c>
      <c r="B18197" s="2" t="str">
        <f>IFERROR(__xludf.DUMMYFUNCTION("GOOGLETRANSLATE(A18197, ""en"", ""mt"")"),"Oġġetti Rinaxximentali Taljani u Franċiżi")</f>
        <v>Oġġetti Rinaxximentali Taljani u Franċiżi</v>
      </c>
    </row>
    <row r="18198" ht="15.75" customHeight="1">
      <c r="A18198" s="2" t="s">
        <v>18198</v>
      </c>
      <c r="B18198" s="2" t="str">
        <f>IFERROR(__xludf.DUMMYFUNCTION("GOOGLETRANSLATE(A18198, ""en"", ""mt"")"),"Fejn kien jinsab it-Teatru tas-Sajf?")</f>
        <v>Fejn kien jinsab it-Teatru tas-Sajf?</v>
      </c>
    </row>
    <row r="18199" ht="15.75" customHeight="1">
      <c r="A18199" s="2" t="s">
        <v>18199</v>
      </c>
      <c r="B18199" s="2" t="str">
        <f>IFERROR(__xludf.DUMMYFUNCTION("GOOGLETRANSLATE(A18199, ""en"", ""mt"")"),"Il-magni LM ġew imwettqa b'suċċess u bdew mill-ġdid")</f>
        <v>Il-magni LM ġew imwettqa b'suċċess u bdew mill-ġdid</v>
      </c>
    </row>
    <row r="18200" ht="15.75" customHeight="1">
      <c r="A18200" s="2" t="s">
        <v>18200</v>
      </c>
      <c r="B18200" s="2" t="str">
        <f>IFERROR(__xludf.DUMMYFUNCTION("GOOGLETRANSLATE(A18200, ""en"", ""mt"")"),"Trattat ta 'Logstown")</f>
        <v>Trattat ta 'Logstown</v>
      </c>
    </row>
    <row r="18201" ht="15.75" customHeight="1">
      <c r="A18201" s="2" t="s">
        <v>18201</v>
      </c>
      <c r="B18201" s="2" t="str">
        <f>IFERROR(__xludf.DUMMYFUNCTION("GOOGLETRANSLATE(A18201, ""en"", ""mt"")"),"Mużiċisti famużi")</f>
        <v>Mużiċisti famużi</v>
      </c>
    </row>
    <row r="18202" ht="15.75" customHeight="1">
      <c r="A18202" s="2" t="s">
        <v>18202</v>
      </c>
      <c r="B18202" s="2" t="str">
        <f>IFERROR(__xludf.DUMMYFUNCTION("GOOGLETRANSLATE(A18202, ""en"", ""mt"")"),"It-tort ta 'San Andreas")</f>
        <v>It-tort ta 'San Andreas</v>
      </c>
    </row>
    <row r="18203" ht="15.75" customHeight="1">
      <c r="A18203" s="2" t="s">
        <v>18203</v>
      </c>
      <c r="B18203" s="2" t="str">
        <f>IFERROR(__xludf.DUMMYFUNCTION("GOOGLETRANSLATE(A18203, ""en"", ""mt"")"),"1 ta ’Awwissu 1521")</f>
        <v>1 ta ’Awwissu 1521</v>
      </c>
    </row>
    <row r="18204" ht="15.75" customHeight="1">
      <c r="A18204" s="2" t="s">
        <v>18204</v>
      </c>
      <c r="B18204" s="2" t="str">
        <f>IFERROR(__xludf.DUMMYFUNCTION("GOOGLETRANSLATE(A18204, ""en"", ""mt"")"),"Hemm konċentrazzjonijiet ta 'pubs, bars u nightclubs madwar is-suq tal-Bigg u ż-żona tal-Quayside taċ-ċentru tal-belt. Hemm ħafna bars fis-suq tal-Bigg, u żoni popolari oħra għall-nightlife huma Triq Collingwood, popolarment imsejħa bħala l- ""strixxa tad"&amp;"-djamanti"" minħabba l-konċentrazzjoni tagħha ta 'bars high-end, Neville Street, iż-żona tal-istazzjon ċentrali u t-triq Osborne f'The Żona ta 'Jesmond tal-belt. F'dawn l-aħħar snin ""il-bieb"" fetaħ fiċ-ċentru tal-belt, kumpless ġdid ta 'ġewwa li jikkons"&amp;"isti minn bars, klabbs tal-bejgħ, ristoranti u ċinema multiplex ta' 12-il skrin. Ix-xena omosesswali ta 'Newcastle - ""The Pink Triangle"" - hija ċċentrata fuq iż-żona tat-Times Square ħdejn iċ-Ċentru għall-Ħajja u għandha firxa ta' bars, kafetteriji u kl"&amp;"abbs.")</f>
        <v>Hemm konċentrazzjonijiet ta 'pubs, bars u nightclubs madwar is-suq tal-Bigg u ż-żona tal-Quayside taċ-ċentru tal-belt. Hemm ħafna bars fis-suq tal-Bigg, u żoni popolari oħra għall-nightlife huma Triq Collingwood, popolarment imsejħa bħala l- "strixxa tad-djamanti" minħabba l-konċentrazzjoni tagħha ta 'bars high-end, Neville Street, iż-żona tal-istazzjon ċentrali u t-triq Osborne f'The Żona ta 'Jesmond tal-belt. F'dawn l-aħħar snin "il-bieb" fetaħ fiċ-ċentru tal-belt, kumpless ġdid ta 'ġewwa li jikkonsisti minn bars, klabbs tal-bejgħ, ristoranti u ċinema multiplex ta' 12-il skrin. Ix-xena omosesswali ta 'Newcastle - "The Pink Triangle" - hija ċċentrata fuq iż-żona tat-Times Square ħdejn iċ-Ċentru għall-Ħajja u għandha firxa ta' bars, kafetteriji u klabbs.</v>
      </c>
    </row>
    <row r="18205" ht="15.75" customHeight="1">
      <c r="A18205" s="2" t="s">
        <v>18205</v>
      </c>
      <c r="B18205" s="2" t="str">
        <f>IFERROR(__xludf.DUMMYFUNCTION("GOOGLETRANSLATE(A18205, ""en"", ""mt"")"),"Fis-snin 80 x'kienet il-popolazzjoni tar-reġjun tal-Amażonja?")</f>
        <v>Fis-snin 80 x'kienet il-popolazzjoni tar-reġjun tal-Amażonja?</v>
      </c>
    </row>
    <row r="18206" ht="15.75" customHeight="1">
      <c r="A18206" s="2" t="s">
        <v>18206</v>
      </c>
      <c r="B18206" s="2" t="str">
        <f>IFERROR(__xludf.DUMMYFUNCTION("GOOGLETRANSLATE(A18206, ""en"", ""mt"")"),"Jingshi Dadian")</f>
        <v>Jingshi Dadian</v>
      </c>
    </row>
    <row r="18207" ht="15.75" customHeight="1">
      <c r="A18207" s="2" t="s">
        <v>18207</v>
      </c>
      <c r="B18207" s="2" t="str">
        <f>IFERROR(__xludf.DUMMYFUNCTION("GOOGLETRANSLATE(A18207, ""en"", ""mt"")"),"Min kien it-tip ta 'Bauhaus iddisinjat oriġinarjament minn fis-snin 1920?")</f>
        <v>Min kien it-tip ta 'Bauhaus iddisinjat oriġinarjament minn fis-snin 1920?</v>
      </c>
    </row>
    <row r="18208" ht="15.75" customHeight="1">
      <c r="A18208" s="2" t="s">
        <v>18208</v>
      </c>
      <c r="B18208" s="2" t="str">
        <f>IFERROR(__xludf.DUMMYFUNCTION("GOOGLETRANSLATE(A18208, ""en"", ""mt"")"),"Nikola_tesla")</f>
        <v>Nikola_tesla</v>
      </c>
    </row>
    <row r="18209" ht="15.75" customHeight="1">
      <c r="A18209" s="2" t="s">
        <v>18209</v>
      </c>
      <c r="B18209" s="2" t="str">
        <f>IFERROR(__xludf.DUMMYFUNCTION("GOOGLETRANSLATE(A18209, ""en"", ""mt"")"),"Il-V &amp; A għandha aktar minn 19,000 oġġett mid-dinja Iżlamika, li jvarjaw mill-perjodu Iżlamiku bikri (is-seklu 7) sal-bidu tas-seklu 20. Il-Gallerija Jameel ta 'l-Art Iżlamika, miftuħa fl-2006, tospita wirja rappreżentattiva ta' 400 oġġett bil-qofol huwa "&amp;"l-Ardabil Carpet, il-qofol tal-gallerija. Il-wirjiet f'din il-gallerija jkopru oġġetti minn Spanja, l-Afrika ta 'Fuq, il-Lvant Nofsani, l-Asja Ċentrali u l-Afganistan. Kapulavur ta 'l-arti Iżlamika huwa Ewer tal-Rock Crystal tas-seklu 10. Ħafna eżempji ta"&amp;" 'Koran b'kaligrafija exquisite li tmur minn diversi perjodi huma esposti. Minbar tas-seklu 15 minn moskea tal-Kajr b'avorju li jifforma xejriet ġeometriċi kumplessi intarsjati fl-injam huwa wieħed mill-akbar oġġetti għall-wiri. Eżempji estensivi ta 'ċera"&amp;"mika speċjalment fuħħar Iznik, xogħol tal-ħġieġ inkluż lampi tas-seklu 14 mill-moskej u xogħol tal-metall huma għall-wiri. Il-kollezzjoni ta 'twapet u twapet tal-Lvant Nofsani u Persjani hija fost l-ifjen fid-dinja, ħafna kienu parti mill-bequest tal-melħ"&amp;" ta' l-1909. u l-madum lewn mill-parti ta ’barra tal-bini minn Samarkand huma wkoll murija.")</f>
        <v>Il-V &amp; A għandha aktar minn 19,000 oġġett mid-dinja Iżlamika, li jvarjaw mill-perjodu Iżlamiku bikri (is-seklu 7) sal-bidu tas-seklu 20. Il-Gallerija Jameel ta 'l-Art Iżlamika, miftuħa fl-2006, tospita wirja rappreżentattiva ta' 400 oġġett bil-qofol huwa l-Ardabil Carpet, il-qofol tal-gallerija. Il-wirjiet f'din il-gallerija jkopru oġġetti minn Spanja, l-Afrika ta 'Fuq, il-Lvant Nofsani, l-Asja Ċentrali u l-Afganistan. Kapulavur ta 'l-arti Iżlamika huwa Ewer tal-Rock Crystal tas-seklu 10. Ħafna eżempji ta 'Koran b'kaligrafija exquisite li tmur minn diversi perjodi huma esposti. Minbar tas-seklu 15 minn moskea tal-Kajr b'avorju li jifforma xejriet ġeometriċi kumplessi intarsjati fl-injam huwa wieħed mill-akbar oġġetti għall-wiri. Eżempji estensivi ta 'ċeramika speċjalment fuħħar Iznik, xogħol tal-ħġieġ inkluż lampi tas-seklu 14 mill-moskej u xogħol tal-metall huma għall-wiri. Il-kollezzjoni ta 'twapet u twapet tal-Lvant Nofsani u Persjani hija fost l-ifjen fid-dinja, ħafna kienu parti mill-bequest tal-melħ ta' l-1909. u l-madum lewn mill-parti ta ’barra tal-bini minn Samarkand huma wkoll murija.</v>
      </c>
    </row>
    <row r="18210" ht="15.75" customHeight="1">
      <c r="A18210" s="2" t="s">
        <v>18210</v>
      </c>
      <c r="B18210" s="2" t="str">
        <f>IFERROR(__xludf.DUMMYFUNCTION("GOOGLETRANSLATE(A18210, ""en"", ""mt"")"),"Min rebaħ Super Bowl 50?")</f>
        <v>Min rebaħ Super Bowl 50?</v>
      </c>
    </row>
    <row r="18211" ht="15.75" customHeight="1">
      <c r="A18211" s="2" t="s">
        <v>18211</v>
      </c>
      <c r="B18211" s="2" t="str">
        <f>IFERROR(__xludf.DUMMYFUNCTION("GOOGLETRANSLATE(A18211, ""en"", ""mt"")"),"Liema ħsad ewlieni nġieb lejn iċ-Ċina mill-Punent?")</f>
        <v>Liema ħsad ewlieni nġieb lejn iċ-Ċina mill-Punent?</v>
      </c>
    </row>
    <row r="18212" ht="15.75" customHeight="1">
      <c r="A18212" s="2" t="s">
        <v>18212</v>
      </c>
      <c r="B18212" s="2" t="str">
        <f>IFERROR(__xludf.DUMMYFUNCTION("GOOGLETRANSLATE(A18212, ""en"", ""mt"")"),"Ħafna mill-istess deċiżjonijiet u prinċipji li japplikaw f'investigazzjonijiet u arresti kriminali oħra jinqalgħu wkoll f'każijiet ta 'diżubbidjenza ċivili. Pereżempju, is-suspettat jista 'jkollu bżonn jiddeċiedi jekk jagħtix tfittxija ta' kunsens jew le,"&amp;" u jekk tkellemx jew le ma 'uffiċjali tal-pulizija jew le. Ġeneralment huwa miftiehem fi ħdan il-komunità legali, u ħafna drabi huwa maħsub fil-komunità attivisti, li suspettat jitkellem ma 'investigaturi kriminali jista' jservi l-ebda skop utli, u jista "&amp;"'jkun ta' ħsara. Madankollu, xi diżubbidjenti ċivili madankollu sabuha diffiċli biex jirreżistu li jirrispondu għall-mistoqsijiet tal-investigaturi, xi kultant minħabba nuqqas ta 'fehim tar-ramifikazzjonijiet legali, jew minħabba l-biża' li tidher rude. U"&amp;"koll, xi diżubbidjenti ċivili jfittxu li jużaw l-arrest bħala opportunità biex jagħmlu impressjoni fuq l-uffiċjali. Thoreau kiteb, ""Il-proxxmu ċivili tiegħi, il-ġbir tat-taxxa, huwa l-bniedem stess li għandi nittratta - għax wara kollox, ma 'l-irġiel u m"&amp;"hux mal-parċmina li kont nitfa' - u huwa volontarjament għażel li jkun aġent tal-gvern. Kif għandu jkun jaf sew li hu u jagħmel bħala uffiċjal tal-gvern, jew bħala raġel, sakemm ikun obbligat jikkunsidra jekk hux se jittratta lili, il-proxxmu tiegħu, li g"&amp;"ħalih hu għandu rispett, bħala Ġirien u raġel imħasseb sew, jew bħala maniac u jfixklu l-paċi, u ara jekk jistax jaqbeż din l-ostruzzjoni lejn il-viċinat tiegħu mingħajr ħsieb jew diskors aktar imxerred u aktar impetuż li jikkorrispondu mal-azzjoni tiegħu"&amp;". """)</f>
        <v>Ħafna mill-istess deċiżjonijiet u prinċipji li japplikaw f'investigazzjonijiet u arresti kriminali oħra jinqalgħu wkoll f'każijiet ta 'diżubbidjenza ċivili. Pereżempju, is-suspettat jista 'jkollu bżonn jiddeċiedi jekk jagħtix tfittxija ta' kunsens jew le, u jekk tkellemx jew le ma 'uffiċjali tal-pulizija jew le. Ġeneralment huwa miftiehem fi ħdan il-komunità legali, u ħafna drabi huwa maħsub fil-komunità attivisti, li suspettat jitkellem ma 'investigaturi kriminali jista' jservi l-ebda skop utli, u jista 'jkun ta' ħsara. Madankollu, xi diżubbidjenti ċivili madankollu sabuha diffiċli biex jirreżistu li jirrispondu għall-mistoqsijiet tal-investigaturi, xi kultant minħabba nuqqas ta 'fehim tar-ramifikazzjonijiet legali, jew minħabba l-biża' li tidher rude. Ukoll, xi diżubbidjenti ċivili jfittxu li jużaw l-arrest bħala opportunità biex jagħmlu impressjoni fuq l-uffiċjali. Thoreau kiteb, "Il-proxxmu ċivili tiegħi, il-ġbir tat-taxxa, huwa l-bniedem stess li għandi nittratta - għax wara kollox, ma 'l-irġiel u mhux mal-parċmina li kont nitfa' - u huwa volontarjament għażel li jkun aġent tal-gvern. Kif għandu jkun jaf sew li hu u jagħmel bħala uffiċjal tal-gvern, jew bħala raġel, sakemm ikun obbligat jikkunsidra jekk hux se jittratta lili, il-proxxmu tiegħu, li għalih hu għandu rispett, bħala Ġirien u raġel imħasseb sew, jew bħala maniac u jfixklu l-paċi, u ara jekk jistax jaqbeż din l-ostruzzjoni lejn il-viċinat tiegħu mingħajr ħsieb jew diskors aktar imxerred u aktar impetuż li jikkorrispondu mal-azzjoni tiegħu. "</v>
      </c>
    </row>
    <row r="18213" ht="15.75" customHeight="1">
      <c r="A18213" s="2" t="s">
        <v>18213</v>
      </c>
      <c r="B18213" s="2" t="str">
        <f>IFERROR(__xludf.DUMMYFUNCTION("GOOGLETRANSLATE(A18213, ""en"", ""mt"")"),"Appoġġ għal attakk fuq il-klassijiet ta 'fuq")</f>
        <v>Appoġġ għal attakk fuq il-klassijiet ta 'fuq</v>
      </c>
    </row>
    <row r="18214" ht="15.75" customHeight="1">
      <c r="A18214" s="2" t="s">
        <v>18214</v>
      </c>
      <c r="B18214" s="2" t="str">
        <f>IFERROR(__xludf.DUMMYFUNCTION("GOOGLETRANSLATE(A18214, ""en"", ""mt"")"),"X'inhuma l-kolloblasti?")</f>
        <v>X'inhuma l-kolloblasti?</v>
      </c>
    </row>
    <row r="18215" ht="15.75" customHeight="1">
      <c r="A18215" s="2" t="s">
        <v>18215</v>
      </c>
      <c r="B18215" s="2" t="str">
        <f>IFERROR(__xludf.DUMMYFUNCTION("GOOGLETRANSLATE(A18215, ""en"", ""mt"")"),"Fl-1940, liema persentaġġ tal-popolazzjoni fi Fresno kien Asjatiku?")</f>
        <v>Fl-1940, liema persentaġġ tal-popolazzjoni fi Fresno kien Asjatiku?</v>
      </c>
    </row>
    <row r="18216" ht="15.75" customHeight="1">
      <c r="A18216" s="2" t="s">
        <v>18216</v>
      </c>
      <c r="B18216" s="2" t="str">
        <f>IFERROR(__xludf.DUMMYFUNCTION("GOOGLETRANSLATE(A18216, ""en"", ""mt"")"),"L-ossiġnu jeżisti fl-atmosfera permezz ta 'xiex?")</f>
        <v>L-ossiġnu jeżisti fl-atmosfera permezz ta 'xiex?</v>
      </c>
    </row>
    <row r="18217" ht="15.75" customHeight="1">
      <c r="A18217" s="2" t="s">
        <v>18217</v>
      </c>
      <c r="B18217" s="2" t="str">
        <f>IFERROR(__xludf.DUMMYFUNCTION("GOOGLETRANSLATE(A18217, ""en"", ""mt"")"),"Henry Laurens")</f>
        <v>Henry Laurens</v>
      </c>
    </row>
    <row r="18218" ht="15.75" customHeight="1">
      <c r="A18218" s="2" t="s">
        <v>18218</v>
      </c>
      <c r="B18218" s="2" t="str">
        <f>IFERROR(__xludf.DUMMYFUNCTION("GOOGLETRANSLATE(A18218, ""en"", ""mt"")"),"Liema skultura C1622-23 minn Bernini huma inklużi fil-kollezzjoni tal-iskultura?")</f>
        <v>Liema skultura C1622-23 minn Bernini huma inklużi fil-kollezzjoni tal-iskultura?</v>
      </c>
    </row>
    <row r="18219" ht="15.75" customHeight="1">
      <c r="A18219" s="2" t="s">
        <v>18219</v>
      </c>
      <c r="B18219" s="2" t="str">
        <f>IFERROR(__xludf.DUMMYFUNCTION("GOOGLETRANSLATE(A18219, ""en"", ""mt"")"),"aktar minn 10,000")</f>
        <v>aktar minn 10,000</v>
      </c>
    </row>
    <row r="18220" ht="15.75" customHeight="1">
      <c r="A18220" s="2" t="s">
        <v>18220</v>
      </c>
      <c r="B18220" s="2" t="str">
        <f>IFERROR(__xludf.DUMMYFUNCTION("GOOGLETRANSLATE(A18220, ""en"", ""mt"")"),"żball fundamentali")</f>
        <v>żball fundamentali</v>
      </c>
    </row>
    <row r="18221" ht="15.75" customHeight="1">
      <c r="A18221" s="2" t="s">
        <v>18221</v>
      </c>
      <c r="B18221" s="2" t="str">
        <f>IFERROR(__xludf.DUMMYFUNCTION("GOOGLETRANSLATE(A18221, ""en"", ""mt"")"),"Fejn issa tinsab il-gallerija tal-iskultura?")</f>
        <v>Fejn issa tinsab il-gallerija tal-iskultura?</v>
      </c>
    </row>
    <row r="18222" ht="15.75" customHeight="1">
      <c r="A18222" s="2" t="s">
        <v>18222</v>
      </c>
      <c r="B18222" s="2" t="str">
        <f>IFERROR(__xludf.DUMMYFUNCTION("GOOGLETRANSLATE(A18222, ""en"", ""mt"")"),"X'inhu l-għan ewlieni li wieħed iqis mhux ħati meta jiġi arrestat għal diżubbidjenza ċivili?")</f>
        <v>X'inhu l-għan ewlieni li wieħed iqis mhux ħati meta jiġi arrestat għal diżubbidjenza ċivili?</v>
      </c>
    </row>
    <row r="18223" ht="15.75" customHeight="1">
      <c r="A18223" s="2" t="s">
        <v>18223</v>
      </c>
      <c r="B18223" s="2" t="str">
        <f>IFERROR(__xludf.DUMMYFUNCTION("GOOGLETRANSLATE(A18223, ""en"", ""mt"")"),"Difensuri Torok")</f>
        <v>Difensuri Torok</v>
      </c>
    </row>
    <row r="18224" ht="15.75" customHeight="1">
      <c r="A18224" s="2" t="s">
        <v>18224</v>
      </c>
      <c r="B18224" s="2" t="str">
        <f>IFERROR(__xludf.DUMMYFUNCTION("GOOGLETRANSLATE(A18224, ""en"", ""mt"")"),"Disinn tipiku tal-pajjiżi tal-blokk tal-Lvant")</f>
        <v>Disinn tipiku tal-pajjiżi tal-blokk tal-Lvant</v>
      </c>
    </row>
    <row r="18225" ht="15.75" customHeight="1">
      <c r="A18225" s="2" t="s">
        <v>18225</v>
      </c>
      <c r="B18225" s="2" t="str">
        <f>IFERROR(__xludf.DUMMYFUNCTION("GOOGLETRANSLATE(A18225, ""en"", ""mt"")"),"X'inhu l-livell ta 'inugwaljanza f'pajjiżi sottożviluppati?")</f>
        <v>X'inhu l-livell ta 'inugwaljanza f'pajjiżi sottożviluppati?</v>
      </c>
    </row>
    <row r="18226" ht="15.75" customHeight="1">
      <c r="A18226" s="2" t="s">
        <v>18226</v>
      </c>
      <c r="B18226" s="2" t="str">
        <f>IFERROR(__xludf.DUMMYFUNCTION("GOOGLETRANSLATE(A18226, ""en"", ""mt"")"),"Ekonomista")</f>
        <v>Ekonomista</v>
      </c>
    </row>
    <row r="18227" ht="15.75" customHeight="1">
      <c r="A18227" s="2" t="s">
        <v>18227</v>
      </c>
      <c r="B18227" s="2" t="str">
        <f>IFERROR(__xludf.DUMMYFUNCTION("GOOGLETRANSLATE(A18227, ""en"", ""mt"")"),"Il-pjan kien formalizzat?")</f>
        <v>Il-pjan kien formalizzat?</v>
      </c>
    </row>
    <row r="18228" ht="15.75" customHeight="1">
      <c r="A18228" s="2" t="s">
        <v>18228</v>
      </c>
      <c r="B18228" s="2" t="str">
        <f>IFERROR(__xludf.DUMMYFUNCTION("GOOGLETRANSLATE(A18228, ""en"", ""mt"")"),"Fejn tinsab il-Forest Bielany?")</f>
        <v>Fejn tinsab il-Forest Bielany?</v>
      </c>
    </row>
    <row r="18229" ht="15.75" customHeight="1">
      <c r="A18229" s="2" t="s">
        <v>18229</v>
      </c>
      <c r="B18229" s="2" t="str">
        <f>IFERROR(__xludf.DUMMYFUNCTION("GOOGLETRANSLATE(A18229, ""en"", ""mt"")"),"Kemm-il ġurnata x-Xmara Tyne kellha l-Pont Bambuco?")</f>
        <v>Kemm-il ġurnata x-Xmara Tyne kellha l-Pont Bambuco?</v>
      </c>
    </row>
    <row r="18230" ht="15.75" customHeight="1">
      <c r="A18230" s="2" t="s">
        <v>18230</v>
      </c>
      <c r="B18230" s="2" t="str">
        <f>IFERROR(__xludf.DUMMYFUNCTION("GOOGLETRANSLATE(A18230, ""en"", ""mt"")"),"ħames darbiet")</f>
        <v>ħames darbiet</v>
      </c>
    </row>
    <row r="18231" ht="15.75" customHeight="1">
      <c r="A18231" s="2" t="s">
        <v>18231</v>
      </c>
      <c r="B18231" s="2" t="str">
        <f>IFERROR(__xludf.DUMMYFUNCTION("GOOGLETRANSLATE(A18231, ""en"", ""mt"")"),"Fl-1529, Varsavja għall-ewwel darba saret is-sede tal-Ġeneral SEJM, permanenti mill-1569. Fl-1573 il-belt tat isimha lill-Konfederazzjoni ta 'Varsavja, li tistabbilixxi formalment il-libertà reliġjuża fil-Commonwealth Pollakka-Litwana. Minħabba l-lok ċent"&amp;"rali tiegħu bejn il-kapitali tal-Commonwealth ta 'Kraków u Vilnius, Varsavja saret il-kapitali tal-Commonwealth u l-kuruna tar-renju tal-Polonja meta r-Re Sigismund III Vasa ressaq il-qorti tiegħu minn Kraków għal Varsavja fl-1596. Fis-snin li ġejjin il-b"&amp;"elt estiż lejn is-subborgi. Diversi distretti indipendenti privati ​​ġew stabbiliti, il-propjetà ta 'aristokratiċi u l-gentry, li kienu maħkuma mil-liġijiet tagħhom stess. Tliet darbiet bejn l-1655-1658 il-belt kienet taħt l-assedju u tliet darbiet ittieħ"&amp;"det u mħabbra mill-forzi Żvediżi, Brandenburgian u Transilvanja.")</f>
        <v>Fl-1529, Varsavja għall-ewwel darba saret is-sede tal-Ġeneral SEJM, permanenti mill-1569. Fl-1573 il-belt tat isimha lill-Konfederazzjoni ta 'Varsavja, li tistabbilixxi formalment il-libertà reliġjuża fil-Commonwealth Pollakka-Litwana. Minħabba l-lok ċentrali tiegħu bejn il-kapitali tal-Commonwealth ta 'Kraków u Vilnius, Varsavja saret il-kapitali tal-Commonwealth u l-kuruna tar-renju tal-Polonja meta r-Re Sigismund III Vasa ressaq il-qorti tiegħu minn Kraków għal Varsavja fl-1596. Fis-snin li ġejjin il-belt estiż lejn is-subborgi. Diversi distretti indipendenti privati ​​ġew stabbiliti, il-propjetà ta 'aristokratiċi u l-gentry, li kienu maħkuma mil-liġijiet tagħhom stess. Tliet darbiet bejn l-1655-1658 il-belt kienet taħt l-assedju u tliet darbiet ittieħdet u mħabbra mill-forzi Żvediżi, Brandenburgian u Transilvanja.</v>
      </c>
    </row>
    <row r="18232" ht="15.75" customHeight="1">
      <c r="A18232" s="2" t="s">
        <v>18232</v>
      </c>
      <c r="B18232" s="2" t="str">
        <f>IFERROR(__xludf.DUMMYFUNCTION("GOOGLETRANSLATE(A18232, ""en"", ""mt"")"),"Turbini tal-fwar")</f>
        <v>Turbini tal-fwar</v>
      </c>
    </row>
    <row r="18233" ht="15.75" customHeight="1">
      <c r="A18233" s="2" t="s">
        <v>18233</v>
      </c>
      <c r="B18233" s="2" t="str">
        <f>IFERROR(__xludf.DUMMYFUNCTION("GOOGLETRANSLATE(A18233, ""en"", ""mt"")"),"Minn Awwissu 2010, ir-Rabat kellha 1,548 skejjel pubbliċi, 489 skejjel Kattoliċi u 214 skejjel indipendenti. Ftit inqas minn 540,800 student ġew irreġistrati fi skejjel pubbliċi, u ftit iktar minn 311,800 fi skejjel privati. Aktar minn 61 fil-mija tal-ist"&amp;"udenti privati ​​jattendu skejjel Kattoliċi. Aktar minn 462,000 student ġew irreġistrati fl-iskejjel primarji u aktar minn 390,000 fi skejjel sekondarji. Ir-rati ta ’żamma għall-aħħar sentejn ta’ skola sekondarja kienu 77 fil-mija għal studenti tal-iskola"&amp;" pubblika u 90 fil-mija għal studenti tal-iskola privata. Victoria għandha madwar 63,519 għalliema full-time.")</f>
        <v>Minn Awwissu 2010, ir-Rabat kellha 1,548 skejjel pubbliċi, 489 skejjel Kattoliċi u 214 skejjel indipendenti. Ftit inqas minn 540,800 student ġew irreġistrati fi skejjel pubbliċi, u ftit iktar minn 311,800 fi skejjel privati. Aktar minn 61 fil-mija tal-istudenti privati ​​jattendu skejjel Kattoliċi. Aktar minn 462,000 student ġew irreġistrati fl-iskejjel primarji u aktar minn 390,000 fi skejjel sekondarji. Ir-rati ta ’żamma għall-aħħar sentejn ta’ skola sekondarja kienu 77 fil-mija għal studenti tal-iskola pubblika u 90 fil-mija għal studenti tal-iskola privata. Victoria għandha madwar 63,519 għalliema full-time.</v>
      </c>
    </row>
    <row r="18234" ht="15.75" customHeight="1">
      <c r="A18234" s="2" t="s">
        <v>18234</v>
      </c>
      <c r="B18234" s="2" t="str">
        <f>IFERROR(__xludf.DUMMYFUNCTION("GOOGLETRANSLATE(A18234, ""en"", ""mt"")"),"Kemm-il sena jeżistu prattiki imperjalisti?")</f>
        <v>Kemm-il sena jeżistu prattiki imperjalisti?</v>
      </c>
    </row>
    <row r="18235" ht="15.75" customHeight="1">
      <c r="A18235" s="2" t="s">
        <v>18235</v>
      </c>
      <c r="B18235" s="2" t="str">
        <f>IFERROR(__xludf.DUMMYFUNCTION("GOOGLETRANSLATE(A18235, ""en"", ""mt"")"),"Min kien l-ewwel Ewropew li jivvjaġġa t-tul kollu tax-Xmara Amazon?")</f>
        <v>Min kien l-ewwel Ewropew li jivvjaġġa t-tul kollu tax-Xmara Amazon?</v>
      </c>
    </row>
    <row r="18236" ht="15.75" customHeight="1">
      <c r="A18236" s="2" t="s">
        <v>18236</v>
      </c>
      <c r="B18236" s="2" t="str">
        <f>IFERROR(__xludf.DUMMYFUNCTION("GOOGLETRANSLATE(A18236, ""en"", ""mt"")"),"Tesla meta kisbet il-privattiva tat-trasmettitur elettriku tiegħu?")</f>
        <v>Tesla meta kisbet il-privattiva tat-trasmettitur elettriku tiegħu?</v>
      </c>
    </row>
    <row r="18237" ht="15.75" customHeight="1">
      <c r="A18237" s="2" t="s">
        <v>18237</v>
      </c>
      <c r="B18237" s="2" t="str">
        <f>IFERROR(__xludf.DUMMYFUNCTION("GOOGLETRANSLATE(A18237, ""en"", ""mt"")"),"sensur tal-bilanċ")</f>
        <v>sensur tal-bilanċ</v>
      </c>
    </row>
    <row r="18238" ht="15.75" customHeight="1">
      <c r="A18238" s="2" t="s">
        <v>18238</v>
      </c>
      <c r="B18238" s="2" t="str">
        <f>IFERROR(__xludf.DUMMYFUNCTION("GOOGLETRANSLATE(A18238, ""en"", ""mt"")"),"L-inkwiet tan-netwerk mas-serje eżistenti u l-kisba ta 'suċċessi ġodda mxerrda fl-iskeda 2010–11 tagħha: id-drammi ta' ABC matul dak l-istaġun komplew ifallu, bil-korp tad-drama ta 'investigazzjoni forensika f'nofs il-qofol huwa l-uniku wieħed li ġie mġed"&amp;"ded għat-tieni staġun. In-netwerk tħabat ukoll biex jistabbilixxi kummiedji ġodda biex jappoġġjaw id-debutt tas-sena ta 'qabel, bi premiere ta' l-istaġun tard biss li jaqla 't-tieni staġun. Sadanittant, il-livelli l-ġodda milquta minn Brothers &amp; Sisters w"&amp;"asslu għall-kanċellazzjoni tagħha, u l-uniku drama ta 'qabel tas-sena ta' tiġdid, V, naqas ukoll milli jaqla 'staġun ieħor wara ġirja ta' nofs il-livell baxx. Minkejja dan u l-klassifikazzjonijiet oħra notevoli jonqsu, ABC jirnexxielu jegħleb NBC għat-tie"&amp;"let post b'marġni akbar mis-sena ta 'qabel.")</f>
        <v>L-inkwiet tan-netwerk mas-serje eżistenti u l-kisba ta 'suċċessi ġodda mxerrda fl-iskeda 2010–11 tagħha: id-drammi ta' ABC matul dak l-istaġun komplew ifallu, bil-korp tad-drama ta 'investigazzjoni forensika f'nofs il-qofol huwa l-uniku wieħed li ġie mġedded għat-tieni staġun. In-netwerk tħabat ukoll biex jistabbilixxi kummiedji ġodda biex jappoġġjaw id-debutt tas-sena ta 'qabel, bi premiere ta' l-istaġun tard biss li jaqla 't-tieni staġun. Sadanittant, il-livelli l-ġodda milquta minn Brothers &amp; Sisters wasslu għall-kanċellazzjoni tagħha, u l-uniku drama ta 'qabel tas-sena ta' tiġdid, V, naqas ukoll milli jaqla 'staġun ieħor wara ġirja ta' nofs il-livell baxx. Minkejja dan u l-klassifikazzjonijiet oħra notevoli jonqsu, ABC jirnexxielu jegħleb NBC għat-tielet post b'marġni akbar mis-sena ta 'qabel.</v>
      </c>
    </row>
    <row r="18239" ht="15.75" customHeight="1">
      <c r="A18239" s="2" t="s">
        <v>18239</v>
      </c>
      <c r="B18239" s="2" t="str">
        <f>IFERROR(__xludf.DUMMYFUNCTION("GOOGLETRANSLATE(A18239, ""en"", ""mt"")"),"It-Teorema tan-Numru Prim")</f>
        <v>It-Teorema tan-Numru Prim</v>
      </c>
    </row>
    <row r="18240" ht="15.75" customHeight="1">
      <c r="A18240" s="2" t="s">
        <v>18240</v>
      </c>
      <c r="B18240" s="2" t="str">
        <f>IFERROR(__xludf.DUMMYFUNCTION("GOOGLETRANSLATE(A18240, ""en"", ""mt"")"),"l-istess metodoloġija tar-rotta tal-messaġġi kif żviluppata minn baran")</f>
        <v>l-istess metodoloġija tar-rotta tal-messaġġi kif żviluppata minn baran</v>
      </c>
    </row>
    <row r="18241" ht="15.75" customHeight="1">
      <c r="A18241" s="2" t="s">
        <v>18241</v>
      </c>
      <c r="B18241" s="2" t="str">
        <f>IFERROR(__xludf.DUMMYFUNCTION("GOOGLETRANSLATE(A18241, ""en"", ""mt"")"),"Bejn madwar l-1964 u l-1973")</f>
        <v>Bejn madwar l-1964 u l-1973</v>
      </c>
    </row>
    <row r="18242" ht="15.75" customHeight="1">
      <c r="A18242" s="2" t="s">
        <v>18242</v>
      </c>
      <c r="B18242" s="2" t="str">
        <f>IFERROR(__xludf.DUMMYFUNCTION("GOOGLETRANSLATE(A18242, ""en"", ""mt"")"),"Catherine Tate")</f>
        <v>Catherine Tate</v>
      </c>
    </row>
    <row r="18243" ht="15.75" customHeight="1">
      <c r="A18243" s="2" t="s">
        <v>18243</v>
      </c>
      <c r="B18243" s="2" t="str">
        <f>IFERROR(__xludf.DUMMYFUNCTION("GOOGLETRANSLATE(A18243, ""en"", ""mt"")"),"Drogi ikbar (&gt; 500 DA) jistgħu jipprovokaw rispons immuni newtralizzanti, partikolarment jekk il-mediċini jingħataw ripetutament, jew f'dożi ikbar. Dan jillimita l-effikaċja ta 'mediċini bbażati fuq peptidi u proteini akbar (li huma tipikament ikbar minn "&amp;"6000 DA). F’xi każijiet, il-mediċina nnifisha mhix immunogenika, imma tista ’tiġi amministrata b’kompost immunogeniku, kif inhu xi kultant il-każ għat-Taxol. Ġew żviluppati metodi tal-komputazzjoni biex ibassru l-immunogeniċità tal-peptidi u l-proteini, l"&amp;"i huma partikolarment utli fit-tfassil ta 'antikorpi terapewtiċi, li jivvalutaw il-virulenza probabbli ta' mutazzjonijiet fil-partiċelli tal-kisja virali, u l-validazzjoni ta 'trattamenti ta' mediċini bbażati fuq il-peptidi. Tekniki bikrija serrħu prinċip"&amp;"alment fuq l-osservazzjoni li l-aċidi amminiċi idrofiliċi huma rappreżentati żżejjed fir-reġjuni tal-epitopi minn aċidi amminiċi idrofobiċi; Madankollu, żviluppi aktar reċenti jiddependu fuq tekniki ta 'tagħlim tal-magni bl-użu ta' bażijiet tad-dejta ta '"&amp;"epitopi magħrufa eżistenti, ġeneralment fuq proteini tal-virus studjati sew, bħala sett ta' taħriġ. Dejtabejż aċċessibbli pubblikament ġiet stabbilita għall-katalogar ta 'epitopi minn patoġeni magħrufa li huma rikonoxxibbli miċ-ċelloli B. Il-qasam emerġen"&amp;"ti ta 'studji bbażati fuq il-bijoinformatika dwar l-immunogeniċità huwa msemmi bħala immunoinformatika. Immunoproteomics huwa l-istudju ta 'settijiet kbar ta' proteini (proteomiċi) involuti fir-rispons immuni.")</f>
        <v>Drogi ikbar (&gt; 500 DA) jistgħu jipprovokaw rispons immuni newtralizzanti, partikolarment jekk il-mediċini jingħataw ripetutament, jew f'dożi ikbar. Dan jillimita l-effikaċja ta 'mediċini bbażati fuq peptidi u proteini akbar (li huma tipikament ikbar minn 6000 DA). F’xi każijiet, il-mediċina nnifisha mhix immunogenika, imma tista ’tiġi amministrata b’kompost immunogeniku, kif inhu xi kultant il-każ għat-Taxol. Ġew żviluppati metodi tal-komputazzjoni biex ibassru l-immunogeniċità tal-peptidi u l-proteini, li huma partikolarment utli fit-tfassil ta 'antikorpi terapewtiċi, li jivvalutaw il-virulenza probabbli ta' mutazzjonijiet fil-partiċelli tal-kisja virali, u l-validazzjoni ta 'trattamenti ta' mediċini bbażati fuq il-peptidi. Tekniki bikrija serrħu prinċipalment fuq l-osservazzjoni li l-aċidi amminiċi idrofiliċi huma rappreżentati żżejjed fir-reġjuni tal-epitopi minn aċidi amminiċi idrofobiċi; Madankollu, żviluppi aktar reċenti jiddependu fuq tekniki ta 'tagħlim tal-magni bl-użu ta' bażijiet tad-dejta ta 'epitopi magħrufa eżistenti, ġeneralment fuq proteini tal-virus studjati sew, bħala sett ta' taħriġ. Dejtabejż aċċessibbli pubblikament ġiet stabbilita għall-katalogar ta 'epitopi minn patoġeni magħrufa li huma rikonoxxibbli miċ-ċelloli B. Il-qasam emerġenti ta 'studji bbażati fuq il-bijoinformatika dwar l-immunogeniċità huwa msemmi bħala immunoinformatika. Immunoproteomics huwa l-istudju ta 'settijiet kbar ta' proteini (proteomiċi) involuti fir-rispons immuni.</v>
      </c>
    </row>
    <row r="18244" ht="15.75" customHeight="1">
      <c r="A18244" s="2" t="s">
        <v>18244</v>
      </c>
      <c r="B18244" s="2" t="str">
        <f>IFERROR(__xludf.DUMMYFUNCTION("GOOGLETRANSLATE(A18244, ""en"", ""mt"")"),"l-ogħla fid-dinja")</f>
        <v>l-ogħla fid-dinja</v>
      </c>
    </row>
    <row r="18245" ht="15.75" customHeight="1">
      <c r="A18245" s="2" t="s">
        <v>18245</v>
      </c>
      <c r="B18245" s="2" t="str">
        <f>IFERROR(__xludf.DUMMYFUNCTION("GOOGLETRANSLATE(A18245, ""en"", ""mt"")"),"Kemm hemm punti fil-pedament tar-Riforma?")</f>
        <v>Kemm hemm punti fil-pedament tar-Riforma?</v>
      </c>
    </row>
    <row r="18246" ht="15.75" customHeight="1">
      <c r="A18246" s="2" t="s">
        <v>18246</v>
      </c>
      <c r="B18246" s="2" t="str">
        <f>IFERROR(__xludf.DUMMYFUNCTION("GOOGLETRANSLATE(A18246, ""en"", ""mt"")"),"5,000 sena")</f>
        <v>5,000 sena</v>
      </c>
    </row>
    <row r="18247" ht="15.75" customHeight="1">
      <c r="A18247" s="2" t="s">
        <v>18247</v>
      </c>
      <c r="B18247" s="2" t="str">
        <f>IFERROR(__xludf.DUMMYFUNCTION("GOOGLETRANSLATE(A18247, ""en"", ""mt"")"),"Min ta daqqa ta ’sieq il-gowl għal Denver fl-ewwel drive ta’ Super Bowl 50?")</f>
        <v>Min ta daqqa ta ’sieq il-gowl għal Denver fl-ewwel drive ta’ Super Bowl 50?</v>
      </c>
    </row>
    <row r="18248" ht="15.75" customHeight="1">
      <c r="A18248" s="2" t="s">
        <v>18248</v>
      </c>
      <c r="B18248" s="2" t="str">
        <f>IFERROR(__xludf.DUMMYFUNCTION("GOOGLETRANSLATE(A18248, ""en"", ""mt"")"),"Il-gvern ta 'l-Istati Uniti involva sforzi biex jiġġieled l-Iżlamiżmu, jew l-Iżlamiżmu vjolenti, mill-2001. Dawn l-isforzi kienu ċċentrati fl-Istati Uniti madwar programmi ta' diplomazija pubblika mmexxija mid-Dipartiment ta 'l-Istat. Kien hemm sejħiet bi"&amp;"ex tinħoloq aġenzija indipendenti fl-Istati Uniti b'missjoni speċifika li ddgħajjef l-Iżlamiżmu u l-Ġiħadiżmu. Christian Whiton, uffiċjal fl-amministrazzjoni ta 'George W. Bush, talab għal aġenzija ġdida ffokata fuq il-prattika mhux vjolenti ta' ""gwerra "&amp;"politika"" immirata biex timmina l-ideoloġija. Is-Segretarju tad-Difiża ta 'l-Istati Uniti Robert Gates appella biex jistabbilixxi xi ħaġa simili għall-Aġenzija ta' l-Informazzjoni ta 'l-Istati Uniti li ma tħaddimx, li ġiet akkużata li ddgħajjef l-ideoloġ"&amp;"ija Komunista matul il-Gwerra Bierda.")</f>
        <v>Il-gvern ta 'l-Istati Uniti involva sforzi biex jiġġieled l-Iżlamiżmu, jew l-Iżlamiżmu vjolenti, mill-2001. Dawn l-isforzi kienu ċċentrati fl-Istati Uniti madwar programmi ta' diplomazija pubblika mmexxija mid-Dipartiment ta 'l-Istat. Kien hemm sejħiet biex tinħoloq aġenzija indipendenti fl-Istati Uniti b'missjoni speċifika li ddgħajjef l-Iżlamiżmu u l-Ġiħadiżmu. Christian Whiton, uffiċjal fl-amministrazzjoni ta 'George W. Bush, talab għal aġenzija ġdida ffokata fuq il-prattika mhux vjolenti ta' "gwerra politika" immirata biex timmina l-ideoloġija. Is-Segretarju tad-Difiża ta 'l-Istati Uniti Robert Gates appella biex jistabbilixxi xi ħaġa simili għall-Aġenzija ta' l-Informazzjoni ta 'l-Istati Uniti li ma tħaddimx, li ġiet akkużata li ddgħajjef l-ideoloġija Komunista matul il-Gwerra Bierda.</v>
      </c>
    </row>
    <row r="18249" ht="15.75" customHeight="1">
      <c r="A18249" s="2" t="s">
        <v>18249</v>
      </c>
      <c r="B18249" s="2" t="str">
        <f>IFERROR(__xludf.DUMMYFUNCTION("GOOGLETRANSLATE(A18249, ""en"", ""mt"")"),"Ħin")</f>
        <v>Ħin</v>
      </c>
    </row>
    <row r="18250" ht="15.75" customHeight="1">
      <c r="A18250" s="2" t="s">
        <v>18250</v>
      </c>
      <c r="B18250" s="2" t="str">
        <f>IFERROR(__xludf.DUMMYFUNCTION("GOOGLETRANSLATE(A18250, ""en"", ""mt"")"),"12-il skrin")</f>
        <v>12-il skrin</v>
      </c>
    </row>
    <row r="18251" ht="15.75" customHeight="1">
      <c r="A18251" s="2" t="s">
        <v>18251</v>
      </c>
      <c r="B18251" s="2" t="str">
        <f>IFERROR(__xludf.DUMMYFUNCTION("GOOGLETRANSLATE(A18251, ""en"", ""mt"")"),"Liema avveniment isir fil-Bells Beach fir-Rabat?")</f>
        <v>Liema avveniment isir fil-Bells Beach fir-Rabat?</v>
      </c>
    </row>
    <row r="18252" ht="15.75" customHeight="1">
      <c r="A18252" s="2" t="s">
        <v>18252</v>
      </c>
      <c r="B18252" s="2" t="str">
        <f>IFERROR(__xludf.DUMMYFUNCTION("GOOGLETRANSLATE(A18252, ""en"", ""mt"")"),"Liema mit-tliet żoni b'popolazzjoni kbira għandha l-inqas numru ta 'abitanti?")</f>
        <v>Liema mit-tliet żoni b'popolazzjoni kbira għandha l-inqas numru ta 'abitanti?</v>
      </c>
    </row>
    <row r="18253" ht="15.75" customHeight="1">
      <c r="A18253" s="2" t="s">
        <v>18253</v>
      </c>
      <c r="B18253" s="2" t="str">
        <f>IFERROR(__xludf.DUMMYFUNCTION("GOOGLETRANSLATE(A18253, ""en"", ""mt"")"),"Privattiva ta 'l-Istati Uniti 1,655,114")</f>
        <v>Privattiva ta 'l-Istati Uniti 1,655,114</v>
      </c>
    </row>
    <row r="18254" ht="15.75" customHeight="1">
      <c r="A18254" s="2" t="s">
        <v>18254</v>
      </c>
      <c r="B18254" s="2" t="str">
        <f>IFERROR(__xludf.DUMMYFUNCTION("GOOGLETRANSLATE(A18254, ""en"", ""mt"")"),"jistgħu jinkludu b'mod arbitrarju ħafna każijiet ta '1 fi kwalunkwe fatturizzazzjoni")</f>
        <v>jistgħu jinkludu b'mod arbitrarju ħafna każijiet ta '1 fi kwalunkwe fatturizzazzjoni</v>
      </c>
    </row>
    <row r="18255" ht="15.75" customHeight="1">
      <c r="A18255" s="2" t="s">
        <v>18255</v>
      </c>
      <c r="B18255" s="2" t="str">
        <f>IFERROR(__xludf.DUMMYFUNCTION("GOOGLETRANSLATE(A18255, ""en"", ""mt"")"),"ctenophores,")</f>
        <v>ctenophores,</v>
      </c>
    </row>
    <row r="18256" ht="15.75" customHeight="1">
      <c r="A18256" s="2" t="s">
        <v>18256</v>
      </c>
      <c r="B18256" s="2" t="str">
        <f>IFERROR(__xludf.DUMMYFUNCTION("GOOGLETRANSLATE(A18256, ""en"", ""mt"")"),"Fejn huma leġislati kwistjonijiet bħall-abort u l-politika tad-droga?")</f>
        <v>Fejn huma leġislati kwistjonijiet bħall-abort u l-politika tad-droga?</v>
      </c>
    </row>
    <row r="18257" ht="15.75" customHeight="1">
      <c r="A18257" s="2" t="s">
        <v>18257</v>
      </c>
      <c r="B18257" s="2" t="str">
        <f>IFERROR(__xludf.DUMMYFUNCTION("GOOGLETRANSLATE(A18257, ""en"", ""mt"")"),"Kemm ġew inklużi primes fil-lista ta 'numri ewlenin ta' Derrick Norman Lehmer?")</f>
        <v>Kemm ġew inklużi primes fil-lista ta 'numri ewlenin ta' Derrick Norman Lehmer?</v>
      </c>
    </row>
    <row r="18258" ht="15.75" customHeight="1">
      <c r="A18258" s="2" t="s">
        <v>18258</v>
      </c>
      <c r="B18258" s="2" t="str">
        <f>IFERROR(__xludf.DUMMYFUNCTION("GOOGLETRANSLATE(A18258, ""en"", ""mt"")"),"CRISPR")</f>
        <v>CRISPR</v>
      </c>
    </row>
    <row r="18259" ht="15.75" customHeight="1">
      <c r="A18259" s="2" t="s">
        <v>18259</v>
      </c>
      <c r="B18259" s="2" t="str">
        <f>IFERROR(__xludf.DUMMYFUNCTION("GOOGLETRANSLATE(A18259, ""en"", ""mt"")"),"Ministeru ta 'appoġġ man-nisa kollha,")</f>
        <v>Ministeru ta 'appoġġ man-nisa kollha,</v>
      </c>
    </row>
    <row r="18260" ht="15.75" customHeight="1">
      <c r="A18260" s="2" t="s">
        <v>18260</v>
      </c>
      <c r="B18260" s="2" t="str">
        <f>IFERROR(__xludf.DUMMYFUNCTION("GOOGLETRANSLATE(A18260, ""en"", ""mt"")"),"Min ġie assenjat biex jiddisinja t-tieni pjan ewlieni?")</f>
        <v>Min ġie assenjat biex jiddisinja t-tieni pjan ewlieni?</v>
      </c>
    </row>
    <row r="18261" ht="15.75" customHeight="1">
      <c r="A18261" s="2" t="s">
        <v>18261</v>
      </c>
      <c r="B18261" s="2" t="str">
        <f>IFERROR(__xludf.DUMMYFUNCTION("GOOGLETRANSLATE(A18261, ""en"", ""mt"")"),"Meta hija d-dar ta 'Sir Pindar?")</f>
        <v>Meta hija d-dar ta 'Sir Pindar?</v>
      </c>
    </row>
    <row r="18262" ht="15.75" customHeight="1">
      <c r="A18262" s="2" t="s">
        <v>18262</v>
      </c>
      <c r="B18262" s="2" t="str">
        <f>IFERROR(__xludf.DUMMYFUNCTION("GOOGLETRANSLATE(A18262, ""en"", ""mt"")"),"inqas")</f>
        <v>inqas</v>
      </c>
    </row>
    <row r="18263" ht="15.75" customHeight="1">
      <c r="A18263" s="2" t="s">
        <v>18263</v>
      </c>
      <c r="B18263" s="2" t="str">
        <f>IFERROR(__xludf.DUMMYFUNCTION("GOOGLETRANSLATE(A18263, ""en"", ""mt"")"),"X'jista 'jikkawża interess ta' student ogħla fit-tagħlim tas-suġġett ippreżentat?")</f>
        <v>X'jista 'jikkawża interess ta' student ogħla fit-tagħlim tas-suġġett ippreżentat?</v>
      </c>
    </row>
    <row r="18264" ht="15.75" customHeight="1">
      <c r="A18264" s="2" t="s">
        <v>18264</v>
      </c>
      <c r="B18264" s="2" t="str">
        <f>IFERROR(__xludf.DUMMYFUNCTION("GOOGLETRANSLATE(A18264, ""en"", ""mt"")"),"90% sa 93%")</f>
        <v>90% sa 93%</v>
      </c>
    </row>
    <row r="18265" ht="15.75" customHeight="1">
      <c r="A18265" s="2" t="s">
        <v>18265</v>
      </c>
      <c r="B18265" s="2" t="str">
        <f>IFERROR(__xludf.DUMMYFUNCTION("GOOGLETRANSLATE(A18265, ""en"", ""mt"")"),"Doctor Who Fandom")</f>
        <v>Doctor Who Fandom</v>
      </c>
    </row>
    <row r="18266" ht="15.75" customHeight="1">
      <c r="A18266" s="2" t="s">
        <v>18266</v>
      </c>
      <c r="B18266" s="2" t="str">
        <f>IFERROR(__xludf.DUMMYFUNCTION("GOOGLETRANSLATE(A18266, ""en"", ""mt"")"),"Kemm ikliet kuljum jieklu l-Kenjani normali?")</f>
        <v>Kemm ikliet kuljum jieklu l-Kenjani normali?</v>
      </c>
    </row>
    <row r="18267" ht="15.75" customHeight="1">
      <c r="A18267" s="2" t="s">
        <v>18267</v>
      </c>
      <c r="B18267" s="2" t="str">
        <f>IFERROR(__xludf.DUMMYFUNCTION("GOOGLETRANSLATE(A18267, ""en"", ""mt"")"),"Zygons")</f>
        <v>Zygons</v>
      </c>
    </row>
    <row r="18268" ht="15.75" customHeight="1">
      <c r="A18268" s="2" t="s">
        <v>18268</v>
      </c>
      <c r="B18268" s="2" t="str">
        <f>IFERROR(__xludf.DUMMYFUNCTION("GOOGLETRANSLATE(A18268, ""en"", ""mt"")"),"Uffiċjali tal-gvern li jheddu")</f>
        <v>Uffiċjali tal-gvern li jheddu</v>
      </c>
    </row>
    <row r="18269" ht="15.75" customHeight="1">
      <c r="A18269" s="2" t="s">
        <v>18269</v>
      </c>
      <c r="B18269" s="2" t="str">
        <f>IFERROR(__xludf.DUMMYFUNCTION("GOOGLETRANSLATE(A18269, ""en"", ""mt"")"),"Liema fullback fumbled il-ballun wara darian Stewart jindirizza?")</f>
        <v>Liema fullback fumbled il-ballun wara darian Stewart jindirizza?</v>
      </c>
    </row>
    <row r="18270" ht="15.75" customHeight="1">
      <c r="A18270" s="2" t="s">
        <v>18270</v>
      </c>
      <c r="B18270" s="2" t="str">
        <f>IFERROR(__xludf.DUMMYFUNCTION("GOOGLETRANSLATE(A18270, ""en"", ""mt"")"),"European_union_law")</f>
        <v>European_union_law</v>
      </c>
    </row>
    <row r="18271" ht="15.75" customHeight="1">
      <c r="A18271" s="2" t="s">
        <v>18271</v>
      </c>
      <c r="B18271" s="2" t="str">
        <f>IFERROR(__xludf.DUMMYFUNCTION("GOOGLETRANSLATE(A18271, ""en"", ""mt"")"),"Ir-raffineriji, il-proċess kimiku, il-ġenerazzjoni tal-enerġija, l-imtieħen u l-impjanti tal-manifattura huma taħt liema settur tal-kostruzzjoni?")</f>
        <v>Ir-raffineriji, il-proċess kimiku, il-ġenerazzjoni tal-enerġija, l-imtieħen u l-impjanti tal-manifattura huma taħt liema settur tal-kostruzzjoni?</v>
      </c>
    </row>
    <row r="18272" ht="15.75" customHeight="1">
      <c r="A18272" s="2" t="s">
        <v>18272</v>
      </c>
      <c r="B18272" s="2" t="str">
        <f>IFERROR(__xludf.DUMMYFUNCTION("GOOGLETRANSLATE(A18272, ""en"", ""mt"")"),"F'liema żewġ serje kien in-numru ta 'riġenerazzjonijiet stabbiliti?")</f>
        <v>F'liema żewġ serje kien in-numru ta 'riġenerazzjonijiet stabbiliti?</v>
      </c>
    </row>
    <row r="18273" ht="15.75" customHeight="1">
      <c r="A18273" s="2" t="s">
        <v>18273</v>
      </c>
      <c r="B18273" s="2" t="str">
        <f>IFERROR(__xludf.DUMMYFUNCTION("GOOGLETRANSLATE(A18273, ""en"", ""mt"")"),"Biex tipprovdi metodu ta 'rotta tolleranti għall-ħsarat u effiċjenti għal messaġġi tat-telekomunikazzjoni")</f>
        <v>Biex tipprovdi metodu ta 'rotta tolleranti għall-ħsarat u effiċjenti għal messaġġi tat-telekomunikazzjoni</v>
      </c>
    </row>
    <row r="18274" ht="15.75" customHeight="1">
      <c r="A18274" s="2" t="s">
        <v>18274</v>
      </c>
      <c r="B18274" s="2" t="str">
        <f>IFERROR(__xludf.DUMMYFUNCTION("GOOGLETRANSLATE(A18274, ""en"", ""mt"")"),"tliet mużewijiet.")</f>
        <v>tliet mużewijiet.</v>
      </c>
    </row>
    <row r="18275" ht="15.75" customHeight="1">
      <c r="A18275" s="2" t="s">
        <v>18275</v>
      </c>
      <c r="B18275" s="2" t="str">
        <f>IFERROR(__xludf.DUMMYFUNCTION("GOOGLETRANSLATE(A18275, ""en"", ""mt"")"),"Is-servizz tal-Ħadd tal-Metodisti fl-Amerika ta ’Fuq kien verżjoni riveduta ta’ liema ktieb?")</f>
        <v>Is-servizz tal-Ħadd tal-Metodisti fl-Amerika ta ’Fuq kien verżjoni riveduta ta’ liema ktieb?</v>
      </c>
    </row>
    <row r="18276" ht="15.75" customHeight="1">
      <c r="A18276" s="2" t="s">
        <v>18276</v>
      </c>
      <c r="B18276" s="2" t="str">
        <f>IFERROR(__xludf.DUMMYFUNCTION("GOOGLETRANSLATE(A18276, ""en"", ""mt"")"),"Il-Kumpanija Amerikana tax-Xandir (ABC) (stilizzata fil-logo tagħha bħala ABC mill-1957) hija netwerk tat-televiżjoni tax-xandir kummerċjali Amerikan li huwa proprjetà tal-Grupp Disney-ABC Television, sussidjarja tad-Diviżjoni Disney Media Networks tal-Wa"&amp;"lt Disney Company. In-netwerk huwa parti mit-tliet netwerks tat-televiżjoni l-kbar. In-netwerk għandu l-kwartjieri ġenerali fuq Columbus Avenue u West 66th Street f'Manhattan, b'uffiċċji maġġuri addizzjonali u faċilitajiet ta 'produzzjoni fi New York City"&amp;", Los Angeles u Burbank, California.")</f>
        <v>Il-Kumpanija Amerikana tax-Xandir (ABC) (stilizzata fil-logo tagħha bħala ABC mill-1957) hija netwerk tat-televiżjoni tax-xandir kummerċjali Amerikan li huwa proprjetà tal-Grupp Disney-ABC Television, sussidjarja tad-Diviżjoni Disney Media Networks tal-Walt Disney Company. In-netwerk huwa parti mit-tliet netwerks tat-televiżjoni l-kbar. In-netwerk għandu l-kwartjieri ġenerali fuq Columbus Avenue u West 66th Street f'Manhattan, b'uffiċċji maġġuri addizzjonali u faċilitajiet ta 'produzzjoni fi New York City, Los Angeles u Burbank, California.</v>
      </c>
    </row>
    <row r="18277" ht="15.75" customHeight="1">
      <c r="A18277" s="2" t="s">
        <v>18277</v>
      </c>
      <c r="B18277" s="2" t="str">
        <f>IFERROR(__xludf.DUMMYFUNCTION("GOOGLETRANSLATE(A18277, ""en"", ""mt"")"),"Spazji miftuħa fil-viċin")</f>
        <v>Spazji miftuħa fil-viċin</v>
      </c>
    </row>
    <row r="18278" ht="15.75" customHeight="1">
      <c r="A18278" s="2" t="s">
        <v>18278</v>
      </c>
      <c r="B18278" s="2" t="str">
        <f>IFERROR(__xludf.DUMMYFUNCTION("GOOGLETRANSLATE(A18278, ""en"", ""mt"")"),"Horde tad-deheb")</f>
        <v>Horde tad-deheb</v>
      </c>
    </row>
    <row r="18279" ht="15.75" customHeight="1">
      <c r="A18279" s="2" t="s">
        <v>18279</v>
      </c>
      <c r="B18279" s="2" t="str">
        <f>IFERROR(__xludf.DUMMYFUNCTION("GOOGLETRANSLATE(A18279, ""en"", ""mt"")"),"James Gamble &amp; Reuben Townroe")</f>
        <v>James Gamble &amp; Reuben Townroe</v>
      </c>
    </row>
    <row r="18280" ht="15.75" customHeight="1">
      <c r="A18280" s="2" t="s">
        <v>18280</v>
      </c>
      <c r="B18280" s="2" t="str">
        <f>IFERROR(__xludf.DUMMYFUNCTION("GOOGLETRANSLATE(A18280, ""en"", ""mt"")"),"il-forza elettrostatika (minħabba l-kamp elettriku) u l-forza manjetika")</f>
        <v>il-forza elettrostatika (minħabba l-kamp elettriku) u l-forza manjetika</v>
      </c>
    </row>
    <row r="18281" ht="15.75" customHeight="1">
      <c r="A18281" s="2" t="s">
        <v>18281</v>
      </c>
      <c r="B18281" s="2" t="str">
        <f>IFERROR(__xludf.DUMMYFUNCTION("GOOGLETRANSLATE(A18281, ""en"", ""mt"")"),"Kif huwa allokat iċ-ċirkwit")</f>
        <v>Kif huwa allokat iċ-ċirkwit</v>
      </c>
    </row>
    <row r="18282" ht="15.75" customHeight="1">
      <c r="A18282" s="2" t="s">
        <v>18282</v>
      </c>
      <c r="B18282" s="2" t="str">
        <f>IFERROR(__xludf.DUMMYFUNCTION("GOOGLETRANSLATE(A18282, ""en"", ""mt"")"),"36%")</f>
        <v>36%</v>
      </c>
    </row>
    <row r="18283" ht="15.75" customHeight="1">
      <c r="A18283" s="2" t="s">
        <v>18283</v>
      </c>
      <c r="B18283" s="2" t="str">
        <f>IFERROR(__xludf.DUMMYFUNCTION("GOOGLETRANSLATE(A18283, ""en"", ""mt"")"),"Paul Whiteman")</f>
        <v>Paul Whiteman</v>
      </c>
    </row>
    <row r="18284" ht="15.75" customHeight="1">
      <c r="A18284" s="2" t="s">
        <v>18284</v>
      </c>
      <c r="B18284" s="2" t="str">
        <f>IFERROR(__xludf.DUMMYFUNCTION("GOOGLETRANSLATE(A18284, ""en"", ""mt"")"),"Min kienu l-astronawti abbord il-missjoni Apollo 11?")</f>
        <v>Min kienu l-astronawti abbord il-missjoni Apollo 11?</v>
      </c>
    </row>
    <row r="18285" ht="15.75" customHeight="1">
      <c r="A18285" s="2" t="s">
        <v>18285</v>
      </c>
      <c r="B18285" s="2" t="str">
        <f>IFERROR(__xludf.DUMMYFUNCTION("GOOGLETRANSLATE(A18285, ""en"", ""mt"")"),"Ma 'liema sistema Ċiniża għamlet kompromess il-gvern ta' Kublai?")</f>
        <v>Ma 'liema sistema Ċiniża għamlet kompromess il-gvern ta' Kublai?</v>
      </c>
    </row>
    <row r="18286" ht="15.75" customHeight="1">
      <c r="A18286" s="2" t="s">
        <v>18286</v>
      </c>
      <c r="B18286" s="2" t="str">
        <f>IFERROR(__xludf.DUMMYFUNCTION("GOOGLETRANSLATE(A18286, ""en"", ""mt"")"),"Ukoll fis-seklu dsatax")</f>
        <v>Ukoll fis-seklu dsatax</v>
      </c>
    </row>
    <row r="18287" ht="15.75" customHeight="1">
      <c r="A18287" s="2" t="s">
        <v>18287</v>
      </c>
      <c r="B18287" s="2" t="str">
        <f>IFERROR(__xludf.DUMMYFUNCTION("GOOGLETRANSLATE(A18287, ""en"", ""mt"")"),"It-tielet rapport ta 'valutazzjoni (TAR) deher b'mod prominenti graff bit-tikketta ""Millennial Northern Emisphere Reconstruction"" ibbażata fuq karta tal-1999 minn Michael E. Mann, Raymond S. Bradley u Malcolm K. Hughes (MBH99), li ġiet imsejħa bħala l- "&amp;"""Hockey Stick Graph"". Dan il-graff estenda l-graff simili fil-Figura 3.20 mir-Rapport ta 'Valutazzjoni tal-IPCC tal-1995, u kien differenti minn skematiku fl-ewwel rapport ta' valutazzjoni li kien nieqes minn unitajiet ta 'temperatura, iżda deher li jur"&amp;"i varjazzjonijiet ta' temperatura globali akbar matul l-aħħar 1000 sena, u temperaturi ogħla matul il-perjodu sħun medjevali minn nofs is-seklu 20. L-iskematiku ma kienx biċċa ta 'dejta attwali, u kien ibbażat fuq dijagramma ta' temperaturi fl-Ingilterra "&amp;"Ċentrali, b'temperaturi miżjuda fuq il-bażi ta 'evidenza dokumentarja ta' vinji medjevali fl-Ingilterra. Anke b'din iż-żieda, il-massimu li wera għall-perjodu sħun medjevali ma laħaqx temperaturi rreġistrati fl-Ingilterra Ċentrali fl-2007. Is-sejba MBH99 "&amp;"kienet appoġġjata minn rikostruzzjonijiet iċċitati minn Jones et al. 1998, Pollack, Huang &amp; Shen 1998, Crowley &amp; Lowery 2000 u Briffa 2000, bl-użu ta 'dejta u metodi differenti. Il-Jones et al. u r-rikostruzzjonijiet ta 'Briffa ġew sovrapposti mar-rikostr"&amp;"uzzjoni MBH99 fil-Figura 2.21 tar-rapport IPCC.")</f>
        <v>It-tielet rapport ta 'valutazzjoni (TAR) deher b'mod prominenti graff bit-tikketta "Millennial Northern Emisphere Reconstruction" ibbażata fuq karta tal-1999 minn Michael E. Mann, Raymond S. Bradley u Malcolm K. Hughes (MBH99), li ġiet imsejħa bħala l- "Hockey Stick Graph". Dan il-graff estenda l-graff simili fil-Figura 3.20 mir-Rapport ta 'Valutazzjoni tal-IPCC tal-1995, u kien differenti minn skematiku fl-ewwel rapport ta' valutazzjoni li kien nieqes minn unitajiet ta 'temperatura, iżda deher li juri varjazzjonijiet ta' temperatura globali akbar matul l-aħħar 1000 sena, u temperaturi ogħla matul il-perjodu sħun medjevali minn nofs is-seklu 20. L-iskematiku ma kienx biċċa ta 'dejta attwali, u kien ibbażat fuq dijagramma ta' temperaturi fl-Ingilterra Ċentrali, b'temperaturi miżjuda fuq il-bażi ta 'evidenza dokumentarja ta' vinji medjevali fl-Ingilterra. Anke b'din iż-żieda, il-massimu li wera għall-perjodu sħun medjevali ma laħaqx temperaturi rreġistrati fl-Ingilterra Ċentrali fl-2007. Is-sejba MBH99 kienet appoġġjata minn rikostruzzjonijiet iċċitati minn Jones et al. 1998, Pollack, Huang &amp; Shen 1998, Crowley &amp; Lowery 2000 u Briffa 2000, bl-użu ta 'dejta u metodi differenti. Il-Jones et al. u r-rikostruzzjonijiet ta 'Briffa ġew sovrapposti mar-rikostruzzjoni MBH99 fil-Figura 2.21 tar-rapport IPCC.</v>
      </c>
    </row>
    <row r="18288" ht="15.75" customHeight="1">
      <c r="A18288" s="2" t="s">
        <v>18288</v>
      </c>
      <c r="B18288" s="2" t="str">
        <f>IFERROR(__xludf.DUMMYFUNCTION("GOOGLETRANSLATE(A18288, ""en"", ""mt"")"),"F’liema sena l-Amazon esperjenzat nixfa li setgħet kienet iktar estrema milli fl-2005?")</f>
        <v>F’liema sena l-Amazon esperjenzat nixfa li setgħet kienet iktar estrema milli fl-2005?</v>
      </c>
    </row>
    <row r="18289" ht="15.75" customHeight="1">
      <c r="A18289" s="2" t="s">
        <v>18289</v>
      </c>
      <c r="B18289" s="2" t="str">
        <f>IFERROR(__xludf.DUMMYFUNCTION("GOOGLETRANSLATE(A18289, ""en"", ""mt"")"),"Ma 'liema numru ""50"" jiġi plated?")</f>
        <v>Ma 'liema numru "50" jiġi plated?</v>
      </c>
    </row>
    <row r="18290" ht="15.75" customHeight="1">
      <c r="A18290" s="2" t="s">
        <v>18290</v>
      </c>
      <c r="B18290" s="2" t="str">
        <f>IFERROR(__xludf.DUMMYFUNCTION("GOOGLETRANSLATE(A18290, ""en"", ""mt"")"),"Magni Uniflow jippruvaw jirrimedjaw id-diffikultajiet li joħorġu miċ-ċiklu tas-soltu tal-kontro-fluss fejn, matul kull puplesija, il-port u l-ħitan taċ-ċilindru jiġu mkessħa mill-fwar tal-egżost li jgħaddi, filwaqt li l-istim tad-dħul li jidħol jaħraq se "&amp;"jaħli ftit mill-enerġija tiegħu fir-restawr tat-temperatura tax-xogħol - L-għan tal-Uniflow huwa li tirrimedja dan id-difett u ttejjeb l-effiċjenza billi tipprovdi port addizzjonali mikxuf mill-pistun fl-aħħar ta 'kull puplesija li tagħmel il-fluss tal-fw"&amp;"ar biss f'direzzjoni waħda. B'dan il-mezz, il-magna uniflow ta 'espansjoni sempliċi tagħti effiċjenza ekwivalenti għal dik ta' sistemi komposti klassiċi bil-vantaġġ miżjud ta 'prestazzjoni ta' tagħbija parzjali superjuri, u effiċjenza komparabbli ma 'turb"&amp;"ini għal magni iżgħar taħt elf elf horsepower. Madankollu, il-magni uniflow tal-gradjent tal-espansjoni termali jipproduċu tul il-ħajt taċ-ċilindru jagħti diffikultajiet prattiċi. [Ċitazzjoni meħtieġa]. Il-quasiturbine hija magna tal-fwar li jdur uniflow "&amp;"fejn il-fwar tal-fwar f'żoni sħan, waqt li tkun qed teżawrixxi f'żoni kesħin.")</f>
        <v>Magni Uniflow jippruvaw jirrimedjaw id-diffikultajiet li joħorġu miċ-ċiklu tas-soltu tal-kontro-fluss fejn, matul kull puplesija, il-port u l-ħitan taċ-ċilindru jiġu mkessħa mill-fwar tal-egżost li jgħaddi, filwaqt li l-istim tad-dħul li jidħol jaħraq se jaħli ftit mill-enerġija tiegħu fir-restawr tat-temperatura tax-xogħol - L-għan tal-Uniflow huwa li tirrimedja dan id-difett u ttejjeb l-effiċjenza billi tipprovdi port addizzjonali mikxuf mill-pistun fl-aħħar ta 'kull puplesija li tagħmel il-fluss tal-fwar biss f'direzzjoni waħda. B'dan il-mezz, il-magna uniflow ta 'espansjoni sempliċi tagħti effiċjenza ekwivalenti għal dik ta' sistemi komposti klassiċi bil-vantaġġ miżjud ta 'prestazzjoni ta' tagħbija parzjali superjuri, u effiċjenza komparabbli ma 'turbini għal magni iżgħar taħt elf elf horsepower. Madankollu, il-magni uniflow tal-gradjent tal-espansjoni termali jipproduċu tul il-ħajt taċ-ċilindru jagħti diffikultajiet prattiċi. [Ċitazzjoni meħtieġa]. Il-quasiturbine hija magna tal-fwar li jdur uniflow fejn il-fwar tal-fwar f'żoni sħan, waqt li tkun qed teżawrixxi f'żoni kesħin.</v>
      </c>
    </row>
    <row r="18291" ht="15.75" customHeight="1">
      <c r="A18291" s="2" t="s">
        <v>18291</v>
      </c>
      <c r="B18291" s="2" t="str">
        <f>IFERROR(__xludf.DUMMYFUNCTION("GOOGLETRANSLATE(A18291, ""en"", ""mt"")"),"forma ta 'bajd")</f>
        <v>forma ta 'bajd</v>
      </c>
    </row>
    <row r="18292" ht="15.75" customHeight="1">
      <c r="A18292" s="2" t="s">
        <v>18292</v>
      </c>
      <c r="B18292" s="2" t="str">
        <f>IFERROR(__xludf.DUMMYFUNCTION("GOOGLETRANSLATE(A18292, ""en"", ""mt"")"),"Liema stazzjon tar-radju f'South Carolina ġarr il-logħba tas-Super Bowl 50?")</f>
        <v>Liema stazzjon tar-radju f'South Carolina ġarr il-logħba tas-Super Bowl 50?</v>
      </c>
    </row>
    <row r="18293" ht="15.75" customHeight="1">
      <c r="A18293" s="2" t="s">
        <v>18293</v>
      </c>
      <c r="B18293" s="2" t="str">
        <f>IFERROR(__xludf.DUMMYFUNCTION("GOOGLETRANSLATE(A18293, ""en"", ""mt"")"),"Quatre Études de Rythme")</f>
        <v>Quatre Études de Rythme</v>
      </c>
    </row>
    <row r="18294" ht="15.75" customHeight="1">
      <c r="A18294" s="2" t="s">
        <v>18294</v>
      </c>
      <c r="B18294" s="2" t="str">
        <f>IFERROR(__xludf.DUMMYFUNCTION("GOOGLETRANSLATE(A18294, ""en"", ""mt"")"),"Ir-riżultat tal-biċċa l-kbira tal-voti jista 'jiġi mbassar minn qabel peress li l-partiti politiċi normalment jagħtu struzzjonijiet lill-membri liema mod jivvutaw. Il-partijiet jafdaw xi MSPs, magħrufa bħala whips, bil-kompitu li jiżguraw li l-membri tal-"&amp;"partit jivvutaw skont il-linja tal-partit. L-MSPs m'għandhomx it-tendenza li jivvutaw kontra struzzjonijiet bħal dawn, peress li dawk li jagħmlu x'aktarx ma jilħqux gradi politiċi ogħla fil-partiti tagħhom. Membri erranti jistgħu jiġu magħżula bħala kandi"&amp;"dati uffiċjali tal-partit waqt elezzjonijiet futuri, u, f'każijiet serji, jistgħu jitkeċċew mill-partijiet tagħhom għal kollox. Għalhekk, bħal f'ħafna parlamenti, l-indipendenza tal-membri tal-Parlament Skoċċiż għandha tendenza li tkun baxxa, u r-ribelljo"&amp;"nijiet tal-backbench minn membri li huma mdejqa mal-politiki tal-partit tagħhom huma rari. Madankollu, f'xi ċirkostanzi, il-partijiet iħabbru ""voti b'xejn"", li jippermetti lill-membri jivvutaw kif jixtiequ. Dan tipikament isir fuq kwistjonijiet morali.")</f>
        <v>Ir-riżultat tal-biċċa l-kbira tal-voti jista 'jiġi mbassar minn qabel peress li l-partiti politiċi normalment jagħtu struzzjonijiet lill-membri liema mod jivvutaw. Il-partijiet jafdaw xi MSPs, magħrufa bħala whips, bil-kompitu li jiżguraw li l-membri tal-partit jivvutaw skont il-linja tal-partit. L-MSPs m'għandhomx it-tendenza li jivvutaw kontra struzzjonijiet bħal dawn, peress li dawk li jagħmlu x'aktarx ma jilħqux gradi politiċi ogħla fil-partiti tagħhom. Membri erranti jistgħu jiġu magħżula bħala kandidati uffiċjali tal-partit waqt elezzjonijiet futuri, u, f'każijiet serji, jistgħu jitkeċċew mill-partijiet tagħhom għal kollox. Għalhekk, bħal f'ħafna parlamenti, l-indipendenza tal-membri tal-Parlament Skoċċiż għandha tendenza li tkun baxxa, u r-ribelljonijiet tal-backbench minn membri li huma mdejqa mal-politiki tal-partit tagħhom huma rari. Madankollu, f'xi ċirkostanzi, il-partijiet iħabbru "voti b'xejn", li jippermetti lill-membri jivvutaw kif jixtiequ. Dan tipikament isir fuq kwistjonijiet morali.</v>
      </c>
    </row>
    <row r="18295" ht="15.75" customHeight="1">
      <c r="A18295" s="2" t="s">
        <v>18295</v>
      </c>
      <c r="B18295" s="2" t="str">
        <f>IFERROR(__xludf.DUMMYFUNCTION("GOOGLETRANSLATE(A18295, ""en"", ""mt"")"),"Kurt Vonnegut")</f>
        <v>Kurt Vonnegut</v>
      </c>
    </row>
    <row r="18296" ht="15.75" customHeight="1">
      <c r="A18296" s="2" t="s">
        <v>18296</v>
      </c>
      <c r="B18296" s="2" t="str">
        <f>IFERROR(__xludf.DUMMYFUNCTION("GOOGLETRANSLATE(A18296, ""en"", ""mt"")"),"Sant'eufemia")</f>
        <v>Sant'eufemia</v>
      </c>
    </row>
    <row r="18297" ht="15.75" customHeight="1">
      <c r="A18297" s="2" t="s">
        <v>18297</v>
      </c>
      <c r="B18297" s="2" t="str">
        <f>IFERROR(__xludf.DUMMYFUNCTION("GOOGLETRANSLATE(A18297, ""en"", ""mt"")"),"sfurzar")</f>
        <v>sfurzar</v>
      </c>
    </row>
    <row r="18298" ht="15.75" customHeight="1">
      <c r="A18298" s="2" t="s">
        <v>18298</v>
      </c>
      <c r="B18298" s="2" t="str">
        <f>IFERROR(__xludf.DUMMYFUNCTION("GOOGLETRANSLATE(A18298, ""en"", ""mt"")"),"Fejn kien se jkun Shirey meta l-Fort Oswego kellu jiġi attakkat?")</f>
        <v>Fejn kien se jkun Shirey meta l-Fort Oswego kellu jiġi attakkat?</v>
      </c>
    </row>
    <row r="18299" ht="15.75" customHeight="1">
      <c r="A18299" s="2" t="s">
        <v>18299</v>
      </c>
      <c r="B18299" s="2" t="str">
        <f>IFERROR(__xludf.DUMMYFUNCTION("GOOGLETRANSLATE(A18299, ""en"", ""mt"")"),"Evita trivjalizzazzjoni.")</f>
        <v>Evita trivjalizzazzjoni.</v>
      </c>
    </row>
    <row r="18300" ht="15.75" customHeight="1">
      <c r="A18300" s="2" t="s">
        <v>18300</v>
      </c>
      <c r="B18300" s="2" t="str">
        <f>IFERROR(__xludf.DUMMYFUNCTION("GOOGLETRANSLATE(A18300, ""en"", ""mt"")"),"Meta kienet l-aħħar staġun li ntużat din it-tema oriġinali?")</f>
        <v>Meta kienet l-aħħar staġun li ntużat din it-tema oriġinali?</v>
      </c>
    </row>
    <row r="18301" ht="15.75" customHeight="1">
      <c r="A18301" s="2" t="s">
        <v>18301</v>
      </c>
      <c r="B18301" s="2" t="str">
        <f>IFERROR(__xludf.DUMMYFUNCTION("GOOGLETRANSLATE(A18301, ""en"", ""mt"")"),"X'inhu l-iskambju ta 'sħana assoċjat miegħu?")</f>
        <v>X'inhu l-iskambju ta 'sħana assoċjat miegħu?</v>
      </c>
    </row>
    <row r="18302" ht="15.75" customHeight="1">
      <c r="A18302" s="2" t="s">
        <v>18302</v>
      </c>
      <c r="B18302" s="2" t="str">
        <f>IFERROR(__xludf.DUMMYFUNCTION("GOOGLETRANSLATE(A18302, ""en"", ""mt"")"),"2.2 pulzier (0.06 m)")</f>
        <v>2.2 pulzier (0.06 m)</v>
      </c>
    </row>
    <row r="18303" ht="15.75" customHeight="1">
      <c r="A18303" s="2" t="s">
        <v>18303</v>
      </c>
      <c r="B18303" s="2" t="str">
        <f>IFERROR(__xludf.DUMMYFUNCTION("GOOGLETRANSLATE(A18303, ""en"", ""mt"")"),"il-familji tagħhom")</f>
        <v>il-familji tagħhom</v>
      </c>
    </row>
    <row r="18304" ht="15.75" customHeight="1">
      <c r="A18304" s="2" t="s">
        <v>18304</v>
      </c>
      <c r="B18304" s="2" t="str">
        <f>IFERROR(__xludf.DUMMYFUNCTION("GOOGLETRANSLATE(A18304, ""en"", ""mt"")"),"L-Aħħar Missjoni,")</f>
        <v>L-Aħħar Missjoni,</v>
      </c>
    </row>
    <row r="18305" ht="15.75" customHeight="1">
      <c r="A18305" s="2" t="s">
        <v>18305</v>
      </c>
      <c r="B18305" s="2" t="str">
        <f>IFERROR(__xludf.DUMMYFUNCTION("GOOGLETRANSLATE(A18305, ""en"", ""mt"")"),"F'liema data ħabbret l-NFL li Coldplay kien se jmexxi l-ispettaklu tal-mistrieħ?")</f>
        <v>F'liema data ħabbret l-NFL li Coldplay kien se jmexxi l-ispettaklu tal-mistrieħ?</v>
      </c>
    </row>
    <row r="18306" ht="15.75" customHeight="1">
      <c r="A18306" s="2" t="s">
        <v>18306</v>
      </c>
      <c r="B18306" s="2" t="str">
        <f>IFERROR(__xludf.DUMMYFUNCTION("GOOGLETRANSLATE(A18306, ""en"", ""mt"")"),"L-Anġli ta ’Los Angeles ta’ Anaheim huma minn liema sport?")</f>
        <v>L-Anġli ta ’Los Angeles ta’ Anaheim huma minn liema sport?</v>
      </c>
    </row>
    <row r="18307" ht="15.75" customHeight="1">
      <c r="A18307" s="2" t="s">
        <v>18307</v>
      </c>
      <c r="B18307" s="2" t="str">
        <f>IFERROR(__xludf.DUMMYFUNCTION("GOOGLETRANSLATE(A18307, ""en"", ""mt"")"),"Linji ta 'applikazzjoni rispettivi")</f>
        <v>Linji ta 'applikazzjoni rispettivi</v>
      </c>
    </row>
    <row r="18308" ht="15.75" customHeight="1">
      <c r="A18308" s="2" t="s">
        <v>18308</v>
      </c>
      <c r="B18308" s="2" t="str">
        <f>IFERROR(__xludf.DUMMYFUNCTION("GOOGLETRANSLATE(A18308, ""en"", ""mt"")"),"Kublai Khan ippromwova tkabbir kummerċjali, xjentifiku u kulturali. Huwa appoġġa n-negozjanti tan-netwerk tal-kummerċ tat-toroq tal-ħarir billi pproteġi s-sistema postali Mongoljana, jibni infrastruttura, jipprovdi self li ffinanzjaw karavans tal-kummerċ,"&amp;" u jħeġġeġ iċ-ċirkolazzjoni tal-karti tal-karti tal-karti (鈔, Chao). Pax Mongolica, il-paċi Mongol, ippermetta t-tixrid ta 'teknoloġiji, prodotti, u kultura bejn iċ-Ċina u l-Punent. Kublai espandiet il-Grand Canal miċ-Ċina tan-Nofsinhar għal Daidu fit-Tra"&amp;"muntana. Ir-regola tal-Mongolja kienet kożmopolitana taħt Kublai Khan. Huwa laqa 'viżitaturi barranin fil-qorti tiegħu, bħall-merkant Venezjan Marco Polo, li kiteb il-kont Ewropew l-iktar influwenti taċ-Ċina Yuan. Il-vjaġġi ta 'Marco Polo aktar tard jispi"&amp;"raw ħafna oħrajn bħal Christopher Columbus biex jiċċarġjaw silta lejn il-Lvant Imbiegħed fit-tfittxija tal-ġid leġġendarju tiegħu.")</f>
        <v>Kublai Khan ippromwova tkabbir kummerċjali, xjentifiku u kulturali. Huwa appoġġa n-negozjanti tan-netwerk tal-kummerċ tat-toroq tal-ħarir billi pproteġi s-sistema postali Mongoljana, jibni infrastruttura, jipprovdi self li ffinanzjaw karavans tal-kummerċ, u jħeġġeġ iċ-ċirkolazzjoni tal-karti tal-karti tal-karti (鈔, Chao). Pax Mongolica, il-paċi Mongol, ippermetta t-tixrid ta 'teknoloġiji, prodotti, u kultura bejn iċ-Ċina u l-Punent. Kublai espandiet il-Grand Canal miċ-Ċina tan-Nofsinhar għal Daidu fit-Tramuntana. Ir-regola tal-Mongolja kienet kożmopolitana taħt Kublai Khan. Huwa laqa 'viżitaturi barranin fil-qorti tiegħu, bħall-merkant Venezjan Marco Polo, li kiteb il-kont Ewropew l-iktar influwenti taċ-Ċina Yuan. Il-vjaġġi ta 'Marco Polo aktar tard jispiraw ħafna oħrajn bħal Christopher Columbus biex jiċċarġjaw silta lejn il-Lvant Imbiegħed fit-tfittxija tal-ġid leġġendarju tiegħu.</v>
      </c>
    </row>
    <row r="18309" ht="15.75" customHeight="1">
      <c r="A18309" s="2" t="s">
        <v>18309</v>
      </c>
      <c r="B18309" s="2" t="str">
        <f>IFERROR(__xludf.DUMMYFUNCTION("GOOGLETRANSLATE(A18309, ""en"", ""mt"")"),"Meta Tesla rreġistrat fil-Politeknika Awstrijaka?")</f>
        <v>Meta Tesla rreġistrat fil-Politeknika Awstrijaka?</v>
      </c>
    </row>
    <row r="18310" ht="15.75" customHeight="1">
      <c r="A18310" s="2" t="s">
        <v>18310</v>
      </c>
      <c r="B18310" s="2" t="str">
        <f>IFERROR(__xludf.DUMMYFUNCTION("GOOGLETRANSLATE(A18310, ""en"", ""mt"")"),"F’Novembru tal-1960, John F. Kennedy ġie elett president wara kampanja li wiegħdet is-superjorità Amerikana fuq l-Unjoni Sovjetika fl-oqsma tal-esplorazzjoni tal-ispazju u d-difiża tal-missili. Sa l-elezzjoni ta 'l-1960, Kennedy kien qed jitkellem kontra "&amp;"d- ""distakk fil-missili"" li hu u ħafna senaturi oħra ħassew li kienu ffurmati bejn is-Sovjetiċi u lilhom infushom minħabba n-nuqqas ta' azzjoni tal-President Eisenhower. Lil hinn mill-poter militari, Kennedy uża t-teknoloġija aerospazjali bħala simbolu "&amp;"tal-prestiġju nazzjonali, wiegħed li jagħmel l-Istati Uniti mhux ""l-ewwel iżda, l-ewwel u, l-ewwel jekk, imma l-ewwel perjodu."" Minkejja r-retorika ta 'Kennedy, huwa ma wasalx immedjatament għal deċiżjoni dwar l-istatus tal-programm Apollo ladarba sar p"&amp;"resident. Huwa kien jaf ftit dwar id-dettalji tekniċi tal-programm spazjali, u ġie mkeċċi mill-impenn finanzjarju massiv meħtieġ minn inżul tal-qamar mgħammar. Meta l-amministratur li għadu kif ġie maħtur ta 'Kennedy James E. Webb talab żieda fil-baġit ta"&amp;" '30 fil-mija għall-aġenzija tiegħu, Kennedy appoġġa aċċellerazzjoni tal-programm kbir ta' booster tan-NASA iżda ddiffera deċiżjoni dwar il-kwistjoni usa '.")</f>
        <v>F’Novembru tal-1960, John F. Kennedy ġie elett president wara kampanja li wiegħdet is-superjorità Amerikana fuq l-Unjoni Sovjetika fl-oqsma tal-esplorazzjoni tal-ispazju u d-difiża tal-missili. Sa l-elezzjoni ta 'l-1960, Kennedy kien qed jitkellem kontra d- "distakk fil-missili" li hu u ħafna senaturi oħra ħassew li kienu ffurmati bejn is-Sovjetiċi u lilhom infushom minħabba n-nuqqas ta' azzjoni tal-President Eisenhower. Lil hinn mill-poter militari, Kennedy uża t-teknoloġija aerospazjali bħala simbolu tal-prestiġju nazzjonali, wiegħed li jagħmel l-Istati Uniti mhux "l-ewwel iżda, l-ewwel u, l-ewwel jekk, imma l-ewwel perjodu." Minkejja r-retorika ta 'Kennedy, huwa ma wasalx immedjatament għal deċiżjoni dwar l-istatus tal-programm Apollo ladarba sar president. Huwa kien jaf ftit dwar id-dettalji tekniċi tal-programm spazjali, u ġie mkeċċi mill-impenn finanzjarju massiv meħtieġ minn inżul tal-qamar mgħammar. Meta l-amministratur li għadu kif ġie maħtur ta 'Kennedy James E. Webb talab żieda fil-baġit ta '30 fil-mija għall-aġenzija tiegħu, Kennedy appoġġa aċċellerazzjoni tal-programm kbir ta' booster tan-NASA iżda ddiffera deċiżjoni dwar il-kwistjoni usa '.</v>
      </c>
    </row>
    <row r="18311" ht="15.75" customHeight="1">
      <c r="A18311" s="2" t="s">
        <v>18311</v>
      </c>
      <c r="B18311" s="2" t="str">
        <f>IFERROR(__xludf.DUMMYFUNCTION("GOOGLETRANSLATE(A18311, ""en"", ""mt"")"),"entużjażmu dwar l-istudenti")</f>
        <v>entużjażmu dwar l-istudenti</v>
      </c>
    </row>
    <row r="18312" ht="15.75" customHeight="1">
      <c r="A18312" s="2" t="s">
        <v>18312</v>
      </c>
      <c r="B18312" s="2" t="str">
        <f>IFERROR(__xludf.DUMMYFUNCTION("GOOGLETRANSLATE(A18312, ""en"", ""mt"")"),"Ir-ritratti tas-soċjetà tagħhom mill-aħħar tad-19 sal-bidu tas-sekli 20 iżommu l-V &amp; A?")</f>
        <v>Ir-ritratti tas-soċjetà tagħhom mill-aħħar tad-19 sal-bidu tas-sekli 20 iżommu l-V &amp; A?</v>
      </c>
    </row>
    <row r="18313" ht="15.75" customHeight="1">
      <c r="A18313" s="2" t="s">
        <v>18313</v>
      </c>
      <c r="B18313" s="2" t="str">
        <f>IFERROR(__xludf.DUMMYFUNCTION("GOOGLETRANSLATE(A18313, ""en"", ""mt"")"),"Il-WJZ Callign imbagħad jiġi assenjat lil affiljat ABC f'liema belt fl-1959?")</f>
        <v>Il-WJZ Callign imbagħad jiġi assenjat lil affiljat ABC f'liema belt fl-1959?</v>
      </c>
    </row>
    <row r="18314" ht="15.75" customHeight="1">
      <c r="A18314" s="2" t="s">
        <v>18314</v>
      </c>
      <c r="B18314" s="2" t="str">
        <f>IFERROR(__xludf.DUMMYFUNCTION("GOOGLETRANSLATE(A18314, ""en"", ""mt"")"),"Il-Kunsill tal-Missjoni ġeneralment jikkonsisti minn min?")</f>
        <v>Il-Kunsill tal-Missjoni ġeneralment jikkonsisti minn min?</v>
      </c>
    </row>
    <row r="18315" ht="15.75" customHeight="1">
      <c r="A18315" s="2" t="s">
        <v>18315</v>
      </c>
      <c r="B18315" s="2" t="str">
        <f>IFERROR(__xludf.DUMMYFUNCTION("GOOGLETRANSLATE(A18315, ""en"", ""mt"")"),"Min bena kastell fi Newcastle fl-1080?")</f>
        <v>Min bena kastell fi Newcastle fl-1080?</v>
      </c>
    </row>
    <row r="18316" ht="15.75" customHeight="1">
      <c r="A18316" s="2" t="s">
        <v>18316</v>
      </c>
      <c r="B18316" s="2" t="str">
        <f>IFERROR(__xludf.DUMMYFUNCTION("GOOGLETRANSLATE(A18316, ""en"", ""mt"")"),"F’Ottubru 1529, Filippu I, Landgrave ta ’Hesse, ikkonverta assemblea ta’ teologi Ġermaniżi u Żvizzeri fil-Colloquy ta ’Marburg, biex jistabbilixxi unità dottrinali fl-istati Protestanti emerġenti. Intlaħaq ftehim fuq erbatax-il punt minn ħmistax, l-eċċezz"&amp;"joni hija n-natura tal-Ewkaristija - is-sagrament tal-Ikla tal-Mulej - kwistjoni kruċjali għal Luther.")</f>
        <v>F’Ottubru 1529, Filippu I, Landgrave ta ’Hesse, ikkonverta assemblea ta’ teologi Ġermaniżi u Żvizzeri fil-Colloquy ta ’Marburg, biex jistabbilixxi unità dottrinali fl-istati Protestanti emerġenti. Intlaħaq ftehim fuq erbatax-il punt minn ħmistax, l-eċċezzjoni hija n-natura tal-Ewkaristija - is-sagrament tal-Ikla tal-Mulej - kwistjoni kruċjali għal Luther.</v>
      </c>
    </row>
    <row r="18317" ht="15.75" customHeight="1">
      <c r="A18317" s="2" t="s">
        <v>18317</v>
      </c>
      <c r="B18317" s="2" t="str">
        <f>IFERROR(__xludf.DUMMYFUNCTION("GOOGLETRANSLATE(A18317, ""en"", ""mt"")"),"Liema żewġ plejers ta 'Denver ikklassifikaw b'5 fil-mija għal xkejjer?")</f>
        <v>Liema żewġ plejers ta 'Denver ikklassifikaw b'5 fil-mija għal xkejjer?</v>
      </c>
    </row>
    <row r="18318" ht="15.75" customHeight="1">
      <c r="A18318" s="2" t="s">
        <v>18318</v>
      </c>
      <c r="B18318" s="2" t="str">
        <f>IFERROR(__xludf.DUMMYFUNCTION("GOOGLETRANSLATE(A18318, ""en"", ""mt"")"),"Computational_complexity_theory")</f>
        <v>Computational_complexity_theory</v>
      </c>
    </row>
    <row r="18319" ht="15.75" customHeight="1">
      <c r="A18319" s="2" t="s">
        <v>18319</v>
      </c>
      <c r="B18319" s="2" t="str">
        <f>IFERROR(__xludf.DUMMYFUNCTION("GOOGLETRANSLATE(A18319, ""en"", ""mt"")"),"X'inhu fil-Pjazza Eldon?")</f>
        <v>X'inhu fil-Pjazza Eldon?</v>
      </c>
    </row>
    <row r="18320" ht="15.75" customHeight="1">
      <c r="A18320" s="2" t="s">
        <v>18320</v>
      </c>
      <c r="B18320" s="2" t="str">
        <f>IFERROR(__xludf.DUMMYFUNCTION("GOOGLETRANSLATE(A18320, ""en"", ""mt"")"),"bejn 1.4 u 5.8 ° C 'il fuq mil-livelli tal-1990")</f>
        <v>bejn 1.4 u 5.8 ° C 'il fuq mil-livelli tal-1990</v>
      </c>
    </row>
    <row r="18321" ht="15.75" customHeight="1">
      <c r="A18321" s="2" t="s">
        <v>18321</v>
      </c>
      <c r="B18321" s="2" t="str">
        <f>IFERROR(__xludf.DUMMYFUNCTION("GOOGLETRANSLATE(A18321, ""en"", ""mt"")"),"Liema partit politiku huwa l-iktar qawwi fis-subborgi tal-klassi tax-xogħol ta 'Melbourne?")</f>
        <v>Liema partit politiku huwa l-iktar qawwi fis-subborgi tal-klassi tax-xogħol ta 'Melbourne?</v>
      </c>
    </row>
    <row r="18322" ht="15.75" customHeight="1">
      <c r="A18322" s="2" t="s">
        <v>18322</v>
      </c>
      <c r="B18322" s="2" t="str">
        <f>IFERROR(__xludf.DUMMYFUNCTION("GOOGLETRANSLATE(A18322, ""en"", ""mt"")"),"Birefringence, pleochroism, ġemellaġġ, u proprjetajiet ta 'interferenza")</f>
        <v>Birefringence, pleochroism, ġemellaġġ, u proprjetajiet ta 'interferenza</v>
      </c>
    </row>
    <row r="18323" ht="15.75" customHeight="1">
      <c r="A18323" s="2" t="s">
        <v>18323</v>
      </c>
      <c r="B18323" s="2" t="str">
        <f>IFERROR(__xludf.DUMMYFUNCTION("GOOGLETRANSLATE(A18323, ""en"", ""mt"")"),"Xi jfisser l-UMC bħala inkompatibbli mat-tagħlim tal-Iskrittura?")</f>
        <v>Xi jfisser l-UMC bħala inkompatibbli mat-tagħlim tal-Iskrittura?</v>
      </c>
    </row>
    <row r="18324" ht="15.75" customHeight="1">
      <c r="A18324" s="2" t="s">
        <v>18324</v>
      </c>
      <c r="B18324" s="2" t="str">
        <f>IFERROR(__xludf.DUMMYFUNCTION("GOOGLETRANSLATE(A18324, ""en"", ""mt"")"),"Ġid li jintiret")</f>
        <v>Ġid li jintiret</v>
      </c>
    </row>
    <row r="18325" ht="15.75" customHeight="1">
      <c r="A18325" s="2" t="s">
        <v>18325</v>
      </c>
      <c r="B18325" s="2" t="str">
        <f>IFERROR(__xludf.DUMMYFUNCTION("GOOGLETRANSLATE(A18325, ""en"", ""mt"")"),"Rutherford Grammar School,")</f>
        <v>Rutherford Grammar School,</v>
      </c>
    </row>
    <row r="18326" ht="15.75" customHeight="1">
      <c r="A18326" s="2" t="s">
        <v>18326</v>
      </c>
      <c r="B18326" s="2" t="str">
        <f>IFERROR(__xludf.DUMMYFUNCTION("GOOGLETRANSLATE(A18326, ""en"", ""mt"")"),"L-ewwel Huguenots li jitilqu minn Franza fittxew il-ħelsien mill-persekuzzjoni fl-Isvizzera u l-Olanda. [Ċitazzjoni meħtieġa] Grupp ta 'Huguenots kien parti mill-kolonizzaturi Franċiżi li waslu fil-Brażil fl-1555 biex sabu Franza l-Antartiku. Koppja ta 'v"&amp;"apuri b'madwar 500 persuna waslu fil-bajja ta' Guanabara, Rio de Janeiro preżenti, u stabbilixxew fi gżira żgħira. Fort, bl-isem ta 'Fort Coligny, inbena biex jipproteġihom mill-attakk mit-truppi Portugiżi u l-Amerikani Nattivi Brażiljani. Kien attentat b"&amp;"iex tistabbilixxi kolonja Franċiża fl-Amerika t'Isfel. Il-forti nqered fl-1560 mill-Portugiż, li qabad parti mill-Huguenots. Il-Portugiż hedded lill-priġunieri bil-mewt jekk ma kkonvertux għall-Kattoliċiżmu. Il-Huguenots ta 'Guanabara, kif inhuma magħrufa"&amp;" issa, ipproduċew dikjarazzjoni ta' fidi biex jesprimu t-twemmin tagħhom lill-Portugiż. Din kienet is-sentenza tal-mewt tagħhom. Dan id-dokument, il-Qrar tal-Fidi Guanabara, sar l-ewwel konfessjoni Protestanti tal-Fidi fl-Amerika kollha. [Ċitazzjoni meħti"&amp;"eġa]")</f>
        <v>L-ewwel Huguenots li jitilqu minn Franza fittxew il-ħelsien mill-persekuzzjoni fl-Isvizzera u l-Olanda. [Ċitazzjoni meħtieġa] Grupp ta 'Huguenots kien parti mill-kolonizzaturi Franċiżi li waslu fil-Brażil fl-1555 biex sabu Franza l-Antartiku. Koppja ta 'vapuri b'madwar 500 persuna waslu fil-bajja ta' Guanabara, Rio de Janeiro preżenti, u stabbilixxew fi gżira żgħira. Fort, bl-isem ta 'Fort Coligny, inbena biex jipproteġihom mill-attakk mit-truppi Portugiżi u l-Amerikani Nattivi Brażiljani. Kien attentat biex tistabbilixxi kolonja Franċiża fl-Amerika t'Isfel. Il-forti nqered fl-1560 mill-Portugiż, li qabad parti mill-Huguenots. Il-Portugiż hedded lill-priġunieri bil-mewt jekk ma kkonvertux għall-Kattoliċiżmu. Il-Huguenots ta 'Guanabara, kif inhuma magħrufa issa, ipproduċew dikjarazzjoni ta' fidi biex jesprimu t-twemmin tagħhom lill-Portugiż. Din kienet is-sentenza tal-mewt tagħhom. Dan id-dokument, il-Qrar tal-Fidi Guanabara, sar l-ewwel konfessjoni Protestanti tal-Fidi fl-Amerika kollha. [Ċitazzjoni meħtieġa]</v>
      </c>
    </row>
    <row r="18327" ht="15.75" customHeight="1">
      <c r="A18327" s="2" t="s">
        <v>18327</v>
      </c>
      <c r="B18327" s="2" t="str">
        <f>IFERROR(__xludf.DUMMYFUNCTION("GOOGLETRANSLATE(A18327, ""en"", ""mt"")"),"Blat li huma fond fejn huma mġebbda duttili huma wkoll spiss xiex?")</f>
        <v>Blat li huma fond fejn huma mġebbda duttili huma wkoll spiss xiex?</v>
      </c>
    </row>
    <row r="18328" ht="15.75" customHeight="1">
      <c r="A18328" s="2" t="s">
        <v>18328</v>
      </c>
      <c r="B18328" s="2" t="str">
        <f>IFERROR(__xludf.DUMMYFUNCTION("GOOGLETRANSLATE(A18328, ""en"", ""mt"")"),"konxjament determinat li jerġa 'jinbena")</f>
        <v>konxjament determinat li jerġa 'jinbena</v>
      </c>
    </row>
    <row r="18329" ht="15.75" customHeight="1">
      <c r="A18329" s="2" t="s">
        <v>18329</v>
      </c>
      <c r="B18329" s="2" t="str">
        <f>IFERROR(__xludf.DUMMYFUNCTION("GOOGLETRANSLATE(A18329, ""en"", ""mt"")"),"1949")</f>
        <v>1949</v>
      </c>
    </row>
    <row r="18330" ht="15.75" customHeight="1">
      <c r="A18330" s="2" t="s">
        <v>18330</v>
      </c>
      <c r="B18330" s="2" t="str">
        <f>IFERROR(__xludf.DUMMYFUNCTION("GOOGLETRANSLATE(A18330, ""en"", ""mt"")"),"Fis-cpDNA, hemm diversi gradjenti ta 'deamination A → G. Id-DNA isir suxxettibbli għal avvenimenti ta 'deaminazzjoni meta jkun mitluf wieħed. Meta l-frieket tar-replikazzjoni jiffurmaw, il-linja li mhix qed tiġi kkupjata hija mitluqa waħda, u għalhekk f'r"&amp;"iskju għal deamination → g. Għalhekk, gradjenti fid-deaminazzjoni jindikaw li l-frieket ta 'replikazzjoni x'aktarx kienu preżenti u d-direzzjoni li inizjalment fetħu (l-ogħla gradjent huwa l-iktar probabbli l-eqreb tas-sit tal-bidu minħabba li kien wieħed"&amp;" mitluq għall-itwal ammont ta' żmien). Dan il-mekkaniżmu għadu t-teorija ewlenija llum; Madankollu, it-tieni teorija tissuġġerixxi li l-biċċa l-kbira ta 'cpDNA huwa attwalment lineari u jirreplika permezz ta' rikombinazzjoni omologa. Ikompli jsostni li mi"&amp;"noranza biss tal-materjal ġenetiku tinżamm fi kromożomi ċirkulari waqt li l-bqija huwa fi strutturi ramifikati, lineari, jew kumplessi oħra.")</f>
        <v>Fis-cpDNA, hemm diversi gradjenti ta 'deamination A → G. Id-DNA isir suxxettibbli għal avvenimenti ta 'deaminazzjoni meta jkun mitluf wieħed. Meta l-frieket tar-replikazzjoni jiffurmaw, il-linja li mhix qed tiġi kkupjata hija mitluqa waħda, u għalhekk f'riskju għal deamination → g. Għalhekk, gradjenti fid-deaminazzjoni jindikaw li l-frieket ta 'replikazzjoni x'aktarx kienu preżenti u d-direzzjoni li inizjalment fetħu (l-ogħla gradjent huwa l-iktar probabbli l-eqreb tas-sit tal-bidu minħabba li kien wieħed mitluq għall-itwal ammont ta' żmien). Dan il-mekkaniżmu għadu t-teorija ewlenija llum; Madankollu, it-tieni teorija tissuġġerixxi li l-biċċa l-kbira ta 'cpDNA huwa attwalment lineari u jirreplika permezz ta' rikombinazzjoni omologa. Ikompli jsostni li minoranza biss tal-materjal ġenetiku tinżamm fi kromożomi ċirkulari waqt li l-bqija huwa fi strutturi ramifikati, lineari, jew kumplessi oħra.</v>
      </c>
    </row>
    <row r="18331" ht="15.75" customHeight="1">
      <c r="A18331" s="2" t="s">
        <v>18331</v>
      </c>
      <c r="B18331" s="2" t="str">
        <f>IFERROR(__xludf.DUMMYFUNCTION("GOOGLETRANSLATE(A18331, ""en"", ""mt"")"),"Meta l-Ġermanja bdiet tibni tagħha stess")</f>
        <v>Meta l-Ġermanja bdiet tibni tagħha stess</v>
      </c>
    </row>
    <row r="18332" ht="15.75" customHeight="1">
      <c r="A18332" s="2" t="s">
        <v>18332</v>
      </c>
      <c r="B18332" s="2" t="str">
        <f>IFERROR(__xludf.DUMMYFUNCTION("GOOGLETRANSLATE(A18332, ""en"", ""mt"")"),"Min joħroġ servizz mit-terminal tal-lanċa internazzjonali ta 'Newcastle?")</f>
        <v>Min joħroġ servizz mit-terminal tal-lanċa internazzjonali ta 'Newcastle?</v>
      </c>
    </row>
    <row r="18333" ht="15.75" customHeight="1">
      <c r="A18333" s="2" t="s">
        <v>18333</v>
      </c>
      <c r="B18333" s="2" t="str">
        <f>IFERROR(__xludf.DUMMYFUNCTION("GOOGLETRANSLATE(A18333, ""en"", ""mt"")"),"hemicycle")</f>
        <v>hemicycle</v>
      </c>
    </row>
    <row r="18334" ht="15.75" customHeight="1">
      <c r="A18334" s="2" t="s">
        <v>18334</v>
      </c>
      <c r="B18334" s="2" t="str">
        <f>IFERROR(__xludf.DUMMYFUNCTION("GOOGLETRANSLATE(A18334, ""en"", ""mt"")"),"Kelvin Benjamin")</f>
        <v>Kelvin Benjamin</v>
      </c>
    </row>
    <row r="18335" ht="15.75" customHeight="1">
      <c r="A18335" s="2" t="s">
        <v>18335</v>
      </c>
      <c r="B18335" s="2" t="str">
        <f>IFERROR(__xludf.DUMMYFUNCTION("GOOGLETRANSLATE(A18335, ""en"", ""mt"")"),"Brownlee jargumenta li d-diżubbidjenza tista 'tkun iġġustifikata lejn liema istituzzjonijiet?")</f>
        <v>Brownlee jargumenta li d-diżubbidjenza tista 'tkun iġġustifikata lejn liema istituzzjonijiet?</v>
      </c>
    </row>
    <row r="18336" ht="15.75" customHeight="1">
      <c r="A18336" s="2" t="s">
        <v>18336</v>
      </c>
      <c r="B18336" s="2" t="str">
        <f>IFERROR(__xludf.DUMMYFUNCTION("GOOGLETRANSLATE(A18336, ""en"", ""mt"")"),"John G. Trump")</f>
        <v>John G. Trump</v>
      </c>
    </row>
    <row r="18337" ht="15.75" customHeight="1">
      <c r="A18337" s="2" t="s">
        <v>18337</v>
      </c>
      <c r="B18337" s="2" t="str">
        <f>IFERROR(__xludf.DUMMYFUNCTION("GOOGLETRANSLATE(A18337, ""en"", ""mt"")"),"Kunċert Rock")</f>
        <v>Kunċert Rock</v>
      </c>
    </row>
    <row r="18338" ht="15.75" customHeight="1">
      <c r="A18338" s="2" t="s">
        <v>18338</v>
      </c>
      <c r="B18338" s="2" t="str">
        <f>IFERROR(__xludf.DUMMYFUNCTION("GOOGLETRANSLATE(A18338, ""en"", ""mt"")"),"Il-ħames tobba")</f>
        <v>Il-ħames tobba</v>
      </c>
    </row>
    <row r="18339" ht="15.75" customHeight="1">
      <c r="A18339" s="2" t="s">
        <v>18339</v>
      </c>
      <c r="B18339" s="2" t="str">
        <f>IFERROR(__xludf.DUMMYFUNCTION("GOOGLETRANSLATE(A18339, ""en"", ""mt"")"),"Għerq kwadru ta 'n")</f>
        <v>Għerq kwadru ta 'n</v>
      </c>
    </row>
    <row r="18340" ht="15.75" customHeight="1">
      <c r="A18340" s="2" t="s">
        <v>18340</v>
      </c>
      <c r="B18340" s="2" t="str">
        <f>IFERROR(__xludf.DUMMYFUNCTION("GOOGLETRANSLATE(A18340, ""en"", ""mt"")"),"ABC News")</f>
        <v>ABC News</v>
      </c>
    </row>
    <row r="18341" ht="15.75" customHeight="1">
      <c r="A18341" s="2" t="s">
        <v>18341</v>
      </c>
      <c r="B18341" s="2" t="str">
        <f>IFERROR(__xludf.DUMMYFUNCTION("GOOGLETRANSLATE(A18341, ""en"", ""mt"")"),"Syfy")</f>
        <v>Syfy</v>
      </c>
    </row>
    <row r="18342" ht="15.75" customHeight="1">
      <c r="A18342" s="2" t="s">
        <v>18342</v>
      </c>
      <c r="B18342" s="2" t="str">
        <f>IFERROR(__xludf.DUMMYFUNCTION("GOOGLETRANSLATE(A18342, ""en"", ""mt"")"),"Meta ġew żviluppati t-teoriji li jissuġġerixxu inugwaljanza jista 'jkollu xi effett pożittiv fuq l-iżvilupp ekonomiku?")</f>
        <v>Meta ġew żviluppati t-teoriji li jissuġġerixxu inugwaljanza jista 'jkollu xi effett pożittiv fuq l-iżvilupp ekonomiku?</v>
      </c>
    </row>
    <row r="18343" ht="15.75" customHeight="1">
      <c r="A18343" s="2" t="s">
        <v>18343</v>
      </c>
      <c r="B18343" s="2" t="str">
        <f>IFERROR(__xludf.DUMMYFUNCTION("GOOGLETRANSLATE(A18343, ""en"", ""mt"")"),"ugwaljanza akbar")</f>
        <v>ugwaljanza akbar</v>
      </c>
    </row>
    <row r="18344" ht="15.75" customHeight="1">
      <c r="A18344" s="2" t="s">
        <v>18344</v>
      </c>
      <c r="B18344" s="2" t="str">
        <f>IFERROR(__xludf.DUMMYFUNCTION("GOOGLETRANSLATE(A18344, ""en"", ""mt"")"),"Liema forzi oħra ġew imċappas minn allegazzjonijiet ta 'korruzzjoni?")</f>
        <v>Liema forzi oħra ġew imċappas minn allegazzjonijiet ta 'korruzzjoni?</v>
      </c>
    </row>
    <row r="18345" ht="15.75" customHeight="1">
      <c r="A18345" s="2" t="s">
        <v>18345</v>
      </c>
      <c r="B18345" s="2" t="str">
        <f>IFERROR(__xludf.DUMMYFUNCTION("GOOGLETRANSLATE(A18345, ""en"", ""mt"")"),"tradizzjonijiet kulturali, drawwiet soċjali, twemmin reliġjuż")</f>
        <v>tradizzjonijiet kulturali, drawwiet soċjali, twemmin reliġjuż</v>
      </c>
    </row>
    <row r="18346" ht="15.75" customHeight="1">
      <c r="A18346" s="2" t="s">
        <v>18346</v>
      </c>
      <c r="B18346" s="2" t="str">
        <f>IFERROR(__xludf.DUMMYFUNCTION("GOOGLETRANSLATE(A18346, ""en"", ""mt"")"),"Agrikoltura dwar l-Età tal-Bronż")</f>
        <v>Agrikoltura dwar l-Età tal-Bronż</v>
      </c>
    </row>
    <row r="18347" ht="15.75" customHeight="1">
      <c r="A18347" s="2" t="s">
        <v>18347</v>
      </c>
      <c r="B18347" s="2" t="str">
        <f>IFERROR(__xludf.DUMMYFUNCTION("GOOGLETRANSLATE(A18347, ""en"", ""mt"")"),"Il-Midalja Edison")</f>
        <v>Il-Midalja Edison</v>
      </c>
    </row>
    <row r="18348" ht="15.75" customHeight="1">
      <c r="A18348" s="2" t="s">
        <v>18348</v>
      </c>
      <c r="B18348" s="2" t="str">
        <f>IFERROR(__xludf.DUMMYFUNCTION("GOOGLETRANSLATE(A18348, ""en"", ""mt"")"),"Il-Kenja meta kisbet l-indipendenza?")</f>
        <v>Il-Kenja meta kisbet l-indipendenza?</v>
      </c>
    </row>
    <row r="18349" ht="15.75" customHeight="1">
      <c r="A18349" s="2" t="s">
        <v>18349</v>
      </c>
      <c r="B18349" s="2" t="str">
        <f>IFERROR(__xludf.DUMMYFUNCTION("GOOGLETRANSLATE(A18349, ""en"", ""mt"")"),"X'għandu jsegwi Nisrani f'ħajtu?")</f>
        <v>X'għandu jsegwi Nisrani f'ħajtu?</v>
      </c>
    </row>
    <row r="18350" ht="15.75" customHeight="1">
      <c r="A18350" s="2" t="s">
        <v>18350</v>
      </c>
      <c r="B18350" s="2" t="str">
        <f>IFERROR(__xludf.DUMMYFUNCTION("GOOGLETRANSLATE(A18350, ""en"", ""mt"")"),"Kim Wilkie")</f>
        <v>Kim Wilkie</v>
      </c>
    </row>
    <row r="18351" ht="15.75" customHeight="1">
      <c r="A18351" s="2" t="s">
        <v>18351</v>
      </c>
      <c r="B18351" s="2" t="str">
        <f>IFERROR(__xludf.DUMMYFUNCTION("GOOGLETRANSLATE(A18351, ""en"", ""mt"")"),"LGBT")</f>
        <v>LGBT</v>
      </c>
    </row>
    <row r="18352" ht="15.75" customHeight="1">
      <c r="A18352" s="2" t="s">
        <v>18352</v>
      </c>
      <c r="B18352" s="2" t="str">
        <f>IFERROR(__xludf.DUMMYFUNCTION("GOOGLETRANSLATE(A18352, ""en"", ""mt"")"),"""Le, dak mhux tajjeb")</f>
        <v>"Le, dak mhux tajjeb</v>
      </c>
    </row>
    <row r="18353" ht="15.75" customHeight="1">
      <c r="A18353" s="2" t="s">
        <v>18353</v>
      </c>
      <c r="B18353" s="2" t="str">
        <f>IFERROR(__xludf.DUMMYFUNCTION("GOOGLETRANSLATE(A18353, ""en"", ""mt"")"),"X'titlu onorarju għandu Bob Geldof?")</f>
        <v>X'titlu onorarju għandu Bob Geldof?</v>
      </c>
    </row>
    <row r="18354" ht="15.75" customHeight="1">
      <c r="A18354" s="2" t="s">
        <v>18354</v>
      </c>
      <c r="B18354" s="2" t="str">
        <f>IFERROR(__xludf.DUMMYFUNCTION("GOOGLETRANSLATE(A18354, ""en"", ""mt"")"),"Kemm-il darba l-Broncos ikkawżaw fatturat fil-logħba?")</f>
        <v>Kemm-il darba l-Broncos ikkawżaw fatturat fil-logħba?</v>
      </c>
    </row>
    <row r="18355" ht="15.75" customHeight="1">
      <c r="A18355" s="2" t="s">
        <v>18355</v>
      </c>
      <c r="B18355" s="2" t="str">
        <f>IFERROR(__xludf.DUMMYFUNCTION("GOOGLETRANSLATE(A18355, ""en"", ""mt"")"),"struttura estiża")</f>
        <v>struttura estiża</v>
      </c>
    </row>
    <row r="18356" ht="15.75" customHeight="1">
      <c r="A18356" s="2" t="s">
        <v>18356</v>
      </c>
      <c r="B18356" s="2" t="str">
        <f>IFERROR(__xludf.DUMMYFUNCTION("GOOGLETRANSLATE(A18356, ""en"", ""mt"")"),"Tarka tas-sħana")</f>
        <v>Tarka tas-sħana</v>
      </c>
    </row>
    <row r="18357" ht="15.75" customHeight="1">
      <c r="A18357" s="2" t="s">
        <v>18357</v>
      </c>
      <c r="B18357" s="2" t="str">
        <f>IFERROR(__xludf.DUMMYFUNCTION("GOOGLETRANSLATE(A18357, ""en"", ""mt"")"),"Kemm-il sena kien John Fox il-kowċ ewlieni tad-Denver Broncos?")</f>
        <v>Kemm-il sena kien John Fox il-kowċ ewlieni tad-Denver Broncos?</v>
      </c>
    </row>
    <row r="18358" ht="15.75" customHeight="1">
      <c r="A18358" s="2" t="s">
        <v>18358</v>
      </c>
      <c r="B18358" s="2" t="str">
        <f>IFERROR(__xludf.DUMMYFUNCTION("GOOGLETRANSLATE(A18358, ""en"", ""mt"")"),"X'inhuma l-iktar tip abbundanti ta 'fagoċiti?")</f>
        <v>X'inhuma l-iktar tip abbundanti ta 'fagoċiti?</v>
      </c>
    </row>
    <row r="18359" ht="15.75" customHeight="1">
      <c r="A18359" s="2" t="s">
        <v>18359</v>
      </c>
      <c r="B18359" s="2" t="str">
        <f>IFERROR(__xludf.DUMMYFUNCTION("GOOGLETRANSLATE(A18359, ""en"", ""mt"")"),"Perjodu ta '4 ġimgħat")</f>
        <v>Perjodu ta '4 ġimgħat</v>
      </c>
    </row>
    <row r="18360" ht="15.75" customHeight="1">
      <c r="A18360" s="2" t="s">
        <v>18360</v>
      </c>
      <c r="B18360" s="2" t="str">
        <f>IFERROR(__xludf.DUMMYFUNCTION("GOOGLETRANSLATE(A18360, ""en"",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18361" ht="15.75" customHeight="1">
      <c r="A18361" s="2" t="s">
        <v>18361</v>
      </c>
      <c r="B18361" s="2" t="str">
        <f>IFERROR(__xludf.DUMMYFUNCTION("GOOGLETRANSLATE(A18361, ""en"", ""mt"")"),"X'għandhom il-biċċa l-kbira tal-platyctenida fuq il-wiċċ aboral tagħhom?")</f>
        <v>X'għandhom il-biċċa l-kbira tal-platyctenida fuq il-wiċċ aboral tagħhom?</v>
      </c>
    </row>
    <row r="18362" ht="15.75" customHeight="1">
      <c r="A18362" s="2" t="s">
        <v>18362</v>
      </c>
      <c r="B18362" s="2" t="str">
        <f>IFERROR(__xludf.DUMMYFUNCTION("GOOGLETRANSLATE(A18362, ""en"", ""mt"")"),"Liema kwistjoni finanzjarja hija notorjament prevalenti fil-qasam tal-kostruzzjoni?")</f>
        <v>Liema kwistjoni finanzjarja hija notorjament prevalenti fil-qasam tal-kostruzzjoni?</v>
      </c>
    </row>
    <row r="18363" ht="15.75" customHeight="1">
      <c r="A18363" s="2" t="s">
        <v>18363</v>
      </c>
      <c r="B18363" s="2" t="str">
        <f>IFERROR(__xludf.DUMMYFUNCTION("GOOGLETRANSLATE(A18363, ""en"", ""mt"")"),"L-ispettaklu l-qadim tal-pajjiż tal-punent fil-Fresno Barn")</f>
        <v>L-ispettaklu l-qadim tal-pajjiż tal-punent fil-Fresno Barn</v>
      </c>
    </row>
    <row r="18364" ht="15.75" customHeight="1">
      <c r="A18364" s="2" t="s">
        <v>18364</v>
      </c>
      <c r="B18364" s="2" t="str">
        <f>IFERROR(__xludf.DUMMYFUNCTION("GOOGLETRANSLATE(A18364, ""en"", ""mt"")"),"permezz ta ’mikroskopija elettronika")</f>
        <v>permezz ta ’mikroskopija elettronika</v>
      </c>
    </row>
    <row r="18365" ht="15.75" customHeight="1">
      <c r="A18365" s="2" t="s">
        <v>18365</v>
      </c>
      <c r="B18365" s="2" t="str">
        <f>IFERROR(__xludf.DUMMYFUNCTION("GOOGLETRANSLATE(A18365, ""en"", ""mt"")"),"kloroplast derivat mill-alka ħadra (b'mod aktar speċifiku, prasinofita)")</f>
        <v>kloroplast derivat mill-alka ħadra (b'mod aktar speċifiku, prasinofita)</v>
      </c>
    </row>
    <row r="18366" ht="15.75" customHeight="1">
      <c r="A18366" s="2" t="s">
        <v>18366</v>
      </c>
      <c r="B18366" s="2" t="str">
        <f>IFERROR(__xludf.DUMMYFUNCTION("GOOGLETRANSLATE(A18366, ""en"", ""mt"")"),"Franza ma riedx tirriskja konvoj kbar biex tgħin il-forzi limitati li kellha fi Franza l-ġdida")</f>
        <v>Franza ma riedx tirriskja konvoj kbar biex tgħin il-forzi limitati li kellha fi Franza l-ġdida</v>
      </c>
    </row>
    <row r="18367" ht="15.75" customHeight="1">
      <c r="A18367" s="2" t="s">
        <v>18367</v>
      </c>
      <c r="B18367" s="2" t="str">
        <f>IFERROR(__xludf.DUMMYFUNCTION("GOOGLETRANSLATE(A18367, ""en"", ""mt"")"),"1985")</f>
        <v>1985</v>
      </c>
    </row>
    <row r="18368" ht="15.75" customHeight="1">
      <c r="A18368" s="2" t="s">
        <v>18368</v>
      </c>
      <c r="B18368" s="2" t="str">
        <f>IFERROR(__xludf.DUMMYFUNCTION("GOOGLETRANSLATE(A18368, ""en"", ""mt"")"),"William the Conqueror")</f>
        <v>William the Conqueror</v>
      </c>
    </row>
    <row r="18369" ht="15.75" customHeight="1">
      <c r="A18369" s="2" t="s">
        <v>18369</v>
      </c>
      <c r="B18369" s="2" t="str">
        <f>IFERROR(__xludf.DUMMYFUNCTION("GOOGLETRANSLATE(A18369, ""en"", ""mt"")"),"Saint-Pierre kif wieġeb għal Washington?")</f>
        <v>Saint-Pierre kif wieġeb għal Washington?</v>
      </c>
    </row>
    <row r="18370" ht="15.75" customHeight="1">
      <c r="A18370" s="2" t="s">
        <v>18370</v>
      </c>
      <c r="B18370" s="2" t="str">
        <f>IFERROR(__xludf.DUMMYFUNCTION("GOOGLETRANSLATE(A18370, ""en"", ""mt"")"),"Min oriġinarjament mexxa l-grupp ta 'kompitu spazjali?")</f>
        <v>Min oriġinarjament mexxa l-grupp ta 'kompitu spazjali?</v>
      </c>
    </row>
    <row r="18371" ht="15.75" customHeight="1">
      <c r="A18371" s="2" t="s">
        <v>18371</v>
      </c>
      <c r="B18371" s="2" t="str">
        <f>IFERROR(__xludf.DUMMYFUNCTION("GOOGLETRANSLATE(A18371, ""en"", ""mt"")"),"Għal xiex wasslet is-sistema Mlolongo?")</f>
        <v>Għal xiex wasslet is-sistema Mlolongo?</v>
      </c>
    </row>
    <row r="18372" ht="15.75" customHeight="1">
      <c r="A18372" s="2" t="s">
        <v>18372</v>
      </c>
      <c r="B18372" s="2" t="str">
        <f>IFERROR(__xludf.DUMMYFUNCTION("GOOGLETRANSLATE(A18372, ""en"", ""mt"")"),"Is-settur tat-turiżmu kellu tkabbir jew tnaqqis?")</f>
        <v>Is-settur tat-turiżmu kellu tkabbir jew tnaqqis?</v>
      </c>
    </row>
    <row r="18373" ht="15.75" customHeight="1">
      <c r="A18373" s="2" t="s">
        <v>18373</v>
      </c>
      <c r="B18373" s="2" t="str">
        <f>IFERROR(__xludf.DUMMYFUNCTION("GOOGLETRANSLATE(A18373, ""en"", ""mt"")"),"Artikolu 49 TFEU")</f>
        <v>Artikolu 49 TFEU</v>
      </c>
    </row>
    <row r="18374" ht="15.75" customHeight="1">
      <c r="A18374" s="2" t="s">
        <v>18374</v>
      </c>
      <c r="B18374" s="2" t="str">
        <f>IFERROR(__xludf.DUMMYFUNCTION("GOOGLETRANSLATE(A18374, ""en"", ""mt"")"),"Gruppi tat-Turiżmu Reġjonali")</f>
        <v>Gruppi tat-Turiżmu Reġjonali</v>
      </c>
    </row>
    <row r="18375" ht="15.75" customHeight="1">
      <c r="A18375" s="2" t="s">
        <v>18375</v>
      </c>
      <c r="B18375" s="2" t="str">
        <f>IFERROR(__xludf.DUMMYFUNCTION("GOOGLETRANSLATE(A18375, ""en"", ""mt"")"),"Ikkastiga lin-nies ta 'Miami ta' Pickawillany talli ma segwewx l-ordnijiet ta 'Céloron")</f>
        <v>Ikkastiga lin-nies ta 'Miami ta' Pickawillany talli ma segwewx l-ordnijiet ta 'Céloron</v>
      </c>
    </row>
    <row r="18376" ht="15.75" customHeight="1">
      <c r="A18376" s="2" t="s">
        <v>18376</v>
      </c>
      <c r="B18376" s="2" t="str">
        <f>IFERROR(__xludf.DUMMYFUNCTION("GOOGLETRANSLATE(A18376, ""en"", ""mt"")"),"jikkoordina l-awtur ewlieni tal-ħames rapport ta 'valutazzjoni")</f>
        <v>jikkoordina l-awtur ewlieni tal-ħames rapport ta 'valutazzjoni</v>
      </c>
    </row>
    <row r="18377" ht="15.75" customHeight="1">
      <c r="A18377" s="2" t="s">
        <v>18377</v>
      </c>
      <c r="B18377" s="2" t="str">
        <f>IFERROR(__xludf.DUMMYFUNCTION("GOOGLETRANSLATE(A18377, ""en"", ""mt"")"),"""L-applikazzjoni ħażina ta 'proċeduri IPCC stabbiliti sew f'dan il-każ""")</f>
        <v>"L-applikazzjoni ħażina ta 'proċeduri IPCC stabbiliti sew f'dan il-każ"</v>
      </c>
    </row>
    <row r="18378" ht="15.75" customHeight="1">
      <c r="A18378" s="2" t="s">
        <v>18378</v>
      </c>
      <c r="B18378" s="2" t="str">
        <f>IFERROR(__xludf.DUMMYFUNCTION("GOOGLETRANSLATE(A18378, ""en"", ""mt"")"),"Liema proċess tal-ħajja jipproduċi ossiġnu fil-preżenza tad-dawl?")</f>
        <v>Liema proċess tal-ħajja jipproduċi ossiġnu fil-preżenza tad-dawl?</v>
      </c>
    </row>
    <row r="18379" ht="15.75" customHeight="1">
      <c r="A18379" s="2" t="s">
        <v>18379</v>
      </c>
      <c r="B18379" s="2" t="str">
        <f>IFERROR(__xludf.DUMMYFUNCTION("GOOGLETRANSLATE(A18379, ""en"", ""mt"")"),"Id-Dinja trid tkun ferm ixjeħ milli suppost kien suppost")</f>
        <v>Id-Dinja trid tkun ferm ixjeħ milli suppost kien suppost</v>
      </c>
    </row>
    <row r="18380" ht="15.75" customHeight="1">
      <c r="A18380" s="2" t="s">
        <v>18380</v>
      </c>
      <c r="B18380" s="2" t="str">
        <f>IFERROR(__xludf.DUMMYFUNCTION("GOOGLETRANSLATE(A18380, ""en"", ""mt"")"),"Kura tas-Saħħa tal-Ispiżerija")</f>
        <v>Kura tas-Saħħa tal-Ispiżerija</v>
      </c>
    </row>
    <row r="18381" ht="15.75" customHeight="1">
      <c r="A18381" s="2" t="s">
        <v>18381</v>
      </c>
      <c r="B18381" s="2" t="str">
        <f>IFERROR(__xludf.DUMMYFUNCTION("GOOGLETRANSLATE(A18381, ""en"", ""mt"")"),"Liema awtur famuż uża xebh u xebh ta 'Percy Shelly fil-kitba tiegħu?")</f>
        <v>Liema awtur famuż uża xebh u xebh ta 'Percy Shelly fil-kitba tiegħu?</v>
      </c>
    </row>
    <row r="18382" ht="15.75" customHeight="1">
      <c r="A18382" s="2" t="s">
        <v>18382</v>
      </c>
      <c r="B18382" s="2" t="str">
        <f>IFERROR(__xludf.DUMMYFUNCTION("GOOGLETRANSLATE(A18382, ""en"", ""mt"")"),"il-mudell tat-tilakoid spirali")</f>
        <v>il-mudell tat-tilakoid spirali</v>
      </c>
    </row>
    <row r="18383" ht="15.75" customHeight="1">
      <c r="A18383" s="2" t="s">
        <v>18383</v>
      </c>
      <c r="B18383" s="2" t="str">
        <f>IFERROR(__xludf.DUMMYFUNCTION("GOOGLETRANSLATE(A18383, ""en"", ""mt"")"),"protesta")</f>
        <v>protesta</v>
      </c>
    </row>
    <row r="18384" ht="15.75" customHeight="1">
      <c r="A18384" s="2" t="s">
        <v>18384</v>
      </c>
      <c r="B18384" s="2" t="str">
        <f>IFERROR(__xludf.DUMMYFUNCTION("GOOGLETRANSLATE(A18384, ""en"", ""mt"")"),"Alhambra")</f>
        <v>Alhambra</v>
      </c>
    </row>
    <row r="18385" ht="15.75" customHeight="1">
      <c r="A18385" s="2" t="s">
        <v>18385</v>
      </c>
      <c r="B18385" s="2" t="str">
        <f>IFERROR(__xludf.DUMMYFUNCTION("GOOGLETRANSLATE(A18385, ""en"", ""mt"")"),"Liema karatteristika ta 'ossiġnu tikkawża li tifforma bonds ma' elementi oħra?")</f>
        <v>Liema karatteristika ta 'ossiġnu tikkawża li tifforma bonds ma' elementi oħra?</v>
      </c>
    </row>
    <row r="18386" ht="15.75" customHeight="1">
      <c r="A18386" s="2" t="s">
        <v>18386</v>
      </c>
      <c r="B18386" s="2" t="str">
        <f>IFERROR(__xludf.DUMMYFUNCTION("GOOGLETRANSLATE(A18386, ""en"", ""mt"")"),"F’liema sena Priestley ippubblika s-sejbiet tal-esperimenti tiegħu?")</f>
        <v>F’liema sena Priestley ippubblika s-sejbiet tal-esperimenti tiegħu?</v>
      </c>
    </row>
    <row r="18387" ht="15.75" customHeight="1">
      <c r="A18387" s="2" t="s">
        <v>18387</v>
      </c>
      <c r="B18387" s="2" t="str">
        <f>IFERROR(__xludf.DUMMYFUNCTION("GOOGLETRANSLATE(A18387, ""en"", ""mt"")"),"Min jistabbilixxi l-aġenda tax-xogħol u jalloka l-ħin fil-kamra?")</f>
        <v>Min jistabbilixxi l-aġenda tax-xogħol u jalloka l-ħin fil-kamra?</v>
      </c>
    </row>
    <row r="18388" ht="15.75" customHeight="1">
      <c r="A18388" s="2" t="s">
        <v>18388</v>
      </c>
      <c r="B18388" s="2" t="str">
        <f>IFERROR(__xludf.DUMMYFUNCTION("GOOGLETRANSLATE(A18388, ""en"", ""mt"")"),"Miżuri ta 'kumplessità")</f>
        <v>Miżuri ta 'kumplessità</v>
      </c>
    </row>
    <row r="18389" ht="15.75" customHeight="1">
      <c r="A18389" s="2" t="s">
        <v>18389</v>
      </c>
      <c r="B18389" s="2" t="str">
        <f>IFERROR(__xludf.DUMMYFUNCTION("GOOGLETRANSLATE(A18389, ""en"", ""mt"")"),"X'kien l-għan ta 'din id-diżubbidjenza Rumana?")</f>
        <v>X'kien l-għan ta 'din id-diżubbidjenza Rumana?</v>
      </c>
    </row>
    <row r="18390" ht="15.75" customHeight="1">
      <c r="A18390" s="2" t="s">
        <v>18390</v>
      </c>
      <c r="B18390" s="2" t="str">
        <f>IFERROR(__xludf.DUMMYFUNCTION("GOOGLETRANSLATE(A18390, ""en"", ""mt"")"),"Liema xejra tat-televiżjoni huma Eżempju ta 'Charlies Angels u Three's Company?")</f>
        <v>Liema xejra tat-televiżjoni huma Eżempju ta 'Charlies Angels u Three's Company?</v>
      </c>
    </row>
    <row r="18391" ht="15.75" customHeight="1">
      <c r="A18391" s="2" t="s">
        <v>18391</v>
      </c>
      <c r="B18391" s="2" t="str">
        <f>IFERROR(__xludf.DUMMYFUNCTION("GOOGLETRANSLATE(A18391, ""en"", ""mt"")"),"B'mod ġenerali, hemm tliet setturi tal-kostruzzjoni: bini, infrastruttura u industrijali. Il-kostruzzjoni tal-bini ġeneralment tkun maqsuma aktar fi residenzjali u mhux residenzjali (kummerċjali / istituzzjonali). L-infrastruttura ta 'spiss tissejjaħ inġi"&amp;"nerija tqila / awtostrada, ċivili jew tqila. Dan jinkludi xogħlijiet pubbliċi kbar, digi, pontijiet, awtostradi, ilma / drenaġġ u distribuzzjoni tal-utilità. Industrijali jinkludi raffineriji, kimika tal-proċess, ġenerazzjoni tal-enerġija, imtieħen u impj"&amp;"anti tal-manifattura. Hemm modi oħra kif tkisser l-industrija f'setturi jew swieq.")</f>
        <v>B'mod ġenerali, hemm tliet setturi tal-kostruzzjoni: bini, infrastruttura u industrijali. Il-kostruzzjoni tal-bini ġeneralment tkun maqsuma aktar fi residenzjali u mhux residenzjali (kummerċjali / istituzzjonali). L-infrastruttura ta 'spiss tissejjaħ inġinerija tqila / awtostrada, ċivili jew tqila. Dan jinkludi xogħlijiet pubbliċi kbar, digi, pontijiet, awtostradi, ilma / drenaġġ u distribuzzjoni tal-utilità. Industrijali jinkludi raffineriji, kimika tal-proċess, ġenerazzjoni tal-enerġija, imtieħen u impjanti tal-manifattura. Hemm modi oħra kif tkisser l-industrija f'setturi jew swieq.</v>
      </c>
    </row>
    <row r="18392" ht="15.75" customHeight="1">
      <c r="A18392" s="2" t="s">
        <v>18392</v>
      </c>
      <c r="B18392" s="2" t="str">
        <f>IFERROR(__xludf.DUMMYFUNCTION("GOOGLETRANSLATE(A18392, ""en"", ""mt"")"),"Waħda mill-kollezzjonijiet l-aktar mhux tas-soltu hija dik tar-ritratti ta 'Eadweard Muybridge tal-lokomozzjoni tal-annimali tal-1887, dan jikkonsisti minn 781 pjanċi. Dawn is-sekwenzi ta 'ritratti ħadu frazzjoni tat-tieni immaġini ta' qbid ta 'annimali d"&amp;"ifferenti u bnedmin iwettqu diversi azzjonijiet. Hemm bosta immaġini tal-ħajja tat-triq 1876-7 ta 'John Thomson f'Londra fil-kollezzjoni. Il-mużew iżomm ukoll ir-ritratti tas-Soċjetà ta 'James Lafayette, ġabra ta' aktar minn 600 ritratt li jmorru mill-aħħ"&amp;"ar tas-sekli 19 sal-bidu tal-20 seklu u li jpinġu firxa wiesgħa ta 'figuri tas-soċjetà tal-perjodu, inklużi isqfijiet, generali, onorevoli tas-soċjetà, maharajas Indjani, ħakkiema Etjopjani, ħakkiem Etjopjani u mexxejja barranin oħra, attriċi, nies li jip"&amp;"preżentaw fil-karozzi bil-mutur tagħhom u sekwenza ta 'ritratti li jirrekordjaw il-mistednin fil-famuż ballun tal-libsa tal-fancy li sar fid-Dar Devonshire fl-1897 biex jiċċelebraw il-Ġublew tad-Djamanti tar-Reġina Victoria.")</f>
        <v>Waħda mill-kollezzjonijiet l-aktar mhux tas-soltu hija dik tar-ritratti ta 'Eadweard Muybridge tal-lokomozzjoni tal-annimali tal-1887, dan jikkonsisti minn 781 pjanċi. Dawn is-sekwenzi ta 'ritratti ħadu frazzjoni tat-tieni immaġini ta' qbid ta 'annimali differenti u bnedmin iwettqu diversi azzjonijiet. Hemm bosta immaġini tal-ħajja tat-triq 1876-7 ta 'John Thomson f'Londra fil-kollezzjoni. Il-mużew iżomm ukoll ir-ritratti tas-Soċjetà ta 'James Lafayette, ġabra ta' aktar minn 600 ritratt li jmorru mill-aħħar tas-sekli 19 sal-bidu tal-20 seklu u li jpinġu firxa wiesgħa ta 'figuri tas-soċjetà tal-perjodu, inklużi isqfijiet, generali, onorevoli tas-soċjetà, maharajas Indjani, ħakkiema Etjopjani, ħakkiem Etjopjani u mexxejja barranin oħra, attriċi, nies li jippreżentaw fil-karozzi bil-mutur tagħhom u sekwenza ta 'ritratti li jirrekordjaw il-mistednin fil-famuż ballun tal-libsa tal-fancy li sar fid-Dar Devonshire fl-1897 biex jiċċelebraw il-Ġublew tad-Djamanti tar-Reġina Victoria.</v>
      </c>
    </row>
    <row r="18393" ht="15.75" customHeight="1">
      <c r="A18393" s="2" t="s">
        <v>18393</v>
      </c>
      <c r="B18393" s="2" t="str">
        <f>IFERROR(__xludf.DUMMYFUNCTION("GOOGLETRANSLATE(A18393, ""en"", ""mt"")"),"Huwa peżat inversament għad-daqs tal-istat membru")</f>
        <v>Huwa peżat inversament għad-daqs tal-istat membru</v>
      </c>
    </row>
    <row r="18394" ht="15.75" customHeight="1">
      <c r="A18394" s="2" t="s">
        <v>18394</v>
      </c>
      <c r="B18394" s="2" t="str">
        <f>IFERROR(__xludf.DUMMYFUNCTION("GOOGLETRANSLATE(A18394, ""en"", ""mt"")"),"Tijuana")</f>
        <v>Tijuana</v>
      </c>
    </row>
    <row r="18395" ht="15.75" customHeight="1">
      <c r="A18395" s="2" t="s">
        <v>18395</v>
      </c>
      <c r="B18395" s="2" t="str">
        <f>IFERROR(__xludf.DUMMYFUNCTION("GOOGLETRANSLATE(A18395, ""en"", ""mt"")"),"Fort Niagara")</f>
        <v>Fort Niagara</v>
      </c>
    </row>
    <row r="18396" ht="15.75" customHeight="1">
      <c r="A18396" s="2" t="s">
        <v>18396</v>
      </c>
      <c r="B18396" s="2" t="str">
        <f>IFERROR(__xludf.DUMMYFUNCTION("GOOGLETRANSLATE(A18396, ""en"", ""mt"")"),"Apicomplexans huma grupp ieħor ta 'kromalveolati. Bħall-helicosprodia, huma parassitiċi, u għandhom kloroplast mhux fotosintetiku. Darba kienu maħsuba li huma relatati mal-helicosprodia, iżda issa huwa magħruf li l-helicosproida huma alka ħadra aktar mill"&amp;"i kromalveolati. L-apicomplexans jinkludu Plasmodium, il-parassita tal-malarja. Ħafna apicomplexans iżommu kloroplast derivat mill-alka ħamra vestigjali msejħa apikoplast, li huma wirtew mill-antenati tagħhom. Apicomplexans oħra bħal Cryptosporidium tilfu"&amp;" kompletament il-kloroplast. Apicomplexans jaħżnu l-enerġija tagħhom fil-granuli tal-lamtu tal-amilopectin li jinsabu fiċ-ċitoplasma tagħhom, minkejja li huma nonfotosintetiċi.")</f>
        <v>Apicomplexans huma grupp ieħor ta 'kromalveolati. Bħall-helicosprodia, huma parassitiċi, u għandhom kloroplast mhux fotosintetiku. Darba kienu maħsuba li huma relatati mal-helicosprodia, iżda issa huwa magħruf li l-helicosproida huma alka ħadra aktar milli kromalveolati. L-apicomplexans jinkludu Plasmodium, il-parassita tal-malarja. Ħafna apicomplexans iżommu kloroplast derivat mill-alka ħamra vestigjali msejħa apikoplast, li huma wirtew mill-antenati tagħhom. Apicomplexans oħra bħal Cryptosporidium tilfu kompletament il-kloroplast. Apicomplexans jaħżnu l-enerġija tagħhom fil-granuli tal-lamtu tal-amilopectin li jinsabu fiċ-ċitoplasma tagħhom, minkejja li huma nonfotosintetiċi.</v>
      </c>
    </row>
    <row r="18397" ht="15.75" customHeight="1">
      <c r="A18397" s="2" t="s">
        <v>18397</v>
      </c>
      <c r="B18397" s="2" t="str">
        <f>IFERROR(__xludf.DUMMYFUNCTION("GOOGLETRANSLATE(A18397, ""en"", ""mt"")"),"1493-1500,")</f>
        <v>1493-1500,</v>
      </c>
    </row>
    <row r="18398" ht="15.75" customHeight="1">
      <c r="A18398" s="2" t="s">
        <v>18398</v>
      </c>
      <c r="B18398" s="2" t="str">
        <f>IFERROR(__xludf.DUMMYFUNCTION("GOOGLETRANSLATE(A18398, ""en"", ""mt"")"),"Xi elementi tal-fratellanza indirizzaw liema azzjoni kontra l-gvern?")</f>
        <v>Xi elementi tal-fratellanza indirizzaw liema azzjoni kontra l-gvern?</v>
      </c>
    </row>
    <row r="18399" ht="15.75" customHeight="1">
      <c r="A18399" s="2" t="s">
        <v>18399</v>
      </c>
      <c r="B18399" s="2" t="str">
        <f>IFERROR(__xludf.DUMMYFUNCTION("GOOGLETRANSLATE(A18399, ""en"", ""mt"")"),"It-trabi tat-twelid m'għandhom l-ebda esponiment minn qabel għall-mikrobi u huma partikolarment vulnerabbli għall-infezzjoni. Diversi saffi ta ’protezzjoni passiva huma pprovduti mill-omm. Waqt it-tqala, tip partikolari ta 'antikorpi, imsejjaħ IgG, huwa t"&amp;"trasportat minn omm għal tarbija direttament madwar il-plaċenta, u għalhekk it-trabi umani għandhom livelli għoljin ta' antikorpi anke fit-twelid, bl-istess firxa ta 'speċifiċitajiet ta' antiġeni bħal ommhom. Il-ħalib tas-sider jew il-kolostru fih ukoll a"&amp;"ntikorpi li jiġu trasferiti fl-imsaren tat-tarbija u jipproteġu kontra infezzjonijiet batteriċi sakemm it-tarbija tat-twelid tkun tista 'tissintetizza l-antikorpi tiegħu stess. Din hija immunità passiva minħabba li l-fetu fil-fatt ma jagħmel l-ebda ċellol"&amp;"i tal-memorja jew antikorpi - jissellefhom biss. Din l-immunità passiva ġeneralment tkun għal żmien qasir, li ddum minn ftit jiem sa bosta xhur. Fil-mediċina, l-immunità passiva protettiva tista 'wkoll tiġi trasferita artifiċjalment minn individwu għal ie"&amp;"ħor permezz ta' serum b'ħafna antikorpi.")</f>
        <v>It-trabi tat-twelid m'għandhom l-ebda esponiment minn qabel għall-mikrobi u huma partikolarment vulnerabbli għall-infezzjoni. Diversi saffi ta ’protezzjoni passiva huma pprovduti mill-omm. Waqt it-tqala, tip partikolari ta 'antikorpi, imsejjaħ IgG, huwa ttrasportat minn omm għal tarbija direttament madwar il-plaċenta, u għalhekk it-trabi umani għandhom livelli għoljin ta' antikorpi anke fit-twelid, bl-istess firxa ta 'speċifiċitajiet ta' antiġeni bħal ommhom. Il-ħalib tas-sider jew il-kolostru fih ukoll antikorpi li jiġu trasferiti fl-imsaren tat-tarbija u jipproteġu kontra infezzjonijiet batteriċi sakemm it-tarbija tat-twelid tkun tista 'tissintetizza l-antikorpi tiegħu stess. Din hija immunità passiva minħabba li l-fetu fil-fatt ma jagħmel l-ebda ċelloli tal-memorja jew antikorpi - jissellefhom biss. Din l-immunità passiva ġeneralment tkun għal żmien qasir, li ddum minn ftit jiem sa bosta xhur. Fil-mediċina, l-immunità passiva protettiva tista 'wkoll tiġi trasferita artifiċjalment minn individwu għal ieħor permezz ta' serum b'ħafna antikorpi.</v>
      </c>
    </row>
    <row r="18400" ht="15.75" customHeight="1">
      <c r="A18400" s="2" t="s">
        <v>18400</v>
      </c>
      <c r="B18400" s="2" t="str">
        <f>IFERROR(__xludf.DUMMYFUNCTION("GOOGLETRANSLATE(A18400, ""en"", ""mt"")"),"konnessjonijiet dial-up jew konnessjonijiet dedikati async")</f>
        <v>konnessjonijiet dial-up jew konnessjonijiet dedikati async</v>
      </c>
    </row>
    <row r="18401" ht="15.75" customHeight="1">
      <c r="A18401" s="2" t="s">
        <v>18401</v>
      </c>
      <c r="B18401" s="2" t="str">
        <f>IFERROR(__xludf.DUMMYFUNCTION("GOOGLETRANSLATE(A18401, ""en"", ""mt"")"),"L-ammont ta 'art li pajjiż jikkontrolla huwa l-akbar tiegħu x'inhu?")</f>
        <v>L-ammont ta 'art li pajjiż jikkontrolla huwa l-akbar tiegħu x'inhu?</v>
      </c>
    </row>
    <row r="18402" ht="15.75" customHeight="1">
      <c r="A18402" s="2" t="s">
        <v>18402</v>
      </c>
      <c r="B18402" s="2" t="str">
        <f>IFERROR(__xludf.DUMMYFUNCTION("GOOGLETRANSLATE(A18402, ""en"", ""mt"")"),"X’għamel Martin Luther matul l-1510 sal-1520?")</f>
        <v>X’għamel Martin Luther matul l-1510 sal-1520?</v>
      </c>
    </row>
    <row r="18403" ht="15.75" customHeight="1">
      <c r="A18403" s="2" t="s">
        <v>18403</v>
      </c>
      <c r="B18403" s="2" t="str">
        <f>IFERROR(__xludf.DUMMYFUNCTION("GOOGLETRANSLATE(A18403, ""en"", ""mt"")"),"X'inhu Salm 67 dwaru?")</f>
        <v>X'inhu Salm 67 dwaru?</v>
      </c>
    </row>
    <row r="18404" ht="15.75" customHeight="1">
      <c r="A18404" s="2" t="s">
        <v>18404</v>
      </c>
      <c r="B18404" s="2" t="str">
        <f>IFERROR(__xludf.DUMMYFUNCTION("GOOGLETRANSLATE(A18404, ""en"", ""mt"")"),"Jekk il-Parlament jaqbel f'vot għall-prinċipju ġenerali ta 'abbozz ta' liġi, x'jiġri mbagħad?")</f>
        <v>Jekk il-Parlament jaqbel f'vot għall-prinċipju ġenerali ta 'abbozz ta' liġi, x'jiġri mbagħad?</v>
      </c>
    </row>
    <row r="18405" ht="15.75" customHeight="1">
      <c r="A18405" s="2" t="s">
        <v>18405</v>
      </c>
      <c r="B18405" s="2" t="str">
        <f>IFERROR(__xludf.DUMMYFUNCTION("GOOGLETRANSLATE(A18405, ""en"", ""mt"")"),"Liġi Internazzjonali")</f>
        <v>Liġi Internazzjonali</v>
      </c>
    </row>
    <row r="18406" ht="15.75" customHeight="1">
      <c r="A18406" s="2" t="s">
        <v>18406</v>
      </c>
      <c r="B18406" s="2" t="str">
        <f>IFERROR(__xludf.DUMMYFUNCTION("GOOGLETRANSLATE(A18406, ""en"", ""mt"")"),"Genghis Khan poġġa fiduċja assoluta fil-ġenerali tiegħu, bħal Muqali, Jebe u Subutai, u jqishom bħala konsulenti mill-qrib, ħafna drabi jestenduhom l-istess privileġġi u fiduċja normalment riservati għal membri tal-familja mill-qrib. Huwa ppermettilhom ji"&amp;"eħdu deċiżjonijiet waħedhom meta daħlu f'kampanji 'l bogħod mill-Kapitali tal-Imperu tal-Mongol Karakorum. Muqali, logutenent fdat, ingħata l-kmand tal-forzi tal-Mongolja kontra d-dinastija Jin waqt li Genghis Khan kien qed jiġġieled fl-Asja Ċentrali, u S"&amp;"ubutai u Jebe tħallew isegwu r-rejd il-kbir fil-Kawkasu u Kievan Rus ', idea li kienu ppreżentaw lill-Khagan fuq l-inizjattiva tagħhom stess. Filwaqt li ta lill-ġenerali tiegħu ammont kbir ta 'awtonomija fit-teħid ta' deċiżjonijiet ta 'kmand, Genghis Khan"&amp;" ukoll mistenni li lealtà bla waqfien minnhom.")</f>
        <v>Genghis Khan poġġa fiduċja assoluta fil-ġenerali tiegħu, bħal Muqali, Jebe u Subutai, u jqishom bħala konsulenti mill-qrib, ħafna drabi jestenduhom l-istess privileġġi u fiduċja normalment riservati għal membri tal-familja mill-qrib. Huwa ppermettilhom jieħdu deċiżjonijiet waħedhom meta daħlu f'kampanji 'l bogħod mill-Kapitali tal-Imperu tal-Mongol Karakorum. Muqali, logutenent fdat, ingħata l-kmand tal-forzi tal-Mongolja kontra d-dinastija Jin waqt li Genghis Khan kien qed jiġġieled fl-Asja Ċentrali, u Subutai u Jebe tħallew isegwu r-rejd il-kbir fil-Kawkasu u Kievan Rus ', idea li kienu ppreżentaw lill-Khagan fuq l-inizjattiva tagħhom stess. Filwaqt li ta lill-ġenerali tiegħu ammont kbir ta 'awtonomija fit-teħid ta' deċiżjonijiet ta 'kmand, Genghis Khan ukoll mistenni li lealtà bla waqfien minnhom.</v>
      </c>
    </row>
    <row r="18407" ht="15.75" customHeight="1">
      <c r="A18407" s="2" t="s">
        <v>18407</v>
      </c>
      <c r="B18407" s="2" t="str">
        <f>IFERROR(__xludf.DUMMYFUNCTION("GOOGLETRANSLATE(A18407, ""en"", ""mt"")"),"Liema responsabbiltajiet huma l-ispiżjara li jemmnu li qed jieħdu aktar fil-futur?")</f>
        <v>Liema responsabbiltajiet huma l-ispiżjara li jemmnu li qed jieħdu aktar fil-futur?</v>
      </c>
    </row>
    <row r="18408" ht="15.75" customHeight="1">
      <c r="A18408" s="2" t="s">
        <v>18408</v>
      </c>
      <c r="B18408" s="2" t="str">
        <f>IFERROR(__xludf.DUMMYFUNCTION("GOOGLETRANSLATE(A18408, ""en"", ""mt"")"),"David")</f>
        <v>David</v>
      </c>
    </row>
    <row r="18409" ht="15.75" customHeight="1">
      <c r="A18409" s="2" t="s">
        <v>18409</v>
      </c>
      <c r="B18409" s="2" t="str">
        <f>IFERROR(__xludf.DUMMYFUNCTION("GOOGLETRANSLATE(A18409, ""en"", ""mt"")"),"Liema belt hija mdawra minn Jacksonville?")</f>
        <v>Liema belt hija mdawra minn Jacksonville?</v>
      </c>
    </row>
    <row r="18410" ht="15.75" customHeight="1">
      <c r="A18410" s="2" t="s">
        <v>18410</v>
      </c>
      <c r="B18410" s="2" t="str">
        <f>IFERROR(__xludf.DUMMYFUNCTION("GOOGLETRANSLATE(A18410, ""en"", ""mt"")"),"€ 90,000")</f>
        <v>€ 90,000</v>
      </c>
    </row>
    <row r="18411" ht="15.75" customHeight="1">
      <c r="A18411" s="2" t="s">
        <v>18411</v>
      </c>
      <c r="B18411" s="2" t="str">
        <f>IFERROR(__xludf.DUMMYFUNCTION("GOOGLETRANSLATE(A18411, ""en"", ""mt"")"),"Ma 'liema tribù Temüjin imxew ma' disa 'snin?")</f>
        <v>Ma 'liema tribù Temüjin imxew ma' disa 'snin?</v>
      </c>
    </row>
    <row r="18412" ht="15.75" customHeight="1">
      <c r="A18412" s="2" t="s">
        <v>18412</v>
      </c>
      <c r="B18412" s="2" t="str">
        <f>IFERROR(__xludf.DUMMYFUNCTION("GOOGLETRANSLATE(A18412, ""en"", ""mt"")"),"Fejn huwa bbażat l-energiprojekt AB?")</f>
        <v>Fejn huwa bbażat l-energiprojekt AB?</v>
      </c>
    </row>
    <row r="18413" ht="15.75" customHeight="1">
      <c r="A18413" s="2" t="s">
        <v>18413</v>
      </c>
      <c r="B18413" s="2" t="str">
        <f>IFERROR(__xludf.DUMMYFUNCTION("GOOGLETRANSLATE(A18413, ""en"", ""mt"")"),"ċelloli T γδ")</f>
        <v>ċelloli T γδ</v>
      </c>
    </row>
    <row r="18414" ht="15.75" customHeight="1">
      <c r="A18414" s="2" t="s">
        <v>18414</v>
      </c>
      <c r="B18414" s="2" t="str">
        <f>IFERROR(__xludf.DUMMYFUNCTION("GOOGLETRANSLATE(A18414, ""en"", ""mt"")"),"Il-Harvard Crimson jikkompeti fi 42 sport intercollegiate fid-Diviżjoni I tal-NCAA Ivy League. Harvard għandu rivalità atletika intensa mal-Università ta 'Yale li twassal fil-logħba, għalkemm ir-regatta ta' Harvard-Yale tkun qabel il-logħba tal-futbol. Di"&amp;"n ir-rivalità, għalkemm, titwarrab kull sentejn meta t-timijiet ta 'Harvard u Yale Track and Field jingħaqdu biex jikkompetu kontra Tim ta' Università ta 'Oxford magħquda u Cambridge University, kompetizzjoni li hija l-eqdem kompetizzjoni tad-dilettanti i"&amp;"nternazzjonali kontinwa fid-dinja.")</f>
        <v>Il-Harvard Crimson jikkompeti fi 42 sport intercollegiate fid-Diviżjoni I tal-NCAA Ivy League. Harvard għandu rivalità atletika intensa mal-Università ta 'Yale li twassal fil-logħba, għalkemm ir-regatta ta' Harvard-Yale tkun qabel il-logħba tal-futbol. Din ir-rivalità, għalkemm, titwarrab kull sentejn meta t-timijiet ta 'Harvard u Yale Track and Field jingħaqdu biex jikkompetu kontra Tim ta' Università ta 'Oxford magħquda u Cambridge University, kompetizzjoni li hija l-eqdem kompetizzjoni tad-dilettanti internazzjonali kontinwa fid-dinja.</v>
      </c>
    </row>
    <row r="18415" ht="15.75" customHeight="1">
      <c r="A18415" s="2" t="s">
        <v>18415</v>
      </c>
      <c r="B18415" s="2" t="str">
        <f>IFERROR(__xludf.DUMMYFUNCTION("GOOGLETRANSLATE(A18415, ""en"", ""mt"")"),"~ 74,000 (bp = qabel il-preżent)")</f>
        <v>~ 74,000 (bp = qabel il-preżent)</v>
      </c>
    </row>
    <row r="18416" ht="15.75" customHeight="1">
      <c r="A18416" s="2" t="s">
        <v>18416</v>
      </c>
      <c r="B18416" s="2" t="str">
        <f>IFERROR(__xludf.DUMMYFUNCTION("GOOGLETRANSLATE(A18416, ""en"", ""mt"")"),"McCrary")</f>
        <v>McCrary</v>
      </c>
    </row>
    <row r="18417" ht="15.75" customHeight="1">
      <c r="A18417" s="2" t="s">
        <v>18417</v>
      </c>
      <c r="B18417" s="2" t="str">
        <f>IFERROR(__xludf.DUMMYFUNCTION("GOOGLETRANSLATE(A18417, ""en"", ""mt"")"),"Edukazzjoni Privata għall-Assistenza Finanzjarja tal-Istudenti")</f>
        <v>Edukazzjoni Privata għall-Assistenza Finanzjarja tal-Istudenti</v>
      </c>
    </row>
    <row r="18418" ht="15.75" customHeight="1">
      <c r="A18418" s="2" t="s">
        <v>18418</v>
      </c>
      <c r="B18418" s="2" t="str">
        <f>IFERROR(__xludf.DUMMYFUNCTION("GOOGLETRANSLATE(A18418, ""en"", ""mt"")"),"Il-wan kienet l-ewwel darba li ċ-Ċina kollha ġiet maħkuma minn min?")</f>
        <v>Il-wan kienet l-ewwel darba li ċ-Ċina kollha ġiet maħkuma minn min?</v>
      </c>
    </row>
    <row r="18419" ht="15.75" customHeight="1">
      <c r="A18419" s="2" t="s">
        <v>18419</v>
      </c>
      <c r="B18419" s="2" t="str">
        <f>IFERROR(__xludf.DUMMYFUNCTION("GOOGLETRANSLATE(A18419, ""en"", ""mt"")"),"Kemm dam biex titjieb fuq il-liġijiet tal-mozzjoni ta 'Sir Isaac Newton?")</f>
        <v>Kemm dam biex titjieb fuq il-liġijiet tal-mozzjoni ta 'Sir Isaac Newton?</v>
      </c>
    </row>
    <row r="18420" ht="15.75" customHeight="1">
      <c r="A18420" s="2" t="s">
        <v>18420</v>
      </c>
      <c r="B18420" s="2" t="str">
        <f>IFERROR(__xludf.DUMMYFUNCTION("GOOGLETRANSLATE(A18420, ""en"", ""mt"")"),"Liema tip kurrenti kienet Tesla favur?")</f>
        <v>Liema tip kurrenti kienet Tesla favur?</v>
      </c>
    </row>
    <row r="18421" ht="15.75" customHeight="1">
      <c r="A18421" s="2" t="s">
        <v>18421</v>
      </c>
      <c r="B18421" s="2" t="str">
        <f>IFERROR(__xludf.DUMMYFUNCTION("GOOGLETRANSLATE(A18421, ""en"", ""mt"")"),"impedimenti u diffikultajiet")</f>
        <v>impedimenti u diffikultajiet</v>
      </c>
    </row>
    <row r="18422" ht="15.75" customHeight="1">
      <c r="A18422" s="2" t="s">
        <v>18422</v>
      </c>
      <c r="B18422" s="2" t="str">
        <f>IFERROR(__xludf.DUMMYFUNCTION("GOOGLETRANSLATE(A18422, ""en"", ""mt"")"),"Kolonjaliżmu")</f>
        <v>Kolonjaliżmu</v>
      </c>
    </row>
    <row r="18423" ht="15.75" customHeight="1">
      <c r="A18423" s="2" t="s">
        <v>18423</v>
      </c>
      <c r="B18423" s="2" t="str">
        <f>IFERROR(__xludf.DUMMYFUNCTION("GOOGLETRANSLATE(A18423, ""en"", ""mt"")"),"""Imperjalizmu informali")</f>
        <v>"Imperjalizmu informali</v>
      </c>
    </row>
    <row r="18424" ht="15.75" customHeight="1">
      <c r="A18424" s="2" t="s">
        <v>18424</v>
      </c>
      <c r="B18424" s="2" t="str">
        <f>IFERROR(__xludf.DUMMYFUNCTION("GOOGLETRANSLATE(A18424, ""en"", ""mt"")"),"Mill-1934, il-Westinghouse Electric &amp; Manufacturing Company bdiet tħallas lil Tesla $ 125 fix-xahar kif ukoll tħallas il-kera tiegħu fil-lukanda New Yorker, spejjeż li l-kumpanija kienet tħallas għall-bqija tal-ħajja ta 'Tesla. Kontijiet dwar kif dan ħare"&amp;"ġ ivarja. Bosta sorsi jgħidu li Westinghouse kien inkwetat dwar pubbliċità ħażina potenzjali li jdawwar il-kundizzjonijiet fqar li kien qed jgħix l-inventur stilla tagħhom. Ġie deskritt bħala akkoppjat fil-forma ta '""miżata ta' konsultazzjoni"" biex tisk"&amp;"opri l-avversjoni ta 'Tesla biex taċċetta l-karità, jew minn bijografu wieħed (Marc Seifer), bħala tip ta' soluzzjoni mhux speċifikata.")</f>
        <v>Mill-1934, il-Westinghouse Electric &amp; Manufacturing Company bdiet tħallas lil Tesla $ 125 fix-xahar kif ukoll tħallas il-kera tiegħu fil-lukanda New Yorker, spejjeż li l-kumpanija kienet tħallas għall-bqija tal-ħajja ta 'Tesla. Kontijiet dwar kif dan ħareġ ivarja. Bosta sorsi jgħidu li Westinghouse kien inkwetat dwar pubbliċità ħażina potenzjali li jdawwar il-kundizzjonijiet fqar li kien qed jgħix l-inventur stilla tagħhom. Ġie deskritt bħala akkoppjat fil-forma ta '"miżata ta' konsultazzjoni" biex tiskopri l-avversjoni ta 'Tesla biex taċċetta l-karità, jew minn bijografu wieħed (Marc Seifer), bħala tip ta' soluzzjoni mhux speċifikata.</v>
      </c>
    </row>
    <row r="18425" ht="15.75" customHeight="1">
      <c r="A18425" s="2" t="s">
        <v>18425</v>
      </c>
      <c r="B18425" s="2" t="str">
        <f>IFERROR(__xludf.DUMMYFUNCTION("GOOGLETRANSLATE(A18425, ""en"", ""mt"")"),"Kumpanija postali")</f>
        <v>Kumpanija postali</v>
      </c>
    </row>
    <row r="18426" ht="15.75" customHeight="1">
      <c r="A18426" s="2" t="s">
        <v>18426</v>
      </c>
      <c r="B18426" s="2" t="str">
        <f>IFERROR(__xludf.DUMMYFUNCTION("GOOGLETRANSLATE(A18426, ""en"", ""mt"")"),"Sorsi kkonċentrati ħafna ta 'ossiġnu jippromwovu kombustjoni rapida. Perikli tan-nar u ta 'splużjoni jeżistu meta ossidanti u karburanti kkonċentrati jinġiebu viċin; Avveniment ta 'tqabbid, bħal sħana jew xrar, huwa meħtieġ biex jiskatta l-kombustjoni. L-"&amp;"ossiġnu huwa l-ossidant, mhux il-fjuwil, iżda madankollu s-sors ta 'ħafna mill-enerġija kimika rilaxxata fil-kombustjoni. Il-perikli tal-kombustjoni japplikaw ukoll għal komposti ta 'ossiġenu b'potenzjal ossidattiv għoli, bħal perossidi, klorati, nitrati,"&amp;" perklorati, u dikromi minħabba li jistgħu jagħtu ossiġnu għal nar.")</f>
        <v>Sorsi kkonċentrati ħafna ta 'ossiġnu jippromwovu kombustjoni rapida. Perikli tan-nar u ta 'splużjoni jeżistu meta ossidanti u karburanti kkonċentrati jinġiebu viċin; Avveniment ta 'tqabbid, bħal sħana jew xrar, huwa meħtieġ biex jiskatta l-kombustjoni. L-ossiġnu huwa l-ossidant, mhux il-fjuwil, iżda madankollu s-sors ta 'ħafna mill-enerġija kimika rilaxxata fil-kombustjoni. Il-perikli tal-kombustjoni japplikaw ukoll għal komposti ta 'ossiġenu b'potenzjal ossidattiv għoli, bħal perossidi, klorati, nitrati, perklorati, u dikromi minħabba li jistgħu jagħtu ossiġnu għal nar.</v>
      </c>
    </row>
    <row r="18427" ht="15.75" customHeight="1">
      <c r="A18427" s="2" t="s">
        <v>18427</v>
      </c>
      <c r="B18427" s="2" t="str">
        <f>IFERROR(__xludf.DUMMYFUNCTION("GOOGLETRANSLATE(A18427, ""en"", ""mt"")"),"L-infrastruttura ta 'spiss tissejjaħ xiex?")</f>
        <v>L-infrastruttura ta 'spiss tissejjaħ xiex?</v>
      </c>
    </row>
    <row r="18428" ht="15.75" customHeight="1">
      <c r="A18428" s="2" t="s">
        <v>18428</v>
      </c>
      <c r="B18428" s="2" t="str">
        <f>IFERROR(__xludf.DUMMYFUNCTION("GOOGLETRANSLATE(A18428, ""en"", ""mt"")"),"Tekniċi anzjani oħra tal-ispiżerija")</f>
        <v>Tekniċi anzjani oħra tal-ispiżerija</v>
      </c>
    </row>
    <row r="18429" ht="15.75" customHeight="1">
      <c r="A18429" s="2" t="s">
        <v>18429</v>
      </c>
      <c r="B18429" s="2" t="str">
        <f>IFERROR(__xludf.DUMMYFUNCTION("GOOGLETRANSLATE(A18429, ""en"", ""mt"")"),"inputs")</f>
        <v>inputs</v>
      </c>
    </row>
    <row r="18430" ht="15.75" customHeight="1">
      <c r="A18430" s="2" t="s">
        <v>18430</v>
      </c>
      <c r="B18430" s="2" t="str">
        <f>IFERROR(__xludf.DUMMYFUNCTION("GOOGLETRANSLATE(A18430, ""en"", ""mt"")"),"Min hu l-awtur tal-ktieb, ""Għarfien u Deċiżjonijiet""?")</f>
        <v>Min hu l-awtur tal-ktieb, "Għarfien u Deċiżjonijiet"?</v>
      </c>
    </row>
    <row r="18431" ht="15.75" customHeight="1">
      <c r="A18431" s="2" t="s">
        <v>18431</v>
      </c>
      <c r="B18431" s="2" t="str">
        <f>IFERROR(__xludf.DUMMYFUNCTION("GOOGLETRANSLATE(A18431, ""en"", ""mt"")"),"Bejn il-Franċiżi u l-Ingliżi, liema gruppi kkontrollaw art?")</f>
        <v>Bejn il-Franċiżi u l-Ingliżi, liema gruppi kkontrollaw art?</v>
      </c>
    </row>
    <row r="18432" ht="15.75" customHeight="1">
      <c r="A18432" s="2" t="s">
        <v>18432</v>
      </c>
      <c r="B18432" s="2" t="str">
        <f>IFERROR(__xludf.DUMMYFUNCTION("GOOGLETRANSLATE(A18432, ""en"", ""mt"")"),"Asja tal-Lvant")</f>
        <v>Asja tal-Lvant</v>
      </c>
    </row>
    <row r="18433" ht="15.75" customHeight="1">
      <c r="A18433" s="2" t="s">
        <v>18433</v>
      </c>
      <c r="B18433" s="2" t="str">
        <f>IFERROR(__xludf.DUMMYFUNCTION("GOOGLETRANSLATE(A18433, ""en"", ""mt"")"),"Dawk li jirrifjutaw il-verifika")</f>
        <v>Dawk li jirrifjutaw il-verifika</v>
      </c>
    </row>
    <row r="18434" ht="15.75" customHeight="1">
      <c r="A18434" s="2" t="s">
        <v>18434</v>
      </c>
      <c r="B18434" s="2" t="str">
        <f>IFERROR(__xludf.DUMMYFUNCTION("GOOGLETRANSLATE(A18434, ""en"", ""mt"")"),"Ir-Renu ma kienx magħruf għal Herodotus u l-ewwel jidħol fil-perjodu storiku fis-seklu 1 QK fil-ġeografija tal-era Rumana. Dak iż-żmien, hija ffurmat il-konfini bejn Gaul u Germania. Ir-Renu ta ’Fuq kien ilu parti mill-Areal tal-kultura tal-Hallstatt tard"&amp;" mill-6 seklu QK, u sas-seklu 1 QK, l-areal tal-kultura La Tène kopriet kważi t-tul kollu tagħha, li jifforma żona ta’ kuntatt mal-kultura Jastorf, i.e. Il-lokus ta 'kuntatt kulturali Ċeltiku-Ġermaniku bikri. Fil-ġeografija Rumana, ir-Renu ffurma l-konfin"&amp;"i bejn Gallia u Germania bid-definizzjoni; e.g. Maurus Servius Honoratus, Kummentarju dwar l-Aeneid ta 'Vergil (8.727) (Rhenus) Fluvius Galliae, Qui Germanos A Gallia Dividit ""(Ir-Renu huwa A) Xmara ta' Gaul, li taqsam in-nies Ġermaniċi minn Gaul.""")</f>
        <v>Ir-Renu ma kienx magħruf għal Herodotus u l-ewwel jidħol fil-perjodu storiku fis-seklu 1 QK fil-ġeografija tal-era Rumana. Dak iż-żmien, hija ffurmat il-konfini bejn Gaul u Germania. Ir-Renu ta ’Fuq kien ilu parti mill-Areal tal-kultura tal-Hallstatt tard mill-6 seklu QK, u sas-seklu 1 QK, l-areal tal-kultura La Tène kopriet kważi t-tul kollu tagħha, li jifforma żona ta’ kuntatt mal-kultura Jastorf, i.e. Il-lokus ta 'kuntatt kulturali Ċeltiku-Ġermaniku bikri. Fil-ġeografija Rumana, ir-Renu ffurma l-konfini bejn Gallia u Germania bid-definizzjoni; e.g. Maurus Servius Honoratus, Kummentarju dwar l-Aeneid ta 'Vergil (8.727) (Rhenus) Fluvius Galliae, Qui Germanos A Gallia Dividit "(Ir-Renu huwa A) Xmara ta' Gaul, li taqsam in-nies Ġermaniċi minn Gaul."</v>
      </c>
    </row>
    <row r="18435" ht="15.75" customHeight="1">
      <c r="A18435" s="2" t="s">
        <v>18435</v>
      </c>
      <c r="B18435" s="2" t="str">
        <f>IFERROR(__xludf.DUMMYFUNCTION("GOOGLETRANSLATE(A18435, ""en"", ""mt"")"),"Liechtenstein")</f>
        <v>Liechtenstein</v>
      </c>
    </row>
    <row r="18436" ht="15.75" customHeight="1">
      <c r="A18436" s="2" t="s">
        <v>18436</v>
      </c>
      <c r="B18436" s="2" t="str">
        <f>IFERROR(__xludf.DUMMYFUNCTION("GOOGLETRANSLATE(A18436, ""en"", ""mt"")"),"oxyacetylene")</f>
        <v>oxyacetylene</v>
      </c>
    </row>
    <row r="18437" ht="15.75" customHeight="1">
      <c r="A18437" s="2" t="s">
        <v>18437</v>
      </c>
      <c r="B18437" s="2" t="str">
        <f>IFERROR(__xludf.DUMMYFUNCTION("GOOGLETRANSLATE(A18437, ""en"", ""mt"")"),"Liema punt wieħed ma kienx miftiehem dwar dak kien għażiż għal Luther?")</f>
        <v>Liema punt wieħed ma kienx miftiehem dwar dak kien għażiż għal Luther?</v>
      </c>
    </row>
    <row r="18438" ht="15.75" customHeight="1">
      <c r="A18438" s="2" t="s">
        <v>18438</v>
      </c>
      <c r="B18438" s="2" t="str">
        <f>IFERROR(__xludf.DUMMYFUNCTION("GOOGLETRANSLATE(A18438, ""en"", ""mt"")"),"darbtejn l-ispinta meħtieġa")</f>
        <v>darbtejn l-ispinta meħtieġa</v>
      </c>
    </row>
    <row r="18439" ht="15.75" customHeight="1">
      <c r="A18439" s="2" t="s">
        <v>18439</v>
      </c>
      <c r="B18439" s="2" t="str">
        <f>IFERROR(__xludf.DUMMYFUNCTION("GOOGLETRANSLATE(A18439, ""en"", ""mt"")"),"X'hemm bżonn li jsir biex tiżgura li membri ifqar tas-soċjetà jistgħu jipparteċipaw fit-tkabbir ekonomiku?")</f>
        <v>X'hemm bżonn li jsir biex tiżgura li membri ifqar tas-soċjetà jistgħu jipparteċipaw fit-tkabbir ekonomiku?</v>
      </c>
    </row>
    <row r="18440" ht="15.75" customHeight="1">
      <c r="A18440" s="2" t="s">
        <v>18440</v>
      </c>
      <c r="B18440" s="2" t="str">
        <f>IFERROR(__xludf.DUMMYFUNCTION("GOOGLETRANSLATE(A18440, ""en"", ""mt"")"),"Liema trattament mediku jintuża biex jibbenefika pazjenti b'disturbi tal-fuklar u tal-pulmun?")</f>
        <v>Liema trattament mediku jintuża biex jibbenefika pazjenti b'disturbi tal-fuklar u tal-pulmun?</v>
      </c>
    </row>
    <row r="18441" ht="15.75" customHeight="1">
      <c r="A18441" s="2" t="s">
        <v>18441</v>
      </c>
      <c r="B18441" s="2" t="str">
        <f>IFERROR(__xludf.DUMMYFUNCTION("GOOGLETRANSLATE(A18441, ""en"", ""mt"")"),"Meta ġiet iffirmata l-konfessjoni ta 'Augsburg?")</f>
        <v>Meta ġiet iffirmata l-konfessjoni ta 'Augsburg?</v>
      </c>
    </row>
    <row r="18442" ht="15.75" customHeight="1">
      <c r="A18442" s="2" t="s">
        <v>18442</v>
      </c>
      <c r="B18442" s="2" t="str">
        <f>IFERROR(__xludf.DUMMYFUNCTION("GOOGLETRANSLATE(A18442, ""en"", ""mt"")"),"F'liema belt kibret Bill Aiken?")</f>
        <v>F'liema belt kibret Bill Aiken?</v>
      </c>
    </row>
    <row r="18443" ht="15.75" customHeight="1">
      <c r="A18443" s="2" t="s">
        <v>18443</v>
      </c>
      <c r="B18443" s="2" t="str">
        <f>IFERROR(__xludf.DUMMYFUNCTION("GOOGLETRANSLATE(A18443, ""en"", ""mt"")"),"bħala li għandhom x'jaqsmu mar-relazzjoni taċ-ċittadin mal-istat u l-liġijiet tiegħu")</f>
        <v>bħala li għandhom x'jaqsmu mar-relazzjoni taċ-ċittadin mal-istat u l-liġijiet tiegħu</v>
      </c>
    </row>
    <row r="18444" ht="15.75" customHeight="1">
      <c r="A18444" s="2" t="s">
        <v>18444</v>
      </c>
      <c r="B18444" s="2" t="str">
        <f>IFERROR(__xludf.DUMMYFUNCTION("GOOGLETRANSLATE(A18444, ""en"", ""mt"")"),"Fil-bini tal-isptar")</f>
        <v>Fil-bini tal-isptar</v>
      </c>
    </row>
    <row r="18445" ht="15.75" customHeight="1">
      <c r="A18445" s="2" t="s">
        <v>18445</v>
      </c>
      <c r="B18445" s="2" t="str">
        <f>IFERROR(__xludf.DUMMYFUNCTION("GOOGLETRANSLATE(A18445, ""en"", ""mt"")"),"Opentv")</f>
        <v>Opentv</v>
      </c>
    </row>
    <row r="18446" ht="15.75" customHeight="1">
      <c r="A18446" s="2" t="s">
        <v>18446</v>
      </c>
      <c r="B18446" s="2" t="str">
        <f>IFERROR(__xludf.DUMMYFUNCTION("GOOGLETRANSLATE(A18446, ""en"", ""mt"")"),"L-Artikoli ta 'Smalcald")</f>
        <v>L-Artikoli ta 'Smalcald</v>
      </c>
    </row>
    <row r="18447" ht="15.75" customHeight="1">
      <c r="A18447" s="2" t="s">
        <v>18447</v>
      </c>
      <c r="B18447" s="2" t="str">
        <f>IFERROR(__xludf.DUMMYFUNCTION("GOOGLETRANSLATE(A18447, ""en"", ""mt"")"),"Gvern")</f>
        <v>Gvern</v>
      </c>
    </row>
    <row r="18448" ht="15.75" customHeight="1">
      <c r="A18448" s="2" t="s">
        <v>18448</v>
      </c>
      <c r="B18448" s="2" t="str">
        <f>IFERROR(__xludf.DUMMYFUNCTION("GOOGLETRANSLATE(A18448, ""en"", ""mt"")"),"Materjal dwar il-prestazzjoni diretta fir-Renju Unit minn Jum Shakespeare")</f>
        <v>Materjal dwar il-prestazzjoni diretta fir-Renju Unit minn Jum Shakespeare</v>
      </c>
    </row>
    <row r="18449" ht="15.75" customHeight="1">
      <c r="A18449" s="2" t="s">
        <v>18449</v>
      </c>
      <c r="B18449" s="2" t="str">
        <f>IFERROR(__xludf.DUMMYFUNCTION("GOOGLETRANSLATE(A18449, ""en"", ""mt"")"),"Warda")</f>
        <v>Warda</v>
      </c>
    </row>
    <row r="18450" ht="15.75" customHeight="1">
      <c r="A18450" s="2" t="s">
        <v>18450</v>
      </c>
      <c r="B18450" s="2" t="str">
        <f>IFERROR(__xludf.DUMMYFUNCTION("GOOGLETRANSLATE(A18450, ""en"", ""mt"")"),"Il-Kunsill tal-Missjoni")</f>
        <v>Il-Kunsill tal-Missjoni</v>
      </c>
    </row>
    <row r="18451" ht="15.75" customHeight="1">
      <c r="A18451" s="2" t="s">
        <v>18451</v>
      </c>
      <c r="B18451" s="2" t="str">
        <f>IFERROR(__xludf.DUMMYFUNCTION("GOOGLETRANSLATE(A18451, ""en"", ""mt"")"),"Kemm btieħi li jgħaddu Cam Newton kisbu għall-4 minn 4 passes tiegħu?")</f>
        <v>Kemm btieħi li jgħaddu Cam Newton kisbu għall-4 minn 4 passes tiegħu?</v>
      </c>
    </row>
    <row r="18452" ht="15.75" customHeight="1">
      <c r="A18452" s="2" t="s">
        <v>18452</v>
      </c>
      <c r="B18452" s="2" t="str">
        <f>IFERROR(__xludf.DUMMYFUNCTION("GOOGLETRANSLATE(A18452, ""en"", ""mt"")"),"X'qed tagħmel il-Kenja biex tiddetermina jekk hemmx aktar riżervi?")</f>
        <v>X'qed tagħmel il-Kenja biex tiddetermina jekk hemmx aktar riżervi?</v>
      </c>
    </row>
    <row r="18453" ht="15.75" customHeight="1">
      <c r="A18453" s="2" t="s">
        <v>18453</v>
      </c>
      <c r="B18453" s="2" t="str">
        <f>IFERROR(__xludf.DUMMYFUNCTION("GOOGLETRANSLATE(A18453, ""en"", ""mt"")"),"F’xi pajjiżi fuq kemm passi tista ’tieħu biex tibni fuq art tal-gvern?")</f>
        <v>F’xi pajjiżi fuq kemm passi tista ’tieħu biex tibni fuq art tal-gvern?</v>
      </c>
    </row>
    <row r="18454" ht="15.75" customHeight="1">
      <c r="A18454" s="2" t="s">
        <v>18454</v>
      </c>
      <c r="B18454" s="2" t="str">
        <f>IFERROR(__xludf.DUMMYFUNCTION("GOOGLETRANSLATE(A18454, ""en"", ""mt"")"),"Meta l-Ajru tal-Moskea Undercover Channel 4 Channel 4?")</f>
        <v>Meta l-Ajru tal-Moskea Undercover Channel 4 Channel 4?</v>
      </c>
    </row>
    <row r="18455" ht="15.75" customHeight="1">
      <c r="A18455" s="2" t="s">
        <v>18455</v>
      </c>
      <c r="B18455" s="2" t="str">
        <f>IFERROR(__xludf.DUMMYFUNCTION("GOOGLETRANSLATE(A18455, ""en"", ""mt"")"),"farinġi kbir")</f>
        <v>farinġi kbir</v>
      </c>
    </row>
    <row r="18456" ht="15.75" customHeight="1">
      <c r="A18456" s="2" t="s">
        <v>18456</v>
      </c>
      <c r="B18456" s="2" t="str">
        <f>IFERROR(__xludf.DUMMYFUNCTION("GOOGLETRANSLATE(A18456, ""en"", ""mt"")"),"Kemm viżitaturi l-Gran Brittanja tista 'tagħmilha wirja?")</f>
        <v>Kemm viżitaturi l-Gran Brittanja tista 'tagħmilha wirja?</v>
      </c>
    </row>
    <row r="18457" ht="15.75" customHeight="1">
      <c r="A18457" s="2" t="s">
        <v>18457</v>
      </c>
      <c r="B18457" s="2" t="str">
        <f>IFERROR(__xludf.DUMMYFUNCTION("GOOGLETRANSLATE(A18457, ""en"", ""mt"")"),"Liema industrija stabbilixxa n-nobbli b'din is-saldu?")</f>
        <v>Liema industrija stabbilixxa n-nobbli b'din is-saldu?</v>
      </c>
    </row>
    <row r="18458" ht="15.75" customHeight="1">
      <c r="A18458" s="2" t="s">
        <v>18458</v>
      </c>
      <c r="B18458" s="2" t="str">
        <f>IFERROR(__xludf.DUMMYFUNCTION("GOOGLETRANSLATE(A18458, ""en"", ""mt"")"),"kilometri")</f>
        <v>kilometri</v>
      </c>
    </row>
    <row r="18459" ht="15.75" customHeight="1">
      <c r="A18459" s="2" t="s">
        <v>18459</v>
      </c>
      <c r="B18459" s="2" t="str">
        <f>IFERROR(__xludf.DUMMYFUNCTION("GOOGLETRANSLATE(A18459, ""en"", ""mt"")"),"1.5 Gigatons")</f>
        <v>1.5 Gigatons</v>
      </c>
    </row>
    <row r="18460" ht="15.75" customHeight="1">
      <c r="A18460" s="2" t="s">
        <v>18460</v>
      </c>
      <c r="B18460" s="2" t="str">
        <f>IFERROR(__xludf.DUMMYFUNCTION("GOOGLETRANSLATE(A18460, ""en"", ""mt"")"),"X'effett kellu l-karriera ta 'Genghis Khan fuq il-komunikazzjoni u l-kummerċ madwar l-Asja?")</f>
        <v>X'effett kellu l-karriera ta 'Genghis Khan fuq il-komunikazzjoni u l-kummerċ madwar l-Asja?</v>
      </c>
    </row>
    <row r="18461" ht="15.75" customHeight="1">
      <c r="A18461" s="2" t="s">
        <v>18461</v>
      </c>
      <c r="B18461" s="2" t="str">
        <f>IFERROR(__xludf.DUMMYFUNCTION("GOOGLETRANSLATE(A18461, ""en"", ""mt"")"),"Kif qed jaqleb il-pakketti charecterized")</f>
        <v>Kif qed jaqleb il-pakketti charecterized</v>
      </c>
    </row>
    <row r="18462" ht="15.75" customHeight="1">
      <c r="A18462" s="2" t="s">
        <v>18462</v>
      </c>
      <c r="B18462" s="2" t="str">
        <f>IFERROR(__xludf.DUMMYFUNCTION("GOOGLETRANSLATE(A18462, ""en"", ""mt"")"),"Bażi tal-metodoloġija użata")</f>
        <v>Bażi tal-metodoloġija użata</v>
      </c>
    </row>
    <row r="18463" ht="15.75" customHeight="1">
      <c r="A18463" s="2" t="s">
        <v>18463</v>
      </c>
      <c r="B18463" s="2" t="str">
        <f>IFERROR(__xludf.DUMMYFUNCTION("GOOGLETRANSLATE(A18463, ""en"", ""mt"")"),"""Super Bowl City""")</f>
        <v>"Super Bowl City"</v>
      </c>
    </row>
    <row r="18464" ht="15.75" customHeight="1">
      <c r="A18464" s="2" t="s">
        <v>18464</v>
      </c>
      <c r="B18464" s="2" t="str">
        <f>IFERROR(__xludf.DUMMYFUNCTION("GOOGLETRANSLATE(A18464, ""en"", ""mt"")"),"Liema alumni ta 'Harvard kien il-Prim Ministru tal-Palestina?")</f>
        <v>Liema alumni ta 'Harvard kien il-Prim Ministru tal-Palestina?</v>
      </c>
    </row>
    <row r="18465" ht="15.75" customHeight="1">
      <c r="A18465" s="2" t="s">
        <v>18465</v>
      </c>
      <c r="B18465" s="2" t="str">
        <f>IFERROR(__xludf.DUMMYFUNCTION("GOOGLETRANSLATE(A18465, ""en"", ""mt"")"),"Eżempji eċċezzjonali ta 'l-arkitettura burgheż tal-perjodi aktar tard ma ġewx restawrati mill-awtoritajiet komunisti wara l-gwerra (bħalma semmew il-Palazz Kronenberg u l-Kumpanija tal-Assikurazzjoni Rosja Building) jew inbnew mill-ġdid fl-istil ta' reali"&amp;"żmu soċjalista (bħal edifiċju ta 'Filarmonija ta' Varsavja oriġinarjament ispirati minn Palais Garnier fi Pariġi). Minkejja li l-Bini tal-Università tat-Teknoloġija ta 'Varsavja (1899-1902) huwa l-iktar interessanti ta' l-arkitettura tard tas-seklu 19. Xi"&amp;" bini tas-seklu 19 fid-distrett ta 'Praga (il-bank tal-lemin ta' Vistula) ġew restawrati għalkemm ħafna nżammu ħażin. L-awtoritajiet tal-gvern muniċipali ta 'Varsavja ddeċidew li jibnu mill-ġdid il-Palazz Sassonu u l-Palazz Brühl, l-iktar bini distintiv f"&amp;"i Prewar Varsavja.")</f>
        <v>Eżempji eċċezzjonali ta 'l-arkitettura burgheż tal-perjodi aktar tard ma ġewx restawrati mill-awtoritajiet komunisti wara l-gwerra (bħalma semmew il-Palazz Kronenberg u l-Kumpanija tal-Assikurazzjoni Rosja Building) jew inbnew mill-ġdid fl-istil ta' realiżmu soċjalista (bħal edifiċju ta 'Filarmonija ta' Varsavja oriġinarjament ispirati minn Palais Garnier fi Pariġi). Minkejja li l-Bini tal-Università tat-Teknoloġija ta 'Varsavja (1899-1902) huwa l-iktar interessanti ta' l-arkitettura tard tas-seklu 19. Xi bini tas-seklu 19 fid-distrett ta 'Praga (il-bank tal-lemin ta' Vistula) ġew restawrati għalkemm ħafna nżammu ħażin. L-awtoritajiet tal-gvern muniċipali ta 'Varsavja ddeċidew li jibnu mill-ġdid il-Palazz Sassonu u l-Palazz Brühl, l-iktar bini distintiv fi Prewar Varsavja.</v>
      </c>
    </row>
    <row r="18466" ht="15.75" customHeight="1">
      <c r="A18466" s="2" t="s">
        <v>18466</v>
      </c>
      <c r="B18466" s="2" t="str">
        <f>IFERROR(__xludf.DUMMYFUNCTION("GOOGLETRANSLATE(A18466, ""en"", ""mt"")"),"Jacques Legardere de Saint-Pierre, li rnexxielu lil Marin bħala kmandant tal-forzi Franċiżi wara li dan tal-aħħar miet fid-29 ta 'Ottubru, stieden lil Washington biex tiekol miegħu. Matul il-pranzu, Washington ippreżenta lil Saint-Pierre bl-ittra minn Din"&amp;"widdie fejn talbet irtirar Franċiż immedjat mill-pajjiż ta 'Ohio. Saint-Pierre qal, ""Fir-rigward tat-taħrika li tibgħatli biex nirtira, ma naħsibx lili nnifsi obbligat li nobdiha."" Huwa qal lil Washington li t-talba ta 'Franza fir-reġjun kienet superjur"&amp;"i għal dik tal-Ingliżi, minn meta René-Robert Cavelier, Sieur de la Salle kien esplora l-pajjiż ta' Ohio kważi seklu qabel.")</f>
        <v>Jacques Legardere de Saint-Pierre, li rnexxielu lil Marin bħala kmandant tal-forzi Franċiżi wara li dan tal-aħħar miet fid-29 ta 'Ottubru, stieden lil Washington biex tiekol miegħu. Matul il-pranzu, Washington ippreżenta lil Saint-Pierre bl-ittra minn Dinwiddie fejn talbet irtirar Franċiż immedjat mill-pajjiż ta 'Ohio. Saint-Pierre qal, "Fir-rigward tat-taħrika li tibgħatli biex nirtira, ma naħsibx lili nnifsi obbligat li nobdiha." Huwa qal lil Washington li t-talba ta 'Franza fir-reġjun kienet superjuri għal dik tal-Ingliżi, minn meta René-Robert Cavelier, Sieur de la Salle kien esplora l-pajjiż ta' Ohio kważi seklu qabel.</v>
      </c>
    </row>
    <row r="18467" ht="15.75" customHeight="1">
      <c r="A18467" s="2" t="s">
        <v>18467</v>
      </c>
      <c r="B18467" s="2" t="str">
        <f>IFERROR(__xludf.DUMMYFUNCTION("GOOGLETRANSLATE(A18467, ""en"", ""mt"")"),"Rote")</f>
        <v>Rote</v>
      </c>
    </row>
    <row r="18468" ht="15.75" customHeight="1">
      <c r="A18468" s="2" t="s">
        <v>18468</v>
      </c>
      <c r="B18468" s="2" t="str">
        <f>IFERROR(__xludf.DUMMYFUNCTION("GOOGLETRANSLATE(A18468, ""en"", ""mt"")"),"priġunerija")</f>
        <v>priġunerija</v>
      </c>
    </row>
    <row r="18469" ht="15.75" customHeight="1">
      <c r="A18469" s="2" t="s">
        <v>18469</v>
      </c>
      <c r="B18469" s="2" t="str">
        <f>IFERROR(__xludf.DUMMYFUNCTION("GOOGLETRANSLATE(A18469, ""en"", ""mt"")"),"Kemm sofrew it-telf kbir fil-kriżi finanzjarja tal-2008-09 għal Harvard Endowment?")</f>
        <v>Kemm sofrew it-telf kbir fil-kriżi finanzjarja tal-2008-09 għal Harvard Endowment?</v>
      </c>
    </row>
    <row r="18470" ht="15.75" customHeight="1">
      <c r="A18470" s="2" t="s">
        <v>18470</v>
      </c>
      <c r="B18470" s="2" t="str">
        <f>IFERROR(__xludf.DUMMYFUNCTION("GOOGLETRANSLATE(A18470, ""en"", ""mt"")"),"X'inhu l-użu tal-liġi mill-Ispirtu s-Santu?")</f>
        <v>X'inhu l-użu tal-liġi mill-Ispirtu s-Santu?</v>
      </c>
    </row>
    <row r="18471" ht="15.75" customHeight="1">
      <c r="A18471" s="2" t="s">
        <v>18471</v>
      </c>
      <c r="B18471" s="2" t="str">
        <f>IFERROR(__xludf.DUMMYFUNCTION("GOOGLETRANSLATE(A18471, ""en"", ""mt"")"),"Fil-kwart tal-ħarifa tal-2014, l-Università ta ’Chicago rreġistrat 5,792 student fil-kulleġġ, 3,468 student fl-erba’ diviżjonijiet gradwati tagħha, 5,984 student fl-iskejjel professjonali tagħha, u 15,244 student ġenerali. Fit-tliet xhur tar-rebbiegħa tal"&amp;"-2012, studenti internazzjonali kienu jinkludu kważi 19% tal-korp ta 'studju ġenerali, aktar minn 26% tal-istudenti kienu minoranzi etniċi domestiċi, u madwar 44% tal-istudenti rreġistrati kienu nisa. L-ammissjonijiet fl-Università ta 'Chicago huma selett"&amp;"ivi ħafna. Il-faxxa tan-nofs ta '50% tal-punteġġi SAT għall-klassi undergraduate tal-2015, eskluża t-taqsima tal-kitba, kienet 1420-1530, il-punteġġ medju tal-MCAT għad-dħul tal-istudenti fl-Iskola tal-Mediċina Pritzker fl-2011 kien ta '36, u l-punteġġ me"&amp;"djan tal-LSAT għad-dħul Studenti fl-iskola tal-liġi fl-2011 kienu 171. Fl-2015, il-Kulleġġ tal-Università ta ’Chicago kellu rata ta’ aċċettazzjoni ta ’7.8% għall-Klassi tal-2019, l-inqas fl-istorja tal-kulleġġ.")</f>
        <v>Fil-kwart tal-ħarifa tal-2014, l-Università ta ’Chicago rreġistrat 5,792 student fil-kulleġġ, 3,468 student fl-erba’ diviżjonijiet gradwati tagħha, 5,984 student fl-iskejjel professjonali tagħha, u 15,244 student ġenerali. Fit-tliet xhur tar-rebbiegħa tal-2012, studenti internazzjonali kienu jinkludu kważi 19% tal-korp ta 'studju ġenerali, aktar minn 26% tal-istudenti kienu minoranzi etniċi domestiċi, u madwar 44% tal-istudenti rreġistrati kienu nisa. L-ammissjonijiet fl-Università ta 'Chicago huma selettivi ħafna. Il-faxxa tan-nofs ta '50% tal-punteġġi SAT għall-klassi undergraduate tal-2015, eskluża t-taqsima tal-kitba, kienet 1420-1530, il-punteġġ medju tal-MCAT għad-dħul tal-istudenti fl-Iskola tal-Mediċina Pritzker fl-2011 kien ta '36, u l-punteġġ medjan tal-LSAT għad-dħul Studenti fl-iskola tal-liġi fl-2011 kienu 171. Fl-2015, il-Kulleġġ tal-Università ta ’Chicago kellu rata ta’ aċċettazzjoni ta ’7.8% għall-Klassi tal-2019, l-inqas fl-istorja tal-kulleġġ.</v>
      </c>
    </row>
    <row r="18472" ht="15.75" customHeight="1">
      <c r="A18472" s="2" t="s">
        <v>18472</v>
      </c>
      <c r="B18472" s="2" t="str">
        <f>IFERROR(__xludf.DUMMYFUNCTION("GOOGLETRANSLATE(A18472, ""en"", ""mt"")"),"Tkabbir ekonomiku solidu")</f>
        <v>Tkabbir ekonomiku solidu</v>
      </c>
    </row>
    <row r="18473" ht="15.75" customHeight="1">
      <c r="A18473" s="2" t="s">
        <v>18473</v>
      </c>
      <c r="B18473" s="2" t="str">
        <f>IFERROR(__xludf.DUMMYFUNCTION("GOOGLETRANSLATE(A18473, ""en"", ""mt"")"),"Fl-Induiżmu l-għalliem spiritwali huwa magħruf bħala guru, u, f'ħafna tradizzjonijiet tal-Induiżmu - speċjalment dawk komuni fil-Punent - l-enfasi fuq il-mentoring spiritwali hija estremament għolja, bil-gurus ħafna drabi jeżerċitaw ħafna kontroll fuq il-"&amp;"ħajja tad-dixxipli tagħhom Jonqos")</f>
        <v>Fl-Induiżmu l-għalliem spiritwali huwa magħruf bħala guru, u, f'ħafna tradizzjonijiet tal-Induiżmu - speċjalment dawk komuni fil-Punent - l-enfasi fuq il-mentoring spiritwali hija estremament għolja, bil-gurus ħafna drabi jeżerċitaw ħafna kontroll fuq il-ħajja tad-dixxipli tagħhom Jonqos</v>
      </c>
    </row>
    <row r="18474" ht="15.75" customHeight="1">
      <c r="A18474" s="2" t="s">
        <v>18474</v>
      </c>
      <c r="B18474" s="2" t="str">
        <f>IFERROR(__xludf.DUMMYFUNCTION("GOOGLETRANSLATE(A18474, ""en"", ""mt"")"),"Forsi l-iktar differenza sinifikanti bejn l-iskola primarja u t-tagħlim tal-iskola sekondarja hija r-relazzjoni bejn l-għalliema u t-tfal. Fl-iskejjel primarji kull klassi għandha għalliem li jibqa ’magħhom għall-biċċa l-kbira tal-ġimgħa u jgħallimhom il-"&amp;"kurrikulu kollu. Fl-iskejjel sekondarji huma jiġu mgħallma minn speċjalisti tas-suġġetti differenti kull sessjoni matul il-ġimgħa u jista 'jkollhom għaxar jew aktar għalliema differenti. Ir-relazzjoni bejn it-tfal u l-għalliema tagħhom għandha tendenza li"&amp;" tkun eqreb fl-iskola primarja fejn jaġixxu bħala forma ta 'tutur, għalliem speċjalizzat u ġenitur sostitut matul il-ġurnata.")</f>
        <v>Forsi l-iktar differenza sinifikanti bejn l-iskola primarja u t-tagħlim tal-iskola sekondarja hija r-relazzjoni bejn l-għalliema u t-tfal. Fl-iskejjel primarji kull klassi għandha għalliem li jibqa ’magħhom għall-biċċa l-kbira tal-ġimgħa u jgħallimhom il-kurrikulu kollu. Fl-iskejjel sekondarji huma jiġu mgħallma minn speċjalisti tas-suġġetti differenti kull sessjoni matul il-ġimgħa u jista 'jkollhom għaxar jew aktar għalliema differenti. Ir-relazzjoni bejn it-tfal u l-għalliema tagħhom għandha tendenza li tkun eqreb fl-iskola primarja fejn jaġixxu bħala forma ta 'tutur, għalliem speċjalizzat u ġenitur sostitut matul il-ġurnata.</v>
      </c>
    </row>
    <row r="18475" ht="15.75" customHeight="1">
      <c r="A18475" s="2" t="s">
        <v>18475</v>
      </c>
      <c r="B18475" s="2" t="str">
        <f>IFERROR(__xludf.DUMMYFUNCTION("GOOGLETRANSLATE(A18475, ""en"", ""mt"")"),"Kemm ġew murija episodji ta 'Doctor Who, b'kollox?")</f>
        <v>Kemm ġew murija episodji ta 'Doctor Who, b'kollox?</v>
      </c>
    </row>
    <row r="18476" ht="15.75" customHeight="1">
      <c r="A18476" s="2" t="s">
        <v>18476</v>
      </c>
      <c r="B18476" s="2" t="str">
        <f>IFERROR(__xludf.DUMMYFUNCTION("GOOGLETRANSLATE(A18476, ""en"", ""mt"")"),"Minbarra l-argumenti ma 'Ruma u r-riformaturi sħabu stess, liema skandlu kkontribwixxa għas-saħħa li qed tfalli ta' Luther?")</f>
        <v>Minbarra l-argumenti ma 'Ruma u r-riformaturi sħabu stess, liema skandlu kkontribwixxa għas-saħħa li qed tfalli ta' Luther?</v>
      </c>
    </row>
    <row r="18477" ht="15.75" customHeight="1">
      <c r="A18477" s="2" t="s">
        <v>18477</v>
      </c>
      <c r="B18477" s="2" t="str">
        <f>IFERROR(__xludf.DUMMYFUNCTION("GOOGLETRANSLATE(A18477, ""en"", ""mt"")"),"Serje mill-2009 'il quddiem")</f>
        <v>Serje mill-2009 'il quddiem</v>
      </c>
    </row>
    <row r="18478" ht="15.75" customHeight="1">
      <c r="A18478" s="2" t="s">
        <v>18478</v>
      </c>
      <c r="B18478" s="2" t="str">
        <f>IFERROR(__xludf.DUMMYFUNCTION("GOOGLETRANSLATE(A18478, ""en"", ""mt"")"),"Ossiġnu likwidu")</f>
        <v>Ossiġnu likwidu</v>
      </c>
    </row>
    <row r="18479" ht="15.75" customHeight="1">
      <c r="A18479" s="2" t="s">
        <v>18479</v>
      </c>
      <c r="B18479" s="2" t="str">
        <f>IFERROR(__xludf.DUMMYFUNCTION("GOOGLETRANSLATE(A18479, ""en"", ""mt"")"),"King Sigismund III Vasa")</f>
        <v>King Sigismund III Vasa</v>
      </c>
    </row>
    <row r="18480" ht="15.75" customHeight="1">
      <c r="A18480" s="2" t="s">
        <v>18480</v>
      </c>
      <c r="B18480" s="2" t="str">
        <f>IFERROR(__xludf.DUMMYFUNCTION("GOOGLETRANSLATE(A18480, ""en"", ""mt"")"),"iffokat fuq l-identità u l-għaqda, li kienu kwistjonijiet kritiċi dak iż-żmien")</f>
        <v>iffokat fuq l-identità u l-għaqda, li kienu kwistjonijiet kritiċi dak iż-żmien</v>
      </c>
    </row>
    <row r="18481" ht="15.75" customHeight="1">
      <c r="A18481" s="2" t="s">
        <v>18481</v>
      </c>
      <c r="B18481" s="2" t="str">
        <f>IFERROR(__xludf.DUMMYFUNCTION("GOOGLETRANSLATE(A18481, ""en"", ""mt"")"),"Sinodu")</f>
        <v>Sinodu</v>
      </c>
    </row>
    <row r="18482" ht="15.75" customHeight="1">
      <c r="A18482" s="2" t="s">
        <v>18482</v>
      </c>
      <c r="B18482" s="2" t="str">
        <f>IFERROR(__xludf.DUMMYFUNCTION("GOOGLETRANSLATE(A18482, ""en"", ""mt"")"),"Għalkemm il-kosts tan-Nofsinhar tal-Kalifornja ta 'ambjent urban żviluppat ħafna, kemm minnu tħalla mhux żviluppat?")</f>
        <v>Għalkemm il-kosts tan-Nofsinhar tal-Kalifornja ta 'ambjent urban żviluppat ħafna, kemm minnu tħalla mhux żviluppat?</v>
      </c>
    </row>
    <row r="18483" ht="15.75" customHeight="1">
      <c r="A18483" s="2" t="s">
        <v>18483</v>
      </c>
      <c r="B18483" s="2" t="str">
        <f>IFERROR(__xludf.DUMMYFUNCTION("GOOGLETRANSLATE(A18483, ""en"", ""mt"")"),"Il-Kunsill Ġudizzjarju huwa l-ogħla qorti fid-denominazzjoni. Tikkonsisti minn disa 'membri, kemm lajċi kif ukoll kleru, eletti mill-konferenza ġenerali għal mandat ta' tmien snin. Il-proporzjon tal-lajċi mal-kleru jalterna kull tmien snin. Il-Kunsill Ġud"&amp;"izzjarju jinterpreta l-Ktieb tad-Dixxiplina bejn Sessjonijiet ta ’Konferenza Ġenerali, u waqt konferenza ġenerali, il-Kunsill Ġudizzjarju jirregola dwar il-Kostituzzjonalità tal-Liġijiet mgħoddija minn Konferenza Ġenerali. Il-Kunsill jiddetermina wkoll je"&amp;"kk azzjonijiet ta 'knejjes lokali, konferenzi annwali, aġenziji tal-knisja, u isqfijiet humiex skond il-liġi tal-knisja. Il-kunsill jirrevedi d-deċiżjonijiet kollha tal-liġi meħuda mill-isqfijiet Il-Kunsill Ġudizzjarju ma jista 'joħloq l-ebda leġislazzjon"&amp;"i; Jista 'jinterpreta biss il-leġislazzjoni eżistenti. Il-kunsill jiltaqa 'darbtejn fis-sena f'diversi postijiet madwar id-dinja. Il-Kunsill Ġudizzjarju jisma 'wkoll appelli minn dawk li ġew akkużati b'reati li jistgħu jitħallsu li jistgħu jirriżultaw f'n"&amp;"umru jew revoka ta' sħubija.")</f>
        <v>Il-Kunsill Ġudizzjarju huwa l-ogħla qorti fid-denominazzjoni. Tikkonsisti minn disa 'membri, kemm lajċi kif ukoll kleru, eletti mill-konferenza ġenerali għal mandat ta' tmien snin. Il-proporzjon tal-lajċi mal-kleru jalterna kull tmien snin. Il-Kunsill Ġudizzjarju jinterpreta l-Ktieb tad-Dixxiplina bejn Sessjonijiet ta ’Konferenza Ġenerali, u waqt konferenza ġenerali, il-Kunsill Ġudizzjarju jirregola dwar il-Kostituzzjonalità tal-Liġijiet mgħoddija minn Konferenza Ġenerali. Il-Kunsill jiddetermina wkoll jekk azzjonijiet ta 'knejjes lokali, konferenzi annwali, aġenziji tal-knisja, u isqfijiet humiex skond il-liġi tal-knisja. Il-kunsill jirrevedi d-deċiżjonijiet kollha tal-liġi meħuda mill-isqfijiet Il-Kunsill Ġudizzjarju ma jista 'joħloq l-ebda leġislazzjoni; Jista 'jinterpreta biss il-leġislazzjoni eżistenti. Il-kunsill jiltaqa 'darbtejn fis-sena f'diversi postijiet madwar id-dinja. Il-Kunsill Ġudizzjarju jisma 'wkoll appelli minn dawk li ġew akkużati b'reati li jistgħu jitħallsu li jistgħu jirriżultaw f'numru jew revoka ta' sħubija.</v>
      </c>
    </row>
    <row r="18484" ht="15.75" customHeight="1">
      <c r="A18484" s="2" t="s">
        <v>18484</v>
      </c>
      <c r="B18484" s="2" t="str">
        <f>IFERROR(__xludf.DUMMYFUNCTION("GOOGLETRANSLATE(A18484, ""en"", ""mt"")"),"X'jikkawża s-sintomi ta 'infjammazzjoni?")</f>
        <v>X'jikkawża s-sintomi ta 'infjammazzjoni?</v>
      </c>
    </row>
    <row r="18485" ht="15.75" customHeight="1">
      <c r="A18485" s="2" t="s">
        <v>18485</v>
      </c>
      <c r="B18485" s="2" t="str">
        <f>IFERROR(__xludf.DUMMYFUNCTION("GOOGLETRANSLATE(A18485, ""en"", ""mt"")"),"Ir-relazzjoni televiżiva ta 'ABC u Disney wasslet?")</f>
        <v>Ir-relazzjoni televiżiva ta 'ABC u Disney wasslet?</v>
      </c>
    </row>
    <row r="18486" ht="15.75" customHeight="1">
      <c r="A18486" s="2" t="s">
        <v>18486</v>
      </c>
      <c r="B18486" s="2" t="str">
        <f>IFERROR(__xludf.DUMMYFUNCTION("GOOGLETRANSLATE(A18486, ""en"", ""mt"")"),"Coldplay")</f>
        <v>Coldplay</v>
      </c>
    </row>
    <row r="18487" ht="15.75" customHeight="1">
      <c r="A18487" s="2" t="s">
        <v>18487</v>
      </c>
      <c r="B18487" s="2" t="str">
        <f>IFERROR(__xludf.DUMMYFUNCTION("GOOGLETRANSLATE(A18487, ""en"", ""mt"")"),"Meta ġiet ikkanċellata l-għaqda bejn ITT u ABC?")</f>
        <v>Meta ġiet ikkanċellata l-għaqda bejn ITT u ABC?</v>
      </c>
    </row>
    <row r="18488" ht="15.75" customHeight="1">
      <c r="A18488" s="2" t="s">
        <v>18488</v>
      </c>
      <c r="B18488" s="2" t="str">
        <f>IFERROR(__xludf.DUMMYFUNCTION("GOOGLETRANSLATE(A18488, ""en"", ""mt"")"),"Hemm iktar nies foqra fl-Istati Uniti u fl-Ewropa tal-Punent milli fiċ-Ċina")</f>
        <v>Hemm iktar nies foqra fl-Istati Uniti u fl-Ewropa tal-Punent milli fiċ-Ċina</v>
      </c>
    </row>
    <row r="18489" ht="15.75" customHeight="1">
      <c r="A18489" s="2" t="s">
        <v>18489</v>
      </c>
      <c r="B18489" s="2" t="str">
        <f>IFERROR(__xludf.DUMMYFUNCTION("GOOGLETRANSLATE(A18489, ""en"", ""mt"")"),"Ctenophores jistgħu jkunu abbundanti matul ix-xhur tas-sajf f'xi postijiet kostali, iżda f'postijiet oħra mhumiex komuni u diffiċli biex jinstabu. Fil-bajjiet fejn iseħħu f'numri għoljin ħafna, il-predazzjoni minn ctenophores tista 'tikkontrolla l-popolaz"&amp;"zjonijiet ta' organiżmi zooplanktoniċi żgħar bħal copepods, li altrimenti jistgħu jħassru l-fitoplankton (pjanti planktoniċi), li huma parti vitali tal-katini tal-ikel tal-baħar. Ctenophore wieħed, Mnemiopsis, ġie introdott aċċidentalment fil-Baħar l-Iswe"&amp;"d, fejn huwa akkużat li kkawża li l-ħażniet tal-ħut jiġġarrfu billi jieklu kemm larva tal-ħut kif ukoll organiżmi li altrimenti kienu jkunu mitmugħa l-ħut. Is-sitwazzjoni kienet aggravata minn fatturi oħra, bħalma huma s-sajd żejjed u bidliet ambjentali f"&amp;"it-tul li ppromwovew it-tkabbir tal-popolazzjoni Mnemiopsis. L-introduzzjoni aċċidentali aktar tard ta 'Beroe għenet biex tittaffa l-problema, hekk kif Beroe jippriża fuq ctenophores oħra.")</f>
        <v>Ctenophores jistgħu jkunu abbundanti matul ix-xhur tas-sajf f'xi postijiet kostali, iżda f'postijiet oħra mhumiex komuni u diffiċli biex jinstabu. Fil-bajjiet fejn iseħħu f'numri għoljin ħafna, il-predazzjoni minn ctenophores tista 'tikkontrolla l-popolazzjonijiet ta' organiżmi zooplanktoniċi żgħar bħal copepods, li altrimenti jistgħu jħassru l-fitoplankton (pjanti planktoniċi), li huma parti vitali tal-katini tal-ikel tal-baħar. Ctenophore wieħed, Mnemiopsis, ġie introdott aċċidentalment fil-Baħar l-Iswed, fejn huwa akkużat li kkawża li l-ħażniet tal-ħut jiġġarrfu billi jieklu kemm larva tal-ħut kif ukoll organiżmi li altrimenti kienu jkunu mitmugħa l-ħut. Is-sitwazzjoni kienet aggravata minn fatturi oħra, bħalma huma s-sajd żejjed u bidliet ambjentali fit-tul li ppromwovew it-tkabbir tal-popolazzjoni Mnemiopsis. L-introduzzjoni aċċidentali aktar tard ta 'Beroe għenet biex tittaffa l-problema, hekk kif Beroe jippriża fuq ctenophores oħra.</v>
      </c>
    </row>
    <row r="18490" ht="15.75" customHeight="1">
      <c r="A18490" s="2" t="s">
        <v>18490</v>
      </c>
      <c r="B18490" s="2" t="str">
        <f>IFERROR(__xludf.DUMMYFUNCTION("GOOGLETRANSLATE(A18490, ""en"", ""mt"")"),"Kollezzjoni permanenti ta 'aktar minn 4.5 miljun oġġett.")</f>
        <v>Kollezzjoni permanenti ta 'aktar minn 4.5 miljun oġġett.</v>
      </c>
    </row>
    <row r="18491" ht="15.75" customHeight="1">
      <c r="A18491" s="2" t="s">
        <v>18491</v>
      </c>
      <c r="B18491" s="2" t="str">
        <f>IFERROR(__xludf.DUMMYFUNCTION("GOOGLETRANSLATE(A18491, ""en"", ""mt"")"),"L-akbar megaregion tan-Nofsinhar ta ’California")</f>
        <v>L-akbar megaregion tan-Nofsinhar ta ’California</v>
      </c>
    </row>
    <row r="18492" ht="15.75" customHeight="1">
      <c r="A18492" s="2" t="s">
        <v>18492</v>
      </c>
      <c r="B18492" s="2" t="str">
        <f>IFERROR(__xludf.DUMMYFUNCTION("GOOGLETRANSLATE(A18492, ""en"", ""mt"")"),"biddel b'mod sinifikanti t-trattati eżistenti")</f>
        <v>biddel b'mod sinifikanti t-trattati eżistenti</v>
      </c>
    </row>
    <row r="18493" ht="15.75" customHeight="1">
      <c r="A18493" s="2" t="s">
        <v>18493</v>
      </c>
      <c r="B18493" s="2" t="str">
        <f>IFERROR(__xludf.DUMMYFUNCTION("GOOGLETRANSLATE(A18493, ""en"", ""mt"")"),"Min ippropona li l-intertjali intrinsiku huwa l-istat naturali ta 'oġġetti?")</f>
        <v>Min ippropona li l-intertjali intrinsiku huwa l-istat naturali ta 'oġġetti?</v>
      </c>
    </row>
    <row r="18494" ht="15.75" customHeight="1">
      <c r="A18494" s="2" t="s">
        <v>18494</v>
      </c>
      <c r="B18494" s="2" t="str">
        <f>IFERROR(__xludf.DUMMYFUNCTION("GOOGLETRANSLATE(A18494, ""en"", ""mt"")"),"ħames siġġijiet")</f>
        <v>ħames siġġijiet</v>
      </c>
    </row>
    <row r="18495" ht="15.75" customHeight="1">
      <c r="A18495" s="2" t="s">
        <v>18495</v>
      </c>
      <c r="B18495" s="2" t="str">
        <f>IFERROR(__xludf.DUMMYFUNCTION("GOOGLETRANSLATE(A18495, ""en"", ""mt"")"),"X'jagħmlu r-razez ta 'y. Pestis jissuġġerixxu li l-pesta?")</f>
        <v>X'jagħmlu r-razez ta 'y. Pestis jissuġġerixxu li l-pesta?</v>
      </c>
    </row>
    <row r="18496" ht="15.75" customHeight="1">
      <c r="A18496" s="2" t="s">
        <v>18496</v>
      </c>
      <c r="B18496" s="2" t="str">
        <f>IFERROR(__xludf.DUMMYFUNCTION("GOOGLETRANSLATE(A18496, ""en"", ""mt"")"),"1524–25")</f>
        <v>1524–25</v>
      </c>
    </row>
    <row r="18497" ht="15.75" customHeight="1">
      <c r="A18497" s="2" t="s">
        <v>18497</v>
      </c>
      <c r="B18497" s="2" t="str">
        <f>IFERROR(__xludf.DUMMYFUNCTION("GOOGLETRANSLATE(A18497, ""en"", ""mt"")"),"Mongoli u Semuren")</f>
        <v>Mongoli u Semuren</v>
      </c>
    </row>
    <row r="18498" ht="15.75" customHeight="1">
      <c r="A18498" s="2" t="s">
        <v>18498</v>
      </c>
      <c r="B18498" s="2" t="str">
        <f>IFERROR(__xludf.DUMMYFUNCTION("GOOGLETRANSLATE(A18498, ""en"", ""mt"")"),"Denominazzjoni Metodista Protestanti Mainline")</f>
        <v>Denominazzjoni Metodista Protestanti Mainline</v>
      </c>
    </row>
    <row r="18499" ht="15.75" customHeight="1">
      <c r="A18499" s="2" t="s">
        <v>18499</v>
      </c>
      <c r="B18499" s="2" t="str">
        <f>IFERROR(__xludf.DUMMYFUNCTION("GOOGLETRANSLATE(A18499, ""en"", ""mt"")"),"F'liema każ il-qorti ddikjarat li l-Awstrija ma tħallietx iżżomm postijiet fl-iskejjel Awstrijaċi esklussivament għall-istudenti Awstrijaċi?")</f>
        <v>F'liema każ il-qorti ddikjarat li l-Awstrija ma tħallietx iżżomm postijiet fl-iskejjel Awstrijaċi esklussivament għall-istudenti Awstrijaċi?</v>
      </c>
    </row>
    <row r="18500" ht="15.75" customHeight="1">
      <c r="A18500" s="2" t="s">
        <v>18500</v>
      </c>
      <c r="B18500" s="2" t="str">
        <f>IFERROR(__xludf.DUMMYFUNCTION("GOOGLETRANSLATE(A18500, ""en"", ""mt"")"),"Spanjol")</f>
        <v>Spanjol</v>
      </c>
    </row>
    <row r="18501" ht="15.75" customHeight="1">
      <c r="A18501" s="2" t="s">
        <v>18501</v>
      </c>
      <c r="B18501" s="2" t="str">
        <f>IFERROR(__xludf.DUMMYFUNCTION("GOOGLETRANSLATE(A18501, ""en"", ""mt"")"),"Min jirċievi salarji ogħla fi skejjel privati ​​li jitolbu tagħlim ogħla?")</f>
        <v>Min jirċievi salarji ogħla fi skejjel privati ​​li jitolbu tagħlim ogħla?</v>
      </c>
    </row>
    <row r="18502" ht="15.75" customHeight="1">
      <c r="A18502" s="2" t="s">
        <v>18502</v>
      </c>
      <c r="B18502" s="2" t="str">
        <f>IFERROR(__xludf.DUMMYFUNCTION("GOOGLETRANSLATE(A18502, ""en"", ""mt"")"),"20 xogħol")</f>
        <v>20 xogħol</v>
      </c>
    </row>
    <row r="18503" ht="15.75" customHeight="1">
      <c r="A18503" s="2" t="s">
        <v>18503</v>
      </c>
      <c r="B18503" s="2" t="str">
        <f>IFERROR(__xludf.DUMMYFUNCTION("GOOGLETRANSLATE(A18503, ""en"", ""mt"")"),"Reġjun ta 'Rhine-Ruhr")</f>
        <v>Reġjun ta 'Rhine-Ruhr</v>
      </c>
    </row>
    <row r="18504" ht="15.75" customHeight="1">
      <c r="A18504" s="2" t="s">
        <v>18504</v>
      </c>
      <c r="B18504" s="2" t="str">
        <f>IFERROR(__xludf.DUMMYFUNCTION("GOOGLETRANSLATE(A18504, ""en"", ""mt"")"),"Meta Marconi jittrasmetti sinjali simili għal dawk li rċeviet Tesla?")</f>
        <v>Meta Marconi jittrasmetti sinjali simili għal dawk li rċeviet Tesla?</v>
      </c>
    </row>
    <row r="18505" ht="15.75" customHeight="1">
      <c r="A18505" s="2" t="s">
        <v>18505</v>
      </c>
      <c r="B18505" s="2" t="str">
        <f>IFERROR(__xludf.DUMMYFUNCTION("GOOGLETRANSLATE(A18505, ""en"", ""mt"")"),"Rev Paul T. Stallsworth")</f>
        <v>Rev Paul T. Stallsworth</v>
      </c>
    </row>
    <row r="18506" ht="15.75" customHeight="1">
      <c r="A18506" s="2" t="s">
        <v>18506</v>
      </c>
      <c r="B18506" s="2" t="str">
        <f>IFERROR(__xludf.DUMMYFUNCTION("GOOGLETRANSLATE(A18506, ""en"", ""mt"")"),"Fl-1984, ABC xtrat 15% ta 'liema ishma tal-kumpanija fl-ESPN?")</f>
        <v>Fl-1984, ABC xtrat 15% ta 'liema ishma tal-kumpanija fl-ESPN?</v>
      </c>
    </row>
    <row r="18507" ht="15.75" customHeight="1">
      <c r="A18507" s="2" t="s">
        <v>18507</v>
      </c>
      <c r="B18507" s="2" t="str">
        <f>IFERROR(__xludf.DUMMYFUNCTION("GOOGLETRANSLATE(A18507, ""en"", ""mt"")"),"Mard li jista 'jiġi evitat bħall-malarja, l-HIV / AIDS, il-pnewmonja, id-dijarea u l-malnutrizzjoni")</f>
        <v>Mard li jista 'jiġi evitat bħall-malarja, l-HIV / AIDS, il-pnewmonja, id-dijarea u l-malnutrizzjoni</v>
      </c>
    </row>
    <row r="18508" ht="15.75" customHeight="1">
      <c r="A18508" s="2" t="s">
        <v>18508</v>
      </c>
      <c r="B18508" s="2" t="str">
        <f>IFERROR(__xludf.DUMMYFUNCTION("GOOGLETRANSLATE(A18508, ""en"", ""mt"")"),"Sigurtà tal-ambjent tat-transtunar")</f>
        <v>Sigurtà tal-ambjent tat-transtunar</v>
      </c>
    </row>
    <row r="18509" ht="15.75" customHeight="1">
      <c r="A18509" s="2" t="s">
        <v>18509</v>
      </c>
      <c r="B18509" s="2" t="str">
        <f>IFERROR(__xludf.DUMMYFUNCTION("GOOGLETRANSLATE(A18509, ""en"", ""mt"")"),"S = −2, −4, ...,")</f>
        <v>S = −2, −4, ...,</v>
      </c>
    </row>
    <row r="18510" ht="15.75" customHeight="1">
      <c r="A18510" s="2" t="s">
        <v>18510</v>
      </c>
      <c r="B18510" s="2" t="str">
        <f>IFERROR(__xludf.DUMMYFUNCTION("GOOGLETRANSLATE(A18510, ""en"", ""mt"")"),"X'qed isir malajr fir-rugby ma 'skejjel għolja?")</f>
        <v>X'qed isir malajr fir-rugby ma 'skejjel għolja?</v>
      </c>
    </row>
    <row r="18511" ht="15.75" customHeight="1">
      <c r="A18511" s="2" t="s">
        <v>18511</v>
      </c>
      <c r="B18511" s="2" t="str">
        <f>IFERROR(__xludf.DUMMYFUNCTION("GOOGLETRANSLATE(A18511, ""en"", ""mt"")"),"Liema sistema tiġi wara l-ostakli fiżiċi ta 'organiżmu?")</f>
        <v>Liema sistema tiġi wara l-ostakli fiżiċi ta 'organiżmu?</v>
      </c>
    </row>
    <row r="18512" ht="15.75" customHeight="1">
      <c r="A18512" s="2" t="s">
        <v>18512</v>
      </c>
      <c r="B18512" s="2" t="str">
        <f>IFERROR(__xludf.DUMMYFUNCTION("GOOGLETRANSLATE(A18512, ""en"", ""mt"")"),"Kemm Stati Membri adottaw il-Karta Soċjali fl-1989?")</f>
        <v>Kemm Stati Membri adottaw il-Karta Soċjali fl-1989?</v>
      </c>
    </row>
    <row r="18513" ht="15.75" customHeight="1">
      <c r="A18513" s="2" t="s">
        <v>18513</v>
      </c>
      <c r="B18513" s="2" t="str">
        <f>IFERROR(__xludf.DUMMYFUNCTION("GOOGLETRANSLATE(A18513, ""en"", ""mt"")"),"Liema netwerk imxandar Super Bowl 50?")</f>
        <v>Liema netwerk imxandar Super Bowl 50?</v>
      </c>
    </row>
    <row r="18514" ht="15.75" customHeight="1">
      <c r="A18514" s="2" t="s">
        <v>18514</v>
      </c>
      <c r="B18514" s="2" t="str">
        <f>IFERROR(__xludf.DUMMYFUNCTION("GOOGLETRANSLATE(A18514, ""en"", ""mt"")"),"It-Tardis")</f>
        <v>It-Tardis</v>
      </c>
    </row>
    <row r="18515" ht="15.75" customHeight="1">
      <c r="A18515" s="2" t="s">
        <v>18515</v>
      </c>
      <c r="B18515" s="2" t="str">
        <f>IFERROR(__xludf.DUMMYFUNCTION("GOOGLETRANSLATE(A18515, ""en"", ""mt"")"),"hija denominazzjoni Metodista Protestanti Mainline")</f>
        <v>hija denominazzjoni Metodista Protestanti Mainline</v>
      </c>
    </row>
    <row r="18516" ht="15.75" customHeight="1">
      <c r="A18516" s="2" t="s">
        <v>18516</v>
      </c>
      <c r="B18516" s="2" t="str">
        <f>IFERROR(__xludf.DUMMYFUNCTION("GOOGLETRANSLATE(A18516, ""en"", ""mt"")"),"X'kien il-persentaġġ ta 'Ġermaniżi li jattendu skejjel għolja privati ​​fl-2008?")</f>
        <v>X'kien il-persentaġġ ta 'Ġermaniżi li jattendu skejjel għolja privati ​​fl-2008?</v>
      </c>
    </row>
    <row r="18517" ht="15.75" customHeight="1">
      <c r="A18517" s="2" t="s">
        <v>18517</v>
      </c>
      <c r="B18517" s="2" t="str">
        <f>IFERROR(__xludf.DUMMYFUNCTION("GOOGLETRANSLATE(A18517, ""en"", ""mt"")"),"tilwima dwar il-kontroll tal-konfluwenza tax-xmajjar Allegheny u Monongahela")</f>
        <v>tilwima dwar il-kontroll tal-konfluwenza tax-xmajjar Allegheny u Monongahela</v>
      </c>
    </row>
    <row r="18518" ht="15.75" customHeight="1">
      <c r="A18518" s="2" t="s">
        <v>18518</v>
      </c>
      <c r="B18518" s="2" t="str">
        <f>IFERROR(__xludf.DUMMYFUNCTION("GOOGLETRANSLATE(A18518, ""en"", ""mt"")"),"Il-Programm tal-Arti ta ’Uchicago jingħaqad ma’ dipartimenti akkademiċi u programmi fid-Diviżjoni tal-Umanistika u l-Kulleġġ, kif ukoll organizzazzjonijiet professjonali inkluż it-Teatru tal-Qorti, l-Istitut Orjentali, il-Mużew Intelliġenti tal-Art, is-So"&amp;"ċjetà tar-Rinaxximent, l-Università ta ’Chicago Presents, u student Organizzazzjonijiet tal-Arti. L-università għandha programm ta 'artist fir-residenza u studjużi fi studji ta' prestazzjoni, kritika tal-arti kontemporanja, u storja tal-films. Huwa offra "&amp;"dottorat fil-kompożizzjoni tal-mużika mill-1933 u fl-Istudji taċ-Ċinema u l-Midja mill-2000, Master of Fine Arts in Visual Arts (kmieni fis-snin sebgħin), u Master of Arts fl-Umanistika bi track tal-kitba kreattiva (2000). Għandu programmi ta 'grad ta' ba"&amp;"ċellerat fl-arti viżwali, mużika, u storja tal-arti, u, aktar reċentement, Cinema &amp; Media Studies (1996) u Studji tat-Teatru u tal-Prestazzjoni (2002). Il-qalba tal-edukazzjoni ġenerali tal-kulleġġ tinkludi ħtieġa ta '""drammatika, mużika u arti viżwali"""&amp;", li teħtieġ li l-istudenti jistudjaw l-istorja tal-arti, ix-xewqa tal-palk, jew jibdew jaħdmu bl-iskultura. Bosta eluf ta 'studenti ewlenin u mhux kbar jirreġistraw kull sena fi klassijiet ta' arti kreattivi u spettakli. Uchicago ħafna drabi huwa meqjus "&amp;"bħala l-post fejn twieled il-kummiedja improvisazzjonali hekk kif il-kummiedja tal-kummiedja tal-plejers tal-kumpass evolviet fit-Tieni City Improv Theatre Troupe fl-1959. Iċ-Ċentru Reva u David Logan għall-Arti nfetħu f'Ottubru 2012, ħames snin wara riga"&amp;"l ta '$ 35 miljun mill-istudenti David Logan u martu Reva. Iċ-ċentru jinkludi spazji għal esibizzjonijiet, wirjiet, klassijiet, u produzzjoni tal-midja. Iċ-Ċentru Logan kien iddisinjat minn Tod Williams u Billie Tsien. Dan il-bini huwa attwalment kompleta"&amp;"ment ħġieġ. Il-briks huwa faċċata ddisinjata biex iżżomm il-ħġieġ sikur mir-riħ. Il-periti aktar tard neħħew sezzjonijiet tal-briks meta nibtet pressjoni fil-forma ta 'lmenti li l-veduti tal-belt ġew imblukkati.")</f>
        <v>Il-Programm tal-Arti ta ’Uchicago jingħaqad ma’ dipartimenti akkademiċi u programmi fid-Diviżjoni tal-Umanistika u l-Kulleġġ, kif ukoll organizzazzjonijiet professjonali inkluż it-Teatru tal-Qorti, l-Istitut Orjentali, il-Mużew Intelliġenti tal-Art, is-Soċjetà tar-Rinaxximent, l-Università ta ’Chicago Presents, u student Organizzazzjonijiet tal-Arti. L-università għandha programm ta 'artist fir-residenza u studjużi fi studji ta' prestazzjoni, kritika tal-arti kontemporanja, u storja tal-films. Huwa offra dottorat fil-kompożizzjoni tal-mużika mill-1933 u fl-Istudji taċ-Ċinema u l-Midja mill-2000, Master of Fine Arts in Visual Arts (kmieni fis-snin sebgħin), u Master of Arts fl-Umanistika bi track tal-kitba kreattiva (2000). Għandu programmi ta 'grad ta' baċellerat fl-arti viżwali, mużika, u storja tal-arti, u, aktar reċentement, Cinema &amp; Media Studies (1996) u Studji tat-Teatru u tal-Prestazzjoni (2002). Il-qalba tal-edukazzjoni ġenerali tal-kulleġġ tinkludi ħtieġa ta '"drammatika, mużika u arti viżwali", li teħtieġ li l-istudenti jistudjaw l-istorja tal-arti, ix-xewqa tal-palk, jew jibdew jaħdmu bl-iskultura. Bosta eluf ta 'studenti ewlenin u mhux kbar jirreġistraw kull sena fi klassijiet ta' arti kreattivi u spettakli. Uchicago ħafna drabi huwa meqjus bħala l-post fejn twieled il-kummiedja improvisazzjonali hekk kif il-kummiedja tal-kummiedja tal-plejers tal-kumpass evolviet fit-Tieni City Improv Theatre Troupe fl-1959. Iċ-Ċentru Reva u David Logan għall-Arti nfetħu f'Ottubru 2012, ħames snin wara rigal ta '$ 35 miljun mill-istudenti David Logan u martu Reva. Iċ-ċentru jinkludi spazji għal esibizzjonijiet, wirjiet, klassijiet, u produzzjoni tal-midja. Iċ-Ċentru Logan kien iddisinjat minn Tod Williams u Billie Tsien. Dan il-bini huwa attwalment kompletament ħġieġ. Il-briks huwa faċċata ddisinjata biex iżżomm il-ħġieġ sikur mir-riħ. Il-periti aktar tard neħħew sezzjonijiet tal-briks meta nibtet pressjoni fil-forma ta 'lmenti li l-veduti tal-belt ġew imblukkati.</v>
      </c>
    </row>
    <row r="18519" ht="15.75" customHeight="1">
      <c r="A18519" s="2" t="s">
        <v>18519</v>
      </c>
      <c r="B18519" s="2" t="str">
        <f>IFERROR(__xludf.DUMMYFUNCTION("GOOGLETRANSLATE(A18519, ""en"", ""mt"")"),"Meta Tesla marret Karlovac?")</f>
        <v>Meta Tesla marret Karlovac?</v>
      </c>
    </row>
    <row r="18520" ht="15.75" customHeight="1">
      <c r="A18520" s="2" t="s">
        <v>18520</v>
      </c>
      <c r="B18520" s="2" t="str">
        <f>IFERROR(__xludf.DUMMYFUNCTION("GOOGLETRANSLATE(A18520, ""en"", ""mt"")"),"Il-membrani tal-kloroplast kultant joħorġu fiċ-ċitoplasma, li jiffurmaw stromule, jew tubu li fih stroma. Stromules huma rari ħafna fil-kloroplasti, u huma ħafna iktar komuni fi plastidi oħra bħal kromoplasti u amiloplasti fil-petali u l-għeruq, rispettiv"&amp;"ament. Jistgħu jeżistu biex iżżid l-erja tal-wiċċ tal-kloroplast għat-trasport inkroċjat, minħabba li ħafna drabi huma ramifikati u mqabbda mar-retikolu endoplasmiku. Meta ġew osservati għall-ewwel darba fl-1962, xi bijoloġisti tal-pjanti ċaħdu l-istruttu"&amp;"ri bħala artifattwali, fejn qalu li l-istromules kienu biss kloroplasti ffurmati stramba b'reġjuni ristretti jew qsim ta 'kloroplasti. Madankollu, hemm korp dejjem jikber ta 'evidenza li l-istromoli huma karatteristiċi funzjonali, integrali tal-plastidi t"&amp;"aċ-ċelloli tal-pjanti, mhux biss artifatti.")</f>
        <v>Il-membrani tal-kloroplast kultant joħorġu fiċ-ċitoplasma, li jiffurmaw stromule, jew tubu li fih stroma. Stromules huma rari ħafna fil-kloroplasti, u huma ħafna iktar komuni fi plastidi oħra bħal kromoplasti u amiloplasti fil-petali u l-għeruq, rispettivament. Jistgħu jeżistu biex iżżid l-erja tal-wiċċ tal-kloroplast għat-trasport inkroċjat, minħabba li ħafna drabi huma ramifikati u mqabbda mar-retikolu endoplasmiku. Meta ġew osservati għall-ewwel darba fl-1962, xi bijoloġisti tal-pjanti ċaħdu l-istrutturi bħala artifattwali, fejn qalu li l-istromules kienu biss kloroplasti ffurmati stramba b'reġjuni ristretti jew qsim ta 'kloroplasti. Madankollu, hemm korp dejjem jikber ta 'evidenza li l-istromoli huma karatteristiċi funzjonali, integrali tal-plastidi taċ-ċelloli tal-pjanti, mhux biss artifatti.</v>
      </c>
    </row>
    <row r="18521" ht="15.75" customHeight="1">
      <c r="A18521" s="2" t="s">
        <v>18521</v>
      </c>
      <c r="B18521" s="2" t="str">
        <f>IFERROR(__xludf.DUMMYFUNCTION("GOOGLETRANSLATE(A18521, ""en"", ""mt"")"),"Kemm mit-tliet drives tar-raba 'kwart ta' wara wara l-gowl fil-grawnd makng l-iskor 16-10 intemm fil-punti?")</f>
        <v>Kemm mit-tliet drives tar-raba 'kwart ta' wara wara l-gowl fil-grawnd makng l-iskor 16-10 intemm fil-punti?</v>
      </c>
    </row>
    <row r="18522" ht="15.75" customHeight="1">
      <c r="A18522" s="2" t="s">
        <v>18522</v>
      </c>
      <c r="B18522" s="2" t="str">
        <f>IFERROR(__xludf.DUMMYFUNCTION("GOOGLETRANSLATE(A18522, ""en"", ""mt"")"),"biex tnaddafhom")</f>
        <v>biex tnaddafhom</v>
      </c>
    </row>
    <row r="18523" ht="15.75" customHeight="1">
      <c r="A18523" s="2" t="s">
        <v>18523</v>
      </c>
      <c r="B18523" s="2" t="str">
        <f>IFERROR(__xludf.DUMMYFUNCTION("GOOGLETRANSLATE(A18523, ""en"", ""mt"")"),"Asocial")</f>
        <v>Asocial</v>
      </c>
    </row>
    <row r="18524" ht="15.75" customHeight="1">
      <c r="A18524" s="2" t="s">
        <v>18524</v>
      </c>
      <c r="B18524" s="2" t="str">
        <f>IFERROR(__xludf.DUMMYFUNCTION("GOOGLETRANSLATE(A18524, ""en"", ""mt"")"),"Liema twemmin reliġjuż ġenerali n-nazzjonijiet li rċivew refuġjati Huguenot kellhom komuni?")</f>
        <v>Liema twemmin reliġjuż ġenerali n-nazzjonijiet li rċivew refuġjati Huguenot kellhom komuni?</v>
      </c>
    </row>
    <row r="18525" ht="15.75" customHeight="1">
      <c r="A18525" s="2" t="s">
        <v>18525</v>
      </c>
      <c r="B18525" s="2" t="str">
        <f>IFERROR(__xludf.DUMMYFUNCTION("GOOGLETRANSLATE(A18525, ""en"", ""mt"")"),"Liema isem jintuża wkoll biex jiddeskrivi l-Amazon Rainforest bl-Ingliż?")</f>
        <v>Liema isem jintuża wkoll biex jiddeskrivi l-Amazon Rainforest bl-Ingliż?</v>
      </c>
    </row>
    <row r="18526" ht="15.75" customHeight="1">
      <c r="A18526" s="2" t="s">
        <v>18526</v>
      </c>
      <c r="B18526" s="2" t="str">
        <f>IFERROR(__xludf.DUMMYFUNCTION("GOOGLETRANSLATE(A18526, ""en"", ""mt"")"),"Temm is-sistema Iżlamika vera")</f>
        <v>Temm is-sistema Iżlamika vera</v>
      </c>
    </row>
    <row r="18527" ht="15.75" customHeight="1">
      <c r="A18527" s="2" t="s">
        <v>18527</v>
      </c>
      <c r="B18527" s="2" t="str">
        <f>IFERROR(__xludf.DUMMYFUNCTION("GOOGLETRANSLATE(A18527, ""en"", ""mt"")"),"Kemm kellha xkejjer tal-karriera Jared Allen?")</f>
        <v>Kemm kellha xkejjer tal-karriera Jared Allen?</v>
      </c>
    </row>
    <row r="18528" ht="15.75" customHeight="1">
      <c r="A18528" s="2" t="s">
        <v>18528</v>
      </c>
      <c r="B18528" s="2" t="str">
        <f>IFERROR(__xludf.DUMMYFUNCTION("GOOGLETRANSLATE(A18528, ""en"", ""mt"")"),"Nishapur")</f>
        <v>Nishapur</v>
      </c>
    </row>
    <row r="18529" ht="15.75" customHeight="1">
      <c r="A18529" s="2" t="s">
        <v>18529</v>
      </c>
      <c r="B18529" s="2" t="str">
        <f>IFERROR(__xludf.DUMMYFUNCTION("GOOGLETRANSLATE(A18529, ""en"", ""mt"")"),"Kemm avvenimenti jseħħu f'ċiklu tal-magna?")</f>
        <v>Kemm avvenimenti jseħħu f'ċiklu tal-magna?</v>
      </c>
    </row>
    <row r="18530" ht="15.75" customHeight="1">
      <c r="A18530" s="2" t="s">
        <v>18530</v>
      </c>
      <c r="B18530" s="2" t="str">
        <f>IFERROR(__xludf.DUMMYFUNCTION("GOOGLETRANSLATE(A18530, ""en"", ""mt"")"),"falliet")</f>
        <v>falliet</v>
      </c>
    </row>
    <row r="18531" ht="15.75" customHeight="1">
      <c r="A18531" s="2" t="s">
        <v>18531</v>
      </c>
      <c r="B18531" s="2" t="str">
        <f>IFERROR(__xludf.DUMMYFUNCTION("GOOGLETRANSLATE(A18531, ""en"", ""mt"")"),"Liema serje ta 'realtà kienet l-ewwel spinoff ta' The Bachelor for ABC?")</f>
        <v>Liema serje ta 'realtà kienet l-ewwel spinoff ta' The Bachelor for ABC?</v>
      </c>
    </row>
    <row r="18532" ht="15.75" customHeight="1">
      <c r="A18532" s="2" t="s">
        <v>18532</v>
      </c>
      <c r="B18532" s="2" t="str">
        <f>IFERROR(__xludf.DUMMYFUNCTION("GOOGLETRANSLATE(A18532, ""en"", ""mt"")"),"iservu u jipproteġu lill-pubbliku")</f>
        <v>iservu u jipproteġu lill-pubbliku</v>
      </c>
    </row>
    <row r="18533" ht="15.75" customHeight="1">
      <c r="A18533" s="2" t="s">
        <v>18533</v>
      </c>
      <c r="B18533" s="2" t="str">
        <f>IFERROR(__xludf.DUMMYFUNCTION("GOOGLETRANSLATE(A18533, ""en"", ""mt"")"),"Jekk hemmx stat jew theddida ta 'gwerra")</f>
        <v>Jekk hemmx stat jew theddida ta 'gwerra</v>
      </c>
    </row>
    <row r="18534" ht="15.75" customHeight="1">
      <c r="A18534" s="2" t="s">
        <v>18534</v>
      </c>
      <c r="B18534" s="2" t="str">
        <f>IFERROR(__xludf.DUMMYFUNCTION("GOOGLETRANSLATE(A18534, ""en"", ""mt"")"),"Fl-1974, liema serje ta 'ditektif iddebuttaw fuq ABC?")</f>
        <v>Fl-1974, liema serje ta 'ditektif iddebuttaw fuq ABC?</v>
      </c>
    </row>
    <row r="18535" ht="15.75" customHeight="1">
      <c r="A18535" s="2" t="s">
        <v>18535</v>
      </c>
      <c r="B18535" s="2" t="str">
        <f>IFERROR(__xludf.DUMMYFUNCTION("GOOGLETRANSLATE(A18535, ""en"", ""mt"")"),"HIV / AIDS")</f>
        <v>HIV / AIDS</v>
      </c>
    </row>
    <row r="18536" ht="15.75" customHeight="1">
      <c r="A18536" s="2" t="s">
        <v>18536</v>
      </c>
      <c r="B18536" s="2" t="str">
        <f>IFERROR(__xludf.DUMMYFUNCTION("GOOGLETRANSLATE(A18536, ""en"", ""mt"")"),"It-Trattat ta ’Lisbona")</f>
        <v>It-Trattat ta ’Lisbona</v>
      </c>
    </row>
    <row r="18537" ht="15.75" customHeight="1">
      <c r="A18537" s="2" t="s">
        <v>18537</v>
      </c>
      <c r="B18537" s="2" t="str">
        <f>IFERROR(__xludf.DUMMYFUNCTION("GOOGLETRANSLATE(A18537, ""en"", ""mt"")"),"Cape of Good Hope")</f>
        <v>Cape of Good Hope</v>
      </c>
    </row>
    <row r="18538" ht="15.75" customHeight="1">
      <c r="A18538" s="2" t="s">
        <v>18538</v>
      </c>
      <c r="B18538" s="2" t="str">
        <f>IFERROR(__xludf.DUMMYFUNCTION("GOOGLETRANSLATE(A18538, ""en"", ""mt"")"),"Dak li issa nsejħu gravità ma kienx identifikat bħala forza universali sa x-xogħol ta 'Isaac Newton. Qabel Newton, it-tendenza għall-oġġetti li jaqgħu lejn id-dinja ma kinitx mifhuma li hija relatata mal-mozzjonijiet ta 'oġġetti ċelesti. Galileo kien stru"&amp;"mentali biex jiddeskrivi l-karatteristiċi ta 'oġġetti li jaqgħu billi ddetermina li l-aċċellerazzjoni ta' kull oġġett fil-waqgħa ħielsa kienet kostanti u indipendenti mill-massa ta 'l-oġġett. Illum, din l-aċċellerazzjoni minħabba l-gravità lejn il-wiċċ ta"&amp;"d-dinja ġeneralment hija nominata bħala u għandha kobor ta 'madwar 9.81 metri kull sekonda kwadru (dan il-kejl jittieħed mil-livell tal-baħar u jista' jvarja skont il-post), u jindika lejn iċ-ċentru ta ' id-dinja. Din l-osservazzjoni tfisser li l-forza ta"&amp;"l-gravità fuq oġġett fil-wiċċ tad-dinja hija direttament proporzjonali għall-massa tal-oġġett. Għalhekk oġġett li għandu massa ta 'tesperjenza forza:")</f>
        <v>Dak li issa nsejħu gravità ma kienx identifikat bħala forza universali sa x-xogħol ta 'Isaac Newton. Qabel Newton, it-tendenza għall-oġġetti li jaqgħu lejn id-dinja ma kinitx mifhuma li hija relatata mal-mozzjonijiet ta 'oġġetti ċelesti. Galileo kien strumentali biex jiddeskrivi l-karatteristiċi ta 'oġġetti li jaqgħu billi ddetermina li l-aċċellerazzjoni ta' kull oġġett fil-waqgħa ħielsa kienet kostanti u indipendenti mill-massa ta 'l-oġġett. Illum, din l-aċċellerazzjoni minħabba l-gravità lejn il-wiċċ tad-dinja ġeneralment hija nominata bħala u għandha kobor ta 'madwar 9.81 metri kull sekonda kwadru (dan il-kejl jittieħed mil-livell tal-baħar u jista' jvarja skont il-post), u jindika lejn iċ-ċentru ta ' id-dinja. Din l-osservazzjoni tfisser li l-forza tal-gravità fuq oġġett fil-wiċċ tad-dinja hija direttament proporzjonali għall-massa tal-oġġett. Għalhekk oġġett li għandu massa ta 'tesperjenza forza:</v>
      </c>
    </row>
    <row r="18539" ht="15.75" customHeight="1">
      <c r="A18539" s="2" t="s">
        <v>18539</v>
      </c>
      <c r="B18539" s="2" t="str">
        <f>IFERROR(__xludf.DUMMYFUNCTION("GOOGLETRANSLATE(A18539, ""en"", ""mt"")"),"Għaliex Polonia ġiet relegata mill-aqwa titjira tal-pajjiż fl-2013?")</f>
        <v>Għaliex Polonia ġiet relegata mill-aqwa titjira tal-pajjiż fl-2013?</v>
      </c>
    </row>
    <row r="18540" ht="15.75" customHeight="1">
      <c r="A18540" s="2" t="s">
        <v>18540</v>
      </c>
      <c r="B18540" s="2" t="str">
        <f>IFERROR(__xludf.DUMMYFUNCTION("GOOGLETRANSLATE(A18540, ""en"", ""mt"")"),"L-Uighurs ċedew b'mod paċifiku mingħajr ma jirreżistu b'mod vjolenti")</f>
        <v>L-Uighurs ċedew b'mod paċifiku mingħajr ma jirreżistu b'mod vjolenti</v>
      </c>
    </row>
    <row r="18541" ht="15.75" customHeight="1">
      <c r="A18541" s="2" t="s">
        <v>18541</v>
      </c>
      <c r="B18541" s="2" t="str">
        <f>IFERROR(__xludf.DUMMYFUNCTION("GOOGLETRANSLATE(A18541, ""en"", ""mt"")"),"24 ta ’April 1954")</f>
        <v>24 ta ’April 1954</v>
      </c>
    </row>
    <row r="18542" ht="15.75" customHeight="1">
      <c r="A18542" s="2" t="s">
        <v>18542</v>
      </c>
      <c r="B18542" s="2" t="str">
        <f>IFERROR(__xludf.DUMMYFUNCTION("GOOGLETRANSLATE(A18542, ""en"", ""mt"")"),"William the Lion")</f>
        <v>William the Lion</v>
      </c>
    </row>
    <row r="18543" ht="15.75" customHeight="1">
      <c r="A18543" s="2" t="s">
        <v>18543</v>
      </c>
      <c r="B18543" s="2" t="str">
        <f>IFERROR(__xludf.DUMMYFUNCTION("GOOGLETRANSLATE(A18543, ""en"", ""mt"")"),"Iġbed")</f>
        <v>Iġbed</v>
      </c>
    </row>
    <row r="18544" ht="15.75" customHeight="1">
      <c r="A18544" s="2" t="s">
        <v>18544</v>
      </c>
      <c r="B18544" s="2" t="str">
        <f>IFERROR(__xludf.DUMMYFUNCTION("GOOGLETRANSLATE(A18544, ""en"", ""mt"")"),"differenzi fil-valur")</f>
        <v>differenzi fil-valur</v>
      </c>
    </row>
    <row r="18545" ht="15.75" customHeight="1">
      <c r="A18545" s="2" t="s">
        <v>18545</v>
      </c>
      <c r="B18545" s="2" t="str">
        <f>IFERROR(__xludf.DUMMYFUNCTION("GOOGLETRANSLATE(A18545, ""en"", ""mt"")"),"Iċ-ċelloli dendritiċi huma msemmijin minħabba li jixbħu xiex?")</f>
        <v>Iċ-ċelloli dendritiċi huma msemmijin minħabba li jixbħu xiex?</v>
      </c>
    </row>
    <row r="18546" ht="15.75" customHeight="1">
      <c r="A18546" s="2" t="s">
        <v>18546</v>
      </c>
      <c r="B18546" s="2" t="str">
        <f>IFERROR(__xludf.DUMMYFUNCTION("GOOGLETRANSLATE(A18546, ""en"", ""mt"")"),"X'inhi okkorrenza komuni matul il-jiem tas-sajf?")</f>
        <v>X'inhi okkorrenza komuni matul il-jiem tas-sajf?</v>
      </c>
    </row>
    <row r="18547" ht="15.75" customHeight="1">
      <c r="A18547" s="2" t="s">
        <v>18547</v>
      </c>
      <c r="B18547" s="2" t="str">
        <f>IFERROR(__xludf.DUMMYFUNCTION("GOOGLETRANSLATE(A18547, ""en"", ""mt"")"),"X'jiġri meta n-negozju jpatti l-ħaddiema tagħhom?")</f>
        <v>X'jiġri meta n-negozju jpatti l-ħaddiema tagħhom?</v>
      </c>
    </row>
    <row r="18548" ht="15.75" customHeight="1">
      <c r="A18548" s="2" t="s">
        <v>18548</v>
      </c>
      <c r="B18548" s="2" t="str">
        <f>IFERROR(__xludf.DUMMYFUNCTION("GOOGLETRANSLATE(A18548, ""en"", ""mt"")"),"Aħbi l-fatt li waqa 'mill-iskola")</f>
        <v>Aħbi l-fatt li waqa 'mill-iskola</v>
      </c>
    </row>
    <row r="18549" ht="15.75" customHeight="1">
      <c r="A18549" s="2" t="s">
        <v>18549</v>
      </c>
      <c r="B18549" s="2" t="str">
        <f>IFERROR(__xludf.DUMMYFUNCTION("GOOGLETRANSLATE(A18549, ""en"", ""mt"")"),"Kemm kolonizzaturi bojod kienu jgħixu fil-Kenja fis-snin 1950?")</f>
        <v>Kemm kolonizzaturi bojod kienu jgħixu fil-Kenja fis-snin 1950?</v>
      </c>
    </row>
    <row r="18550" ht="15.75" customHeight="1">
      <c r="A18550" s="2" t="s">
        <v>18550</v>
      </c>
      <c r="B18550" s="2" t="str">
        <f>IFERROR(__xludf.DUMMYFUNCTION("GOOGLETRANSLATE(A18550, ""en"", ""mt"")"),"mhux ċar")</f>
        <v>mhux ċar</v>
      </c>
    </row>
    <row r="18551" ht="15.75" customHeight="1">
      <c r="A18551" s="2" t="s">
        <v>18551</v>
      </c>
      <c r="B18551" s="2" t="str">
        <f>IFERROR(__xludf.DUMMYFUNCTION("GOOGLETRANSLATE(A18551, ""en"", ""mt"")"),"22 ta ’Mejju 2006")</f>
        <v>22 ta ’Mejju 2006</v>
      </c>
    </row>
    <row r="18552" ht="15.75" customHeight="1">
      <c r="A18552" s="2" t="s">
        <v>18552</v>
      </c>
      <c r="B18552" s="2" t="str">
        <f>IFERROR(__xludf.DUMMYFUNCTION("GOOGLETRANSLATE(A18552, ""en"", ""mt"")"),"Liema importazzjonijiet ta 'pajjiż saru l-mexxejja tas-suq tal-massa de facto?")</f>
        <v>Liema importazzjonijiet ta 'pajjiż saru l-mexxejja tas-suq tal-massa de facto?</v>
      </c>
    </row>
    <row r="18553" ht="15.75" customHeight="1">
      <c r="A18553" s="2" t="s">
        <v>18553</v>
      </c>
      <c r="B18553" s="2" t="str">
        <f>IFERROR(__xludf.DUMMYFUNCTION("GOOGLETRANSLATE(A18553, ""en"", ""mt"")"),"studenti gradwati u li għadhom ma ggradwawx")</f>
        <v>studenti gradwati u li għadhom ma ggradwawx</v>
      </c>
    </row>
    <row r="18554" ht="15.75" customHeight="1">
      <c r="A18554" s="2" t="s">
        <v>18554</v>
      </c>
      <c r="B18554" s="2" t="str">
        <f>IFERROR(__xludf.DUMMYFUNCTION("GOOGLETRANSLATE(A18554, ""en"", ""mt"")"),"tliet reġjuni")</f>
        <v>tliet reġjuni</v>
      </c>
    </row>
    <row r="18555" ht="15.75" customHeight="1">
      <c r="A18555" s="2" t="s">
        <v>18555</v>
      </c>
      <c r="B18555" s="2" t="str">
        <f>IFERROR(__xludf.DUMMYFUNCTION("GOOGLETRANSLATE(A18555, ""en"", ""mt"")"),"Liema arma rrappurtat Marco Pol bħala l-kawża tal-mewt ta 'Genghis Khan?")</f>
        <v>Liema arma rrappurtat Marco Pol bħala l-kawża tal-mewt ta 'Genghis Khan?</v>
      </c>
    </row>
    <row r="18556" ht="15.75" customHeight="1">
      <c r="A18556" s="2" t="s">
        <v>18556</v>
      </c>
      <c r="B18556" s="2" t="str">
        <f>IFERROR(__xludf.DUMMYFUNCTION("GOOGLETRANSLATE(A18556, ""en"", ""mt"")"),"Meta l-Ingilterra ddikjarat formalment il-gwerra fuq Franza?")</f>
        <v>Meta l-Ingilterra ddikjarat formalment il-gwerra fuq Franza?</v>
      </c>
    </row>
    <row r="18557" ht="15.75" customHeight="1">
      <c r="A18557" s="2" t="s">
        <v>18557</v>
      </c>
      <c r="B18557" s="2" t="str">
        <f>IFERROR(__xludf.DUMMYFUNCTION("GOOGLETRANSLATE(A18557, ""en"", ""mt"")"),"X'inhu l-ktieb gwida għall-knejjes lokali u r-ragħajja?")</f>
        <v>X'inhu l-ktieb gwida għall-knejjes lokali u r-ragħajja?</v>
      </c>
    </row>
    <row r="18558" ht="15.75" customHeight="1">
      <c r="A18558" s="2" t="s">
        <v>18558</v>
      </c>
      <c r="B18558" s="2" t="str">
        <f>IFERROR(__xludf.DUMMYFUNCTION("GOOGLETRANSLATE(A18558, ""en"", ""mt"")"),"Min tradotta u stampat Luther's 95 dawn?")</f>
        <v>Min tradotta u stampat Luther's 95 dawn?</v>
      </c>
    </row>
    <row r="18559" ht="15.75" customHeight="1">
      <c r="A18559" s="2" t="s">
        <v>18559</v>
      </c>
      <c r="B18559" s="2" t="str">
        <f>IFERROR(__xludf.DUMMYFUNCTION("GOOGLETRANSLATE(A18559, ""en"", ""mt"")"),"eħfef")</f>
        <v>eħfef</v>
      </c>
    </row>
    <row r="18560" ht="15.75" customHeight="1">
      <c r="A18560" s="2" t="s">
        <v>18560</v>
      </c>
      <c r="B18560" s="2" t="str">
        <f>IFERROR(__xludf.DUMMYFUNCTION("GOOGLETRANSLATE(A18560, ""en"", ""mt"")"),"22,000 oġġett")</f>
        <v>22,000 oġġett</v>
      </c>
    </row>
    <row r="18561" ht="15.75" customHeight="1">
      <c r="A18561" s="2" t="s">
        <v>18561</v>
      </c>
      <c r="B18561" s="2" t="str">
        <f>IFERROR(__xludf.DUMMYFUNCTION("GOOGLETRANSLATE(A18561, ""en"", ""mt"")"),"Żiffa tas-Sajf")</f>
        <v>Żiffa tas-Sajf</v>
      </c>
    </row>
    <row r="18562" ht="15.75" customHeight="1">
      <c r="A18562" s="2" t="s">
        <v>18562</v>
      </c>
      <c r="B18562" s="2" t="str">
        <f>IFERROR(__xludf.DUMMYFUNCTION("GOOGLETRANSLATE(A18562, ""en"", ""mt"")"),"inqas minn jew daqs l-għerq kwadru ta 'n")</f>
        <v>inqas minn jew daqs l-għerq kwadru ta 'n</v>
      </c>
    </row>
    <row r="18563" ht="15.75" customHeight="1">
      <c r="A18563" s="2" t="s">
        <v>18563</v>
      </c>
      <c r="B18563" s="2" t="str">
        <f>IFERROR(__xludf.DUMMYFUNCTION("GOOGLETRANSLATE(A18563, ""en"", ""mt"")"),"Tbaħħir ta 'skart tossiku")</f>
        <v>Tbaħħir ta 'skart tossiku</v>
      </c>
    </row>
    <row r="18564" ht="15.75" customHeight="1">
      <c r="A18564" s="2" t="s">
        <v>18564</v>
      </c>
      <c r="B18564" s="2" t="str">
        <f>IFERROR(__xludf.DUMMYFUNCTION("GOOGLETRANSLATE(A18564, ""en"", ""mt"")"),"Imwaqqfa mis-Soċjetà tal-Edukazzjoni Battista Amerikana b'donazzjoni mill-magnate taż-żejt u l-aktar raġel sinjur fl-istorja John D. Rockefeller, l-Università ta 'Chicago ġiet inkorporata fl-1890; William Rainey Harper sar l-ewwel president tal-università"&amp;" fl-1891, u l-ewwel klassijiet saru fl-1892. Kemm Harper kif ukoll il-President futur Robert Maynard Hutchins favur il-kurrikulu ta 'Chicago li huma bbażati fuq kwistjonijiet teoretiċi u perenni aktar milli fuq ix-xjenzi applikati u l-utilità kummerċjali."&amp;" Bil-viżjoni ta 'Harper f'moħħha, l-Università ta' Chicago saret ukoll waħda mill-14-il membru fundatur tal-Assoċjazzjoni ta 'l-Universitajiet Amerikani, organizzazzjoni internazzjonali ta' universitajiet ewlenin ta 'riċerka, fl-1900.")</f>
        <v>Imwaqqfa mis-Soċjetà tal-Edukazzjoni Battista Amerikana b'donazzjoni mill-magnate taż-żejt u l-aktar raġel sinjur fl-istorja John D. Rockefeller, l-Università ta 'Chicago ġiet inkorporata fl-1890; William Rainey Harper sar l-ewwel president tal-università fl-1891, u l-ewwel klassijiet saru fl-1892. Kemm Harper kif ukoll il-President futur Robert Maynard Hutchins favur il-kurrikulu ta 'Chicago li huma bbażati fuq kwistjonijiet teoretiċi u perenni aktar milli fuq ix-xjenzi applikati u l-utilità kummerċjali. Bil-viżjoni ta 'Harper f'moħħha, l-Università ta' Chicago saret ukoll waħda mill-14-il membru fundatur tal-Assoċjazzjoni ta 'l-Universitajiet Amerikani, organizzazzjoni internazzjonali ta' universitajiet ewlenin ta 'riċerka, fl-1900.</v>
      </c>
    </row>
    <row r="18565" ht="15.75" customHeight="1">
      <c r="A18565" s="2" t="s">
        <v>18565</v>
      </c>
      <c r="B18565" s="2" t="str">
        <f>IFERROR(__xludf.DUMMYFUNCTION("GOOGLETRANSLATE(A18565, ""en"", ""mt"")"),"Din saret ġustifikazzjoni morali biex titneħħa d-dinja sa l-istandards Franċiżi billi ġġib il-Kristjaneżmu u l-kultura Franċiża. Fl-1884 l-esponent ewlieni tal-kolonjaliżmu, Jules Ferry iddikjara li Franza kellha missjoni ċivilizzanti: ""Ir-razez ogħla għ"&amp;"andhom dritt fuq ir-razez l-aktar baxxi, għandhom id-dmir li jivverifikaw l-inferjuri"". Id-drittijiet sħaħ taċ-ċittadinanza - ""assimilazzjoni"" - ġew offruti, għalkemm fir-realtà l-assimilazzjoni kienet dejjem fuq l-orizzont imbiegħed. B'kuntrast mill-G"&amp;"ran Brittanja, Franza bagħtet numru żgħir ta 'kolonizzaturi lill-kolonji tagħha, bl-unika eċċezzjoni notevoli tal-Alġerija, fejn il-kolonizzaturi Franċiżi madankollu dejjem baqgħu minoranza żgħira.")</f>
        <v>Din saret ġustifikazzjoni morali biex titneħħa d-dinja sa l-istandards Franċiżi billi ġġib il-Kristjaneżmu u l-kultura Franċiża. Fl-1884 l-esponent ewlieni tal-kolonjaliżmu, Jules Ferry iddikjara li Franza kellha missjoni ċivilizzanti: "Ir-razez ogħla għandhom dritt fuq ir-razez l-aktar baxxi, għandhom id-dmir li jivverifikaw l-inferjuri". Id-drittijiet sħaħ taċ-ċittadinanza - "assimilazzjoni" - ġew offruti, għalkemm fir-realtà l-assimilazzjoni kienet dejjem fuq l-orizzont imbiegħed. B'kuntrast mill-Gran Brittanja, Franza bagħtet numru żgħir ta 'kolonizzaturi lill-kolonji tagħha, bl-unika eċċezzjoni notevoli tal-Alġerija, fejn il-kolonizzaturi Franċiżi madankollu dejjem baqgħu minoranza żgħira.</v>
      </c>
    </row>
    <row r="18566" ht="15.75" customHeight="1">
      <c r="A18566" s="2" t="s">
        <v>18566</v>
      </c>
      <c r="B18566" s="2" t="str">
        <f>IFERROR(__xludf.DUMMYFUNCTION("GOOGLETRANSLATE(A18566, ""en"", ""mt"")"),"Elimina l-multipli kollha ta '1 (jiġifieri, in-numri l-oħra kollha) u tipproduċi bħala output biss in-numru wieħed 1.")</f>
        <v>Elimina l-multipli kollha ta '1 (jiġifieri, in-numri l-oħra kollha) u tipproduċi bħala output biss in-numru wieħed 1.</v>
      </c>
    </row>
    <row r="18567" ht="15.75" customHeight="1">
      <c r="A18567" s="2" t="s">
        <v>18567</v>
      </c>
      <c r="B18567" s="2" t="str">
        <f>IFERROR(__xludf.DUMMYFUNCTION("GOOGLETRANSLATE(A18567, ""en"", ""mt"")"),"Koppla trasparenti magħmula minn ċili twil u immobbli")</f>
        <v>Koppla trasparenti magħmula minn ċili twil u immobbli</v>
      </c>
    </row>
    <row r="18568" ht="15.75" customHeight="1">
      <c r="A18568" s="2" t="s">
        <v>18568</v>
      </c>
      <c r="B18568" s="2" t="str">
        <f>IFERROR(__xludf.DUMMYFUNCTION("GOOGLETRANSLATE(A18568, ""en"", ""mt"")"),"Fl-999")</f>
        <v>Fl-999</v>
      </c>
    </row>
    <row r="18569" ht="15.75" customHeight="1">
      <c r="A18569" s="2" t="s">
        <v>18569</v>
      </c>
      <c r="B18569" s="2" t="str">
        <f>IFERROR(__xludf.DUMMYFUNCTION("GOOGLETRANSLATE(A18569, ""en"", ""mt"")"),"Kap kittieb u produttur eżekuttiv")</f>
        <v>Kap kittieb u produttur eżekuttiv</v>
      </c>
    </row>
    <row r="18570" ht="15.75" customHeight="1">
      <c r="A18570" s="2" t="s">
        <v>18570</v>
      </c>
      <c r="B18570" s="2" t="str">
        <f>IFERROR(__xludf.DUMMYFUNCTION("GOOGLETRANSLATE(A18570, ""en"", ""mt"")"),"Immaniġġja d-dipartiment tal-ispiżerija u żoni speċjalizzati")</f>
        <v>Immaniġġja d-dipartiment tal-ispiżerija u żoni speċjalizzati</v>
      </c>
    </row>
    <row r="18571" ht="15.75" customHeight="1">
      <c r="A18571" s="2" t="s">
        <v>18571</v>
      </c>
      <c r="B18571" s="2" t="str">
        <f>IFERROR(__xludf.DUMMYFUNCTION("GOOGLETRANSLATE(A18571, ""en"", ""mt"")"),"Harold Winston appoġġa liema pajjiż matul il-gwerra tas-sitt ijiem tiegħu?")</f>
        <v>Harold Winston appoġġa liema pajjiż matul il-gwerra tas-sitt ijiem tiegħu?</v>
      </c>
    </row>
    <row r="18572" ht="15.75" customHeight="1">
      <c r="A18572" s="2" t="s">
        <v>18572</v>
      </c>
      <c r="B18572" s="2" t="str">
        <f>IFERROR(__xludf.DUMMYFUNCTION("GOOGLETRANSLATE(A18572, ""en"", ""mt"")"),"2 ta 'Jannar, 1971")</f>
        <v>2 ta 'Jannar, 1971</v>
      </c>
    </row>
    <row r="18573" ht="15.75" customHeight="1">
      <c r="A18573" s="2" t="s">
        <v>18573</v>
      </c>
      <c r="B18573" s="2" t="str">
        <f>IFERROR(__xludf.DUMMYFUNCTION("GOOGLETRANSLATE(A18573, ""en"", ""mt"")"),"F'liema Super Bowl lagħbu Rivera?")</f>
        <v>F'liema Super Bowl lagħbu Rivera?</v>
      </c>
    </row>
    <row r="18574" ht="15.75" customHeight="1">
      <c r="A18574" s="2" t="s">
        <v>18574</v>
      </c>
      <c r="B18574" s="2" t="str">
        <f>IFERROR(__xludf.DUMMYFUNCTION("GOOGLETRANSLATE(A18574, ""en"", ""mt"")"),"Liema innu kiteb Luther wara l-martirju ta 'Esch u Voes?")</f>
        <v>Liema innu kiteb Luther wara l-martirju ta 'Esch u Voes?</v>
      </c>
    </row>
    <row r="18575" ht="15.75" customHeight="1">
      <c r="A18575" s="2" t="s">
        <v>18575</v>
      </c>
      <c r="B18575" s="2" t="str">
        <f>IFERROR(__xludf.DUMMYFUNCTION("GOOGLETRANSLATE(A18575, ""en"", ""mt"")"),"ippjanat li tattakka Fort Niagara")</f>
        <v>ippjanat li tattakka Fort Niagara</v>
      </c>
    </row>
    <row r="18576" ht="15.75" customHeight="1">
      <c r="A18576" s="2" t="s">
        <v>18576</v>
      </c>
      <c r="B18576" s="2" t="str">
        <f>IFERROR(__xludf.DUMMYFUNCTION("GOOGLETRANSLATE(A18576, ""en"", ""mt"")"),"Elettroni mhux imqabbda")</f>
        <v>Elettroni mhux imqabbda</v>
      </c>
    </row>
    <row r="18577" ht="15.75" customHeight="1">
      <c r="A18577" s="2" t="s">
        <v>18577</v>
      </c>
      <c r="B18577" s="2" t="str">
        <f>IFERROR(__xludf.DUMMYFUNCTION("GOOGLETRANSLATE(A18577, ""en"", ""mt"")"),"Meta ntemmet il-Gwerra Franċiża u Indjana ta 'l-Amerika ta' Fuq?")</f>
        <v>Meta ntemmet il-Gwerra Franċiża u Indjana ta 'l-Amerika ta' Fuq?</v>
      </c>
    </row>
    <row r="18578" ht="15.75" customHeight="1">
      <c r="A18578" s="2" t="s">
        <v>18578</v>
      </c>
      <c r="B18578" s="2" t="str">
        <f>IFERROR(__xludf.DUMMYFUNCTION("GOOGLETRANSLATE(A18578, ""en"", ""mt"")"),"Derision")</f>
        <v>Derision</v>
      </c>
    </row>
    <row r="18579" ht="15.75" customHeight="1">
      <c r="A18579" s="2" t="s">
        <v>18579</v>
      </c>
      <c r="B18579" s="2" t="str">
        <f>IFERROR(__xludf.DUMMYFUNCTION("GOOGLETRANSLATE(A18579, ""en"", ""mt"")"),"Programm ta 'Żvilupp Ekonomiku")</f>
        <v>Programm ta 'Żvilupp Ekonomiku</v>
      </c>
    </row>
    <row r="18580" ht="15.75" customHeight="1">
      <c r="A18580" s="2" t="s">
        <v>18580</v>
      </c>
      <c r="B18580" s="2" t="str">
        <f>IFERROR(__xludf.DUMMYFUNCTION("GOOGLETRANSLATE(A18580, ""en"", ""mt"")"),"Liema klijenti ta 'smartphone kienu l-uniċi nies li setgħu jxandru l-logħba fuq it-telefowns tagħhom?")</f>
        <v>Liema klijenti ta 'smartphone kienu l-uniċi nies li setgħu jxandru l-logħba fuq it-telefowns tagħhom?</v>
      </c>
    </row>
    <row r="18581" ht="15.75" customHeight="1">
      <c r="A18581" s="2" t="s">
        <v>18581</v>
      </c>
      <c r="B18581" s="2" t="str">
        <f>IFERROR(__xludf.DUMMYFUNCTION("GOOGLETRANSLATE(A18581, ""en"", ""mt"")"),"Euutelsat's Eurobind 1")</f>
        <v>Euutelsat's Eurobind 1</v>
      </c>
    </row>
    <row r="18582" ht="15.75" customHeight="1">
      <c r="A18582" s="2" t="s">
        <v>18582</v>
      </c>
      <c r="B18582" s="2" t="str">
        <f>IFERROR(__xludf.DUMMYFUNCTION("GOOGLETRANSLATE(A18582, ""en"", ""mt"")"),"Uchicago jiddikjara li għandu x'tip ta 'esperjenza ta' tagħlim meta mqabbel ma 'universitajiet oħra?")</f>
        <v>Uchicago jiddikjara li għandu x'tip ta 'esperjenza ta' tagħlim meta mqabbel ma 'universitajiet oħra?</v>
      </c>
    </row>
    <row r="18583" ht="15.75" customHeight="1">
      <c r="A18583" s="2" t="s">
        <v>18583</v>
      </c>
      <c r="B18583" s="2" t="str">
        <f>IFERROR(__xludf.DUMMYFUNCTION("GOOGLETRANSLATE(A18583, ""en"", ""mt"")"),"imfakkar u mibdul")</f>
        <v>imfakkar u mibdul</v>
      </c>
    </row>
    <row r="18584" ht="15.75" customHeight="1">
      <c r="A18584" s="2" t="s">
        <v>18584</v>
      </c>
      <c r="B18584" s="2" t="str">
        <f>IFERROR(__xludf.DUMMYFUNCTION("GOOGLETRANSLATE(A18584, ""en"", ""mt"")"),"Meta d-data tal-Quilt Tristan Sqalli?")</f>
        <v>Meta d-data tal-Quilt Tristan Sqalli?</v>
      </c>
    </row>
    <row r="18585" ht="15.75" customHeight="1">
      <c r="A18585" s="2" t="s">
        <v>18585</v>
      </c>
      <c r="B18585" s="2" t="str">
        <f>IFERROR(__xludf.DUMMYFUNCTION("GOOGLETRANSLATE(A18585, ""en"", ""mt"")"),"Id-diżubbidjenza ċivili rivoluzzjonarja lejn il-kultura hija enfasizzata bl-eżempju ta 'min?")</f>
        <v>Id-diżubbidjenza ċivili rivoluzzjonarja lejn il-kultura hija enfasizzata bl-eżempju ta 'min?</v>
      </c>
    </row>
    <row r="18586" ht="15.75" customHeight="1">
      <c r="A18586" s="2" t="s">
        <v>18586</v>
      </c>
      <c r="B18586" s="2" t="str">
        <f>IFERROR(__xludf.DUMMYFUNCTION("GOOGLETRANSLATE(A18586, ""en"", ""mt"")"),"onorat")</f>
        <v>onorat</v>
      </c>
    </row>
    <row r="18587" ht="15.75" customHeight="1">
      <c r="A18587" s="2" t="s">
        <v>18587</v>
      </c>
      <c r="B18587" s="2" t="str">
        <f>IFERROR(__xludf.DUMMYFUNCTION("GOOGLETRANSLATE(A18587, ""en"", ""mt"")"),"Huguenots fil-Killeshandra u l-Kontea ta 'Cavan espandew liema industrija agrikola?")</f>
        <v>Huguenots fil-Killeshandra u l-Kontea ta 'Cavan espandew liema industrija agrikola?</v>
      </c>
    </row>
    <row r="18588" ht="15.75" customHeight="1">
      <c r="A18588" s="2" t="s">
        <v>18588</v>
      </c>
      <c r="B18588" s="2" t="str">
        <f>IFERROR(__xludf.DUMMYFUNCTION("GOOGLETRANSLATE(A18588, ""en"", ""mt"")"),"ċediet b'mod paċifiku mingħajr ma tirreżisti b'mod vjolenti")</f>
        <v>ċediet b'mod paċifiku mingħajr ma tirreżisti b'mod vjolenti</v>
      </c>
    </row>
    <row r="18589" ht="15.75" customHeight="1">
      <c r="A18589" s="2" t="s">
        <v>18589</v>
      </c>
      <c r="B18589" s="2" t="str">
        <f>IFERROR(__xludf.DUMMYFUNCTION("GOOGLETRANSLATE(A18589, ""en"", ""mt"")"),"Kemm kellu Newton fis-Super Bowl 50?")</f>
        <v>Kemm kellu Newton fis-Super Bowl 50?</v>
      </c>
    </row>
    <row r="18590" ht="15.75" customHeight="1">
      <c r="A18590" s="2" t="s">
        <v>18590</v>
      </c>
      <c r="B18590" s="2" t="str">
        <f>IFERROR(__xludf.DUMMYFUNCTION("GOOGLETRANSLATE(A18590, ""en"", ""mt"")"),"Newcastle għandha tliet katidrali, l-Anglikan San Nikola, bit-torri eleganti tal-fanal tal-1474, il-Kattolika Rumana Santa Marija ddisinjata minn Augustus Welby Pugin u l-Katidral Koptiku li jinsabu fi Fenham. It-tliet katidrali kollha bdew ħajjithom bħal"&amp;"a knejjes parrokkjali. Santa Marija saret katidral fl-1850 u San Nikola fl-1882. Knisja prominenti oħra fiċ-ċentru tal-belt hija l-Knisja ta ’San Tumas il-martri li hija l-unika knisja parrokkjali fil-Knisja tal-Ingilterra mingħajr parroċċa u li mhix part"&amp;"ikolari.")</f>
        <v>Newcastle għandha tliet katidrali, l-Anglikan San Nikola, bit-torri eleganti tal-fanal tal-1474, il-Kattolika Rumana Santa Marija ddisinjata minn Augustus Welby Pugin u l-Katidral Koptiku li jinsabu fi Fenham. It-tliet katidrali kollha bdew ħajjithom bħala knejjes parrokkjali. Santa Marija saret katidral fl-1850 u San Nikola fl-1882. Knisja prominenti oħra fiċ-ċentru tal-belt hija l-Knisja ta ’San Tumas il-martri li hija l-unika knisja parrokkjali fil-Knisja tal-Ingilterra mingħajr parroċċa u li mhix partikolari.</v>
      </c>
    </row>
    <row r="18591" ht="15.75" customHeight="1">
      <c r="A18591" s="2" t="s">
        <v>18591</v>
      </c>
      <c r="B18591" s="2" t="str">
        <f>IFERROR(__xludf.DUMMYFUNCTION("GOOGLETRANSLATE(A18591, ""en"", ""mt"")"),"Liema programm ta 'drama ġie kkanċellat minn ABC wara li ġirja ħażina f'nofs l-2010-11?")</f>
        <v>Liema programm ta 'drama ġie kkanċellat minn ABC wara li ġirja ħażina f'nofs l-2010-11?</v>
      </c>
    </row>
    <row r="18592" ht="15.75" customHeight="1">
      <c r="A18592" s="2" t="s">
        <v>18592</v>
      </c>
      <c r="B18592" s="2" t="str">
        <f>IFERROR(__xludf.DUMMYFUNCTION("GOOGLETRANSLATE(A18592, ""en"", ""mt"")"),"ottimali")</f>
        <v>ottimali</v>
      </c>
    </row>
    <row r="18593" ht="15.75" customHeight="1">
      <c r="A18593" s="2" t="s">
        <v>18593</v>
      </c>
      <c r="B18593" s="2" t="str">
        <f>IFERROR(__xludf.DUMMYFUNCTION("GOOGLETRANSLATE(A18593, ""en"", ""mt"")"),"Il-Falcons ta 'Atlanta")</f>
        <v>Il-Falcons ta 'Atlanta</v>
      </c>
    </row>
    <row r="18594" ht="15.75" customHeight="1">
      <c r="A18594" s="2" t="s">
        <v>18594</v>
      </c>
      <c r="B18594" s="2" t="str">
        <f>IFERROR(__xludf.DUMMYFUNCTION("GOOGLETRANSLATE(A18594, ""en"", ""mt"")"),"Liema Scholar Konservattiv tar-Relazzjonijiet Internazzjonali huwa wkoll alumni tal-università?")</f>
        <v>Liema Scholar Konservattiv tar-Relazzjonijiet Internazzjonali huwa wkoll alumni tal-università?</v>
      </c>
    </row>
    <row r="18595" ht="15.75" customHeight="1">
      <c r="A18595" s="2" t="s">
        <v>18595</v>
      </c>
      <c r="B18595" s="2" t="str">
        <f>IFERROR(__xludf.DUMMYFUNCTION("GOOGLETRANSLATE(A18595, ""en"", ""mt"")"),"bejn 150,000 u 200,000")</f>
        <v>bejn 150,000 u 200,000</v>
      </c>
    </row>
    <row r="18596" ht="15.75" customHeight="1">
      <c r="A18596" s="2" t="s">
        <v>18596</v>
      </c>
      <c r="B18596" s="2" t="str">
        <f>IFERROR(__xludf.DUMMYFUNCTION("GOOGLETRANSLATE(A18596, ""en"", ""mt"")"),"X'intuża biex tinħoloq teorija elettromanjetika ġdida biex tirrikonċilja l-problemi mat-teorija elettromanjetika kif kienet toqgħod?")</f>
        <v>X'intuża biex tinħoloq teorija elettromanjetika ġdida biex tirrikonċilja l-problemi mat-teorija elettromanjetika kif kienet toqgħod?</v>
      </c>
    </row>
    <row r="18597" ht="15.75" customHeight="1">
      <c r="A18597" s="2" t="s">
        <v>18597</v>
      </c>
      <c r="B18597" s="2" t="str">
        <f>IFERROR(__xludf.DUMMYFUNCTION("GOOGLETRANSLATE(A18597, ""en"", ""mt"")"),"CEPR")</f>
        <v>CEPR</v>
      </c>
    </row>
    <row r="18598" ht="15.75" customHeight="1">
      <c r="A18598" s="2" t="s">
        <v>18598</v>
      </c>
      <c r="B18598" s="2" t="str">
        <f>IFERROR(__xludf.DUMMYFUNCTION("GOOGLETRANSLATE(A18598, ""en"", ""mt"")"),"Possedimenti Kontinentali tal-Amerika ta ’Fuq fil-lvant tal-Mississippi jew il-Gżejjer tal-Karibew ta’ Guadeloupe u Martinique")</f>
        <v>Possedimenti Kontinentali tal-Amerika ta ’Fuq fil-lvant tal-Mississippi jew il-Gżejjer tal-Karibew ta’ Guadeloupe u Martinique</v>
      </c>
    </row>
    <row r="18599" ht="15.75" customHeight="1">
      <c r="A18599" s="2" t="s">
        <v>18599</v>
      </c>
      <c r="B18599" s="2" t="str">
        <f>IFERROR(__xludf.DUMMYFUNCTION("GOOGLETRANSLATE(A18599, ""en"", ""mt"")"),"1530s u 1540s")</f>
        <v>1530s u 1540s</v>
      </c>
    </row>
    <row r="18600" ht="15.75" customHeight="1">
      <c r="A18600" s="2" t="s">
        <v>18600</v>
      </c>
      <c r="B18600" s="2" t="str">
        <f>IFERROR(__xludf.DUMMYFUNCTION("GOOGLETRANSLATE(A18600, ""en"", ""mt"")"),"Min irċieva l-ballun li Cam Newton tilef waqt l-indirizz biex jagħmilha l-illandjar ta 'Denver?")</f>
        <v>Min irċieva l-ballun li Cam Newton tilef waqt l-indirizz biex jagħmilha l-illandjar ta 'Denver?</v>
      </c>
    </row>
    <row r="18601" ht="15.75" customHeight="1">
      <c r="A18601" s="2" t="s">
        <v>18601</v>
      </c>
      <c r="B18601" s="2" t="str">
        <f>IFERROR(__xludf.DUMMYFUNCTION("GOOGLETRANSLATE(A18601, ""en"", ""mt"")"),"F'Lulju 1888, Brown u Peck innegozjaw ftehim ta 'liċenzjar ma' George Westinghouse għad-disinji tal-mutur u t-transformer tal-polifase ta 'Tesla għal $ 60,000 fi flus kontanti u stokk u royalties ta' $ 2.50 għal kull horsepower AC prodott minn kull mutur."&amp;" Westinghouse wkoll ingaġġat lil Tesla għal sena għall-ħlas kbir ta '$ 2,000 ($ 52,700 fid-dollari tal-lum) fix-xahar biex tkun konsulent fil-Pittsburgh Labs tal-Westinghouse Electric &amp; Manufacturing Company.")</f>
        <v>F'Lulju 1888, Brown u Peck innegozjaw ftehim ta 'liċenzjar ma' George Westinghouse għad-disinji tal-mutur u t-transformer tal-polifase ta 'Tesla għal $ 60,000 fi flus kontanti u stokk u royalties ta' $ 2.50 għal kull horsepower AC prodott minn kull mutur. Westinghouse wkoll ingaġġat lil Tesla għal sena għall-ħlas kbir ta '$ 2,000 ($ 52,700 fid-dollari tal-lum) fix-xahar biex tkun konsulent fil-Pittsburgh Labs tal-Westinghouse Electric &amp; Manufacturing Company.</v>
      </c>
    </row>
    <row r="18602" ht="15.75" customHeight="1">
      <c r="A18602" s="2" t="s">
        <v>18602</v>
      </c>
      <c r="B18602" s="2" t="str">
        <f>IFERROR(__xludf.DUMMYFUNCTION("GOOGLETRANSLATE(A18602, ""en"", ""mt"")"),"Liema tribujiet appoġġjaw l-Ingliżi?")</f>
        <v>Liema tribujiet appoġġjaw l-Ingliżi?</v>
      </c>
    </row>
    <row r="18603" ht="15.75" customHeight="1">
      <c r="A18603" s="2" t="s">
        <v>18603</v>
      </c>
      <c r="B18603" s="2" t="str">
        <f>IFERROR(__xludf.DUMMYFUNCTION("GOOGLETRANSLATE(A18603, ""en"", ""mt"")"),"Xi jiddetermina l-valur marġinali miżjud minn attur ekonomiku?")</f>
        <v>Xi jiddetermina l-valur marġinali miżjud minn attur ekonomiku?</v>
      </c>
    </row>
    <row r="18604" ht="15.75" customHeight="1">
      <c r="A18604" s="2" t="s">
        <v>18604</v>
      </c>
      <c r="B18604" s="2" t="str">
        <f>IFERROR(__xludf.DUMMYFUNCTION("GOOGLETRANSLATE(A18604, ""en"", ""mt"")"),"L-istudenti jibnu relazzjonijiet aktar b'saħħithom ma 'x'tip ta' għalliema?")</f>
        <v>L-istudenti jibnu relazzjonijiet aktar b'saħħithom ma 'x'tip ta' għalliema?</v>
      </c>
    </row>
    <row r="18605" ht="15.75" customHeight="1">
      <c r="A18605" s="2" t="s">
        <v>18605</v>
      </c>
      <c r="B18605" s="2" t="str">
        <f>IFERROR(__xludf.DUMMYFUNCTION("GOOGLETRANSLATE(A18605, ""en"", ""mt"")"),"jekk hux kien bil-kontenut tagħhom")</f>
        <v>jekk hux kien bil-kontenut tagħhom</v>
      </c>
    </row>
    <row r="18606" ht="15.75" customHeight="1">
      <c r="A18606" s="2" t="s">
        <v>18606</v>
      </c>
      <c r="B18606" s="2" t="str">
        <f>IFERROR(__xludf.DUMMYFUNCTION("GOOGLETRANSLATE(A18606, ""en"", ""mt"")"),"kompletament uman")</f>
        <v>kompletament uman</v>
      </c>
    </row>
    <row r="18607" ht="15.75" customHeight="1">
      <c r="A18607" s="2" t="s">
        <v>18607</v>
      </c>
      <c r="B18607" s="2" t="str">
        <f>IFERROR(__xludf.DUMMYFUNCTION("GOOGLETRANSLATE(A18607, ""en"", ""mt"")"),"għanijiet personali")</f>
        <v>għanijiet personali</v>
      </c>
    </row>
    <row r="18608" ht="15.75" customHeight="1">
      <c r="A18608" s="2" t="s">
        <v>18608</v>
      </c>
      <c r="B18608" s="2" t="str">
        <f>IFERROR(__xludf.DUMMYFUNCTION("GOOGLETRANSLATE(A18608, ""en"", ""mt"")"),"Solvabilità ta 'ekwazzjonijiet kwadratiċi")</f>
        <v>Solvabilità ta 'ekwazzjonijiet kwadratiċi</v>
      </c>
    </row>
    <row r="18609" ht="15.75" customHeight="1">
      <c r="A18609" s="2" t="s">
        <v>18609</v>
      </c>
      <c r="B18609" s="2" t="str">
        <f>IFERROR(__xludf.DUMMYFUNCTION("GOOGLETRANSLATE(A18609, ""en"", ""mt"")"),"Min neħħa l-ballun minn Cam Newton waqt li keċċah fuq din l-ispinta?")</f>
        <v>Min neħħa l-ballun minn Cam Newton waqt li keċċah fuq din l-ispinta?</v>
      </c>
    </row>
    <row r="18610" ht="15.75" customHeight="1">
      <c r="A18610" s="2" t="s">
        <v>18610</v>
      </c>
      <c r="B18610" s="2" t="str">
        <f>IFERROR(__xludf.DUMMYFUNCTION("GOOGLETRANSLATE(A18610, ""en"", ""mt"")"),"X'jiera Robert Koch li kienet il-kawża ta 'mard infettiv?")</f>
        <v>X'jiera Robert Koch li kienet il-kawża ta 'mard infettiv?</v>
      </c>
    </row>
    <row r="18611" ht="15.75" customHeight="1">
      <c r="A18611" s="2" t="s">
        <v>18611</v>
      </c>
      <c r="B18611" s="2" t="str">
        <f>IFERROR(__xludf.DUMMYFUNCTION("GOOGLETRANSLATE(A18611, ""en"", ""mt"")"),"pajjiżi")</f>
        <v>pajjiżi</v>
      </c>
    </row>
    <row r="18612" ht="15.75" customHeight="1">
      <c r="A18612" s="2" t="s">
        <v>18612</v>
      </c>
      <c r="B18612" s="2" t="str">
        <f>IFERROR(__xludf.DUMMYFUNCTION("GOOGLETRANSLATE(A18612, ""en"", ""mt"")"),"X'inhi xi ħaġa li l-għalliem huma f'riskju għoli?")</f>
        <v>X'inhi xi ħaġa li l-għalliem huma f'riskju għoli?</v>
      </c>
    </row>
    <row r="18613" ht="15.75" customHeight="1">
      <c r="A18613" s="2" t="s">
        <v>18613</v>
      </c>
      <c r="B18613" s="2" t="str">
        <f>IFERROR(__xludf.DUMMYFUNCTION("GOOGLETRANSLATE(A18613, ""en"", ""mt"")"),"Min kiteb in-Nong Shu?")</f>
        <v>Min kiteb in-Nong Shu?</v>
      </c>
    </row>
    <row r="18614" ht="15.75" customHeight="1">
      <c r="A18614" s="2" t="s">
        <v>18614</v>
      </c>
      <c r="B18614" s="2" t="str">
        <f>IFERROR(__xludf.DUMMYFUNCTION("GOOGLETRANSLATE(A18614, ""en"", ""mt"")"),"Meta Martin Luther ipprotesta l-bejgħ ta 'indulġenzi lill-isqof tiegħu?")</f>
        <v>Meta Martin Luther ipprotesta l-bejgħ ta 'indulġenzi lill-isqof tiegħu?</v>
      </c>
    </row>
    <row r="18615" ht="15.75" customHeight="1">
      <c r="A18615" s="2" t="s">
        <v>18615</v>
      </c>
      <c r="B18615" s="2" t="str">
        <f>IFERROR(__xludf.DUMMYFUNCTION("GOOGLETRANSLATE(A18615, ""en"", ""mt"")"),"żewġt irġiel")</f>
        <v>żewġt irġiel</v>
      </c>
    </row>
    <row r="18616" ht="15.75" customHeight="1">
      <c r="A18616" s="2" t="s">
        <v>18616</v>
      </c>
      <c r="B18616" s="2" t="str">
        <f>IFERROR(__xludf.DUMMYFUNCTION("GOOGLETRANSLATE(A18616, ""en"", ""mt"")"),"żieda fl-art disponibbli għall-kultivazzjoni")</f>
        <v>żieda fl-art disponibbli għall-kultivazzjoni</v>
      </c>
    </row>
    <row r="18617" ht="15.75" customHeight="1">
      <c r="A18617" s="2" t="s">
        <v>18617</v>
      </c>
      <c r="B18617" s="2" t="str">
        <f>IFERROR(__xludf.DUMMYFUNCTION("GOOGLETRANSLATE(A18617, ""en"", ""mt"")"),"Ticonderoga Point,")</f>
        <v>Ticonderoga Point,</v>
      </c>
    </row>
    <row r="18618" ht="15.75" customHeight="1">
      <c r="A18618" s="2" t="s">
        <v>18618</v>
      </c>
      <c r="B18618" s="2" t="str">
        <f>IFERROR(__xludf.DUMMYFUNCTION("GOOGLETRANSLATE(A18618, ""en"", ""mt"")"),"a lama")</f>
        <v>a lama</v>
      </c>
    </row>
    <row r="18619" ht="15.75" customHeight="1">
      <c r="A18619" s="2" t="s">
        <v>18619</v>
      </c>
      <c r="B18619" s="2" t="str">
        <f>IFERROR(__xludf.DUMMYFUNCTION("GOOGLETRANSLATE(A18619, ""en"", ""mt"")"),"Xi jfisser pajjiż hekk kif jiżviluppa?")</f>
        <v>Xi jfisser pajjiż hekk kif jiżviluppa?</v>
      </c>
    </row>
    <row r="18620" ht="15.75" customHeight="1">
      <c r="A18620" s="2" t="s">
        <v>18620</v>
      </c>
      <c r="B18620" s="2" t="str">
        <f>IFERROR(__xludf.DUMMYFUNCTION("GOOGLETRANSLATE(A18620, ""en"", ""mt"")"),"splussivi fatali")</f>
        <v>splussivi fatali</v>
      </c>
    </row>
    <row r="18621" ht="15.75" customHeight="1">
      <c r="A18621" s="2" t="s">
        <v>18621</v>
      </c>
      <c r="B18621" s="2" t="str">
        <f>IFERROR(__xludf.DUMMYFUNCTION("GOOGLETRANSLATE(A18621, ""en"", ""mt"")"),"frammentazzjoni")</f>
        <v>frammentazzjoni</v>
      </c>
    </row>
    <row r="18622" ht="15.75" customHeight="1">
      <c r="A18622" s="2" t="s">
        <v>18622</v>
      </c>
      <c r="B18622" s="2" t="str">
        <f>IFERROR(__xludf.DUMMYFUNCTION("GOOGLETRANSLATE(A18622, ""en"", ""mt"")"),"X'inhi 'letteratura griża'?")</f>
        <v>X'inhi 'letteratura griża'?</v>
      </c>
    </row>
    <row r="18623" ht="15.75" customHeight="1">
      <c r="A18623" s="2" t="s">
        <v>18623</v>
      </c>
      <c r="B18623" s="2" t="str">
        <f>IFERROR(__xludf.DUMMYFUNCTION("GOOGLETRANSLATE(A18623, ""en"", ""mt"")"),"Kif tissejjaħ il-Kamra ta ’Fuq tal-Parlament tar-Rabat?")</f>
        <v>Kif tissejjaħ il-Kamra ta ’Fuq tal-Parlament tar-Rabat?</v>
      </c>
    </row>
    <row r="18624" ht="15.75" customHeight="1">
      <c r="A18624" s="2" t="s">
        <v>18624</v>
      </c>
      <c r="B18624" s="2" t="str">
        <f>IFERROR(__xludf.DUMMYFUNCTION("GOOGLETRANSLATE(A18624, ""en"", ""mt"")"),"Fejn ipprattika l-Broncos għal Super Bowl 50?")</f>
        <v>Fejn ipprattika l-Broncos għal Super Bowl 50?</v>
      </c>
    </row>
    <row r="18625" ht="15.75" customHeight="1">
      <c r="A18625" s="2" t="s">
        <v>18625</v>
      </c>
      <c r="B18625" s="2" t="str">
        <f>IFERROR(__xludf.DUMMYFUNCTION("GOOGLETRANSLATE(A18625, ""en"", ""mt"")"),"Kenneth Swezey,")</f>
        <v>Kenneth Swezey,</v>
      </c>
    </row>
    <row r="18626" ht="15.75" customHeight="1">
      <c r="A18626" s="2" t="s">
        <v>18626</v>
      </c>
      <c r="B18626" s="2" t="str">
        <f>IFERROR(__xludf.DUMMYFUNCTION("GOOGLETRANSLATE(A18626, ""en"", ""mt"")"),"Alternattivament, monomeri tal-glukosju fil-kloroplast jistgħu jkunu marbuta flimkien biex jagħmlu l-lamtu, li jakkumula fil-ħbub tal-lamtu misjuba fil-kloroplast. Taħt kundizzjonijiet bħal konċentrazzjonijiet għoljin ta 'CO2 atmosferiċi, dawn il-ħbub tal"&amp;"-lamtu jistgħu jikbru kbar ħafna, u jgħawġu l-grana u t-tilkoids. Il-granuli tal-lamtu jwarrbu t-tilakoids, imma jħalluhom intatti. L-għeruq bl-ilma jistgħu wkoll jikkawżaw akkumulazzjoni tal-lamtu fil-kloroplasti, possibilment minħabba li inqas sukrożju "&amp;"jiġi esportat barra mill-kloroplast (jew b'mod aktar preċiż, iċ-ċellula tal-pjanti). Dan jnaqqas il-provvista tal-fosfat ħieles tal-pjanta, li indirettament tistimula s-sinteżi tal-lamtu tal-kloroplast. Filwaqt li huma marbuta mar-rati baxxi ta 'fotosinte"&amp;"si, il-ħbub tal-lamtu nfushom jistgħu mhux neċessarjament jinterferixxu b'mod sinifikanti mal-effiċjenza tal-fotosintesi, u jista' jkun sempliċement effett sekondarju ta 'fattur ieħor li jiddependi mill-fotosintesi.")</f>
        <v>Alternattivament, monomeri tal-glukosju fil-kloroplast jistgħu jkunu marbuta flimkien biex jagħmlu l-lamtu, li jakkumula fil-ħbub tal-lamtu misjuba fil-kloroplast. Taħt kundizzjonijiet bħal konċentrazzjonijiet għoljin ta 'CO2 atmosferiċi, dawn il-ħbub tal-lamtu jistgħu jikbru kbar ħafna, u jgħawġu l-grana u t-tilkoids. Il-granuli tal-lamtu jwarrbu t-tilakoids, imma jħalluhom intatti. L-għeruq bl-ilma jistgħu wkoll jikkawżaw akkumulazzjoni tal-lamtu fil-kloroplasti, possibilment minħabba li inqas sukrożju jiġi esportat barra mill-kloroplast (jew b'mod aktar preċiż, iċ-ċellula tal-pjanti). Dan jnaqqas il-provvista tal-fosfat ħieles tal-pjanta, li indirettament tistimula s-sinteżi tal-lamtu tal-kloroplast. Filwaqt li huma marbuta mar-rati baxxi ta 'fotosintesi, il-ħbub tal-lamtu nfushom jistgħu mhux neċessarjament jinterferixxu b'mod sinifikanti mal-effiċjenza tal-fotosintesi, u jista' jkun sempliċement effett sekondarju ta 'fattur ieħor li jiddependi mill-fotosintesi.</v>
      </c>
    </row>
    <row r="18627" ht="15.75" customHeight="1">
      <c r="A18627" s="2" t="s">
        <v>18627</v>
      </c>
      <c r="B18627" s="2" t="str">
        <f>IFERROR(__xludf.DUMMYFUNCTION("GOOGLETRANSLATE(A18627, ""en"", ""mt"")"),"Fejn kienet maħsuba s-CM biex tinżel meta terġa 'tidħol fl-atmosfera tad-Dinja?")</f>
        <v>Fejn kienet maħsuba s-CM biex tinżel meta terġa 'tidħol fl-atmosfera tad-Dinja?</v>
      </c>
    </row>
    <row r="18628" ht="15.75" customHeight="1">
      <c r="A18628" s="2" t="s">
        <v>18628</v>
      </c>
      <c r="B18628" s="2" t="str">
        <f>IFERROR(__xludf.DUMMYFUNCTION("GOOGLETRANSLATE(A18628, ""en"", ""mt"")"),"is-sistema Iżlamika vera")</f>
        <v>is-sistema Iżlamika vera</v>
      </c>
    </row>
    <row r="18629" ht="15.75" customHeight="1">
      <c r="A18629" s="2" t="s">
        <v>18629</v>
      </c>
      <c r="B18629" s="2" t="str">
        <f>IFERROR(__xludf.DUMMYFUNCTION("GOOGLETRANSLATE(A18629, ""en"", ""mt"")"),"X'tip ta 'ċaħda tirriżulta f'reazzjoni immuni mnaqqsa u produzzjoni ta' antikorpi aktar baxxi?")</f>
        <v>X'tip ta 'ċaħda tirriżulta f'reazzjoni immuni mnaqqsa u produzzjoni ta' antikorpi aktar baxxi?</v>
      </c>
    </row>
    <row r="18630" ht="15.75" customHeight="1">
      <c r="A18630" s="2" t="s">
        <v>18630</v>
      </c>
      <c r="B18630" s="2" t="str">
        <f>IFERROR(__xludf.DUMMYFUNCTION("GOOGLETRANSLATE(A18630, ""en"", ""mt"")"),"Għal xiex intużaw spazji vojta fuq mapep tas-seklu dsatax?")</f>
        <v>Għal xiex intużaw spazji vojta fuq mapep tas-seklu dsatax?</v>
      </c>
    </row>
    <row r="18631" ht="15.75" customHeight="1">
      <c r="A18631" s="2" t="s">
        <v>18631</v>
      </c>
      <c r="B18631" s="2" t="str">
        <f>IFERROR(__xludf.DUMMYFUNCTION("GOOGLETRANSLATE(A18631, ""en"", ""mt"")"),"Impass kostituzzjonali huwa distint minn liema terminu ewlieni?")</f>
        <v>Impass kostituzzjonali huwa distint minn liema terminu ewlieni?</v>
      </c>
    </row>
    <row r="18632" ht="15.75" customHeight="1">
      <c r="A18632" s="2" t="s">
        <v>18632</v>
      </c>
      <c r="B18632" s="2" t="str">
        <f>IFERROR(__xludf.DUMMYFUNCTION("GOOGLETRANSLATE(A18632, ""en"", ""mt"")"),"Dak li pprovda inċentiv lill-imperi tal-Punent biex jikkolonizzaw l-Afrika?")</f>
        <v>Dak li pprovda inċentiv lill-imperi tal-Punent biex jikkolonizzaw l-Afrika?</v>
      </c>
    </row>
    <row r="18633" ht="15.75" customHeight="1">
      <c r="A18633" s="2" t="s">
        <v>18633</v>
      </c>
      <c r="B18633" s="2" t="str">
        <f>IFERROR(__xludf.DUMMYFUNCTION("GOOGLETRANSLATE(A18633, ""en"", ""mt"")"),"Bħala ""sieq"" muskolari")</f>
        <v>Bħala "sieq" muskolari</v>
      </c>
    </row>
    <row r="18634" ht="15.75" customHeight="1">
      <c r="A18634" s="2" t="s">
        <v>18634</v>
      </c>
      <c r="B18634" s="2" t="str">
        <f>IFERROR(__xludf.DUMMYFUNCTION("GOOGLETRANSLATE(A18634, ""en"", ""mt"")"),"1225")</f>
        <v>1225</v>
      </c>
    </row>
    <row r="18635" ht="15.75" customHeight="1">
      <c r="A18635" s="2" t="s">
        <v>18635</v>
      </c>
      <c r="B18635" s="2" t="str">
        <f>IFERROR(__xludf.DUMMYFUNCTION("GOOGLETRANSLATE(A18635, ""en"", ""mt"")"),"L-IPCC")</f>
        <v>L-IPCC</v>
      </c>
    </row>
    <row r="18636" ht="15.75" customHeight="1">
      <c r="A18636" s="2" t="s">
        <v>18636</v>
      </c>
      <c r="B18636" s="2" t="str">
        <f>IFERROR(__xludf.DUMMYFUNCTION("GOOGLETRANSLATE(A18636, ""en"", ""mt"")"),"is-seklu sittax")</f>
        <v>is-seklu sittax</v>
      </c>
    </row>
    <row r="18637" ht="15.75" customHeight="1">
      <c r="A18637" s="2" t="s">
        <v>18637</v>
      </c>
      <c r="B18637" s="2" t="str">
        <f>IFERROR(__xludf.DUMMYFUNCTION("GOOGLETRANSLATE(A18637, ""en"", ""mt"")"),"X'inhu l-laqam għad-Delta fl-Olanda?")</f>
        <v>X'inhu l-laqam għad-Delta fl-Olanda?</v>
      </c>
    </row>
    <row r="18638" ht="15.75" customHeight="1">
      <c r="A18638" s="2" t="s">
        <v>18638</v>
      </c>
      <c r="B18638" s="2" t="str">
        <f>IFERROR(__xludf.DUMMYFUNCTION("GOOGLETRANSLATE(A18638, ""en"", ""mt"")"),"Sfida għas-sistema legali li tippermetti li jittieħdu dawk id-deċiżjonijiet")</f>
        <v>Sfida għas-sistema legali li tippermetti li jittieħdu dawk id-deċiżjonijiet</v>
      </c>
    </row>
    <row r="18639" ht="15.75" customHeight="1">
      <c r="A18639" s="2" t="s">
        <v>18639</v>
      </c>
      <c r="B18639" s="2" t="str">
        <f>IFERROR(__xludf.DUMMYFUNCTION("GOOGLETRANSLATE(A18639, ""en"", ""mt"")"),"Ir-risposta ta 'Luther għall-affermazzjoni mill-ġdid tal-Antinomjani?")</f>
        <v>Ir-risposta ta 'Luther għall-affermazzjoni mill-ġdid tal-Antinomjani?</v>
      </c>
    </row>
    <row r="18640" ht="15.75" customHeight="1">
      <c r="A18640" s="2" t="s">
        <v>18640</v>
      </c>
      <c r="B18640" s="2" t="str">
        <f>IFERROR(__xludf.DUMMYFUNCTION("GOOGLETRANSLATE(A18640, ""en"", ""mt"")"),"Uħud mill-oġġetti miżmuma fil-Gallerija Jameel tal-Art Iżlamika ġejjin minn liema pajjiż Ewropew?")</f>
        <v>Uħud mill-oġġetti miżmuma fil-Gallerija Jameel tal-Art Iżlamika ġejjin minn liema pajjiż Ewropew?</v>
      </c>
    </row>
    <row r="18641" ht="15.75" customHeight="1">
      <c r="A18641" s="2" t="s">
        <v>18641</v>
      </c>
      <c r="B18641" s="2" t="str">
        <f>IFERROR(__xludf.DUMMYFUNCTION("GOOGLETRANSLATE(A18641, ""en"", ""mt"")"),"Id-deforestazzjoni naqset")</f>
        <v>Id-deforestazzjoni naqset</v>
      </c>
    </row>
    <row r="18642" ht="15.75" customHeight="1">
      <c r="A18642" s="2" t="s">
        <v>18642</v>
      </c>
      <c r="B18642" s="2" t="str">
        <f>IFERROR(__xludf.DUMMYFUNCTION("GOOGLETRANSLATE(A18642, ""en"", ""mt"")"),"F'liema sena l-eqdem spiżerija qalet li ġiet stabbilita?")</f>
        <v>F'liema sena l-eqdem spiżerija qalet li ġiet stabbilita?</v>
      </c>
    </row>
    <row r="18643" ht="15.75" customHeight="1">
      <c r="A18643" s="2" t="s">
        <v>18643</v>
      </c>
      <c r="B18643" s="2" t="str">
        <f>IFERROR(__xludf.DUMMYFUNCTION("GOOGLETRANSLATE(A18643, ""en"", ""mt"")"),"Distretti tan-Negozju Maġġuri")</f>
        <v>Distretti tan-Negozju Maġġuri</v>
      </c>
    </row>
    <row r="18644" ht="15.75" customHeight="1">
      <c r="A18644" s="2" t="s">
        <v>18644</v>
      </c>
      <c r="B18644" s="2" t="str">
        <f>IFERROR(__xludf.DUMMYFUNCTION("GOOGLETRANSLATE(A18644, ""en"", ""mt"")"),"Jacques Lefevre")</f>
        <v>Jacques Lefevre</v>
      </c>
    </row>
    <row r="18645" ht="15.75" customHeight="1">
      <c r="A18645" s="2" t="s">
        <v>18645</v>
      </c>
      <c r="B18645" s="2" t="str">
        <f>IFERROR(__xludf.DUMMYFUNCTION("GOOGLETRANSLATE(A18645, ""en"", ""mt"")"),"Fl-edizzjoni ta 'Awwissu 1917 tar-rivista Elettrical Experint Tesla postulat li l-elettriku jista' jintuża biex jinstab sottomarini permezz tal-użu tar-riflessjoni ta '""raġġ elettriku"" ta' ""frekwenza tremenda"", bis-sinjal li qed jitqies fuq skrin fluw"&amp;"orexxenti (sistema li għandha ġie nnutat li kellu xebh superfiċjali ma 'radar modern). Tesla ma kinitx korretta fis-suppożizzjoni tiegħu li l-mewġ tar-radju ta 'frekwenza għolja jippenetra l-ilma iżda Émile Girardeau, li għen biex tiżviluppa l-ewwel siste"&amp;"ma ta' radar ta 'Franza fis-snin 30, innotat fl-1953 li l-ispekulazzjoni ġenerali ta' Tesla li sinjal ta 'frekwenza għolja ħafna kienet meħtieġa li tiddikjara "" (Tesla) kien profeti jew joħlom, peress li kellu għad-dispożizzjoni tiegħu l-ebda mezz biex i"&amp;"ġorrhom, iżda wieħed irid iżid li jekk kien joħlom, għall-inqas kien joħlom sewwa. "": 266")</f>
        <v>Fl-edizzjoni ta 'Awwissu 1917 tar-rivista Elettrical Experint Tesla postulat li l-elettriku jista' jintuża biex jinstab sottomarini permezz tal-użu tar-riflessjoni ta '"raġġ elettriku" ta' "frekwenza tremenda", bis-sinjal li qed jitqies fuq skrin fluworexxenti (sistema li għandha ġie nnutat li kellu xebh superfiċjali ma 'radar modern). Tesla ma kinitx korretta fis-suppożizzjoni tiegħu li l-mewġ tar-radju ta 'frekwenza għolja jippenetra l-ilma iżda Émile Girardeau, li għen biex tiżviluppa l-ewwel sistema ta' radar ta 'Franza fis-snin 30, innotat fl-1953 li l-ispekulazzjoni ġenerali ta' Tesla li sinjal ta 'frekwenza għolja ħafna kienet meħtieġa li tiddikjara " (Tesla) kien profeti jew joħlom, peress li kellu għad-dispożizzjoni tiegħu l-ebda mezz biex iġorrhom, iżda wieħed irid iżid li jekk kien joħlom, għall-inqas kien joħlom sewwa. ": 266</v>
      </c>
    </row>
    <row r="18646" ht="15.75" customHeight="1">
      <c r="A18646" s="2" t="s">
        <v>18646</v>
      </c>
      <c r="B18646" s="2" t="str">
        <f>IFERROR(__xludf.DUMMYFUNCTION("GOOGLETRANSLATE(A18646, ""en"", ""mt"")"),"il-karatteristiċi tal-popli li jirbħu")</f>
        <v>il-karatteristiċi tal-popli li jirbħu</v>
      </c>
    </row>
    <row r="18647" ht="15.75" customHeight="1">
      <c r="A18647" s="2" t="s">
        <v>18647</v>
      </c>
      <c r="B18647" s="2" t="str">
        <f>IFERROR(__xludf.DUMMYFUNCTION("GOOGLETRANSLATE(A18647, ""en"", ""mt"")"),"F’liema sena l-V &amp; A fetħet l-ewwel gallerija tal-istorja arkitettonika permanenti fir-Renju Unit?")</f>
        <v>F’liema sena l-V &amp; A fetħet l-ewwel gallerija tal-istorja arkitettonika permanenti fir-Renju Unit?</v>
      </c>
    </row>
    <row r="18648" ht="15.75" customHeight="1">
      <c r="A18648" s="2" t="s">
        <v>18648</v>
      </c>
      <c r="B18648" s="2" t="str">
        <f>IFERROR(__xludf.DUMMYFUNCTION("GOOGLETRANSLATE(A18648, ""en"", ""mt"")"),"Perfezzjoni Nisranija")</f>
        <v>Perfezzjoni Nisranija</v>
      </c>
    </row>
    <row r="18649" ht="15.75" customHeight="1">
      <c r="A18649" s="2" t="s">
        <v>18649</v>
      </c>
      <c r="B18649" s="2" t="str">
        <f>IFERROR(__xludf.DUMMYFUNCTION("GOOGLETRANSLATE(A18649, ""en"", ""mt"")"),"Żwiġijiet tal-istess sess")</f>
        <v>Żwiġijiet tal-istess sess</v>
      </c>
    </row>
    <row r="18650" ht="15.75" customHeight="1">
      <c r="A18650" s="2" t="s">
        <v>18650</v>
      </c>
      <c r="B18650" s="2" t="str">
        <f>IFERROR(__xludf.DUMMYFUNCTION("GOOGLETRANSLATE(A18650, ""en"", ""mt"")"),"Il-liġi tal-kompetizzjoni tal-UE għandha l-oriġini tagħha fil-ftehim Ewropew tal-Komunità tal-Faħam u l-Azzar (ECSC) bejn Franza, l-Italja, il-Belġju, l-Olanda, il-Lussemburgu u l-Ġermanja fl-1951 wara t-Tieni Gwerra Dinjija. Il-ftehim kellu l-għan li jip"&amp;"prevjeni lill-Ġermanja milli terġa 'tistabbilixxi d-dominanza fil-produzzjoni tal-faħam u l-azzar hekk kif il-membri ħassew li d-dominanza tagħha kkontribwixxiet għat-tifqigħa tal-gwerra. L-Artikolu 65 tal-Ftehim ipprojbixxa kartelli u l-Artikolu 66 għame"&amp;"l dispożizzjonijiet għal konċentrazzjonijiet, jew għaqdiet, u l-abbuż ta 'pożizzjoni dominanti mill-kumpaniji. Din kienet l-ewwel darba li l-prinċipji tal-liġi tal-kompetizzjoni ġew inklużi fi ftehim reġjonali plurilaterali u stabbilixxew il-mudell trans-"&amp;"Ewropew tal-liġi tal-kompetizzjoni. Fl-1957 ir-regoli tal-kompetizzjoni ġew inklużi fit-Trattat ta 'Ruma, magħruf ukoll bħala t-Trattat tal-KE, li stabbilixxa l-Komunità Ekonomika Ewropea (KEE). It-Trattat ta 'Ruma stabbilixxa l-promulgazzjoni tal-liġi ta"&amp;"l-kompetizzjoni bħala wieħed mill-għanijiet ewlenin tal-KEE permezz ta' ""l-istituzzjoni ta 'sistema li tiżgura li l-kompetizzjoni fis-suq komuni ma tkunx mgħawġa"". Iż-żewġ dispożizzjonijiet ċentrali dwar il-liġi tal-kompetizzjoni tal-UE dwar il-kumpanij"&amp;"i ġew stabbiliti fl-Artikolu 85, li pprojbixxa ftehim anti-kompetittivi, soġġett għal xi eżenzjonijiet, u l-Artikolu 86 li jipprojbixxi l-abbuż ta 'pożizzjoni dominanti. It-trattat stabbilixxa wkoll prinċipji dwar il-liġi tal-kompetizzjoni għall-istati me"&amp;"mbri, bl-Artikolu 90 li jkopri impriżi pubbliċi, u l-Artikolu 92 jagħmel dispożizzjonijiet dwar l-għajnuna mill-Istat. Ir-regolamenti dwar l-għaqdiet ma kinux inklużi minħabba li l-Istati Membri ma setgħux jistabbilixxu kunsens dwar il-kwistjoni dak iż-żm"&amp;"ien.")</f>
        <v>Il-liġi tal-kompetizzjoni tal-UE għandha l-oriġini tagħha fil-ftehim Ewropew tal-Komunità tal-Faħam u l-Azzar (ECSC) bejn Franza, l-Italja, il-Belġju, l-Olanda, il-Lussemburgu u l-Ġermanja fl-1951 wara t-Tieni Gwerra Dinjija. Il-ftehim kellu l-għan li jipprevjeni lill-Ġermanja milli terġa 'tistabbilixxi d-dominanza fil-produzzjoni tal-faħam u l-azzar hekk kif il-membri ħassew li d-dominanza tagħha kkontribwixxiet għat-tifqigħa tal-gwerra. L-Artikolu 65 tal-Ftehim ipprojbixxa kartelli u l-Artikolu 66 għamel dispożizzjonijiet għal konċentrazzjonijiet, jew għaqdiet, u l-abbuż ta 'pożizzjoni dominanti mill-kumpaniji. Din kienet l-ewwel darba li l-prinċipji tal-liġi tal-kompetizzjoni ġew inklużi fi ftehim reġjonali plurilaterali u stabbilixxew il-mudell trans-Ewropew tal-liġi tal-kompetizzjoni. Fl-1957 ir-regoli tal-kompetizzjoni ġew inklużi fit-Trattat ta 'Ruma, magħruf ukoll bħala t-Trattat tal-KE, li stabbilixxa l-Komunità Ekonomika Ewropea (KEE). It-Trattat ta 'Ruma stabbilixxa l-promulgazzjoni tal-liġi tal-kompetizzjoni bħala wieħed mill-għanijiet ewlenin tal-KEE permezz ta' "l-istituzzjoni ta 'sistema li tiżgura li l-kompetizzjoni fis-suq komuni ma tkunx mgħawġa". Iż-żewġ dispożizzjonijiet ċentrali dwar il-liġi tal-kompetizzjoni tal-UE dwar il-kumpaniji ġew stabbiliti fl-Artikolu 85, li pprojbixxa ftehim anti-kompetittivi, soġġett għal xi eżenzjonijiet, u l-Artikolu 86 li jipprojbixxi l-abbuż ta 'pożizzjoni dominanti. It-trattat stabbilixxa wkoll prinċipji dwar il-liġi tal-kompetizzjoni għall-istati membri, bl-Artikolu 90 li jkopri impriżi pubbliċi, u l-Artikolu 92 jagħmel dispożizzjonijiet dwar l-għajnuna mill-Istat. Ir-regolamenti dwar l-għaqdiet ma kinux inklużi minħabba li l-Istati Membri ma setgħux jistabbilixxu kunsens dwar il-kwistjoni dak iż-żmien.</v>
      </c>
    </row>
    <row r="18651" ht="15.75" customHeight="1">
      <c r="A18651" s="2" t="s">
        <v>18651</v>
      </c>
      <c r="B18651" s="2" t="str">
        <f>IFERROR(__xludf.DUMMYFUNCTION("GOOGLETRANSLATE(A18651, ""en"", ""mt"")"),"61.1%")</f>
        <v>61.1%</v>
      </c>
    </row>
    <row r="18652" ht="15.75" customHeight="1">
      <c r="A18652" s="2" t="s">
        <v>18652</v>
      </c>
      <c r="B18652" s="2" t="str">
        <f>IFERROR(__xludf.DUMMYFUNCTION("GOOGLETRANSLATE(A18652, ""en"", ""mt"")"),"jikkoordina u jissorvelja l-funzjonijiet tal-gvern")</f>
        <v>jikkoordina u jissorvelja l-funzjonijiet tal-gvern</v>
      </c>
    </row>
    <row r="18653" ht="15.75" customHeight="1">
      <c r="A18653" s="2" t="s">
        <v>18653</v>
      </c>
      <c r="B18653" s="2" t="str">
        <f>IFERROR(__xludf.DUMMYFUNCTION("GOOGLETRANSLATE(A18653, ""en"", ""mt"")"),"Madwar miljun")</f>
        <v>Madwar miljun</v>
      </c>
    </row>
    <row r="18654" ht="15.75" customHeight="1">
      <c r="A18654" s="2" t="s">
        <v>18654</v>
      </c>
      <c r="B18654" s="2" t="str">
        <f>IFERROR(__xludf.DUMMYFUNCTION("GOOGLETRANSLATE(A18654, ""en"", ""mt"")"),"Medja tar-rata ta 'erba' korsijiet")</f>
        <v>Medja tar-rata ta 'erba' korsijiet</v>
      </c>
    </row>
    <row r="18655" ht="15.75" customHeight="1">
      <c r="A18655" s="2" t="s">
        <v>18655</v>
      </c>
      <c r="B18655" s="2" t="str">
        <f>IFERROR(__xludf.DUMMYFUNCTION("GOOGLETRANSLATE(A18655, ""en"", ""mt"")"),"X'jista 'jkollu l-gvern li jkollu għalliem qabel ma jitħalla jgħallem?")</f>
        <v>X'jista 'jkollu l-gvern li jkollu għalliem qabel ma jitħalla jgħallem?</v>
      </c>
    </row>
    <row r="18656" ht="15.75" customHeight="1">
      <c r="A18656" s="2" t="s">
        <v>18656</v>
      </c>
      <c r="B18656" s="2" t="str">
        <f>IFERROR(__xludf.DUMMYFUNCTION("GOOGLETRANSLATE(A18656, ""en"", ""mt"")"),"L-ekonomija tan-Nofsinhar ta 'California tista' tiġi deskritta bħala waħda mill-ikbar fl-Istati Uniti u liema karatteristika oħra?")</f>
        <v>L-ekonomija tan-Nofsinhar ta 'California tista' tiġi deskritta bħala waħda mill-ikbar fl-Istati Uniti u liema karatteristika oħra?</v>
      </c>
    </row>
    <row r="18657" ht="15.75" customHeight="1">
      <c r="A18657" s="2" t="s">
        <v>18657</v>
      </c>
      <c r="B18657" s="2" t="str">
        <f>IFERROR(__xludf.DUMMYFUNCTION("GOOGLETRANSLATE(A18657, ""en"", ""mt"")"),"Min ħatar Gegeen bħala Gran Kanċillier?")</f>
        <v>Min ħatar Gegeen bħala Gran Kanċillier?</v>
      </c>
    </row>
    <row r="18658" ht="15.75" customHeight="1">
      <c r="A18658" s="2" t="s">
        <v>18658</v>
      </c>
      <c r="B18658" s="2" t="str">
        <f>IFERROR(__xludf.DUMMYFUNCTION("GOOGLETRANSLATE(A18658, ""en"", ""mt"")"),"Iċ-ċelloli T qattiel jistgħu jirrikonoxxu biss antiġeni akkoppjati ma 'x'tip ta' molekuli?")</f>
        <v>Iċ-ċelloli T qattiel jistgħu jirrikonoxxu biss antiġeni akkoppjati ma 'x'tip ta' molekuli?</v>
      </c>
    </row>
    <row r="18659" ht="15.75" customHeight="1">
      <c r="A18659" s="2" t="s">
        <v>18659</v>
      </c>
      <c r="B18659" s="2" t="str">
        <f>IFERROR(__xludf.DUMMYFUNCTION("GOOGLETRANSLATE(A18659, ""en"", ""mt"")"),"Min kien l-Ispeaker tal-Kunsill Tribali?")</f>
        <v>Min kien l-Ispeaker tal-Kunsill Tribali?</v>
      </c>
    </row>
    <row r="18660" ht="15.75" customHeight="1">
      <c r="A18660" s="2" t="s">
        <v>18660</v>
      </c>
      <c r="B18660" s="2" t="str">
        <f>IFERROR(__xludf.DUMMYFUNCTION("GOOGLETRANSLATE(A18660, ""en"", ""mt"")"),"Min rebaħ il-kompetizzjoni biex jikseb Commercial Super Bowl b'xejn?")</f>
        <v>Min rebaħ il-kompetizzjoni biex jikseb Commercial Super Bowl b'xejn?</v>
      </c>
    </row>
    <row r="18661" ht="15.75" customHeight="1">
      <c r="A18661" s="2" t="s">
        <v>18661</v>
      </c>
      <c r="B18661" s="2" t="str">
        <f>IFERROR(__xludf.DUMMYFUNCTION("GOOGLETRANSLATE(A18661, ""en"", ""mt"")"),"X'inhu l-iskambju ta 'sett ta' obbligi bejn żewġ partijiet jew aktar?")</f>
        <v>X'inhu l-iskambju ta 'sett ta' obbligi bejn żewġ partijiet jew aktar?</v>
      </c>
    </row>
    <row r="18662" ht="15.75" customHeight="1">
      <c r="A18662" s="2" t="s">
        <v>18662</v>
      </c>
      <c r="B18662" s="2" t="str">
        <f>IFERROR(__xludf.DUMMYFUNCTION("GOOGLETRANSLATE(A18662, ""en"", ""mt"")"),"Dawn l-istrutturi tal-proġett jippermettu lis-sid jintegra s-servizzi ta 'min matul id-disinn u l-kostruzzjoni?")</f>
        <v>Dawn l-istrutturi tal-proġett jippermettu lis-sid jintegra s-servizzi ta 'min matul id-disinn u l-kostruzzjoni?</v>
      </c>
    </row>
    <row r="18663" ht="15.75" customHeight="1">
      <c r="A18663" s="2" t="s">
        <v>18663</v>
      </c>
      <c r="B18663" s="2" t="str">
        <f>IFERROR(__xludf.DUMMYFUNCTION("GOOGLETRANSLATE(A18663, ""en"", ""mt"")"),"Martin Sekulić")</f>
        <v>Martin Sekulić</v>
      </c>
    </row>
    <row r="18664" ht="15.75" customHeight="1">
      <c r="A18664" s="2" t="s">
        <v>18664</v>
      </c>
      <c r="B18664" s="2" t="str">
        <f>IFERROR(__xludf.DUMMYFUNCTION("GOOGLETRANSLATE(A18664, ""en"", ""mt"")"),"Xi tfisser il-fotosintesi fl-atmosfera tad-dinja?")</f>
        <v>Xi tfisser il-fotosintesi fl-atmosfera tad-dinja?</v>
      </c>
    </row>
    <row r="18665" ht="15.75" customHeight="1">
      <c r="A18665" s="2" t="s">
        <v>18665</v>
      </c>
      <c r="B18665" s="2" t="str">
        <f>IFERROR(__xludf.DUMMYFUNCTION("GOOGLETRANSLATE(A18665, ""en"", ""mt"")"),"L-UMC jemmen li Ġesù rrifjuta l-Les Talionis f’liema versi tal-Bibbja?")</f>
        <v>L-UMC jemmen li Ġesù rrifjuta l-Les Talionis f’liema versi tal-Bibbja?</v>
      </c>
    </row>
    <row r="18666" ht="15.75" customHeight="1">
      <c r="A18666" s="2" t="s">
        <v>18666</v>
      </c>
      <c r="B18666" s="2" t="str">
        <f>IFERROR(__xludf.DUMMYFUNCTION("GOOGLETRANSLATE(A18666, ""en"", ""mt"")"),"Fejn jistgħu jinstabu ħafna kitbiet ta 'Tesla?")</f>
        <v>Fejn jistgħu jinstabu ħafna kitbiet ta 'Tesla?</v>
      </c>
    </row>
    <row r="18667" ht="15.75" customHeight="1">
      <c r="A18667" s="2" t="s">
        <v>18667</v>
      </c>
      <c r="B18667" s="2" t="str">
        <f>IFERROR(__xludf.DUMMYFUNCTION("GOOGLETRANSLATE(A18667, ""en"", ""mt"")"),"Knisja tal-Kastell f'Wittenberg")</f>
        <v>Knisja tal-Kastell f'Wittenberg</v>
      </c>
    </row>
    <row r="18668" ht="15.75" customHeight="1">
      <c r="A18668" s="2" t="s">
        <v>18668</v>
      </c>
      <c r="B18668" s="2" t="str">
        <f>IFERROR(__xludf.DUMMYFUNCTION("GOOGLETRANSLATE(A18668, ""en"", ""mt"")"),"Komposti ta 'ossiġnu")</f>
        <v>Komposti ta 'ossiġnu</v>
      </c>
    </row>
    <row r="18669" ht="15.75" customHeight="1">
      <c r="A18669" s="2" t="s">
        <v>18669</v>
      </c>
      <c r="B18669" s="2" t="str">
        <f>IFERROR(__xludf.DUMMYFUNCTION("GOOGLETRANSLATE(A18669, ""en"", ""mt"")"),"Għal liema pubblikazzjoni ħadem Philip Howard?")</f>
        <v>Għal liema pubblikazzjoni ħadem Philip Howard?</v>
      </c>
    </row>
    <row r="18670" ht="15.75" customHeight="1">
      <c r="A18670" s="2" t="s">
        <v>18670</v>
      </c>
      <c r="B18670" s="2" t="str">
        <f>IFERROR(__xludf.DUMMYFUNCTION("GOOGLETRANSLATE(A18670, ""en"", ""mt"")"),"Numri komposti (in-numri ta 'Carmichael)")</f>
        <v>Numri komposti (in-numri ta 'Carmichael)</v>
      </c>
    </row>
    <row r="18671" ht="15.75" customHeight="1">
      <c r="A18671" s="2" t="s">
        <v>18671</v>
      </c>
      <c r="B18671" s="2" t="str">
        <f>IFERROR(__xludf.DUMMYFUNCTION("GOOGLETRANSLATE(A18671, ""en"", ""mt"")"),"Kemm hemm żoni metropolitani tal-popolazzjoni tan-Nofsinhar ta 'California?")</f>
        <v>Kemm hemm żoni metropolitani tal-popolazzjoni tan-Nofsinhar ta 'California?</v>
      </c>
    </row>
    <row r="18672" ht="15.75" customHeight="1">
      <c r="A18672" s="2" t="s">
        <v>18672</v>
      </c>
      <c r="B18672" s="2" t="str">
        <f>IFERROR(__xludf.DUMMYFUNCTION("GOOGLETRANSLATE(A18672, ""en"", ""mt"")"),"Iż-żoni ta 'Savannah espandew matul l-aħħar kemm snin?")</f>
        <v>Iż-żoni ta 'Savannah espandew matul l-aħħar kemm snin?</v>
      </c>
    </row>
    <row r="18673" ht="15.75" customHeight="1">
      <c r="A18673" s="2" t="s">
        <v>18673</v>
      </c>
      <c r="B18673" s="2" t="str">
        <f>IFERROR(__xludf.DUMMYFUNCTION("GOOGLETRANSLATE(A18673, ""en"", ""mt"")"),"Liema pajjiż jiltaqa 'ma' r-Renu huwa tributarji ewlenin?")</f>
        <v>Liema pajjiż jiltaqa 'ma' r-Renu huwa tributarji ewlenin?</v>
      </c>
    </row>
    <row r="18674" ht="15.75" customHeight="1">
      <c r="A18674" s="2" t="s">
        <v>18674</v>
      </c>
      <c r="B18674" s="2" t="str">
        <f>IFERROR(__xludf.DUMMYFUNCTION("GOOGLETRANSLATE(A18674, ""en"", ""mt"")"),"Dinastija")</f>
        <v>Dinastija</v>
      </c>
    </row>
    <row r="18675" ht="15.75" customHeight="1">
      <c r="A18675" s="2" t="s">
        <v>18675</v>
      </c>
      <c r="B18675" s="2" t="str">
        <f>IFERROR(__xludf.DUMMYFUNCTION("GOOGLETRANSLATE(A18675, ""en"", ""mt"")"),"X'inhi l-istima għall-ammont ta 'speċi ta' siġar fil-foresta tropikali tal-Amażonja?")</f>
        <v>X'inhi l-istima għall-ammont ta 'speċi ta' siġar fil-foresta tropikali tal-Amażonja?</v>
      </c>
    </row>
    <row r="18676" ht="15.75" customHeight="1">
      <c r="A18676" s="2" t="s">
        <v>18676</v>
      </c>
      <c r="B18676" s="2" t="str">
        <f>IFERROR(__xludf.DUMMYFUNCTION("GOOGLETRANSLATE(A18676, ""en"", ""mt"")"),"Quran")</f>
        <v>Quran</v>
      </c>
    </row>
    <row r="18677" ht="15.75" customHeight="1">
      <c r="A18677" s="2" t="s">
        <v>18677</v>
      </c>
      <c r="B18677" s="2" t="str">
        <f>IFERROR(__xludf.DUMMYFUNCTION("GOOGLETRANSLATE(A18677, ""en"", ""mt"")"),"Liema kontea qed tiżviluppa ċ-ċentru tan-negozju tagħha?")</f>
        <v>Liema kontea qed tiżviluppa ċ-ċentru tan-negozju tagħha?</v>
      </c>
    </row>
    <row r="18678" ht="15.75" customHeight="1">
      <c r="A18678" s="2" t="s">
        <v>18678</v>
      </c>
      <c r="B18678" s="2" t="str">
        <f>IFERROR(__xludf.DUMMYFUNCTION("GOOGLETRANSLATE(A18678, ""en"", ""mt"")"),"X'kienet l-iktar televiżjoni NTL mill-ġdid tad-ditta fl-2007?")</f>
        <v>X'kienet l-iktar televiżjoni NTL mill-ġdid tad-ditta fl-2007?</v>
      </c>
    </row>
    <row r="18679" ht="15.75" customHeight="1">
      <c r="A18679" s="2" t="s">
        <v>18679</v>
      </c>
      <c r="B18679" s="2" t="str">
        <f>IFERROR(__xludf.DUMMYFUNCTION("GOOGLETRANSLATE(A18679, ""en"", ""mt"")"),"Fl-esperimenti, pont ta 'liema element jista' jinbena bejn arbli ta 'kalamita?")</f>
        <v>Fl-esperimenti, pont ta 'liema element jista' jinbena bejn arbli ta 'kalamita?</v>
      </c>
    </row>
    <row r="18680" ht="15.75" customHeight="1">
      <c r="A18680" s="2" t="s">
        <v>18680</v>
      </c>
      <c r="B18680" s="2" t="str">
        <f>IFERROR(__xludf.DUMMYFUNCTION("GOOGLETRANSLATE(A18680, ""en"", ""mt"")"),"X'inhi prattika komuni fil-kastig korporali uffiċjali?")</f>
        <v>X'inhi prattika komuni fil-kastig korporali uffiċjali?</v>
      </c>
    </row>
    <row r="18681" ht="15.75" customHeight="1">
      <c r="A18681" s="2" t="s">
        <v>18681</v>
      </c>
      <c r="B18681" s="2" t="str">
        <f>IFERROR(__xludf.DUMMYFUNCTION("GOOGLETRANSLATE(A18681, ""en"", ""mt"")"),"Minn liema fergħa militari minn Mueller irrekluta maniġers minn?")</f>
        <v>Minn liema fergħa militari minn Mueller irrekluta maniġers minn?</v>
      </c>
    </row>
    <row r="18682" ht="15.75" customHeight="1">
      <c r="A18682" s="2" t="s">
        <v>18682</v>
      </c>
      <c r="B18682" s="2" t="str">
        <f>IFERROR(__xludf.DUMMYFUNCTION("GOOGLETRANSLATE(A18682, ""en"", ""mt"")"),"Liema mod ta 'kliem jaħseb li Luther jagħżel?")</f>
        <v>Liema mod ta 'kliem jaħseb li Luther jagħżel?</v>
      </c>
    </row>
    <row r="18683" ht="15.75" customHeight="1">
      <c r="A18683" s="2" t="s">
        <v>18683</v>
      </c>
      <c r="B18683" s="2" t="str">
        <f>IFERROR(__xludf.DUMMYFUNCTION("GOOGLETRANSLATE(A18683, ""en"", ""mt"")"),"X'kien l-isem ta 'oħt Temüjin?")</f>
        <v>X'kien l-isem ta 'oħt Temüjin?</v>
      </c>
    </row>
    <row r="18684" ht="15.75" customHeight="1">
      <c r="A18684" s="2" t="s">
        <v>18684</v>
      </c>
      <c r="B18684" s="2" t="str">
        <f>IFERROR(__xludf.DUMMYFUNCTION("GOOGLETRANSLATE(A18684, ""en"", ""mt"")"),"X'kien l-isem tekniku tal-ewwel titjira Saturn V mingħajr ekwipaġġ, Apollo 4?")</f>
        <v>X'kien l-isem tekniku tal-ewwel titjira Saturn V mingħajr ekwipaġġ, Apollo 4?</v>
      </c>
    </row>
    <row r="18685" ht="15.75" customHeight="1">
      <c r="A18685" s="2" t="s">
        <v>18685</v>
      </c>
      <c r="B18685" s="2" t="str">
        <f>IFERROR(__xludf.DUMMYFUNCTION("GOOGLETRANSLATE(A18685, ""en"", ""mt"")"),"Meta waqa 'd-Dyrrachium għan-Normanni?")</f>
        <v>Meta waqa 'd-Dyrrachium għan-Normanni?</v>
      </c>
    </row>
    <row r="18686" ht="15.75" customHeight="1">
      <c r="A18686" s="2" t="s">
        <v>18686</v>
      </c>
      <c r="B18686" s="2" t="str">
        <f>IFERROR(__xludf.DUMMYFUNCTION("GOOGLETRANSLATE(A18686, ""en"", ""mt"")"),"X'jista 'jinkiseb mingħajr ma tinbena għolja jew teħles minn żoni komuni?")</f>
        <v>X'jista 'jinkiseb mingħajr ma tinbena għolja jew teħles minn żoni komuni?</v>
      </c>
    </row>
    <row r="18687" ht="15.75" customHeight="1">
      <c r="A18687" s="2" t="s">
        <v>18687</v>
      </c>
      <c r="B18687" s="2" t="str">
        <f>IFERROR(__xludf.DUMMYFUNCTION("GOOGLETRANSLATE(A18687, ""en"", ""mt"")"),"id-daqs tal-istanza")</f>
        <v>id-daqs tal-istanza</v>
      </c>
    </row>
    <row r="18688" ht="15.75" customHeight="1">
      <c r="A18688" s="2" t="s">
        <v>18688</v>
      </c>
      <c r="B18688" s="2" t="str">
        <f>IFERROR(__xludf.DUMMYFUNCTION("GOOGLETRANSLATE(A18688, ""en"", ""mt"")"),"1,600 mm")</f>
        <v>1,600 mm</v>
      </c>
    </row>
    <row r="18689" ht="15.75" customHeight="1">
      <c r="A18689" s="2" t="s">
        <v>18689</v>
      </c>
      <c r="B18689" s="2" t="str">
        <f>IFERROR(__xludf.DUMMYFUNCTION("GOOGLETRANSLATE(A18689, ""en"", ""mt"")"),"anke")</f>
        <v>anke</v>
      </c>
    </row>
    <row r="18690" ht="15.75" customHeight="1">
      <c r="A18690" s="2" t="s">
        <v>18690</v>
      </c>
      <c r="B18690" s="2" t="str">
        <f>IFERROR(__xludf.DUMMYFUNCTION("GOOGLETRANSLATE(A18690, ""en"", ""mt"")"),"Min Newton ġab pass lil fil-Panther li beda jilgħab ta 'Super Bowl 50?")</f>
        <v>Min Newton ġab pass lil fil-Panther li beda jilgħab ta 'Super Bowl 50?</v>
      </c>
    </row>
    <row r="18691" ht="15.75" customHeight="1">
      <c r="A18691" s="2" t="s">
        <v>18691</v>
      </c>
      <c r="B18691" s="2" t="str">
        <f>IFERROR(__xludf.DUMMYFUNCTION("GOOGLETRANSLATE(A18691, ""en"", ""mt"")"),"Martin Sasse")</f>
        <v>Martin Sasse</v>
      </c>
    </row>
    <row r="18692" ht="15.75" customHeight="1">
      <c r="A18692" s="2" t="s">
        <v>18692</v>
      </c>
      <c r="B18692" s="2" t="str">
        <f>IFERROR(__xludf.DUMMYFUNCTION("GOOGLETRANSLATE(A18692, ""en"", ""mt"")"),"Liema molekuli huma partijiet tal-ġisem ta 'organiżmu fl-immunoloġija?")</f>
        <v>Liema molekuli huma partijiet tal-ġisem ta 'organiżmu fl-immunoloġija?</v>
      </c>
    </row>
    <row r="18693" ht="15.75" customHeight="1">
      <c r="A18693" s="2" t="s">
        <v>18693</v>
      </c>
      <c r="B18693" s="2" t="str">
        <f>IFERROR(__xludf.DUMMYFUNCTION("GOOGLETRANSLATE(A18693, ""en"", ""mt"")"),"Ekonomija Neoklasika")</f>
        <v>Ekonomija Neoklasika</v>
      </c>
    </row>
    <row r="18694" ht="15.75" customHeight="1">
      <c r="A18694" s="2" t="s">
        <v>18694</v>
      </c>
      <c r="B18694" s="2" t="str">
        <f>IFERROR(__xludf.DUMMYFUNCTION("GOOGLETRANSLATE(A18694, ""en"", ""mt"")"),"Il-Yuan wettaq xogħlijiet pubbliċi estensivi. Fost l-aqwa inġiniera u xjenzati ta 'Kublai Khan kien l-astronomu Guo Shoujing, li kien inkarigat b'ħafna proġetti ta' xogħlijiet pubbliċi u għen lill-wan jirriforma l-kalendarju lunisolari biex jipprovdi eżat"&amp;"tezza ta '365.2425 ġurnata tas-sena, li kienet biss 26 sekonda barra mill-kalendarju modern Gregorjan kejl. Il-komunikazzjonijiet fit-toroq u l-ilma ġew riorganizzati u mtejba. Biex jipprovdu kontra l-ġuħ possibbli, il-granari ġew ordnati mibnija fl-imper"&amp;"u kollu. Il-belt ta 'Beijing inbniet mill-ġdid ma' raġunijiet tal-palazz ġodda li kienu jinkludu lagi artifiċjali, għoljiet u muntanji, u parks. Matul il-perjodu tal-wan, Beijing sar it-terminus tal-Gran Kanal taċ-Ċina, li ġie rinnovat kompletament. Dan i"&amp;"t-titjib orjentat kummerċjalment inkoraġġixxa l-kummerċ fuq l-art u l-marittimu madwar l-Asja u ffaċilita l-kuntatti diretti Ċiniżi mal-Ewropa. Vjaġġaturi Ċiniżi lejn il-Punent setgħu jipprovdu għajnuna f'oqsma bħal inġinerija idrawlika. Kuntatti mal-Pune"&amp;"nt ġabu wkoll l-introduzzjoni fiċ-Ċina ta 'uċuħ ewlenin tal-ikel, sorgu, flimkien ma' prodotti oħra tal-ikel barranin u metodi ta 'preparazzjoni.")</f>
        <v>Il-Yuan wettaq xogħlijiet pubbliċi estensivi. Fost l-aqwa inġiniera u xjenzati ta 'Kublai Khan kien l-astronomu Guo Shoujing, li kien inkarigat b'ħafna proġetti ta' xogħlijiet pubbliċi u għen lill-wan jirriforma l-kalendarju lunisolari biex jipprovdi eżattezza ta '365.2425 ġurnata tas-sena, li kienet biss 26 sekonda barra mill-kalendarju modern Gregorjan kejl. Il-komunikazzjonijiet fit-toroq u l-ilma ġew riorganizzati u mtejba. Biex jipprovdu kontra l-ġuħ possibbli, il-granari ġew ordnati mibnija fl-imperu kollu. Il-belt ta 'Beijing inbniet mill-ġdid ma' raġunijiet tal-palazz ġodda li kienu jinkludu lagi artifiċjali, għoljiet u muntanji, u parks. Matul il-perjodu tal-wan, Beijing sar it-terminus tal-Gran Kanal taċ-Ċina, li ġie rinnovat kompletament. Dan it-titjib orjentat kummerċjalment inkoraġġixxa l-kummerċ fuq l-art u l-marittimu madwar l-Asja u ffaċilita l-kuntatti diretti Ċiniżi mal-Ewropa. Vjaġġaturi Ċiniżi lejn il-Punent setgħu jipprovdu għajnuna f'oqsma bħal inġinerija idrawlika. Kuntatti mal-Punent ġabu wkoll l-introduzzjoni fiċ-Ċina ta 'uċuħ ewlenin tal-ikel, sorgu, flimkien ma' prodotti oħra tal-ikel barranin u metodi ta 'preparazzjoni.</v>
      </c>
    </row>
    <row r="18695" ht="15.75" customHeight="1">
      <c r="A18695" s="2" t="s">
        <v>18695</v>
      </c>
      <c r="B18695" s="2" t="str">
        <f>IFERROR(__xludf.DUMMYFUNCTION("GOOGLETRANSLATE(A18695, ""en"", ""mt"")"),"Il-knisja tiddikjara li, bħala Kristjani, huma konxji li la t-triq ta 'dak li hu ġust quddiem Alla? """)</f>
        <v>Il-knisja tiddikjara li, bħala Kristjani, huma konxji li la t-triq ta 'dak li hu ġust quddiem Alla? "</v>
      </c>
    </row>
    <row r="18696" ht="15.75" customHeight="1">
      <c r="A18696" s="2" t="s">
        <v>18696</v>
      </c>
      <c r="B18696" s="2" t="str">
        <f>IFERROR(__xludf.DUMMYFUNCTION("GOOGLETRANSLATE(A18696, ""en"", ""mt"")"),"Meta l-uffiċċju Ewropew kontra l-frodi investiga lil John Dalli?")</f>
        <v>Meta l-uffiċċju Ewropew kontra l-frodi investiga lil John Dalli?</v>
      </c>
    </row>
    <row r="18697" ht="15.75" customHeight="1">
      <c r="A18697" s="2" t="s">
        <v>18697</v>
      </c>
      <c r="B18697" s="2" t="str">
        <f>IFERROR(__xludf.DUMMYFUNCTION("GOOGLETRANSLATE(A18697, ""en"", ""mt"")"),"Il-mekkaniżmu għar-replikazzjoni tad-DNA tal-kloroplast (cpDNA) ma ġiex iddeterminat b'mod konklużiv, iżda ġew proposti żewġ mudelli ewlenin. Ix-xjentisti ppruvaw josservaw ir-replikazzjoni tal-kloroplast permezz ta ’mikroskopija elettronika mill-1970. Ir"&amp;"-riżultati tal-esperimenti tal-mikroskopija wasslu għall-idea li d-DNA tal-kloroplast jirreplika bl-użu ta 'linja ta' spostament doppju (D-loop). Hekk kif id-D-loop jiċċaqlaq mid-DNA ċirkolari, huwa jadotta forma intermedjarja ta 'theta, magħrufa wkoll bħ"&amp;"ala replikazzjoni ta' cairns intermedja, u tlesti r-replikazzjoni b'mekkaniżmu ta 'ċirku rolling. It-traskrizzjoni tibda f'punti ta 'oriġini speċifiċi. Forks multipli ta 'replikazzjoni jiftħu, li jippermettu li makkinarju ta' replikazzjoni jittraskrivi d-"&amp;"DNA. Hekk kif tkompli r-replikazzjoni, il-frieket jikbru u eventwalment jikkonverġu. L-istrutturi l-ġodda ta 'cpDNA jisseparaw, u joħolqu kromożomi cpDNA bint.")</f>
        <v>Il-mekkaniżmu għar-replikazzjoni tad-DNA tal-kloroplast (cpDNA) ma ġiex iddeterminat b'mod konklużiv, iżda ġew proposti żewġ mudelli ewlenin. Ix-xjentisti ppruvaw josservaw ir-replikazzjoni tal-kloroplast permezz ta ’mikroskopija elettronika mill-1970. Ir-riżultati tal-esperimenti tal-mikroskopija wasslu għall-idea li d-DNA tal-kloroplast jirreplika bl-użu ta 'linja ta' spostament doppju (D-loop). Hekk kif id-D-loop jiċċaqlaq mid-DNA ċirkolari, huwa jadotta forma intermedjarja ta 'theta, magħrufa wkoll bħala replikazzjoni ta' cairns intermedja, u tlesti r-replikazzjoni b'mekkaniżmu ta 'ċirku rolling. It-traskrizzjoni tibda f'punti ta 'oriġini speċifiċi. Forks multipli ta 'replikazzjoni jiftħu, li jippermettu li makkinarju ta' replikazzjoni jittraskrivi d-DNA. Hekk kif tkompli r-replikazzjoni, il-frieket jikbru u eventwalment jikkonverġu. L-istrutturi l-ġodda ta 'cpDNA jisseparaw, u joħolqu kromożomi cpDNA bint.</v>
      </c>
    </row>
    <row r="18698" ht="15.75" customHeight="1">
      <c r="A18698" s="2" t="s">
        <v>18698</v>
      </c>
      <c r="B18698" s="2" t="str">
        <f>IFERROR(__xludf.DUMMYFUNCTION("GOOGLETRANSLATE(A18698, ""en"", ""mt"")"),"X'tista 'jestendi l-Att tal-Iskozja tal-2012?")</f>
        <v>X'tista 'jestendi l-Att tal-Iskozja tal-2012?</v>
      </c>
    </row>
    <row r="18699" ht="15.75" customHeight="1">
      <c r="A18699" s="2" t="s">
        <v>18699</v>
      </c>
      <c r="B18699" s="2" t="str">
        <f>IFERROR(__xludf.DUMMYFUNCTION("GOOGLETRANSLATE(A18699, ""en"", ""mt"")"),"Dak li jġib l-Ispirtu s-Santu permezz tal-mertu ta ’Kristu")</f>
        <v>Dak li jġib l-Ispirtu s-Santu permezz tal-mertu ta ’Kristu</v>
      </c>
    </row>
    <row r="18700" ht="15.75" customHeight="1">
      <c r="A18700" s="2" t="s">
        <v>18700</v>
      </c>
      <c r="B18700" s="2" t="str">
        <f>IFERROR(__xludf.DUMMYFUNCTION("GOOGLETRANSLATE(A18700, ""en"", ""mt"")"),"Colbert")</f>
        <v>Colbert</v>
      </c>
    </row>
    <row r="18701" ht="15.75" customHeight="1">
      <c r="A18701" s="2" t="s">
        <v>18701</v>
      </c>
      <c r="B18701" s="2" t="str">
        <f>IFERROR(__xludf.DUMMYFUNCTION("GOOGLETRANSLATE(A18701, ""en"", ""mt"")"),"sengħa")</f>
        <v>sengħa</v>
      </c>
    </row>
    <row r="18702" ht="15.75" customHeight="1">
      <c r="A18702" s="2" t="s">
        <v>18702</v>
      </c>
      <c r="B18702" s="2" t="str">
        <f>IFERROR(__xludf.DUMMYFUNCTION("GOOGLETRANSLATE(A18702, ""en"", ""mt"")"),"Agħmel pjanijiet dettaljati u żżomm sorveljanza bir-reqqa matul il-proġett")</f>
        <v>Agħmel pjanijiet dettaljati u żżomm sorveljanza bir-reqqa matul il-proġett</v>
      </c>
    </row>
    <row r="18703" ht="15.75" customHeight="1">
      <c r="A18703" s="2" t="s">
        <v>18703</v>
      </c>
      <c r="B18703" s="2" t="str">
        <f>IFERROR(__xludf.DUMMYFUNCTION("GOOGLETRANSLATE(A18703, ""en"", ""mt"")"),"Fl-1835")</f>
        <v>Fl-1835</v>
      </c>
    </row>
    <row r="18704" ht="15.75" customHeight="1">
      <c r="A18704" s="2" t="s">
        <v>18704</v>
      </c>
      <c r="B18704" s="2" t="str">
        <f>IFERROR(__xludf.DUMMYFUNCTION("GOOGLETRANSLATE(A18704, ""en"", ""mt"")"),"Meta BSKYB l-ewwel ħabbar l-għan fil-mira tagħhom?")</f>
        <v>Meta BSKYB l-ewwel ħabbar l-għan fil-mira tagħhom?</v>
      </c>
    </row>
    <row r="18705" ht="15.75" customHeight="1">
      <c r="A18705" s="2" t="s">
        <v>18705</v>
      </c>
      <c r="B18705" s="2" t="str">
        <f>IFERROR(__xludf.DUMMYFUNCTION("GOOGLETRANSLATE(A18705, ""en"", ""mt"")"),"Spanja, l-Afrika ta ’Fuq, il-Lvant Nofsani, l-Asja Ċentrali u l-Afganistan")</f>
        <v>Spanja, l-Afrika ta ’Fuq, il-Lvant Nofsani, l-Asja Ċentrali u l-Afganistan</v>
      </c>
    </row>
    <row r="18706" ht="15.75" customHeight="1">
      <c r="A18706" s="2" t="s">
        <v>18706</v>
      </c>
      <c r="B18706" s="2" t="str">
        <f>IFERROR(__xludf.DUMMYFUNCTION("GOOGLETRANSLATE(A18706, ""en"", ""mt"")"),"superjuri")</f>
        <v>superjuri</v>
      </c>
    </row>
    <row r="18707" ht="15.75" customHeight="1">
      <c r="A18707" s="2" t="s">
        <v>18707</v>
      </c>
      <c r="B18707" s="2" t="str">
        <f>IFERROR(__xludf.DUMMYFUNCTION("GOOGLETRANSLATE(A18707, ""en"", ""mt"")"),"X'kienet dificult biex tirrikonċilja l-effett fotoelettriku u l-katastrofi ultravjola nieqsa?")</f>
        <v>X'kienet dificult biex tirrikonċilja l-effett fotoelettriku u l-katastrofi ultravjola nieqsa?</v>
      </c>
    </row>
    <row r="18708" ht="15.75" customHeight="1">
      <c r="A18708" s="2" t="s">
        <v>18708</v>
      </c>
      <c r="B18708" s="2" t="str">
        <f>IFERROR(__xludf.DUMMYFUNCTION("GOOGLETRANSLATE(A18708, ""en"", ""mt"")"),"X'inhu l-iskop tal-ASER?")</f>
        <v>X'inhu l-iskop tal-ASER?</v>
      </c>
    </row>
    <row r="18709" ht="15.75" customHeight="1">
      <c r="A18709" s="2" t="s">
        <v>18709</v>
      </c>
      <c r="B18709" s="2" t="str">
        <f>IFERROR(__xludf.DUMMYFUNCTION("GOOGLETRANSLATE(A18709, ""en"", ""mt"")"),"Philip Segal")</f>
        <v>Philip Segal</v>
      </c>
    </row>
    <row r="18710" ht="15.75" customHeight="1">
      <c r="A18710" s="2" t="s">
        <v>18710</v>
      </c>
      <c r="B18710" s="2" t="str">
        <f>IFERROR(__xludf.DUMMYFUNCTION("GOOGLETRANSLATE(A18710, ""en"", ""mt"")"),"Plugs fużibbli taċ-ċomb jistgħu jkunu preżenti fil-kuruna tal-firebox tal-bojler. Jekk il-livell tal-ilma jonqos, b’tali mod li t-temperatura tal-kuruna tal-firebox tiżdied b’mod sinifikanti, iċ-ċomb idub u l-fwar jaħrab, iwissi lill-operaturi, li mbagħad"&amp;" jistgħu jrażżnu manwalment in-nar. Ħlief fl-iżgħar bojlers, il-ħarba tal-fwar għandha ftit effett fuq it-tneħħija tan-nar. Il-plugs huma wkoll żgħar wisq f'żona biex ibaxxu l-pressjoni tal-fwar b'mod sinifikanti, billi depressurizzaw il-bojler. Kieku kie"&amp;"nu akbar, il-volum ta 'l-istim li jaħrab innifsu jipperikola l-ekwipaġġ. [Ċitazzjoni meħtieġa]")</f>
        <v>Plugs fużibbli taċ-ċomb jistgħu jkunu preżenti fil-kuruna tal-firebox tal-bojler. Jekk il-livell tal-ilma jonqos, b’tali mod li t-temperatura tal-kuruna tal-firebox tiżdied b’mod sinifikanti, iċ-ċomb idub u l-fwar jaħrab, iwissi lill-operaturi, li mbagħad jistgħu jrażżnu manwalment in-nar. Ħlief fl-iżgħar bojlers, il-ħarba tal-fwar għandha ftit effett fuq it-tneħħija tan-nar. Il-plugs huma wkoll żgħar wisq f'żona biex ibaxxu l-pressjoni tal-fwar b'mod sinifikanti, billi depressurizzaw il-bojler. Kieku kienu akbar, il-volum ta 'l-istim li jaħrab innifsu jipperikola l-ekwipaġġ. [Ċitazzjoni meħtieġa]</v>
      </c>
    </row>
    <row r="18711" ht="15.75" customHeight="1">
      <c r="A18711" s="2" t="s">
        <v>18711</v>
      </c>
      <c r="B18711" s="2" t="str">
        <f>IFERROR(__xludf.DUMMYFUNCTION("GOOGLETRANSLATE(A18711, ""en"", ""mt"")"),"Metodu Cascade")</f>
        <v>Metodu Cascade</v>
      </c>
    </row>
    <row r="18712" ht="15.75" customHeight="1">
      <c r="A18712" s="2" t="s">
        <v>18712</v>
      </c>
      <c r="B18712" s="2" t="str">
        <f>IFERROR(__xludf.DUMMYFUNCTION("GOOGLETRANSLATE(A18712, ""en"", ""mt"")"),"Ġeneralment huwa preżunt li magna tat-Turing tista 'ssolvi xi ħaġa kapaċi wkoll tissolva billi tuża?")</f>
        <v>Ġeneralment huwa preżunt li magna tat-Turing tista 'ssolvi xi ħaġa kapaċi wkoll tissolva billi tuża?</v>
      </c>
    </row>
    <row r="18713" ht="15.75" customHeight="1">
      <c r="A18713" s="2" t="s">
        <v>18713</v>
      </c>
      <c r="B18713" s="2" t="str">
        <f>IFERROR(__xludf.DUMMYFUNCTION("GOOGLETRANSLATE(A18713, ""en"", ""mt"")"),"Liema element skoprew Gay-Lussac u Von Humboldt kien preżenti fid-doppju tal-ammont ta 'ossiġnu fl-ilma?")</f>
        <v>Liema element skoprew Gay-Lussac u Von Humboldt kien preżenti fid-doppju tal-ammont ta 'ossiġnu fl-ilma?</v>
      </c>
    </row>
    <row r="18714" ht="15.75" customHeight="1">
      <c r="A18714" s="2" t="s">
        <v>18714</v>
      </c>
      <c r="B18714" s="2" t="str">
        <f>IFERROR(__xludf.DUMMYFUNCTION("GOOGLETRANSLATE(A18714, ""en"", ""mt"")"),"Professjonisti tal-kura tas-saħħa b'edukazzjoni speċjalizzata")</f>
        <v>Professjonisti tal-kura tas-saħħa b'edukazzjoni speċjalizzata</v>
      </c>
    </row>
    <row r="18715" ht="15.75" customHeight="1">
      <c r="A18715" s="2" t="s">
        <v>18715</v>
      </c>
      <c r="B18715" s="2" t="str">
        <f>IFERROR(__xludf.DUMMYFUNCTION("GOOGLETRANSLATE(A18715, ""en"", ""mt"")"),"Endosymbiont primarju")</f>
        <v>Endosymbiont primarju</v>
      </c>
    </row>
    <row r="18716" ht="15.75" customHeight="1">
      <c r="A18716" s="2" t="s">
        <v>18716</v>
      </c>
      <c r="B18716" s="2" t="str">
        <f>IFERROR(__xludf.DUMMYFUNCTION("GOOGLETRANSLATE(A18716, ""en"", ""mt"")"),"Id-Dinja kellha frekwenza reżonanti")</f>
        <v>Id-Dinja kellha frekwenza reżonanti</v>
      </c>
    </row>
    <row r="18717" ht="15.75" customHeight="1">
      <c r="A18717" s="2" t="s">
        <v>18717</v>
      </c>
      <c r="B18717" s="2" t="str">
        <f>IFERROR(__xludf.DUMMYFUNCTION("GOOGLETRANSLATE(A18717, ""en"", ""mt"")"),"Iżraeljani")</f>
        <v>Iżraeljani</v>
      </c>
    </row>
    <row r="18718" ht="15.75" customHeight="1">
      <c r="A18718" s="2" t="s">
        <v>18718</v>
      </c>
      <c r="B18718" s="2" t="str">
        <f>IFERROR(__xludf.DUMMYFUNCTION("GOOGLETRANSLATE(A18718, ""en"", ""mt"")"),"Fl-iktar minn 220 sena mill-1784, il-Metodiżmu fl-Istati Uniti, bħal ħafna denominazzjonijiet Protestanti oħra, ra numru ta 'diviżjonijiet u għaqdiet. Fl-1830, il-Knisja Protestanta Metodista qasmet mill-knisja Episkopali Metodista fuq il-kwistjoni tal-la"&amp;"jċi li għandha vuċi u tivvota fl-amministrazzjoni tal-knisja, billi tinsisti li l-kleru m'għandux ikun l-uniku li jkollu xi determinazzjoni fil-mod kif kellha tkun il-knisja operat. Fl-1844, il-Konferenza Ġenerali tal-Knisja Episkopali Metodista qasmet f'"&amp;"żewġ konferenzi minħabba tensjonijiet fuq l-iskjavitù u l-qawwa tal-isqfijiet fid-denominazzjoni.")</f>
        <v>Fl-iktar minn 220 sena mill-1784, il-Metodiżmu fl-Istati Uniti, bħal ħafna denominazzjonijiet Protestanti oħra, ra numru ta 'diviżjonijiet u għaqdiet. Fl-1830, il-Knisja Protestanta Metodista qasmet mill-knisja Episkopali Metodista fuq il-kwistjoni tal-lajċi li għandha vuċi u tivvota fl-amministrazzjoni tal-knisja, billi tinsisti li l-kleru m'għandux ikun l-uniku li jkollu xi determinazzjoni fil-mod kif kellha tkun il-knisja operat. Fl-1844, il-Konferenza Ġenerali tal-Knisja Episkopali Metodista qasmet f'żewġ konferenzi minħabba tensjonijiet fuq l-iskjavitù u l-qawwa tal-isqfijiet fid-denominazzjoni.</v>
      </c>
    </row>
    <row r="18719" ht="15.75" customHeight="1">
      <c r="A18719" s="2" t="s">
        <v>18719</v>
      </c>
      <c r="B18719" s="2" t="str">
        <f>IFERROR(__xludf.DUMMYFUNCTION("GOOGLETRANSLATE(A18719, ""en"", ""mt"")"),"Artiku")</f>
        <v>Artiku</v>
      </c>
    </row>
    <row r="18720" ht="15.75" customHeight="1">
      <c r="A18720" s="2" t="s">
        <v>18720</v>
      </c>
      <c r="B18720" s="2" t="str">
        <f>IFERROR(__xludf.DUMMYFUNCTION("GOOGLETRANSLATE(A18720, ""en"", ""mt"")"),"X'inhu isem ieħor għall-Freeway Yosemite?")</f>
        <v>X'inhu isem ieħor għall-Freeway Yosemite?</v>
      </c>
    </row>
    <row r="18721" ht="15.75" customHeight="1">
      <c r="A18721" s="2" t="s">
        <v>18721</v>
      </c>
      <c r="B18721" s="2" t="str">
        <f>IFERROR(__xludf.DUMMYFUNCTION("GOOGLETRANSLATE(A18721, ""en"", ""mt"")"),"X'inhi replikazzjoni ta 'Cairns intermedja?")</f>
        <v>X'inhi replikazzjoni ta 'Cairns intermedja?</v>
      </c>
    </row>
    <row r="18722" ht="15.75" customHeight="1">
      <c r="A18722" s="2" t="s">
        <v>18722</v>
      </c>
      <c r="B18722" s="2" t="str">
        <f>IFERROR(__xludf.DUMMYFUNCTION("GOOGLETRANSLATE(A18722, ""en"", ""mt"")"),"Liema film tal-1971 ġie sparat fuq il-post fi Newcastle?")</f>
        <v>Liema film tal-1971 ġie sparat fuq il-post fi Newcastle?</v>
      </c>
    </row>
    <row r="18723" ht="15.75" customHeight="1">
      <c r="A18723" s="2" t="s">
        <v>18723</v>
      </c>
      <c r="B18723" s="2" t="str">
        <f>IFERROR(__xludf.DUMMYFUNCTION("GOOGLETRANSLATE(A18723, ""en"", ""mt"")"),"Għaliex il-bini fuq l-ilsna Spital huwa magħruf bħala l-Palazz Pink?")</f>
        <v>Għaliex il-bini fuq l-ilsna Spital huwa magħruf bħala l-Palazz Pink?</v>
      </c>
    </row>
    <row r="18724" ht="15.75" customHeight="1">
      <c r="A18724" s="2" t="s">
        <v>18724</v>
      </c>
      <c r="B18724" s="2" t="str">
        <f>IFERROR(__xludf.DUMMYFUNCTION("GOOGLETRANSLATE(A18724, ""en"", ""mt"")"),"Liema astronomu ħadem għal Kublai?")</f>
        <v>Liema astronomu ħadem għal Kublai?</v>
      </c>
    </row>
    <row r="18725" ht="15.75" customHeight="1">
      <c r="A18725" s="2" t="s">
        <v>18725</v>
      </c>
      <c r="B18725" s="2" t="str">
        <f>IFERROR(__xludf.DUMMYFUNCTION("GOOGLETRANSLATE(A18725, ""en"", ""mt"")"),"L-Aqwa Serje tad-Drama")</f>
        <v>L-Aqwa Serje tad-Drama</v>
      </c>
    </row>
    <row r="18726" ht="15.75" customHeight="1">
      <c r="A18726" s="2" t="s">
        <v>18726</v>
      </c>
      <c r="B18726" s="2" t="str">
        <f>IFERROR(__xludf.DUMMYFUNCTION("GOOGLETRANSLATE(A18726, ""en"", ""mt"")"),"l-organizzazzjoni tal-jihad Iżlamiku Eġizzjan")</f>
        <v>l-organizzazzjoni tal-jihad Iżlamiku Eġizzjan</v>
      </c>
    </row>
    <row r="18727" ht="15.75" customHeight="1">
      <c r="A18727" s="2" t="s">
        <v>18727</v>
      </c>
      <c r="B18727" s="2" t="str">
        <f>IFERROR(__xludf.DUMMYFUNCTION("GOOGLETRANSLATE(A18727, ""en"", ""mt"")"),"Liema attriċi għamlet it-traduzzjoni tal-ASL għal-logħba?")</f>
        <v>Liema attriċi għamlet it-traduzzjoni tal-ASL għal-logħba?</v>
      </c>
    </row>
    <row r="18728" ht="15.75" customHeight="1">
      <c r="A18728" s="2" t="s">
        <v>18728</v>
      </c>
      <c r="B18728" s="2" t="str">
        <f>IFERROR(__xludf.DUMMYFUNCTION("GOOGLETRANSLATE(A18728, ""en"", ""mt"")"),"352")</f>
        <v>352</v>
      </c>
    </row>
    <row r="18729" ht="15.75" customHeight="1">
      <c r="A18729" s="2" t="s">
        <v>18729</v>
      </c>
      <c r="B18729" s="2" t="str">
        <f>IFERROR(__xludf.DUMMYFUNCTION("GOOGLETRANSLATE(A18729, ""en"", ""mt"")"),"Elmu tal-Visor")</f>
        <v>Elmu tal-Visor</v>
      </c>
    </row>
    <row r="18730" ht="15.75" customHeight="1">
      <c r="A18730" s="2" t="s">
        <v>18730</v>
      </c>
      <c r="B18730" s="2" t="str">
        <f>IFERROR(__xludf.DUMMYFUNCTION("GOOGLETRANSLATE(A18730, ""en"", ""mt"")"),"mhedded ""Brittaniku qadim"" b'konsegwenzi severi jekk kompla jinnegozja mal-Ingliżi")</f>
        <v>mhedded "Brittaniku qadim" b'konsegwenzi severi jekk kompla jinnegozja mal-Ingliżi</v>
      </c>
    </row>
    <row r="18731" ht="15.75" customHeight="1">
      <c r="A18731" s="2" t="s">
        <v>18731</v>
      </c>
      <c r="B18731" s="2" t="str">
        <f>IFERROR(__xludf.DUMMYFUNCTION("GOOGLETRANSLATE(A18731, ""en"", ""mt"")"),"miljun")</f>
        <v>miljun</v>
      </c>
    </row>
    <row r="18732" ht="15.75" customHeight="1">
      <c r="A18732" s="2" t="s">
        <v>18732</v>
      </c>
      <c r="B18732" s="2" t="str">
        <f>IFERROR(__xludf.DUMMYFUNCTION("GOOGLETRANSLATE(A18732, ""en"", ""mt"")"),"Caiman iswed")</f>
        <v>Caiman iswed</v>
      </c>
    </row>
    <row r="18733" ht="15.75" customHeight="1">
      <c r="A18733" s="2" t="s">
        <v>18733</v>
      </c>
      <c r="B18733" s="2" t="str">
        <f>IFERROR(__xludf.DUMMYFUNCTION("GOOGLETRANSLATE(A18733, ""en"", ""mt"")"),"1869")</f>
        <v>1869</v>
      </c>
    </row>
    <row r="18734" ht="15.75" customHeight="1">
      <c r="A18734" s="2" t="s">
        <v>18734</v>
      </c>
      <c r="B18734" s="2" t="str">
        <f>IFERROR(__xludf.DUMMYFUNCTION("GOOGLETRANSLATE(A18734, ""en"", ""mt"")"),"linebacker")</f>
        <v>linebacker</v>
      </c>
    </row>
    <row r="18735" ht="15.75" customHeight="1">
      <c r="A18735" s="2" t="s">
        <v>18735</v>
      </c>
      <c r="B18735" s="2" t="str">
        <f>IFERROR(__xludf.DUMMYFUNCTION("GOOGLETRANSLATE(A18735, ""en"", ""mt"")"),"Min kien il-president tal-UPT fl-1951?")</f>
        <v>Min kien il-president tal-UPT fl-1951?</v>
      </c>
    </row>
    <row r="18736" ht="15.75" customHeight="1">
      <c r="A18736" s="2" t="s">
        <v>18736</v>
      </c>
      <c r="B18736" s="2" t="str">
        <f>IFERROR(__xludf.DUMMYFUNCTION("GOOGLETRANSLATE(A18736, ""en"", ""mt"")"),"fidi")</f>
        <v>fidi</v>
      </c>
    </row>
    <row r="18737" ht="15.75" customHeight="1">
      <c r="A18737" s="2" t="s">
        <v>18737</v>
      </c>
      <c r="B18737" s="2" t="str">
        <f>IFERROR(__xludf.DUMMYFUNCTION("GOOGLETRANSLATE(A18737, ""en"", ""mt"")"),"Patmos tiegħi")</f>
        <v>Patmos tiegħi</v>
      </c>
    </row>
    <row r="18738" ht="15.75" customHeight="1">
      <c r="A18738" s="2" t="s">
        <v>18738</v>
      </c>
      <c r="B18738" s="2" t="str">
        <f>IFERROR(__xludf.DUMMYFUNCTION("GOOGLETRANSLATE(A18738, ""en"", ""mt"")"),"Wirit mid-Dynasty Jin")</f>
        <v>Wirit mid-Dynasty Jin</v>
      </c>
    </row>
    <row r="18739" ht="15.75" customHeight="1">
      <c r="A18739" s="2" t="s">
        <v>18739</v>
      </c>
      <c r="B18739" s="2" t="str">
        <f>IFERROR(__xludf.DUMMYFUNCTION("GOOGLETRANSLATE(A18739, ""en"", ""mt"")"),"kompletament reliġjuż u fl-ebda rispett razzjali")</f>
        <v>kompletament reliġjuż u fl-ebda rispett razzjali</v>
      </c>
    </row>
    <row r="18740" ht="15.75" customHeight="1">
      <c r="A18740" s="2" t="s">
        <v>18740</v>
      </c>
      <c r="B18740" s="2" t="str">
        <f>IFERROR(__xludf.DUMMYFUNCTION("GOOGLETRANSLATE(A18740, ""en"", ""mt"")"),"antiġen minn patoġen")</f>
        <v>antiġen minn patoġen</v>
      </c>
    </row>
    <row r="18741" ht="15.75" customHeight="1">
      <c r="A18741" s="2" t="s">
        <v>18741</v>
      </c>
      <c r="B18741" s="2" t="str">
        <f>IFERROR(__xludf.DUMMYFUNCTION("GOOGLETRANSLATE(A18741, ""en"", ""mt"")"),"7:00 sad-9.00 a.m. matul il-ġimgħa")</f>
        <v>7:00 sad-9.00 a.m. matul il-ġimgħa</v>
      </c>
    </row>
    <row r="18742" ht="15.75" customHeight="1">
      <c r="A18742" s="2" t="s">
        <v>18742</v>
      </c>
      <c r="B18742" s="2" t="str">
        <f>IFERROR(__xludf.DUMMYFUNCTION("GOOGLETRANSLATE(A18742, ""en"", ""mt"")"),"Dak li t-teoloġija tiddikjara li l-fidi waħedha mhix biżżejjed biex tiġġustifika l-bniedem?")</f>
        <v>Dak li t-teoloġija tiddikjara li l-fidi waħedha mhix biżżejjed biex tiġġustifika l-bniedem?</v>
      </c>
    </row>
    <row r="18743" ht="15.75" customHeight="1">
      <c r="A18743" s="2" t="s">
        <v>18743</v>
      </c>
      <c r="B18743" s="2" t="str">
        <f>IFERROR(__xludf.DUMMYFUNCTION("GOOGLETRANSLATE(A18743, ""en"", ""mt"")"),"WJRT-TV")</f>
        <v>WJRT-TV</v>
      </c>
    </row>
    <row r="18744" ht="15.75" customHeight="1">
      <c r="A18744" s="2" t="s">
        <v>18744</v>
      </c>
      <c r="B18744" s="2" t="str">
        <f>IFERROR(__xludf.DUMMYFUNCTION("GOOGLETRANSLATE(A18744, ""en"", ""mt"")"),"Liema komposti huma rilaxxati minn ċelloli mweġġa 'jew infettati, li jikkawżaw infjammazzjoni?")</f>
        <v>Liema komposti huma rilaxxati minn ċelloli mweġġa 'jew infettati, li jikkawżaw infjammazzjoni?</v>
      </c>
    </row>
    <row r="18745" ht="15.75" customHeight="1">
      <c r="A18745" s="2" t="s">
        <v>18745</v>
      </c>
      <c r="B18745" s="2" t="str">
        <f>IFERROR(__xludf.DUMMYFUNCTION("GOOGLETRANSLATE(A18745, ""en"", ""mt"")"),"Espressjonijiet mhux verbali ta 'entużjażmu")</f>
        <v>Espressjonijiet mhux verbali ta 'entużjażmu</v>
      </c>
    </row>
    <row r="18746" ht="15.75" customHeight="1">
      <c r="A18746" s="2" t="s">
        <v>18746</v>
      </c>
      <c r="B18746" s="2" t="str">
        <f>IFERROR(__xludf.DUMMYFUNCTION("GOOGLETRANSLATE(A18746, ""en"", ""mt"")"),"X'inhu terminu ieħor użat għas-sena 13?")</f>
        <v>X'inhu terminu ieħor użat għas-sena 13?</v>
      </c>
    </row>
    <row r="18747" ht="15.75" customHeight="1">
      <c r="A18747" s="2" t="s">
        <v>18747</v>
      </c>
      <c r="B18747" s="2" t="str">
        <f>IFERROR(__xludf.DUMMYFUNCTION("GOOGLETRANSLATE(A18747, ""en"", ""mt"")"),"l-inqas preġudikat lejn il-Lhud")</f>
        <v>l-inqas preġudikat lejn il-Lhud</v>
      </c>
    </row>
    <row r="18748" ht="15.75" customHeight="1">
      <c r="A18748" s="2" t="s">
        <v>18748</v>
      </c>
      <c r="B18748" s="2" t="str">
        <f>IFERROR(__xludf.DUMMYFUNCTION("GOOGLETRANSLATE(A18748, ""en"", ""mt"")"),"soġġett għal mewġ ta 'xokk ta' pressjoni għolja")</f>
        <v>soġġett għal mewġ ta 'xokk ta' pressjoni għolja</v>
      </c>
    </row>
    <row r="18749" ht="15.75" customHeight="1">
      <c r="A18749" s="2" t="s">
        <v>18749</v>
      </c>
      <c r="B18749" s="2" t="str">
        <f>IFERROR(__xludf.DUMMYFUNCTION("GOOGLETRANSLATE(A18749, ""en"", ""mt"")"),"Għaqli jew imut")</f>
        <v>Għaqli jew imut</v>
      </c>
    </row>
    <row r="18750" ht="15.75" customHeight="1">
      <c r="A18750" s="2" t="s">
        <v>18750</v>
      </c>
      <c r="B18750" s="2" t="str">
        <f>IFERROR(__xludf.DUMMYFUNCTION("GOOGLETRANSLATE(A18750, ""en"", ""mt"")"),"monumentali")</f>
        <v>monumentali</v>
      </c>
    </row>
    <row r="18751" ht="15.75" customHeight="1">
      <c r="A18751" s="2" t="s">
        <v>18751</v>
      </c>
      <c r="B18751" s="2" t="str">
        <f>IFERROR(__xludf.DUMMYFUNCTION("GOOGLETRANSLATE(A18751, ""en"", ""mt"")"),"L-ekonomiji nqabdu bejn prezzijiet ogħla taż-żejt u prezzijiet aktar baxxi għall-prodotti tal-esportazzjoni tagħhom stess")</f>
        <v>L-ekonomiji nqabdu bejn prezzijiet ogħla taż-żejt u prezzijiet aktar baxxi għall-prodotti tal-esportazzjoni tagħhom stess</v>
      </c>
    </row>
    <row r="18752" ht="15.75" customHeight="1">
      <c r="A18752" s="2" t="s">
        <v>18752</v>
      </c>
      <c r="B18752" s="2" t="str">
        <f>IFERROR(__xludf.DUMMYFUNCTION("GOOGLETRANSLATE(A18752, ""en"", ""mt"")"),"Liema sistema kurrenti taċ-ċiklu AC ipproponiet Tesla?")</f>
        <v>Liema sistema kurrenti taċ-ċiklu AC ipproponiet Tesla?</v>
      </c>
    </row>
    <row r="18753" ht="15.75" customHeight="1">
      <c r="A18753" s="2" t="s">
        <v>18753</v>
      </c>
      <c r="B18753" s="2" t="str">
        <f>IFERROR(__xludf.DUMMYFUNCTION("GOOGLETRANSLATE(A18753, ""en"", ""mt"")"),"pajjiż jieħu kontroll fiżiku ta 'ieħor")</f>
        <v>pajjiż jieħu kontroll fiżiku ta 'ieħor</v>
      </c>
    </row>
    <row r="18754" ht="15.75" customHeight="1">
      <c r="A18754" s="2" t="s">
        <v>18754</v>
      </c>
      <c r="B18754" s="2" t="str">
        <f>IFERROR(__xludf.DUMMYFUNCTION("GOOGLETRANSLATE(A18754, ""en"", ""mt"")"),"X'kien l-isem tax-xogħol biex tagħti għotjiet għall-iżvilupp taż-żgħażagħ u affarijiet oħra?")</f>
        <v>X'kien l-isem tax-xogħol biex tagħti għotjiet għall-iżvilupp taż-żgħażagħ u affarijiet oħra?</v>
      </c>
    </row>
    <row r="18755" ht="15.75" customHeight="1">
      <c r="A18755" s="2" t="s">
        <v>18755</v>
      </c>
      <c r="B18755" s="2" t="str">
        <f>IFERROR(__xludf.DUMMYFUNCTION("GOOGLETRANSLATE(A18755, ""en"", ""mt"")"),"plastidi mimlijin pigment responsabbli għall-kuluri brillanti li jidhru fil-fjuri u frott misjur")</f>
        <v>plastidi mimlijin pigment responsabbli għall-kuluri brillanti li jidhru fil-fjuri u frott misjur</v>
      </c>
    </row>
    <row r="18756" ht="15.75" customHeight="1">
      <c r="A18756" s="2" t="s">
        <v>18756</v>
      </c>
      <c r="B18756" s="2" t="str">
        <f>IFERROR(__xludf.DUMMYFUNCTION("GOOGLETRANSLATE(A18756, ""en"", ""mt"")"),"Stabbilizza l-kumplament tal-ġenoma tal-kloroplast")</f>
        <v>Stabbilizza l-kumplament tal-ġenoma tal-kloroplast</v>
      </c>
    </row>
    <row r="18757" ht="15.75" customHeight="1">
      <c r="A18757" s="2" t="s">
        <v>18757</v>
      </c>
      <c r="B18757" s="2" t="str">
        <f>IFERROR(__xludf.DUMMYFUNCTION("GOOGLETRANSLATE(A18757, ""en"", ""mt"")"),"Magna tal-Modulu tas-Servizz u l-Modulu tal-Kmand Shield Heat")</f>
        <v>Magna tal-Modulu tas-Servizz u l-Modulu tal-Kmand Shield Heat</v>
      </c>
    </row>
    <row r="18758" ht="15.75" customHeight="1">
      <c r="A18758" s="2" t="s">
        <v>18758</v>
      </c>
      <c r="B18758" s="2" t="str">
        <f>IFERROR(__xludf.DUMMYFUNCTION("GOOGLETRANSLATE(A18758, ""en"", ""mt"")"),"X'kienet l-unika sena li serje sħiħa ma ġietx iffilmjata mill-2005?")</f>
        <v>X'kienet l-unika sena li serje sħiħa ma ġietx iffilmjata mill-2005?</v>
      </c>
    </row>
    <row r="18759" ht="15.75" customHeight="1">
      <c r="A18759" s="2" t="s">
        <v>18759</v>
      </c>
      <c r="B18759" s="2" t="str">
        <f>IFERROR(__xludf.DUMMYFUNCTION("GOOGLETRANSLATE(A18759, ""en"", ""mt"")"),"Imħabba ġenwina ta 'Alla b'qalb, ruħ, moħħ, u saħħa,")</f>
        <v>Imħabba ġenwina ta 'Alla b'qalb, ruħ, moħħ, u saħħa,</v>
      </c>
    </row>
    <row r="18760" ht="15.75" customHeight="1">
      <c r="A18760" s="2" t="s">
        <v>18760</v>
      </c>
      <c r="B18760" s="2" t="str">
        <f>IFERROR(__xludf.DUMMYFUNCTION("GOOGLETRANSLATE(A18760, ""en"", ""mt"")"),"Transizzjonijiet tal-Istat")</f>
        <v>Transizzjonijiet tal-Istat</v>
      </c>
    </row>
    <row r="18761" ht="15.75" customHeight="1">
      <c r="A18761" s="2" t="s">
        <v>18761</v>
      </c>
      <c r="B18761" s="2" t="str">
        <f>IFERROR(__xludf.DUMMYFUNCTION("GOOGLETRANSLATE(A18761, ""en"", ""mt"")"),"Skismatiku Kattoliku")</f>
        <v>Skismatiku Kattoliku</v>
      </c>
    </row>
    <row r="18762" ht="15.75" customHeight="1">
      <c r="A18762" s="2" t="s">
        <v>18762</v>
      </c>
      <c r="B18762" s="2" t="str">
        <f>IFERROR(__xludf.DUMMYFUNCTION("GOOGLETRANSLATE(A18762, ""en"", ""mt"")"),"Il-Konferenza tal-Big Ten")</f>
        <v>Il-Konferenza tal-Big Ten</v>
      </c>
    </row>
    <row r="18763" ht="15.75" customHeight="1">
      <c r="A18763" s="2" t="s">
        <v>18763</v>
      </c>
      <c r="B18763" s="2" t="str">
        <f>IFERROR(__xludf.DUMMYFUNCTION("GOOGLETRANSLATE(A18763, ""en"", ""mt"")"),"Tipprevjeni l-proteini tal-kloroplast milli jassumu l-forma attiva tagħhom u jwettqu l-funzjonijiet tal-kloroplast tagħhom fil-post ħażin")</f>
        <v>Tipprevjeni l-proteini tal-kloroplast milli jassumu l-forma attiva tagħhom u jwettqu l-funzjonijiet tal-kloroplast tagħhom fil-post ħażin</v>
      </c>
    </row>
    <row r="18764" ht="15.75" customHeight="1">
      <c r="A18764" s="2" t="s">
        <v>18764</v>
      </c>
      <c r="B18764" s="2" t="str">
        <f>IFERROR(__xludf.DUMMYFUNCTION("GOOGLETRANSLATE(A18764, ""en"", ""mt"")"),"żewġ reġimenti ġodda")</f>
        <v>żewġ reġimenti ġodda</v>
      </c>
    </row>
    <row r="18765" ht="15.75" customHeight="1">
      <c r="A18765" s="2" t="s">
        <v>18765</v>
      </c>
      <c r="B18765" s="2" t="str">
        <f>IFERROR(__xludf.DUMMYFUNCTION("GOOGLETRANSLATE(A18765, ""en"", ""mt"")"),"L-Amazon tirrappreżenta aktar minn nofs il-foresti tropikali li fadal tal-pjaneta")</f>
        <v>L-Amazon tirrappreżenta aktar minn nofs il-foresti tropikali li fadal tal-pjaneta</v>
      </c>
    </row>
    <row r="18766" ht="15.75" customHeight="1">
      <c r="A18766" s="2" t="s">
        <v>18766</v>
      </c>
      <c r="B18766" s="2" t="str">
        <f>IFERROR(__xludf.DUMMYFUNCTION("GOOGLETRANSLATE(A18766, ""en"", ""mt"")"),"Fi stil ta 'platoon tagħlim, dak li jagħti lit-tfal is-sigurtà?")</f>
        <v>Fi stil ta 'platoon tagħlim, dak li jagħti lit-tfal is-sigurtà?</v>
      </c>
    </row>
    <row r="18767" ht="15.75" customHeight="1">
      <c r="A18767" s="2" t="s">
        <v>18767</v>
      </c>
      <c r="B18767" s="2" t="str">
        <f>IFERROR(__xludf.DUMMYFUNCTION("GOOGLETRANSLATE(A18767, ""en"", ""mt"")"),"2-3 snin")</f>
        <v>2-3 snin</v>
      </c>
    </row>
    <row r="18768" ht="15.75" customHeight="1">
      <c r="A18768" s="2" t="s">
        <v>18768</v>
      </c>
      <c r="B18768" s="2" t="str">
        <f>IFERROR(__xludf.DUMMYFUNCTION("GOOGLETRANSLATE(A18768, ""en"", ""mt"")"),"siegħat twal")</f>
        <v>siegħat twal</v>
      </c>
    </row>
    <row r="18769" ht="15.75" customHeight="1">
      <c r="A18769" s="2" t="s">
        <v>18769</v>
      </c>
      <c r="B18769" s="2" t="str">
        <f>IFERROR(__xludf.DUMMYFUNCTION("GOOGLETRANSLATE(A18769, ""en"", ""mt"")"),"porċellana, drapp u wallpaper")</f>
        <v>porċellana, drapp u wallpaper</v>
      </c>
    </row>
    <row r="18770" ht="15.75" customHeight="1">
      <c r="A18770" s="2" t="s">
        <v>18770</v>
      </c>
      <c r="B18770" s="2" t="str">
        <f>IFERROR(__xludf.DUMMYFUNCTION("GOOGLETRANSLATE(A18770, ""en"", ""mt"")"),"Il-Mustang I tal-1974")</f>
        <v>Il-Mustang I tal-1974</v>
      </c>
    </row>
    <row r="18771" ht="15.75" customHeight="1">
      <c r="A18771" s="2" t="s">
        <v>18771</v>
      </c>
      <c r="B18771" s="2" t="str">
        <f>IFERROR(__xludf.DUMMYFUNCTION("GOOGLETRANSLATE(A18771, ""en"", ""mt"")"),"Min qabad u żamm il-priġunier Temüjin madwar l-1177?")</f>
        <v>Min qabad u żamm il-priġunier Temüjin madwar l-1177?</v>
      </c>
    </row>
    <row r="18772" ht="15.75" customHeight="1">
      <c r="A18772" s="2" t="s">
        <v>18772</v>
      </c>
      <c r="B18772" s="2" t="str">
        <f>IFERROR(__xludf.DUMMYFUNCTION("GOOGLETRANSLATE(A18772, ""en"", ""mt"")"),"Fejn hu ospitat il-Jazz Jamboree?")</f>
        <v>Fejn hu ospitat il-Jazz Jamboree?</v>
      </c>
    </row>
    <row r="18773" ht="15.75" customHeight="1">
      <c r="A18773" s="2" t="s">
        <v>18773</v>
      </c>
      <c r="B18773" s="2" t="str">
        <f>IFERROR(__xludf.DUMMYFUNCTION("GOOGLETRANSLATE(A18773, ""en"", ""mt"")"),"""Il-kelma"" imperu ""ġejja mill-kelma Latina Imperium; li għalih l-eqreb ekwivalenti Ingliż modern jista 'jkun"" sovranità "", jew sempliċement"" regola "". L-akbar distinzjoni ta 'imperu hija permezz tal-ammont ta' art li nazzjon ħakem u espandiet. Il-p"&amp;"oter politiku kiber mill-art li qed jirbħu, madankollu l-aspetti kulturali u ekonomiċi iffjorixxew permezz tar-rotot tal-baħar u tal-kummerċ. Distinzjoni dwar l-imperi hija ""li għalkemm l-imperi politiċi nbnew l-aktar permezz ta 'espansjoni fuq l-art, l-"&amp;"influwenzi ekonomiċi u kulturali jinfirxu mill-inqas daqs il-baħar"". Uħud mill-aspetti ewlenin tal-kummerċ li marru barranin kienu jikkonsistu minn annimali u prodotti tal-pjanti. L-imperi Ewropej fl-Asja u l-Afrika ""ġew meqjusa bħala l-forom klassiċi t"&amp;"a 'l-imperjalizmu: u tabilħaqq ħafna kotba dwar is-suġġett jillimitaw ruħhom għall-imperi Ewropej tal-baħar"". L-espansjoni Ewropea kkawżat li d-dinja tinqasam minn kif in-nazzjon żviluppat u li qed jiżviluppa huma deskritti permezz tat-teorija tas-sistem"&amp;"i dinjija. Iż-żewġ reġjuni ewlenin huma l-qalba u l-periferija. Il-qalba tikkonsisti f'oqsma għoljin ta 'dħul u profitt; Il-periferija tinsab fuq in-naħa opposta tal-ispettru li jikkonsisti f'żoni ta 'dħul baxx u profitt. Dawn it-teoriji kritiċi tal-ġeopo"&amp;"litika wasslu għal diskussjoni miżjuda dwar it-tifsira u l-impatt tal-imperjalizmu fuq id-dinja post-kolonjali moderna. Il-mexxej Russu Lenin issuġġerixxa li ""l-imperjalizmu kien l-ogħla forma ta 'kapitaliżmu, fejn qal li l-imperjalizmu żviluppa wara l-k"&amp;"olonjaliżmu, u kien distint mill-kolonjaliżmu mill-kapitaliżmu tal-monopolju"". Din l-idea minn Lenin tenfasizza kemm l-ordni tad-dinja politika ġdida ġdida saret fl-era moderna tagħna. Il-ġeopolitika issa tiffoka fuq l-istati li jsiru atturi ekonomiċi ew"&amp;"lenin fis-suq; Xi stati llum huma meqjusa bħala imperi minħabba l-awtorità politika u ekonomika tagħhom fuq nazzjonijiet oħra.")</f>
        <v>"Il-kelma" imperu "ġejja mill-kelma Latina Imperium; li għalih l-eqreb ekwivalenti Ingliż modern jista 'jkun" sovranità ", jew sempliċement" regola ". L-akbar distinzjoni ta 'imperu hija permezz tal-ammont ta' art li nazzjon ħakem u espandiet. Il-poter politiku kiber mill-art li qed jirbħu, madankollu l-aspetti kulturali u ekonomiċi iffjorixxew permezz tar-rotot tal-baħar u tal-kummerċ. Distinzjoni dwar l-imperi hija "li għalkemm l-imperi politiċi nbnew l-aktar permezz ta 'espansjoni fuq l-art, l-influwenzi ekonomiċi u kulturali jinfirxu mill-inqas daqs il-baħar". Uħud mill-aspetti ewlenin tal-kummerċ li marru barranin kienu jikkonsistu minn annimali u prodotti tal-pjanti. L-imperi Ewropej fl-Asja u l-Afrika "ġew meqjusa bħala l-forom klassiċi ta 'l-imperjalizmu: u tabilħaqq ħafna kotba dwar is-suġġett jillimitaw ruħhom għall-imperi Ewropej tal-baħar". L-espansjoni Ewropea kkawżat li d-dinja tinqasam minn kif in-nazzjon żviluppat u li qed jiżviluppa huma deskritti permezz tat-teorija tas-sistemi dinjija. Iż-żewġ reġjuni ewlenin huma l-qalba u l-periferija. Il-qalba tikkonsisti f'oqsma għoljin ta 'dħul u profitt; Il-periferija tinsab fuq in-naħa opposta tal-ispettru li jikkonsisti f'żoni ta 'dħul baxx u profitt. Dawn it-teoriji kritiċi tal-ġeopolitika wasslu għal diskussjoni miżjuda dwar it-tifsira u l-impatt tal-imperjalizmu fuq id-dinja post-kolonjali moderna. Il-mexxej Russu Lenin issuġġerixxa li "l-imperjalizmu kien l-ogħla forma ta 'kapitaliżmu, fejn qal li l-imperjalizmu żviluppa wara l-kolonjaliżmu, u kien distint mill-kolonjaliżmu mill-kapitaliżmu tal-monopolju". Din l-idea minn Lenin tenfasizza kemm l-ordni tad-dinja politika ġdida ġdida saret fl-era moderna tagħna. Il-ġeopolitika issa tiffoka fuq l-istati li jsiru atturi ekonomiċi ewlenin fis-suq; Xi stati llum huma meqjusa bħala imperi minħabba l-awtorità politika u ekonomika tagħhom fuq nazzjonijiet oħra.</v>
      </c>
    </row>
    <row r="18774" ht="15.75" customHeight="1">
      <c r="A18774" s="2" t="s">
        <v>18774</v>
      </c>
      <c r="B18774" s="2" t="str">
        <f>IFERROR(__xludf.DUMMYFUNCTION("GOOGLETRANSLATE(A18774, ""en"", ""mt"")"),"Trasferiment minn denominazzjoni Nisranija oħra")</f>
        <v>Trasferiment minn denominazzjoni Nisranija oħra</v>
      </c>
    </row>
    <row r="18775" ht="15.75" customHeight="1">
      <c r="A18775" s="2" t="s">
        <v>18775</v>
      </c>
      <c r="B18775" s="2" t="str">
        <f>IFERROR(__xludf.DUMMYFUNCTION("GOOGLETRANSLATE(A18775, ""en"", ""mt"")"),"Liema plejer lagħab fis-Super Bowl wara li kiser id-driegħ tiegħu ġimagħtejn qabel?")</f>
        <v>Liema plejer lagħab fis-Super Bowl wara li kiser id-driegħ tiegħu ġimagħtejn qabel?</v>
      </c>
    </row>
    <row r="18776" ht="15.75" customHeight="1">
      <c r="A18776" s="2" t="s">
        <v>18776</v>
      </c>
      <c r="B18776" s="2" t="str">
        <f>IFERROR(__xludf.DUMMYFUNCTION("GOOGLETRANSLATE(A18776, ""en"", ""mt"")"),"X'inhu s-soltu l-għan li tieħu bargain ta 'motiv?")</f>
        <v>X'inhu s-soltu l-għan li tieħu bargain ta 'motiv?</v>
      </c>
    </row>
    <row r="18777" ht="15.75" customHeight="1">
      <c r="A18777" s="2" t="s">
        <v>18777</v>
      </c>
      <c r="B18777" s="2" t="str">
        <f>IFERROR(__xludf.DUMMYFUNCTION("GOOGLETRANSLATE(A18777, ""en"", ""mt"")"),"Fil-Gran Brittanja, l-arti Norman tibqa 'ħajja primarjament bħala xogħol tal-ġebel jew xogħol tal-metall, bħal kapitali u fonts tal-magħmudija. Fin-Nofsinhar tal-Italja, madankollu, ix-xogħol artistiku Norman jibqa 'ħaj f'forom influwenzati sew mill-foreb"&amp;"ears Griegi, Lombard u Għarab tiegħu. Ir-regalia rjali ppreservata f'Palermo, il-kuruna hija bizantina fl-istil u l-mantar tal-inkurunazzjoni huwa ta 'sengħa Għarbija bl-iskrizzjonijiet Għarbi. Ħafna knejjes jippreservaw fonts skolpiti, kapitali u aktar i"&amp;"mportanti mill-mużajk, li kienu komuni fl-Italja Norman u ġibdu ħafna fuq il-wirt Grieg. Lombard Salerno kien ċentru ta 'l-avorju fis-seklu 11 u dan kompla taħt il-ħakma Norman. Fl-aħħarnett għandu jkun innutat l-att sesswali bejn il-Kruċjati Franċiżi li "&amp;"jivvjaġġaw lejn l-Art Imqaddsa li ġabu magħhom artefatti Franċiżi li bihom jagħtu rigal il-knejjes li fihom waqfu fin-Nofsinhar tal-Italja fost il-kuġini Norman tagħhom. Għal din ir-raġuni ħafna knejjes Taljani t'Isfel jippreservaw xogħlijiet minn Franza "&amp;"flimkien mal-biċċiet indiġeni tagħhom.")</f>
        <v>Fil-Gran Brittanja, l-arti Norman tibqa 'ħajja primarjament bħala xogħol tal-ġebel jew xogħol tal-metall, bħal kapitali u fonts tal-magħmudija. Fin-Nofsinhar tal-Italja, madankollu, ix-xogħol artistiku Norman jibqa 'ħaj f'forom influwenzati sew mill-forebears Griegi, Lombard u Għarab tiegħu. Ir-regalia rjali ppreservata f'Palermo, il-kuruna hija bizantina fl-istil u l-mantar tal-inkurunazzjoni huwa ta 'sengħa Għarbija bl-iskrizzjonijiet Għarbi. Ħafna knejjes jippreservaw fonts skolpiti, kapitali u aktar importanti mill-mużajk, li kienu komuni fl-Italja Norman u ġibdu ħafna fuq il-wirt Grieg. Lombard Salerno kien ċentru ta 'l-avorju fis-seklu 11 u dan kompla taħt il-ħakma Norman. Fl-aħħarnett għandu jkun innutat l-att sesswali bejn il-Kruċjati Franċiżi li jivvjaġġaw lejn l-Art Imqaddsa li ġabu magħhom artefatti Franċiżi li bihom jagħtu rigal il-knejjes li fihom waqfu fin-Nofsinhar tal-Italja fost il-kuġini Norman tagħhom. Għal din ir-raġuni ħafna knejjes Taljani t'Isfel jippreservaw xogħlijiet minn Franza flimkien mal-biċċiet indiġeni tagħhom.</v>
      </c>
    </row>
    <row r="18778" ht="15.75" customHeight="1">
      <c r="A18778" s="2" t="s">
        <v>18778</v>
      </c>
      <c r="B18778" s="2" t="str">
        <f>IFERROR(__xludf.DUMMYFUNCTION("GOOGLETRANSLATE(A18778, ""en"", ""mt"")"),"7 ta 'Jannar, 2014")</f>
        <v>7 ta 'Jannar, 2014</v>
      </c>
    </row>
    <row r="18779" ht="15.75" customHeight="1">
      <c r="A18779" s="2" t="s">
        <v>18779</v>
      </c>
      <c r="B18779" s="2" t="str">
        <f>IFERROR(__xludf.DUMMYFUNCTION("GOOGLETRANSLATE(A18779, ""en"", ""mt"")"),"Tqajjem tħassib dwar jekk il-qasam tal-istadium ta 'Levi kienx ta' kwalità għolja biżżejjed biex jospita Super Bowl; Matul l-istaġun inawgurali, il-grawnd kellu jerġa 'jiġi soded bosta drabi minħabba diversi kwistjonijiet, u matul logħba 6 aktar kmieni fl"&amp;"-istaġun tal-2015, porzjon tat-turf waqa' taħt il-kicker ta 'Baltimore Ravens Justin Tucker, li jikkawżah jiżloq u Miss a Goal Field, għalkemm il-qasam ma kellu l-ebda kwistjonijiet kbar minn dakinhar. Kif inhu s-soltu għal-logħob tas-Super Bowl li lagħab"&amp;" fil-grawnds tal-ħaxix naturali, l-NFL reġgħet issottomettiet il-grawnd b'wiċċ tal-logħob ġdid; A ibridu Bermuda 419 Turf. L-NFL u l-Atlanta Braves Field Director Ed Mangan iddikjaraw li l-grawnd kien f '""forma kbira"" għal Gameday. Madankollu, it-turf w"&amp;"era problema matul il-logħba, b'numru ta 'plejers li għandhom bżonn jibdlu l-bitti tagħhom waqt il-logħba u l-plejer jiżolqu waqt il-logħob kollu matul il-logħba.")</f>
        <v>Tqajjem tħassib dwar jekk il-qasam tal-istadium ta 'Levi kienx ta' kwalità għolja biżżejjed biex jospita Super Bowl; Matul l-istaġun inawgurali, il-grawnd kellu jerġa 'jiġi soded bosta drabi minħabba diversi kwistjonijiet, u matul logħba 6 aktar kmieni fl-istaġun tal-2015, porzjon tat-turf waqa' taħt il-kicker ta 'Baltimore Ravens Justin Tucker, li jikkawżah jiżloq u Miss a Goal Field, għalkemm il-qasam ma kellu l-ebda kwistjonijiet kbar minn dakinhar. Kif inhu s-soltu għal-logħob tas-Super Bowl li lagħab fil-grawnds tal-ħaxix naturali, l-NFL reġgħet issottomettiet il-grawnd b'wiċċ tal-logħob ġdid; A ibridu Bermuda 419 Turf. L-NFL u l-Atlanta Braves Field Director Ed Mangan iddikjaraw li l-grawnd kien f '"forma kbira" għal Gameday. Madankollu, it-turf wera problema matul il-logħba, b'numru ta 'plejers li għandhom bżonn jibdlu l-bitti tagħhom waqt il-logħba u l-plejer jiżolqu waqt il-logħob kollu matul il-logħba.</v>
      </c>
    </row>
    <row r="18780" ht="15.75" customHeight="1">
      <c r="A18780" s="2" t="s">
        <v>18780</v>
      </c>
      <c r="B18780" s="2" t="str">
        <f>IFERROR(__xludf.DUMMYFUNCTION("GOOGLETRANSLATE(A18780, ""en"", ""mt"")"),"Veni Redemptor Gentium")</f>
        <v>Veni Redemptor Gentium</v>
      </c>
    </row>
    <row r="18781" ht="15.75" customHeight="1">
      <c r="A18781" s="2" t="s">
        <v>18781</v>
      </c>
      <c r="B18781" s="2" t="str">
        <f>IFERROR(__xludf.DUMMYFUNCTION("GOOGLETRANSLATE(A18781, ""en"", ""mt"")"),"20 ta 'April")</f>
        <v>20 ta 'April</v>
      </c>
    </row>
    <row r="18782" ht="15.75" customHeight="1">
      <c r="A18782" s="2" t="s">
        <v>18782</v>
      </c>
      <c r="B18782" s="2" t="str">
        <f>IFERROR(__xludf.DUMMYFUNCTION("GOOGLETRANSLATE(A18782, ""en"", ""mt"")"),"Id-dħul tal-undergraduate f'Harvard huwa kkaratterizzat mill-Fondazzjoni Carnegie bħala ""aktar selettiv, aktar baxx ta 'trasferiment"". Il-Kulleġġ ta ’Harvard aċċetta 5.3% tal-applikanti għall-Klassi tal-2019, rekord baxx u t-tieni rata ta’ aċċettazzjoni"&amp;" l-iktar baxxa fost l-universitajiet nazzjonali kollha. Il-Kulleġġ ta 'Harvard temm il-programm ta' ammissjoni bikrija tiegħu fl-2007 peress li l-programm kien maħsub li żvantaġġja applikanti ta 'minoranza bi dħul baxx u mhux rappreżentati li japplikaw għ"&amp;"al universitajiet selettivi, iżda għall-klassi tal-2016 ġie introdott programm ta' azzjoni bikrija.")</f>
        <v>Id-dħul tal-undergraduate f'Harvard huwa kkaratterizzat mill-Fondazzjoni Carnegie bħala "aktar selettiv, aktar baxx ta 'trasferiment". Il-Kulleġġ ta ’Harvard aċċetta 5.3% tal-applikanti għall-Klassi tal-2019, rekord baxx u t-tieni rata ta’ aċċettazzjoni l-iktar baxxa fost l-universitajiet nazzjonali kollha. Il-Kulleġġ ta 'Harvard temm il-programm ta' ammissjoni bikrija tiegħu fl-2007 peress li l-programm kien maħsub li żvantaġġja applikanti ta 'minoranza bi dħul baxx u mhux rappreżentati li japplikaw għal universitajiet selettivi, iżda għall-klassi tal-2016 ġie introdott programm ta' azzjoni bikrija.</v>
      </c>
    </row>
    <row r="18783" ht="15.75" customHeight="1">
      <c r="A18783" s="2" t="s">
        <v>18783</v>
      </c>
      <c r="B18783" s="2" t="str">
        <f>IFERROR(__xludf.DUMMYFUNCTION("GOOGLETRANSLATE(A18783, ""en"", ""mt"")"),"It-titjib tal-port mill-aħħar tas-seklu 19 għamlu lil Jacksonville port maġġuri militari u ċivili tal-fond. Il-post tax-xmajjar tiegħu jiffaċilita żewġ bażijiet tan-Navy tal-Istati Uniti u l-Port ta 'Jacksonville, it-tielet l-akbar port tal-baħar ta' Flor"&amp;"ida. Iż-żewġ bażijiet tan-Navy Amerikana, Blount Island Command u l-Bażi tas-sottomarini Navali fil-viċin jiffurmaw it-tielet l-akbar preżenza militari fl-Istati Uniti. Fatturi sinifikanti fl-ekonomija lokali jinkludu servizzi bħal banek, assigurazzjoni, "&amp;"kura tas-saħħa u loġistika. Bħal f'ħafna mill-Florida, it-turiżmu huwa importanti wkoll għaż-żona ta 'Jacksonville, partikolarment it-turiżmu relatat mal-golf. Nies minn Jacksonville jistgħu jissejħu ""Jacksonvillians"" jew ""Jaxsons"" (spjegati wkoll ""J"&amp;"axons"").")</f>
        <v>It-titjib tal-port mill-aħħar tas-seklu 19 għamlu lil Jacksonville port maġġuri militari u ċivili tal-fond. Il-post tax-xmajjar tiegħu jiffaċilita żewġ bażijiet tan-Navy tal-Istati Uniti u l-Port ta 'Jacksonville, it-tielet l-akbar port tal-baħar ta' Florida. Iż-żewġ bażijiet tan-Navy Amerikana, Blount Island Command u l-Bażi tas-sottomarini Navali fil-viċin jiffurmaw it-tielet l-akbar preżenza militari fl-Istati Uniti. Fatturi sinifikanti fl-ekonomija lokali jinkludu servizzi bħal banek, assigurazzjoni, kura tas-saħħa u loġistika. Bħal f'ħafna mill-Florida, it-turiżmu huwa importanti wkoll għaż-żona ta 'Jacksonville, partikolarment it-turiżmu relatat mal-golf. Nies minn Jacksonville jistgħu jissejħu "Jacksonvillians" jew "Jaxsons" (spjegati wkoll "Jaxons").</v>
      </c>
    </row>
    <row r="18784" ht="15.75" customHeight="1">
      <c r="A18784" s="2" t="s">
        <v>18784</v>
      </c>
      <c r="B18784" s="2" t="str">
        <f>IFERROR(__xludf.DUMMYFUNCTION("GOOGLETRANSLATE(A18784, ""en"", ""mt"")"),"ħruq ta 'materjali kombustibbli")</f>
        <v>ħruq ta 'materjali kombustibbli</v>
      </c>
    </row>
    <row r="18785" ht="15.75" customHeight="1">
      <c r="A18785" s="2" t="s">
        <v>18785</v>
      </c>
      <c r="B18785" s="2" t="str">
        <f>IFERROR(__xludf.DUMMYFUNCTION("GOOGLETRANSLATE(A18785, ""en"", ""mt"")"),"Liema bini amministrattiv ta 'qabel intuża għall-uffiċċji tal-MSP?")</f>
        <v>Liema bini amministrattiv ta 'qabel intuża għall-uffiċċji tal-MSP?</v>
      </c>
    </row>
    <row r="18786" ht="15.75" customHeight="1">
      <c r="A18786" s="2" t="s">
        <v>18786</v>
      </c>
      <c r="B18786" s="2" t="str">
        <f>IFERROR(__xludf.DUMMYFUNCTION("GOOGLETRANSLATE(A18786, ""en"", ""mt"")"),"Liema entitajiet kienu oriġinarjament imħassba dwar il-prevenzjoni ta 'ksur tad-drittijiet tal-bniedem?")</f>
        <v>Liema entitajiet kienu oriġinarjament imħassba dwar il-prevenzjoni ta 'ksur tad-drittijiet tal-bniedem?</v>
      </c>
    </row>
    <row r="18787" ht="15.75" customHeight="1">
      <c r="A18787" s="2" t="s">
        <v>18787</v>
      </c>
      <c r="B18787" s="2" t="str">
        <f>IFERROR(__xludf.DUMMYFUNCTION("GOOGLETRANSLATE(A18787, ""en"", ""mt"")"),"X'kien il-prinċipju muri fil-marka ta 'l-anarkija?")</f>
        <v>X'kien il-prinċipju muri fil-marka ta 'l-anarkija?</v>
      </c>
    </row>
    <row r="18788" ht="15.75" customHeight="1">
      <c r="A18788" s="2" t="s">
        <v>18788</v>
      </c>
      <c r="B18788" s="2" t="str">
        <f>IFERROR(__xludf.DUMMYFUNCTION("GOOGLETRANSLATE(A18788, ""en"", ""mt"")"),"statistiku")</f>
        <v>statistiku</v>
      </c>
    </row>
    <row r="18789" ht="15.75" customHeight="1">
      <c r="A18789" s="2" t="s">
        <v>18789</v>
      </c>
      <c r="B18789" s="2" t="str">
        <f>IFERROR(__xludf.DUMMYFUNCTION("GOOGLETRANSLATE(A18789, ""en"", ""mt"")"),"Orange, San Diego, Riverside u San Bernardino jiffurmaw erba 'mill-ħames kontej. X'inhu l-isem tal-aħħar kontea?")</f>
        <v>Orange, San Diego, Riverside u San Bernardino jiffurmaw erba 'mill-ħames kontej. X'inhu l-isem tal-aħħar kontea?</v>
      </c>
    </row>
    <row r="18790" ht="15.75" customHeight="1">
      <c r="A18790" s="2" t="s">
        <v>18790</v>
      </c>
      <c r="B18790" s="2" t="str">
        <f>IFERROR(__xludf.DUMMYFUNCTION("GOOGLETRANSLATE(A18790, ""en"", ""mt"")"),"Ġerarkija tal-ħin polinomjali")</f>
        <v>Ġerarkija tal-ħin polinomjali</v>
      </c>
    </row>
    <row r="18791" ht="15.75" customHeight="1">
      <c r="A18791" s="2" t="s">
        <v>18791</v>
      </c>
      <c r="B18791" s="2" t="str">
        <f>IFERROR(__xludf.DUMMYFUNCTION("GOOGLETRANSLATE(A18791, ""en"", ""mt"")"),"F'liema sena Roger Goodell ċempel lil Super Bowl 50 'logħba importanti għalina bħala kampjonat'?")</f>
        <v>F'liema sena Roger Goodell ċempel lil Super Bowl 50 'logħba importanti għalina bħala kampjonat'?</v>
      </c>
    </row>
    <row r="18792" ht="15.75" customHeight="1">
      <c r="A18792" s="2" t="s">
        <v>18792</v>
      </c>
      <c r="B18792" s="2" t="str">
        <f>IFERROR(__xludf.DUMMYFUNCTION("GOOGLETRANSLATE(A18792, ""en"", ""mt"")"),"L-elezzjoni tal-Partit Laburista tar-Renju Unit għall-Gvern")</f>
        <v>L-elezzjoni tal-Partit Laburista tar-Renju Unit għall-Gvern</v>
      </c>
    </row>
    <row r="18793" ht="15.75" customHeight="1">
      <c r="A18793" s="2" t="s">
        <v>18793</v>
      </c>
      <c r="B18793" s="2" t="str">
        <f>IFERROR(__xludf.DUMMYFUNCTION("GOOGLETRANSLATE(A18793, ""en"", ""mt"")"),"Servizz tal-Ħażna Cloud")</f>
        <v>Servizz tal-Ħażna Cloud</v>
      </c>
    </row>
    <row r="18794" ht="15.75" customHeight="1">
      <c r="A18794" s="2" t="s">
        <v>18794</v>
      </c>
      <c r="B18794" s="2" t="str">
        <f>IFERROR(__xludf.DUMMYFUNCTION("GOOGLETRANSLATE(A18794, ""en"", ""mt"")"),"Ferrovija ta ’Middleton")</f>
        <v>Ferrovija ta ’Middleton</v>
      </c>
    </row>
    <row r="18795" ht="15.75" customHeight="1">
      <c r="A18795" s="2" t="s">
        <v>18795</v>
      </c>
      <c r="B18795" s="2" t="str">
        <f>IFERROR(__xludf.DUMMYFUNCTION("GOOGLETRANSLATE(A18795, ""en"", ""mt"")"),"5.9%")</f>
        <v>5.9%</v>
      </c>
    </row>
    <row r="18796" ht="15.75" customHeight="1">
      <c r="A18796" s="2" t="s">
        <v>18796</v>
      </c>
      <c r="B18796" s="2" t="str">
        <f>IFERROR(__xludf.DUMMYFUNCTION("GOOGLETRANSLATE(A18796, ""en"", ""mt"")"),"28 affiljati ABC u żewġ affiljati addizzjonali biss għal subchannel")</f>
        <v>28 affiljati ABC u żewġ affiljati addizzjonali biss għal subchannel</v>
      </c>
    </row>
    <row r="18797" ht="15.75" customHeight="1">
      <c r="A18797" s="2" t="s">
        <v>18797</v>
      </c>
      <c r="B18797" s="2" t="str">
        <f>IFERROR(__xludf.DUMMYFUNCTION("GOOGLETRANSLATE(A18797, ""en"", ""mt"")"),"Fis-Sistema Federali tal-Kura tas-Saħħa ta 'l-Istati Uniti (inklużi l-VA, is-Servizz tas-Saħħa Indjana, u l-NIH) l-ispiżjara tal-kura ambulatorju jingħataw awtorità ta' preskrizzjoni indipendenti sħiħa. F’xi stati bħal North Carolina u New Mexico dawn il-"&amp;"kliniċi tal-ispiżjar jingħataw awtorità preskrittiva u dijanjostika kollaborattiva. Fl-2011 il-Bord tal-Ispeċjalitajiet Farmaċewtiċi approva l-prattika tal-ispiżerija tal-kura ambulatorja bħala ċertifikazzjoni separata tal-bord. In-nomina uffiċjali għall-"&amp;"ispiżjara li jgħaddu l-eżami taċ-ċertifikazzjoni tal-ispiżerija tal-ispiżerija tal-kura tal-ispiżerija se jkunu l-ispiżjar tal-kura ambulatorja ċċertifikata u dawn l-ispiżjara se jġorru l-inizjali tal-BCACP.")</f>
        <v>Fis-Sistema Federali tal-Kura tas-Saħħa ta 'l-Istati Uniti (inklużi l-VA, is-Servizz tas-Saħħa Indjana, u l-NIH) l-ispiżjara tal-kura ambulatorju jingħataw awtorità ta' preskrizzjoni indipendenti sħiħa. F’xi stati bħal North Carolina u New Mexico dawn il-kliniċi tal-ispiżjar jingħataw awtorità preskrittiva u dijanjostika kollaborattiva. Fl-2011 il-Bord tal-Ispeċjalitajiet Farmaċewtiċi approva l-prattika tal-ispiżerija tal-kura ambulatorja bħala ċertifikazzjoni separata tal-bord. In-nomina uffiċjali għall-ispiżjara li jgħaddu l-eżami taċ-ċertifikazzjoni tal-ispiżerija tal-ispiżerija tal-kura tal-ispiżerija se jkunu l-ispiżjar tal-kura ambulatorja ċċertifikata u dawn l-ispiżjara se jġorru l-inizjali tal-BCACP.</v>
      </c>
    </row>
    <row r="18798" ht="15.75" customHeight="1">
      <c r="A18798" s="2" t="s">
        <v>18798</v>
      </c>
      <c r="B18798" s="2" t="str">
        <f>IFERROR(__xludf.DUMMYFUNCTION("GOOGLETRANSLATE(A18798, ""en"", ""mt"")"),"Xogħol niket fuq id-dnub f'qalb il-bniedem")</f>
        <v>Xogħol niket fuq id-dnub f'qalb il-bniedem</v>
      </c>
    </row>
    <row r="18799" ht="15.75" customHeight="1">
      <c r="A18799" s="2" t="s">
        <v>18799</v>
      </c>
      <c r="B18799" s="2" t="str">
        <f>IFERROR(__xludf.DUMMYFUNCTION("GOOGLETRANSLATE(A18799, ""en"", ""mt"")"),"11 ta 'Ġunju, 1962")</f>
        <v>11 ta 'Ġunju, 1962</v>
      </c>
    </row>
    <row r="18800" ht="15.75" customHeight="1">
      <c r="A18800" s="2" t="s">
        <v>18800</v>
      </c>
      <c r="B18800" s="2" t="str">
        <f>IFERROR(__xludf.DUMMYFUNCTION("GOOGLETRANSLATE(A18800, ""en"", ""mt"")"),"iffokat fuq l-identità u l-għaqda")</f>
        <v>iffokat fuq l-identità u l-għaqda</v>
      </c>
    </row>
    <row r="18801" ht="15.75" customHeight="1">
      <c r="A18801" s="2" t="s">
        <v>18801</v>
      </c>
      <c r="B18801" s="2" t="str">
        <f>IFERROR(__xludf.DUMMYFUNCTION("GOOGLETRANSLATE(A18801, ""en"", ""mt"")"),"Ir-rati rrappurtati ta 'mortalità fiż-żoni rurali matul il-pandemija tas-seklu 14 kienu inkonsistenti mal-pesta bubonika moderna")</f>
        <v>Ir-rati rrappurtati ta 'mortalità fiż-żoni rurali matul il-pandemija tas-seklu 14 kienu inkonsistenti mal-pesta bubonika moderna</v>
      </c>
    </row>
    <row r="18802" ht="15.75" customHeight="1">
      <c r="A18802" s="2" t="s">
        <v>18802</v>
      </c>
      <c r="B18802" s="2" t="str">
        <f>IFERROR(__xludf.DUMMYFUNCTION("GOOGLETRANSLATE(A18802, ""en"", ""mt"")"),"Dubbidjenza ċivili solitarja")</f>
        <v>Dubbidjenza ċivili solitarja</v>
      </c>
    </row>
    <row r="18803" ht="15.75" customHeight="1">
      <c r="A18803" s="2" t="s">
        <v>18803</v>
      </c>
      <c r="B18803" s="2" t="str">
        <f>IFERROR(__xludf.DUMMYFUNCTION("GOOGLETRANSLATE(A18803, ""en"", ""mt"")"),"relazzjoni ta 'ċittadin mal-istat u l-liġijiet tiegħu")</f>
        <v>relazzjoni ta 'ċittadin mal-istat u l-liġijiet tiegħu</v>
      </c>
    </row>
    <row r="18804" ht="15.75" customHeight="1">
      <c r="A18804" s="2" t="s">
        <v>18804</v>
      </c>
      <c r="B18804" s="2" t="str">
        <f>IFERROR(__xludf.DUMMYFUNCTION("GOOGLETRANSLATE(A18804, ""en"", ""mt"")"),"L-adozzjoni tat-taħlit kienet komuni għal unitajiet industrijali, għal magni tat-toroq u kważi universali għall-magni tal-baħar wara l-1880; Ma kienx popolari universalment fil-lokomottivi tal-ferrovija fejn spiss kien ikkunsidrat bħala kkumplikat. Dan hu"&amp;"wa parzjalment dovut għall-ambjent operattiv tal-ferrovija ħarxa u l-ispazju limitat mogħti mill-gauge tat-tagħbija (partikolarment fil-Gran Brittanja, fejn it-taħlit qatt ma kien komuni u mhux impjegat wara l-1930). Madankollu, għalkemm qatt fil-maġġoran"&amp;"za, kien popolari f'ħafna pajjiżi oħra.")</f>
        <v>L-adozzjoni tat-taħlit kienet komuni għal unitajiet industrijali, għal magni tat-toroq u kważi universali għall-magni tal-baħar wara l-1880; Ma kienx popolari universalment fil-lokomottivi tal-ferrovija fejn spiss kien ikkunsidrat bħala kkumplikat. Dan huwa parzjalment dovut għall-ambjent operattiv tal-ferrovija ħarxa u l-ispazju limitat mogħti mill-gauge tat-tagħbija (partikolarment fil-Gran Brittanja, fejn it-taħlit qatt ma kien komuni u mhux impjegat wara l-1930). Madankollu, għalkemm qatt fil-maġġoranza, kien popolari f'ħafna pajjiżi oħra.</v>
      </c>
    </row>
    <row r="18805" ht="15.75" customHeight="1">
      <c r="A18805" s="2" t="s">
        <v>18805</v>
      </c>
      <c r="B18805" s="2" t="str">
        <f>IFERROR(__xludf.DUMMYFUNCTION("GOOGLETRANSLATE(A18805, ""en"", ""mt"")"),"ġelatina moxt")</f>
        <v>ġelatina moxt</v>
      </c>
    </row>
    <row r="18806" ht="15.75" customHeight="1">
      <c r="A18806" s="2" t="s">
        <v>18806</v>
      </c>
      <c r="B18806" s="2" t="str">
        <f>IFERROR(__xludf.DUMMYFUNCTION("GOOGLETRANSLATE(A18806, ""en"", ""mt"")"),"Tnaqqis fil-prezz tax-xogħol tas-sengħa")</f>
        <v>Tnaqqis fil-prezz tax-xogħol tas-sengħa</v>
      </c>
    </row>
    <row r="18807" ht="15.75" customHeight="1">
      <c r="A18807" s="2" t="s">
        <v>18807</v>
      </c>
      <c r="B18807" s="2" t="str">
        <f>IFERROR(__xludf.DUMMYFUNCTION("GOOGLETRANSLATE(A18807, ""en"", ""mt"")"),"faċilità ġdida")</f>
        <v>faċilità ġdida</v>
      </c>
    </row>
    <row r="18808" ht="15.75" customHeight="1">
      <c r="A18808" s="2" t="s">
        <v>18808</v>
      </c>
      <c r="B18808" s="2" t="str">
        <f>IFERROR(__xludf.DUMMYFUNCTION("GOOGLETRANSLATE(A18808, ""en"", ""mt"")"),"partiċelli elementari")</f>
        <v>partiċelli elementari</v>
      </c>
    </row>
    <row r="18809" ht="15.75" customHeight="1">
      <c r="A18809" s="2" t="s">
        <v>18809</v>
      </c>
      <c r="B18809" s="2" t="str">
        <f>IFERROR(__xludf.DUMMYFUNCTION("GOOGLETRANSLATE(A18809, ""en"", ""mt"")"),"Żewġ CSMs tal-Blokk I tnedew minn LC-34 fuq titjiriet suborbitali fl-1966 ma 'Saturn IB. L-ewwel, AS-201 imnediet fis-26 ta 'Frar, laħqet altitudni ta' 265.7 mili nawtiċi (492.1 km) u splashed 'l isfel 4,577 mili nawtiċi (8,477 km)' l isfel fl-Oċean Atlan"&amp;"tiku. It-tieni, AS-202 fil-25 ta 'Awwissu, laħqu l-altitudni 617.1 mili nawtiċi (1,142.9 km) u ġie rkuprat 13,900 mil nawtiku (25,700 km)' l isfel fl-Oċean Paċifiku. Dawn it-titjiriet ivvalidaw il-magna tal-modulu tas-servizz u l-modulu tal-kmand Shield H"&amp;"eat.")</f>
        <v>Żewġ CSMs tal-Blokk I tnedew minn LC-34 fuq titjiriet suborbitali fl-1966 ma 'Saturn IB. L-ewwel, AS-201 imnediet fis-26 ta 'Frar, laħqet altitudni ta' 265.7 mili nawtiċi (492.1 km) u splashed 'l isfel 4,577 mili nawtiċi (8,477 km)' l isfel fl-Oċean Atlantiku. It-tieni, AS-202 fil-25 ta 'Awwissu, laħqu l-altitudni 617.1 mili nawtiċi (1,142.9 km) u ġie rkuprat 13,900 mil nawtiku (25,700 km)' l isfel fl-Oċean Paċifiku. Dawn it-titjiriet ivvalidaw il-magna tal-modulu tas-servizz u l-modulu tal-kmand Shield Heat.</v>
      </c>
    </row>
    <row r="18810" ht="15.75" customHeight="1">
      <c r="A18810" s="2" t="s">
        <v>18810</v>
      </c>
      <c r="B18810" s="2" t="str">
        <f>IFERROR(__xludf.DUMMYFUNCTION("GOOGLETRANSLATE(A18810, ""en"", ""mt"")"),"Ir-Repubblika Olandiża")</f>
        <v>Ir-Repubblika Olandiża</v>
      </c>
    </row>
    <row r="18811" ht="15.75" customHeight="1">
      <c r="A18811" s="2" t="s">
        <v>18811</v>
      </c>
      <c r="B18811" s="2" t="str">
        <f>IFERROR(__xludf.DUMMYFUNCTION("GOOGLETRANSLATE(A18811, ""en"", ""mt"")"),"Il-pitturi mogħtija minn John Sheepshanks kienu minn artisti ta ’liema nazzjonalità?")</f>
        <v>Il-pitturi mogħtija minn John Sheepshanks kienu minn artisti ta ’liema nazzjonalità?</v>
      </c>
    </row>
    <row r="18812" ht="15.75" customHeight="1">
      <c r="A18812" s="2" t="s">
        <v>18812</v>
      </c>
      <c r="B18812" s="2" t="str">
        <f>IFERROR(__xludf.DUMMYFUNCTION("GOOGLETRANSLATE(A18812, ""en"", ""mt"")"),"funzjoni tad-daqs tal-istanza")</f>
        <v>funzjoni tad-daqs tal-istanza</v>
      </c>
    </row>
    <row r="18813" ht="15.75" customHeight="1">
      <c r="A18813" s="2" t="s">
        <v>18813</v>
      </c>
      <c r="B18813" s="2" t="str">
        <f>IFERROR(__xludf.DUMMYFUNCTION("GOOGLETRANSLATE(A18813, ""en"", ""mt"")"),"it-talb komuni tal-mewt")</f>
        <v>it-talb komuni tal-mewt</v>
      </c>
    </row>
    <row r="18814" ht="15.75" customHeight="1">
      <c r="A18814" s="2" t="s">
        <v>18814</v>
      </c>
      <c r="B18814" s="2" t="str">
        <f>IFERROR(__xludf.DUMMYFUNCTION("GOOGLETRANSLATE(A18814, ""en"", ""mt"")"),"X'inhi l-unità bażika tad-diviżjoni territorjali fil-Polonja?")</f>
        <v>X'inhi l-unità bażika tad-diviżjoni territorjali fil-Polonja?</v>
      </c>
    </row>
    <row r="18815" ht="15.75" customHeight="1">
      <c r="A18815" s="2" t="s">
        <v>18815</v>
      </c>
      <c r="B18815" s="2" t="str">
        <f>IFERROR(__xludf.DUMMYFUNCTION("GOOGLETRANSLATE(A18815, ""en"", ""mt"")"),"X'inhu l-isem tal-inizjattiva ta 'karità tal-kumitat ospitanti?")</f>
        <v>X'inhu l-isem tal-inizjattiva ta 'karità tal-kumitat ospitanti?</v>
      </c>
    </row>
    <row r="18816" ht="15.75" customHeight="1">
      <c r="A18816" s="2" t="s">
        <v>18816</v>
      </c>
      <c r="B18816" s="2" t="str">
        <f>IFERROR(__xludf.DUMMYFUNCTION("GOOGLETRANSLATE(A18816, ""en"", ""mt"")"),"L-appoġġ tal-Gran Brittanja ta 'Franza li fiha l-gwerra wasslet biex Rodin jagħti ħafna mill-iskulturi tiegħu lill-V &amp; A?")</f>
        <v>L-appoġġ tal-Gran Brittanja ta 'Franza li fiha l-gwerra wasslet biex Rodin jagħti ħafna mill-iskulturi tiegħu lill-V &amp; A?</v>
      </c>
    </row>
    <row r="18817" ht="15.75" customHeight="1">
      <c r="A18817" s="2" t="s">
        <v>18817</v>
      </c>
      <c r="B18817" s="2" t="str">
        <f>IFERROR(__xludf.DUMMYFUNCTION("GOOGLETRANSLATE(A18817, ""en"", ""mt"")"),"Dinwiddie titlob irtirar immedjat Franċiż mill-pajjiż ta 'Ohio")</f>
        <v>Dinwiddie titlob irtirar immedjat Franċiż mill-pajjiż ta 'Ohio</v>
      </c>
    </row>
    <row r="18818" ht="15.75" customHeight="1">
      <c r="A18818" s="2" t="s">
        <v>18818</v>
      </c>
      <c r="B18818" s="2" t="str">
        <f>IFERROR(__xludf.DUMMYFUNCTION("GOOGLETRANSLATE(A18818, ""en"", ""mt"")"),"fit-triq lura lejn Samarkand")</f>
        <v>fit-triq lura lejn Samarkand</v>
      </c>
    </row>
    <row r="18819" ht="15.75" customHeight="1">
      <c r="A18819" s="2" t="s">
        <v>18819</v>
      </c>
      <c r="B18819" s="2" t="str">
        <f>IFERROR(__xludf.DUMMYFUNCTION("GOOGLETRANSLATE(A18819, ""en"", ""mt"")"),"Jannar 1519")</f>
        <v>Jannar 1519</v>
      </c>
    </row>
    <row r="18820" ht="15.75" customHeight="1">
      <c r="A18820" s="2" t="s">
        <v>18820</v>
      </c>
      <c r="B18820" s="2" t="str">
        <f>IFERROR(__xludf.DUMMYFUNCTION("GOOGLETRANSLATE(A18820, ""en"", ""mt"")"),"Min kien Frédéric Chopin?")</f>
        <v>Min kien Frédéric Chopin?</v>
      </c>
    </row>
    <row r="18821" ht="15.75" customHeight="1">
      <c r="A18821" s="2" t="s">
        <v>18821</v>
      </c>
      <c r="B18821" s="2" t="str">
        <f>IFERROR(__xludf.DUMMYFUNCTION("GOOGLETRANSLATE(A18821, ""en"", ""mt"")"),"Edison Machine Works")</f>
        <v>Edison Machine Works</v>
      </c>
    </row>
    <row r="18822" ht="15.75" customHeight="1">
      <c r="A18822" s="2" t="s">
        <v>18822</v>
      </c>
      <c r="B18822" s="2" t="str">
        <f>IFERROR(__xludf.DUMMYFUNCTION("GOOGLETRANSLATE(A18822, ""en"", ""mt"")"),"Xi tfisser Yeke Mongghul Ulus?")</f>
        <v>Xi tfisser Yeke Mongghul Ulus?</v>
      </c>
    </row>
    <row r="18823" ht="15.75" customHeight="1">
      <c r="A18823" s="2" t="s">
        <v>18823</v>
      </c>
      <c r="B18823" s="2" t="str">
        <f>IFERROR(__xludf.DUMMYFUNCTION("GOOGLETRANSLATE(A18823, ""en"", ""mt"")"),"virali")</f>
        <v>virali</v>
      </c>
    </row>
    <row r="18824" ht="15.75" customHeight="1">
      <c r="A18824" s="2" t="s">
        <v>18824</v>
      </c>
      <c r="B18824" s="2" t="str">
        <f>IFERROR(__xludf.DUMMYFUNCTION("GOOGLETRANSLATE(A18824, ""en"", ""mt"")"),"Orsijiet")</f>
        <v>Orsijiet</v>
      </c>
    </row>
    <row r="18825" ht="15.75" customHeight="1">
      <c r="A18825" s="2" t="s">
        <v>18825</v>
      </c>
      <c r="B18825" s="2" t="str">
        <f>IFERROR(__xludf.DUMMYFUNCTION("GOOGLETRANSLATE(A18825, ""en"", ""mt"")"),"X'inhi l-karriera ta 'Raghuram Rajan?")</f>
        <v>X'inhi l-karriera ta 'Raghuram Rajan?</v>
      </c>
    </row>
    <row r="18826" ht="15.75" customHeight="1">
      <c r="A18826" s="2" t="s">
        <v>18826</v>
      </c>
      <c r="B18826" s="2" t="str">
        <f>IFERROR(__xludf.DUMMYFUNCTION("GOOGLETRANSLATE(A18826, ""en"", ""mt"")"),"għaxar snin")</f>
        <v>għaxar snin</v>
      </c>
    </row>
    <row r="18827" ht="15.75" customHeight="1">
      <c r="A18827" s="2" t="s">
        <v>18827</v>
      </c>
      <c r="B18827" s="2" t="str">
        <f>IFERROR(__xludf.DUMMYFUNCTION("GOOGLETRANSLATE(A18827, ""en"", ""mt"")"),"F'liema artikolu t-Trattat ta 'Lisbona jipprojbixxi ftehimiet anti-kompetittivi?")</f>
        <v>F'liema artikolu t-Trattat ta 'Lisbona jipprojbixxi ftehimiet anti-kompetittivi?</v>
      </c>
    </row>
    <row r="18828" ht="15.75" customHeight="1">
      <c r="A18828" s="2" t="s">
        <v>18828</v>
      </c>
      <c r="B18828" s="2" t="str">
        <f>IFERROR(__xludf.DUMMYFUNCTION("GOOGLETRANSLATE(A18828, ""en"", ""mt"")"),"Ossiġenu ħieles iseħħ ukoll f'soluzzjoni fil-korpi tal-ilma tad-dinja. Is-solubilità miżjuda ta 'o
2 F'temperaturi aktar baxxi (ara l-proprjetajiet fiżiċi) għandu implikazzjonijiet importanti għall-ħajja tal-oċean, billi l-oċeani polari jappoġġjaw densità"&amp;" tal-ħajja ferm ogħla minħabba l-kontenut ogħla ta 'ossiġnu tagħhom. Ilma mniġġes b'nutrijenti tal-pjanti bħal nitrati jew fosfati jista 'jistimula t-tkabbir ta' l-alka permezz ta 'proċess imsejjaħ ewtrofikazzjoni u t-tħassir ta' dawn l-organiżmi u bijoma"&amp;"terjali oħra jistgħu jnaqqsu l-ammonti ta 'o
2 Fil-korpi tal-ilma ewtrofiċi. Ix-xjentisti jivvalutaw dan l-aspett tal-kwalità tal-ilma billi jkejlu d-domanda bijokimika tal-ilma tal-ilma, jew l-ammont ta 'o
2 meħtieġa biex terġa 'tinkisebha għal konċentra"&amp;"zzjoni normali.")</f>
        <v>Ossiġenu ħieles iseħħ ukoll f'soluzzjoni fil-korpi tal-ilma tad-dinja. Is-solubilità miżjuda ta 'o
2 F'temperaturi aktar baxxi (ara l-proprjetajiet fiżiċi) għandu implikazzjonijiet importanti għall-ħajja tal-oċean, billi l-oċeani polari jappoġġjaw densità tal-ħajja ferm ogħla minħabba l-kontenut ogħla ta 'ossiġnu tagħhom. Ilma mniġġes b'nutrijenti tal-pjanti bħal nitrati jew fosfati jista 'jistimula t-tkabbir ta' l-alka permezz ta 'proċess imsejjaħ ewtrofikazzjoni u t-tħassir ta' dawn l-organiżmi u bijomaterjali oħra jistgħu jnaqqsu l-ammonti ta 'o
2 Fil-korpi tal-ilma ewtrofiċi. Ix-xjentisti jivvalutaw dan l-aspett tal-kwalità tal-ilma billi jkejlu d-domanda bijokimika tal-ilma tal-ilma, jew l-ammont ta 'o
2 meħtieġa biex terġa 'tinkisebha għal konċentrazzjoni normali.</v>
      </c>
    </row>
    <row r="18829" ht="15.75" customHeight="1">
      <c r="A18829" s="2" t="s">
        <v>18829</v>
      </c>
      <c r="B18829" s="2" t="str">
        <f>IFERROR(__xludf.DUMMYFUNCTION("GOOGLETRANSLATE(A18829, ""en"", ""mt"")"),"Knejjes Parrokkjali")</f>
        <v>Knejjes Parrokkjali</v>
      </c>
    </row>
    <row r="18830" ht="15.75" customHeight="1">
      <c r="A18830" s="2" t="s">
        <v>18830</v>
      </c>
      <c r="B18830" s="2" t="str">
        <f>IFERROR(__xludf.DUMMYFUNCTION("GOOGLETRANSLATE(A18830, ""en"", ""mt"")"),"Wara l-1940s, l-istil Gotiku fil-kampus beda jċedi għal stili moderni. Fl-1955, Eero Saarinen ġie kkuntrattat biex jiżviluppa t-tieni pjan ewlieni, li wassal għall-kostruzzjoni ta 'bini kemm fit-tramuntana kif ukoll fin-nofsinhar tan-nofs, inkluż il-kwadr"&amp;"angle Laird Bell Law (kumpless iddisinjat minn Saarinen); serje ta 'bini tal-arti; bini ddisinjat minn Ludwig Mies van der Rohe għall-Iskola tas-Servizz Soċjali tal-Università;, bini li għandu jsir id-dar tal-Iskola Harris tal-Politika Pubblika Studji min"&amp;"n Edward Durrell Stone, u l-Librerija Regenstein, l-akbar bini fuq il-kampus , Struttura Brutalista ddisinjata minn Walter Netsch tad-ditta ta 'Chicago Skidmore, Owings &amp; Merrill. Pjan ewlieni ieħor, iddisinjat fl-1999 u aġġornat fl-2004, ipproduċa l-Gera"&amp;"ld Ratner Athletics Centre (2003), il-Max Palevsky Residential Commons (2001), ir-Residenza tal-Kampus tan-Nofsinhar u Dining Commons (2009), sptar tat-tfal ġdid, u kostruzzjoni oħra , espansjonijiet, u restawr. Fl-2011, l-Università temmet il-Librerija J"&amp;"oe u Rika Mansueto tal-Koppla tal-Ħġieġ, li tipprovdi kamra tal-qari grandjuża għal-librerija tal-università u tipprevjeni l-ħtieġa għal depożitarju tal-ktieb barra mill-kampus.")</f>
        <v>Wara l-1940s, l-istil Gotiku fil-kampus beda jċedi għal stili moderni. Fl-1955, Eero Saarinen ġie kkuntrattat biex jiżviluppa t-tieni pjan ewlieni, li wassal għall-kostruzzjoni ta 'bini kemm fit-tramuntana kif ukoll fin-nofsinhar tan-nofs, inkluż il-kwadrangle Laird Bell Law (kumpless iddisinjat minn Saarinen); serje ta 'bini tal-arti; bini ddisinjat minn Ludwig Mies van der Rohe għall-Iskola tas-Servizz Soċjali tal-Università;, bini li għandu jsir id-dar tal-Iskola Harris tal-Politika Pubblika Studji minn Edward Durrell Stone, u l-Librerija Regenstein, l-akbar bini fuq il-kampus , Struttura Brutalista ddisinjata minn Walter Netsch tad-ditta ta 'Chicago Skidmore, Owings &amp; Merrill. Pjan ewlieni ieħor, iddisinjat fl-1999 u aġġornat fl-2004, ipproduċa l-Gerald Ratner Athletics Centre (2003), il-Max Palevsky Residential Commons (2001), ir-Residenza tal-Kampus tan-Nofsinhar u Dining Commons (2009), sptar tat-tfal ġdid, u kostruzzjoni oħra , espansjonijiet, u restawr. Fl-2011, l-Università temmet il-Librerija Joe u Rika Mansueto tal-Koppla tal-Ħġieġ, li tipprovdi kamra tal-qari grandjuża għal-librerija tal-università u tipprevjeni l-ħtieġa għal depożitarju tal-ktieb barra mill-kampus.</v>
      </c>
    </row>
    <row r="18831" ht="15.75" customHeight="1">
      <c r="A18831" s="2" t="s">
        <v>18831</v>
      </c>
      <c r="B18831" s="2" t="str">
        <f>IFERROR(__xludf.DUMMYFUNCTION("GOOGLETRANSLATE(A18831, ""en"", ""mt"")"),"Il-Prinċep ta ’Płock")</f>
        <v>Il-Prinċep ta ’Płock</v>
      </c>
    </row>
    <row r="18832" ht="15.75" customHeight="1">
      <c r="A18832" s="2" t="s">
        <v>18832</v>
      </c>
      <c r="B18832" s="2" t="str">
        <f>IFERROR(__xludf.DUMMYFUNCTION("GOOGLETRANSLATE(A18832, ""en"", ""mt"")"),"Matematika applikata")</f>
        <v>Matematika applikata</v>
      </c>
    </row>
    <row r="18833" ht="15.75" customHeight="1">
      <c r="A18833" s="2" t="s">
        <v>18833</v>
      </c>
      <c r="B18833" s="2" t="str">
        <f>IFERROR(__xludf.DUMMYFUNCTION("GOOGLETRANSLATE(A18833, ""en"", ""mt"")"),"Netwerk Internet2")</f>
        <v>Netwerk Internet2</v>
      </c>
    </row>
    <row r="18834" ht="15.75" customHeight="1">
      <c r="A18834" s="2" t="s">
        <v>18834</v>
      </c>
      <c r="B18834" s="2" t="str">
        <f>IFERROR(__xludf.DUMMYFUNCTION("GOOGLETRANSLATE(A18834, ""en"", ""mt"")"),"Dan jikkawża li l-unità tal-blat kollha kemm hi ssir itwal u irqaq.")</f>
        <v>Dan jikkawża li l-unità tal-blat kollha kemm hi ssir itwal u irqaq.</v>
      </c>
    </row>
    <row r="18835" ht="15.75" customHeight="1">
      <c r="A18835" s="2" t="s">
        <v>18835</v>
      </c>
      <c r="B18835" s="2" t="str">
        <f>IFERROR(__xludf.DUMMYFUNCTION("GOOGLETRANSLATE(A18835, ""en"", ""mt"")"),"Ma 'liema grupp jistgħu jirreġistraw l-għalliema?")</f>
        <v>Ma 'liema grupp jistgħu jirreġistraw l-għalliema?</v>
      </c>
    </row>
    <row r="18836" ht="15.75" customHeight="1">
      <c r="A18836" s="2" t="s">
        <v>18836</v>
      </c>
      <c r="B18836" s="2" t="str">
        <f>IFERROR(__xludf.DUMMYFUNCTION("GOOGLETRANSLATE(A18836, ""en"", ""mt"")"),"X’sar is-sigriet għat-tkabbir ekonomiku?")</f>
        <v>X’sar is-sigriet għat-tkabbir ekonomiku?</v>
      </c>
    </row>
    <row r="18837" ht="15.75" customHeight="1">
      <c r="A18837" s="2" t="s">
        <v>18837</v>
      </c>
      <c r="B18837" s="2" t="str">
        <f>IFERROR(__xludf.DUMMYFUNCTION("GOOGLETRANSLATE(A18837, ""en"", ""mt"")"),"X'tip ta 'għajxien jippromwovi ċ-ċikliżmu?")</f>
        <v>X'tip ta 'għajxien jippromwovi ċ-ċikliżmu?</v>
      </c>
    </row>
    <row r="18838" ht="15.75" customHeight="1">
      <c r="A18838" s="2" t="s">
        <v>18838</v>
      </c>
      <c r="B18838" s="2" t="str">
        <f>IFERROR(__xludf.DUMMYFUNCTION("GOOGLETRANSLATE(A18838, ""en"", ""mt"")"),"L-unità SI tad-densità tal-fluss manjetiku")</f>
        <v>L-unità SI tad-densità tal-fluss manjetiku</v>
      </c>
    </row>
    <row r="18839" ht="15.75" customHeight="1">
      <c r="A18839" s="2" t="s">
        <v>18839</v>
      </c>
      <c r="B18839" s="2" t="str">
        <f>IFERROR(__xludf.DUMMYFUNCTION("GOOGLETRANSLATE(A18839, ""en"", ""mt"")"),"L-ittestjar tal-LM matul Apollo 5 kien falliment jew suċċess?")</f>
        <v>L-ittestjar tal-LM matul Apollo 5 kien falliment jew suċċess?</v>
      </c>
    </row>
    <row r="18840" ht="15.75" customHeight="1">
      <c r="A18840" s="2" t="s">
        <v>18840</v>
      </c>
      <c r="B18840" s="2" t="str">
        <f>IFERROR(__xludf.DUMMYFUNCTION("GOOGLETRANSLATE(A18840, ""en"", ""mt"")"),"John F. Kennedy")</f>
        <v>John F. Kennedy</v>
      </c>
    </row>
    <row r="18841" ht="15.75" customHeight="1">
      <c r="A18841" s="2" t="s">
        <v>18841</v>
      </c>
      <c r="B18841" s="2" t="str">
        <f>IFERROR(__xludf.DUMMYFUNCTION("GOOGLETRANSLATE(A18841, ""en"", ""mt"")"),"Fl-1870")</f>
        <v>Fl-1870</v>
      </c>
    </row>
    <row r="18842" ht="15.75" customHeight="1">
      <c r="A18842" s="2" t="s">
        <v>18842</v>
      </c>
      <c r="B18842" s="2" t="str">
        <f>IFERROR(__xludf.DUMMYFUNCTION("GOOGLETRANSLATE(A18842, ""en"", ""mt"")"),"Skond Tesla dak li kien għadda mill-ħallelin, jew spiji li daħlu fil-kamra tiegħu?")</f>
        <v>Skond Tesla dak li kien għadda mill-ħallelin, jew spiji li daħlu fil-kamra tiegħu?</v>
      </c>
    </row>
    <row r="18843" ht="15.75" customHeight="1">
      <c r="A18843" s="2" t="s">
        <v>18843</v>
      </c>
      <c r="B18843" s="2" t="str">
        <f>IFERROR(__xludf.DUMMYFUNCTION("GOOGLETRANSLATE(A18843, ""en"", ""mt"")"),"Liema problema tikkonsisti kemm f'impatti inflazzjonarji u deflazzjonarji?")</f>
        <v>Liema problema tikkonsisti kemm f'impatti inflazzjonarji u deflazzjonarji?</v>
      </c>
    </row>
    <row r="18844" ht="15.75" customHeight="1">
      <c r="A18844" s="2" t="s">
        <v>18844</v>
      </c>
      <c r="B18844" s="2" t="str">
        <f>IFERROR(__xludf.DUMMYFUNCTION("GOOGLETRANSLATE(A18844, ""en"", ""mt"")"),"Meta seħħ l-attakk li fih seħħ in-Normanni tal-Prinċep Guimar III?")</f>
        <v>Meta seħħ l-attakk li fih seħħ in-Normanni tal-Prinċep Guimar III?</v>
      </c>
    </row>
    <row r="18845" ht="15.75" customHeight="1">
      <c r="A18845" s="2" t="s">
        <v>18845</v>
      </c>
      <c r="B18845" s="2" t="str">
        <f>IFERROR(__xludf.DUMMYFUNCTION("GOOGLETRANSLATE(A18845, ""en"", ""mt"")"),"Fil-21 ta 'Mejju, 2013, is-sidien tal-NFL fil-laqgħat tar-rebbiegħa tagħhom f'Boston ivvutaw u ngħataw il-logħba lill-Levi's Stadium. L-istadium ta '$ 1.2 biljun infetaħ fl-2014. Huwa l-ewwel Super Bowl miżmum fiż-Żona tal-Bajja ta' San Francisco mis-Supe"&amp;"r Bowl XIX fl-1985, u l-ewwel wieħed f'Kalifornja minn Super Bowl XXXVII seħħ f'San Diego fl-2003.")</f>
        <v>Fil-21 ta 'Mejju, 2013, is-sidien tal-NFL fil-laqgħat tar-rebbiegħa tagħhom f'Boston ivvutaw u ngħataw il-logħba lill-Levi's Stadium. L-istadium ta '$ 1.2 biljun infetaħ fl-2014. Huwa l-ewwel Super Bowl miżmum fiż-Żona tal-Bajja ta' San Francisco mis-Super Bowl XIX fl-1985, u l-ewwel wieħed f'Kalifornja minn Super Bowl XXXVII seħħ f'San Diego fl-2003.</v>
      </c>
    </row>
    <row r="18846" ht="15.75" customHeight="1">
      <c r="A18846" s="2" t="s">
        <v>18846</v>
      </c>
      <c r="B18846" s="2" t="str">
        <f>IFERROR(__xludf.DUMMYFUNCTION("GOOGLETRANSLATE(A18846, ""en"", ""mt"")"),"Diċembru, Jannar u Frar")</f>
        <v>Diċembru, Jannar u Frar</v>
      </c>
    </row>
    <row r="18847" ht="15.75" customHeight="1">
      <c r="A18847" s="2" t="s">
        <v>18847</v>
      </c>
      <c r="B18847" s="2" t="str">
        <f>IFERROR(__xludf.DUMMYFUNCTION("GOOGLETRANSLATE(A18847, ""en"", ""mt"")"),"Ġid mill-imħassra futura tal-gwerra possibbli")</f>
        <v>Ġid mill-imħassra futura tal-gwerra possibbli</v>
      </c>
    </row>
    <row r="18848" ht="15.75" customHeight="1">
      <c r="A18848" s="2" t="s">
        <v>18848</v>
      </c>
      <c r="B18848" s="2" t="str">
        <f>IFERROR(__xludf.DUMMYFUNCTION("GOOGLETRANSLATE(A18848, ""en"", ""mt"")"),"Semmi diviżjoni ta 'lussu ta' Toyota.")</f>
        <v>Semmi diviżjoni ta 'lussu ta' Toyota.</v>
      </c>
    </row>
    <row r="18849" ht="15.75" customHeight="1">
      <c r="A18849" s="2" t="s">
        <v>18849</v>
      </c>
      <c r="B18849" s="2" t="str">
        <f>IFERROR(__xludf.DUMMYFUNCTION("GOOGLETRANSLATE(A18849, ""en"", ""mt"")"),"Semmi mudell ta 'lussu li sar popolari f'nofs is-snin sebgħin.")</f>
        <v>Semmi mudell ta 'lussu li sar popolari f'nofs is-snin sebgħin.</v>
      </c>
    </row>
    <row r="18850" ht="15.75" customHeight="1">
      <c r="A18850" s="2" t="s">
        <v>18850</v>
      </c>
      <c r="B18850" s="2" t="str">
        <f>IFERROR(__xludf.DUMMYFUNCTION("GOOGLETRANSLATE(A18850, ""en"", ""mt"")"),"Eskursjoni waħda tal-kaċċa")</f>
        <v>Eskursjoni waħda tal-kaċċa</v>
      </c>
    </row>
    <row r="18851" ht="15.75" customHeight="1">
      <c r="A18851" s="2" t="s">
        <v>18851</v>
      </c>
      <c r="B18851" s="2" t="str">
        <f>IFERROR(__xludf.DUMMYFUNCTION("GOOGLETRANSLATE(A18851, ""en"", ""mt"")"),"il-pjanuri aridi tal-Asja Ċentrali")</f>
        <v>il-pjanuri aridi tal-Asja Ċentrali</v>
      </c>
    </row>
    <row r="18852" ht="15.75" customHeight="1">
      <c r="A18852" s="2" t="s">
        <v>18852</v>
      </c>
      <c r="B18852" s="2" t="str">
        <f>IFERROR(__xludf.DUMMYFUNCTION("GOOGLETRANSLATE(A18852, ""en"", ""mt"")"),"teatri")</f>
        <v>teatri</v>
      </c>
    </row>
    <row r="18853" ht="15.75" customHeight="1">
      <c r="A18853" s="2" t="s">
        <v>18853</v>
      </c>
      <c r="B18853" s="2" t="str">
        <f>IFERROR(__xludf.DUMMYFUNCTION("GOOGLETRANSLATE(A18853, ""en"", ""mt"")"),"Bidliet ambjentali fit-tul")</f>
        <v>Bidliet ambjentali fit-tul</v>
      </c>
    </row>
    <row r="18854" ht="15.75" customHeight="1">
      <c r="A18854" s="2" t="s">
        <v>18854</v>
      </c>
      <c r="B18854" s="2" t="str">
        <f>IFERROR(__xludf.DUMMYFUNCTION("GOOGLETRANSLATE(A18854, ""en"", ""mt"")"),"X'tip ta 'materjali kombustibbli kienu meqjusa li għandhom ftit Philogiston?")</f>
        <v>X'tip ta 'materjali kombustibbli kienu meqjusa li għandhom ftit Philogiston?</v>
      </c>
    </row>
    <row r="18855" ht="15.75" customHeight="1">
      <c r="A18855" s="2" t="s">
        <v>18855</v>
      </c>
      <c r="B18855" s="2" t="str">
        <f>IFERROR(__xludf.DUMMYFUNCTION("GOOGLETRANSLATE(A18855, ""en"", ""mt"")"),"Kemm mill-popolazzjoni hija hindu?")</f>
        <v>Kemm mill-popolazzjoni hija hindu?</v>
      </c>
    </row>
    <row r="18856" ht="15.75" customHeight="1">
      <c r="A18856" s="2" t="s">
        <v>18856</v>
      </c>
      <c r="B18856" s="2" t="str">
        <f>IFERROR(__xludf.DUMMYFUNCTION("GOOGLETRANSLATE(A18856, ""en"", ""mt"")"),"aktar minn żewġ miljun")</f>
        <v>aktar minn żewġ miljun</v>
      </c>
    </row>
    <row r="18857" ht="15.75" customHeight="1">
      <c r="A18857" s="2" t="s">
        <v>18857</v>
      </c>
      <c r="B18857" s="2" t="str">
        <f>IFERROR(__xludf.DUMMYFUNCTION("GOOGLETRANSLATE(A18857, ""en"", ""mt"")"),"F'liema università tinsab Bellomy Field?")</f>
        <v>F'liema università tinsab Bellomy Field?</v>
      </c>
    </row>
    <row r="18858" ht="15.75" customHeight="1">
      <c r="A18858" s="2" t="s">
        <v>18858</v>
      </c>
      <c r="B18858" s="2" t="str">
        <f>IFERROR(__xludf.DUMMYFUNCTION("GOOGLETRANSLATE(A18858, ""en"", ""mt"")"),"Liema performer iwassal is-Super Bowl XLVIII Halftime Show?")</f>
        <v>Liema performer iwassal is-Super Bowl XLVIII Halftime Show?</v>
      </c>
    </row>
    <row r="18859" ht="15.75" customHeight="1">
      <c r="A18859" s="2" t="s">
        <v>18859</v>
      </c>
      <c r="B18859" s="2" t="str">
        <f>IFERROR(__xludf.DUMMYFUNCTION("GOOGLETRANSLATE(A18859, ""en"", ""mt"")"),"Hemm varjetà ta 'korpi ddisinjati biex iwaqqfu, jippreservaw u jaġġornaw l-għarfien u l-pożizzjoni professjonali tal-għalliema. Madwar id-dinja ħafna gvernijiet joperaw kulleġġi tal-għalliema, li ġeneralment huma stabbiliti biex iservu u jipproteġu l-inte"&amp;"ress pubbliku billi jiċċertifikaw, jirregolaw u jinfurzaw l-istandards tal-prattika għall-professjoni tat-tagħlim.")</f>
        <v>Hemm varjetà ta 'korpi ddisinjati biex iwaqqfu, jippreservaw u jaġġornaw l-għarfien u l-pożizzjoni professjonali tal-għalliema. Madwar id-dinja ħafna gvernijiet joperaw kulleġġi tal-għalliema, li ġeneralment huma stabbiliti biex iservu u jipproteġu l-interess pubbliku billi jiċċertifikaw, jirregolaw u jinfurzaw l-istandards tal-prattika għall-professjoni tat-tagħlim.</v>
      </c>
    </row>
    <row r="18860" ht="15.75" customHeight="1">
      <c r="A18860" s="2" t="s">
        <v>18860</v>
      </c>
      <c r="B18860" s="2" t="str">
        <f>IFERROR(__xludf.DUMMYFUNCTION("GOOGLETRANSLATE(A18860, ""en"", ""mt"")"),"Kumpaniji tad-diski ewlenin")</f>
        <v>Kumpaniji tad-diski ewlenin</v>
      </c>
    </row>
    <row r="18861" ht="15.75" customHeight="1">
      <c r="A18861" s="2" t="s">
        <v>18861</v>
      </c>
      <c r="B18861" s="2" t="str">
        <f>IFERROR(__xludf.DUMMYFUNCTION("GOOGLETRANSLATE(A18861, ""en"", ""mt"")"),"Li huma metodiċi u dettaljati eċċezzjonalment fl-istudju tal-Bibbja tagħhom")</f>
        <v>Li huma metodiċi u dettaljati eċċezzjonalment fl-istudju tal-Bibbja tagħhom</v>
      </c>
    </row>
    <row r="18862" ht="15.75" customHeight="1">
      <c r="A18862" s="2" t="s">
        <v>18862</v>
      </c>
      <c r="B18862" s="2" t="str">
        <f>IFERROR(__xludf.DUMMYFUNCTION("GOOGLETRANSLATE(A18862, ""en"", ""mt"")"),"X'kien il-proporzjon ta 'kolonizzatur Brittaniku għall-Franċiż?")</f>
        <v>X'kien il-proporzjon ta 'kolonizzatur Brittaniku għall-Franċiż?</v>
      </c>
    </row>
    <row r="18863" ht="15.75" customHeight="1">
      <c r="A18863" s="2" t="s">
        <v>18863</v>
      </c>
      <c r="B18863" s="2" t="str">
        <f>IFERROR(__xludf.DUMMYFUNCTION("GOOGLETRANSLATE(A18863, ""en"", ""mt"")"),"X'inhi kelma oħra għall-inklużjonijiet fil-blat sedimentarji?")</f>
        <v>X'inhi kelma oħra għall-inklużjonijiet fil-blat sedimentarji?</v>
      </c>
    </row>
    <row r="18864" ht="15.75" customHeight="1">
      <c r="A18864" s="2" t="s">
        <v>18864</v>
      </c>
      <c r="B18864" s="2" t="str">
        <f>IFERROR(__xludf.DUMMYFUNCTION("GOOGLETRANSLATE(A18864, ""en"", ""mt"")"),"Kemm interċezzjonijiet kellhom Manning fl-2015?")</f>
        <v>Kemm interċezzjonijiet kellhom Manning fl-2015?</v>
      </c>
    </row>
    <row r="18865" ht="15.75" customHeight="1">
      <c r="A18865" s="2" t="s">
        <v>18865</v>
      </c>
      <c r="B18865" s="2" t="str">
        <f>IFERROR(__xludf.DUMMYFUNCTION("GOOGLETRANSLATE(A18865, ""en"", ""mt"")"),"X’")</f>
        <v>X’</v>
      </c>
    </row>
    <row r="18866" ht="15.75" customHeight="1">
      <c r="A18866" s="2" t="s">
        <v>18866</v>
      </c>
      <c r="B18866" s="2" t="str">
        <f>IFERROR(__xludf.DUMMYFUNCTION("GOOGLETRANSLATE(A18866, ""en"", ""mt"")"),"tejp wieħed")</f>
        <v>tejp wieħed</v>
      </c>
    </row>
    <row r="18867" ht="15.75" customHeight="1">
      <c r="A18867" s="2" t="s">
        <v>18867</v>
      </c>
      <c r="B18867" s="2" t="str">
        <f>IFERROR(__xludf.DUMMYFUNCTION("GOOGLETRANSLATE(A18867, ""en"", ""mt"")"),"Sal-1526, Luther sab ruħu dejjem aktar okkupat fl-organizzazzjoni ta ’knisja ġdida. L-ideal bibliku tiegħu ta 'kongregazzjonijiet li jagħżlu l-ministri tagħhom stess kien irriżulta li ma jaħdimx. Skond Bainton: ""Id-dilemma ta 'Luther kienet li ried kemm "&amp;"knisja konfessjonali bbażata fuq il-fidi personali u l-esperjenza u l-knisja territorjali inkluża kollha f'lokalità partikolari. Jekk kien imġiegħel jagħżel, kien jieħu l-pożizzjoni tiegħu mal-mases, u dan kienet id-direzzjoni li fiha mar. "" Mill-1525 sa"&amp;"l-1529, huwa stabbilixxa korp tal-knisja superviżorja, stabbilixxa forma ġdida ta 'servizz ta' qima, u kiteb sommarju ċar tal-fidi l-ġdida fil-forma ta 'żewġ katekiżmi. Il-ħsieb ta 'Luther huwa rivoluzzjonarju sal-punt li hija teoloġija tas-salib, in-nega"&amp;"zzjoni ta' kull affermazzjoni: sakemm is-salib ikun fiċ-ċentru, it-tendenza tal-bini tas-sistema tar-raġuni tinżamm taħt kontroll, u l-bini tas-sistema ma jiddeġenerax Sistema.")</f>
        <v>Sal-1526, Luther sab ruħu dejjem aktar okkupat fl-organizzazzjoni ta ’knisja ġdida. L-ideal bibliku tiegħu ta 'kongregazzjonijiet li jagħżlu l-ministri tagħhom stess kien irriżulta li ma jaħdimx. Skond Bainton: "Id-dilemma ta 'Luther kienet li ried kemm knisja konfessjonali bbażata fuq il-fidi personali u l-esperjenza u l-knisja territorjali inkluża kollha f'lokalità partikolari. Jekk kien imġiegħel jagħżel, kien jieħu l-pożizzjoni tiegħu mal-mases, u dan kienet id-direzzjoni li fiha mar. " Mill-1525 sal-1529, huwa stabbilixxa korp tal-knisja superviżorja, stabbilixxa forma ġdida ta 'servizz ta' qima, u kiteb sommarju ċar tal-fidi l-ġdida fil-forma ta 'żewġ katekiżmi. Il-ħsieb ta 'Luther huwa rivoluzzjonarju sal-punt li hija teoloġija tas-salib, in-negazzjoni ta' kull affermazzjoni: sakemm is-salib ikun fiċ-ċentru, it-tendenza tal-bini tas-sistema tar-raġuni tinżamm taħt kontroll, u l-bini tas-sistema ma jiddeġenerax Sistema.</v>
      </c>
    </row>
    <row r="18868" ht="15.75" customHeight="1">
      <c r="A18868" s="2" t="s">
        <v>18868</v>
      </c>
      <c r="B18868" s="2" t="str">
        <f>IFERROR(__xludf.DUMMYFUNCTION("GOOGLETRANSLATE(A18868, ""en"", ""mt"")"),"Kurt Coleman")</f>
        <v>Kurt Coleman</v>
      </c>
    </row>
    <row r="18869" ht="15.75" customHeight="1">
      <c r="A18869" s="2" t="s">
        <v>18869</v>
      </c>
      <c r="B18869" s="2" t="str">
        <f>IFERROR(__xludf.DUMMYFUNCTION("GOOGLETRANSLATE(A18869, ""en"", ""mt"")"),"Għaxar kmandamenti,")</f>
        <v>Għaxar kmandamenti,</v>
      </c>
    </row>
    <row r="18870" ht="15.75" customHeight="1">
      <c r="A18870" s="2" t="s">
        <v>18870</v>
      </c>
      <c r="B18870" s="2" t="str">
        <f>IFERROR(__xludf.DUMMYFUNCTION("GOOGLETRANSLATE(A18870, ""en"", ""mt"")"),"""Lag t'Isfel""")</f>
        <v>"Lag t'Isfel"</v>
      </c>
    </row>
    <row r="18871" ht="15.75" customHeight="1">
      <c r="A18871" s="2" t="s">
        <v>18871</v>
      </c>
      <c r="B18871" s="2" t="str">
        <f>IFERROR(__xludf.DUMMYFUNCTION("GOOGLETRANSLATE(A18871, ""en"", ""mt"")"),"Springs ta 'Colorado")</f>
        <v>Springs ta 'Colorado</v>
      </c>
    </row>
    <row r="18872" ht="15.75" customHeight="1">
      <c r="A18872" s="2" t="s">
        <v>18872</v>
      </c>
      <c r="B18872" s="2" t="str">
        <f>IFERROR(__xludf.DUMMYFUNCTION("GOOGLETRANSLATE(A18872, ""en"", ""mt"")"),"X'kienet ir-reputazzjoni ta 'Tesla fil-kultura popolari?")</f>
        <v>X'kienet ir-reputazzjoni ta 'Tesla fil-kultura popolari?</v>
      </c>
    </row>
    <row r="18873" ht="15.75" customHeight="1">
      <c r="A18873" s="2" t="s">
        <v>18873</v>
      </c>
      <c r="B18873" s="2" t="str">
        <f>IFERROR(__xludf.DUMMYFUNCTION("GOOGLETRANSLATE(A18873, ""en"", ""mt"")"),"Iżlamisti domestiċi")</f>
        <v>Iżlamisti domestiċi</v>
      </c>
    </row>
    <row r="18874" ht="15.75" customHeight="1">
      <c r="A18874" s="2" t="s">
        <v>18874</v>
      </c>
      <c r="B18874" s="2" t="str">
        <f>IFERROR(__xludf.DUMMYFUNCTION("GOOGLETRANSLATE(A18874, ""en"", ""mt"")"),"Meta nqabad Montreal?")</f>
        <v>Meta nqabad Montreal?</v>
      </c>
    </row>
    <row r="18875" ht="15.75" customHeight="1">
      <c r="A18875" s="2" t="s">
        <v>18875</v>
      </c>
      <c r="B18875" s="2" t="str">
        <f>IFERROR(__xludf.DUMMYFUNCTION("GOOGLETRANSLATE(A18875, ""en"", ""mt"")"),"X'post ta 'Doctor Who għandu fl-akbar 100 programm tat-TV Ingliż tas-seklu 20?")</f>
        <v>X'post ta 'Doctor Who għandu fl-akbar 100 programm tat-TV Ingliż tas-seklu 20?</v>
      </c>
    </row>
    <row r="18876" ht="15.75" customHeight="1">
      <c r="A18876" s="2" t="s">
        <v>18876</v>
      </c>
      <c r="B18876" s="2" t="str">
        <f>IFERROR(__xludf.DUMMYFUNCTION("GOOGLETRANSLATE(A18876, ""en"", ""mt"")"),"Min jegħleb ir-Reich fil-Ġermanja fl-antisemitiżmu?")</f>
        <v>Min jegħleb ir-Reich fil-Ġermanja fl-antisemitiżmu?</v>
      </c>
    </row>
    <row r="18877" ht="15.75" customHeight="1">
      <c r="A18877" s="2" t="s">
        <v>18877</v>
      </c>
      <c r="B18877" s="2" t="str">
        <f>IFERROR(__xludf.DUMMYFUNCTION("GOOGLETRANSLATE(A18877, ""en"", ""mt"")"),"Kemm hemm tipi ta 'għalliema reliġjużi jew spiritwali fil-Kristjaneżmu?")</f>
        <v>Kemm hemm tipi ta 'għalliema reliġjużi jew spiritwali fil-Kristjaneżmu?</v>
      </c>
    </row>
    <row r="18878" ht="15.75" customHeight="1">
      <c r="A18878" s="2" t="s">
        <v>18878</v>
      </c>
      <c r="B18878" s="2" t="str">
        <f>IFERROR(__xludf.DUMMYFUNCTION("GOOGLETRANSLATE(A18878, ""en"", ""mt"")"),"X'imxerred Edison Machine fl-1890?")</f>
        <v>X'imxerred Edison Machine fl-1890?</v>
      </c>
    </row>
    <row r="18879" ht="15.75" customHeight="1">
      <c r="A18879" s="2" t="s">
        <v>18879</v>
      </c>
      <c r="B18879" s="2" t="str">
        <f>IFERROR(__xludf.DUMMYFUNCTION("GOOGLETRANSLATE(A18879, ""en"", ""mt"")"),"Surfclassic")</f>
        <v>Surfclassic</v>
      </c>
    </row>
    <row r="18880" ht="15.75" customHeight="1">
      <c r="A18880" s="2" t="s">
        <v>18880</v>
      </c>
      <c r="B18880" s="2" t="str">
        <f>IFERROR(__xludf.DUMMYFUNCTION("GOOGLETRANSLATE(A18880, ""en"", ""mt"")"),"Saħta tal-mewt fatali,")</f>
        <v>Saħta tal-mewt fatali,</v>
      </c>
    </row>
    <row r="18881" ht="15.75" customHeight="1">
      <c r="A18881" s="2" t="s">
        <v>18881</v>
      </c>
      <c r="B18881" s="2" t="str">
        <f>IFERROR(__xludf.DUMMYFUNCTION("GOOGLETRANSLATE(A18881, ""en"", ""mt"")"),"St Thomas Becket")</f>
        <v>St Thomas Becket</v>
      </c>
    </row>
    <row r="18882" ht="15.75" customHeight="1">
      <c r="A18882" s="2" t="s">
        <v>18882</v>
      </c>
      <c r="B18882" s="2" t="str">
        <f>IFERROR(__xludf.DUMMYFUNCTION("GOOGLETRANSLATE(A18882, ""en"", ""mt"")"),"It-tagħlim jista 'jitwettaq b'mod informali, fi ħdan il-familja, li tissejjaħ homeschooling, jew fil-komunità usa'. It-tagħlim formali jista 'jitwettaq minn professjonisti mħallsa. Professjonisti bħal dawn igawdu status f'xi soċjetajiet bl-istess mod ma '"&amp;"tobba, avukati, inġiniera, u accountants (chartered jew CPA).")</f>
        <v>It-tagħlim jista 'jitwettaq b'mod informali, fi ħdan il-familja, li tissejjaħ homeschooling, jew fil-komunità usa'. It-tagħlim formali jista 'jitwettaq minn professjonisti mħallsa. Professjonisti bħal dawn igawdu status f'xi soċjetajiet bl-istess mod ma 'tobba, avukati, inġiniera, u accountants (chartered jew CPA).</v>
      </c>
    </row>
    <row r="18883" ht="15.75" customHeight="1">
      <c r="A18883" s="2" t="s">
        <v>18883</v>
      </c>
      <c r="B18883" s="2" t="str">
        <f>IFERROR(__xludf.DUMMYFUNCTION("GOOGLETRANSLATE(A18883, ""en"", ""mt"")"),"1950")</f>
        <v>1950</v>
      </c>
    </row>
    <row r="18884" ht="15.75" customHeight="1">
      <c r="A18884" s="2" t="s">
        <v>18884</v>
      </c>
      <c r="B18884" s="2" t="str">
        <f>IFERROR(__xludf.DUMMYFUNCTION("GOOGLETRANSLATE(A18884, ""en"", ""mt"")"),"Kemm hemm timijiet li kellhom Los Angeles?")</f>
        <v>Kemm hemm timijiet li kellhom Los Angeles?</v>
      </c>
    </row>
    <row r="18885" ht="15.75" customHeight="1">
      <c r="A18885" s="2" t="s">
        <v>18885</v>
      </c>
      <c r="B18885" s="2" t="str">
        <f>IFERROR(__xludf.DUMMYFUNCTION("GOOGLETRANSLATE(A18885, ""en"", ""mt"")"),"X’vinin John Dunn?")</f>
        <v>X’vinin John Dunn?</v>
      </c>
    </row>
    <row r="18886" ht="15.75" customHeight="1">
      <c r="A18886" s="2" t="s">
        <v>18886</v>
      </c>
      <c r="B18886" s="2" t="str">
        <f>IFERROR(__xludf.DUMMYFUNCTION("GOOGLETRANSLATE(A18886, ""en"", ""mt"")"),"L-embargo")</f>
        <v>L-embargo</v>
      </c>
    </row>
    <row r="18887" ht="15.75" customHeight="1">
      <c r="A18887" s="2" t="s">
        <v>18887</v>
      </c>
      <c r="B18887" s="2" t="str">
        <f>IFERROR(__xludf.DUMMYFUNCTION("GOOGLETRANSLATE(A18887, ""en"", ""mt"")"),"Id-dibattiti dwar id-diżubbidjenza ċivili jinkludu jew jeskludu liema prattika ewlenija?")</f>
        <v>Id-dibattiti dwar id-diżubbidjenza ċivili jinkludu jew jeskludu liema prattika ewlenija?</v>
      </c>
    </row>
    <row r="18888" ht="15.75" customHeight="1">
      <c r="A18888" s="2" t="s">
        <v>18888</v>
      </c>
      <c r="B18888" s="2" t="str">
        <f>IFERROR(__xludf.DUMMYFUNCTION("GOOGLETRANSLATE(A18888, ""en"", ""mt"")"),"Rivoluzzjoni Kulturali")</f>
        <v>Rivoluzzjoni Kulturali</v>
      </c>
    </row>
    <row r="18889" ht="15.75" customHeight="1">
      <c r="A18889" s="2" t="s">
        <v>18889</v>
      </c>
      <c r="B18889" s="2" t="str">
        <f>IFERROR(__xludf.DUMMYFUNCTION("GOOGLETRANSLATE(A18889, ""en"", ""mt"")"),"Liema firxa tal-muntanji influwenzaw il-qasma tar-reġjuni?")</f>
        <v>Liema firxa tal-muntanji influwenzaw il-qasma tar-reġjuni?</v>
      </c>
    </row>
    <row r="18890" ht="15.75" customHeight="1">
      <c r="A18890" s="2" t="s">
        <v>18890</v>
      </c>
      <c r="B18890" s="2" t="str">
        <f>IFERROR(__xludf.DUMMYFUNCTION("GOOGLETRANSLATE(A18890, ""en"", ""mt"")"),"xokk")</f>
        <v>xokk</v>
      </c>
    </row>
    <row r="18891" ht="15.75" customHeight="1">
      <c r="A18891" s="2" t="s">
        <v>18891</v>
      </c>
      <c r="B18891" s="2" t="str">
        <f>IFERROR(__xludf.DUMMYFUNCTION("GOOGLETRANSLATE(A18891, ""en"", ""mt"")"),"Min jaħseb li Luther żied l-antisemitiżmu bħala element kulturali għall-Ġermanja?")</f>
        <v>Min jaħseb li Luther żied l-antisemitiżmu bħala element kulturali għall-Ġermanja?</v>
      </c>
    </row>
    <row r="18892" ht="15.75" customHeight="1">
      <c r="A18892" s="2" t="s">
        <v>18892</v>
      </c>
      <c r="B18892" s="2" t="str">
        <f>IFERROR(__xludf.DUMMYFUNCTION("GOOGLETRANSLATE(A18892, ""en"", ""mt"")"),"Artisti Pollakki u Internazzjonali")</f>
        <v>Artisti Pollakki u Internazzjonali</v>
      </c>
    </row>
    <row r="18893" ht="15.75" customHeight="1">
      <c r="A18893" s="2" t="s">
        <v>18893</v>
      </c>
      <c r="B18893" s="2" t="str">
        <f>IFERROR(__xludf.DUMMYFUNCTION("GOOGLETRANSLATE(A18893, ""en"", ""mt"")"),"42%")</f>
        <v>42%</v>
      </c>
    </row>
    <row r="18894" ht="15.75" customHeight="1">
      <c r="A18894" s="2" t="s">
        <v>18894</v>
      </c>
      <c r="B18894" s="2" t="str">
        <f>IFERROR(__xludf.DUMMYFUNCTION("GOOGLETRANSLATE(A18894, ""en"", ""mt"")"),"Outlaws ħarbtu l-pajjiż")</f>
        <v>Outlaws ħarbtu l-pajjiż</v>
      </c>
    </row>
    <row r="18895" ht="15.75" customHeight="1">
      <c r="A18895" s="2" t="s">
        <v>18895</v>
      </c>
      <c r="B18895" s="2" t="str">
        <f>IFERROR(__xludf.DUMMYFUNCTION("GOOGLETRANSLATE(A18895, ""en"", ""mt"")"),"ħafna individwi")</f>
        <v>ħafna individwi</v>
      </c>
    </row>
    <row r="18896" ht="15.75" customHeight="1">
      <c r="A18896" s="2" t="s">
        <v>18896</v>
      </c>
      <c r="B18896" s="2" t="str">
        <f>IFERROR(__xludf.DUMMYFUNCTION("GOOGLETRANSLATE(A18896, ""en"", ""mt"")"),"Kemm għażliet Peyton Manning tarmi fl-istaġun?")</f>
        <v>Kemm għażliet Peyton Manning tarmi fl-istaġun?</v>
      </c>
    </row>
    <row r="18897" ht="15.75" customHeight="1">
      <c r="A18897" s="2" t="s">
        <v>18897</v>
      </c>
      <c r="B18897" s="2" t="str">
        <f>IFERROR(__xludf.DUMMYFUNCTION("GOOGLETRANSLATE(A18897, ""en"", ""mt"")"),"""Punt ta 'Bauffet""")</f>
        <v>"Punt ta 'Bauffet"</v>
      </c>
    </row>
    <row r="18898" ht="15.75" customHeight="1">
      <c r="A18898" s="2" t="s">
        <v>18898</v>
      </c>
      <c r="B18898" s="2" t="str">
        <f>IFERROR(__xludf.DUMMYFUNCTION("GOOGLETRANSLATE(A18898, ""en"", ""mt"")"),"X'inhu d-daqs tad-dotazzjoni tal-iskola?")</f>
        <v>X'inhu d-daqs tad-dotazzjoni tal-iskola?</v>
      </c>
    </row>
    <row r="18899" ht="15.75" customHeight="1">
      <c r="A18899" s="2" t="s">
        <v>18899</v>
      </c>
      <c r="B18899" s="2" t="str">
        <f>IFERROR(__xludf.DUMMYFUNCTION("GOOGLETRANSLATE(A18899, ""en"", ""mt"")"),"F'liema mudell jidhru grana bħal pancakes?")</f>
        <v>F'liema mudell jidhru grana bħal pancakes?</v>
      </c>
    </row>
    <row r="18900" ht="15.75" customHeight="1">
      <c r="A18900" s="2" t="s">
        <v>18900</v>
      </c>
      <c r="B18900" s="2" t="str">
        <f>IFERROR(__xludf.DUMMYFUNCTION("GOOGLETRANSLATE(A18900, ""en"", ""mt"")"),"glowed anke meta tintefa")</f>
        <v>glowed anke meta tintefa</v>
      </c>
    </row>
    <row r="18901" ht="15.75" customHeight="1">
      <c r="A18901" s="2" t="s">
        <v>18901</v>
      </c>
      <c r="B18901" s="2" t="str">
        <f>IFERROR(__xludf.DUMMYFUNCTION("GOOGLETRANSLATE(A18901, ""en"", ""mt"")"),"parallel")</f>
        <v>parallel</v>
      </c>
    </row>
    <row r="18902" ht="15.75" customHeight="1">
      <c r="A18902" s="2" t="s">
        <v>18902</v>
      </c>
      <c r="B18902" s="2" t="str">
        <f>IFERROR(__xludf.DUMMYFUNCTION("GOOGLETRANSLATE(A18902, ""en"", ""mt"")"),"ċiklu tal-ossiġnu")</f>
        <v>ċiklu tal-ossiġnu</v>
      </c>
    </row>
    <row r="18903" ht="15.75" customHeight="1">
      <c r="A18903" s="2" t="s">
        <v>18903</v>
      </c>
      <c r="B18903" s="2" t="str">
        <f>IFERROR(__xludf.DUMMYFUNCTION("GOOGLETRANSLATE(A18903, ""en"", ""mt"")"),"Diviżjoni tal-Prova")</f>
        <v>Diviżjoni tal-Prova</v>
      </c>
    </row>
    <row r="18904" ht="15.75" customHeight="1">
      <c r="A18904" s="2" t="s">
        <v>18904</v>
      </c>
      <c r="B18904" s="2" t="str">
        <f>IFERROR(__xludf.DUMMYFUNCTION("GOOGLETRANSLATE(A18904, ""en"", ""mt"")"),"William Ellery Channing u Ralph Waldo Emerson")</f>
        <v>William Ellery Channing u Ralph Waldo Emerson</v>
      </c>
    </row>
    <row r="18905" ht="15.75" customHeight="1">
      <c r="A18905" s="2" t="s">
        <v>18905</v>
      </c>
      <c r="B18905" s="2" t="str">
        <f>IFERROR(__xludf.DUMMYFUNCTION("GOOGLETRANSLATE(A18905, ""en"", ""mt"")"),"karozza")</f>
        <v>karozza</v>
      </c>
    </row>
    <row r="18906" ht="15.75" customHeight="1">
      <c r="A18906" s="2" t="s">
        <v>18906</v>
      </c>
      <c r="B18906" s="2" t="str">
        <f>IFERROR(__xludf.DUMMYFUNCTION("GOOGLETRANSLATE(A18906, ""en"", ""mt"")"),"Ewropew tal-Punent")</f>
        <v>Ewropew tal-Punent</v>
      </c>
    </row>
    <row r="18907" ht="15.75" customHeight="1">
      <c r="A18907" s="2" t="s">
        <v>18907</v>
      </c>
      <c r="B18907" s="2" t="str">
        <f>IFERROR(__xludf.DUMMYFUNCTION("GOOGLETRANSLATE(A18907, ""en"", ""mt"")"),"Luther meta ta r-risposta tiegħu għal Eck?")</f>
        <v>Luther meta ta r-risposta tiegħu għal Eck?</v>
      </c>
    </row>
    <row r="18908" ht="15.75" customHeight="1">
      <c r="A18908" s="2" t="s">
        <v>18908</v>
      </c>
      <c r="B18908" s="2" t="str">
        <f>IFERROR(__xludf.DUMMYFUNCTION("GOOGLETRANSLATE(A18908, ""en"", ""mt"")"),"Naqbad il-Qawwa")</f>
        <v>Naqbad il-Qawwa</v>
      </c>
    </row>
    <row r="18909" ht="15.75" customHeight="1">
      <c r="A18909" s="2" t="s">
        <v>18909</v>
      </c>
      <c r="B18909" s="2" t="str">
        <f>IFERROR(__xludf.DUMMYFUNCTION("GOOGLETRANSLATE(A18909, ""en"", ""mt"")"),"Viċi President Eżekuttiv ta 'Operazzjonijiet tal-Futbol u Maniġer Ġenerali")</f>
        <v>Viċi President Eżekuttiv ta 'Operazzjonijiet tal-Futbol u Maniġer Ġenerali</v>
      </c>
    </row>
    <row r="18910" ht="15.75" customHeight="1">
      <c r="A18910" s="2" t="s">
        <v>18910</v>
      </c>
      <c r="B18910" s="2" t="str">
        <f>IFERROR(__xludf.DUMMYFUNCTION("GOOGLETRANSLATE(A18910, ""en"", ""mt"")"),"Ma 'liema rata ta' kriminalità kienet li kienet korrelata f'soċjetà?")</f>
        <v>Ma 'liema rata ta' kriminalità kienet li kienet korrelata f'soċjetà?</v>
      </c>
    </row>
    <row r="18911" ht="15.75" customHeight="1">
      <c r="A18911" s="2" t="s">
        <v>18911</v>
      </c>
      <c r="B18911" s="2" t="str">
        <f>IFERROR(__xludf.DUMMYFUNCTION("GOOGLETRANSLATE(A18911, ""en"", ""mt"")"),"Il-fatt (it-teorema żgħira ta 'Fermat) li np≡N (mod p) għal kwalunkwe n jekk p huwa numru ewlieni")</f>
        <v>Il-fatt (it-teorema żgħira ta 'Fermat) li np≡N (mod p) għal kwalunkwe n jekk p huwa numru ewlieni</v>
      </c>
    </row>
    <row r="18912" ht="15.75" customHeight="1">
      <c r="A18912" s="2" t="s">
        <v>18912</v>
      </c>
      <c r="B18912" s="2" t="str">
        <f>IFERROR(__xludf.DUMMYFUNCTION("GOOGLETRANSLATE(A18912, ""en"", ""mt"")"),"Charleston, South Carolina")</f>
        <v>Charleston, South Carolina</v>
      </c>
    </row>
    <row r="18913" ht="15.75" customHeight="1">
      <c r="A18913" s="2" t="s">
        <v>18913</v>
      </c>
      <c r="B18913" s="2" t="str">
        <f>IFERROR(__xludf.DUMMYFUNCTION("GOOGLETRANSLATE(A18913, ""en"", ""mt"")"),"Is-sistema immunitarja tipproteġi l-organiżmi kontra xiex?")</f>
        <v>Is-sistema immunitarja tipproteġi l-organiżmi kontra xiex?</v>
      </c>
    </row>
    <row r="18914" ht="15.75" customHeight="1">
      <c r="A18914" s="2" t="s">
        <v>18914</v>
      </c>
      <c r="B18914" s="2" t="str">
        <f>IFERROR(__xludf.DUMMYFUNCTION("GOOGLETRANSLATE(A18914, ""en"", ""mt"")"),"Serge Chermayeff")</f>
        <v>Serge Chermayeff</v>
      </c>
    </row>
    <row r="18915" ht="15.75" customHeight="1">
      <c r="A18915" s="2" t="s">
        <v>18915</v>
      </c>
      <c r="B18915" s="2" t="str">
        <f>IFERROR(__xludf.DUMMYFUNCTION("GOOGLETRANSLATE(A18915, ""en"", ""mt"")"),"kważi $ 12")</f>
        <v>kważi $ 12</v>
      </c>
    </row>
    <row r="18916" ht="15.75" customHeight="1">
      <c r="A18916" s="2" t="s">
        <v>18916</v>
      </c>
      <c r="B18916" s="2" t="str">
        <f>IFERROR(__xludf.DUMMYFUNCTION("GOOGLETRANSLATE(A18916, ""en"", ""mt"")"),"Għaliex il-kompetizzjoni fost il-ħaddiema tnaqqas il-pagi?")</f>
        <v>Għaliex il-kompetizzjoni fost il-ħaddiema tnaqqas il-pagi?</v>
      </c>
    </row>
    <row r="18917" ht="15.75" customHeight="1">
      <c r="A18917" s="2" t="s">
        <v>18917</v>
      </c>
      <c r="B18917" s="2" t="str">
        <f>IFERROR(__xludf.DUMMYFUNCTION("GOOGLETRANSLATE(A18917, ""en"", ""mt"")"),"Montal")</f>
        <v>Montal</v>
      </c>
    </row>
    <row r="18918" ht="15.75" customHeight="1">
      <c r="A18918" s="2" t="s">
        <v>18918</v>
      </c>
      <c r="B18918" s="2" t="str">
        <f>IFERROR(__xludf.DUMMYFUNCTION("GOOGLETRANSLATE(A18918, ""en"", ""mt"")"),"Leonard Goldenson")</f>
        <v>Leonard Goldenson</v>
      </c>
    </row>
    <row r="18919" ht="15.75" customHeight="1">
      <c r="A18919" s="2" t="s">
        <v>18919</v>
      </c>
      <c r="B18919" s="2" t="str">
        <f>IFERROR(__xludf.DUMMYFUNCTION("GOOGLETRANSLATE(A18919, ""en"", ""mt"")"),"Fotoliżi ta 'l-ożonu")</f>
        <v>Fotoliżi ta 'l-ożonu</v>
      </c>
    </row>
    <row r="18920" ht="15.75" customHeight="1">
      <c r="A18920" s="2" t="s">
        <v>18920</v>
      </c>
      <c r="B18920" s="2" t="str">
        <f>IFERROR(__xludf.DUMMYFUNCTION("GOOGLETRANSLATE(A18920, ""en"", ""mt"")"),"Nukleoni fin-nuklei atomiċi")</f>
        <v>Nukleoni fin-nuklei atomiċi</v>
      </c>
    </row>
    <row r="18921" ht="15.75" customHeight="1">
      <c r="A18921" s="2" t="s">
        <v>18921</v>
      </c>
      <c r="B18921" s="2" t="str">
        <f>IFERROR(__xludf.DUMMYFUNCTION("GOOGLETRANSLATE(A18921, ""en"", ""mt"")"),"Liema enzimi fil-bżieq huma ta 'natura antibatterika?")</f>
        <v>Liema enzimi fil-bżieq huma ta 'natura antibatterika?</v>
      </c>
    </row>
    <row r="18922" ht="15.75" customHeight="1">
      <c r="A18922" s="2" t="s">
        <v>18922</v>
      </c>
      <c r="B18922" s="2" t="str">
        <f>IFERROR(__xludf.DUMMYFUNCTION("GOOGLETRANSLATE(A18922, ""en"", ""mt"")"),"X'tip ta 'influwenza jeżerċita l-fluss tal-Golf fuq Newcastle?")</f>
        <v>X'tip ta 'influwenza jeżerċita l-fluss tal-Golf fuq Newcastle?</v>
      </c>
    </row>
    <row r="18923" ht="15.75" customHeight="1">
      <c r="A18923" s="2" t="s">
        <v>18923</v>
      </c>
      <c r="B18923" s="2" t="str">
        <f>IFERROR(__xludf.DUMMYFUNCTION("GOOGLETRANSLATE(A18923, ""en"", ""mt"")"),"Madwar 15-il kilometru")</f>
        <v>Madwar 15-il kilometru</v>
      </c>
    </row>
    <row r="18924" ht="15.75" customHeight="1">
      <c r="A18924" s="2" t="s">
        <v>18924</v>
      </c>
      <c r="B18924" s="2" t="str">
        <f>IFERROR(__xludf.DUMMYFUNCTION("GOOGLETRANSLATE(A18924, ""en"", ""mt"")"),"Liema forma ta 'ossiġnu hija magħmula minn tliet atomi ta' ossiġnu?")</f>
        <v>Liema forma ta 'ossiġnu hija magħmula minn tliet atomi ta' ossiġnu?</v>
      </c>
    </row>
    <row r="18925" ht="15.75" customHeight="1">
      <c r="A18925" s="2" t="s">
        <v>18925</v>
      </c>
      <c r="B18925" s="2" t="str">
        <f>IFERROR(__xludf.DUMMYFUNCTION("GOOGLETRANSLATE(A18925, ""en"", ""mt"")"),"Teleforce")</f>
        <v>Teleforce</v>
      </c>
    </row>
    <row r="18926" ht="15.75" customHeight="1">
      <c r="A18926" s="2" t="s">
        <v>18926</v>
      </c>
      <c r="B18926" s="2" t="str">
        <f>IFERROR(__xludf.DUMMYFUNCTION("GOOGLETRANSLATE(A18926, ""en"", ""mt"")"),"X’wassal għat-tixrid tan-nar ta ’Jacksonville fl-1901?")</f>
        <v>X’wassal għat-tixrid tan-nar ta ’Jacksonville fl-1901?</v>
      </c>
    </row>
    <row r="18927" ht="15.75" customHeight="1">
      <c r="A18927" s="2" t="s">
        <v>18927</v>
      </c>
      <c r="B18927" s="2" t="str">
        <f>IFERROR(__xludf.DUMMYFUNCTION("GOOGLETRANSLATE(A18927, ""en"", ""mt"")"),"90 sa 95 fil-mija")</f>
        <v>90 sa 95 fil-mija</v>
      </c>
    </row>
    <row r="18928" ht="15.75" customHeight="1">
      <c r="A18928" s="2" t="s">
        <v>18928</v>
      </c>
      <c r="B18928" s="2" t="str">
        <f>IFERROR(__xludf.DUMMYFUNCTION("GOOGLETRANSLATE(A18928, ""en"", ""mt"")"),"X'għamlet l-ittra ta 'Schurf li kkawżat ir-ritorn ta' Luther?")</f>
        <v>X'għamlet l-ittra ta 'Schurf li kkawżat ir-ritorn ta' Luther?</v>
      </c>
    </row>
    <row r="18929" ht="15.75" customHeight="1">
      <c r="A18929" s="2" t="s">
        <v>18929</v>
      </c>
      <c r="B18929" s="2" t="str">
        <f>IFERROR(__xludf.DUMMYFUNCTION("GOOGLETRANSLATE(A18929, ""en"", ""mt"")"),"X'inhu l-effett osservabbli tal-iskambju tal-boson w u z?")</f>
        <v>X'inhu l-effett osservabbli tal-iskambju tal-boson w u z?</v>
      </c>
    </row>
    <row r="18930" ht="15.75" customHeight="1">
      <c r="A18930" s="2" t="s">
        <v>18930</v>
      </c>
      <c r="B18930" s="2" t="str">
        <f>IFERROR(__xludf.DUMMYFUNCTION("GOOGLETRANSLATE(A18930, ""en"", ""mt"")"),"Meta mqabbel ma 'kawżi oħra, huwa l-effett tal-kummerċ fuq l-inugwaljanza fl-Amerika?")</f>
        <v>Meta mqabbel ma 'kawżi oħra, huwa l-effett tal-kummerċ fuq l-inugwaljanza fl-Amerika?</v>
      </c>
    </row>
    <row r="18931" ht="15.75" customHeight="1">
      <c r="A18931" s="2" t="s">
        <v>18931</v>
      </c>
      <c r="B18931" s="2" t="str">
        <f>IFERROR(__xludf.DUMMYFUNCTION("GOOGLETRANSLATE(A18931, ""en"", ""mt"")"),", l-għerf u l-prudenza ta 'ċerti deċiżjonijiet ta' akkwist")</f>
        <v>, l-għerf u l-prudenza ta 'ċerti deċiżjonijiet ta' akkwist</v>
      </c>
    </row>
    <row r="18932" ht="15.75" customHeight="1">
      <c r="A18932" s="2" t="s">
        <v>18932</v>
      </c>
      <c r="B18932" s="2" t="str">
        <f>IFERROR(__xludf.DUMMYFUNCTION("GOOGLETRANSLATE(A18932, ""en"", ""mt"")"),"kastig korporali")</f>
        <v>kastig korporali</v>
      </c>
    </row>
    <row r="18933" ht="15.75" customHeight="1">
      <c r="A18933" s="2" t="s">
        <v>18933</v>
      </c>
      <c r="B18933" s="2" t="str">
        <f>IFERROR(__xludf.DUMMYFUNCTION("GOOGLETRANSLATE(A18933, ""en"", ""mt"")"),"Minbarra l-istampa taċ-ċinema u l-industrija tat-televiżjoni, liema industrija ewlenija oħra hija ċċentrata f'Los Angeles?")</f>
        <v>Minbarra l-istampa taċ-ċinema u l-industrija tat-televiżjoni, liema industrija ewlenija oħra hija ċċentrata f'Los Angeles?</v>
      </c>
    </row>
    <row r="18934" ht="15.75" customHeight="1">
      <c r="A18934" s="2" t="s">
        <v>18934</v>
      </c>
      <c r="B18934" s="2" t="str">
        <f>IFERROR(__xludf.DUMMYFUNCTION("GOOGLETRANSLATE(A18934, ""en"", ""mt"")"),"id-dgħjufija fid-dixxiplina tal-iskola")</f>
        <v>id-dgħjufija fid-dixxiplina tal-iskola</v>
      </c>
    </row>
    <row r="18935" ht="15.75" customHeight="1">
      <c r="A18935" s="2" t="s">
        <v>18935</v>
      </c>
      <c r="B18935" s="2" t="str">
        <f>IFERROR(__xludf.DUMMYFUNCTION("GOOGLETRANSLATE(A18935, ""en"", ""mt"")"),"Flimkien mal-Musulmani, il-Lhud u l-Insara Protestanti, liema grupp reliġjuż jopera l-aktar skejjel privati?")</f>
        <v>Flimkien mal-Musulmani, il-Lhud u l-Insara Protestanti, liema grupp reliġjuż jopera l-aktar skejjel privati?</v>
      </c>
    </row>
    <row r="18936" ht="15.75" customHeight="1">
      <c r="A18936" s="2" t="s">
        <v>18936</v>
      </c>
      <c r="B18936" s="2" t="str">
        <f>IFERROR(__xludf.DUMMYFUNCTION("GOOGLETRANSLATE(A18936, ""en"", ""mt"")"),"Min hu l-operatur tax-xarabank primarju ta 'Newcastle fil-belt kif suppost?")</f>
        <v>Min hu l-operatur tax-xarabank primarju ta 'Newcastle fil-belt kif suppost?</v>
      </c>
    </row>
    <row r="18937" ht="15.75" customHeight="1">
      <c r="A18937" s="2" t="s">
        <v>18937</v>
      </c>
      <c r="B18937" s="2" t="str">
        <f>IFERROR(__xludf.DUMMYFUNCTION("GOOGLETRANSLATE(A18937, ""en"", ""mt"")"),"Għaliex il-lagi żgħar fil-parks huma mbattla qabel ix-xitwa?")</f>
        <v>Għaliex il-lagi żgħar fil-parks huma mbattla qabel ix-xitwa?</v>
      </c>
    </row>
    <row r="18938" ht="15.75" customHeight="1">
      <c r="A18938" s="2" t="s">
        <v>18938</v>
      </c>
      <c r="B18938" s="2" t="str">
        <f>IFERROR(__xludf.DUMMYFUNCTION("GOOGLETRANSLATE(A18938, ""en"", ""mt"")"),"Waħda mill-iktar persuni famużi mwielda f'Varsavja kienet Maria Skłodowska-Curie, li kisbet rikonoxximent internazzjonali għar-riċerka tagħha dwar ir-radjuattività u kienet l-ewwel mara riċevitur tal-Premju Nobel. Mużiċisti famużi jinkludu Władysław Szpil"&amp;"man u Frédéric Chopin. Għalkemm Chopin twieled fir-raħal ta 'Żelazowa Wola, madwar 60 km (37 mi) minn Varsavja, huwa mar il-belt mal-familja tiegħu meta kellu seba' xhur. Casimir Pulaski, ġenerali Pollakk u eroj tal-Gwerra Rivoluzzjonarja Amerikana, twiel"&amp;"ed hawn fl-1745.")</f>
        <v>Waħda mill-iktar persuni famużi mwielda f'Varsavja kienet Maria Skłodowska-Curie, li kisbet rikonoxximent internazzjonali għar-riċerka tagħha dwar ir-radjuattività u kienet l-ewwel mara riċevitur tal-Premju Nobel. Mużiċisti famużi jinkludu Władysław Szpilman u Frédéric Chopin. Għalkemm Chopin twieled fir-raħal ta 'Żelazowa Wola, madwar 60 km (37 mi) minn Varsavja, huwa mar il-belt mal-familja tiegħu meta kellu seba' xhur. Casimir Pulaski, ġenerali Pollakk u eroj tal-Gwerra Rivoluzzjonarja Amerikana, twieled hawn fl-1745.</v>
      </c>
    </row>
    <row r="18939" ht="15.75" customHeight="1">
      <c r="A18939" s="2" t="s">
        <v>18939</v>
      </c>
      <c r="B18939" s="2" t="str">
        <f>IFERROR(__xludf.DUMMYFUNCTION("GOOGLETRANSLATE(A18939, ""en"", ""mt"")"),"Granulysin")</f>
        <v>Granulysin</v>
      </c>
    </row>
    <row r="18940" ht="15.75" customHeight="1">
      <c r="A18940" s="2" t="s">
        <v>18940</v>
      </c>
      <c r="B18940" s="2" t="str">
        <f>IFERROR(__xludf.DUMMYFUNCTION("GOOGLETRANSLATE(A18940, ""en"", ""mt"")"),"Ċelloli infettati jissiġillaw lilhom infushom u jgħaddu minn mewt ipprogrammata taċ-ċelloli")</f>
        <v>Ċelloli infettati jissiġillaw lilhom infushom u jgħaddu minn mewt ipprogrammata taċ-ċelloli</v>
      </c>
    </row>
    <row r="18941" ht="15.75" customHeight="1">
      <c r="A18941" s="2" t="s">
        <v>18941</v>
      </c>
      <c r="B18941" s="2" t="str">
        <f>IFERROR(__xludf.DUMMYFUNCTION("GOOGLETRANSLATE(A18941, ""en"", ""mt"")"),"20 sa 1")</f>
        <v>20 sa 1</v>
      </c>
    </row>
    <row r="18942" ht="15.75" customHeight="1">
      <c r="A18942" s="2" t="s">
        <v>18942</v>
      </c>
      <c r="B18942" s="2" t="str">
        <f>IFERROR(__xludf.DUMMYFUNCTION("GOOGLETRANSLATE(A18942, ""en"", ""mt"")"),"X'inhu l-isem tad-delta fl-Olanda?")</f>
        <v>X'inhu l-isem tad-delta fl-Olanda?</v>
      </c>
    </row>
    <row r="18943" ht="15.75" customHeight="1">
      <c r="A18943" s="2" t="s">
        <v>18943</v>
      </c>
      <c r="B18943" s="2" t="str">
        <f>IFERROR(__xludf.DUMMYFUNCTION("GOOGLETRANSLATE(A18943, ""en"", ""mt"")"),"Il-Workshop Radjofoniku tal-BBC")</f>
        <v>Il-Workshop Radjofoniku tal-BBC</v>
      </c>
    </row>
    <row r="18944" ht="15.75" customHeight="1">
      <c r="A18944" s="2" t="s">
        <v>18944</v>
      </c>
      <c r="B18944" s="2" t="str">
        <f>IFERROR(__xludf.DUMMYFUNCTION("GOOGLETRANSLATE(A18944, ""en"", ""mt"")"),"Fluss ta 'elettroni ċikliċi")</f>
        <v>Fluss ta 'elettroni ċikliċi</v>
      </c>
    </row>
    <row r="18945" ht="15.75" customHeight="1">
      <c r="A18945" s="2" t="s">
        <v>18945</v>
      </c>
      <c r="B18945" s="2" t="str">
        <f>IFERROR(__xludf.DUMMYFUNCTION("GOOGLETRANSLATE(A18945, ""en"", ""mt"")"),"Tribujiet fil-porzjonijiet tal-Punent tar-reġjun tal-Lagi l-Kbar")</f>
        <v>Tribujiet fil-porzjonijiet tal-Punent tar-reġjun tal-Lagi l-Kbar</v>
      </c>
    </row>
    <row r="18946" ht="15.75" customHeight="1">
      <c r="A18946" s="2" t="s">
        <v>18946</v>
      </c>
      <c r="B18946" s="2" t="str">
        <f>IFERROR(__xludf.DUMMYFUNCTION("GOOGLETRANSLATE(A18946, ""en"", ""mt"")"),"Ċelloli speċjalizzati f'forma ta 'faqqiegħ fis-saff ta' barra ta 'l-epidermide")</f>
        <v>Ċelloli speċjalizzati f'forma ta 'faqqiegħ fis-saff ta' barra ta 'l-epidermide</v>
      </c>
    </row>
    <row r="18947" ht="15.75" customHeight="1">
      <c r="A18947" s="2" t="s">
        <v>18947</v>
      </c>
      <c r="B18947" s="2" t="str">
        <f>IFERROR(__xludf.DUMMYFUNCTION("GOOGLETRANSLATE(A18947, ""en"", ""mt"")"),"Linebacker")</f>
        <v>Linebacker</v>
      </c>
    </row>
    <row r="18948" ht="15.75" customHeight="1">
      <c r="A18948" s="2" t="s">
        <v>18948</v>
      </c>
      <c r="B18948" s="2" t="str">
        <f>IFERROR(__xludf.DUMMYFUNCTION("GOOGLETRANSLATE(A18948, ""en"", ""mt"")"),"F'liema pajjiż l-ewwel vvintat lokomottiva tal-fwar tal-ferrovija fuq skala sħiħa li taħdem?")</f>
        <v>F'liema pajjiż l-ewwel vvintat lokomottiva tal-fwar tal-ferrovija fuq skala sħiħa li taħdem?</v>
      </c>
    </row>
    <row r="18949" ht="15.75" customHeight="1">
      <c r="A18949" s="2" t="s">
        <v>18949</v>
      </c>
      <c r="B18949" s="2" t="str">
        <f>IFERROR(__xludf.DUMMYFUNCTION("GOOGLETRANSLATE(A18949, ""en"", ""mt"")"),"pori fl-epidermide")</f>
        <v>pori fl-epidermide</v>
      </c>
    </row>
    <row r="18950" ht="15.75" customHeight="1">
      <c r="A18950" s="2" t="s">
        <v>18950</v>
      </c>
      <c r="B18950" s="2" t="str">
        <f>IFERROR(__xludf.DUMMYFUNCTION("GOOGLETRANSLATE(A18950, ""en"", ""mt"")"),"X'jistgħu studenti li l-iskola sekondarja kompluta jkollhom opportunitajiet x'jagħmlu?")</f>
        <v>X'jistgħu studenti li l-iskola sekondarja kompluta jkollhom opportunitajiet x'jagħmlu?</v>
      </c>
    </row>
    <row r="18951" ht="15.75" customHeight="1">
      <c r="A18951" s="2" t="s">
        <v>18951</v>
      </c>
      <c r="B18951" s="2" t="str">
        <f>IFERROR(__xludf.DUMMYFUNCTION("GOOGLETRANSLATE(A18951, ""en"", ""mt"")"),"X’qassar ix-Xmara Rhine?")</f>
        <v>X’qassar ix-Xmara Rhine?</v>
      </c>
    </row>
    <row r="18952" ht="15.75" customHeight="1">
      <c r="A18952" s="2" t="s">
        <v>18952</v>
      </c>
      <c r="B18952" s="2" t="str">
        <f>IFERROR(__xludf.DUMMYFUNCTION("GOOGLETRANSLATE(A18952, ""en"", ""mt"")"),"Liema battalja Temüjin tilfet lil Jamukha ftit wara l-elezzjoni tiegħu bħala Khan?")</f>
        <v>Liema battalja Temüjin tilfet lil Jamukha ftit wara l-elezzjoni tiegħu bħala Khan?</v>
      </c>
    </row>
    <row r="18953" ht="15.75" customHeight="1">
      <c r="A18953" s="2" t="s">
        <v>18953</v>
      </c>
      <c r="B18953" s="2" t="str">
        <f>IFERROR(__xludf.DUMMYFUNCTION("GOOGLETRANSLATE(A18953, ""en"", ""mt"")"),"zygote")</f>
        <v>zygote</v>
      </c>
    </row>
    <row r="18954" ht="15.75" customHeight="1">
      <c r="A18954" s="2" t="s">
        <v>18954</v>
      </c>
      <c r="B18954" s="2" t="str">
        <f>IFERROR(__xludf.DUMMYFUNCTION("GOOGLETRANSLATE(A18954, ""en"", ""mt"")"),"Meta r-Rhine waqfet tkun il-konfini Rumana?")</f>
        <v>Meta r-Rhine waqfet tkun il-konfini Rumana?</v>
      </c>
    </row>
    <row r="18955" ht="15.75" customHeight="1">
      <c r="A18955" s="2" t="s">
        <v>18955</v>
      </c>
      <c r="B18955" s="2" t="str">
        <f>IFERROR(__xludf.DUMMYFUNCTION("GOOGLETRANSLATE(A18955, ""en"", ""mt"")"),"L-ideat ta 'min saru dejjem aktar radikali matul il-ħabs tiegħu?")</f>
        <v>L-ideat ta 'min saru dejjem aktar radikali matul il-ħabs tiegħu?</v>
      </c>
    </row>
    <row r="18956" ht="15.75" customHeight="1">
      <c r="A18956" s="2" t="s">
        <v>18956</v>
      </c>
      <c r="B18956" s="2" t="str">
        <f>IFERROR(__xludf.DUMMYFUNCTION("GOOGLETRANSLATE(A18956, ""en"", ""mt"")"),"Pressjonijiet akbar minn dak li jista 'jwassal għal konvulżjonijiet?")</f>
        <v>Pressjonijiet akbar minn dak li jista 'jwassal għal konvulżjonijiet?</v>
      </c>
    </row>
    <row r="18957" ht="15.75" customHeight="1">
      <c r="A18957" s="2" t="s">
        <v>18957</v>
      </c>
      <c r="B18957" s="2" t="str">
        <f>IFERROR(__xludf.DUMMYFUNCTION("GOOGLETRANSLATE(A18957, ""en"", ""mt"")"),"Valur miżjud mix-xogħol, il-kapital u l-art")</f>
        <v>Valur miżjud mix-xogħol, il-kapital u l-art</v>
      </c>
    </row>
    <row r="18958" ht="15.75" customHeight="1">
      <c r="A18958" s="2" t="s">
        <v>18958</v>
      </c>
      <c r="B18958" s="2" t="str">
        <f>IFERROR(__xludf.DUMMYFUNCTION("GOOGLETRANSLATE(A18958, ""en"", ""mt"")"),"X'inhi l-grazzja li nirċievu bil-fidi u l-fiduċja f'Alla?")</f>
        <v>X'inhi l-grazzja li nirċievu bil-fidi u l-fiduċja f'Alla?</v>
      </c>
    </row>
    <row r="18959" ht="15.75" customHeight="1">
      <c r="A18959" s="2" t="s">
        <v>18959</v>
      </c>
      <c r="B18959" s="2" t="str">
        <f>IFERROR(__xludf.DUMMYFUNCTION("GOOGLETRANSLATE(A18959, ""en"", ""mt"")"),"Kemm flus Dillon, Read &amp; Co offrew lil Mark Woods għal NBC Blue?")</f>
        <v>Kemm flus Dillon, Read &amp; Co offrew lil Mark Woods għal NBC Blue?</v>
      </c>
    </row>
    <row r="18960" ht="15.75" customHeight="1">
      <c r="A18960" s="2" t="s">
        <v>18960</v>
      </c>
      <c r="B18960" s="2" t="str">
        <f>IFERROR(__xludf.DUMMYFUNCTION("GOOGLETRANSLATE(A18960, ""en"", ""mt"")"),"Aċidu saliċiliku, aċidu ġiżmoniku, ossidu nitriku u speċi ta 'ossiġenu reattiv")</f>
        <v>Aċidu saliċiliku, aċidu ġiżmoniku, ossidu nitriku u speċi ta 'ossiġenu reattiv</v>
      </c>
    </row>
    <row r="18961" ht="15.75" customHeight="1">
      <c r="A18961" s="2" t="s">
        <v>18961</v>
      </c>
      <c r="B18961" s="2" t="str">
        <f>IFERROR(__xludf.DUMMYFUNCTION("GOOGLETRANSLATE(A18961, ""en"", ""mt"")"),"Irtir imħassar")</f>
        <v>Irtir imħassar</v>
      </c>
    </row>
    <row r="18962" ht="15.75" customHeight="1">
      <c r="A18962" s="2" t="s">
        <v>18962</v>
      </c>
      <c r="B18962" s="2" t="str">
        <f>IFERROR(__xludf.DUMMYFUNCTION("GOOGLETRANSLATE(A18962, ""en"", ""mt"")"),"F'liema sena spiċċat it-telespettatur ta 'ABC fir-4 post wara n-netwerks ewlenin l-oħra?")</f>
        <v>F'liema sena spiċċat it-telespettatur ta 'ABC fir-4 post wara n-netwerks ewlenin l-oħra?</v>
      </c>
    </row>
    <row r="18963" ht="15.75" customHeight="1">
      <c r="A18963" s="2" t="s">
        <v>18963</v>
      </c>
      <c r="B18963" s="2" t="str">
        <f>IFERROR(__xludf.DUMMYFUNCTION("GOOGLETRANSLATE(A18963, ""en"", ""mt"")"),"Il-proċedura tkompli sa liema?")</f>
        <v>Il-proċedura tkompli sa liema?</v>
      </c>
    </row>
    <row r="18964" ht="15.75" customHeight="1">
      <c r="A18964" s="2" t="s">
        <v>18964</v>
      </c>
      <c r="B18964" s="2" t="str">
        <f>IFERROR(__xludf.DUMMYFUNCTION("GOOGLETRANSLATE(A18964, ""en"", ""mt"")"),"triq parabolika mgħawġa")</f>
        <v>triq parabolika mgħawġa</v>
      </c>
    </row>
    <row r="18965" ht="15.75" customHeight="1">
      <c r="A18965" s="2" t="s">
        <v>18965</v>
      </c>
      <c r="B18965" s="2" t="str">
        <f>IFERROR(__xludf.DUMMYFUNCTION("GOOGLETRANSLATE(A18965, ""en"", ""mt"")"),"Il-mard tal-faqar jikkorrelata direttament mal-prestazzjoni ekonomika tal-pajjiż u d-distribuzzjoni tal-ġid: nofs il-Kenjani jgħixu taħt il-livell tal-faqar. Mard li jista 'jiġi evitat bħall-malarja, l-HIV / AIDS, il-pnewmonja, id-dijarea u l-malnutrizzjo"&amp;"ni huma l-akbar piż, qattiel tat-tfal maġġuri, u responsabbli għal ħafna morbidità; Politiki dgħajfa, korruzzjoni, ħaddiema tas-saħħa inadegwati, ġestjoni dgħajfa u tmexxija ħażina fis-settur tas-saħħa pubblika huma fil-biċċa l-kbira tagħhom. Skond l-isti"&amp;"mi tal-2009, il-prevalenza tal-HIV hija madwar 6.3% tal-popolazzjoni adulta. Madankollu, ir-rapport tal-UNAIDS tal-2011 jissuġġerixxi li l-epidemija tal-HIV tista 'titjieb fil-Kenja, billi l-prevalenza tal-HIV qed tonqos fost iż-żgħażagħ (bejn il-15 u l-2"&amp;"4 sena) u n-nisa tqal. Il-Kenja kellha stima ta ’15 -il miljun każ ta ’malarja fl-2006.")</f>
        <v>Il-mard tal-faqar jikkorrelata direttament mal-prestazzjoni ekonomika tal-pajjiż u d-distribuzzjoni tal-ġid: nofs il-Kenjani jgħixu taħt il-livell tal-faqar. Mard li jista 'jiġi evitat bħall-malarja, l-HIV / AIDS, il-pnewmonja, id-dijarea u l-malnutrizzjoni huma l-akbar piż, qattiel tat-tfal maġġuri, u responsabbli għal ħafna morbidità; Politiki dgħajfa, korruzzjoni, ħaddiema tas-saħħa inadegwati, ġestjoni dgħajfa u tmexxija ħażina fis-settur tas-saħħa pubblika huma fil-biċċa l-kbira tagħhom. Skond l-istimi tal-2009, il-prevalenza tal-HIV hija madwar 6.3% tal-popolazzjoni adulta. Madankollu, ir-rapport tal-UNAIDS tal-2011 jissuġġerixxi li l-epidemija tal-HIV tista 'titjieb fil-Kenja, billi l-prevalenza tal-HIV qed tonqos fost iż-żgħażagħ (bejn il-15 u l-24 sena) u n-nisa tqal. Il-Kenja kellha stima ta ’15 -il miljun każ ta ’malarja fl-2006.</v>
      </c>
    </row>
    <row r="18966" ht="15.75" customHeight="1">
      <c r="A18966" s="2" t="s">
        <v>18966</v>
      </c>
      <c r="B18966" s="2" t="str">
        <f>IFERROR(__xludf.DUMMYFUNCTION("GOOGLETRANSLATE(A18966, ""en"", ""mt"")"),"Funchess")</f>
        <v>Funchess</v>
      </c>
    </row>
    <row r="18967" ht="15.75" customHeight="1">
      <c r="A18967" s="2" t="s">
        <v>18967</v>
      </c>
      <c r="B18967" s="2" t="str">
        <f>IFERROR(__xludf.DUMMYFUNCTION("GOOGLETRANSLATE(A18967, ""en"", ""mt"")"),"Kummissjoni v Awstrija l-qorti")</f>
        <v>Kummissjoni v Awstrija l-qorti</v>
      </c>
    </row>
    <row r="18968" ht="15.75" customHeight="1">
      <c r="A18968" s="2" t="s">
        <v>18968</v>
      </c>
      <c r="B18968" s="2" t="str">
        <f>IFERROR(__xludf.DUMMYFUNCTION("GOOGLETRANSLATE(A18968, ""en"", ""mt"")"),"Fondazzjoni żgħira fil-verità")</f>
        <v>Fondazzjoni żgħira fil-verità</v>
      </c>
    </row>
    <row r="18969" ht="15.75" customHeight="1">
      <c r="A18969" s="2" t="s">
        <v>18969</v>
      </c>
      <c r="B18969" s="2" t="str">
        <f>IFERROR(__xludf.DUMMYFUNCTION("GOOGLETRANSLATE(A18969, ""en"", ""mt"")"),"Liema jum tal-ġimgħa saret il-Jum tal-Midja għal Super Bowl 50?")</f>
        <v>Liema jum tal-ġimgħa saret il-Jum tal-Midja għal Super Bowl 50?</v>
      </c>
    </row>
    <row r="18970" ht="15.75" customHeight="1">
      <c r="A18970" s="2" t="s">
        <v>18970</v>
      </c>
      <c r="B18970" s="2" t="str">
        <f>IFERROR(__xludf.DUMMYFUNCTION("GOOGLETRANSLATE(A18970, ""en"", ""mt"")"),"Min żviluppa l-ewwel apparat kummerċjali li jaħdem bil-fwar?")</f>
        <v>Min żviluppa l-ewwel apparat kummerċjali li jaħdem bil-fwar?</v>
      </c>
    </row>
    <row r="18971" ht="15.75" customHeight="1">
      <c r="A18971" s="2" t="s">
        <v>18971</v>
      </c>
      <c r="B18971" s="2" t="str">
        <f>IFERROR(__xludf.DUMMYFUNCTION("GOOGLETRANSLATE(A18971, ""en"", ""mt"")"),"Kif ħass Celeron dwar ir-relazzjonijiet indiġeni?")</f>
        <v>Kif ħass Celeron dwar ir-relazzjonijiet indiġeni?</v>
      </c>
    </row>
    <row r="18972" ht="15.75" customHeight="1">
      <c r="A18972" s="2" t="s">
        <v>18972</v>
      </c>
      <c r="B18972" s="2" t="str">
        <f>IFERROR(__xludf.DUMMYFUNCTION("GOOGLETRANSLATE(A18972, ""en"", ""mt"")"),"żewġ astronawti")</f>
        <v>żewġ astronawti</v>
      </c>
    </row>
    <row r="18973" ht="15.75" customHeight="1">
      <c r="A18973" s="2" t="s">
        <v>18973</v>
      </c>
      <c r="B18973" s="2" t="str">
        <f>IFERROR(__xludf.DUMMYFUNCTION("GOOGLETRANSLATE(A18973, ""en"", ""mt"")"),"T. J. Ward")</f>
        <v>T. J. Ward</v>
      </c>
    </row>
    <row r="18974" ht="15.75" customHeight="1">
      <c r="A18974" s="2" t="s">
        <v>18974</v>
      </c>
      <c r="B18974" s="2" t="str">
        <f>IFERROR(__xludf.DUMMYFUNCTION("GOOGLETRANSLATE(A18974, ""en"", ""mt"")"),"Jekk xi ħadd qed jiġi mgħallem fil-post tar-residenza tiegħu, kif jissejjaħ?")</f>
        <v>Jekk xi ħadd qed jiġi mgħallem fil-post tar-residenza tiegħu, kif jissejjaħ?</v>
      </c>
    </row>
    <row r="18975" ht="15.75" customHeight="1">
      <c r="A18975" s="2" t="s">
        <v>18975</v>
      </c>
      <c r="B18975" s="2" t="str">
        <f>IFERROR(__xludf.DUMMYFUNCTION("GOOGLETRANSLATE(A18975, ""en"", ""mt"")"),"Han Ċiniż, Khitans, Jurchens, Mongoli, u Buddisti Tibetani.")</f>
        <v>Han Ċiniż, Khitans, Jurchens, Mongoli, u Buddisti Tibetani.</v>
      </c>
    </row>
    <row r="18976" ht="15.75" customHeight="1">
      <c r="A18976" s="2" t="s">
        <v>18976</v>
      </c>
      <c r="B18976" s="2" t="str">
        <f>IFERROR(__xludf.DUMMYFUNCTION("GOOGLETRANSLATE(A18976, ""en"", ""mt"")"),"X'kienet il-fokus tal-istaġun 20 ta 'Doctor Who?")</f>
        <v>X'kienet il-fokus tal-istaġun 20 ta 'Doctor Who?</v>
      </c>
    </row>
    <row r="18977" ht="15.75" customHeight="1">
      <c r="A18977" s="2" t="s">
        <v>18977</v>
      </c>
      <c r="B18977" s="2" t="str">
        <f>IFERROR(__xludf.DUMMYFUNCTION("GOOGLETRANSLATE(A18977, ""en"", ""mt"")"),"Predikaturi")</f>
        <v>Predikaturi</v>
      </c>
    </row>
    <row r="18978" ht="15.75" customHeight="1">
      <c r="A18978" s="2" t="s">
        <v>18978</v>
      </c>
      <c r="B18978" s="2" t="str">
        <f>IFERROR(__xludf.DUMMYFUNCTION("GOOGLETRANSLATE(A18978, ""en"", ""mt"")"),"weraq")</f>
        <v>weraq</v>
      </c>
    </row>
    <row r="18979" ht="15.75" customHeight="1">
      <c r="A18979" s="2" t="s">
        <v>18979</v>
      </c>
      <c r="B18979" s="2" t="str">
        <f>IFERROR(__xludf.DUMMYFUNCTION("GOOGLETRANSLATE(A18979, ""en"", ""mt"")"),"jgħix bil-fidi")</f>
        <v>jgħix bil-fidi</v>
      </c>
    </row>
    <row r="18980" ht="15.75" customHeight="1">
      <c r="A18980" s="2" t="s">
        <v>18980</v>
      </c>
      <c r="B18980" s="2" t="str">
        <f>IFERROR(__xludf.DUMMYFUNCTION("GOOGLETRANSLATE(A18980, ""en"", ""mt"")"),"David Bevington")</f>
        <v>David Bevington</v>
      </c>
    </row>
    <row r="18981" ht="15.75" customHeight="1">
      <c r="A18981" s="2" t="s">
        <v>18981</v>
      </c>
      <c r="B18981" s="2" t="str">
        <f>IFERROR(__xludf.DUMMYFUNCTION("GOOGLETRANSLATE(A18981, ""en"", ""mt"")"),"X'jiġri madwar l-Ewropa Nofsani fl-Aħħar Età tas-Silġ?")</f>
        <v>X'jiġri madwar l-Ewropa Nofsani fl-Aħħar Età tas-Silġ?</v>
      </c>
    </row>
    <row r="18982" ht="15.75" customHeight="1">
      <c r="A18982" s="2" t="s">
        <v>18982</v>
      </c>
      <c r="B18982" s="2" t="str">
        <f>IFERROR(__xludf.DUMMYFUNCTION("GOOGLETRANSLATE(A18982, ""en"", ""mt"")"),"2,290 m3 / s (81,000 cu ft / s")</f>
        <v>2,290 m3 / s (81,000 cu ft / s</v>
      </c>
    </row>
    <row r="18983" ht="15.75" customHeight="1">
      <c r="A18983" s="2" t="s">
        <v>18983</v>
      </c>
      <c r="B18983" s="2" t="str">
        <f>IFERROR(__xludf.DUMMYFUNCTION("GOOGLETRANSLATE(A18983, ""en"", ""mt"")"),"Xi tfisser magna tat-turing fuq strixxa ta 'tejp?")</f>
        <v>Xi tfisser magna tat-turing fuq strixxa ta 'tejp?</v>
      </c>
    </row>
    <row r="18984" ht="15.75" customHeight="1">
      <c r="A18984" s="2" t="s">
        <v>18984</v>
      </c>
      <c r="B18984" s="2" t="str">
        <f>IFERROR(__xludf.DUMMYFUNCTION("GOOGLETRANSLATE(A18984, ""en"", ""mt"")"),"L-Afrika tal-Lvant Brittanika (kif kien ġeneralment magħruf il-protettorat) u l-Afrika tal-Lvant Ġermaniża")</f>
        <v>L-Afrika tal-Lvant Brittanika (kif kien ġeneralment magħruf il-protettorat) u l-Afrika tal-Lvant Ġermaniża</v>
      </c>
    </row>
    <row r="18985" ht="15.75" customHeight="1">
      <c r="A18985" s="2" t="s">
        <v>18985</v>
      </c>
      <c r="B18985" s="2" t="str">
        <f>IFERROR(__xludf.DUMMYFUNCTION("GOOGLETRANSLATE(A18985, ""en"", ""mt"")"),"X'kien isir test ta 'plugs-out biex jissimula fuq l-LC-34?")</f>
        <v>X'kien isir test ta 'plugs-out biex jissimula fuq l-LC-34?</v>
      </c>
    </row>
    <row r="18986" ht="15.75" customHeight="1">
      <c r="A18986" s="2" t="s">
        <v>18986</v>
      </c>
      <c r="B18986" s="2" t="str">
        <f>IFERROR(__xludf.DUMMYFUNCTION("GOOGLETRANSLATE(A18986, ""en"", ""mt"")"),"aċċettaw 5.3% tal-applikanti")</f>
        <v>aċċettaw 5.3% tal-applikanti</v>
      </c>
    </row>
    <row r="18987" ht="15.75" customHeight="1">
      <c r="A18987" s="2" t="s">
        <v>18987</v>
      </c>
      <c r="B18987" s="2" t="str">
        <f>IFERROR(__xludf.DUMMYFUNCTION("GOOGLETRANSLATE(A18987, ""en"", ""mt"")"),"244")</f>
        <v>244</v>
      </c>
    </row>
    <row r="18988" ht="15.75" customHeight="1">
      <c r="A18988" s="2" t="s">
        <v>18988</v>
      </c>
      <c r="B18988" s="2" t="str">
        <f>IFERROR(__xludf.DUMMYFUNCTION("GOOGLETRANSLATE(A18988, ""en"", ""mt"")"),"Liema serje dehru tobba mill-verżjoni riveduta ta 'Doctor Who?")</f>
        <v>Liema serje dehru tobba mill-verżjoni riveduta ta 'Doctor Who?</v>
      </c>
    </row>
    <row r="18989" ht="15.75" customHeight="1">
      <c r="A18989" s="2" t="s">
        <v>18989</v>
      </c>
      <c r="B18989" s="2" t="str">
        <f>IFERROR(__xludf.DUMMYFUNCTION("GOOGLETRANSLATE(A18989, ""en"", ""mt"")"),"Mill-mewt ta ’Augustus fl-14 ta’ wara sa wara s-70 ta ’wara, Ruma aċċettat bħala l-fruntiera Ġermanika tagħha l-fruntiera tal-ilma tar-Renu u tad-Danubju ta’ Fuq. Lil hinn minn dawn ix-xmajjar hija kellha biss il-pjanura fertili ta 'Frankfurt, faċċata tal"&amp;"-Fortizza tal-Fruntiera Rumana ta' Moguntiacum (Mainz), l-għoljiet tan-nofsinhar tal-foresta s-sewda u ftit irjus tal-pont imxerrdin. It-taqsima tat-tramuntana ta 'din il-fruntiera, fejn ir-Renu hija fonda u wiesgħa, baqgħet il-konfini Rumana sakemm waqa'"&amp;" l-imperu. Il-parti tan-Nofsinhar kienet differenti. Ir-Renu ta ’Fuq u d-Danubju ta’ Fuq jinqasmu faċilment. Il-fruntiera li huma jiffurmaw hija twila inkonvenjent, li tagħlaq feles akut ta 'territorju barrani bejn il-Baden modern u l-Württemberg. Il-popo"&amp;"lazzjonijiet Ġermaniċi ta 'dawn l-artijiet jidhru fi żminijiet Rumani li kienu skarsi, u s-suġġetti Rumani mill-Alsace-Lorraine moderna kienu injorati madwar ix-xmara lejn il-lvant.")</f>
        <v>Mill-mewt ta ’Augustus fl-14 ta’ wara sa wara s-70 ta ’wara, Ruma aċċettat bħala l-fruntiera Ġermanika tagħha l-fruntiera tal-ilma tar-Renu u tad-Danubju ta’ Fuq. Lil hinn minn dawn ix-xmajjar hija kellha biss il-pjanura fertili ta 'Frankfurt, faċċata tal-Fortizza tal-Fruntiera Rumana ta' Moguntiacum (Mainz), l-għoljiet tan-nofsinhar tal-foresta s-sewda u ftit irjus tal-pont imxerrdin. It-taqsima tat-tramuntana ta 'din il-fruntiera, fejn ir-Renu hija fonda u wiesgħa, baqgħet il-konfini Rumana sakemm waqa' l-imperu. Il-parti tan-Nofsinhar kienet differenti. Ir-Renu ta ’Fuq u d-Danubju ta’ Fuq jinqasmu faċilment. Il-fruntiera li huma jiffurmaw hija twila inkonvenjent, li tagħlaq feles akut ta 'territorju barrani bejn il-Baden modern u l-Württemberg. Il-popolazzjonijiet Ġermaniċi ta 'dawn l-artijiet jidhru fi żminijiet Rumani li kienu skarsi, u s-suġġetti Rumani mill-Alsace-Lorraine moderna kienu injorati madwar ix-xmara lejn il-lvant.</v>
      </c>
    </row>
    <row r="18990" ht="15.75" customHeight="1">
      <c r="A18990" s="2" t="s">
        <v>18990</v>
      </c>
      <c r="B18990" s="2" t="str">
        <f>IFERROR(__xludf.DUMMYFUNCTION("GOOGLETRANSLATE(A18990, ""en"", ""mt"")"),"Teorema ta 'Dirichlet")</f>
        <v>Teorema ta 'Dirichlet</v>
      </c>
    </row>
    <row r="18991" ht="15.75" customHeight="1">
      <c r="A18991" s="2" t="s">
        <v>18991</v>
      </c>
      <c r="B18991" s="2" t="str">
        <f>IFERROR(__xludf.DUMMYFUNCTION("GOOGLETRANSLATE(A18991, ""en"", ""mt"")"),"Prattiki ta 'kostruzzjoni residenzjali, teknoloġiji, u riżorsi għandhom jikkonformaw mar-regolamenti lokali tal-awtorità tal-bini u kodiċi ta' prattika. Materjali disponibbli faċilment fiż-żona ġeneralment jiddettaw il-materjali tal-kostruzzjoni użati (eż"&amp;". Briks kontra ġebla, kontra injam). L-ispiża tal-kostruzzjoni fuq bażi ta 'kull metru kwadru (jew għal kull pied kwadru) għad-djar tista' tvarja b'mod drammatiku fuq il-kundizzjonijiet tas-sit, regolamenti lokali, ekonomiji ta 'skala (djar iddisinjati ap"&amp;"posta ħafna drabi jiswew aktar biex jinbnew) u d-disponibbiltà ta' negozjanti tas-sengħa. Peress li l-kostruzzjoni residenzjali (kif ukoll it-tipi l-oħra kollha ta 'kostruzzjoni) tista' tiġġenera ħafna skart, hemm bżonn ta 'ppjanar bir-reqqa hawn.")</f>
        <v>Prattiki ta 'kostruzzjoni residenzjali, teknoloġiji, u riżorsi għandhom jikkonformaw mar-regolamenti lokali tal-awtorità tal-bini u kodiċi ta' prattika. Materjali disponibbli faċilment fiż-żona ġeneralment jiddettaw il-materjali tal-kostruzzjoni użati (eż. Briks kontra ġebla, kontra injam). L-ispiża tal-kostruzzjoni fuq bażi ta 'kull metru kwadru (jew għal kull pied kwadru) għad-djar tista' tvarja b'mod drammatiku fuq il-kundizzjonijiet tas-sit, regolamenti lokali, ekonomiji ta 'skala (djar iddisinjati apposta ħafna drabi jiswew aktar biex jinbnew) u d-disponibbiltà ta' negozjanti tas-sengħa. Peress li l-kostruzzjoni residenzjali (kif ukoll it-tipi l-oħra kollha ta 'kostruzzjoni) tista' tiġġenera ħafna skart, hemm bżonn ta 'ppjanar bir-reqqa hawn.</v>
      </c>
    </row>
    <row r="18992" ht="15.75" customHeight="1">
      <c r="A18992" s="2" t="s">
        <v>18992</v>
      </c>
      <c r="B18992" s="2" t="str">
        <f>IFERROR(__xludf.DUMMYFUNCTION("GOOGLETRANSLATE(A18992, ""en"", ""mt"")"),"marea")</f>
        <v>marea</v>
      </c>
    </row>
    <row r="18993" ht="15.75" customHeight="1">
      <c r="A18993" s="2" t="s">
        <v>18993</v>
      </c>
      <c r="B18993" s="2" t="str">
        <f>IFERROR(__xludf.DUMMYFUNCTION("GOOGLETRANSLATE(A18993, ""en"", ""mt"")"),"Fejn żaret Kenyatta fuq stedina tal-president?")</f>
        <v>Fejn żaret Kenyatta fuq stedina tal-president?</v>
      </c>
    </row>
    <row r="18994" ht="15.75" customHeight="1">
      <c r="A18994" s="2" t="s">
        <v>18994</v>
      </c>
      <c r="B18994" s="2" t="str">
        <f>IFERROR(__xludf.DUMMYFUNCTION("GOOGLETRANSLATE(A18994, ""en"", ""mt"")"),"Is-sistema immunitarja tipproteġi l-organiżmi minn infezzjoni b'differenza b'saffi ta 'speċifiċità dejjem tiżdied. F'termini sempliċi, l-ostakli fiżiċi jipprevjenu patoġeni bħal batterji u viruses milli jidħlu fl-organiżmu. Jekk patoġen jikser dawn l-osta"&amp;"kli, is-sistema immuni innata tipprovdi rispons immedjat, iżda mhux speċifiku. Sistemi immuni innati jinstabu fil-pjanti u l-annimali kollha. Jekk il-patoġeni jevadu b'suċċess ir-rispons intrinsiku, il-vertebrati għandhom it-tieni saff ta 'protezzjoni, is"&amp;"-sistema immunitarja adattiva, li hija attivata mir-rispons intrinsiku. Hawnhekk, is-sistema immunitarja tadatta r-rispons tagħha waqt infezzjoni biex ittejjeb ir-rikonoxximent tagħha tal-patoġen. Dan ir-rispons imtejjeb imbagħad jinżamm wara li l-patoġen"&amp;" ikun ġie eliminat, fil-forma ta 'memorja immunoloġika, u jippermetti li s-sistema immuni adatta hija immuntar aktar malajr u aktar b'saħħithom kull darba li jiltaqa' ma 'dan il-patoġen.")</f>
        <v>Is-sistema immunitarja tipproteġi l-organiżmi minn infezzjoni b'differenza b'saffi ta 'speċifiċità dejjem tiżdied. F'termini sempliċi, l-ostakli fiżiċi jipprevjenu patoġeni bħal batterji u viruses milli jidħlu fl-organiżmu. Jekk patoġen jikser dawn l-ostakli, is-sistema immuni innata tipprovdi rispons immedjat, iżda mhux speċifiku. Sistemi immuni innati jinstabu fil-pjanti u l-annimali kollha. Jekk il-patoġeni jevadu b'suċċess ir-rispons intrinsiku, il-vertebrati għandhom it-tieni saff ta 'protezzjoni, is-sistema immunitarja adattiva, li hija attivata mir-rispons intrinsiku. Hawnhekk, is-sistema immunitarja tadatta r-rispons tagħha waqt infezzjoni biex ittejjeb ir-rikonoxximent tagħha tal-patoġen. Dan ir-rispons imtejjeb imbagħad jinżamm wara li l-patoġen ikun ġie eliminat, fil-forma ta 'memorja immunoloġika, u jippermetti li s-sistema immuni adatta hija immuntar aktar malajr u aktar b'saħħithom kull darba li jiltaqa' ma 'dan il-patoġen.</v>
      </c>
    </row>
    <row r="18995" ht="15.75" customHeight="1">
      <c r="A18995" s="2" t="s">
        <v>18995</v>
      </c>
      <c r="B18995" s="2" t="str">
        <f>IFERROR(__xludf.DUMMYFUNCTION("GOOGLETRANSLATE(A18995, ""en"", ""mt"")"),"Ir-Rebbiegħa tal-1329")</f>
        <v>Ir-Rebbiegħa tal-1329</v>
      </c>
    </row>
    <row r="18996" ht="15.75" customHeight="1">
      <c r="A18996" s="2" t="s">
        <v>18996</v>
      </c>
      <c r="B18996" s="2" t="str">
        <f>IFERROR(__xludf.DUMMYFUNCTION("GOOGLETRANSLATE(A18996, ""en"", ""mt"")"),"John Wesley oriġinarjament sejjaħ din l-esperjenza tat-twelid il-ġdid.")</f>
        <v>John Wesley oriġinarjament sejjaħ din l-esperjenza tat-twelid il-ġdid.</v>
      </c>
    </row>
    <row r="18997" ht="15.75" customHeight="1">
      <c r="A18997" s="2" t="s">
        <v>18997</v>
      </c>
      <c r="B18997" s="2" t="str">
        <f>IFERROR(__xludf.DUMMYFUNCTION("GOOGLETRANSLATE(A18997, ""en"", ""mt"")"),"Deżert Mojave")</f>
        <v>Deżert Mojave</v>
      </c>
    </row>
    <row r="18998" ht="15.75" customHeight="1">
      <c r="A18998" s="2" t="s">
        <v>18998</v>
      </c>
      <c r="B18998" s="2" t="str">
        <f>IFERROR(__xludf.DUMMYFUNCTION("GOOGLETRANSLATE(A18998, ""en"", ""mt"")"),"Minbarra l-iskejjel, fejn inkella l-awtorità bbażata fuq il-popolazzjoni hija effettiva?")</f>
        <v>Minbarra l-iskejjel, fejn inkella l-awtorità bbażata fuq il-popolazzjoni hija effettiva?</v>
      </c>
    </row>
    <row r="18999" ht="15.75" customHeight="1">
      <c r="A18999" s="2" t="s">
        <v>18999</v>
      </c>
      <c r="B18999" s="2" t="str">
        <f>IFERROR(__xludf.DUMMYFUNCTION("GOOGLETRANSLATE(A18999, ""en"", ""mt"")"),"divertiment u divertiment")</f>
        <v>divertiment u divertiment</v>
      </c>
    </row>
    <row r="19000" ht="15.75" customHeight="1">
      <c r="A19000" s="2" t="s">
        <v>19000</v>
      </c>
      <c r="B19000" s="2" t="str">
        <f>IFERROR(__xludf.DUMMYFUNCTION("GOOGLETRANSLATE(A19000, ""en"", ""mt"")"),"42,000")</f>
        <v>42,000</v>
      </c>
    </row>
    <row r="19001" ht="15.75" customHeight="1">
      <c r="A19001" s="2" t="s">
        <v>19001</v>
      </c>
      <c r="B19001" s="2" t="str">
        <f>IFERROR(__xludf.DUMMYFUNCTION("GOOGLETRANSLATE(A19001, ""en"", ""mt"")"),"John Bassett")</f>
        <v>John Bassett</v>
      </c>
    </row>
    <row r="19002" ht="15.75" customHeight="1">
      <c r="A19002" s="2" t="s">
        <v>19002</v>
      </c>
      <c r="B19002" s="2" t="str">
        <f>IFERROR(__xludf.DUMMYFUNCTION("GOOGLETRANSLATE(A19002, ""en"", ""mt"")"),"Sistema ta 'Dawl Ġdida")</f>
        <v>Sistema ta 'Dawl Ġdida</v>
      </c>
    </row>
    <row r="19003" ht="15.75" customHeight="1">
      <c r="A19003" s="2" t="s">
        <v>19003</v>
      </c>
      <c r="B19003" s="2" t="str">
        <f>IFERROR(__xludf.DUMMYFUNCTION("GOOGLETRANSLATE(A19003, ""en"", ""mt"")"),"Kemm hemm speċi ta 'siġar fil-foresta tropikali?")</f>
        <v>Kemm hemm speċi ta 'siġar fil-foresta tropikali?</v>
      </c>
    </row>
    <row r="19004" ht="15.75" customHeight="1">
      <c r="A19004" s="2" t="s">
        <v>19004</v>
      </c>
      <c r="B19004" s="2" t="str">
        <f>IFERROR(__xludf.DUMMYFUNCTION("GOOGLETRANSLATE(A19004, ""en"", ""mt"")"),"Fejn ir-rapporti tal-IPCC jiksbu l-informazzjoni tagħhom?")</f>
        <v>Fejn ir-rapporti tal-IPCC jiksbu l-informazzjoni tagħhom?</v>
      </c>
    </row>
    <row r="19005" ht="15.75" customHeight="1">
      <c r="A19005" s="2" t="s">
        <v>19005</v>
      </c>
      <c r="B19005" s="2" t="str">
        <f>IFERROR(__xludf.DUMMYFUNCTION("GOOGLETRANSLATE(A19005, ""en"", ""mt"")"),"Il-flussi iżgħar jintużaw għal xiex?")</f>
        <v>Il-flussi iżgħar jintużaw għal xiex?</v>
      </c>
    </row>
    <row r="19006" ht="15.75" customHeight="1">
      <c r="A19006" s="2" t="s">
        <v>19006</v>
      </c>
      <c r="B19006" s="2" t="str">
        <f>IFERROR(__xludf.DUMMYFUNCTION("GOOGLETRANSLATE(A19006, ""en"", ""mt"")"),"bi ħlas għal kull unità ta 'informazzjoni trażmessa, bħal karattri, pakketti, jew messaġġi")</f>
        <v>bi ħlas għal kull unità ta 'informazzjoni trażmessa, bħal karattri, pakketti, jew messaġġi</v>
      </c>
    </row>
    <row r="19007" ht="15.75" customHeight="1">
      <c r="A19007" s="2" t="s">
        <v>19007</v>
      </c>
      <c r="B19007" s="2" t="str">
        <f>IFERROR(__xludf.DUMMYFUNCTION("GOOGLETRANSLATE(A19007, ""en"", ""mt"")"),"Eleutherian")</f>
        <v>Eleutherian</v>
      </c>
    </row>
    <row r="19008" ht="15.75" customHeight="1">
      <c r="A19008" s="2" t="s">
        <v>19008</v>
      </c>
      <c r="B19008" s="2" t="str">
        <f>IFERROR(__xludf.DUMMYFUNCTION("GOOGLETRANSLATE(A19008, ""en"", ""mt"")"),"bejn wieħed u ieħor 500,000")</f>
        <v>bejn wieħed u ieħor 500,000</v>
      </c>
    </row>
    <row r="19009" ht="15.75" customHeight="1">
      <c r="A19009" s="2" t="s">
        <v>19009</v>
      </c>
      <c r="B19009" s="2" t="str">
        <f>IFERROR(__xludf.DUMMYFUNCTION("GOOGLETRANSLATE(A19009, ""en"", ""mt"")"),"privat")</f>
        <v>privat</v>
      </c>
    </row>
    <row r="19010" ht="15.75" customHeight="1">
      <c r="A19010" s="2" t="s">
        <v>19010</v>
      </c>
      <c r="B19010" s="2" t="str">
        <f>IFERROR(__xludf.DUMMYFUNCTION("GOOGLETRANSLATE(A19010, ""en"", ""mt"")"),"Fl-1273")</f>
        <v>Fl-1273</v>
      </c>
    </row>
    <row r="19011" ht="15.75" customHeight="1">
      <c r="A19011" s="2" t="s">
        <v>19011</v>
      </c>
      <c r="B19011" s="2" t="str">
        <f>IFERROR(__xludf.DUMMYFUNCTION("GOOGLETRANSLATE(A19011, ""en"", ""mt"")"),"X'konsegwenza ta 'l-istabbiliment tal-Parlament Skoċċiż japplika għall-membri parlamentari Skoċċiżi li joqogħdu fil-House of Commons tar-Renju Unit?")</f>
        <v>X'konsegwenza ta 'l-istabbiliment tal-Parlament Skoċċiż japplika għall-membri parlamentari Skoċċiżi li joqogħdu fil-House of Commons tar-Renju Unit?</v>
      </c>
    </row>
    <row r="19012" ht="15.75" customHeight="1">
      <c r="A19012" s="2" t="s">
        <v>19012</v>
      </c>
      <c r="B19012" s="2" t="str">
        <f>IFERROR(__xludf.DUMMYFUNCTION("GOOGLETRANSLATE(A19012, ""en"", ""mt"")"),"fuq 3 ijiem")</f>
        <v>fuq 3 ijiem</v>
      </c>
    </row>
    <row r="19013" ht="15.75" customHeight="1">
      <c r="A19013" s="2" t="s">
        <v>19013</v>
      </c>
      <c r="B19013" s="2" t="str">
        <f>IFERROR(__xludf.DUMMYFUNCTION("GOOGLETRANSLATE(A19013, ""en"", ""mt"")"),"Interazzjoni Fundamentali tal-Elettroweak.")</f>
        <v>Interazzjoni Fundamentali tal-Elettroweak.</v>
      </c>
    </row>
    <row r="19014" ht="15.75" customHeight="1">
      <c r="A19014" s="2" t="s">
        <v>19014</v>
      </c>
      <c r="B19014" s="2" t="str">
        <f>IFERROR(__xludf.DUMMYFUNCTION("GOOGLETRANSLATE(A19014, ""en"", ""mt"")"),"Ir-rispons ewlieni tas-sistema immuni għat-tumuri huwa li jeqred iċ-ċelloli anormali bl-użu ta 'ċelloli T qattiel, xi kultant bl-għajnuna ta' ċelloli T helper. L-antiġeni tat-tumur huma ppreżentati fuq molekuli tal-klassi I MHC b'mod simili għal antiġeni "&amp;"virali. Dan jippermetti liċ-ċelloli T qattiel jirrikonoxxu ċ-ċellula tat-tumur bħala anormali. Iċ-ċelloli NK joqtlu wkoll ċelloli tat-tumur b'mod simili, speċjalment jekk iċ-ċelloli tat-tumur għandhom inqas molekuli tal-klassi I MHC fuq il-wiċċ tagħhom mi"&amp;"n-normal; Dan huwa fenomenu komuni bit-tumuri. Kultant l-antikorpi huma ġġenerati kontra ċelloli tat-tumur li jippermettu l-qerda tagħhom mis-sistema ta 'komplement.")</f>
        <v>Ir-rispons ewlieni tas-sistema immuni għat-tumuri huwa li jeqred iċ-ċelloli anormali bl-użu ta 'ċelloli T qattiel, xi kultant bl-għajnuna ta' ċelloli T helper. L-antiġeni tat-tumur huma ppreżentati fuq molekuli tal-klassi I MHC b'mod simili għal antiġeni virali. Dan jippermetti liċ-ċelloli T qattiel jirrikonoxxu ċ-ċellula tat-tumur bħala anormali. Iċ-ċelloli NK joqtlu wkoll ċelloli tat-tumur b'mod simili, speċjalment jekk iċ-ċelloli tat-tumur għandhom inqas molekuli tal-klassi I MHC fuq il-wiċċ tagħhom min-normal; Dan huwa fenomenu komuni bit-tumuri. Kultant l-antikorpi huma ġġenerati kontra ċelloli tat-tumur li jippermettu l-qerda tagħhom mis-sistema ta 'komplement.</v>
      </c>
    </row>
    <row r="19015" ht="15.75" customHeight="1">
      <c r="A19015" s="2" t="s">
        <v>19015</v>
      </c>
      <c r="B19015" s="2" t="str">
        <f>IFERROR(__xludf.DUMMYFUNCTION("GOOGLETRANSLATE(A19015, ""en"", ""mt"")"),"Xi tfisser isobaric?")</f>
        <v>Xi tfisser isobaric?</v>
      </c>
    </row>
    <row r="19016" ht="15.75" customHeight="1">
      <c r="A19016" s="2" t="s">
        <v>19016</v>
      </c>
      <c r="B19016" s="2" t="str">
        <f>IFERROR(__xludf.DUMMYFUNCTION("GOOGLETRANSLATE(A19016, ""en"", ""mt"")"),"Qabel is-Super Bowl 50, x'kienet l-aħħar Super Bowl f'Kalifornja?")</f>
        <v>Qabel is-Super Bowl 50, x'kienet l-aħħar Super Bowl f'Kalifornja?</v>
      </c>
    </row>
    <row r="19017" ht="15.75" customHeight="1">
      <c r="A19017" s="2" t="s">
        <v>19017</v>
      </c>
      <c r="B19017" s="2" t="str">
        <f>IFERROR(__xludf.DUMMYFUNCTION("GOOGLETRANSLATE(A19017, ""en"", ""mt"")"),"L-annimali l-oħra kollha")</f>
        <v>L-annimali l-oħra kollha</v>
      </c>
    </row>
    <row r="19018" ht="15.75" customHeight="1">
      <c r="A19018" s="2" t="s">
        <v>19018</v>
      </c>
      <c r="B19018" s="2" t="str">
        <f>IFERROR(__xludf.DUMMYFUNCTION("GOOGLETRANSLATE(A19018, ""en"", ""mt"")"),"F'Marzu 1896, wara li sema 'l-iskoperta ta' Wilhelm Röntgen ta 'x-ray u immaġni tar-raġġi X (radjografija), Tesla kompla jagħmel l-esperimenti tiegħu stess fl-immaġini tar-raġġi X, u żviluppa tubu tal-vakwu terminali b'enerġija għolja tad-disinn tiegħu st"&amp;"ess li kellu L-ebda elettrodu fil-mira u dak ħadem mill-ħruġ tal-kolja Tesla (it-terminu modern għall-fenomenu prodott minn dan l-apparat huwa Bremsstrahlung jew radjazzjoni tal-ibbrejkjar). Fir-riċerka tiegħu, Tesla fasslet diversi setups sperimentali bi"&amp;"ex tipproduċi x-rays. Tesla qalet li, biċ-ċirkwiti tiegħu, l- ""strument se ... jippermetti lil wieħed jiġġenera raġġi roentgen ta 'poter ferm akbar milli jinkiseb b'apparat ordinarju.""")</f>
        <v>F'Marzu 1896, wara li sema 'l-iskoperta ta' Wilhelm Röntgen ta 'x-ray u immaġni tar-raġġi X (radjografija), Tesla kompla jagħmel l-esperimenti tiegħu stess fl-immaġini tar-raġġi X, u żviluppa tubu tal-vakwu terminali b'enerġija għolja tad-disinn tiegħu stess li kellu L-ebda elettrodu fil-mira u dak ħadem mill-ħruġ tal-kolja Tesla (it-terminu modern għall-fenomenu prodott minn dan l-apparat huwa Bremsstrahlung jew radjazzjoni tal-ibbrejkjar). Fir-riċerka tiegħu, Tesla fasslet diversi setups sperimentali biex tipproduċi x-rays. Tesla qalet li, biċ-ċirkwiti tiegħu, l- "strument se ... jippermetti lil wieħed jiġġenera raġġi roentgen ta 'poter ferm akbar milli jinkiseb b'apparat ordinarju."</v>
      </c>
    </row>
    <row r="19019" ht="15.75" customHeight="1">
      <c r="A19019" s="2" t="s">
        <v>19019</v>
      </c>
      <c r="B19019" s="2" t="str">
        <f>IFERROR(__xludf.DUMMYFUNCTION("GOOGLETRANSLATE(A19019, ""en"", ""mt"")"),"Kemm se jiddedika l-kumitat ospitanti għall-karitajiet lokali?")</f>
        <v>Kemm se jiddedika l-kumitat ospitanti għall-karitajiet lokali?</v>
      </c>
    </row>
    <row r="19020" ht="15.75" customHeight="1">
      <c r="A19020" s="2" t="s">
        <v>19020</v>
      </c>
      <c r="B19020" s="2" t="str">
        <f>IFERROR(__xludf.DUMMYFUNCTION("GOOGLETRANSLATE(A19020, ""en"", ""mt"")"),"X'inhu wieħed mill-ikbar kumplessi tax-xiri taċ-ċentru tal-belt fir-Renju Unit?")</f>
        <v>X'inhu wieħed mill-ikbar kumplessi tax-xiri taċ-ċentru tal-belt fir-Renju Unit?</v>
      </c>
    </row>
    <row r="19021" ht="15.75" customHeight="1">
      <c r="A19021" s="2" t="s">
        <v>19021</v>
      </c>
      <c r="B19021" s="2" t="str">
        <f>IFERROR(__xludf.DUMMYFUNCTION("GOOGLETRANSLATE(A19021, ""en"", ""mt"")"),"X'għandhom jikkombinaw ftsz1 u ftsz2?")</f>
        <v>X'għandhom jikkombinaw ftsz1 u ftsz2?</v>
      </c>
    </row>
    <row r="19022" ht="15.75" customHeight="1">
      <c r="A19022" s="2" t="s">
        <v>19022</v>
      </c>
      <c r="B19022" s="2" t="str">
        <f>IFERROR(__xludf.DUMMYFUNCTION("GOOGLETRANSLATE(A19022, ""en"", ""mt"")"),"L-Orjentaliżmu jirreferi għal kif il-Punent żviluppa xiex mill-Lvant?")</f>
        <v>L-Orjentaliżmu jirreferi għal kif il-Punent żviluppa xiex mill-Lvant?</v>
      </c>
    </row>
    <row r="19023" ht="15.75" customHeight="1">
      <c r="A19023" s="2" t="s">
        <v>19023</v>
      </c>
      <c r="B19023" s="2" t="str">
        <f>IFERROR(__xludf.DUMMYFUNCTION("GOOGLETRANSLATE(A19023, ""en"", ""mt"")"),"Flashs ta 'dawl blinding")</f>
        <v>Flashs ta 'dawl blinding</v>
      </c>
    </row>
    <row r="19024" ht="15.75" customHeight="1">
      <c r="A19024" s="2" t="s">
        <v>19024</v>
      </c>
      <c r="B19024" s="2" t="str">
        <f>IFERROR(__xludf.DUMMYFUNCTION("GOOGLETRANSLATE(A19024, ""en"", ""mt"")"),"Meta ġiet proposta l-ipoteżi ta 'Riemann?")</f>
        <v>Meta ġiet proposta l-ipoteżi ta 'Riemann?</v>
      </c>
    </row>
    <row r="19025" ht="15.75" customHeight="1">
      <c r="A19025" s="2" t="s">
        <v>19025</v>
      </c>
      <c r="B19025" s="2" t="str">
        <f>IFERROR(__xludf.DUMMYFUNCTION("GOOGLETRANSLATE(A19025, ""en"", ""mt"")"),"X'kienet ir-raġuni li l-Qorti Kostituzzjonali Taljana tat li rriżultat fis-Sur Costa li jitlef it-talba tiegħu kontra Enel?")</f>
        <v>X'kienet ir-raġuni li l-Qorti Kostituzzjonali Taljana tat li rriżultat fis-Sur Costa li jitlef it-talba tiegħu kontra Enel?</v>
      </c>
    </row>
    <row r="19026" ht="15.75" customHeight="1">
      <c r="A19026" s="2" t="s">
        <v>19026</v>
      </c>
      <c r="B19026" s="2" t="str">
        <f>IFERROR(__xludf.DUMMYFUNCTION("GOOGLETRANSLATE(A19026, ""en"", ""mt"")"),"Il-kolonjaliżmu spiss ifisser pajjiż li jagħmel?")</f>
        <v>Il-kolonjaliżmu spiss ifisser pajjiż li jagħmel?</v>
      </c>
    </row>
    <row r="19027" ht="15.75" customHeight="1">
      <c r="A19027" s="2" t="s">
        <v>19027</v>
      </c>
      <c r="B19027" s="2" t="str">
        <f>IFERROR(__xludf.DUMMYFUNCTION("GOOGLETRANSLATE(A19027, ""en"", ""mt"")"),"wara kolloblasti")</f>
        <v>wara kolloblasti</v>
      </c>
    </row>
    <row r="19028" ht="15.75" customHeight="1">
      <c r="A19028" s="2" t="s">
        <v>19028</v>
      </c>
      <c r="B19028" s="2" t="str">
        <f>IFERROR(__xludf.DUMMYFUNCTION("GOOGLETRANSLATE(A19028, ""en"", ""mt"")"),"identità")</f>
        <v>identità</v>
      </c>
    </row>
    <row r="19029" ht="15.75" customHeight="1">
      <c r="A19029" s="2" t="s">
        <v>19029</v>
      </c>
      <c r="B19029" s="2" t="str">
        <f>IFERROR(__xludf.DUMMYFUNCTION("GOOGLETRANSLATE(A19029, ""en"", ""mt"")"),"jissimula l-countdown ta 'tnedija")</f>
        <v>jissimula l-countdown ta 'tnedija</v>
      </c>
    </row>
    <row r="19030" ht="15.75" customHeight="1">
      <c r="A19030" s="2" t="s">
        <v>19030</v>
      </c>
      <c r="B19030" s="2" t="str">
        <f>IFERROR(__xludf.DUMMYFUNCTION("GOOGLETRANSLATE(A19030, ""en"", ""mt"")"),"415,000")</f>
        <v>415,000</v>
      </c>
    </row>
    <row r="19031" ht="15.75" customHeight="1">
      <c r="A19031" s="2" t="s">
        <v>19031</v>
      </c>
      <c r="B19031" s="2" t="str">
        <f>IFERROR(__xludf.DUMMYFUNCTION("GOOGLETRANSLATE(A19031, ""en"", ""mt"")"),"F'liema sena r-Royal College of Art kiseb indipendenza sħiħa mill-V &amp; A?")</f>
        <v>F'liema sena r-Royal College of Art kiseb indipendenza sħiħa mill-V &amp; A?</v>
      </c>
    </row>
    <row r="19032" ht="15.75" customHeight="1">
      <c r="A19032" s="2" t="s">
        <v>19032</v>
      </c>
      <c r="B19032" s="2" t="str">
        <f>IFERROR(__xludf.DUMMYFUNCTION("GOOGLETRANSLATE(A19032, ""en"", ""mt"")"),"Begter")</f>
        <v>Begter</v>
      </c>
    </row>
    <row r="19033" ht="15.75" customHeight="1">
      <c r="A19033" s="2" t="s">
        <v>19033</v>
      </c>
      <c r="B19033" s="2" t="str">
        <f>IFERROR(__xludf.DUMMYFUNCTION("GOOGLETRANSLATE(A19033, ""en"", ""mt"")"),"Khentii aimag")</f>
        <v>Khentii aimag</v>
      </c>
    </row>
    <row r="19034" ht="15.75" customHeight="1">
      <c r="A19034" s="2" t="s">
        <v>19034</v>
      </c>
      <c r="B19034" s="2" t="str">
        <f>IFERROR(__xludf.DUMMYFUNCTION("GOOGLETRANSLATE(A19034, ""en"", ""mt"")"),"Kemm huwa twil terminu wieħed għal president elett tas-CJEU?")</f>
        <v>Kemm huwa twil terminu wieħed għal president elett tas-CJEU?</v>
      </c>
    </row>
    <row r="19035" ht="15.75" customHeight="1">
      <c r="A19035" s="2" t="s">
        <v>19035</v>
      </c>
      <c r="B19035" s="2" t="str">
        <f>IFERROR(__xludf.DUMMYFUNCTION("GOOGLETRANSLATE(A19035, ""en"", ""mt"")"),"Gosforth Park")</f>
        <v>Gosforth Park</v>
      </c>
    </row>
    <row r="19036" ht="15.75" customHeight="1">
      <c r="A19036" s="2" t="s">
        <v>19036</v>
      </c>
      <c r="B19036" s="2" t="str">
        <f>IFERROR(__xludf.DUMMYFUNCTION("GOOGLETRANSLATE(A19036, ""en"", ""mt"")"),"Kif infirxet il-mediċina Ċiniża?")</f>
        <v>Kif infirxet il-mediċina Ċiniża?</v>
      </c>
    </row>
    <row r="19037" ht="15.75" customHeight="1">
      <c r="A19037" s="2" t="s">
        <v>19037</v>
      </c>
      <c r="B19037" s="2" t="str">
        <f>IFERROR(__xludf.DUMMYFUNCTION("GOOGLETRANSLATE(A19037, ""en"", ""mt"")"),"Kemm nies għexu f'Varsavja fl-1939?")</f>
        <v>Kemm nies għexu f'Varsavja fl-1939?</v>
      </c>
    </row>
    <row r="19038" ht="15.75" customHeight="1">
      <c r="A19038" s="2" t="s">
        <v>19038</v>
      </c>
      <c r="B19038" s="2" t="str">
        <f>IFERROR(__xludf.DUMMYFUNCTION("GOOGLETRANSLATE(A19038, ""en"", ""mt"")"),"Qabel is-Super Bowl 50, meta l-Panthers Carolina kienu jdumu hemm?")</f>
        <v>Qabel is-Super Bowl 50, meta l-Panthers Carolina kienu jdumu hemm?</v>
      </c>
    </row>
    <row r="19039" ht="15.75" customHeight="1">
      <c r="A19039" s="2" t="s">
        <v>19039</v>
      </c>
      <c r="B19039" s="2" t="str">
        <f>IFERROR(__xludf.DUMMYFUNCTION("GOOGLETRANSLATE(A19039, ""en"", ""mt"")"),"sabiex ikunu jistgħu jieħdu kenn wara xulxin jew jinfirxu")</f>
        <v>sabiex ikunu jistgħu jieħdu kenn wara xulxin jew jinfirxu</v>
      </c>
    </row>
    <row r="19040" ht="15.75" customHeight="1">
      <c r="A19040" s="2" t="s">
        <v>19040</v>
      </c>
      <c r="B19040" s="2" t="str">
        <f>IFERROR(__xludf.DUMMYFUNCTION("GOOGLETRANSLATE(A19040, ""en"", ""mt"")"),"13,000 bp")</f>
        <v>13,000 bp</v>
      </c>
    </row>
    <row r="19041" ht="15.75" customHeight="1">
      <c r="A19041" s="2" t="s">
        <v>19041</v>
      </c>
      <c r="B19041" s="2" t="str">
        <f>IFERROR(__xludf.DUMMYFUNCTION("GOOGLETRANSLATE(A19041, ""en"", ""mt"")"),"Is-simbolu għall-ossidu merkurju huwa?")</f>
        <v>Is-simbolu għall-ossidu merkurju huwa?</v>
      </c>
    </row>
    <row r="19042" ht="15.75" customHeight="1">
      <c r="A19042" s="2" t="s">
        <v>19042</v>
      </c>
      <c r="B19042" s="2" t="str">
        <f>IFERROR(__xludf.DUMMYFUNCTION("GOOGLETRANSLATE(A19042, ""en"", ""mt"")"),"23–16")</f>
        <v>23–16</v>
      </c>
    </row>
    <row r="19043" ht="15.75" customHeight="1">
      <c r="A19043" s="2" t="s">
        <v>19043</v>
      </c>
      <c r="B19043" s="2" t="str">
        <f>IFERROR(__xludf.DUMMYFUNCTION("GOOGLETRANSLATE(A19043, ""en"", ""mt"")"),"Ordni tal-Konferenza Annwali tal-Anzjani")</f>
        <v>Ordni tal-Konferenza Annwali tal-Anzjani</v>
      </c>
    </row>
    <row r="19044" ht="15.75" customHeight="1">
      <c r="A19044" s="2" t="s">
        <v>19044</v>
      </c>
      <c r="B19044" s="2" t="str">
        <f>IFERROR(__xludf.DUMMYFUNCTION("GOOGLETRANSLATE(A19044, ""en"", ""mt"")"),"Sultan Korean")</f>
        <v>Sultan Korean</v>
      </c>
    </row>
    <row r="19045" ht="15.75" customHeight="1">
      <c r="A19045" s="2" t="s">
        <v>19045</v>
      </c>
      <c r="B19045" s="2" t="str">
        <f>IFERROR(__xludf.DUMMYFUNCTION("GOOGLETRANSLATE(A19045, ""en"", ""mt"")"),"Diviżjoni ewlenija oħra fi ħdan l-Iżlamiżmu hija bejn dak li Graham E. Fuller iddeskriva bħala l-fundamentalist ""Gwardjani tat-Tradizzjoni"" (Salafis, bħal dawk fil-Moviment Wahhabi) u l- ""Vanguard tal-Bidla u r-Riforma Iżlamika"" ċċentrati madwar il-Fr"&amp;"atellanza Musulmana. Olivier Roy jargumenta li ""Pan-Iżlamiżmu Sunni għadda minn bidla notevoli fit-tieni nofs tas-seklu 20"" meta l-moviment tal-Fratellanza Musulmana u l-enfasi tiegħu fuq l-Iżlamizzazzjoni tal-Pan-Arabiżmu ġew eklipsati mill-moviment Sa"&amp;"lafi bl-enfasi tiegħu fuq ""Sharia minflok il-bini ta 'istituzzjonijiet Iżlamiċi, ""u ċ-ċaħda ta' l-Islam Shia. Wara r-Rebbiegħa Għarbija, Roy iddeskriva l-Iżlamiżmu bħala ""dejjem aktar interdipendenti"" bid-demokrazija f'ħafna mid-dinja Musulmana Għarbi"&amp;"ja, tali li ""la issa tista 'tibqa' ħajja mingħajr l-ieħor."" Filwaqt li l-kultura politika Iżlamista nnifisha tista 'ma tkunx demokratika, l-Iżlamisti għandhom bżonn elezzjonijiet demokratiċi biex iżommu l-leġittimità tagħhom. Fl-istess ħin, il-popolarit"&amp;"à tagħhom hija tali li l-ebda gvern ma jista 'jsejjaħ lilu nnifsu Demokratiku li jeskludi gruppi Iżlamisti mainstream.")</f>
        <v>Diviżjoni ewlenija oħra fi ħdan l-Iżlamiżmu hija bejn dak li Graham E. Fuller iddeskriva bħala l-fundamentalist "Gwardjani tat-Tradizzjoni" (Salafis, bħal dawk fil-Moviment Wahhabi) u l- "Vanguard tal-Bidla u r-Riforma Iżlamika" ċċentrati madwar il-Fratellanza Musulmana. Olivier Roy jargumenta li "Pan-Iżlamiżmu Sunni għadda minn bidla notevoli fit-tieni nofs tas-seklu 20" meta l-moviment tal-Fratellanza Musulmana u l-enfasi tiegħu fuq l-Iżlamizzazzjoni tal-Pan-Arabiżmu ġew eklipsati mill-moviment Salafi bl-enfasi tiegħu fuq "Sharia minflok il-bini ta 'istituzzjonijiet Iżlamiċi, "u ċ-ċaħda ta' l-Islam Shia. Wara r-Rebbiegħa Għarbija, Roy iddeskriva l-Iżlamiżmu bħala "dejjem aktar interdipendenti" bid-demokrazija f'ħafna mid-dinja Musulmana Għarbija, tali li "la issa tista 'tibqa' ħajja mingħajr l-ieħor." Filwaqt li l-kultura politika Iżlamista nnifisha tista 'ma tkunx demokratika, l-Iżlamisti għandhom bżonn elezzjonijiet demokratiċi biex iżommu l-leġittimità tagħhom. Fl-istess ħin, il-popolarità tagħhom hija tali li l-ebda gvern ma jista 'jsejjaħ lilu nnifsu Demokratiku li jeskludi gruppi Iżlamisti mainstream.</v>
      </c>
    </row>
    <row r="19046" ht="15.75" customHeight="1">
      <c r="A19046" s="2" t="s">
        <v>19046</v>
      </c>
      <c r="B19046" s="2" t="str">
        <f>IFERROR(__xludf.DUMMYFUNCTION("GOOGLETRANSLATE(A19046, ""en"", ""mt"")"),"Internet2 irtirat uffiċjalment Abilene u issa jirreferi għan-netwerk ġdid u ta 'kapaċità ogħla tiegħu bħala n-netwerk Internet2")</f>
        <v>Internet2 irtirat uffiċjalment Abilene u issa jirreferi għan-netwerk ġdid u ta 'kapaċità ogħla tiegħu bħala n-netwerk Internet2</v>
      </c>
    </row>
    <row r="19047" ht="15.75" customHeight="1">
      <c r="A19047" s="2" t="s">
        <v>19047</v>
      </c>
      <c r="B19047" s="2" t="str">
        <f>IFERROR(__xludf.DUMMYFUNCTION("GOOGLETRANSLATE(A19047, ""en"", ""mt"")"),"lagħab")</f>
        <v>lagħab</v>
      </c>
    </row>
    <row r="19048" ht="15.75" customHeight="1">
      <c r="A19048" s="2" t="s">
        <v>19048</v>
      </c>
      <c r="B19048" s="2" t="str">
        <f>IFERROR(__xludf.DUMMYFUNCTION("GOOGLETRANSLATE(A19048, ""en"", ""mt"")"),"Fi tmiem l-Ewwel Gwerra Dinjija, ir-Rhineland kien soġġett għat-Trattat ta ’Versailles. Dan iddikjara li se jkun okkupat mill-Alleati, sal-1935 u wara dan, kienet tkun żona demilitarizzata, bl-armata Ġermaniża tiġi pprojbita li tidħol. It-Trattat ta 'Vers"&amp;"ailles u din id-dispożizzjoni partikolari, b'mod ġenerali, ikkawżaw ħafna riżentiment fil-Ġermanja u ħafna drabi huma kkwotati bħala li jgħinu l-lok għall-poter ta' Adolf Hitler. L-Alleati ħallew ir-Rhineland, fl-1930 u l-Armata Ġermaniża reġgħet okkupath"&amp;"a fl-1936, li kienet popolari ħafna fil-Ġermanja. Għalkemm l-Alleati probabbilment setgħu żammew l-okkupazzjoni mill-ġdid, il-Gran Brittanja u Franza ma kinux inklinati li jagħmlu dan, karatteristika tal-politika tagħhom ta 'attestazzjoni għal Hitler.")</f>
        <v>Fi tmiem l-Ewwel Gwerra Dinjija, ir-Rhineland kien soġġett għat-Trattat ta ’Versailles. Dan iddikjara li se jkun okkupat mill-Alleati, sal-1935 u wara dan, kienet tkun żona demilitarizzata, bl-armata Ġermaniża tiġi pprojbita li tidħol. It-Trattat ta 'Versailles u din id-dispożizzjoni partikolari, b'mod ġenerali, ikkawżaw ħafna riżentiment fil-Ġermanja u ħafna drabi huma kkwotati bħala li jgħinu l-lok għall-poter ta' Adolf Hitler. L-Alleati ħallew ir-Rhineland, fl-1930 u l-Armata Ġermaniża reġgħet okkupatha fl-1936, li kienet popolari ħafna fil-Ġermanja. Għalkemm l-Alleati probabbilment setgħu żammew l-okkupazzjoni mill-ġdid, il-Gran Brittanja u Franza ma kinux inklinati li jagħmlu dan, karatteristika tal-politika tagħhom ta 'attestazzjoni għal Hitler.</v>
      </c>
    </row>
    <row r="19049" ht="15.75" customHeight="1">
      <c r="A19049" s="2" t="s">
        <v>19049</v>
      </c>
      <c r="B19049" s="2" t="str">
        <f>IFERROR(__xludf.DUMMYFUNCTION("GOOGLETRANSLATE(A19049, ""en"", ""mt"")"),"il-gruppi ta 'età kollha")</f>
        <v>il-gruppi ta 'età kollha</v>
      </c>
    </row>
    <row r="19050" ht="15.75" customHeight="1">
      <c r="A19050" s="2" t="s">
        <v>19050</v>
      </c>
      <c r="B19050" s="2" t="str">
        <f>IFERROR(__xludf.DUMMYFUNCTION("GOOGLETRANSLATE(A19050, ""en"", ""mt"")"),"X'inhuma l-perjodi ta 'tkabbir itwal assoċjati magħhom?")</f>
        <v>X'inhuma l-perjodi ta 'tkabbir itwal assoċjati magħhom?</v>
      </c>
    </row>
    <row r="19051" ht="15.75" customHeight="1">
      <c r="A19051" s="2" t="s">
        <v>19051</v>
      </c>
      <c r="B19051" s="2" t="str">
        <f>IFERROR(__xludf.DUMMYFUNCTION("GOOGLETRANSLATE(A19051, ""en"", ""mt"")"),"turbina")</f>
        <v>turbina</v>
      </c>
    </row>
    <row r="19052" ht="15.75" customHeight="1">
      <c r="A19052" s="2" t="s">
        <v>19052</v>
      </c>
      <c r="B19052" s="2" t="str">
        <f>IFERROR(__xludf.DUMMYFUNCTION("GOOGLETRANSLATE(A19052, ""en"", ""mt"")"),"Skond il-ftehim bejn Iroquois u l-Ingliżi, fejn kellha tinbena dar b'saħħitha?")</f>
        <v>Skond il-ftehim bejn Iroquois u l-Ingliżi, fejn kellha tinbena dar b'saħħitha?</v>
      </c>
    </row>
    <row r="19053" ht="15.75" customHeight="1">
      <c r="A19053" s="2" t="s">
        <v>19053</v>
      </c>
      <c r="B19053" s="2" t="str">
        <f>IFERROR(__xludf.DUMMYFUNCTION("GOOGLETRANSLATE(A19053, ""en"", ""mt"")"),"widien u depressjonijiet fl-art")</f>
        <v>widien u depressjonijiet fl-art</v>
      </c>
    </row>
    <row r="19054" ht="15.75" customHeight="1">
      <c r="A19054" s="2" t="s">
        <v>19054</v>
      </c>
      <c r="B19054" s="2" t="str">
        <f>IFERROR(__xludf.DUMMYFUNCTION("GOOGLETRANSLATE(A19054, ""en"", ""mt"")"),"Fejn miet Jebe?")</f>
        <v>Fejn miet Jebe?</v>
      </c>
    </row>
    <row r="19055" ht="15.75" customHeight="1">
      <c r="A19055" s="2" t="s">
        <v>19055</v>
      </c>
      <c r="B19055" s="2" t="str">
        <f>IFERROR(__xludf.DUMMYFUNCTION("GOOGLETRANSLATE(A19055, ""en"", ""mt"")"),"kanalizzata moderna")</f>
        <v>kanalizzata moderna</v>
      </c>
    </row>
    <row r="19056" ht="15.75" customHeight="1">
      <c r="A19056" s="2" t="s">
        <v>19056</v>
      </c>
      <c r="B19056" s="2" t="str">
        <f>IFERROR(__xludf.DUMMYFUNCTION("GOOGLETRANSLATE(A19056, ""en"", ""mt"")"),"Fejn tikkonċentra l-ġid maħluq ġdid?")</f>
        <v>Fejn tikkonċentra l-ġid maħluq ġdid?</v>
      </c>
    </row>
    <row r="19057" ht="15.75" customHeight="1">
      <c r="A19057" s="2" t="s">
        <v>19057</v>
      </c>
      <c r="B19057" s="2" t="str">
        <f>IFERROR(__xludf.DUMMYFUNCTION("GOOGLETRANSLATE(A19057, ""en"", ""mt"")"),"Genghis Khan's")</f>
        <v>Genghis Khan's</v>
      </c>
    </row>
    <row r="19058" ht="15.75" customHeight="1">
      <c r="A19058" s="2" t="s">
        <v>19058</v>
      </c>
      <c r="B19058" s="2" t="str">
        <f>IFERROR(__xludf.DUMMYFUNCTION("GOOGLETRANSLATE(A19058, ""en"", ""mt"")"),"miżata ta 'kull xahar")</f>
        <v>miżata ta 'kull xahar</v>
      </c>
    </row>
    <row r="19059" ht="15.75" customHeight="1">
      <c r="A19059" s="2" t="s">
        <v>19059</v>
      </c>
      <c r="B19059" s="2" t="str">
        <f>IFERROR(__xludf.DUMMYFUNCTION("GOOGLETRANSLATE(A19059, ""en"", ""mt"")"),"L-ambjentalisti huma mħassba dwar it-telf tal-bijodiversità li jirriżulta mill-qerda tal-foresta, u wkoll dwar ir-rilaxx tal-karbonju li jinsab fil-veġetazzjoni, li tista 'tħaffef it-tisħin globali. Il-foresti dejjem tħaddar tal-Amazonian jammontaw għal m"&amp;"adwar 10% tal-produttività primarja terrestri tad-dinja u 10% tal-ħwienet tal-karbonju fl-ekosistemi - ta 'l-ordni ta' 1.1 × 1011 tunnellata metrika ta 'karbonju. Il-foresti tal-Amażonja huma stmati li akkumulaw 0.62 ± 0.37 tunnellata ta 'karbonju għal ku"&amp;"ll ettaru fis-sena bejn l-1975 u l-1996.")</f>
        <v>L-ambjentalisti huma mħassba dwar it-telf tal-bijodiversità li jirriżulta mill-qerda tal-foresta, u wkoll dwar ir-rilaxx tal-karbonju li jinsab fil-veġetazzjoni, li tista 'tħaffef it-tisħin globali. Il-foresti dejjem tħaddar tal-Amazonian jammontaw għal madwar 10% tal-produttività primarja terrestri tad-dinja u 10% tal-ħwienet tal-karbonju fl-ekosistemi - ta 'l-ordni ta' 1.1 × 1011 tunnellata metrika ta 'karbonju. Il-foresti tal-Amażonja huma stmati li akkumulaw 0.62 ± 0.37 tunnellata ta 'karbonju għal kull ettaru fis-sena bejn l-1975 u l-1996.</v>
      </c>
    </row>
    <row r="19060" ht="15.75" customHeight="1">
      <c r="A19060" s="2" t="s">
        <v>19060</v>
      </c>
      <c r="B19060" s="2" t="str">
        <f>IFERROR(__xludf.DUMMYFUNCTION("GOOGLETRANSLATE(A19060, ""en"", ""mt"")"),"F'Ġunju tal-1978, Arledge ħoloq il-Newsmagazine 20/20; Wara l-ewwel episodju tiegħu rċieva reviżjonijiet negattivi bl-aħrax, il-programm - li ddebutta bħala serje tas-sajf, qabel ma sar programm tas-sena kollha fl-1979 - ġie mġedded immedjatament biex jin"&amp;"kludi taħlita ta 'stejjer u intervisti fil-fond, ma' Hugh Downs maħtur bħala tiegħu Ankra (aktar tard imqabbad flimkien mal-eks kollega tiegħu tal-lum Barbara Walters). Fi Frar 1979, ABC biegħ id-diviżjoni tar-reġistrazzjoni tagħha lil MCA Inc. għal $ 20 "&amp;"miljun; It-tikketta twaqqfet sal-5 ta 'Marzu ta' dik is-sena, u t-300 impjegat tagħha ġew stabbiliti (id-drittijiet għax-xogħlijiet ta 'ABC Records u t-tikketti l-oħra kollha tal-MCA minn dakinhar ġew akkwistati minn Universal Music Group).")</f>
        <v>F'Ġunju tal-1978, Arledge ħoloq il-Newsmagazine 20/20; Wara l-ewwel episodju tiegħu rċieva reviżjonijiet negattivi bl-aħrax, il-programm - li ddebutta bħala serje tas-sajf, qabel ma sar programm tas-sena kollha fl-1979 - ġie mġedded immedjatament biex jinkludi taħlita ta 'stejjer u intervisti fil-fond, ma' Hugh Downs maħtur bħala tiegħu Ankra (aktar tard imqabbad flimkien mal-eks kollega tiegħu tal-lum Barbara Walters). Fi Frar 1979, ABC biegħ id-diviżjoni tar-reġistrazzjoni tagħha lil MCA Inc. għal $ 20 miljun; It-tikketta twaqqfet sal-5 ta 'Marzu ta' dik is-sena, u t-300 impjegat tagħha ġew stabbiliti (id-drittijiet għax-xogħlijiet ta 'ABC Records u t-tikketti l-oħra kollha tal-MCA minn dakinhar ġew akkwistati minn Universal Music Group).</v>
      </c>
    </row>
    <row r="19061" ht="15.75" customHeight="1">
      <c r="A19061" s="2" t="s">
        <v>19061</v>
      </c>
      <c r="B19061" s="2" t="str">
        <f>IFERROR(__xludf.DUMMYFUNCTION("GOOGLETRANSLATE(A19061, ""en"", ""mt"")"),"Il-qrun ta 'Nimon")</f>
        <v>Il-qrun ta 'Nimon</v>
      </c>
    </row>
    <row r="19062" ht="15.75" customHeight="1">
      <c r="A19062" s="2" t="s">
        <v>19062</v>
      </c>
      <c r="B19062" s="2" t="str">
        <f>IFERROR(__xludf.DUMMYFUNCTION("GOOGLETRANSLATE(A19062, ""en"", ""mt"")"),"Fl-2011, liema programm sar l-uniku xandir ABC f'4: 3 definizzjoni standard?")</f>
        <v>Fl-2011, liema programm sar l-uniku xandir ABC f'4: 3 definizzjoni standard?</v>
      </c>
    </row>
    <row r="19063" ht="15.75" customHeight="1">
      <c r="A19063" s="2" t="s">
        <v>19063</v>
      </c>
      <c r="B19063" s="2" t="str">
        <f>IFERROR(__xludf.DUMMYFUNCTION("GOOGLETRANSLATE(A19063, ""en"", ""mt"")"),"Xorta rnexxielha tiffjorixxi")</f>
        <v>Xorta rnexxielha tiffjorixxi</v>
      </c>
    </row>
    <row r="19064" ht="15.75" customHeight="1">
      <c r="A19064" s="2" t="s">
        <v>19064</v>
      </c>
      <c r="B19064" s="2" t="str">
        <f>IFERROR(__xludf.DUMMYFUNCTION("GOOGLETRANSLATE(A19064, ""en"", ""mt"")"),"Wid [en] l-għażliet tan-nies u l-livell tal-benesseri miksub tagħhom")</f>
        <v>Wid [en] l-għażliet tan-nies u l-livell tal-benesseri miksub tagħhom</v>
      </c>
    </row>
    <row r="19065" ht="15.75" customHeight="1">
      <c r="A19065" s="2" t="s">
        <v>19065</v>
      </c>
      <c r="B19065" s="2" t="str">
        <f>IFERROR(__xludf.DUMMYFUNCTION("GOOGLETRANSLATE(A19065, ""en"", ""mt"")"),"X'inhi l-ewwel belt ewlenija matul ir-Renu?")</f>
        <v>X'inhi l-ewwel belt ewlenija matul ir-Renu?</v>
      </c>
    </row>
    <row r="19066" ht="15.75" customHeight="1">
      <c r="A19066" s="2" t="s">
        <v>19066</v>
      </c>
      <c r="B19066" s="2" t="str">
        <f>IFERROR(__xludf.DUMMYFUNCTION("GOOGLETRANSLATE(A19066, ""en"", ""mt"")"),"F’ħafna pajjiżi foqra u li qed jiżviluppaw ħafna art u akkomodazzjoni tinżamm barra s-sistema ta ’reġistrazzjoni formali jew legali tal-proprjetà. Ħafna proprjetà mhux reġistrata tinżamm f'forma informali permezz ta 'diversi assoċjazzjonijiet u arranġamen"&amp;"ti oħra. Ir-raġunijiet għas-sjieda extra-legali jinkludu burokrazija eċċessiva biex tixtri propjetà u bini, f'xi pajjiżi tista 'tieħu aktar minn 200 passi u sa 14-il sena biex tibni fuq art tal-gvern. Kawżi oħra ta 'proprjetà extra-legali huma fallimenti "&amp;"li jinnotifikaw id-dokumenti ta' tranżazzjoni jew li jkollhom dokumenti notarili iżda ma jirnexxilhomx jiġu rreġistrati mal-aġenzija uffiċjali.")</f>
        <v>F’ħafna pajjiżi foqra u li qed jiżviluppaw ħafna art u akkomodazzjoni tinżamm barra s-sistema ta ’reġistrazzjoni formali jew legali tal-proprjetà. Ħafna proprjetà mhux reġistrata tinżamm f'forma informali permezz ta 'diversi assoċjazzjonijiet u arranġamenti oħra. Ir-raġunijiet għas-sjieda extra-legali jinkludu burokrazija eċċessiva biex tixtri propjetà u bini, f'xi pajjiżi tista 'tieħu aktar minn 200 passi u sa 14-il sena biex tibni fuq art tal-gvern. Kawżi oħra ta 'proprjetà extra-legali huma fallimenti li jinnotifikaw id-dokumenti ta' tranżazzjoni jew li jkollhom dokumenti notarili iżda ma jirnexxilhomx jiġu rreġistrati mal-aġenzija uffiċjali.</v>
      </c>
    </row>
    <row r="19067" ht="15.75" customHeight="1">
      <c r="A19067" s="2" t="s">
        <v>19067</v>
      </c>
      <c r="B19067" s="2" t="str">
        <f>IFERROR(__xludf.DUMMYFUNCTION("GOOGLETRANSLATE(A19067, ""en"", ""mt"")"),"matul il-vaganza tal-bank tar-rebbiegħa")</f>
        <v>matul il-vaganza tal-bank tar-rebbiegħa</v>
      </c>
    </row>
    <row r="19068" ht="15.75" customHeight="1">
      <c r="A19068" s="2" t="s">
        <v>19068</v>
      </c>
      <c r="B19068" s="2" t="str">
        <f>IFERROR(__xludf.DUMMYFUNCTION("GOOGLETRANSLATE(A19068, ""en"", ""mt"")"),"Min kien il-kowċ ewlieni tal-Broncos fis-Super Bowl XLVIII?")</f>
        <v>Min kien il-kowċ ewlieni tal-Broncos fis-Super Bowl XLVIII?</v>
      </c>
    </row>
    <row r="19069" ht="15.75" customHeight="1">
      <c r="A19069" s="2" t="s">
        <v>19069</v>
      </c>
      <c r="B19069" s="2" t="str">
        <f>IFERROR(__xludf.DUMMYFUNCTION("GOOGLETRANSLATE(A19069, ""en"", ""mt"")"),"f'munzelli ta 'tnejn")</f>
        <v>f'munzelli ta 'tnejn</v>
      </c>
    </row>
    <row r="19070" ht="15.75" customHeight="1">
      <c r="A19070" s="2" t="s">
        <v>19070</v>
      </c>
      <c r="B19070" s="2" t="str">
        <f>IFERROR(__xludf.DUMMYFUNCTION("GOOGLETRANSLATE(A19070, ""en"", ""mt"")"),"Lil nies li jagħtu servizzi ""għar-remunerazzjoni""")</f>
        <v>Lil nies li jagħtu servizzi "għar-remunerazzjoni"</v>
      </c>
    </row>
    <row r="19071" ht="15.75" customHeight="1">
      <c r="A19071" s="2" t="s">
        <v>19071</v>
      </c>
      <c r="B19071" s="2" t="str">
        <f>IFERROR(__xludf.DUMMYFUNCTION("GOOGLETRANSLATE(A19071, ""en"", ""mt"")"),"Liema sena miet Genghis Khan?")</f>
        <v>Liema sena miet Genghis Khan?</v>
      </c>
    </row>
    <row r="19072" ht="15.75" customHeight="1">
      <c r="A19072" s="2" t="s">
        <v>19072</v>
      </c>
      <c r="B19072" s="2" t="str">
        <f>IFERROR(__xludf.DUMMYFUNCTION("GOOGLETRANSLATE(A19072, ""en"", ""mt"")"),"Liema arti spiss kienu pprattikati flimkien mill-istess artisti?")</f>
        <v>Liema arti spiss kienu pprattikati flimkien mill-istess artisti?</v>
      </c>
    </row>
    <row r="19073" ht="15.75" customHeight="1">
      <c r="A19073" s="2" t="s">
        <v>19073</v>
      </c>
      <c r="B19073" s="2" t="str">
        <f>IFERROR(__xludf.DUMMYFUNCTION("GOOGLETRANSLATE(A19073, ""en"", ""mt"")"),"Börte kellu tliet subien oħra, Chagatai (1187-1241), Ögedei (1189-1241), u Tolui (1190–1232). Genghis Khan kellu wkoll ħafna tfal oħra man-nisa l-oħra tiegħu, iżda ġew esklużi mis-suċċessjoni. Filwaqt li l-ismijiet ta ’wlied kienu dokumentati, it-tfal ma "&amp;"kinux. L-ismijiet ta 'mill-inqas sitt ibniet huma magħrufa, u filwaqt li kellhom rwoli sinifikanti wara l-kwinti matul ħajtu, l-ebda dokument ma baqgħu ħajjin li definittivament jipprovdu n-numru jew l-ismijiet ta' bniet imwielda mill-konsorts ta 'Genghis"&amp;" Khan.")</f>
        <v>Börte kellu tliet subien oħra, Chagatai (1187-1241), Ögedei (1189-1241), u Tolui (1190–1232). Genghis Khan kellu wkoll ħafna tfal oħra man-nisa l-oħra tiegħu, iżda ġew esklużi mis-suċċessjoni. Filwaqt li l-ismijiet ta ’wlied kienu dokumentati, it-tfal ma kinux. L-ismijiet ta 'mill-inqas sitt ibniet huma magħrufa, u filwaqt li kellhom rwoli sinifikanti wara l-kwinti matul ħajtu, l-ebda dokument ma baqgħu ħajjin li definittivament jipprovdu n-numru jew l-ismijiet ta' bniet imwielda mill-konsorts ta 'Genghis Khan.</v>
      </c>
    </row>
    <row r="19074" ht="15.75" customHeight="1">
      <c r="A19074" s="2" t="s">
        <v>19074</v>
      </c>
      <c r="B19074" s="2" t="str">
        <f>IFERROR(__xludf.DUMMYFUNCTION("GOOGLETRANSLATE(A19074, ""en"", ""mt"")"),"tirrifjuta li tinforza deċiżjoni")</f>
        <v>tirrifjuta li tinforza deċiżjoni</v>
      </c>
    </row>
    <row r="19075" ht="15.75" customHeight="1">
      <c r="A19075" s="2" t="s">
        <v>19075</v>
      </c>
      <c r="B19075" s="2" t="str">
        <f>IFERROR(__xludf.DUMMYFUNCTION("GOOGLETRANSLATE(A19075, ""en"", ""mt"")"),"in-numru totali ta 'transizzjonijiet tal-istat, jew passi")</f>
        <v>in-numru totali ta 'transizzjonijiet tal-istat, jew passi</v>
      </c>
    </row>
    <row r="19076" ht="15.75" customHeight="1">
      <c r="A19076" s="2" t="s">
        <v>19076</v>
      </c>
      <c r="B19076" s="2" t="str">
        <f>IFERROR(__xludf.DUMMYFUNCTION("GOOGLETRANSLATE(A19076, ""en"", ""mt"")"),"pestilenza kbira fl-arja")</f>
        <v>pestilenza kbira fl-arja</v>
      </c>
    </row>
    <row r="19077" ht="15.75" customHeight="1">
      <c r="A19077" s="2" t="s">
        <v>19077</v>
      </c>
      <c r="B19077" s="2" t="str">
        <f>IFERROR(__xludf.DUMMYFUNCTION("GOOGLETRANSLATE(A19077, ""en"", ""mt"")"),"Mick Mickon")</f>
        <v>Mick Mickon</v>
      </c>
    </row>
    <row r="19078" ht="15.75" customHeight="1">
      <c r="A19078" s="2" t="s">
        <v>19078</v>
      </c>
      <c r="B19078" s="2" t="str">
        <f>IFERROR(__xludf.DUMMYFUNCTION("GOOGLETRANSLATE(A19078, ""en"", ""mt"")"),"J. P. Morgan")</f>
        <v>J. P. Morgan</v>
      </c>
    </row>
    <row r="19079" ht="15.75" customHeight="1">
      <c r="A19079" s="2" t="s">
        <v>19079</v>
      </c>
      <c r="B19079" s="2" t="str">
        <f>IFERROR(__xludf.DUMMYFUNCTION("GOOGLETRANSLATE(A19079, ""en"", ""mt"")"),"X’ħoss Luther li għamel minn Kristu?")</f>
        <v>X’ħoss Luther li għamel minn Kristu?</v>
      </c>
    </row>
    <row r="19080" ht="15.75" customHeight="1">
      <c r="A19080" s="2" t="s">
        <v>19080</v>
      </c>
      <c r="B19080" s="2" t="str">
        <f>IFERROR(__xludf.DUMMYFUNCTION("GOOGLETRANSLATE(A19080, ""en"", ""mt"")"),"Meta kienet l-għajnuna tal-vot biex tirratifika l-bidla fil-Kostituzzjoni?")</f>
        <v>Meta kienet l-għajnuna tal-vot biex tirratifika l-bidla fil-Kostituzzjoni?</v>
      </c>
    </row>
    <row r="19081" ht="15.75" customHeight="1">
      <c r="A19081" s="2" t="s">
        <v>19081</v>
      </c>
      <c r="B19081" s="2" t="str">
        <f>IFERROR(__xludf.DUMMYFUNCTION("GOOGLETRANSLATE(A19081, ""en"", ""mt"")"),"Min imexxi s-servizz tal-Librerija Nazzjonali u Pubblika?")</f>
        <v>Min imexxi s-servizz tal-Librerija Nazzjonali u Pubblika?</v>
      </c>
    </row>
    <row r="19082" ht="15.75" customHeight="1">
      <c r="A19082" s="2" t="s">
        <v>19082</v>
      </c>
      <c r="B19082" s="2" t="str">
        <f>IFERROR(__xludf.DUMMYFUNCTION("GOOGLETRANSLATE(A19082, ""en"", ""mt"")"),"Meta miet Zhu Shijie?")</f>
        <v>Meta miet Zhu Shijie?</v>
      </c>
    </row>
    <row r="19083" ht="15.75" customHeight="1">
      <c r="A19083" s="2" t="s">
        <v>19083</v>
      </c>
      <c r="B19083" s="2" t="str">
        <f>IFERROR(__xludf.DUMMYFUNCTION("GOOGLETRANSLATE(A19083, ""en"", ""mt"")"),"25 fil-mija")</f>
        <v>25 fil-mija</v>
      </c>
    </row>
    <row r="19084" ht="15.75" customHeight="1">
      <c r="A19084" s="2" t="s">
        <v>19084</v>
      </c>
      <c r="B19084" s="2" t="str">
        <f>IFERROR(__xludf.DUMMYFUNCTION("GOOGLETRANSLATE(A19084, ""en"", ""mt"")"),"Danny Trevathan")</f>
        <v>Danny Trevathan</v>
      </c>
    </row>
    <row r="19085" ht="15.75" customHeight="1">
      <c r="A19085" s="2" t="s">
        <v>19085</v>
      </c>
      <c r="B19085" s="2" t="str">
        <f>IFERROR(__xludf.DUMMYFUNCTION("GOOGLETRANSLATE(A19085, ""en"", ""mt"")"),"tentakli u għant tat-tentaklu")</f>
        <v>tentakli u għant tat-tentaklu</v>
      </c>
    </row>
    <row r="19086" ht="15.75" customHeight="1">
      <c r="A19086" s="2" t="s">
        <v>19086</v>
      </c>
      <c r="B19086" s="2" t="str">
        <f>IFERROR(__xludf.DUMMYFUNCTION("GOOGLETRANSLATE(A19086, ""en"", ""mt"")"),"L-ewwel binjiet tal-kampus tal-Università ta ’Chicago, li jiffurmaw dak li issa huwa magħruf bħala l-kwadrangles ewlenin, kienu parti minn"" pjan ewlieni ”maħsub minn żewġ trustees tal-Università ta’ Chicago u mpinġija mill-perit ta ’Chicago Henry Ives Co"&amp;"bb. Il-kwadrangles ewlenin jikkonsistu minn sitt kwadrangles, kull wieħed imdawwar minn bini, li jmissu ma 'kwadrangle ikbar. Il-bini tal-kwadrangles ewlenin kienu ddisinjati minn Cobb, Shepley, Rutan u Coolidge, Holabird &amp; Roche, u ditti arkitettoniċi oħ"&amp;"ra f'taħlita ta 'l-istili Gotiċi Gotiċi u kolleġjali Vittorjani, b'disinn fuq il-kulleġġi ta' l-Università ta 'Oxford. (Mitchell Tower, pereżempju, huwa mfassal wara t-Torri Magdalen ta 'Oxford, u l-Università Commons, Hutchinson Hall, jirreplikaw lil Chr"&amp;"ist Church Hall.)")</f>
        <v>L-ewwel binjiet tal-kampus tal-Università ta ’Chicago, li jiffurmaw dak li issa huwa magħruf bħala l-kwadrangles ewlenin, kienu parti minn" pjan ewlieni ”maħsub minn żewġ trustees tal-Università ta’ Chicago u mpinġija mill-perit ta ’Chicago Henry Ives Cobb. Il-kwadrangles ewlenin jikkonsistu minn sitt kwadrangles, kull wieħed imdawwar minn bini, li jmissu ma 'kwadrangle ikbar. Il-bini tal-kwadrangles ewlenin kienu ddisinjati minn Cobb, Shepley, Rutan u Coolidge, Holabird &amp; Roche, u ditti arkitettoniċi oħra f'taħlita ta 'l-istili Gotiċi Gotiċi u kolleġjali Vittorjani, b'disinn fuq il-kulleġġi ta' l-Università ta 'Oxford. (Mitchell Tower, pereżempju, huwa mfassal wara t-Torri Magdalen ta 'Oxford, u l-Università Commons, Hutchinson Hall, jirreplikaw lil Christ Church Hall.)</v>
      </c>
    </row>
    <row r="19087" ht="15.75" customHeight="1">
      <c r="A19087" s="2" t="s">
        <v>19087</v>
      </c>
      <c r="B19087" s="2" t="str">
        <f>IFERROR(__xludf.DUMMYFUNCTION("GOOGLETRANSLATE(A19087, ""en"", ""mt"")"),"Djar tal-istorja")</f>
        <v>Djar tal-istorja</v>
      </c>
    </row>
    <row r="19088" ht="15.75" customHeight="1">
      <c r="A19088" s="2" t="s">
        <v>19088</v>
      </c>
      <c r="B19088" s="2" t="str">
        <f>IFERROR(__xludf.DUMMYFUNCTION("GOOGLETRANSLATE(A19088, ""en"", ""mt"")"),"Titian")</f>
        <v>Titian</v>
      </c>
    </row>
    <row r="19089" ht="15.75" customHeight="1">
      <c r="A19089" s="2" t="s">
        <v>19089</v>
      </c>
      <c r="B19089" s="2" t="str">
        <f>IFERROR(__xludf.DUMMYFUNCTION("GOOGLETRANSLATE(A19089, ""en"", ""mt"")"),"Kabina li tiffjamma")</f>
        <v>Kabina li tiffjamma</v>
      </c>
    </row>
    <row r="19090" ht="15.75" customHeight="1">
      <c r="A19090" s="2" t="s">
        <v>19090</v>
      </c>
      <c r="B19090" s="2" t="str">
        <f>IFERROR(__xludf.DUMMYFUNCTION("GOOGLETRANSLATE(A19090, ""en"", ""mt"")"),"sar il-prototip għall-konfederazzjoni matul il-gwerra tal-indipendenza")</f>
        <v>sar il-prototip għall-konfederazzjoni matul il-gwerra tal-indipendenza</v>
      </c>
    </row>
    <row r="19091" ht="15.75" customHeight="1">
      <c r="A19091" s="2" t="s">
        <v>19091</v>
      </c>
      <c r="B19091" s="2" t="str">
        <f>IFERROR(__xludf.DUMMYFUNCTION("GOOGLETRANSLATE(A19091, ""en"", ""mt"")"),"Irfid ideali")</f>
        <v>Irfid ideali</v>
      </c>
    </row>
    <row r="19092" ht="15.75" customHeight="1">
      <c r="A19092" s="2" t="s">
        <v>19092</v>
      </c>
      <c r="B19092" s="2" t="str">
        <f>IFERROR(__xludf.DUMMYFUNCTION("GOOGLETRANSLATE(A19092, ""en"", ""mt"")"),"Fit-22 ta 'Diċembru 2009, ABC laħqet ftehim ma' Apple biex tagħmel il-wirjiet ABC disponibbli fuq liema servizz?")</f>
        <v>Fit-22 ta 'Diċembru 2009, ABC laħqet ftehim ma' Apple biex tagħmel il-wirjiet ABC disponibbli fuq liema servizz?</v>
      </c>
    </row>
    <row r="19093" ht="15.75" customHeight="1">
      <c r="A19093" s="2" t="s">
        <v>19093</v>
      </c>
      <c r="B19093" s="2" t="str">
        <f>IFERROR(__xludf.DUMMYFUNCTION("GOOGLETRANSLATE(A19093, ""en"", ""mt"")"),"Liema organizzazzjoni ingħaqad ma 'Iqbal f'Londra?")</f>
        <v>Liema organizzazzjoni ingħaqad ma 'Iqbal f'Londra?</v>
      </c>
    </row>
    <row r="19094" ht="15.75" customHeight="1">
      <c r="A19094" s="2" t="s">
        <v>19094</v>
      </c>
      <c r="B19094" s="2" t="str">
        <f>IFERROR(__xludf.DUMMYFUNCTION("GOOGLETRANSLATE(A19094, ""en"", ""mt"")"),"inugwaljanza dejjem tiżdied")</f>
        <v>inugwaljanza dejjem tiżdied</v>
      </c>
    </row>
    <row r="19095" ht="15.75" customHeight="1">
      <c r="A19095" s="2" t="s">
        <v>19095</v>
      </c>
      <c r="B19095" s="2" t="str">
        <f>IFERROR(__xludf.DUMMYFUNCTION("GOOGLETRANSLATE(A19095, ""en"", ""mt"")"),"memorja passiva għal żmien qasir jew memorja attiva fit-tul")</f>
        <v>memorja passiva għal żmien qasir jew memorja attiva fit-tul</v>
      </c>
    </row>
    <row r="19096" ht="15.75" customHeight="1">
      <c r="A19096" s="2" t="s">
        <v>19096</v>
      </c>
      <c r="B19096" s="2" t="str">
        <f>IFERROR(__xludf.DUMMYFUNCTION("GOOGLETRANSLATE(A19096, ""en"", ""mt"")"),"Min kien qed iżomm il-pressjoni u juri nuqqas ta ’qbil għall-LOR, anke quddiem il-president?")</f>
        <v>Min kien qed iżomm il-pressjoni u juri nuqqas ta ’qbil għall-LOR, anke quddiem il-president?</v>
      </c>
    </row>
    <row r="19097" ht="15.75" customHeight="1">
      <c r="A19097" s="2" t="s">
        <v>19097</v>
      </c>
      <c r="B19097" s="2" t="str">
        <f>IFERROR(__xludf.DUMMYFUNCTION("GOOGLETRANSLATE(A19097, ""en"", ""mt"")"),"L-imbuttatura kontra oġġett fuq wiċċ frizzjonali tista 'tirriżulta f'sitwazzjoni fejn l-oġġett ma jiċċaqlaqx minħabba li l-forza applikata hija opposta minn frizzjoni statika, iġġenerata bejn l-oġġett u l-wiċċ tal-mejda. Għal sitwazzjoni mingħajr moviment"&amp;", il-forza tal-frizzjoni statika tibbilanċja eżattament il-forza applikata li tirriżulta fl-ebda aċċelerazzjoni. Il-frizzjoni statika tiżdied jew tonqos b'reazzjoni għall-forza applikata sa limitu massimu determinat mill-karatteristiċi tal-kuntatt bejn il"&amp;"-wiċċ u l-oġġett.")</f>
        <v>L-imbuttatura kontra oġġett fuq wiċċ frizzjonali tista 'tirriżulta f'sitwazzjoni fejn l-oġġett ma jiċċaqlaqx minħabba li l-forza applikata hija opposta minn frizzjoni statika, iġġenerata bejn l-oġġett u l-wiċċ tal-mejda. Għal sitwazzjoni mingħajr moviment, il-forza tal-frizzjoni statika tibbilanċja eżattament il-forza applikata li tirriżulta fl-ebda aċċelerazzjoni. Il-frizzjoni statika tiżdied jew tonqos b'reazzjoni għall-forza applikata sa limitu massimu determinat mill-karatteristiċi tal-kuntatt bejn il-wiċċ u l-oġġett.</v>
      </c>
    </row>
    <row r="19098" ht="15.75" customHeight="1">
      <c r="A19098" s="2" t="s">
        <v>19098</v>
      </c>
      <c r="B19098" s="2" t="str">
        <f>IFERROR(__xludf.DUMMYFUNCTION("GOOGLETRANSLATE(A19098, ""en"", ""mt"")"),"Jakaya Kikwete")</f>
        <v>Jakaya Kikwete</v>
      </c>
    </row>
    <row r="19099" ht="15.75" customHeight="1">
      <c r="A19099" s="2" t="s">
        <v>19099</v>
      </c>
      <c r="B19099" s="2" t="str">
        <f>IFERROR(__xludf.DUMMYFUNCTION("GOOGLETRANSLATE(A19099, ""en"", ""mt"")"),"Min Edward għamel l-Arċisqof ta 'Canterbury?")</f>
        <v>Min Edward għamel l-Arċisqof ta 'Canterbury?</v>
      </c>
    </row>
    <row r="19100" ht="15.75" customHeight="1">
      <c r="A19100" s="2" t="s">
        <v>19100</v>
      </c>
      <c r="B19100" s="2" t="str">
        <f>IFERROR(__xludf.DUMMYFUNCTION("GOOGLETRANSLATE(A19100, ""en"", ""mt"")"),"Fejn huma l-Korporazzjonijiet Internazzjonali bil-kwartjieri ġenerali?")</f>
        <v>Fejn huma l-Korporazzjonijiet Internazzjonali bil-kwartjieri ġenerali?</v>
      </c>
    </row>
    <row r="19101" ht="15.75" customHeight="1">
      <c r="A19101" s="2" t="s">
        <v>19101</v>
      </c>
      <c r="B19101" s="2" t="str">
        <f>IFERROR(__xludf.DUMMYFUNCTION("GOOGLETRANSLATE(A19101, ""en"", ""mt"")"),"Il-missjonijiet kollha")</f>
        <v>Il-missjonijiet kollha</v>
      </c>
    </row>
    <row r="19102" ht="15.75" customHeight="1">
      <c r="A19102" s="2" t="s">
        <v>19102</v>
      </c>
      <c r="B19102" s="2" t="str">
        <f>IFERROR(__xludf.DUMMYFUNCTION("GOOGLETRANSLATE(A19102, ""en"", ""mt"")"),"Kuntrarju għat-twemmin popolari, Genghis Khan ma rbaħx l-oqsma kollha fl-aħħar mill-aħħar parti mill-imperu Mongoljan. Fil-ħin tal-mewt tiegħu, l-Imperu Mongoljan jinfirex mill-Baħar Kaspjan sal-Baħar tal-Ġappun. L-espansjoni tal-Imperu kompliet għal ġene"&amp;"razzjoni jew aktar wara l-mewt ta 'Genghis fl-1227. Taħt is-suċċessur ta' Genghis Ögedei Khan il-veloċità tal-espansjoni laħqet il-quċċata tagħha. L-armati tal-Mongol imbuttati fil-Persja, temmew ix-XIA tal-Punent u l-fdalijiet tal-Khwarezmids, u daħlu f'"&amp;"kunflitt mad-Dynasty tal-Kanzunetta Imperjali taċ-Ċina, li bdew gwerra li damet sal-1279 u dik ikkonkluda mal-Mongoli li kisbu l-kontroll taċ-Ċina kollha. Huma mbuttati wkoll aktar lejn ir-Russja u l-Ewropa tal-Lvant.")</f>
        <v>Kuntrarju għat-twemmin popolari, Genghis Khan ma rbaħx l-oqsma kollha fl-aħħar mill-aħħar parti mill-imperu Mongoljan. Fil-ħin tal-mewt tiegħu, l-Imperu Mongoljan jinfirex mill-Baħar Kaspjan sal-Baħar tal-Ġappun. L-espansjoni tal-Imperu kompliet għal ġenerazzjoni jew aktar wara l-mewt ta 'Genghis fl-1227. Taħt is-suċċessur ta' Genghis Ögedei Khan il-veloċità tal-espansjoni laħqet il-quċċata tagħha. L-armati tal-Mongol imbuttati fil-Persja, temmew ix-XIA tal-Punent u l-fdalijiet tal-Khwarezmids, u daħlu f'kunflitt mad-Dynasty tal-Kanzunetta Imperjali taċ-Ċina, li bdew gwerra li damet sal-1279 u dik ikkonkluda mal-Mongoli li kisbu l-kontroll taċ-Ċina kollha. Huma mbuttati wkoll aktar lejn ir-Russja u l-Ewropa tal-Lvant.</v>
      </c>
    </row>
    <row r="19103" ht="15.75" customHeight="1">
      <c r="A19103" s="2" t="s">
        <v>19103</v>
      </c>
      <c r="B19103" s="2" t="str">
        <f>IFERROR(__xludf.DUMMYFUNCTION("GOOGLETRANSLATE(A19103, ""en"", ""mt"")"),"X'kien l-isem tan-neputi ta 'Bohemond?")</f>
        <v>X'kien l-isem tan-neputi ta 'Bohemond?</v>
      </c>
    </row>
    <row r="19104" ht="15.75" customHeight="1">
      <c r="A19104" s="2" t="s">
        <v>19104</v>
      </c>
      <c r="B19104" s="2" t="str">
        <f>IFERROR(__xludf.DUMMYFUNCTION("GOOGLETRANSLATE(A19104, ""en"", ""mt"")"),"Il-belt hija servuta mill-Metro Tyne u Wear, sistema ta 'ferroviji suburbani u taħt l-art li jkopru ħafna minn Tyne u Wear. Infetħet f'ħames fażijiet bejn l-1980 u l-1984, u kienet l-ewwel sistema ta 'transitu tal-ferrovija ħafifa tal-Gran Brittanja; Żewġ"&amp;" estensjonijiet infetħu fl-1991 u fl-2002. Ġie żviluppat minn taħlita ta 'binarji u stazzjonijiet eżistenti u li għadhom kemm ġew mibnija, b'mini ta' mini fil-fond mibnija permezz taċ-Ċentru tal-Belt ta 'Newcastle. Inbena pont madwar it-Tyne, bejn Newcast"&amp;"le u Gateshead, u miftuħ mir-Reġina Eliżabetta II fl-1981. In-netwerk huwa mħaddem minn DB Regio f'isem Nexus u jġorr aktar minn 37 miljun passiġġier fis-sena, li jestendi sa l-Ajruport ta 'Newcastle, Tynemouth, Tynemouth , South Shields u South Hylton f'"&amp;"Sunderland. Fl-2004, il-kumpanija Marconi ddisinjat u bnew is-sistema tar-radju mobbli għas-sistema tal-metro taħt l-art. Is-sistema tal-metro kienet l-ewwel waħda fir-Renju Unit li kellha antenni tat-telefown ċellulari installati fil-mini.")</f>
        <v>Il-belt hija servuta mill-Metro Tyne u Wear, sistema ta 'ferroviji suburbani u taħt l-art li jkopru ħafna minn Tyne u Wear. Infetħet f'ħames fażijiet bejn l-1980 u l-1984, u kienet l-ewwel sistema ta 'transitu tal-ferrovija ħafifa tal-Gran Brittanja; Żewġ estensjonijiet infetħu fl-1991 u fl-2002. Ġie żviluppat minn taħlita ta 'binarji u stazzjonijiet eżistenti u li għadhom kemm ġew mibnija, b'mini ta' mini fil-fond mibnija permezz taċ-Ċentru tal-Belt ta 'Newcastle. Inbena pont madwar it-Tyne, bejn Newcastle u Gateshead, u miftuħ mir-Reġina Eliżabetta II fl-1981. In-netwerk huwa mħaddem minn DB Regio f'isem Nexus u jġorr aktar minn 37 miljun passiġġier fis-sena, li jestendi sa l-Ajruport ta 'Newcastle, Tynemouth, Tynemouth , South Shields u South Hylton f'Sunderland. Fl-2004, il-kumpanija Marconi ddisinjat u bnew is-sistema tar-radju mobbli għas-sistema tal-metro taħt l-art. Is-sistema tal-metro kienet l-ewwel waħda fir-Renju Unit li kellha antenni tat-telefown ċellulari installati fil-mini.</v>
      </c>
    </row>
    <row r="19105" ht="15.75" customHeight="1">
      <c r="A19105" s="2" t="s">
        <v>19105</v>
      </c>
      <c r="B19105" s="2" t="str">
        <f>IFERROR(__xludf.DUMMYFUNCTION("GOOGLETRANSLATE(A19105, ""en"", ""mt"")"),"Thomas Sowell")</f>
        <v>Thomas Sowell</v>
      </c>
    </row>
    <row r="19106" ht="15.75" customHeight="1">
      <c r="A19106" s="2" t="s">
        <v>19106</v>
      </c>
      <c r="B19106" s="2" t="str">
        <f>IFERROR(__xludf.DUMMYFUNCTION("GOOGLETRANSLATE(A19106, ""en"", ""mt"")"),"Min jargumenta li l-gvern jerġa 'jqassam il-ġid bil-forza?")</f>
        <v>Min jargumenta li l-gvern jerġa 'jqassam il-ġid bil-forza?</v>
      </c>
    </row>
    <row r="19107" ht="15.75" customHeight="1">
      <c r="A19107" s="2" t="s">
        <v>19107</v>
      </c>
      <c r="B19107" s="2" t="str">
        <f>IFERROR(__xludf.DUMMYFUNCTION("GOOGLETRANSLATE(A19107, ""en"", ""mt"")"),"21 ta ’Frar 1804")</f>
        <v>21 ta ’Frar 1804</v>
      </c>
    </row>
    <row r="19108" ht="15.75" customHeight="1">
      <c r="A19108" s="2" t="s">
        <v>19108</v>
      </c>
      <c r="B19108" s="2" t="str">
        <f>IFERROR(__xludf.DUMMYFUNCTION("GOOGLETRANSLATE(A19108, ""en"", ""mt"")"),"32.9%")</f>
        <v>32.9%</v>
      </c>
    </row>
    <row r="19109" ht="15.75" customHeight="1">
      <c r="A19109" s="2" t="s">
        <v>19109</v>
      </c>
      <c r="B19109" s="2" t="str">
        <f>IFERROR(__xludf.DUMMYFUNCTION("GOOGLETRANSLATE(A19109, ""en"", ""mt"")"),"Bennie Fowler")</f>
        <v>Bennie Fowler</v>
      </c>
    </row>
    <row r="19110" ht="15.75" customHeight="1">
      <c r="A19110" s="2" t="s">
        <v>19110</v>
      </c>
      <c r="B19110" s="2" t="str">
        <f>IFERROR(__xludf.DUMMYFUNCTION("GOOGLETRANSLATE(A19110, ""en"", ""mt"")"),"ABC xtrat liema mill-kumpanija ta 'Edgar Scherick?")</f>
        <v>ABC xtrat liema mill-kumpanija ta 'Edgar Scherick?</v>
      </c>
    </row>
    <row r="19111" ht="15.75" customHeight="1">
      <c r="A19111" s="2" t="s">
        <v>19111</v>
      </c>
      <c r="B19111" s="2" t="str">
        <f>IFERROR(__xludf.DUMMYFUNCTION("GOOGLETRANSLATE(A19111, ""en"", ""mt"")"),"Neil Armstrong, Michael Collins u Buzz Aldrin")</f>
        <v>Neil Armstrong, Michael Collins u Buzz Aldrin</v>
      </c>
    </row>
    <row r="19112" ht="15.75" customHeight="1">
      <c r="A19112" s="2" t="s">
        <v>19112</v>
      </c>
      <c r="B19112" s="2" t="str">
        <f>IFERROR(__xludf.DUMMYFUNCTION("GOOGLETRANSLATE(A19112, ""en"", ""mt"")"),"Min kien upt imġiegħel jifred lilhom infushom mill-1949?")</f>
        <v>Min kien upt imġiegħel jifred lilhom infushom mill-1949?</v>
      </c>
    </row>
    <row r="19113" ht="15.75" customHeight="1">
      <c r="A19113" s="2" t="s">
        <v>19113</v>
      </c>
      <c r="B19113" s="2" t="str">
        <f>IFERROR(__xludf.DUMMYFUNCTION("GOOGLETRANSLATE(A19113, ""en"", ""mt"")"),"Taskforce tal-Metodisti Magħquda dwar l-Abort u s-Sesswalità (")</f>
        <v>Taskforce tal-Metodisti Magħquda dwar l-Abort u s-Sesswalità (</v>
      </c>
    </row>
    <row r="19114" ht="15.75" customHeight="1">
      <c r="A19114" s="2" t="s">
        <v>19114</v>
      </c>
      <c r="B19114" s="2" t="str">
        <f>IFERROR(__xludf.DUMMYFUNCTION("GOOGLETRANSLATE(A19114, ""en"", ""mt"")"),"Safaris, Klima u Ġeografija Diversi, u Riżervi Espansivi tal-Fawna Selvaġġa")</f>
        <v>Safaris, Klima u Ġeografija Diversi, u Riżervi Espansivi tal-Fawna Selvaġġa</v>
      </c>
    </row>
    <row r="19115" ht="15.75" customHeight="1">
      <c r="A19115" s="2" t="s">
        <v>19115</v>
      </c>
      <c r="B19115" s="2" t="str">
        <f>IFERROR(__xludf.DUMMYFUNCTION("GOOGLETRANSLATE(A19115, ""en"", ""mt"")"),"Ir-rata ta 'l-ikklerjar tal-foresta mill-2000 sal-2005 kienet kemm mili kwadri fis-sena?")</f>
        <v>Ir-rata ta 'l-ikklerjar tal-foresta mill-2000 sal-2005 kienet kemm mili kwadri fis-sena?</v>
      </c>
    </row>
    <row r="19116" ht="15.75" customHeight="1">
      <c r="A19116" s="2" t="s">
        <v>19116</v>
      </c>
      <c r="B19116" s="2" t="str">
        <f>IFERROR(__xludf.DUMMYFUNCTION("GOOGLETRANSLATE(A19116, ""en"", ""mt"")"),"Il-lobati għandhom tmien rewwix, li joriġinaw mill-arblu aboral u ġeneralment ma jestendux lil hinn mill-ġisem sal-lobi; Fi speċi bi (erba ') aurikoli, iċ-ċili li jtajru l-aurikoli huma estensjonijiet ta' cili f'erba 'ringieli tal-moxt. Il-biċċa l-kbira t"&amp;"al-lobati huma pjuttost passivi meta jiċċaqalqu mill-ilma, billi jużaw iċ-ċili fuq ir-ringieli tal-moxt tagħhom għall-propulsjoni, għalkemm Leucothea għandha aurikoli twal u attivi li l-movimenti tagħhom jikkontribwixxu wkoll għall-propulsjoni. Il-membri "&amp;"tal-ġeneru tal-lobate u l-bathocyroe u l-ocyropsis jistgħu jaħarbu mill-periklu billi jagħlqu l-lobi tagħhom, sabiex il-ġett ta 'l-ilma mkeċċi jmexxihom lura malajr ħafna. B'differenza miċ-ċidippids, il-movimenti tal-pettnijiet tal-lobates huma kkoordinat"&amp;"i min-nervituri aktar milli minn disturbi fl-ilma maħluqa miċ-ċili, iżda l-pettnijiet fuq l-istess ringiela jegħlbu fl-istess stil tal-mewġ Messikani bħall-moxt ikkoordinat mekkanikament ta 'ringieli ta' cydippids u beroids. Dan jista 'jkun ippermetta l-l"&amp;"obati jikbru akbar minn cydippids u biex ikollhom forom li huma inqas simili għall-bajd.")</f>
        <v>Il-lobati għandhom tmien rewwix, li joriġinaw mill-arblu aboral u ġeneralment ma jestendux lil hinn mill-ġisem sal-lobi; Fi speċi bi (erba ') aurikoli, iċ-ċili li jtajru l-aurikoli huma estensjonijiet ta' cili f'erba 'ringieli tal-moxt. Il-biċċa l-kbira tal-lobati huma pjuttost passivi meta jiċċaqalqu mill-ilma, billi jużaw iċ-ċili fuq ir-ringieli tal-moxt tagħhom għall-propulsjoni, għalkemm Leucothea għandha aurikoli twal u attivi li l-movimenti tagħhom jikkontribwixxu wkoll għall-propulsjoni. Il-membri tal-ġeneru tal-lobate u l-bathocyroe u l-ocyropsis jistgħu jaħarbu mill-periklu billi jagħlqu l-lobi tagħhom, sabiex il-ġett ta 'l-ilma mkeċċi jmexxihom lura malajr ħafna. B'differenza miċ-ċidippids, il-movimenti tal-pettnijiet tal-lobates huma kkoordinati min-nervituri aktar milli minn disturbi fl-ilma maħluqa miċ-ċili, iżda l-pettnijiet fuq l-istess ringiela jegħlbu fl-istess stil tal-mewġ Messikani bħall-moxt ikkoordinat mekkanikament ta 'ringieli ta' cydippids u beroids. Dan jista 'jkun ippermetta l-lobati jikbru akbar minn cydippids u biex ikollhom forom li huma inqas simili għall-bajd.</v>
      </c>
    </row>
    <row r="19117" ht="15.75" customHeight="1">
      <c r="A19117" s="2" t="s">
        <v>19117</v>
      </c>
      <c r="B19117" s="2" t="str">
        <f>IFERROR(__xludf.DUMMYFUNCTION("GOOGLETRANSLATE(A19117, ""en"", ""mt"")"),"L-Arkivju tal-Mużew Nikola Tesla")</f>
        <v>L-Arkivju tal-Mużew Nikola Tesla</v>
      </c>
    </row>
    <row r="19118" ht="15.75" customHeight="1">
      <c r="A19118" s="2" t="s">
        <v>19118</v>
      </c>
      <c r="B19118" s="2" t="str">
        <f>IFERROR(__xludf.DUMMYFUNCTION("GOOGLETRANSLATE(A19118, ""en"", ""mt"")"),"X'inhi dik il-grazzja ta 'Alla li ssostni lil dawk li jemmnu fil-vjaġġ lejn il-perfezzjoni Nisranija?")</f>
        <v>X'inhi dik il-grazzja ta 'Alla li ssostni lil dawk li jemmnu fil-vjaġġ lejn il-perfezzjoni Nisranija?</v>
      </c>
    </row>
    <row r="19119" ht="15.75" customHeight="1">
      <c r="A19119" s="2" t="s">
        <v>19119</v>
      </c>
      <c r="B19119" s="2" t="str">
        <f>IFERROR(__xludf.DUMMYFUNCTION("GOOGLETRANSLATE(A19119, ""en"", ""mt"")"),"Produzzjonijiet kbar tal-finitura")</f>
        <v>Produzzjonijiet kbar tal-finitura</v>
      </c>
    </row>
    <row r="19120" ht="15.75" customHeight="1">
      <c r="A19120" s="2" t="s">
        <v>19120</v>
      </c>
      <c r="B19120" s="2" t="str">
        <f>IFERROR(__xludf.DUMMYFUNCTION("GOOGLETRANSLATE(A19120, ""en"", ""mt"")"),"Irbaħ il-ħelsien u evita l-ħabs jew multa")</f>
        <v>Irbaħ il-ħelsien u evita l-ħabs jew multa</v>
      </c>
    </row>
    <row r="19121" ht="15.75" customHeight="1">
      <c r="A19121" s="2" t="s">
        <v>19121</v>
      </c>
      <c r="B19121" s="2" t="str">
        <f>IFERROR(__xludf.DUMMYFUNCTION("GOOGLETRANSLATE(A19121, ""en"", ""mt"")"),"foresta miftuħa u ħaxix")</f>
        <v>foresta miftuħa u ħaxix</v>
      </c>
    </row>
    <row r="19122" ht="15.75" customHeight="1">
      <c r="A19122" s="2" t="s">
        <v>19122</v>
      </c>
      <c r="B19122" s="2" t="str">
        <f>IFERROR(__xludf.DUMMYFUNCTION("GOOGLETRANSLATE(A19122, ""en"", ""mt"")"),"Liema netwerk huwa membru ta 'Newcastle?")</f>
        <v>Liema netwerk huwa membru ta 'Newcastle?</v>
      </c>
    </row>
    <row r="19123" ht="15.75" customHeight="1">
      <c r="A19123" s="2" t="s">
        <v>19123</v>
      </c>
      <c r="B19123" s="2" t="str">
        <f>IFERROR(__xludf.DUMMYFUNCTION("GOOGLETRANSLATE(A19123, ""en"", ""mt"")"),"bronż")</f>
        <v>bronż</v>
      </c>
    </row>
    <row r="19124" ht="15.75" customHeight="1">
      <c r="A19124" s="2" t="s">
        <v>19124</v>
      </c>
      <c r="B19124" s="2" t="str">
        <f>IFERROR(__xludf.DUMMYFUNCTION("GOOGLETRANSLATE(A19124, ""en"", ""mt"")"),"Li opera n-netwerk VBSN")</f>
        <v>Li opera n-netwerk VBSN</v>
      </c>
    </row>
    <row r="19125" ht="15.75" customHeight="1">
      <c r="A19125" s="2" t="s">
        <v>19125</v>
      </c>
      <c r="B19125" s="2" t="str">
        <f>IFERROR(__xludf.DUMMYFUNCTION("GOOGLETRANSLATE(A19125, ""en"", ""mt"")"),"Università ta ’Erfurt")</f>
        <v>Università ta ’Erfurt</v>
      </c>
    </row>
    <row r="19126" ht="15.75" customHeight="1">
      <c r="A19126" s="2" t="s">
        <v>19126</v>
      </c>
      <c r="B19126" s="2" t="str">
        <f>IFERROR(__xludf.DUMMYFUNCTION("GOOGLETRANSLATE(A19126, ""en"", ""mt"")"),"b'saħħtu")</f>
        <v>b'saħħtu</v>
      </c>
    </row>
    <row r="19127" ht="15.75" customHeight="1">
      <c r="A19127" s="2" t="s">
        <v>19127</v>
      </c>
      <c r="B19127" s="2" t="str">
        <f>IFERROR(__xludf.DUMMYFUNCTION("GOOGLETRANSLATE(A19127, ""en"", ""mt"")"),"Total stmat minn 75,000 sa 100,000 persuna")</f>
        <v>Total stmat minn 75,000 sa 100,000 persuna</v>
      </c>
    </row>
    <row r="19128" ht="15.75" customHeight="1">
      <c r="A19128" s="2" t="s">
        <v>19128</v>
      </c>
      <c r="B19128" s="2" t="str">
        <f>IFERROR(__xludf.DUMMYFUNCTION("GOOGLETRANSLATE(A19128, ""en"", ""mt"")"),"Trattat von den Juden und Ihren Lügen")</f>
        <v>Trattat von den Juden und Ihren Lügen</v>
      </c>
    </row>
    <row r="19129" ht="15.75" customHeight="1">
      <c r="A19129" s="2" t="s">
        <v>19129</v>
      </c>
      <c r="B19129" s="2" t="str">
        <f>IFERROR(__xludf.DUMMYFUNCTION("GOOGLETRANSLATE(A19129, ""en"", ""mt"")"),"F'liema proġett offra Leonard Goldenson biex tinvesti qabel ma l-Kummissjoni Kanadiża tar-Radju-Televiżjoni ddeċidiet kontra ABC?")</f>
        <v>F'liema proġett offra Leonard Goldenson biex tinvesti qabel ma l-Kummissjoni Kanadiża tar-Radju-Televiżjoni ddeċidiet kontra ABC?</v>
      </c>
    </row>
    <row r="19130" ht="15.75" customHeight="1">
      <c r="A19130" s="2" t="s">
        <v>19130</v>
      </c>
      <c r="B19130" s="2" t="str">
        <f>IFERROR(__xludf.DUMMYFUNCTION("GOOGLETRANSLATE(A19130, ""en"", ""mt"")"),"Forza elettrostatika")</f>
        <v>Forza elettrostatika</v>
      </c>
    </row>
    <row r="19131" ht="15.75" customHeight="1">
      <c r="A19131" s="2" t="s">
        <v>19131</v>
      </c>
      <c r="B19131" s="2" t="str">
        <f>IFERROR(__xludf.DUMMYFUNCTION("GOOGLETRANSLATE(A19131, ""en"", ""mt"")"),"titla 'u taqa' skont id-domanda tas-suq")</f>
        <v>titla 'u taqa' skont id-domanda tas-suq</v>
      </c>
    </row>
    <row r="19132" ht="15.75" customHeight="1">
      <c r="A19132" s="2" t="s">
        <v>19132</v>
      </c>
      <c r="B19132" s="2" t="str">
        <f>IFERROR(__xludf.DUMMYFUNCTION("GOOGLETRANSLATE(A19132, ""en"", ""mt"")"),"Wara li ġarrab korriment")</f>
        <v>Wara li ġarrab korriment</v>
      </c>
    </row>
    <row r="19133" ht="15.75" customHeight="1">
      <c r="A19133" s="2" t="s">
        <v>19133</v>
      </c>
      <c r="B19133" s="2" t="str">
        <f>IFERROR(__xludf.DUMMYFUNCTION("GOOGLETRANSLATE(A19133, ""en"", ""mt"")"),"Liema serje ġiet maħluqa mill-ex-produttur tat-Tabib Who Russell T. Davies?")</f>
        <v>Liema serje ġiet maħluqa mill-ex-produttur tat-Tabib Who Russell T. Davies?</v>
      </c>
    </row>
    <row r="19134" ht="15.75" customHeight="1">
      <c r="A19134" s="2" t="s">
        <v>19134</v>
      </c>
      <c r="B19134" s="2" t="str">
        <f>IFERROR(__xludf.DUMMYFUNCTION("GOOGLETRANSLATE(A19134, ""en"", ""mt"")"),"1600 sa 1950")</f>
        <v>1600 sa 1950</v>
      </c>
    </row>
    <row r="19135" ht="15.75" customHeight="1">
      <c r="A19135" s="2" t="s">
        <v>19135</v>
      </c>
      <c r="B19135" s="2" t="str">
        <f>IFERROR(__xludf.DUMMYFUNCTION("GOOGLETRANSLATE(A19135, ""en"", ""mt"")"),"Il-livell tal-litteriżmu tal-pajjiż huwa ta '85% tal-popolazzjoni kollha. Preschool, li jimmira lejn tfal minn tlieta sa ħamsa, huwa komponent integrali tas-sistema edukattiva u huwa rekwiżit ewlieni għall-ammissjoni għall-istandard wieħed (l-ewwel grad)."&amp;" Fi tmiem l-edukazzjoni primarja, l-istudenti joqogħdu ċ-Ċertifikat tal-Edukazzjoni Primarja tal-Kenja (KCPE), li jiddetermina dawk li jipproċedu għall-iskola sekondarja jew taħriġ vokazzjonali. Ir-riżultat ta 'dan l-eżami huwa meħtieġ għat-tqegħid fl-isk"&amp;"ola sekondarja. L-età tal-iskola primarja hija 6 / 7-13 / 14-il sena. Għal dawk li jipproċedu għal-livell sekondarju, hemm eżami nazzjonali fi tmiem il-Formola Erba '- iċ-Ċertifikat tal-Edukazzjoni Sekondarja tal-Kenja (KCSE), li jiddetermina dawk li jipp"&amp;"roċedu għall-universitajiet, taħriġ professjonali ieħor jew impjieg. L-istudenti joqogħdu eżamijiet fi tmien suġġetti tal-għażla tagħhom. Madankollu, l-Ingliż, il-Kiswahili (lingwi) u l-matematika huma suġġetti obbligatorji.")</f>
        <v>Il-livell tal-litteriżmu tal-pajjiż huwa ta '85% tal-popolazzjoni kollha. Preschool, li jimmira lejn tfal minn tlieta sa ħamsa, huwa komponent integrali tas-sistema edukattiva u huwa rekwiżit ewlieni għall-ammissjoni għall-istandard wieħed (l-ewwel grad). Fi tmiem l-edukazzjoni primarja, l-istudenti joqogħdu ċ-Ċertifikat tal-Edukazzjoni Primarja tal-Kenja (KCPE), li jiddetermina dawk li jipproċedu għall-iskola sekondarja jew taħriġ vokazzjonali. Ir-riżultat ta 'dan l-eżami huwa meħtieġ għat-tqegħid fl-iskola sekondarja. L-età tal-iskola primarja hija 6 / 7-13 / 14-il sena. Għal dawk li jipproċedu għal-livell sekondarju, hemm eżami nazzjonali fi tmiem il-Formola Erba '- iċ-Ċertifikat tal-Edukazzjoni Sekondarja tal-Kenja (KCSE), li jiddetermina dawk li jipproċedu għall-universitajiet, taħriġ professjonali ieħor jew impjieg. L-istudenti joqogħdu eżamijiet fi tmien suġġetti tal-għażla tagħhom. Madankollu, l-Ingliż, il-Kiswahili (lingwi) u l-matematika huma suġġetti obbligatorji.</v>
      </c>
    </row>
    <row r="19136" ht="15.75" customHeight="1">
      <c r="A19136" s="2" t="s">
        <v>19136</v>
      </c>
      <c r="B19136" s="2" t="str">
        <f>IFERROR(__xludf.DUMMYFUNCTION("GOOGLETRANSLATE(A19136, ""en"", ""mt"")"),"Amboise Plot")</f>
        <v>Amboise Plot</v>
      </c>
    </row>
    <row r="19137" ht="15.75" customHeight="1">
      <c r="A19137" s="2" t="s">
        <v>19137</v>
      </c>
      <c r="B19137" s="2" t="str">
        <f>IFERROR(__xludf.DUMMYFUNCTION("GOOGLETRANSLATE(A19137, ""en"", ""mt"")"),"Ippubblika s-sejbiet tiegħu l-ewwel")</f>
        <v>Ippubblika s-sejbiet tiegħu l-ewwel</v>
      </c>
    </row>
    <row r="19138" ht="15.75" customHeight="1">
      <c r="A19138" s="2" t="s">
        <v>19138</v>
      </c>
      <c r="B19138" s="2" t="str">
        <f>IFERROR(__xludf.DUMMYFUNCTION("GOOGLETRANSLATE(A19138, ""en"", ""mt"")"),"X'ġara minn Apollo 13?")</f>
        <v>X'ġara minn Apollo 13?</v>
      </c>
    </row>
    <row r="19139" ht="15.75" customHeight="1">
      <c r="A19139" s="2" t="s">
        <v>19139</v>
      </c>
      <c r="B19139" s="2" t="str">
        <f>IFERROR(__xludf.DUMMYFUNCTION("GOOGLETRANSLATE(A19139, ""en"", ""mt"")"),"F’Ottubru 2010, il-ġurnal xjentifiku b’aċċess miftuħ PLOS PATHOGENS ippubblika dokument minn tim multinazzjonali li wettaq investigazzjoni ġdida dwar ir-rwol ta ’Yersinia pestis fil-mewt sewda wara l-identifikazzjoni kkontestata minn Drancourt u Raoult fl"&amp;"-1998. Huma evalwaw il-preżenza ta’ DNA / RNA b'tekniki ta 'reazzjoni fil-katina tal-polimerażi (PCR) għal Y. pestis mis-sokits tas-snien fl-iskeletri umani mill-oqbra tal-massa fit-tramuntana, l-Ewropa ċentrali u fin-nofsinhar li kienu assoċjati arkeoloġ"&amp;"ikament mal-mewt sewda u r-qawmien mill-ġdid sussegwenti. L-awturi kkonkludew li din ir-riċerka l-ġdida, flimkien ma 'analiżi minn qabel min-nofsinhar ta' Franza u l-Ġermanja, ""... itemm id-dibattitu dwar l-etjoloġija tal-mewt sewda, u mingħajr ambigwità"&amp;" turi li Y. pestis kien l-aġent kawżattiv tal-pesta epidemika dik ħerba l-Ewropa matul il-Medju Evu "".")</f>
        <v>F’Ottubru 2010, il-ġurnal xjentifiku b’aċċess miftuħ PLOS PATHOGENS ippubblika dokument minn tim multinazzjonali li wettaq investigazzjoni ġdida dwar ir-rwol ta ’Yersinia pestis fil-mewt sewda wara l-identifikazzjoni kkontestata minn Drancourt u Raoult fl-1998. Huma evalwaw il-preżenza ta’ DNA / RNA b'tekniki ta 'reazzjoni fil-katina tal-polimerażi (PCR) għal Y. pestis mis-sokits tas-snien fl-iskeletri umani mill-oqbra tal-massa fit-tramuntana, l-Ewropa ċentrali u fin-nofsinhar li kienu assoċjati arkeoloġikament mal-mewt sewda u r-qawmien mill-ġdid sussegwenti. L-awturi kkonkludew li din ir-riċerka l-ġdida, flimkien ma 'analiżi minn qabel min-nofsinhar ta' Franza u l-Ġermanja, "... itemm id-dibattitu dwar l-etjoloġija tal-mewt sewda, u mingħajr ambigwità turi li Y. pestis kien l-aġent kawżattiv tal-pesta epidemika dik ħerba l-Ewropa matul il-Medju Evu ".</v>
      </c>
    </row>
    <row r="19140" ht="15.75" customHeight="1">
      <c r="A19140" s="2" t="s">
        <v>19140</v>
      </c>
      <c r="B19140" s="2" t="str">
        <f>IFERROR(__xludf.DUMMYFUNCTION("GOOGLETRANSLATE(A19140, ""en"", ""mt"")"),"X’kien qed jistudja li tah l-idea tal-arma Teleforce?")</f>
        <v>X’kien qed jistudja li tah l-idea tal-arma Teleforce?</v>
      </c>
    </row>
    <row r="19141" ht="15.75" customHeight="1">
      <c r="A19141" s="2" t="s">
        <v>19141</v>
      </c>
      <c r="B19141" s="2" t="str">
        <f>IFERROR(__xludf.DUMMYFUNCTION("GOOGLETRANSLATE(A19141, ""en"", ""mt"")"),"Problema tal-isomorfiżmu graff")</f>
        <v>Problema tal-isomorfiżmu graff</v>
      </c>
    </row>
    <row r="19142" ht="15.75" customHeight="1">
      <c r="A19142" s="2" t="s">
        <v>19142</v>
      </c>
      <c r="B19142" s="2" t="str">
        <f>IFERROR(__xludf.DUMMYFUNCTION("GOOGLETRANSLATE(A19142, ""en"", ""mt"")"),"Kif huma rranġati l-galleriji li jwarrbu l-ġnien?")</f>
        <v>Kif huma rranġati l-galleriji li jwarrbu l-ġnien?</v>
      </c>
    </row>
    <row r="19143" ht="15.75" customHeight="1">
      <c r="A19143" s="2" t="s">
        <v>19143</v>
      </c>
      <c r="B19143" s="2" t="str">
        <f>IFERROR(__xludf.DUMMYFUNCTION("GOOGLETRANSLATE(A19143, ""en"", ""mt"")"),"Fejn hi l-influwenza Ażjatika l-aktar b'saħħitha fir-Rabat?")</f>
        <v>Fejn hi l-influwenza Ażjatika l-aktar b'saħħitha fir-Rabat?</v>
      </c>
    </row>
    <row r="19144" ht="15.75" customHeight="1">
      <c r="A19144" s="2" t="s">
        <v>19144</v>
      </c>
      <c r="B19144" s="2" t="str">
        <f>IFERROR(__xludf.DUMMYFUNCTION("GOOGLETRANSLATE(A19144, ""en"", ""mt"")"),"Marco Polo")</f>
        <v>Marco Polo</v>
      </c>
    </row>
    <row r="19145" ht="15.75" customHeight="1">
      <c r="A19145" s="2" t="s">
        <v>19145</v>
      </c>
      <c r="B19145" s="2" t="str">
        <f>IFERROR(__xludf.DUMMYFUNCTION("GOOGLETRANSLATE(A19145, ""en"", ""mt"")"),"Neħħi s-sorveljanza tal-gvern")</f>
        <v>Neħħi s-sorveljanza tal-gvern</v>
      </c>
    </row>
    <row r="19146" ht="15.75" customHeight="1">
      <c r="A19146" s="2" t="s">
        <v>19146</v>
      </c>
      <c r="B19146" s="2" t="str">
        <f>IFERROR(__xludf.DUMMYFUNCTION("GOOGLETRANSLATE(A19146, ""en"", ""mt"")"),"828,000")</f>
        <v>828,000</v>
      </c>
    </row>
    <row r="19147" ht="15.75" customHeight="1">
      <c r="A19147" s="2" t="s">
        <v>19147</v>
      </c>
      <c r="B19147" s="2" t="str">
        <f>IFERROR(__xludf.DUMMYFUNCTION("GOOGLETRANSLATE(A19147, ""en"", ""mt"")"),"somma ta 'diviżuri")</f>
        <v>somma ta 'diviżuri</v>
      </c>
    </row>
    <row r="19148" ht="15.75" customHeight="1">
      <c r="A19148" s="2" t="s">
        <v>19148</v>
      </c>
      <c r="B19148" s="2" t="str">
        <f>IFERROR(__xludf.DUMMYFUNCTION("GOOGLETRANSLATE(A19148, ""en"", ""mt"")"),"ġeneralment umani, jew aljeni umanojdi")</f>
        <v>ġeneralment umani, jew aljeni umanojdi</v>
      </c>
    </row>
    <row r="19149" ht="15.75" customHeight="1">
      <c r="A19149" s="2" t="s">
        <v>19149</v>
      </c>
      <c r="B19149" s="2" t="str">
        <f>IFERROR(__xludf.DUMMYFUNCTION("GOOGLETRANSLATE(A19149, ""en"", ""mt"")"),"Migrazzjoni interna u urbanizzazzjoni.")</f>
        <v>Migrazzjoni interna u urbanizzazzjoni.</v>
      </c>
    </row>
    <row r="19150" ht="15.75" customHeight="1">
      <c r="A19150" s="2" t="s">
        <v>19150</v>
      </c>
      <c r="B19150" s="2" t="str">
        <f>IFERROR(__xludf.DUMMYFUNCTION("GOOGLETRANSLATE(A19150, ""en"", ""mt"")"),"300 m3 / s")</f>
        <v>300 m3 / s</v>
      </c>
    </row>
    <row r="19151" ht="15.75" customHeight="1">
      <c r="A19151" s="2" t="s">
        <v>19151</v>
      </c>
      <c r="B19151" s="2" t="str">
        <f>IFERROR(__xludf.DUMMYFUNCTION("GOOGLETRANSLATE(A19151, ""en"", ""mt"")"),"X'kien l-isem tal-blat misjub waqt il-missjoni Apollo 15 li fih ġie skopert Kreep?")</f>
        <v>X'kien l-isem tal-blat misjub waqt il-missjoni Apollo 15 li fih ġie skopert Kreep?</v>
      </c>
    </row>
    <row r="19152" ht="15.75" customHeight="1">
      <c r="A19152" s="2" t="s">
        <v>19152</v>
      </c>
      <c r="B19152" s="2" t="str">
        <f>IFERROR(__xludf.DUMMYFUNCTION("GOOGLETRANSLATE(A19152, ""en"", ""mt"")"),"bagħat lil Dieskau fil-Fort San Frédéric biex jiltaqa 'ma' dik it-theddida")</f>
        <v>bagħat lil Dieskau fil-Fort San Frédéric biex jiltaqa 'ma' dik it-theddida</v>
      </c>
    </row>
    <row r="19153" ht="15.75" customHeight="1">
      <c r="A19153" s="2" t="s">
        <v>19153</v>
      </c>
      <c r="B19153" s="2" t="str">
        <f>IFERROR(__xludf.DUMMYFUNCTION("GOOGLETRANSLATE(A19153, ""en"", ""mt"")"),"F'liema każ il-Qorti tal-Ġustizzja rrevediet il-projbizzjonijiet Żvediżi fuq ir-reklamar lil tfal żgħar taħt it-12?")</f>
        <v>F'liema każ il-Qorti tal-Ġustizzja rrevediet il-projbizzjonijiet Żvediżi fuq ir-reklamar lil tfal żgħar taħt it-12?</v>
      </c>
    </row>
    <row r="19154" ht="15.75" customHeight="1">
      <c r="A19154" s="2" t="s">
        <v>19154</v>
      </c>
      <c r="B19154" s="2" t="str">
        <f>IFERROR(__xludf.DUMMYFUNCTION("GOOGLETRANSLATE(A19154, ""en"", ""mt"")"),"Kamera tat-televiżjoni bil-kulur")</f>
        <v>Kamera tat-televiżjoni bil-kulur</v>
      </c>
    </row>
    <row r="19155" ht="15.75" customHeight="1">
      <c r="A19155" s="2" t="s">
        <v>19155</v>
      </c>
      <c r="B19155" s="2" t="str">
        <f>IFERROR(__xludf.DUMMYFUNCTION("GOOGLETRANSLATE(A19155, ""en"", ""mt"")"),"standards miftuħa")</f>
        <v>standards miftuħa</v>
      </c>
    </row>
    <row r="19156" ht="15.75" customHeight="1">
      <c r="A19156" s="2" t="s">
        <v>19156</v>
      </c>
      <c r="B19156" s="2" t="str">
        <f>IFERROR(__xludf.DUMMYFUNCTION("GOOGLETRANSLATE(A19156, ""en"", ""mt"")"),"Liema Punent kien programm ewlieni għal ABC madwar l-1954?")</f>
        <v>Liema Punent kien programm ewlieni għal ABC madwar l-1954?</v>
      </c>
    </row>
    <row r="19157" ht="15.75" customHeight="1">
      <c r="A19157" s="2" t="s">
        <v>19157</v>
      </c>
      <c r="B19157" s="2" t="str">
        <f>IFERROR(__xludf.DUMMYFUNCTION("GOOGLETRANSLATE(A19157, ""en"", ""mt"")"),"Deke Slayton, l-astronawt tal-Merkurju li sar l-art li sar direttur tal-operazzjonijiet tal-ekwipaġġ tat-titjira għall-programmi Gemini u Apollo, għażel l-ewwel ekwipaġġ ta 'Apollo f'Jannar 1966, bi Grissom bħala l-pilota tal-kmand, abjad bħala pilota anz"&amp;"jan, u r-rookie Donn Donn F. Eisele bħala pilota. Iżda Eisele diżlokat l-ispalla darbtejn abbord l-inġenji tal-ajru tat-taħriġ tal-piż tal-KC135, u kellu jgħaddi minn operazzjoni fis-27 ta 'Jannar. Slayton ħa postha ma' Chaffee. In-NASA ħabbret l-għażla f"&amp;"inali tal-ekwipaġġ għal AS-204 fil-21 ta 'Marzu, 1966, bl-ekwipaġġ tal-backup jikkonsisti mill-veterani tal-Gemini James McDivitt u David Scott, mar-rookie Russell L. ""Rusty"" Schweichart. Il-veteran tal-Merkurju / Gemini Wally Schirra, Eisele, u r-rooki"&amp;"e Walter Cunningham tħabbru fid-29 ta 'Settembru bħala l-ekwipaġġ ewlieni għal AS-205.")</f>
        <v>Deke Slayton, l-astronawt tal-Merkurju li sar l-art li sar direttur tal-operazzjonijiet tal-ekwipaġġ tat-titjira għall-programmi Gemini u Apollo, għażel l-ewwel ekwipaġġ ta 'Apollo f'Jannar 1966, bi Grissom bħala l-pilota tal-kmand, abjad bħala pilota anzjan, u r-rookie Donn Donn F. Eisele bħala pilota. Iżda Eisele diżlokat l-ispalla darbtejn abbord l-inġenji tal-ajru tat-taħriġ tal-piż tal-KC135, u kellu jgħaddi minn operazzjoni fis-27 ta 'Jannar. Slayton ħa postha ma' Chaffee. In-NASA ħabbret l-għażla finali tal-ekwipaġġ għal AS-204 fil-21 ta 'Marzu, 1966, bl-ekwipaġġ tal-backup jikkonsisti mill-veterani tal-Gemini James McDivitt u David Scott, mar-rookie Russell L. "Rusty" Schweichart. Il-veteran tal-Merkurju / Gemini Wally Schirra, Eisele, u r-rookie Walter Cunningham tħabbru fid-29 ta 'Settembru bħala l-ekwipaġġ ewlieni għal AS-205.</v>
      </c>
    </row>
    <row r="19158" ht="15.75" customHeight="1">
      <c r="A19158" s="2" t="s">
        <v>19158</v>
      </c>
      <c r="B19158" s="2" t="str">
        <f>IFERROR(__xludf.DUMMYFUNCTION("GOOGLETRANSLATE(A19158, ""en"", ""mt"")"),"Għalkemm mhux karburant ___ huwa l-kompost kimiku, jiġġenera l-iktar okkorrenza ta 'splużjonijiet.")</f>
        <v>Għalkemm mhux karburant ___ huwa l-kompost kimiku, jiġġenera l-iktar okkorrenza ta 'splużjonijiet.</v>
      </c>
    </row>
    <row r="19159" ht="15.75" customHeight="1">
      <c r="A19159" s="2" t="s">
        <v>19159</v>
      </c>
      <c r="B19159" s="2" t="str">
        <f>IFERROR(__xludf.DUMMYFUNCTION("GOOGLETRANSLATE(A19159, ""en"", ""mt"")"),"l-għanijiet li jirċievi mis-superjur tiegħu.")</f>
        <v>l-għanijiet li jirċievi mis-superjur tiegħu.</v>
      </c>
    </row>
    <row r="19160" ht="15.75" customHeight="1">
      <c r="A19160" s="2" t="s">
        <v>19160</v>
      </c>
      <c r="B19160" s="2" t="str">
        <f>IFERROR(__xludf.DUMMYFUNCTION("GOOGLETRANSLATE(A19160, ""en"", ""mt"")"),"Minbarra avvenimenti kulturali, liema attrazzjoni turistika oħra għandha?")</f>
        <v>Minbarra avvenimenti kulturali, liema attrazzjoni turistika oħra għandha?</v>
      </c>
    </row>
    <row r="19161" ht="15.75" customHeight="1">
      <c r="A19161" s="2" t="s">
        <v>19161</v>
      </c>
      <c r="B19161" s="2" t="str">
        <f>IFERROR(__xludf.DUMMYFUNCTION("GOOGLETRANSLATE(A19161, ""en"", ""mt"")"),"Għal liema belt marret Tesla fl-1880?")</f>
        <v>Għal liema belt marret Tesla fl-1880?</v>
      </c>
    </row>
    <row r="19162" ht="15.75" customHeight="1">
      <c r="A19162" s="2" t="s">
        <v>19162</v>
      </c>
      <c r="B19162" s="2" t="str">
        <f>IFERROR(__xludf.DUMMYFUNCTION("GOOGLETRANSLATE(A19162, ""en"", ""mt"")"),"Knisja Kattolika")</f>
        <v>Knisja Kattolika</v>
      </c>
    </row>
    <row r="19163" ht="15.75" customHeight="1">
      <c r="A19163" s="2" t="s">
        <v>19163</v>
      </c>
      <c r="B19163" s="2" t="str">
        <f>IFERROR(__xludf.DUMMYFUNCTION("GOOGLETRANSLATE(A19163, ""en"", ""mt"")"),"X'inhuma eżempji ta 'servizzi kliniċi li l-ispiżjara jistgħu jipprovdu?")</f>
        <v>X'inhuma eżempji ta 'servizzi kliniċi li l-ispiżjara jistgħu jipprovdu?</v>
      </c>
    </row>
    <row r="19164" ht="15.75" customHeight="1">
      <c r="A19164" s="2" t="s">
        <v>19164</v>
      </c>
      <c r="B19164" s="2" t="str">
        <f>IFERROR(__xludf.DUMMYFUNCTION("GOOGLETRANSLATE(A19164, ""en"", ""mt"")"),"Din il-bidla diġà bdiet f'xi pajjiżi; Pereżempju, l-ispiżjara fl-Awstralja jirċievu remunerazzjoni mill-gvern Awstraljan biex iwettqu reviżjonijiet komprensivi ta 'mediċini fid-dar. Fil-Kanada, l-ispiżjara f'ċerti provinċji għandhom drittijiet ta 'preskri"&amp;"zzjoni limitati (bħal fl-Alberta u l-Kolumbja Brittanika) jew huma remunerati mill-gvern provinċjali tagħhom għal servizzi estiżi bħal reviżjonijiet ta' mediċini (medschecks fl-Ontario). Fir-Renju Unit, l-ispiżjara li jagħmlu taħriġ addizzjonali qed jiksb"&amp;"u drittijiet li jippreskrivu u dan minħabba edukazzjoni fl-ispiżerija. Huma wkoll qed jitħallsu mill-Gvern għar-reviżjonijiet tal-użu tal-mediċina. Fl-Iskozja l-ispiżjar jista 'jikteb preskrizzjonijiet għal pazjenti rreġistrati Skoċċiżi tal-mediċini regol"&amp;"ari tagħhom, għall-maġġoranza tal-mediċini, ħlief għal mediċini kkontrollati, meta l-pazjent ma jkunx jista' jara lit-tabib tagħhom, kif jista 'jiġri jekk huma' l bogħod mid-dar jew it-tabib huwa mhux disponibbli. Fl-Istati Uniti, il-kura farmaċewtika jew"&amp;" l-ispiżerija klinika kellhom influwenza li qed tevolvi fuq il-prattika tal-ispiżerija. Barra minn hekk, il-grad tad-Duttur tal-Ispiżerija (Pharm. D.) issa huwa meħtieġ qabel ma jidħol fil-prattika u xi spiżjara issa jtemmu sena jew sentejn ta 'taħriġ ta'"&amp;" residenza jew boroż ta 'studju wara l-gradwazzjoni. Barra minn hekk, l-ispiżjara konsulenti, li tradizzjonalment operaw primarjament fid-djar tal-anzjani issa qed jespandu f'konsultazzjoni diretta mal-pazjenti, taħt il-bandiera ta '""Pharmacy tal-Kura An"&amp;"zjana.""")</f>
        <v>Din il-bidla diġà bdiet f'xi pajjiżi; Pereżempju, l-ispiżjara fl-Awstralja jirċievu remunerazzjoni mill-gvern Awstraljan biex iwettqu reviżjonijiet komprensivi ta 'mediċini fid-dar. Fil-Kanada, l-ispiżjara f'ċerti provinċji għandhom drittijiet ta 'preskrizzjoni limitati (bħal fl-Alberta u l-Kolumbja Brittanika) jew huma remunerati mill-gvern provinċjali tagħhom għal servizzi estiżi bħal reviżjonijiet ta' mediċini (medschecks fl-Ontario). Fir-Renju Unit, l-ispiżjara li jagħmlu taħriġ addizzjonali qed jiksbu drittijiet li jippreskrivu u dan minħabba edukazzjoni fl-ispiżerija. Huma wkoll qed jitħallsu mill-Gvern għar-reviżjonijiet tal-użu tal-mediċina. Fl-Iskozja l-ispiżjar jista 'jikteb preskrizzjonijiet għal pazjenti rreġistrati Skoċċiżi tal-mediċini regolari tagħhom, għall-maġġoranza tal-mediċini, ħlief għal mediċini kkontrollati, meta l-pazjent ma jkunx jista' jara lit-tabib tagħhom, kif jista 'jiġri jekk huma' l bogħod mid-dar jew it-tabib huwa mhux disponibbli. Fl-Istati Uniti, il-kura farmaċewtika jew l-ispiżerija klinika kellhom influwenza li qed tevolvi fuq il-prattika tal-ispiżerija. Barra minn hekk, il-grad tad-Duttur tal-Ispiżerija (Pharm. D.) issa huwa meħtieġ qabel ma jidħol fil-prattika u xi spiżjara issa jtemmu sena jew sentejn ta 'taħriġ ta' residenza jew boroż ta 'studju wara l-gradwazzjoni. Barra minn hekk, l-ispiżjara konsulenti, li tradizzjonalment operaw primarjament fid-djar tal-anzjani issa qed jespandu f'konsultazzjoni diretta mal-pazjenti, taħt il-bandiera ta '"Pharmacy tal-Kura Anzjana."</v>
      </c>
    </row>
    <row r="19165" ht="15.75" customHeight="1">
      <c r="A19165" s="2" t="s">
        <v>19165</v>
      </c>
      <c r="B19165" s="2" t="str">
        <f>IFERROR(__xludf.DUMMYFUNCTION("GOOGLETRANSLATE(A19165, ""en"", ""mt"")"),"L-istess sess")</f>
        <v>L-istess sess</v>
      </c>
    </row>
    <row r="19166" ht="15.75" customHeight="1">
      <c r="A19166" s="2" t="s">
        <v>19166</v>
      </c>
      <c r="B19166" s="2" t="str">
        <f>IFERROR(__xludf.DUMMYFUNCTION("GOOGLETRANSLATE(A19166, ""en"", ""mt"")"),"tnaqqis fil-livelli tal-ormoni bl-età")</f>
        <v>tnaqqis fil-livelli tal-ormoni bl-età</v>
      </c>
    </row>
    <row r="19167" ht="15.75" customHeight="1">
      <c r="A19167" s="2" t="s">
        <v>19167</v>
      </c>
      <c r="B19167" s="2" t="str">
        <f>IFERROR(__xludf.DUMMYFUNCTION("GOOGLETRANSLATE(A19167, ""en"", ""mt"")"),"Sistemi Cisco")</f>
        <v>Sistemi Cisco</v>
      </c>
    </row>
    <row r="19168" ht="15.75" customHeight="1">
      <c r="A19168" s="2" t="s">
        <v>19168</v>
      </c>
      <c r="B19168" s="2" t="str">
        <f>IFERROR(__xludf.DUMMYFUNCTION("GOOGLETRANSLATE(A19168, ""en"", ""mt"")"),"Fil-11 ta 'Lulju 1934")</f>
        <v>Fil-11 ta 'Lulju 1934</v>
      </c>
    </row>
    <row r="19169" ht="15.75" customHeight="1">
      <c r="A19169" s="2" t="s">
        <v>19169</v>
      </c>
      <c r="B19169" s="2" t="str">
        <f>IFERROR(__xludf.DUMMYFUNCTION("GOOGLETRANSLATE(A19169, ""en"", ""mt"")"),"(HDTV)")</f>
        <v>(HDTV)</v>
      </c>
    </row>
    <row r="19170" ht="15.75" customHeight="1">
      <c r="A19170" s="2" t="s">
        <v>19170</v>
      </c>
      <c r="B19170" s="2" t="str">
        <f>IFERROR(__xludf.DUMMYFUNCTION("GOOGLETRANSLATE(A19170, ""en"", ""mt"")"),"Fuq liema riżorsi naturali l-gvern Ċiniż kellu monopolju?")</f>
        <v>Fuq liema riżorsi naturali l-gvern Ċiniż kellu monopolju?</v>
      </c>
    </row>
    <row r="19171" ht="15.75" customHeight="1">
      <c r="A19171" s="2" t="s">
        <v>19171</v>
      </c>
      <c r="B19171" s="2" t="str">
        <f>IFERROR(__xludf.DUMMYFUNCTION("GOOGLETRANSLATE(A19171, ""en"", ""mt"")"),"Min hu fil-biċċa l-kbira meqjus bħala l-ewwel teologu Metodist Magħqud?")</f>
        <v>Min hu fil-biċċa l-kbira meqjus bħala l-ewwel teologu Metodist Magħqud?</v>
      </c>
    </row>
    <row r="19172" ht="15.75" customHeight="1">
      <c r="A19172" s="2" t="s">
        <v>19172</v>
      </c>
      <c r="B19172" s="2" t="str">
        <f>IFERROR(__xludf.DUMMYFUNCTION("GOOGLETRANSLATE(A19172, ""en"", ""mt"")"),"Omm qed tiddikjara ħażin li qed tgħix waħedha")</f>
        <v>Omm qed tiddikjara ħażin li qed tgħix waħedha</v>
      </c>
    </row>
    <row r="19173" ht="15.75" customHeight="1">
      <c r="A19173" s="2" t="s">
        <v>19173</v>
      </c>
      <c r="B19173" s="2" t="str">
        <f>IFERROR(__xludf.DUMMYFUNCTION("GOOGLETRANSLATE(A19173, ""en"", ""mt"")"),"Luther li ċempel lil Luther biex twaqqaf ir-rewwixta?")</f>
        <v>Luther li ċempel lil Luther biex twaqqaf ir-rewwixta?</v>
      </c>
    </row>
    <row r="19174" ht="15.75" customHeight="1">
      <c r="A19174" s="2" t="s">
        <v>19174</v>
      </c>
      <c r="B19174" s="2" t="str">
        <f>IFERROR(__xludf.DUMMYFUNCTION("GOOGLETRANSLATE(A19174, ""en"", ""mt"")"),"Émile Girardeau,")</f>
        <v>Émile Girardeau,</v>
      </c>
    </row>
    <row r="19175" ht="15.75" customHeight="1">
      <c r="A19175" s="2" t="s">
        <v>19175</v>
      </c>
      <c r="B19175" s="2" t="str">
        <f>IFERROR(__xludf.DUMMYFUNCTION("GOOGLETRANSLATE(A19175, ""en"", ""mt"")"),"Liema kulur tal-kulur għandu Denver 0-4?")</f>
        <v>Liema kulur tal-kulur għandu Denver 0-4?</v>
      </c>
    </row>
    <row r="19176" ht="15.75" customHeight="1">
      <c r="A19176" s="2" t="s">
        <v>19176</v>
      </c>
      <c r="B19176" s="2" t="str">
        <f>IFERROR(__xludf.DUMMYFUNCTION("GOOGLETRANSLATE(A19176, ""en"", ""mt"")"),"Madwar 8-15")</f>
        <v>Madwar 8-15</v>
      </c>
    </row>
    <row r="19177" ht="15.75" customHeight="1">
      <c r="A19177" s="2" t="s">
        <v>19177</v>
      </c>
      <c r="B19177" s="2" t="str">
        <f>IFERROR(__xludf.DUMMYFUNCTION("GOOGLETRANSLATE(A19177, ""en"", ""mt"")"),"billi n-netwerk intermedju nodi bl-użu b'mod sinkroniku bl-ewwel-in, l-ewwel buffering, iżda jista 'jintbagħat skond xi dixxiplina ta' skedar għal kju ġust")</f>
        <v>billi n-netwerk intermedju nodi bl-użu b'mod sinkroniku bl-ewwel-in, l-ewwel buffering, iżda jista 'jintbagħat skond xi dixxiplina ta' skedar għal kju ġust</v>
      </c>
    </row>
    <row r="19178" ht="15.75" customHeight="1">
      <c r="A19178" s="2" t="s">
        <v>19178</v>
      </c>
      <c r="B19178" s="2" t="str">
        <f>IFERROR(__xludf.DUMMYFUNCTION("GOOGLETRANSLATE(A19178, ""en"", ""mt"")"),"Il-konġettura ta 'Brocard")</f>
        <v>Il-konġettura ta 'Brocard</v>
      </c>
    </row>
    <row r="19179" ht="15.75" customHeight="1">
      <c r="A19179" s="2" t="s">
        <v>19179</v>
      </c>
      <c r="B19179" s="2" t="str">
        <f>IFERROR(__xludf.DUMMYFUNCTION("GOOGLETRANSLATE(A19179, ""en"", ""mt"")"),"X'jista 'jikkontribwixxi b'mod sinifikanti għall-inugwaljanza kontinwa f'soċjetà maż-żmien?")</f>
        <v>X'jista 'jikkontribwixxi b'mod sinifikanti għall-inugwaljanza kontinwa f'soċjetà maż-żmien?</v>
      </c>
    </row>
    <row r="19180" ht="15.75" customHeight="1">
      <c r="A19180" s="2" t="s">
        <v>19180</v>
      </c>
      <c r="B19180" s="2" t="str">
        <f>IFERROR(__xludf.DUMMYFUNCTION("GOOGLETRANSLATE(A19180, ""en"", ""mt"")"),"Għal xiex tispikka l-AC?")</f>
        <v>Għal xiex tispikka l-AC?</v>
      </c>
    </row>
    <row r="19181" ht="15.75" customHeight="1">
      <c r="A19181" s="2" t="s">
        <v>19181</v>
      </c>
      <c r="B19181" s="2" t="str">
        <f>IFERROR(__xludf.DUMMYFUNCTION("GOOGLETRANSLATE(A19181, ""en"", ""mt"")"),"Min kien l-ewwel Amerikan li rebaħ il-Premju Memorial Nobel fix-Xjenzi Ekonomiċi?")</f>
        <v>Min kien l-ewwel Amerikan li rebaħ il-Premju Memorial Nobel fix-Xjenzi Ekonomiċi?</v>
      </c>
    </row>
    <row r="19182" ht="15.75" customHeight="1">
      <c r="A19182" s="2" t="s">
        <v>19182</v>
      </c>
      <c r="B19182" s="2" t="str">
        <f>IFERROR(__xludf.DUMMYFUNCTION("GOOGLETRANSLATE(A19182, ""en"", ""mt"")"),"Meta ġie ppubblikat l-esej ta 'Thoreau?")</f>
        <v>Meta ġie ppubblikat l-esej ta 'Thoreau?</v>
      </c>
    </row>
    <row r="19183" ht="15.75" customHeight="1">
      <c r="A19183" s="2" t="s">
        <v>19183</v>
      </c>
      <c r="B19183" s="2" t="str">
        <f>IFERROR(__xludf.DUMMYFUNCTION("GOOGLETRANSLATE(A19183, ""en"", ""mt"")"),"Fejn huma l-aktar komuni s-saħħa u l-problemi soċjali?")</f>
        <v>Fejn huma l-aktar komuni s-saħħa u l-problemi soċjali?</v>
      </c>
    </row>
    <row r="19184" ht="15.75" customHeight="1">
      <c r="A19184" s="2" t="s">
        <v>19184</v>
      </c>
      <c r="B19184" s="2" t="str">
        <f>IFERROR(__xludf.DUMMYFUNCTION("GOOGLETRANSLATE(A19184, ""en"", ""mt"")"),"Tliet ċinemas")</f>
        <v>Tliet ċinemas</v>
      </c>
    </row>
    <row r="19185" ht="15.75" customHeight="1">
      <c r="A19185" s="2" t="s">
        <v>19185</v>
      </c>
      <c r="B19185" s="2" t="str">
        <f>IFERROR(__xludf.DUMMYFUNCTION("GOOGLETRANSLATE(A19185, ""en"", ""mt"")"),"Noetherjan")</f>
        <v>Noetherjan</v>
      </c>
    </row>
    <row r="19186" ht="15.75" customHeight="1">
      <c r="A19186" s="2" t="s">
        <v>19186</v>
      </c>
      <c r="B19186" s="2" t="str">
        <f>IFERROR(__xludf.DUMMYFUNCTION("GOOGLETRANSLATE(A19186, ""en"", ""mt"")"),"Spazjali Apollo Ġdid, iddisinjat biex jakkomoda attività extravehicular lunari")</f>
        <v>Spazjali Apollo Ġdid, iddisinjat biex jakkomoda attività extravehicular lunari</v>
      </c>
    </row>
    <row r="19187" ht="15.75" customHeight="1">
      <c r="A19187" s="2" t="s">
        <v>19187</v>
      </c>
      <c r="B19187" s="2" t="str">
        <f>IFERROR(__xludf.DUMMYFUNCTION("GOOGLETRANSLATE(A19187, ""en"", ""mt"")"),"Liema rati ta 'problemi tas-saħħa u soċjali huma f'pajjiżi b'inugwaljanza għolja?")</f>
        <v>Liema rati ta 'problemi tas-saħħa u soċjali huma f'pajjiżi b'inugwaljanza għolja?</v>
      </c>
    </row>
    <row r="19188" ht="15.75" customHeight="1">
      <c r="A19188" s="2" t="s">
        <v>19188</v>
      </c>
      <c r="B19188" s="2" t="str">
        <f>IFERROR(__xludf.DUMMYFUNCTION("GOOGLETRANSLATE(A19188, ""en"", ""mt"")"),"Aktar minn ħames miljun passiġġier")</f>
        <v>Aktar minn ħames miljun passiġġier</v>
      </c>
    </row>
    <row r="19189" ht="15.75" customHeight="1">
      <c r="A19189" s="2" t="s">
        <v>19189</v>
      </c>
      <c r="B19189" s="2" t="str">
        <f>IFERROR(__xludf.DUMMYFUNCTION("GOOGLETRANSLATE(A19189, ""en"", ""mt"")"),"Liema stazzjon kopra l-logħba għal North Carolina?")</f>
        <v>Liema stazzjon kopra l-logħba għal North Carolina?</v>
      </c>
    </row>
    <row r="19190" ht="15.75" customHeight="1">
      <c r="A19190" s="2" t="s">
        <v>19190</v>
      </c>
      <c r="B19190" s="2" t="str">
        <f>IFERROR(__xludf.DUMMYFUNCTION("GOOGLETRANSLATE(A19190, ""en"", ""mt"")"),"L-ACME tal-magna orizzontali kienet il-magna tal-fwar Corliss, brevettata fl-1849, li kienet magna tal-fluss tal-counter b'erba 'valv b'ammissjoni tal-fwar separata u valvi tal-egżost u cutoff tal-fwar varjabbli awtomatiku. Meta Corliss ingħata l-midalja "&amp;"Rumford, il-kumitat qal li ""l-ebda invenzjoni minn żmien Watt tant tejjeb l-effiċjenza tal-magna tal-fwar"". Minbarra li tuża 30% inqas fwar, hija pprovdiet veloċità aktar uniformi minħabba l-fwar varjabbli maqtugħ, li jagħmilha adattata tajjeb għall-man"&amp;"ifattura, speċjalment l-għażil tal-qoton.")</f>
        <v>L-ACME tal-magna orizzontali kienet il-magna tal-fwar Corliss, brevettata fl-1849, li kienet magna tal-fluss tal-counter b'erba 'valv b'ammissjoni tal-fwar separata u valvi tal-egżost u cutoff tal-fwar varjabbli awtomatiku. Meta Corliss ingħata l-midalja Rumford, il-kumitat qal li "l-ebda invenzjoni minn żmien Watt tant tejjeb l-effiċjenza tal-magna tal-fwar". Minbarra li tuża 30% inqas fwar, hija pprovdiet veloċità aktar uniformi minħabba l-fwar varjabbli maqtugħ, li jagħmilha adattata tajjeb għall-manifattura, speċjalment l-għażil tal-qoton.</v>
      </c>
    </row>
    <row r="19191" ht="15.75" customHeight="1">
      <c r="A19191" s="2" t="s">
        <v>19191</v>
      </c>
      <c r="B19191" s="2" t="str">
        <f>IFERROR(__xludf.DUMMYFUNCTION("GOOGLETRANSLATE(A19191, ""en"", ""mt"")"),"F'liema kontinent minbarra l-Asja kien hemm kisbiet kbar magħmula mill-Imperu Brittaniku fl-aħħar tas-seklu 19?")</f>
        <v>F'liema kontinent minbarra l-Asja kien hemm kisbiet kbar magħmula mill-Imperu Brittaniku fl-aħħar tas-seklu 19?</v>
      </c>
    </row>
    <row r="19192" ht="15.75" customHeight="1">
      <c r="A19192" s="2" t="s">
        <v>19192</v>
      </c>
      <c r="B19192" s="2" t="str">
        <f>IFERROR(__xludf.DUMMYFUNCTION("GOOGLETRANSLATE(A19192, ""en"", ""mt"")"),"X'promwoviet NSFNET")</f>
        <v>X'promwoviet NSFNET</v>
      </c>
    </row>
    <row r="19193" ht="15.75" customHeight="1">
      <c r="A19193" s="2" t="s">
        <v>19193</v>
      </c>
      <c r="B19193" s="2" t="str">
        <f>IFERROR(__xludf.DUMMYFUNCTION("GOOGLETRANSLATE(A19193, ""en"", ""mt"")"),"il-membrana tal-endosymbiont primarju")</f>
        <v>il-membrana tal-endosymbiont primarju</v>
      </c>
    </row>
    <row r="19194" ht="15.75" customHeight="1">
      <c r="A19194" s="2" t="s">
        <v>19194</v>
      </c>
      <c r="B19194" s="2" t="str">
        <f>IFERROR(__xludf.DUMMYFUNCTION("GOOGLETRANSLATE(A19194, ""en"", ""mt"")"),"Liema karatteristika f'dawn l-aħħar snin kienet marbuta ħafna mas-saħħa f'pajjiżi żviluppati?")</f>
        <v>Liema karatteristika f'dawn l-aħħar snin kienet marbuta ħafna mas-saħħa f'pajjiżi żviluppati?</v>
      </c>
    </row>
    <row r="19195" ht="15.75" customHeight="1">
      <c r="A19195" s="2" t="s">
        <v>19195</v>
      </c>
      <c r="B19195" s="2" t="str">
        <f>IFERROR(__xludf.DUMMYFUNCTION("GOOGLETRANSLATE(A19195, ""en"", ""mt"")"),"Liema xiri ta 'armi ta' pajjiż mill-Istati Uniti sar 5 darbiet aktar minn Iżrael?")</f>
        <v>Liema xiri ta 'armi ta' pajjiż mill-Istati Uniti sar 5 darbiet aktar minn Iżrael?</v>
      </c>
    </row>
    <row r="19196" ht="15.75" customHeight="1">
      <c r="A19196" s="2" t="s">
        <v>19196</v>
      </c>
      <c r="B19196" s="2" t="str">
        <f>IFERROR(__xludf.DUMMYFUNCTION("GOOGLETRANSLATE(A19196, ""en"", ""mt"")"),"Ma 'xiex jikkorrelataw il-moviment tax-xogħol dgħajjef?")</f>
        <v>Ma 'xiex jikkorrelataw il-moviment tax-xogħol dgħajjef?</v>
      </c>
    </row>
    <row r="19197" ht="15.75" customHeight="1">
      <c r="A19197" s="2" t="s">
        <v>19197</v>
      </c>
      <c r="B19197" s="2" t="str">
        <f>IFERROR(__xludf.DUMMYFUNCTION("GOOGLETRANSLATE(A19197, ""en"", ""mt"")"),"Liema element jifforma kważi nofs il-qoxra tad-dinja bil-massa?")</f>
        <v>Liema element jifforma kważi nofs il-qoxra tad-dinja bil-massa?</v>
      </c>
    </row>
    <row r="19198" ht="15.75" customHeight="1">
      <c r="A19198" s="2" t="s">
        <v>19198</v>
      </c>
      <c r="B19198" s="2" t="str">
        <f>IFERROR(__xludf.DUMMYFUNCTION("GOOGLETRANSLATE(A19198, ""en"", ""mt"")"),"Liema pajjiż kien Abhisit Vejjajiva Prim Ministru, minkejja li twieled fi Newcastle?")</f>
        <v>Liema pajjiż kien Abhisit Vejjajiva Prim Ministru, minkejja li twieled fi Newcastle?</v>
      </c>
    </row>
    <row r="19199" ht="15.75" customHeight="1">
      <c r="A19199" s="2" t="s">
        <v>19199</v>
      </c>
      <c r="B19199" s="2" t="str">
        <f>IFERROR(__xludf.DUMMYFUNCTION("GOOGLETRANSLATE(A19199, ""en"", ""mt"")"),"X'inhi l-akbar librerija indipendenti barra minn Londra?")</f>
        <v>X'inhi l-akbar librerija indipendenti barra minn Londra?</v>
      </c>
    </row>
    <row r="19200" ht="15.75" customHeight="1">
      <c r="A19200" s="2" t="s">
        <v>19200</v>
      </c>
      <c r="B19200" s="2" t="str">
        <f>IFERROR(__xludf.DUMMYFUNCTION("GOOGLETRANSLATE(A19200, ""en"", ""mt"")"),"Sinifikat tal-kliem mitkellem minn Ġesù")</f>
        <v>Sinifikat tal-kliem mitkellem minn Ġesù</v>
      </c>
    </row>
    <row r="19201" ht="15.75" customHeight="1">
      <c r="A19201" s="2" t="s">
        <v>19201</v>
      </c>
      <c r="B19201" s="2" t="str">
        <f>IFERROR(__xludf.DUMMYFUNCTION("GOOGLETRANSLATE(A19201, ""en"", ""mt"")"),"Wing tal-iskultura")</f>
        <v>Wing tal-iskultura</v>
      </c>
    </row>
    <row r="19202" ht="15.75" customHeight="1">
      <c r="A19202" s="2" t="s">
        <v>19202</v>
      </c>
      <c r="B19202" s="2" t="str">
        <f>IFERROR(__xludf.DUMMYFUNCTION("GOOGLETRANSLATE(A19202, ""en"", ""mt"")"),"Cengiz Han, Çingiz Xan, Çingiz Han, Chingizxon, Çıñğız Xan, Chengez Khan, Chinggis Khan, Chinggis Xaan, Chingis Khan, Jenghis Khan, Chinggis Qan, Djingis Kahn")</f>
        <v>Cengiz Han, Çingiz Xan, Çingiz Han, Chingizxon, Çıñğız Xan, Chengez Khan, Chinggis Khan, Chinggis Xaan, Chingis Khan, Jenghis Khan, Chinggis Qan, Djingis Kahn</v>
      </c>
    </row>
    <row r="19203" ht="15.75" customHeight="1">
      <c r="A19203" s="2" t="s">
        <v>19203</v>
      </c>
      <c r="B19203" s="2" t="str">
        <f>IFERROR(__xludf.DUMMYFUNCTION("GOOGLETRANSLATE(A19203, ""en"", ""mt"")"),"Il-Panthers temmew l-istaġun regolari b'rekord ta '15-1, u l-quarterback Cam Newton ġie msemmi l-NFL l-iktar Player Valut (MVP). Huma għelbu lill-Kardinali tal-Arizona 49-15 fil-logħba tal-Kampjonat NFC u avvanzaw għat-tieni dehra tagħhom ta 'Super Bowl m"&amp;"inn meta twaqqfet il-franchise fl-1995. Il-Broncos temm l-istaġun regolari b'rekord ta '12 -4, u ċaħad iċ-ċans lill-Patriots ta' New England Biex jiddefendu t-titlu tagħhom mis-Super Bowl XLIX billi jegħlebhom 20-18 fil-logħba tal-Kampjonat AFC. Huma ngħa"&amp;"qdu mal-Patriots, Dallas Cowboys, u Pittsburgh Steelers bħala wieħed mill-erba 'timijiet li għamlu tmien dehriet fis-Super Bowl.")</f>
        <v>Il-Panthers temmew l-istaġun regolari b'rekord ta '15-1, u l-quarterback Cam Newton ġie msemmi l-NFL l-iktar Player Valut (MVP). Huma għelbu lill-Kardinali tal-Arizona 49-15 fil-logħba tal-Kampjonat NFC u avvanzaw għat-tieni dehra tagħhom ta 'Super Bowl minn meta twaqqfet il-franchise fl-1995. Il-Broncos temm l-istaġun regolari b'rekord ta '12 -4, u ċaħad iċ-ċans lill-Patriots ta' New England Biex jiddefendu t-titlu tagħhom mis-Super Bowl XLIX billi jegħlebhom 20-18 fil-logħba tal-Kampjonat AFC. Huma ngħaqdu mal-Patriots, Dallas Cowboys, u Pittsburgh Steelers bħala wieħed mill-erba 'timijiet li għamlu tmien dehriet fis-Super Bowl.</v>
      </c>
    </row>
    <row r="19204" ht="15.75" customHeight="1">
      <c r="A19204" s="2" t="s">
        <v>19204</v>
      </c>
      <c r="B19204" s="2" t="str">
        <f>IFERROR(__xludf.DUMMYFUNCTION("GOOGLETRANSLATE(A19204, ""en"", ""mt"")"),"Leġislatura ta 'Florida")</f>
        <v>Leġislatura ta 'Florida</v>
      </c>
    </row>
    <row r="19205" ht="15.75" customHeight="1">
      <c r="A19205" s="2" t="s">
        <v>19205</v>
      </c>
      <c r="B19205" s="2" t="str">
        <f>IFERROR(__xludf.DUMMYFUNCTION("GOOGLETRANSLATE(A19205, ""en"", ""mt"")"),"Mill-1888 sa madwar l-1926")</f>
        <v>Mill-1888 sa madwar l-1926</v>
      </c>
    </row>
    <row r="19206" ht="15.75" customHeight="1">
      <c r="A19206" s="2" t="s">
        <v>19206</v>
      </c>
      <c r="B19206" s="2" t="str">
        <f>IFERROR(__xludf.DUMMYFUNCTION("GOOGLETRANSLATE(A19206, ""en"", ""mt"")"),"F'liema battalja ġew megħluba l-Mongoli mit-Tran?")</f>
        <v>F'liema battalja ġew megħluba l-Mongoli mit-Tran?</v>
      </c>
    </row>
    <row r="19207" ht="15.75" customHeight="1">
      <c r="A19207" s="2" t="s">
        <v>19207</v>
      </c>
      <c r="B19207" s="2" t="str">
        <f>IFERROR(__xludf.DUMMYFUNCTION("GOOGLETRANSLATE(A19207, ""en"", ""mt"")"),"Kemm hemm nies l-akbar żona ta 'Los Angeles?")</f>
        <v>Kemm hemm nies l-akbar żona ta 'Los Angeles?</v>
      </c>
    </row>
    <row r="19208" ht="15.75" customHeight="1">
      <c r="A19208" s="2" t="s">
        <v>19208</v>
      </c>
      <c r="B19208" s="2" t="str">
        <f>IFERROR(__xludf.DUMMYFUNCTION("GOOGLETRANSLATE(A19208, ""en"", ""mt"")"),"Sakya")</f>
        <v>Sakya</v>
      </c>
    </row>
    <row r="19209" ht="15.75" customHeight="1">
      <c r="A19209" s="2" t="s">
        <v>19209</v>
      </c>
      <c r="B19209" s="2" t="str">
        <f>IFERROR(__xludf.DUMMYFUNCTION("GOOGLETRANSLATE(A19209, ""en"", ""mt"")"),"Duisport")</f>
        <v>Duisport</v>
      </c>
    </row>
    <row r="19210" ht="15.75" customHeight="1">
      <c r="A19210" s="2" t="s">
        <v>19210</v>
      </c>
      <c r="B19210" s="2" t="str">
        <f>IFERROR(__xludf.DUMMYFUNCTION("GOOGLETRANSLATE(A19210, ""en"", ""mt"")"),"Seklu 13")</f>
        <v>Seklu 13</v>
      </c>
    </row>
    <row r="19211" ht="15.75" customHeight="1">
      <c r="A19211" s="2" t="s">
        <v>19211</v>
      </c>
      <c r="B19211" s="2" t="str">
        <f>IFERROR(__xludf.DUMMYFUNCTION("GOOGLETRANSLATE(A19211, ""en"", ""mt"")"),"Kummissjoni v Franza Franċiża")</f>
        <v>Kummissjoni v Franza Franċiża</v>
      </c>
    </row>
    <row r="19212" ht="15.75" customHeight="1">
      <c r="A19212" s="2" t="s">
        <v>19212</v>
      </c>
      <c r="B19212" s="2" t="str">
        <f>IFERROR(__xludf.DUMMYFUNCTION("GOOGLETRANSLATE(A19212, ""en"", ""mt"")"),"kull sekwenza")</f>
        <v>kull sekwenza</v>
      </c>
    </row>
    <row r="19213" ht="15.75" customHeight="1">
      <c r="A19213" s="2" t="s">
        <v>19213</v>
      </c>
      <c r="B19213" s="2" t="str">
        <f>IFERROR(__xludf.DUMMYFUNCTION("GOOGLETRANSLATE(A19213, ""en"", ""mt"")"),"Kważi l-impjanti tal-enerġija nukleari kollha jiġġeneraw l-elettriku billi jsaħħnu l-ilma biex jipprovdu fwar li jmexxi turbina konnessa ma 'ġeneratur elettriku. Vapuri u sottomarini li jaħdmu bl-enerġija nukleari jew jużaw turbina tal-fwar direttament għ"&amp;"all-propulsjoni ewlenija, bil-ġeneraturi jipprovdu enerġija awżiljarja, jew inkella jimpjegaw trasmissjoni turbo-elettrika, fejn il-fwar isuq ġeneratur turbo stabbilit bil-propulsjoni pprovduta minn muturi elettriċi. Numru limitat ta 'lokomottivi tal-ferr"&amp;"ovija tat-turbina bil-fwar ġew manifatturati. Xi lokomottivi li ma jikkondensawx li jmexxu dirett iltaqgħu ma 'xi suċċess għal operazzjonijiet ta' merkanzija ta 'ġibda twila fl-Iżvezja u għal xogħol ta' passiġġieri espressi fil-Gran Brittanja, iżda ma kin"&amp;"ux ripetuti. X'imkien ieħor, l-aktar fl-Istati Uniti, disinji aktar avvanzati bi trasmissjoni elettrika ġew mibnija b'mod sperimentali, iżda mhux riprodotti. Instab li t-turbini tal-fwar ma kinux idealment adattati għall-ambjent tal-ferrovija u dawn il-lo"&amp;"komottivi naqsu milli jneħħu l-unità tal-fwar reċiprokanti klassiċi bil-mod li għamlu t-trazzjoni tad-diżil modern u l-elettriku. [Ċitazzjoni meħtieġa]")</f>
        <v>Kważi l-impjanti tal-enerġija nukleari kollha jiġġeneraw l-elettriku billi jsaħħnu l-ilma biex jipprovdu fwar li jmexxi turbina konnessa ma 'ġeneratur elettriku. Vapuri u sottomarini li jaħdmu bl-enerġija nukleari jew jużaw turbina tal-fwar direttament għall-propulsjoni ewlenija, bil-ġeneraturi jipprovdu enerġija awżiljarja, jew inkella jimpjegaw trasmissjoni turbo-elettrika, fejn il-fwar isuq ġeneratur turbo stabbilit bil-propulsjoni pprovduta minn muturi elettriċi. Numru limitat ta 'lokomottivi tal-ferrovija tat-turbina bil-fwar ġew manifatturati. Xi lokomottivi li ma jikkondensawx li jmexxu dirett iltaqgħu ma 'xi suċċess għal operazzjonijiet ta' merkanzija ta 'ġibda twila fl-Iżvezja u għal xogħol ta' passiġġieri espressi fil-Gran Brittanja, iżda ma kinux ripetuti. X'imkien ieħor, l-aktar fl-Istati Uniti, disinji aktar avvanzati bi trasmissjoni elettrika ġew mibnija b'mod sperimentali, iżda mhux riprodotti. Instab li t-turbini tal-fwar ma kinux idealment adattati għall-ambjent tal-ferrovija u dawn il-lokomottivi naqsu milli jneħħu l-unità tal-fwar reċiprokanti klassiċi bil-mod li għamlu t-trazzjoni tad-diżil modern u l-elettriku. [Ċitazzjoni meħtieġa]</v>
      </c>
    </row>
    <row r="19214" ht="15.75" customHeight="1">
      <c r="A19214" s="2" t="s">
        <v>19214</v>
      </c>
      <c r="B19214" s="2" t="str">
        <f>IFERROR(__xludf.DUMMYFUNCTION("GOOGLETRANSLATE(A19214, ""en"", ""mt"")"),"Meta żviluppa Mechlin Lace?")</f>
        <v>Meta żviluppa Mechlin Lace?</v>
      </c>
    </row>
    <row r="19215" ht="15.75" customHeight="1">
      <c r="A19215" s="2" t="s">
        <v>19215</v>
      </c>
      <c r="B19215" s="2" t="str">
        <f>IFERROR(__xludf.DUMMYFUNCTION("GOOGLETRANSLATE(A19215, ""en"", ""mt"")"),"Madwar 34%")</f>
        <v>Madwar 34%</v>
      </c>
    </row>
    <row r="19216" ht="15.75" customHeight="1">
      <c r="A19216" s="2" t="s">
        <v>19216</v>
      </c>
      <c r="B19216" s="2" t="str">
        <f>IFERROR(__xludf.DUMMYFUNCTION("GOOGLETRANSLATE(A19216, ""en"", ""mt"")"),"X'inhuma l-plastoglobuli marbuta magħhom?")</f>
        <v>X'inhuma l-plastoglobuli marbuta magħhom?</v>
      </c>
    </row>
    <row r="19217" ht="15.75" customHeight="1">
      <c r="A19217" s="2" t="s">
        <v>19217</v>
      </c>
      <c r="B19217" s="2" t="str">
        <f>IFERROR(__xludf.DUMMYFUNCTION("GOOGLETRANSLATE(A19217, ""en"", ""mt"")"),"Kif ġie introdott iċ-Ctenophore Mnemiopsis Leidyi fil-Baħar l-Iswed u fil-Baħar ta 'Azov?")</f>
        <v>Kif ġie introdott iċ-Ctenophore Mnemiopsis Leidyi fil-Baħar l-Iswed u fil-Baħar ta 'Azov?</v>
      </c>
    </row>
    <row r="19218" ht="15.75" customHeight="1">
      <c r="A19218" s="2" t="s">
        <v>19218</v>
      </c>
      <c r="B19218" s="2" t="str">
        <f>IFERROR(__xludf.DUMMYFUNCTION("GOOGLETRANSLATE(A19218, ""en"", ""mt"")"),"Meta beda l-ossiġnu jiċċaqlaq mill-oċeani għall-atmosfera?")</f>
        <v>Meta beda l-ossiġnu jiċċaqlaq mill-oċeani għall-atmosfera?</v>
      </c>
    </row>
    <row r="19219" ht="15.75" customHeight="1">
      <c r="A19219" s="2" t="s">
        <v>19219</v>
      </c>
      <c r="B19219" s="2" t="str">
        <f>IFERROR(__xludf.DUMMYFUNCTION("GOOGLETRANSLATE(A19219, ""en"", ""mt"")"),"mil-livell tal-baħar")</f>
        <v>mil-livell tal-baħar</v>
      </c>
    </row>
    <row r="19220" ht="15.75" customHeight="1">
      <c r="A19220" s="2" t="s">
        <v>19220</v>
      </c>
      <c r="B19220" s="2" t="str">
        <f>IFERROR(__xludf.DUMMYFUNCTION("GOOGLETRANSLATE(A19220, ""en"", ""mt"")"),"X'tip ta 'teknoloġija qed tissepara l-gassijiet mhux organiċi?")</f>
        <v>X'tip ta 'teknoloġija qed tissepara l-gassijiet mhux organiċi?</v>
      </c>
    </row>
    <row r="19221" ht="15.75" customHeight="1">
      <c r="A19221" s="2" t="s">
        <v>19221</v>
      </c>
      <c r="B19221" s="2" t="str">
        <f>IFERROR(__xludf.DUMMYFUNCTION("GOOGLETRANSLATE(A19221, ""en"", ""mt"")"),"David Banks")</f>
        <v>David Banks</v>
      </c>
    </row>
    <row r="19222" ht="15.75" customHeight="1">
      <c r="A19222" s="2" t="s">
        <v>19222</v>
      </c>
      <c r="B19222" s="2" t="str">
        <f>IFERROR(__xludf.DUMMYFUNCTION("GOOGLETRANSLATE(A19222, ""en"", ""mt"")"),"Laboratorju")</f>
        <v>Laboratorju</v>
      </c>
    </row>
    <row r="19223" ht="15.75" customHeight="1">
      <c r="A19223" s="2" t="s">
        <v>19223</v>
      </c>
      <c r="B19223" s="2" t="str">
        <f>IFERROR(__xludf.DUMMYFUNCTION("GOOGLETRANSLATE(A19223, ""en"", ""mt"")"),"beda jiċkien")</f>
        <v>beda jiċkien</v>
      </c>
    </row>
    <row r="19224" ht="15.75" customHeight="1">
      <c r="A19224" s="2" t="s">
        <v>19224</v>
      </c>
      <c r="B19224" s="2" t="str">
        <f>IFERROR(__xludf.DUMMYFUNCTION("GOOGLETRANSLATE(A19224, ""en"", ""mt"")"),"Hoek van Holland")</f>
        <v>Hoek van Holland</v>
      </c>
    </row>
    <row r="19225" ht="15.75" customHeight="1">
      <c r="A19225" s="2" t="s">
        <v>19225</v>
      </c>
      <c r="B19225" s="2" t="str">
        <f>IFERROR(__xludf.DUMMYFUNCTION("GOOGLETRANSLATE(A19225, ""en"", ""mt"")"),"Stokk firxa akbar ta 'mediċini, inklużi mediċini aktar speċjalizzati")</f>
        <v>Stokk firxa akbar ta 'mediċini, inklużi mediċini aktar speċjalizzati</v>
      </c>
    </row>
    <row r="19226" ht="15.75" customHeight="1">
      <c r="A19226" s="2" t="s">
        <v>19226</v>
      </c>
      <c r="B19226" s="2" t="str">
        <f>IFERROR(__xludf.DUMMYFUNCTION("GOOGLETRANSLATE(A19226, ""en"", ""mt"")"),"Michael Heckenberger u l-kollegi")</f>
        <v>Michael Heckenberger u l-kollegi</v>
      </c>
    </row>
    <row r="19227" ht="15.75" customHeight="1">
      <c r="A19227" s="2" t="s">
        <v>19227</v>
      </c>
      <c r="B19227" s="2" t="str">
        <f>IFERROR(__xludf.DUMMYFUNCTION("GOOGLETRANSLATE(A19227, ""en"", ""mt"")"),"X'inhu l-isem tal-alfabett l-iktar użat f'istanza ta 'problema?")</f>
        <v>X'inhu l-isem tal-alfabett l-iktar użat f'istanza ta 'problema?</v>
      </c>
    </row>
    <row r="19228" ht="15.75" customHeight="1">
      <c r="A19228" s="2" t="s">
        <v>19228</v>
      </c>
      <c r="B19228" s="2" t="str">
        <f>IFERROR(__xludf.DUMMYFUNCTION("GOOGLETRANSLATE(A19228, ""en"", ""mt"")"),"Kemm Protestanti jgħixu fi Franza llum?")</f>
        <v>Kemm Protestanti jgħixu fi Franza llum?</v>
      </c>
    </row>
    <row r="19229" ht="15.75" customHeight="1">
      <c r="A19229" s="2" t="s">
        <v>19229</v>
      </c>
      <c r="B19229" s="2" t="str">
        <f>IFERROR(__xludf.DUMMYFUNCTION("GOOGLETRANSLATE(A19229, ""en"", ""mt"")"),"Ministri differenti tal-Istati Membri")</f>
        <v>Ministri differenti tal-Istati Membri</v>
      </c>
    </row>
    <row r="19230" ht="15.75" customHeight="1">
      <c r="A19230" s="2" t="s">
        <v>19230</v>
      </c>
      <c r="B19230" s="2" t="str">
        <f>IFERROR(__xludf.DUMMYFUNCTION("GOOGLETRANSLATE(A19230, ""en"", ""mt"")"),"Ir-rapport tal-WWF")</f>
        <v>Ir-rapport tal-WWF</v>
      </c>
    </row>
    <row r="19231" ht="15.75" customHeight="1">
      <c r="A19231" s="2" t="s">
        <v>19231</v>
      </c>
      <c r="B19231" s="2" t="str">
        <f>IFERROR(__xludf.DUMMYFUNCTION("GOOGLETRANSLATE(A19231, ""en"", ""mt"")"),"PS. 31: 5")</f>
        <v>PS. 31: 5</v>
      </c>
    </row>
    <row r="19232" ht="15.75" customHeight="1">
      <c r="A19232" s="2" t="s">
        <v>19232</v>
      </c>
      <c r="B19232" s="2" t="str">
        <f>IFERROR(__xludf.DUMMYFUNCTION("GOOGLETRANSLATE(A19232, ""en"", ""mt"")"),"X'inhu jikkonsisti minn minerali waħda aktar konferenzi annwali?")</f>
        <v>X'inhu jikkonsisti minn minerali waħda aktar konferenzi annwali?</v>
      </c>
    </row>
    <row r="19233" ht="15.75" customHeight="1">
      <c r="A19233" s="2" t="s">
        <v>19233</v>
      </c>
      <c r="B19233" s="2" t="str">
        <f>IFERROR(__xludf.DUMMYFUNCTION("GOOGLETRANSLATE(A19233, ""en"", ""mt"")"),"99")</f>
        <v>99</v>
      </c>
    </row>
    <row r="19234" ht="15.75" customHeight="1">
      <c r="A19234" s="2" t="s">
        <v>19234</v>
      </c>
      <c r="B19234" s="2" t="str">
        <f>IFERROR(__xludf.DUMMYFUNCTION("GOOGLETRANSLATE(A19234, ""en"", ""mt"")"),"Gospić")</f>
        <v>Gospić</v>
      </c>
    </row>
    <row r="19235" ht="15.75" customHeight="1">
      <c r="A19235" s="2" t="s">
        <v>19235</v>
      </c>
      <c r="B19235" s="2" t="str">
        <f>IFERROR(__xludf.DUMMYFUNCTION("GOOGLETRANSLATE(A19235, ""en"", ""mt"")"),"beda f'nofs is-seklu 18 fi ħdan il-Knisja tal-Ingilterra.")</f>
        <v>beda f'nofs is-seklu 18 fi ħdan il-Knisja tal-Ingilterra.</v>
      </c>
    </row>
    <row r="19236" ht="15.75" customHeight="1">
      <c r="A19236" s="2" t="s">
        <v>19236</v>
      </c>
      <c r="B19236" s="2" t="str">
        <f>IFERROR(__xludf.DUMMYFUNCTION("GOOGLETRANSLATE(A19236, ""en"", ""mt"")"),"Luther meta beda jippriedka l-fidi profetika?")</f>
        <v>Luther meta beda jippriedka l-fidi profetika?</v>
      </c>
    </row>
    <row r="19237" ht="15.75" customHeight="1">
      <c r="A19237" s="2" t="s">
        <v>19237</v>
      </c>
      <c r="B19237" s="2" t="str">
        <f>IFERROR(__xludf.DUMMYFUNCTION("GOOGLETRANSLATE(A19237, ""en"", ""mt"")"),"Liema mija tal-assi globali fl-2000 kienu proprjetà ta '1% biss tal-adulti?")</f>
        <v>Liema mija tal-assi globali fl-2000 kienu proprjetà ta '1% biss tal-adulti?</v>
      </c>
    </row>
    <row r="19238" ht="15.75" customHeight="1">
      <c r="A19238" s="2" t="s">
        <v>19238</v>
      </c>
      <c r="B19238" s="2" t="str">
        <f>IFERROR(__xludf.DUMMYFUNCTION("GOOGLETRANSLATE(A19238, ""en"", ""mt"")"),"Min hi l-gallerija tal-arti Indjana msemmija wara?")</f>
        <v>Min hi l-gallerija tal-arti Indjana msemmija wara?</v>
      </c>
    </row>
    <row r="19239" ht="15.75" customHeight="1">
      <c r="A19239" s="2" t="s">
        <v>19239</v>
      </c>
      <c r="B19239" s="2" t="str">
        <f>IFERROR(__xludf.DUMMYFUNCTION("GOOGLETRANSLATE(A19239, ""en"", ""mt"")"),"Liema membrana kienet mitlufa fil-kloroplasti euglenofiti?")</f>
        <v>Liema membrana kienet mitlufa fil-kloroplasti euglenofiti?</v>
      </c>
    </row>
    <row r="19240" ht="15.75" customHeight="1">
      <c r="A19240" s="2" t="s">
        <v>19240</v>
      </c>
      <c r="B19240" s="2" t="str">
        <f>IFERROR(__xludf.DUMMYFUNCTION("GOOGLETRANSLATE(A19240, ""en"", ""mt"")"),"$ 155 miljun")</f>
        <v>$ 155 miljun</v>
      </c>
    </row>
    <row r="19241" ht="15.75" customHeight="1">
      <c r="A19241" s="2" t="s">
        <v>19241</v>
      </c>
      <c r="B19241" s="2" t="str">
        <f>IFERROR(__xludf.DUMMYFUNCTION("GOOGLETRANSLATE(A19241, ""en"", ""mt"")"),"erba 'livelli")</f>
        <v>erba 'livelli</v>
      </c>
    </row>
    <row r="19242" ht="15.75" customHeight="1">
      <c r="A19242" s="2" t="s">
        <v>19242</v>
      </c>
      <c r="B19242" s="2" t="str">
        <f>IFERROR(__xludf.DUMMYFUNCTION("GOOGLETRANSLATE(A19242, ""en"", ""mt"")"),"Cutters tal-ġewż betel, pettnijiet tal-avorju u ganċijiet tal-palanquin tal-bronż")</f>
        <v>Cutters tal-ġewż betel, pettnijiet tal-avorju u ganċijiet tal-palanquin tal-bronż</v>
      </c>
    </row>
    <row r="19243" ht="15.75" customHeight="1">
      <c r="A19243" s="2" t="s">
        <v>19243</v>
      </c>
      <c r="B19243" s="2" t="str">
        <f>IFERROR(__xludf.DUMMYFUNCTION("GOOGLETRANSLATE(A19243, ""en"", ""mt"")"),"Meta ġie rilaxxat is-sitt rapport u l-ordni tal-FCC?")</f>
        <v>Meta ġie rilaxxat is-sitt rapport u l-ordni tal-FCC?</v>
      </c>
    </row>
    <row r="19244" ht="15.75" customHeight="1">
      <c r="A19244" s="2" t="s">
        <v>19244</v>
      </c>
      <c r="B19244" s="2" t="str">
        <f>IFERROR(__xludf.DUMMYFUNCTION("GOOGLETRANSLATE(A19244, ""en"", ""mt"")"),"1,000 m3 / s")</f>
        <v>1,000 m3 / s</v>
      </c>
    </row>
    <row r="19245" ht="15.75" customHeight="1">
      <c r="A19245" s="2" t="s">
        <v>19245</v>
      </c>
      <c r="B19245" s="2" t="str">
        <f>IFERROR(__xludf.DUMMYFUNCTION("GOOGLETRANSLATE(A19245, ""en"", ""mt"")"),"diversi snin")</f>
        <v>diversi snin</v>
      </c>
    </row>
    <row r="19246" ht="15.75" customHeight="1">
      <c r="A19246" s="2" t="s">
        <v>19246</v>
      </c>
      <c r="B19246" s="2" t="str">
        <f>IFERROR(__xludf.DUMMYFUNCTION("GOOGLETRANSLATE(A19246, ""en"", ""mt"")"),"Kellu jiġi kkonvertit")</f>
        <v>Kellu jiġi kkonvertit</v>
      </c>
    </row>
    <row r="19247" ht="15.75" customHeight="1">
      <c r="A19247" s="2" t="s">
        <v>19247</v>
      </c>
      <c r="B19247" s="2" t="str">
        <f>IFERROR(__xludf.DUMMYFUNCTION("GOOGLETRANSLATE(A19247, ""en"", ""mt"")"),"Dettalji speċifiċi tal-mudell komputazzjonali użat")</f>
        <v>Dettalji speċifiċi tal-mudell komputazzjonali użat</v>
      </c>
    </row>
    <row r="19248" ht="15.75" customHeight="1">
      <c r="A19248" s="2" t="s">
        <v>19248</v>
      </c>
      <c r="B19248" s="2" t="str">
        <f>IFERROR(__xludf.DUMMYFUNCTION("GOOGLETRANSLATE(A19248, ""en"", ""mt"")"),"Profeta Zwickau")</f>
        <v>Profeta Zwickau</v>
      </c>
    </row>
    <row r="19249" ht="15.75" customHeight="1">
      <c r="A19249" s="2" t="s">
        <v>19249</v>
      </c>
      <c r="B19249" s="2" t="str">
        <f>IFERROR(__xludf.DUMMYFUNCTION("GOOGLETRANSLATE(A19249, ""en"", ""mt"")"),"Wara li ċaħad il-konfessjoni obbligatorja, x'sejjaħ Luther?")</f>
        <v>Wara li ċaħad il-konfessjoni obbligatorja, x'sejjaħ Luther?</v>
      </c>
    </row>
    <row r="19250" ht="15.75" customHeight="1">
      <c r="A19250" s="2" t="s">
        <v>19250</v>
      </c>
      <c r="B19250" s="2" t="str">
        <f>IFERROR(__xludf.DUMMYFUNCTION("GOOGLETRANSLATE(A19250, ""en"", ""mt"")"),"tmien ringieli")</f>
        <v>tmien ringieli</v>
      </c>
    </row>
    <row r="19251" ht="15.75" customHeight="1">
      <c r="A19251" s="2" t="s">
        <v>19251</v>
      </c>
      <c r="B19251" s="2" t="str">
        <f>IFERROR(__xludf.DUMMYFUNCTION("GOOGLETRANSLATE(A19251, ""en"", ""mt"")"),"Madwar 30 kPa")</f>
        <v>Madwar 30 kPa</v>
      </c>
    </row>
    <row r="19252" ht="15.75" customHeight="1">
      <c r="A19252" s="2" t="s">
        <v>19252</v>
      </c>
      <c r="B19252" s="2" t="str">
        <f>IFERROR(__xludf.DUMMYFUNCTION("GOOGLETRANSLATE(A19252, ""en"", ""mt"")"),"9.00 a.m. sas-6.00 p.m")</f>
        <v>9.00 a.m. sas-6.00 p.m</v>
      </c>
    </row>
    <row r="19253" ht="15.75" customHeight="1">
      <c r="A19253" s="2" t="s">
        <v>19253</v>
      </c>
      <c r="B19253" s="2" t="str">
        <f>IFERROR(__xludf.DUMMYFUNCTION("GOOGLETRANSLATE(A19253, ""en"", ""mt"")"),"Għaliex l-ispeċi kostali huma iebsa?")</f>
        <v>Għaliex l-ispeċi kostali huma iebsa?</v>
      </c>
    </row>
    <row r="19254" ht="15.75" customHeight="1">
      <c r="A19254" s="2" t="s">
        <v>19254</v>
      </c>
      <c r="B19254" s="2" t="str">
        <f>IFERROR(__xludf.DUMMYFUNCTION("GOOGLETRANSLATE(A19254, ""en"", ""mt"")"),"X'kienet skopert aktar tard miktub minn Luther?")</f>
        <v>X'kienet skopert aktar tard miktub minn Luther?</v>
      </c>
    </row>
    <row r="19255" ht="15.75" customHeight="1">
      <c r="A19255" s="2" t="s">
        <v>19255</v>
      </c>
      <c r="B19255" s="2" t="str">
        <f>IFERROR(__xludf.DUMMYFUNCTION("GOOGLETRANSLATE(A19255, ""en"", ""mt"")"),"X'inhuma d-differenzjali tad-dħul jekk il-kontribuzzjonijiet individwali kienu rilevanti għall-prodott soċjali?")</f>
        <v>X'inhuma d-differenzjali tad-dħul jekk il-kontribuzzjonijiet individwali kienu rilevanti għall-prodott soċjali?</v>
      </c>
    </row>
    <row r="19256" ht="15.75" customHeight="1">
      <c r="A19256" s="2" t="s">
        <v>19256</v>
      </c>
      <c r="B19256" s="2" t="str">
        <f>IFERROR(__xludf.DUMMYFUNCTION("GOOGLETRANSLATE(A19256, ""en"", ""mt"")"),"Metrolink")</f>
        <v>Metrolink</v>
      </c>
    </row>
    <row r="19257" ht="15.75" customHeight="1">
      <c r="A19257" s="2" t="s">
        <v>19257</v>
      </c>
      <c r="B19257" s="2" t="str">
        <f>IFERROR(__xludf.DUMMYFUNCTION("GOOGLETRANSLATE(A19257, ""en"", ""mt"")"),"universitajiet u / jew kulleġġi tafe")</f>
        <v>universitajiet u / jew kulleġġi tafe</v>
      </c>
    </row>
    <row r="19258" ht="15.75" customHeight="1">
      <c r="A19258" s="2" t="s">
        <v>19258</v>
      </c>
      <c r="B19258" s="2" t="str">
        <f>IFERROR(__xludf.DUMMYFUNCTION("GOOGLETRANSLATE(A19258, ""en"", ""mt"")"),"X'kixef lil Johannes Agricola li żvela l-Evanġelju ta 'Alla?")</f>
        <v>X'kixef lil Johannes Agricola li żvela l-Evanġelju ta 'Alla?</v>
      </c>
    </row>
    <row r="19259" ht="15.75" customHeight="1">
      <c r="A19259" s="2" t="s">
        <v>19259</v>
      </c>
      <c r="B19259" s="2" t="str">
        <f>IFERROR(__xludf.DUMMYFUNCTION("GOOGLETRANSLATE(A19259, ""en"", ""mt"")"),"teżaġera s-serjetà tagħhom")</f>
        <v>teżaġera s-serjetà tagħhom</v>
      </c>
    </row>
    <row r="19260" ht="15.75" customHeight="1">
      <c r="A19260" s="2" t="s">
        <v>19260</v>
      </c>
      <c r="B19260" s="2" t="str">
        <f>IFERROR(__xludf.DUMMYFUNCTION("GOOGLETRANSLATE(A19260, ""en"", ""mt"")"),"Liema matematiku kien ukoll apparti mill-fakultà tal-università?")</f>
        <v>Liema matematiku kien ukoll apparti mill-fakultà tal-università?</v>
      </c>
    </row>
    <row r="19261" ht="15.75" customHeight="1">
      <c r="A19261" s="2" t="s">
        <v>19261</v>
      </c>
      <c r="B19261" s="2" t="str">
        <f>IFERROR(__xludf.DUMMYFUNCTION("GOOGLETRANSLATE(A19261, ""en"", ""mt"")"),"Il-pesta setgħet daħlet fl-Ewropa f'żewġ mewġ")</f>
        <v>Il-pesta setgħet daħlet fl-Ewropa f'żewġ mewġ</v>
      </c>
    </row>
    <row r="19262" ht="15.75" customHeight="1">
      <c r="A19262" s="2" t="s">
        <v>19262</v>
      </c>
      <c r="B19262" s="2" t="str">
        <f>IFERROR(__xludf.DUMMYFUNCTION("GOOGLETRANSLATE(A19262, ""en"", ""mt"")"),"Wieħed mill-ewwel eżempji li għadhom ħajjin ta 'quilting Ewropew, l-aħħar tas-seklu 14 Tristan Quilt, huwa wkoll miżmum mill-kollezzjoni. Il-kollezzjoni għandha bosta eżempji ta 'diversi tipi ta' tessuti ddisinjati minn William Morris, inklużi, rakkmu, dr"&amp;"appijiet minsuġa, tapizzeriji (inklużi 'l-foresta' tapizzerija tal-1887), twapet u twapet, kif ukoll kotba tal-mudelli u disinji tal-karti. Il-perjodu Art Deco huwa kopert minn twapet u drappijiet iddisinjati minn Marion Dorn. Mill-istess perjodu hemm tap"&amp;"it iddisinjat minn Serge Chermayeff.")</f>
        <v>Wieħed mill-ewwel eżempji li għadhom ħajjin ta 'quilting Ewropew, l-aħħar tas-seklu 14 Tristan Quilt, huwa wkoll miżmum mill-kollezzjoni. Il-kollezzjoni għandha bosta eżempji ta 'diversi tipi ta' tessuti ddisinjati minn William Morris, inklużi, rakkmu, drappijiet minsuġa, tapizzeriji (inklużi 'l-foresta' tapizzerija tal-1887), twapet u twapet, kif ukoll kotba tal-mudelli u disinji tal-karti. Il-perjodu Art Deco huwa kopert minn twapet u drappijiet iddisinjati minn Marion Dorn. Mill-istess perjodu hemm tapit iddisinjat minn Serge Chermayeff.</v>
      </c>
    </row>
    <row r="19263" ht="15.75" customHeight="1">
      <c r="A19263" s="2" t="s">
        <v>19263</v>
      </c>
      <c r="B19263" s="2" t="str">
        <f>IFERROR(__xludf.DUMMYFUNCTION("GOOGLETRANSLATE(A19263, ""en"", ""mt"")"),"Infjammazzjoni")</f>
        <v>Infjammazzjoni</v>
      </c>
    </row>
    <row r="19264" ht="15.75" customHeight="1">
      <c r="A19264" s="2" t="s">
        <v>19264</v>
      </c>
      <c r="B19264" s="2" t="str">
        <f>IFERROR(__xludf.DUMMYFUNCTION("GOOGLETRANSLATE(A19264, ""en"", ""mt"")"),"James Lofton u Mark Malone")</f>
        <v>James Lofton u Mark Malone</v>
      </c>
    </row>
    <row r="19265" ht="15.75" customHeight="1">
      <c r="A19265" s="2" t="s">
        <v>19265</v>
      </c>
      <c r="B19265" s="2" t="str">
        <f>IFERROR(__xludf.DUMMYFUNCTION("GOOGLETRANSLATE(A19265, ""en"", ""mt"")"),"Cobham-Edmonds")</f>
        <v>Cobham-Edmonds</v>
      </c>
    </row>
    <row r="19266" ht="15.75" customHeight="1">
      <c r="A19266" s="2" t="s">
        <v>19266</v>
      </c>
      <c r="B19266" s="2" t="str">
        <f>IFERROR(__xludf.DUMMYFUNCTION("GOOGLETRANSLATE(A19266, ""en"", ""mt"")"),"X'kienet il-forma finali tal-lingwa Anglo-Norman?")</f>
        <v>X'kienet il-forma finali tal-lingwa Anglo-Norman?</v>
      </c>
    </row>
    <row r="19267" ht="15.75" customHeight="1">
      <c r="A19267" s="2" t="s">
        <v>19267</v>
      </c>
      <c r="B19267" s="2" t="str">
        <f>IFERROR(__xludf.DUMMYFUNCTION("GOOGLETRANSLATE(A19267, ""en"", ""mt"")"),"Illum, liema knisja hija ġeneralment ikkunsidrata bħala waħda mid-denominazzjonijiet l-aktar moderati u tolleranti?")</f>
        <v>Illum, liema knisja hija ġeneralment ikkunsidrata bħala waħda mid-denominazzjonijiet l-aktar moderati u tolleranti?</v>
      </c>
    </row>
    <row r="19268" ht="15.75" customHeight="1">
      <c r="A19268" s="2" t="s">
        <v>19268</v>
      </c>
      <c r="B19268" s="2" t="str">
        <f>IFERROR(__xludf.DUMMYFUNCTION("GOOGLETRANSLATE(A19268, ""en"", ""mt"")"),"Mount Kenja,")</f>
        <v>Mount Kenja,</v>
      </c>
    </row>
    <row r="19269" ht="15.75" customHeight="1">
      <c r="A19269" s="2" t="s">
        <v>19269</v>
      </c>
      <c r="B19269" s="2" t="str">
        <f>IFERROR(__xludf.DUMMYFUNCTION("GOOGLETRANSLATE(A19269, ""en"", ""mt"")"),"Imħabba ġenwina ta 'Alla b'qalb, ruħ, moħħ")</f>
        <v>Imħabba ġenwina ta 'Alla b'qalb, ruħ, moħħ</v>
      </c>
    </row>
    <row r="19270" ht="15.75" customHeight="1">
      <c r="A19270" s="2" t="s">
        <v>19270</v>
      </c>
      <c r="B19270" s="2" t="str">
        <f>IFERROR(__xludf.DUMMYFUNCTION("GOOGLETRANSLATE(A19270, ""en"", ""mt"")"),"Ottoman")</f>
        <v>Ottoman</v>
      </c>
    </row>
    <row r="19271" ht="15.75" customHeight="1">
      <c r="A19271" s="2" t="s">
        <v>19271</v>
      </c>
      <c r="B19271" s="2" t="str">
        <f>IFERROR(__xludf.DUMMYFUNCTION("GOOGLETRANSLATE(A19271, ""en"", ""mt"")"),"estinzjoni tad-dinosawri")</f>
        <v>estinzjoni tad-dinosawri</v>
      </c>
    </row>
    <row r="19272" ht="15.75" customHeight="1">
      <c r="A19272" s="2" t="s">
        <v>19272</v>
      </c>
      <c r="B19272" s="2" t="str">
        <f>IFERROR(__xludf.DUMMYFUNCTION("GOOGLETRANSLATE(A19272, ""en"", ""mt"")"),"Li tiġġustifika l-grazzja jew l-aċċettazzjoni tal-grazzja hija dik il-grazzja, offruta minn Alla lill-poplu kollu, li nirċievu bil-fidi u l-fiduċja fi Kristu, li permezz tiegħu Alla jaħfer lil min jemmen fid-dnub. Huwa fil-grazzja li niġġustifikaw li rċev"&amp;"ejna minn Alla, minkejja d-dnub tagħna. F’din ir-riċeviment, aħna skużati permezz tax-xogħol ta ’telf ta’ Ġesù Kristu fuq is-salib. Il-grazzja li tiġġustifika tikkanċella l-ħtija tagħna u tagħti s-setgħa li nirreżistu l-qawwa tad-dnub u nħobbu bis-sħiħ li"&amp;"l Alla u l-proxxmu. Illum, li tiġġustifika l-grazzja hija magħrufa wkoll bħala konverżjoni, ""taċċetta lil Ġesù bħala l-Mulej u s-Salvatur personali tiegħek,"" jew li tkun ""imwieled mill-ġdid"". John Wesley oriġinarjament sejjaħ din l-esperjenza tat-twel"&amp;"id il-ġdid. Din l-esperjenza tista 'sseħħ b'modi differenti; Jista 'jkun mument wieħed li jittrasforma, bħal esperjenza ta' sejħa għall-artal, jew jista 'jinvolvi serje ta' deċiżjonijiet matul perjodu ta 'żmien.")</f>
        <v>Li tiġġustifika l-grazzja jew l-aċċettazzjoni tal-grazzja hija dik il-grazzja, offruta minn Alla lill-poplu kollu, li nirċievu bil-fidi u l-fiduċja fi Kristu, li permezz tiegħu Alla jaħfer lil min jemmen fid-dnub. Huwa fil-grazzja li niġġustifikaw li rċevejna minn Alla, minkejja d-dnub tagħna. F’din ir-riċeviment, aħna skużati permezz tax-xogħol ta ’telf ta’ Ġesù Kristu fuq is-salib. Il-grazzja li tiġġustifika tikkanċella l-ħtija tagħna u tagħti s-setgħa li nirreżistu l-qawwa tad-dnub u nħobbu bis-sħiħ lil Alla u l-proxxmu. Illum, li tiġġustifika l-grazzja hija magħrufa wkoll bħala konverżjoni, "taċċetta lil Ġesù bħala l-Mulej u s-Salvatur personali tiegħek," jew li tkun "imwieled mill-ġdid". John Wesley oriġinarjament sejjaħ din l-esperjenza tat-twelid il-ġdid. Din l-esperjenza tista 'sseħħ b'modi differenti; Jista 'jkun mument wieħed li jittrasforma, bħal esperjenza ta' sejħa għall-artal, jew jista 'jinvolvi serje ta' deċiżjonijiet matul perjodu ta 'żmien.</v>
      </c>
    </row>
    <row r="19273" ht="15.75" customHeight="1">
      <c r="A19273" s="2" t="s">
        <v>19273</v>
      </c>
      <c r="B19273" s="2" t="str">
        <f>IFERROR(__xludf.DUMMYFUNCTION("GOOGLETRANSLATE(A19273, ""en"", ""mt"")"),"Kemm irġiel ikbar minn 18-il sena hemm għal kull 100 mara?")</f>
        <v>Kemm irġiel ikbar minn 18-il sena hemm għal kull 100 mara?</v>
      </c>
    </row>
    <row r="19274" ht="15.75" customHeight="1">
      <c r="A19274" s="2" t="s">
        <v>19274</v>
      </c>
      <c r="B19274" s="2" t="str">
        <f>IFERROR(__xludf.DUMMYFUNCTION("GOOGLETRANSLATE(A19274, ""en"", ""mt"")"),"kmieni 1526")</f>
        <v>kmieni 1526</v>
      </c>
    </row>
    <row r="19275" ht="15.75" customHeight="1">
      <c r="A19275" s="2" t="s">
        <v>19275</v>
      </c>
      <c r="B19275" s="2" t="str">
        <f>IFERROR(__xludf.DUMMYFUNCTION("GOOGLETRANSLATE(A19275, ""en"", ""mt"")"),"Fejn ħadmet Tesla ma 'Edison?")</f>
        <v>Fejn ħadmet Tesla ma 'Edison?</v>
      </c>
    </row>
    <row r="19276" ht="15.75" customHeight="1">
      <c r="A19276" s="2" t="s">
        <v>19276</v>
      </c>
      <c r="B19276" s="2" t="str">
        <f>IFERROR(__xludf.DUMMYFUNCTION("GOOGLETRANSLATE(A19276, ""en"", ""mt"")"),"L-ex Kamra tad-Dibattitu tal-Kunsill Reġjonali ta 'Strathclyde")</f>
        <v>L-ex Kamra tad-Dibattitu tal-Kunsill Reġjonali ta 'Strathclyde</v>
      </c>
    </row>
    <row r="19277" ht="15.75" customHeight="1">
      <c r="A19277" s="2" t="s">
        <v>19277</v>
      </c>
      <c r="B19277" s="2" t="str">
        <f>IFERROR(__xludf.DUMMYFUNCTION("GOOGLETRANSLATE(A19277, ""en"", ""mt"")"),"Mangan")</f>
        <v>Mangan</v>
      </c>
    </row>
    <row r="19278" ht="15.75" customHeight="1">
      <c r="A19278" s="2" t="s">
        <v>19278</v>
      </c>
      <c r="B19278" s="2" t="str">
        <f>IFERROR(__xludf.DUMMYFUNCTION("GOOGLETRANSLATE(A19278, ""en"", ""mt"")"),"X'tip ta 'numru jikkunsidraw il-matematiċi moderni 1 bħala?")</f>
        <v>X'tip ta 'numru jikkunsidraw il-matematiċi moderni 1 bħala?</v>
      </c>
    </row>
    <row r="19279" ht="15.75" customHeight="1">
      <c r="A19279" s="2" t="s">
        <v>19279</v>
      </c>
      <c r="B19279" s="2" t="str">
        <f>IFERROR(__xludf.DUMMYFUNCTION("GOOGLETRANSLATE(A19279, ""en"", ""mt"")"),"Eastenders")</f>
        <v>Eastenders</v>
      </c>
    </row>
    <row r="19280" ht="15.75" customHeight="1">
      <c r="A19280" s="2" t="s">
        <v>19280</v>
      </c>
      <c r="B19280" s="2" t="str">
        <f>IFERROR(__xludf.DUMMYFUNCTION("GOOGLETRANSLATE(A19280, ""en"", ""mt"")"),"X'inhuma l-aktar partijiet attivi ta 'Ctenophora?")</f>
        <v>X'inhuma l-aktar partijiet attivi ta 'Ctenophora?</v>
      </c>
    </row>
    <row r="19281" ht="15.75" customHeight="1">
      <c r="A19281" s="2" t="s">
        <v>19281</v>
      </c>
      <c r="B19281" s="2" t="str">
        <f>IFERROR(__xludf.DUMMYFUNCTION("GOOGLETRANSLATE(A19281, ""en"", ""mt"")"),"Liema kumpanija ta 'animazzjoni ħadmet fuq uħud mill-episodji tar-renju ta' terrur?")</f>
        <v>Liema kumpanija ta 'animazzjoni ħadmet fuq uħud mill-episodji tar-renju ta' terrur?</v>
      </c>
    </row>
    <row r="19282" ht="15.75" customHeight="1">
      <c r="A19282" s="2" t="s">
        <v>19282</v>
      </c>
      <c r="B19282" s="2" t="str">
        <f>IFERROR(__xludf.DUMMYFUNCTION("GOOGLETRANSLATE(A19282, ""en"", ""mt"")"),"Meta l-O2 beda jakkultura fl-atmosfera?")</f>
        <v>Meta l-O2 beda jakkultura fl-atmosfera?</v>
      </c>
    </row>
    <row r="19283" ht="15.75" customHeight="1">
      <c r="A19283" s="2" t="s">
        <v>19283</v>
      </c>
      <c r="B19283" s="2" t="str">
        <f>IFERROR(__xludf.DUMMYFUNCTION("GOOGLETRANSLATE(A19283, ""en"", ""mt"")"),"Università Metodista tan-Nofsinhar")</f>
        <v>Università Metodista tan-Nofsinhar</v>
      </c>
    </row>
    <row r="19284" ht="15.75" customHeight="1">
      <c r="A19284" s="2" t="s">
        <v>19284</v>
      </c>
      <c r="B19284" s="2" t="str">
        <f>IFERROR(__xludf.DUMMYFUNCTION("GOOGLETRANSLATE(A19284, ""en"", ""mt"")"),"Hija tagħti diskors li jħawwad li fih tgħidlu li hi trid tobdi l-kuxjenza tagħha aktar milli l-liġi umana")</f>
        <v>Hija tagħti diskors li jħawwad li fih tgħidlu li hi trid tobdi l-kuxjenza tagħha aktar milli l-liġi umana</v>
      </c>
    </row>
    <row r="19285" ht="15.75" customHeight="1">
      <c r="A19285" s="2" t="s">
        <v>19285</v>
      </c>
      <c r="B19285" s="2" t="str">
        <f>IFERROR(__xludf.DUMMYFUNCTION("GOOGLETRANSLATE(A19285, ""en"", ""mt"")"),"paramagnetiku")</f>
        <v>paramagnetiku</v>
      </c>
    </row>
    <row r="19286" ht="15.75" customHeight="1">
      <c r="A19286" s="2" t="s">
        <v>19286</v>
      </c>
      <c r="B19286" s="2" t="str">
        <f>IFERROR(__xludf.DUMMYFUNCTION("GOOGLETRANSLATE(A19286, ""en"", ""mt"")"),"Kemm segmenti oriġinarjament kellu l-ispeċjal?")</f>
        <v>Kemm segmenti oriġinarjament kellu l-ispeċjal?</v>
      </c>
    </row>
    <row r="19287" ht="15.75" customHeight="1">
      <c r="A19287" s="2" t="s">
        <v>19287</v>
      </c>
      <c r="B19287" s="2" t="str">
        <f>IFERROR(__xludf.DUMMYFUNCTION("GOOGLETRANSLATE(A19287, ""en"", ""mt"")"),"twemmin fil-validità tal-kuntratt soċjali")</f>
        <v>twemmin fil-validità tal-kuntratt soċjali</v>
      </c>
    </row>
    <row r="19288" ht="15.75" customHeight="1">
      <c r="A19288" s="2" t="s">
        <v>19288</v>
      </c>
      <c r="B19288" s="2" t="str">
        <f>IFERROR(__xludf.DUMMYFUNCTION("GOOGLETRANSLATE(A19288, ""en"", ""mt"")"),"il-kapaċità tal-mina Tyne")</f>
        <v>il-kapaċità tal-mina Tyne</v>
      </c>
    </row>
    <row r="19289" ht="15.75" customHeight="1">
      <c r="A19289" s="2" t="s">
        <v>19289</v>
      </c>
      <c r="B19289" s="2" t="str">
        <f>IFERROR(__xludf.DUMMYFUNCTION("GOOGLETRANSLATE(A19289, ""en"", ""mt"")"),"Kap Hendrick")</f>
        <v>Kap Hendrick</v>
      </c>
    </row>
    <row r="19290" ht="15.75" customHeight="1">
      <c r="A19290" s="2" t="s">
        <v>19290</v>
      </c>
      <c r="B19290" s="2" t="str">
        <f>IFERROR(__xludf.DUMMYFUNCTION("GOOGLETRANSLATE(A19290, ""en"", ""mt"")"),"121,200")</f>
        <v>121,200</v>
      </c>
    </row>
    <row r="19291" ht="15.75" customHeight="1">
      <c r="A19291" s="2" t="s">
        <v>19291</v>
      </c>
      <c r="B19291" s="2" t="str">
        <f>IFERROR(__xludf.DUMMYFUNCTION("GOOGLETRANSLATE(A19291, ""en"", ""mt"")"),"Biex tillegalizza l-importazzjoni ta 'mediċini mill-Kanada u pajjiżi oħra")</f>
        <v>Biex tillegalizza l-importazzjoni ta 'mediċini mill-Kanada u pajjiżi oħra</v>
      </c>
    </row>
    <row r="19292" ht="15.75" customHeight="1">
      <c r="A19292" s="2" t="s">
        <v>19292</v>
      </c>
      <c r="B19292" s="2" t="str">
        <f>IFERROR(__xludf.DUMMYFUNCTION("GOOGLETRANSLATE(A19292, ""en"", ""mt"")"),"X'kien l-iskor tal-aħħar logħba li l-Panthers Carolina lagħbu qabel il-Kampjonat NFC?")</f>
        <v>X'kien l-iskor tal-aħħar logħba li l-Panthers Carolina lagħbu qabel il-Kampjonat NFC?</v>
      </c>
    </row>
    <row r="19293" ht="15.75" customHeight="1">
      <c r="A19293" s="2" t="s">
        <v>19293</v>
      </c>
      <c r="B19293" s="2" t="str">
        <f>IFERROR(__xludf.DUMMYFUNCTION("GOOGLETRANSLATE(A19293, ""en"", ""mt"")"),"Kemm-il sena lagħab Thomas Davis fil-kampjonat meta kiser driegħ waqt il-logħba tal-kampjonat NFC?")</f>
        <v>Kemm-il sena lagħab Thomas Davis fil-kampjonat meta kiser driegħ waqt il-logħba tal-kampjonat NFC?</v>
      </c>
    </row>
    <row r="19294" ht="15.75" customHeight="1">
      <c r="A19294" s="2" t="s">
        <v>19294</v>
      </c>
      <c r="B19294" s="2" t="str">
        <f>IFERROR(__xludf.DUMMYFUNCTION("GOOGLETRANSLATE(A19294, ""en"", ""mt"")"),"Min żied mal-ktieb ta 'Dioscorides fl-Età tad-Deheb Iżlamika?")</f>
        <v>Min żied mal-ktieb ta 'Dioscorides fl-Età tad-Deheb Iżlamika?</v>
      </c>
    </row>
    <row r="19295" ht="15.75" customHeight="1">
      <c r="A19295" s="2" t="s">
        <v>19295</v>
      </c>
      <c r="B19295" s="2" t="str">
        <f>IFERROR(__xludf.DUMMYFUNCTION("GOOGLETRANSLATE(A19295, ""en"", ""mt"")"),"il-web")</f>
        <v>il-web</v>
      </c>
    </row>
    <row r="19296" ht="15.75" customHeight="1">
      <c r="A19296" s="2" t="s">
        <v>19296</v>
      </c>
      <c r="B19296" s="2" t="str">
        <f>IFERROR(__xludf.DUMMYFUNCTION("GOOGLETRANSLATE(A19296, ""en"", ""mt"")"),"F’Awwissu 1227, matul il-waqgħa ta ’Yinchuan, il-kapitali tal-Punent Xia, Genghis Khan miet. Il-kawża eżatta tal-mewt tiegħu tibqa 'misteru, u hija attribwita b'mod varju biex tinqatel f'azzjoni kontra l-Western Xia, mard, li taqa' miż-żiemel tiegħu, jew "&amp;"feriti sostnuti fil-kaċċa jew fil-battalja. Skond l-istorja sigrieta tal-Mongoli Genghis Khan waqa 'miż-żiemel tiegħu waqt il-kaċċa u miet minħabba l-ħsara. Huwa kien diġà qadim u għajjien mill-vjaġġi tiegħu. Il-Kronika Galizjana - Volhynian tallega li nq"&amp;"atel mill-Western Xia fil-battalja, filwaqt li Marco Polo kiteb li miet wara l-infezzjoni ta 'ferita ta' vleġġa li rċieva matul il-kampanja finali tiegħu. Aktar tard il-kroniki tal-Mongolja jgħaqqdu l-mewt ta 'Genghis ma' Prinċipessa XIA tal-Punent meħuda"&amp;" bħala booty tal-gwerra. Kronika waħda mill-bidu tas-seklu 17 saħansitra tirrelata l-leġġenda li l-Prinċipessa ħeba sejf żgħir u stabbed lilu, għalkemm xi awturi Mongoljani ddubitaw din il-verżjoni u suspettati li kienet invenzjoni mir-rivali Oirads.")</f>
        <v>F’Awwissu 1227, matul il-waqgħa ta ’Yinchuan, il-kapitali tal-Punent Xia, Genghis Khan miet. Il-kawża eżatta tal-mewt tiegħu tibqa 'misteru, u hija attribwita b'mod varju biex tinqatel f'azzjoni kontra l-Western Xia, mard, li taqa' miż-żiemel tiegħu, jew feriti sostnuti fil-kaċċa jew fil-battalja. Skond l-istorja sigrieta tal-Mongoli Genghis Khan waqa 'miż-żiemel tiegħu waqt il-kaċċa u miet minħabba l-ħsara. Huwa kien diġà qadim u għajjien mill-vjaġġi tiegħu. Il-Kronika Galizjana - Volhynian tallega li nqatel mill-Western Xia fil-battalja, filwaqt li Marco Polo kiteb li miet wara l-infezzjoni ta 'ferita ta' vleġġa li rċieva matul il-kampanja finali tiegħu. Aktar tard il-kroniki tal-Mongolja jgħaqqdu l-mewt ta 'Genghis ma' Prinċipessa XIA tal-Punent meħuda bħala booty tal-gwerra. Kronika waħda mill-bidu tas-seklu 17 saħansitra tirrelata l-leġġenda li l-Prinċipessa ħeba sejf żgħir u stabbed lilu, għalkemm xi awturi Mongoljani ddubitaw din il-verżjoni u suspettati li kienet invenzjoni mir-rivali Oirads.</v>
      </c>
    </row>
    <row r="19297" ht="15.75" customHeight="1">
      <c r="A19297" s="2" t="s">
        <v>19297</v>
      </c>
      <c r="B19297" s="2" t="str">
        <f>IFERROR(__xludf.DUMMYFUNCTION("GOOGLETRANSLATE(A19297, ""en"", ""mt"")"),"Rikostruzzjoni")</f>
        <v>Rikostruzzjoni</v>
      </c>
    </row>
    <row r="19298" ht="15.75" customHeight="1">
      <c r="A19298" s="2" t="s">
        <v>19298</v>
      </c>
      <c r="B19298" s="2" t="str">
        <f>IFERROR(__xludf.DUMMYFUNCTION("GOOGLETRANSLATE(A19298, ""en"", ""mt"")"),"L-Att tal-Iskozja 1998, li ġie mgħoddi mill-Parlament tar-Renju Unit u mogħti l-kunsens irjali mir-Reġina Eliżabetta II fid-19 ta ’Novembru 1998, jirregola l-funzjonijiet u r-rwol tal-Parlament Skoċċiż u jiddelimita l-kompetenza leġiżlattiva tiegħu. L-Att"&amp;" tal-Iskozja 2012 jestendi l-kompetenzi devoluti. Għall-finijiet tas-sovranità parlamentari, il-Parlament tar-Renju Unit f'Westminster ikompli jikkostitwixxi l-Leġislatura Suprema tal-Iskozja. Madankollu, skont it-termini tal-Att dwar l-Iskozja, Westminst"&amp;"er aċċetta li jiddevolvi wħud mir-responsabbiltajiet tiegħu fuq il-politika domestika Skoċċiża lill-Parlament Skoċċiż. Tali ""kwistjonijiet devoluti"" jinkludu edukazzjoni, saħħa, agrikoltura u ġustizzja. L-Att dwar l-Iskozja ppermetta lill-Parlament Skoċ"&amp;"ċiż jgħaddi leġislazzjoni primarja dwar dawn il-kwistjonijiet. Grad ta 'awtorità domestika, u l-politika barranija kollha, jibqgħu mal-Parlament tar-Renju Unit f'Westminster. Il-Parlament Skoċċiż għandu s-setgħa li jgħaddi liġijiet u għandu kapaċità limit"&amp;"ata li tvarja mit-taxxa. Ieħor mir-rwoli tal-Parlament huwa li jżomm il-gvern Skoċċiż.")</f>
        <v>L-Att tal-Iskozja 1998, li ġie mgħoddi mill-Parlament tar-Renju Unit u mogħti l-kunsens irjali mir-Reġina Eliżabetta II fid-19 ta ’Novembru 1998, jirregola l-funzjonijiet u r-rwol tal-Parlament Skoċċiż u jiddelimita l-kompetenza leġiżlattiva tiegħu. L-Att tal-Iskozja 2012 jestendi l-kompetenzi devoluti. Għall-finijiet tas-sovranità parlamentari, il-Parlament tar-Renju Unit f'Westminster ikompli jikkostitwixxi l-Leġislatura Suprema tal-Iskozja. Madankollu, skont it-termini tal-Att dwar l-Iskozja, Westminster aċċetta li jiddevolvi wħud mir-responsabbiltajiet tiegħu fuq il-politika domestika Skoċċiża lill-Parlament Skoċċiż. Tali "kwistjonijiet devoluti" jinkludu edukazzjoni, saħħa, agrikoltura u ġustizzja. L-Att dwar l-Iskozja ppermetta lill-Parlament Skoċċiż jgħaddi leġislazzjoni primarja dwar dawn il-kwistjonijiet. Grad ta 'awtorità domestika, u l-politika barranija kollha, jibqgħu mal-Parlament tar-Renju Unit f'Westminster. Il-Parlament Skoċċiż għandu s-setgħa li jgħaddi liġijiet u għandu kapaċità limitata li tvarja mit-taxxa. Ieħor mir-rwoli tal-Parlament huwa li jżomm il-gvern Skoċċiż.</v>
      </c>
    </row>
    <row r="19299" ht="15.75" customHeight="1">
      <c r="A19299" s="2" t="s">
        <v>19299</v>
      </c>
      <c r="B19299" s="2" t="str">
        <f>IFERROR(__xludf.DUMMYFUNCTION("GOOGLETRANSLATE(A19299, ""en"", ""mt"")"),"X'għandhom l-MSPs li mhumiex fil-kamra meta l-qanpiena tad-diviżjoni terġa 'tagħmel?")</f>
        <v>X'għandhom l-MSPs li mhumiex fil-kamra meta l-qanpiena tad-diviżjoni terġa 'tagħmel?</v>
      </c>
    </row>
    <row r="19300" ht="15.75" customHeight="1">
      <c r="A19300" s="2" t="s">
        <v>19300</v>
      </c>
      <c r="B19300" s="2" t="str">
        <f>IFERROR(__xludf.DUMMYFUNCTION("GOOGLETRANSLATE(A19300, ""en"", ""mt"")"),"it-trattat dwar il-funzjonament tal-Unjoni Ewropea")</f>
        <v>it-trattat dwar il-funzjonament tal-Unjoni Ewropea</v>
      </c>
    </row>
    <row r="19301" ht="15.75" customHeight="1">
      <c r="A19301" s="2" t="s">
        <v>19301</v>
      </c>
      <c r="B19301" s="2" t="str">
        <f>IFERROR(__xludf.DUMMYFUNCTION("GOOGLETRANSLATE(A19301, ""en"", ""mt"")"),"l-għerq kwadru ta 'n")</f>
        <v>l-għerq kwadru ta 'n</v>
      </c>
    </row>
    <row r="19302" ht="15.75" customHeight="1">
      <c r="A19302" s="2" t="s">
        <v>19302</v>
      </c>
      <c r="B19302" s="2" t="str">
        <f>IFERROR(__xludf.DUMMYFUNCTION("GOOGLETRANSLATE(A19302, ""en"", ""mt"")"),"kuntratti ta 'relazzjoni")</f>
        <v>kuntratti ta 'relazzjoni</v>
      </c>
    </row>
    <row r="19303" ht="15.75" customHeight="1">
      <c r="A19303" s="2" t="s">
        <v>19303</v>
      </c>
      <c r="B19303" s="2" t="str">
        <f>IFERROR(__xludf.DUMMYFUNCTION("GOOGLETRANSLATE(A19303, ""en"", ""mt"")"),"Waħda minn kull ħamsa mill-ispeċi kollha tal-għasafar fid-dinja")</f>
        <v>Waħda minn kull ħamsa mill-ispeċi kollha tal-għasafar fid-dinja</v>
      </c>
    </row>
    <row r="19304" ht="15.75" customHeight="1">
      <c r="A19304" s="2" t="s">
        <v>19304</v>
      </c>
      <c r="B19304" s="2" t="str">
        <f>IFERROR(__xludf.DUMMYFUNCTION("GOOGLETRANSLATE(A19304, ""en"", ""mt"")"),"mekkaniżmu li bih Y. pestis ġeneralment kien trasmess")</f>
        <v>mekkaniżmu li bih Y. pestis ġeneralment kien trasmess</v>
      </c>
    </row>
    <row r="19305" ht="15.75" customHeight="1">
      <c r="A19305" s="2" t="s">
        <v>19305</v>
      </c>
      <c r="B19305" s="2" t="str">
        <f>IFERROR(__xludf.DUMMYFUNCTION("GOOGLETRANSLATE(A19305, ""en"", ""mt"")"),"Figura ewlenija fil-pjanijiet għal dak li kien se jkun magħruf bħala l-Imperu Amerikan, kien ġeografu jismu Isiah Bowman. Bowman kien id-direttur tas-Soċjetà Ġeografika Amerikana fl-1914. Tliet snin wara fl-1917, inħatar l-inkjesta tal-President Woodrow W"&amp;"ilson fl-1917. L-inkjesta kienet l-idea tal-President Wilson u d-delegazzjoni Amerikana mill-Konferenza tal-Paċi ta 'Pariġi. Il-punt ta 'din l-inkjesta kien li tinbena premessa li tippermetti l-awtrija ta' l-Istati Uniti ta '' dinja ġdida 'li kellha tkun "&amp;"ikkaratterizzata minn ordni ġeografika. Bħala riżultat tar-rwol tiegħu fl-inkjesta, Isiah Bowman se jkun magħruf bħala Wilson's Geographer.")</f>
        <v>Figura ewlenija fil-pjanijiet għal dak li kien se jkun magħruf bħala l-Imperu Amerikan, kien ġeografu jismu Isiah Bowman. Bowman kien id-direttur tas-Soċjetà Ġeografika Amerikana fl-1914. Tliet snin wara fl-1917, inħatar l-inkjesta tal-President Woodrow Wilson fl-1917. L-inkjesta kienet l-idea tal-President Wilson u d-delegazzjoni Amerikana mill-Konferenza tal-Paċi ta 'Pariġi. Il-punt ta 'din l-inkjesta kien li tinbena premessa li tippermetti l-awtrija ta' l-Istati Uniti ta '' dinja ġdida 'li kellha tkun ikkaratterizzata minn ordni ġeografika. Bħala riżultat tar-rwol tiegħu fl-inkjesta, Isiah Bowman se jkun magħruf bħala Wilson's Geographer.</v>
      </c>
    </row>
    <row r="19306" ht="15.75" customHeight="1">
      <c r="A19306" s="2" t="s">
        <v>19306</v>
      </c>
      <c r="B19306" s="2" t="str">
        <f>IFERROR(__xludf.DUMMYFUNCTION("GOOGLETRANSLATE(A19306, ""en"", ""mt"")"),"X'inhu l-istatus tal-biċċa l-kbira tal-ġeni tal-kloroplast fil-mitokondrion?")</f>
        <v>X'inhu l-istatus tal-biċċa l-kbira tal-ġeni tal-kloroplast fil-mitokondrion?</v>
      </c>
    </row>
    <row r="19307" ht="15.75" customHeight="1">
      <c r="A19307" s="2" t="s">
        <v>19307</v>
      </c>
      <c r="B19307" s="2" t="str">
        <f>IFERROR(__xludf.DUMMYFUNCTION("GOOGLETRANSLATE(A19307, ""en"", ""mt"")"),"Ekwilibriju statiku bejn żewġ forzi huwa l-iktar mod tas-soltu ta 'kejl tal-forzi, bl-użu ta' apparati sempliċi bħal skali ta 'użin u bilanċi tar-rebbiegħa. Pereżempju, oġġett sospiż fuq skala tar-rebbiegħa vertikali jesperjenza l-forza tal-gravità li taġ"&amp;"ixxi fuq l-oġġett ibbilanċjat minn forza applikata mill- ""forza ta 'reazzjoni tar-rebbiegħa"", li hija daqs il-piż tal-oġġett. Bl-użu ta 'għodod bħal dawn, ġew skoperti xi liġijiet tal-forza kwantitattiva: li l-forza tal-gravità hija proporzjonali għall-"&amp;"volum għal oġġetti ta' densità kostanti (sfruttati b'mod wiesa 'għal millenji biex jiddefinixxu piżijiet standard); Prinċipju ta 'Archimedes għal galleġġjatura; L-analiżi ta 'Archimedes tal-lieva; Liġi ta 'Boyle għall-pressjoni tal-gass; u l-liġi ta 'Hook"&amp;"e għall-molol. Dawn kienu kollha fformulati u vverifikati b'mod sperimentali qabel Isaac Newton esponew it-tliet liġijiet tal-mozzjoni tiegħu.")</f>
        <v>Ekwilibriju statiku bejn żewġ forzi huwa l-iktar mod tas-soltu ta 'kejl tal-forzi, bl-użu ta' apparati sempliċi bħal skali ta 'użin u bilanċi tar-rebbiegħa. Pereżempju, oġġett sospiż fuq skala tar-rebbiegħa vertikali jesperjenza l-forza tal-gravità li taġixxi fuq l-oġġett ibbilanċjat minn forza applikata mill- "forza ta 'reazzjoni tar-rebbiegħa", li hija daqs il-piż tal-oġġett. Bl-użu ta 'għodod bħal dawn, ġew skoperti xi liġijiet tal-forza kwantitattiva: li l-forza tal-gravità hija proporzjonali għall-volum għal oġġetti ta' densità kostanti (sfruttati b'mod wiesa 'għal millenji biex jiddefinixxu piżijiet standard); Prinċipju ta 'Archimedes għal galleġġjatura; L-analiżi ta 'Archimedes tal-lieva; Liġi ta 'Boyle għall-pressjoni tal-gass; u l-liġi ta 'Hooke għall-molol. Dawn kienu kollha fformulati u vverifikati b'mod sperimentali qabel Isaac Newton esponew it-tliet liġijiet tal-mozzjoni tiegħu.</v>
      </c>
    </row>
    <row r="19308" ht="15.75" customHeight="1">
      <c r="A19308" s="2" t="s">
        <v>19308</v>
      </c>
      <c r="B19308" s="2" t="str">
        <f>IFERROR(__xludf.DUMMYFUNCTION("GOOGLETRANSLATE(A19308, ""en"", ""mt"")"),"BRISINGR u SWIZARDRIJA GĦOLJA,")</f>
        <v>BRISINGR u SWIZARDRIJA GĦOLJA,</v>
      </c>
    </row>
    <row r="19309" ht="15.75" customHeight="1">
      <c r="A19309" s="2" t="s">
        <v>19309</v>
      </c>
      <c r="B19309" s="2" t="str">
        <f>IFERROR(__xludf.DUMMYFUNCTION("GOOGLETRANSLATE(A19309, ""en"", ""mt"")"),"Fejn huma tipikament il-kontijiet ġestati fl-istadju 1?")</f>
        <v>Fejn huma tipikament il-kontijiet ġestati fl-istadju 1?</v>
      </c>
    </row>
    <row r="19310" ht="15.75" customHeight="1">
      <c r="A19310" s="2" t="s">
        <v>19310</v>
      </c>
      <c r="B19310" s="2" t="str">
        <f>IFERROR(__xludf.DUMMYFUNCTION("GOOGLETRANSLATE(A19310, ""en"", ""mt"")"),"Min ġie msemmi president tal-grupp televiżiv Disney-ABC fl-2004?")</f>
        <v>Min ġie msemmi president tal-grupp televiżiv Disney-ABC fl-2004?</v>
      </c>
    </row>
    <row r="19311" ht="15.75" customHeight="1">
      <c r="A19311" s="2" t="s">
        <v>19311</v>
      </c>
      <c r="B19311" s="2" t="str">
        <f>IFERROR(__xludf.DUMMYFUNCTION("GOOGLETRANSLATE(A19311, ""en"", ""mt"")"),"tobba mhux Mongol")</f>
        <v>tobba mhux Mongol</v>
      </c>
    </row>
    <row r="19312" ht="15.75" customHeight="1">
      <c r="A19312" s="2" t="s">
        <v>19312</v>
      </c>
      <c r="B19312" s="2" t="str">
        <f>IFERROR(__xludf.DUMMYFUNCTION("GOOGLETRANSLATE(A19312, ""en"", ""mt"")"),"L-imperjalizmu huwa definit bħala ""politika li testendi l-poter u l-influwenza ta 'pajjiż permezz tad-diplomazija jew il-forza militari."" L-imperjalizmu huwa partikolarment iffokat fuq il-kontroll li grupp wieħed, ħafna drabi għandu poter statali, għand"&amp;"u fuq grupp ieħor ta 'nies. Dan ħafna drabi permezz ta 'diversi forom ta' ""oħrajn"" (ara oħrajn) ibbażati fuq sterjotipi razzjali, reliġjużi, jew kulturali. Hemm imperjaliżmi ""formali"" jew ""informali"". ""Imperjalizmu formali"" huwa definit bħala ""ko"&amp;"ntroll fiżiku jew regola kolonjali sħiħa"". ""Imperjalizmu informali"" huwa inqas dirett; Madankollu, għadha forma qawwija ta 'dominanza.")</f>
        <v>L-imperjalizmu huwa definit bħala "politika li testendi l-poter u l-influwenza ta 'pajjiż permezz tad-diplomazija jew il-forza militari." L-imperjalizmu huwa partikolarment iffokat fuq il-kontroll li grupp wieħed, ħafna drabi għandu poter statali, għandu fuq grupp ieħor ta 'nies. Dan ħafna drabi permezz ta 'diversi forom ta' "oħrajn" (ara oħrajn) ibbażati fuq sterjotipi razzjali, reliġjużi, jew kulturali. Hemm imperjaliżmi "formali" jew "informali". "Imperjalizmu formali" huwa definit bħala "kontroll fiżiku jew regola kolonjali sħiħa". "Imperjalizmu informali" huwa inqas dirett; Madankollu, għadha forma qawwija ta 'dominanza.</v>
      </c>
    </row>
    <row r="19313" ht="15.75" customHeight="1">
      <c r="A19313" s="2" t="s">
        <v>19313</v>
      </c>
      <c r="B19313" s="2" t="str">
        <f>IFERROR(__xludf.DUMMYFUNCTION("GOOGLETRANSLATE(A19313, ""en"", ""mt"")"),"In-Nofsinhar tal-Kalifornja tikkonsisti f'ambjent urban żviluppat ħafna, id-dar għal uħud mill-ikbar żoni urbani fl-istat, flimkien ma 'żoni vasti li tħallew mhux żviluppati. Hija t-tielet l-iktar megalopoli popolata fl-Istati Uniti, wara l-Great Lakes Me"&amp;"galopolis u l-Megalopolis tal-Grigal. Ħafna min-Nofsinhar ta 'California huwa famuż għall-komunitajiet kbar, mifruxa, suburbani u l-użu ta' karozzi u awtostradi. Iż-żoni dominanti huma Los Angeles, Orange County, San Diego, u Riverside-San Bernardino, li "&amp;"kull wieħed minnhom huwa ċ-ċentru taż-żona metropolitana rispettiva tagħha, magħmul minn bosta bliet u komunitajiet iżgħar. Iż-żona urbana hija wkoll ospitanti għal reġjun metropolitana internazzjonali fil-forma ta 'San Diego-Tijuana, maħluqa miż-żona urb"&amp;"ana li tinfirex f'Baja California.")</f>
        <v>In-Nofsinhar tal-Kalifornja tikkonsisti f'ambjent urban żviluppat ħafna, id-dar għal uħud mill-ikbar żoni urbani fl-istat, flimkien ma 'żoni vasti li tħallew mhux żviluppati. Hija t-tielet l-iktar megalopoli popolata fl-Istati Uniti, wara l-Great Lakes Megalopolis u l-Megalopolis tal-Grigal. Ħafna min-Nofsinhar ta 'California huwa famuż għall-komunitajiet kbar, mifruxa, suburbani u l-użu ta' karozzi u awtostradi. Iż-żoni dominanti huma Los Angeles, Orange County, San Diego, u Riverside-San Bernardino, li kull wieħed minnhom huwa ċ-ċentru taż-żona metropolitana rispettiva tagħha, magħmul minn bosta bliet u komunitajiet iżgħar. Iż-żona urbana hija wkoll ospitanti għal reġjun metropolitana internazzjonali fil-forma ta 'San Diego-Tijuana, maħluqa miż-żona urbana li tinfirex f'Baja California.</v>
      </c>
    </row>
    <row r="19314" ht="15.75" customHeight="1">
      <c r="A19314" s="2" t="s">
        <v>19314</v>
      </c>
      <c r="B19314" s="2" t="str">
        <f>IFERROR(__xludf.DUMMYFUNCTION("GOOGLETRANSLATE(A19314, ""en"", ""mt"")"),"Mill-2012, skejjel privati ​​ta 'kwalità fl-Istati Uniti akkużaw tagħlim sostanzjali, qrib $ 40,000 kull sena għall-iskejjel ta' kuljum fi New York City, u kważi $ 50,000 għall-iskejjel tal-imbark. Madankollu, it-tagħlim ma jkoprix l-ispejjeż operattivi, "&amp;"partikolarment fl-iskejjel tal-imbark. L-iskejjel ewlenin bħall-Iskola Groton kellhom għotjiet sostanzjali li jmexxu mijiet ta 'miljuni ta' dollari supplimentati mill-ġbir ta 'fondi. L-iskejjel imbarkati b’reputazzjoni għall-kwalità fl-Istati Uniti għandh"&amp;"om korp ta ’studenti miġbud minn madwar il-pajjiż, tabilħaqq il-globu, u lista ta’ applikanti li jaqbżu bil-bosta l-kapaċità tagħhom.")</f>
        <v>Mill-2012, skejjel privati ​​ta 'kwalità fl-Istati Uniti akkużaw tagħlim sostanzjali, qrib $ 40,000 kull sena għall-iskejjel ta' kuljum fi New York City, u kważi $ 50,000 għall-iskejjel tal-imbark. Madankollu, it-tagħlim ma jkoprix l-ispejjeż operattivi, partikolarment fl-iskejjel tal-imbark. L-iskejjel ewlenin bħall-Iskola Groton kellhom għotjiet sostanzjali li jmexxu mijiet ta 'miljuni ta' dollari supplimentati mill-ġbir ta 'fondi. L-iskejjel imbarkati b’reputazzjoni għall-kwalità fl-Istati Uniti għandhom korp ta ’studenti miġbud minn madwar il-pajjiż, tabilħaqq il-globu, u lista ta’ applikanti li jaqbżu bil-bosta l-kapaċità tagħhom.</v>
      </c>
    </row>
    <row r="19315" ht="15.75" customHeight="1">
      <c r="A19315" s="2" t="s">
        <v>19315</v>
      </c>
      <c r="B19315" s="2" t="str">
        <f>IFERROR(__xludf.DUMMYFUNCTION("GOOGLETRANSLATE(A19315, ""en"", ""mt"")"),"F'liema sena fetħet il-gallerija tal-arti Ġappuniża?")</f>
        <v>F'liema sena fetħet il-gallerija tal-arti Ġappuniża?</v>
      </c>
    </row>
    <row r="19316" ht="15.75" customHeight="1">
      <c r="A19316" s="2" t="s">
        <v>19316</v>
      </c>
      <c r="B19316" s="2" t="str">
        <f>IFERROR(__xludf.DUMMYFUNCTION("GOOGLETRANSLATE(A19316, ""en"", ""mt"")"),"Min tilef kontra l-Panthers fir-rawnd diviżjonali tal-playoffs?")</f>
        <v>Min tilef kontra l-Panthers fir-rawnd diviżjonali tal-playoffs?</v>
      </c>
    </row>
    <row r="19317" ht="15.75" customHeight="1">
      <c r="A19317" s="2" t="s">
        <v>19317</v>
      </c>
      <c r="B19317" s="2" t="str">
        <f>IFERROR(__xludf.DUMMYFUNCTION("GOOGLETRANSLATE(A19317, ""en"", ""mt"")"),"Fl-1899, John Jacob Astor IV investa $ 100,000 għal Tesla biex tkompli tiżviluppa u tipproduċi sistema ta 'dawl ġdida. Minflok, Tesla użat il-flus biex tiffinanzja l-esperimenti tiegħu ta 'Colorado Springs.")</f>
        <v>Fl-1899, John Jacob Astor IV investa $ 100,000 għal Tesla biex tkompli tiżviluppa u tipproduċi sistema ta 'dawl ġdida. Minflok, Tesla użat il-flus biex tiffinanzja l-esperimenti tiegħu ta 'Colorado Springs.</v>
      </c>
    </row>
    <row r="19318" ht="15.75" customHeight="1">
      <c r="A19318" s="2" t="s">
        <v>19318</v>
      </c>
      <c r="B19318" s="2" t="str">
        <f>IFERROR(__xludf.DUMMYFUNCTION("GOOGLETRANSLATE(A19318, ""en"", ""mt"")"),"Lysozyme u Phospholipase A2")</f>
        <v>Lysozyme u Phospholipase A2</v>
      </c>
    </row>
    <row r="19319" ht="15.75" customHeight="1">
      <c r="A19319" s="2" t="s">
        <v>19319</v>
      </c>
      <c r="B19319" s="2" t="str">
        <f>IFERROR(__xludf.DUMMYFUNCTION("GOOGLETRANSLATE(A19319, ""en"", ""mt"")"),"Kemm hi wiesgħa l-pjanura tar-Rhine ta 'Fuq?")</f>
        <v>Kemm hi wiesgħa l-pjanura tar-Rhine ta 'Fuq?</v>
      </c>
    </row>
    <row r="19320" ht="15.75" customHeight="1">
      <c r="A19320" s="2" t="s">
        <v>19320</v>
      </c>
      <c r="B19320" s="2" t="str">
        <f>IFERROR(__xludf.DUMMYFUNCTION("GOOGLETRANSLATE(A19320, ""en"", ""mt"")"),"Brough Park")</f>
        <v>Brough Park</v>
      </c>
    </row>
    <row r="19321" ht="15.75" customHeight="1">
      <c r="A19321" s="2" t="s">
        <v>19321</v>
      </c>
      <c r="B19321" s="2" t="str">
        <f>IFERROR(__xludf.DUMMYFUNCTION("GOOGLETRANSLATE(A19321, ""en"", ""mt"")"),"Xi tagħmel ħsara lill-inugwaljanza dejjem tiżdied?")</f>
        <v>Xi tagħmel ħsara lill-inugwaljanza dejjem tiżdied?</v>
      </c>
    </row>
    <row r="19322" ht="15.75" customHeight="1">
      <c r="A19322" s="2" t="s">
        <v>19322</v>
      </c>
      <c r="B19322" s="2" t="str">
        <f>IFERROR(__xludf.DUMMYFUNCTION("GOOGLETRANSLATE(A19322, ""en"", ""mt"")"),"Politikament, is-sistema ta 'gvern maħluqa minn Kublai Khan kienet il-prodott ta' kompromess bejn il-feudaliżmu patrimonjali Mongoljan u s-sistema tradizzjonali Ċiniża awtokratika-burokratika. Madankollu, soċjalment l-elite Ċiniża edukata ġeneralment ma n"&amp;"għatawx il-grad ta 'stima li kienu ngħataw qabel taħt dinastiji Ċiniżi indiġeni. Għalkemm l-elite Ċiniża tradizzjonali ma ngħatawx is-sehem tagħhom tal-poter, il-Mongoli u s-Semuren (diversi gruppi alleati mill-Asja Ċentrali u t-tarf tal-punent tal-imperu"&amp;") fil-biċċa l-kbira baqgħu barranin għall-kultura Ċiniża mainstream, u din id-dikotomija tat ir-reġim tal-wan Kolorazzjoni kemmxejn qawwija ""kolonjali"". It-trattament mhux ugwali huwa possibbilment dovut għall-biża 'li tittrasferixxi l-poter liċ-Ċiniżi "&amp;"etniċi taħt ir-regola tagħhom. Il-Mongoli u Semuren ingħataw ċerti vantaġġi fid-dinastija, u dan idum anke wara r-restawr tal-eżami imperjali fil-bidu tas-seklu 14. B'mod ġenerali kien hemm ftit Ċiniżi tat-Tramuntana jew Southerners li laħqu l-ogħla post "&amp;"fil-gvern meta mqabbla mal-possibbiltà li l-Persjani għamlu dan fil-Ilkhanate. Aktar tard l-imperatur Yongle tad-dinastija Ming semma wkoll id-diskriminazzjoni li kienet teżisti matul id-dinastija Yuan. Bi tweġiba għal oġġezzjoni kontra l-użu ta '""barbar"&amp;"i"" fil-gvern tiegħu, l-Imperatur Yongle wieġeb: ""... id-diskriminazzjoni kienet użata mill-Mongoli waqt id-Dinastija Yuan, li impjegat biss"" Mongoli u Tartars ""u mormija Ċiniż tat-Tramuntana u tan-Nofsinhar U din kienet preċiżament il-kawża li ġabet d"&amp;"iżastru fuqhom "".")</f>
        <v>Politikament, is-sistema ta 'gvern maħluqa minn Kublai Khan kienet il-prodott ta' kompromess bejn il-feudaliżmu patrimonjali Mongoljan u s-sistema tradizzjonali Ċiniża awtokratika-burokratika. Madankollu, soċjalment l-elite Ċiniża edukata ġeneralment ma ngħatawx il-grad ta 'stima li kienu ngħataw qabel taħt dinastiji Ċiniżi indiġeni. Għalkemm l-elite Ċiniża tradizzjonali ma ngħatawx is-sehem tagħhom tal-poter, il-Mongoli u s-Semuren (diversi gruppi alleati mill-Asja Ċentrali u t-tarf tal-punent tal-imperu) fil-biċċa l-kbira baqgħu barranin għall-kultura Ċiniża mainstream, u din id-dikotomija tat ir-reġim tal-wan Kolorazzjoni kemmxejn qawwija "kolonjali". It-trattament mhux ugwali huwa possibbilment dovut għall-biża 'li tittrasferixxi l-poter liċ-Ċiniżi etniċi taħt ir-regola tagħhom. Il-Mongoli u Semuren ingħataw ċerti vantaġġi fid-dinastija, u dan idum anke wara r-restawr tal-eżami imperjali fil-bidu tas-seklu 14. B'mod ġenerali kien hemm ftit Ċiniżi tat-Tramuntana jew Southerners li laħqu l-ogħla post fil-gvern meta mqabbla mal-possibbiltà li l-Persjani għamlu dan fil-Ilkhanate. Aktar tard l-imperatur Yongle tad-dinastija Ming semma wkoll id-diskriminazzjoni li kienet teżisti matul id-dinastija Yuan. Bi tweġiba għal oġġezzjoni kontra l-użu ta '"barbari" fil-gvern tiegħu, l-Imperatur Yongle wieġeb: "... id-diskriminazzjoni kienet użata mill-Mongoli waqt id-Dinastija Yuan, li impjegat biss" Mongoli u Tartars "u mormija Ċiniż tat-Tramuntana u tan-Nofsinhar U din kienet preċiżament il-kawża li ġabet diżastru fuqhom ".</v>
      </c>
    </row>
    <row r="19323" ht="15.75" customHeight="1">
      <c r="A19323" s="2" t="s">
        <v>19323</v>
      </c>
      <c r="B19323" s="2" t="str">
        <f>IFERROR(__xludf.DUMMYFUNCTION("GOOGLETRANSLATE(A19323, ""en"", ""mt"")"),"Kemm interazzjonijiet huma bbażati fuq il-forzi universali kollha?")</f>
        <v>Kemm interazzjonijiet huma bbażati fuq il-forzi universali kollha?</v>
      </c>
    </row>
    <row r="19324" ht="15.75" customHeight="1">
      <c r="A19324" s="2" t="s">
        <v>19324</v>
      </c>
      <c r="B19324" s="2" t="str">
        <f>IFERROR(__xludf.DUMMYFUNCTION("GOOGLETRANSLATE(A19324, ""en"", ""mt"")"),"Meta pajjiżi sinjuri jinnegozjaw ma 'pajjiżi foqra, li l-pagi tagħhom jiżdiedu?")</f>
        <v>Meta pajjiżi sinjuri jinnegozjaw ma 'pajjiżi foqra, li l-pagi tagħhom jiżdiedu?</v>
      </c>
    </row>
    <row r="19325" ht="15.75" customHeight="1">
      <c r="A19325" s="2" t="s">
        <v>19325</v>
      </c>
      <c r="B19325" s="2" t="str">
        <f>IFERROR(__xludf.DUMMYFUNCTION("GOOGLETRANSLATE(A19325, ""en"", ""mt"")"),"X'inhu dak li jipproduċi l-livelli għoljin ta 'ossiġnu fid-Dinja?")</f>
        <v>X'inhu dak li jipproduċi l-livelli għoljin ta 'ossiġnu fid-Dinja?</v>
      </c>
    </row>
    <row r="19326" ht="15.75" customHeight="1">
      <c r="A19326" s="2" t="s">
        <v>19326</v>
      </c>
      <c r="B19326" s="2" t="str">
        <f>IFERROR(__xludf.DUMMYFUNCTION("GOOGLETRANSLATE(A19326, ""en"", ""mt"")"),"Liema parti tal-kollezzjoni V &amp; A tejjeb il-Bequest tat-Talting?")</f>
        <v>Liema parti tal-kollezzjoni V &amp; A tejjeb il-Bequest tat-Talting?</v>
      </c>
    </row>
    <row r="19327" ht="15.75" customHeight="1">
      <c r="A19327" s="2" t="s">
        <v>19327</v>
      </c>
      <c r="B19327" s="2" t="str">
        <f>IFERROR(__xludf.DUMMYFUNCTION("GOOGLETRANSLATE(A19327, ""en"", ""mt"")"),"1954,")</f>
        <v>1954,</v>
      </c>
    </row>
    <row r="19328" ht="15.75" customHeight="1">
      <c r="A19328" s="2" t="s">
        <v>19328</v>
      </c>
      <c r="B19328" s="2" t="str">
        <f>IFERROR(__xludf.DUMMYFUNCTION("GOOGLETRANSLATE(A19328, ""en"", ""mt"")"),"X'kienet Newcastle imsemmi bħala l-iktar tip ta 'belt fir-Renju Unit?")</f>
        <v>X'kienet Newcastle imsemmi bħala l-iktar tip ta 'belt fir-Renju Unit?</v>
      </c>
    </row>
    <row r="19329" ht="15.75" customHeight="1">
      <c r="A19329" s="2" t="s">
        <v>19329</v>
      </c>
      <c r="B19329" s="2" t="str">
        <f>IFERROR(__xludf.DUMMYFUNCTION("GOOGLETRANSLATE(A19329, ""en"", ""mt"")"),"Liema dinastija waslet quddiem il-wan?")</f>
        <v>Liema dinastija waslet quddiem il-wan?</v>
      </c>
    </row>
    <row r="19330" ht="15.75" customHeight="1">
      <c r="A19330" s="2" t="s">
        <v>19330</v>
      </c>
      <c r="B19330" s="2" t="str">
        <f>IFERROR(__xludf.DUMMYFUNCTION("GOOGLETRANSLATE(A19330, ""en"", ""mt"")"),"Fejn Kublai estenda l-Grand Canal?")</f>
        <v>Fejn Kublai estenda l-Grand Canal?</v>
      </c>
    </row>
    <row r="19331" ht="15.75" customHeight="1">
      <c r="A19331" s="2" t="s">
        <v>19331</v>
      </c>
      <c r="B19331" s="2" t="str">
        <f>IFERROR(__xludf.DUMMYFUNCTION("GOOGLETRANSLATE(A19331, ""en"", ""mt"")"),"Skola Normali Fresno")</f>
        <v>Skola Normali Fresno</v>
      </c>
    </row>
    <row r="19332" ht="15.75" customHeight="1">
      <c r="A19332" s="2" t="s">
        <v>19332</v>
      </c>
      <c r="B19332" s="2" t="str">
        <f>IFERROR(__xludf.DUMMYFUNCTION("GOOGLETRANSLATE(A19332, ""en"", ""mt"")"),"F'liema marriott tal-belt qagħdu l-Panthers?")</f>
        <v>F'liema marriott tal-belt qagħdu l-Panthers?</v>
      </c>
    </row>
    <row r="19333" ht="15.75" customHeight="1">
      <c r="A19333" s="2" t="s">
        <v>19333</v>
      </c>
      <c r="B19333" s="2" t="str">
        <f>IFERROR(__xludf.DUMMYFUNCTION("GOOGLETRANSLATE(A19333, ""en"", ""mt"")"),"Kif ingħatat il-popolazzjoni ta 'Mnemiopsis fil-Baħar l-Iswed u l-Baħar ta' Azov li ġab taħt kontroll?")</f>
        <v>Kif ingħatat il-popolazzjoni ta 'Mnemiopsis fil-Baħar l-Iswed u l-Baħar ta' Azov li ġab taħt kontroll?</v>
      </c>
    </row>
    <row r="19334" ht="15.75" customHeight="1">
      <c r="A19334" s="2" t="s">
        <v>19334</v>
      </c>
      <c r="B19334" s="2" t="str">
        <f>IFERROR(__xludf.DUMMYFUNCTION("GOOGLETRANSLATE(A19334, ""en"", ""mt"")"),"Liema apparat jintuża biex jirriċikla l-ilma tal-bojler fil-biċċa l-kbira tal-magni tal-fwar?")</f>
        <v>Liema apparat jintuża biex jirriċikla l-ilma tal-bojler fil-biċċa l-kbira tal-magni tal-fwar?</v>
      </c>
    </row>
    <row r="19335" ht="15.75" customHeight="1">
      <c r="A19335" s="2" t="s">
        <v>19335</v>
      </c>
      <c r="B19335" s="2" t="str">
        <f>IFERROR(__xludf.DUMMYFUNCTION("GOOGLETRANSLATE(A19335, ""en"", ""mt"")"),"L-approċċ tal-kapaċitajiet - xi kultant imsejjaħ l-approċċ għall-iżvilupp tal-bniedem - iħares lejn l-inugwaljanza tad-dħul u l-faqar bħala forma ta '""ċaħda ta' kapaċità"". B'differenza mill-neoliberaliżmu, li ""jiddefinixxi l-benesseri bħala massimizzaz"&amp;"zjoni ta 'utilità"", it-tkabbir ekonomiku u d-dħul huma meqjusa bħala mezz biex jintemm aktar milli t-tmiem innifsu. L-għan tiegħu huwa li ""widen [en] l-għażliet tan-nies u l-livell tal-benesseri miksub tagħhom"" permezz ta 'funzjonazzjonijiet dejjem jiż"&amp;"diedu (l-affarijiet li persuna tagħmel valutazzjoni), kapaċitajiet (il-libertà li tgawdi l-funzjonazzjonijiet) u l-aġenzija (il-kapaċità li ssegwi għanijiet stmati ).")</f>
        <v>L-approċċ tal-kapaċitajiet - xi kultant imsejjaħ l-approċċ għall-iżvilupp tal-bniedem - iħares lejn l-inugwaljanza tad-dħul u l-faqar bħala forma ta '"ċaħda ta' kapaċità". B'differenza mill-neoliberaliżmu, li "jiddefinixxi l-benesseri bħala massimizzazzjoni ta 'utilità", it-tkabbir ekonomiku u d-dħul huma meqjusa bħala mezz biex jintemm aktar milli t-tmiem innifsu. L-għan tiegħu huwa li "widen [en] l-għażliet tan-nies u l-livell tal-benesseri miksub tagħhom" permezz ta 'funzjonazzjonijiet dejjem jiżdiedu (l-affarijiet li persuna tagħmel valutazzjoni), kapaċitajiet (il-libertà li tgawdi l-funzjonazzjonijiet) u l-aġenzija (il-kapaċità li ssegwi għanijiet stmati ).</v>
      </c>
    </row>
    <row r="19336" ht="15.75" customHeight="1">
      <c r="A19336" s="2" t="s">
        <v>19336</v>
      </c>
      <c r="B19336" s="2" t="str">
        <f>IFERROR(__xludf.DUMMYFUNCTION("GOOGLETRANSLATE(A19336, ""en"", ""mt"")"),"Dominic Glynn's")</f>
        <v>Dominic Glynn's</v>
      </c>
    </row>
    <row r="19337" ht="15.75" customHeight="1">
      <c r="A19337" s="2" t="s">
        <v>19337</v>
      </c>
      <c r="B19337" s="2" t="str">
        <f>IFERROR(__xludf.DUMMYFUNCTION("GOOGLETRANSLATE(A19337, ""en"", ""mt"")"),"Netwerking avvanzat ta 'riċerka u edukazzjoni fl-Istati Uniti")</f>
        <v>Netwerking avvanzat ta 'riċerka u edukazzjoni fl-Istati Uniti</v>
      </c>
    </row>
    <row r="19338" ht="15.75" customHeight="1">
      <c r="A19338" s="2" t="s">
        <v>19338</v>
      </c>
      <c r="B19338" s="2" t="str">
        <f>IFERROR(__xludf.DUMMYFUNCTION("GOOGLETRANSLATE(A19338, ""en"", ""mt"")"),"Il-logħba li għadha kemm ġiet miżżewġa")</f>
        <v>Il-logħba li għadha kemm ġiet miżżewġa</v>
      </c>
    </row>
    <row r="19339" ht="15.75" customHeight="1">
      <c r="A19339" s="2" t="s">
        <v>19339</v>
      </c>
      <c r="B19339" s="2" t="str">
        <f>IFERROR(__xludf.DUMMYFUNCTION("GOOGLETRANSLATE(A19339, ""en"", ""mt"")"),"power steering")</f>
        <v>power steering</v>
      </c>
    </row>
    <row r="19340" ht="15.75" customHeight="1">
      <c r="A19340" s="2" t="s">
        <v>19340</v>
      </c>
      <c r="B19340" s="2" t="str">
        <f>IFERROR(__xludf.DUMMYFUNCTION("GOOGLETRANSLATE(A19340, ""en"", ""mt"")"),"Salvazzjoni")</f>
        <v>Salvazzjoni</v>
      </c>
    </row>
    <row r="19341" ht="15.75" customHeight="1">
      <c r="A19341" s="2" t="s">
        <v>19341</v>
      </c>
      <c r="B19341" s="2" t="str">
        <f>IFERROR(__xludf.DUMMYFUNCTION("GOOGLETRANSLATE(A19341, ""en"", ""mt"")"),"X’ħeġġeġ l-iskambju kulturali taħt il-wan?")</f>
        <v>X’ħeġġeġ l-iskambju kulturali taħt il-wan?</v>
      </c>
    </row>
    <row r="19342" ht="15.75" customHeight="1">
      <c r="A19342" s="2" t="s">
        <v>19342</v>
      </c>
      <c r="B19342" s="2" t="str">
        <f>IFERROR(__xludf.DUMMYFUNCTION("GOOGLETRANSLATE(A19342, ""en"", ""mt"")"),"Ekwipaġġ ta 'backup Apollo 1")</f>
        <v>Ekwipaġġ ta 'backup Apollo 1</v>
      </c>
    </row>
    <row r="19343" ht="15.75" customHeight="1">
      <c r="A19343" s="2" t="s">
        <v>19343</v>
      </c>
      <c r="B19343" s="2" t="str">
        <f>IFERROR(__xludf.DUMMYFUNCTION("GOOGLETRANSLATE(A19343, ""en"", ""mt"")"),"Semmi mod wieħed kif persuna tista 'ssir membru li jistqarru?")</f>
        <v>Semmi mod wieħed kif persuna tista 'ssir membru li jistqarru?</v>
      </c>
    </row>
    <row r="19344" ht="15.75" customHeight="1">
      <c r="A19344" s="2" t="s">
        <v>19344</v>
      </c>
      <c r="B19344" s="2" t="str">
        <f>IFERROR(__xludf.DUMMYFUNCTION("GOOGLETRANSLATE(A19344, ""en"", ""mt"")"),"Meta twaqqfet il-Knisja Episkopali Metodista?")</f>
        <v>Meta twaqqfet il-Knisja Episkopali Metodista?</v>
      </c>
    </row>
    <row r="19345" ht="15.75" customHeight="1">
      <c r="A19345" s="2" t="s">
        <v>19345</v>
      </c>
      <c r="B19345" s="2" t="str">
        <f>IFERROR(__xludf.DUMMYFUNCTION("GOOGLETRANSLATE(A19345, ""en"", ""mt"")"),"Seaborne")</f>
        <v>Seaborne</v>
      </c>
    </row>
    <row r="19346" ht="15.75" customHeight="1">
      <c r="A19346" s="2" t="s">
        <v>19346</v>
      </c>
      <c r="B19346" s="2" t="str">
        <f>IFERROR(__xludf.DUMMYFUNCTION("GOOGLETRANSLATE(A19346, ""en"", ""mt"")"),"Tama għal kampanji fuq il-Lag Ontario")</f>
        <v>Tama għal kampanji fuq il-Lag Ontario</v>
      </c>
    </row>
    <row r="19347" ht="15.75" customHeight="1">
      <c r="A19347" s="2" t="s">
        <v>19347</v>
      </c>
      <c r="B19347" s="2" t="str">
        <f>IFERROR(__xludf.DUMMYFUNCTION("GOOGLETRANSLATE(A19347, ""en"", ""mt"")"),"X'kienet l-iktar Super Bowl riċenti ospitata fiż-żona ta 'South Florida / Miami?")</f>
        <v>X'kienet l-iktar Super Bowl riċenti ospitata fiż-żona ta 'South Florida / Miami?</v>
      </c>
    </row>
    <row r="19348" ht="15.75" customHeight="1">
      <c r="A19348" s="2" t="s">
        <v>19348</v>
      </c>
      <c r="B19348" s="2" t="str">
        <f>IFERROR(__xludf.DUMMYFUNCTION("GOOGLETRANSLATE(A19348, ""en"", ""mt"")"),"Kemm kienu qed ipoġġu l-Franċiżi fl-Amerika ta ’Fuq?")</f>
        <v>Kemm kienu qed ipoġġu l-Franċiżi fl-Amerika ta ’Fuq?</v>
      </c>
    </row>
    <row r="19349" ht="15.75" customHeight="1">
      <c r="A19349" s="2" t="s">
        <v>19349</v>
      </c>
      <c r="B19349" s="2" t="str">
        <f>IFERROR(__xludf.DUMMYFUNCTION("GOOGLETRANSLATE(A19349, ""en"", ""mt"")"),"Jekk lista kompluta ta 'primes sa hija magħrufa")</f>
        <v>Jekk lista kompluta ta 'primes sa hija magħrufa</v>
      </c>
    </row>
    <row r="19350" ht="15.75" customHeight="1">
      <c r="A19350" s="2" t="s">
        <v>19350</v>
      </c>
      <c r="B19350" s="2" t="str">
        <f>IFERROR(__xludf.DUMMYFUNCTION("GOOGLETRANSLATE(A19350, ""en"", ""mt"")"),"Merkurju u Gemini")</f>
        <v>Merkurju u Gemini</v>
      </c>
    </row>
    <row r="19351" ht="15.75" customHeight="1">
      <c r="A19351" s="2" t="s">
        <v>19351</v>
      </c>
      <c r="B19351" s="2" t="str">
        <f>IFERROR(__xludf.DUMMYFUNCTION("GOOGLETRANSLATE(A19351, ""en"", ""mt"")"),"F’liema jispeċjalizzaw fihom il-kloroplasti tal-għant tal-qatta ’?")</f>
        <v>F’liema jispeċjalizzaw fihom il-kloroplasti tal-għant tal-qatta ’?</v>
      </c>
    </row>
    <row r="19352" ht="15.75" customHeight="1">
      <c r="A19352" s="2" t="s">
        <v>19352</v>
      </c>
      <c r="B19352" s="2" t="str">
        <f>IFERROR(__xludf.DUMMYFUNCTION("GOOGLETRANSLATE(A19352, ""en"", ""mt"")"),"Matul il-Medju Evu, Newcastle kienet il-Fortizza tat-Tramuntana tal-Ingilterra. Inkorporata l-ewwel minn Henry II, il-belt kellha charter ġdid mogħtija minn Elizabeth fl-1589. Ħajt tal-ġebel għoli ta '25 pied (7.6 m) inbena madwar il-belt fis-seklu 13, bi"&amp;"ex jiddefendiha mill-invażuri matul il-gwerra tal-fruntiera kontra l-Iskozja - Ir-re Skoċċiż William l-iljun kien il-ħabs fi Newcastle fl-1174, u Edward jien ġab il-ġebla ta ’Scone u William Wallace South permezz tal-belt. Newcastle ġie ddefenda b'suċċess"&amp;" kontra l-Iskoċċiżi tliet darbiet matul is-seklu 14, u nħoloq korporattiva tal-kontea max-xeriff tagħha stess minn Henry IV fl-1400.")</f>
        <v>Matul il-Medju Evu, Newcastle kienet il-Fortizza tat-Tramuntana tal-Ingilterra. Inkorporata l-ewwel minn Henry II, il-belt kellha charter ġdid mogħtija minn Elizabeth fl-1589. Ħajt tal-ġebel għoli ta '25 pied (7.6 m) inbena madwar il-belt fis-seklu 13, biex jiddefendiha mill-invażuri matul il-gwerra tal-fruntiera kontra l-Iskozja - Ir-re Skoċċiż William l-iljun kien il-ħabs fi Newcastle fl-1174, u Edward jien ġab il-ġebla ta ’Scone u William Wallace South permezz tal-belt. Newcastle ġie ddefenda b'suċċess kontra l-Iskoċċiżi tliet darbiet matul is-seklu 14, u nħoloq korporattiva tal-kontea max-xeriff tagħha stess minn Henry IV fl-1400.</v>
      </c>
    </row>
    <row r="19353" ht="15.75" customHeight="1">
      <c r="A19353" s="2" t="s">
        <v>19353</v>
      </c>
      <c r="B19353" s="2" t="str">
        <f>IFERROR(__xludf.DUMMYFUNCTION("GOOGLETRANSLATE(A19353, ""en"", ""mt"")"),"Killer T Cell u l-Helper T Cell")</f>
        <v>Killer T Cell u l-Helper T Cell</v>
      </c>
    </row>
    <row r="19354" ht="15.75" customHeight="1">
      <c r="A19354" s="2" t="s">
        <v>19354</v>
      </c>
      <c r="B19354" s="2" t="str">
        <f>IFERROR(__xludf.DUMMYFUNCTION("GOOGLETRANSLATE(A19354, ""en"", ""mt"")"),"1952")</f>
        <v>1952</v>
      </c>
    </row>
    <row r="19355" ht="15.75" customHeight="1">
      <c r="A19355" s="2" t="s">
        <v>19355</v>
      </c>
      <c r="B19355" s="2" t="str">
        <f>IFERROR(__xludf.DUMMYFUNCTION("GOOGLETRANSLATE(A19355, ""en"", ""mt"")"),"Kemm il-flus ta 'John Jacob Astor IV ipprovda lil Tesla?")</f>
        <v>Kemm il-flus ta 'John Jacob Astor IV ipprovda lil Tesla?</v>
      </c>
    </row>
    <row r="19356" ht="15.75" customHeight="1">
      <c r="A19356" s="2" t="s">
        <v>19356</v>
      </c>
      <c r="B19356" s="2" t="str">
        <f>IFERROR(__xludf.DUMMYFUNCTION("GOOGLETRANSLATE(A19356, ""en"", ""mt"")"),"Ċelloli dendritiċi")</f>
        <v>Ċelloli dendritiċi</v>
      </c>
    </row>
    <row r="19357" ht="15.75" customHeight="1">
      <c r="A19357" s="2" t="s">
        <v>19357</v>
      </c>
      <c r="B19357" s="2" t="str">
        <f>IFERROR(__xludf.DUMMYFUNCTION("GOOGLETRANSLATE(A19357, ""en"", ""mt"")"),"Liema nazzjonalità hija l-banda Coldplay?")</f>
        <v>Liema nazzjonalità hija l-banda Coldplay?</v>
      </c>
    </row>
    <row r="19358" ht="15.75" customHeight="1">
      <c r="A19358" s="2" t="s">
        <v>19358</v>
      </c>
      <c r="B19358" s="2" t="str">
        <f>IFERROR(__xludf.DUMMYFUNCTION("GOOGLETRANSLATE(A19358, ""en"", ""mt"")"),"kowċ")</f>
        <v>kowċ</v>
      </c>
    </row>
    <row r="19359" ht="15.75" customHeight="1">
      <c r="A19359" s="2" t="s">
        <v>19359</v>
      </c>
      <c r="B19359" s="2" t="str">
        <f>IFERROR(__xludf.DUMMYFUNCTION("GOOGLETRANSLATE(A19359, ""en"", ""mt"")"),"X'jiġri wara adsa li fiha għaddas jiddekompressa malajr wisq?")</f>
        <v>X'jiġri wara adsa li fiha għaddas jiddekompressa malajr wisq?</v>
      </c>
    </row>
    <row r="19360" ht="15.75" customHeight="1">
      <c r="A19360" s="2" t="s">
        <v>19360</v>
      </c>
      <c r="B19360" s="2" t="str">
        <f>IFERROR(__xludf.DUMMYFUNCTION("GOOGLETRANSLATE(A19360, ""en"", ""mt"")"),"Kif iddefendew lilhom infushom il-Huguenots?")</f>
        <v>Kif iddefendew lilhom infushom il-Huguenots?</v>
      </c>
    </row>
    <row r="19361" ht="15.75" customHeight="1">
      <c r="A19361" s="2" t="s">
        <v>19361</v>
      </c>
      <c r="B19361" s="2" t="str">
        <f>IFERROR(__xludf.DUMMYFUNCTION("GOOGLETRANSLATE(A19361, ""en"", ""mt"")"),"Ir-raġuni għall-ordni tal-klassijiet u r-raġuni għala n-nies tqiegħdu f'ċerta klassi kienet id-data li ċedew lill-Mongoli, u ma kellhom xejn x'jaqsmu mal-etniċità tagħhom. Iktar kmieni huma ċedew lill-Mongoli, iktar ma tqiegħdu, iktar ma jinżammu barra, i"&amp;"ktar ikunu baxxi. Iċ-Ċiniżi tat-Tramuntana kienu kklassifikati ogħla u ċ-Ċiniżi tan-Nofsinhar kienu kklassifikati aktar baxxi minħabba li ċ-Ċina tan-Nofsinhar nisslet u ġġieldet għall-aħħar qabel ma ttawwal. Il-kummerċ maġġuri matul din l-era wassal għal "&amp;"kundizzjonijiet favorevoli għall-manifatturi u n-negozjanti privati ​​tan-Nofsinhar Ċiniżi.")</f>
        <v>Ir-raġuni għall-ordni tal-klassijiet u r-raġuni għala n-nies tqiegħdu f'ċerta klassi kienet id-data li ċedew lill-Mongoli, u ma kellhom xejn x'jaqsmu mal-etniċità tagħhom. Iktar kmieni huma ċedew lill-Mongoli, iktar ma tqiegħdu, iktar ma jinżammu barra, iktar ikunu baxxi. Iċ-Ċiniżi tat-Tramuntana kienu kklassifikati ogħla u ċ-Ċiniżi tan-Nofsinhar kienu kklassifikati aktar baxxi minħabba li ċ-Ċina tan-Nofsinhar nisslet u ġġieldet għall-aħħar qabel ma ttawwal. Il-kummerċ maġġuri matul din l-era wassal għal kundizzjonijiet favorevoli għall-manifatturi u n-negozjanti privati ​​tan-Nofsinhar Ċiniżi.</v>
      </c>
    </row>
    <row r="19362" ht="15.75" customHeight="1">
      <c r="A19362" s="2" t="s">
        <v>19362</v>
      </c>
      <c r="B19362" s="2" t="str">
        <f>IFERROR(__xludf.DUMMYFUNCTION("GOOGLETRANSLATE(A19362, ""en"", ""mt"")"),"X'inhi l-enerġija kimika użata biex tipproduċi fil-pjanti?")</f>
        <v>X'inhi l-enerġija kimika użata biex tipproduċi fil-pjanti?</v>
      </c>
    </row>
    <row r="19363" ht="15.75" customHeight="1">
      <c r="A19363" s="2" t="s">
        <v>19363</v>
      </c>
      <c r="B19363" s="2" t="str">
        <f>IFERROR(__xludf.DUMMYFUNCTION("GOOGLETRANSLATE(A19363, ""en"", ""mt"")"),"Conant iddisinja programmi")</f>
        <v>Conant iddisinja programmi</v>
      </c>
    </row>
    <row r="19364" ht="15.75" customHeight="1">
      <c r="A19364" s="2" t="s">
        <v>19364</v>
      </c>
      <c r="B19364" s="2" t="str">
        <f>IFERROR(__xludf.DUMMYFUNCTION("GOOGLETRANSLATE(A19364, ""en"", ""mt"")"),"Fl-2005, partijiet tal-baċin tal-Amażonja esperjenzaw l-agħar nixfa f'mitt sena, u kien hemm indikazzjonijiet li l-2006 setgħu kienu t-tieni sena suċċessiva ta 'nixfa. Artiklu tat-23 ta 'Lulju 2006 fil-gazzetta tar-Renju Unit The Independent irrapporta r-"&amp;"riżultati taċ-Ċentru ta' Riċerka dwar il-Woods Hole li juri li l-foresta fil-forma preżenti tagħha tista 'tibqa' ħajja biss ta 'tliet snin ta' nixfa. Ix-xjentisti fl-Istitut Nazzjonali Brażiljan tar-Riċerka tal-Amażonja jargumentaw fl-artikolu li din ir-r"&amp;"ispons għan-nixfa, flimkien mal-effetti tad-deforestazzjoni fuq il-klima reġjonali, qed jimbuttaw il-foresta tropikali lejn ""punt li jxerred"" fejn se jibda b'mod irriversibbli. Jikkonkludi li l-foresta tinsab f'xifer li tinbidel fi savanna jew deżert, b"&amp;"'konsegwenzi katastrofiċi għall-klima tad-dinja.")</f>
        <v>Fl-2005, partijiet tal-baċin tal-Amażonja esperjenzaw l-agħar nixfa f'mitt sena, u kien hemm indikazzjonijiet li l-2006 setgħu kienu t-tieni sena suċċessiva ta 'nixfa. Artiklu tat-23 ta 'Lulju 2006 fil-gazzetta tar-Renju Unit The Independent irrapporta r-riżultati taċ-Ċentru ta' Riċerka dwar il-Woods Hole li juri li l-foresta fil-forma preżenti tagħha tista 'tibqa' ħajja biss ta 'tliet snin ta' nixfa. Ix-xjentisti fl-Istitut Nazzjonali Brażiljan tar-Riċerka tal-Amażonja jargumentaw fl-artikolu li din ir-rispons għan-nixfa, flimkien mal-effetti tad-deforestazzjoni fuq il-klima reġjonali, qed jimbuttaw il-foresta tropikali lejn "punt li jxerred" fejn se jibda b'mod irriversibbli. Jikkonkludi li l-foresta tinsab f'xifer li tinbidel fi savanna jew deżert, b'konsegwenzi katastrofiċi għall-klima tad-dinja.</v>
      </c>
    </row>
    <row r="19365" ht="15.75" customHeight="1">
      <c r="A19365" s="2" t="s">
        <v>19365</v>
      </c>
      <c r="B19365" s="2" t="str">
        <f>IFERROR(__xludf.DUMMYFUNCTION("GOOGLETRANSLATE(A19365, ""en"", ""mt"")"),"X'inhu l-iktar xahar sħun ta 'Jacksonville bħala medja?")</f>
        <v>X'inhu l-iktar xahar sħun ta 'Jacksonville bħala medja?</v>
      </c>
    </row>
    <row r="19366" ht="15.75" customHeight="1">
      <c r="A19366" s="2" t="s">
        <v>19366</v>
      </c>
      <c r="B19366" s="2" t="str">
        <f>IFERROR(__xludf.DUMMYFUNCTION("GOOGLETRANSLATE(A19366, ""en"", ""mt"")"),"Sir Edward Poynter")</f>
        <v>Sir Edward Poynter</v>
      </c>
    </row>
    <row r="19367" ht="15.75" customHeight="1">
      <c r="A19367" s="2" t="s">
        <v>19367</v>
      </c>
      <c r="B19367" s="2" t="str">
        <f>IFERROR(__xludf.DUMMYFUNCTION("GOOGLETRANSLATE(A19367, ""en"", ""mt"")"),"L-ewwel magna vera ta 'suċċess kummerċjali, minħabba li tista' tiġġenera l-enerġija u tittrasmettiha lil magna, kienet il-magna atmosferika, ivvintata minn Thomas Newcomen madwar l-1712. Kien titjib fuq il-pompa tal-fwar ta 'SAVERY, bl-użu ta' pistun kif "&amp;"propost mill-papin. Il-magna ta 'Newcomen kienet relattivament ineffiċjenti, u f'ħafna każijiet intuża għall-ippumpjar tal-ilma. Ħadem billi ħoloq vakwu parzjali billi jikkondensa l-fwar taħt pistun ġewwa ċilindru. Kien impjegat biex ixxotta l-ħidma tal-m"&amp;"ini fil-fond li s'issa impossibbli, u wkoll biex jipprovdi provvista ta 'ilma li tista' terġa 'tintuża biex tmexxi l-ilma fil-fabbriki li jinsabu' l bogħod minn ""ras"" xierqa. L-ilma li kien għadda minn fuq ir-rota ġie ppumpjat lura ġo ġibjun tal-ħażna '"&amp;"l fuq mir-rota.")</f>
        <v>L-ewwel magna vera ta 'suċċess kummerċjali, minħabba li tista' tiġġenera l-enerġija u tittrasmettiha lil magna, kienet il-magna atmosferika, ivvintata minn Thomas Newcomen madwar l-1712. Kien titjib fuq il-pompa tal-fwar ta 'SAVERY, bl-użu ta' pistun kif propost mill-papin. Il-magna ta 'Newcomen kienet relattivament ineffiċjenti, u f'ħafna każijiet intuża għall-ippumpjar tal-ilma. Ħadem billi ħoloq vakwu parzjali billi jikkondensa l-fwar taħt pistun ġewwa ċilindru. Kien impjegat biex ixxotta l-ħidma tal-mini fil-fond li s'issa impossibbli, u wkoll biex jipprovdi provvista ta 'ilma li tista' terġa 'tintuża biex tmexxi l-ilma fil-fabbriki li jinsabu' l bogħod minn "ras" xierqa. L-ilma li kien għadda minn fuq ir-rota ġie ppumpjat lura ġo ġibjun tal-ħażna 'l fuq mir-rota.</v>
      </c>
    </row>
    <row r="19368" ht="15.75" customHeight="1">
      <c r="A19368" s="2" t="s">
        <v>19368</v>
      </c>
      <c r="B19368" s="2" t="str">
        <f>IFERROR(__xludf.DUMMYFUNCTION("GOOGLETRANSLATE(A19368, ""en"", ""mt"")"),"inċentiv għall-bidliet demokratiċi")</f>
        <v>inċentiv għall-bidliet demokratiċi</v>
      </c>
    </row>
    <row r="19369" ht="15.75" customHeight="1">
      <c r="A19369" s="2" t="s">
        <v>19369</v>
      </c>
      <c r="B19369" s="2" t="str">
        <f>IFERROR(__xludf.DUMMYFUNCTION("GOOGLETRANSLATE(A19369, ""en"", ""mt"")"),"Creeda")</f>
        <v>Creeda</v>
      </c>
    </row>
    <row r="19370" ht="15.75" customHeight="1">
      <c r="A19370" s="2" t="s">
        <v>19370</v>
      </c>
      <c r="B19370" s="2" t="str">
        <f>IFERROR(__xludf.DUMMYFUNCTION("GOOGLETRANSLATE(A19370, ""en"", ""mt"")"),"Kemm biċċiet ta 'leġiżlazzjoni saret il-bażi soċjali?")</f>
        <v>Kemm biċċiet ta 'leġiżlazzjoni saret il-bażi soċjali?</v>
      </c>
    </row>
    <row r="19371" ht="15.75" customHeight="1">
      <c r="A19371" s="2" t="s">
        <v>19371</v>
      </c>
      <c r="B19371" s="2" t="str">
        <f>IFERROR(__xludf.DUMMYFUNCTION("GOOGLETRANSLATE(A19371, ""en"", ""mt"")"),"Meta ġew skoperti Stromules?")</f>
        <v>Meta ġew skoperti Stromules?</v>
      </c>
    </row>
    <row r="19372" ht="15.75" customHeight="1">
      <c r="A19372" s="2" t="s">
        <v>19372</v>
      </c>
      <c r="B19372" s="2" t="str">
        <f>IFERROR(__xludf.DUMMYFUNCTION("GOOGLETRANSLATE(A19372, ""en"", ""mt"")"),"Għarab u ħafna mill-bqija tat-tielet dinja")</f>
        <v>Għarab u ħafna mill-bqija tat-tielet dinja</v>
      </c>
    </row>
    <row r="19373" ht="15.75" customHeight="1">
      <c r="A19373" s="2" t="s">
        <v>19373</v>
      </c>
      <c r="B19373" s="2" t="str">
        <f>IFERROR(__xludf.DUMMYFUNCTION("GOOGLETRANSLATE(A19373, ""en"", ""mt"")"),"Meta ġiet irreġistrata l-verżjoni Latina tal-kelma Norman?")</f>
        <v>Meta ġiet irreġistrata l-verżjoni Latina tal-kelma Norman?</v>
      </c>
    </row>
    <row r="19374" ht="15.75" customHeight="1">
      <c r="A19374" s="2" t="s">
        <v>19374</v>
      </c>
      <c r="B19374" s="2" t="str">
        <f>IFERROR(__xludf.DUMMYFUNCTION("GOOGLETRANSLATE(A19374, ""en"", ""mt"")"),"36 acres")</f>
        <v>36 acres</v>
      </c>
    </row>
    <row r="19375" ht="15.75" customHeight="1">
      <c r="A19375" s="2" t="s">
        <v>19375</v>
      </c>
      <c r="B19375" s="2" t="str">
        <f>IFERROR(__xludf.DUMMYFUNCTION("GOOGLETRANSLATE(A19375, ""en"", ""mt"")"),"X'jiġri mill-fluwidu tax-xogħol f'sistema ta 'linja magħluqa?")</f>
        <v>X'jiġri mill-fluwidu tax-xogħol f'sistema ta 'linja magħluqa?</v>
      </c>
    </row>
    <row r="19376" ht="15.75" customHeight="1">
      <c r="A19376" s="2" t="s">
        <v>19376</v>
      </c>
      <c r="B19376" s="2" t="str">
        <f>IFERROR(__xludf.DUMMYFUNCTION("GOOGLETRANSLATE(A19376, ""en"", ""mt"")"),"pjan għal invażjoni tal-Ewropa tal-Punent")</f>
        <v>pjan għal invażjoni tal-Ewropa tal-Punent</v>
      </c>
    </row>
    <row r="19377" ht="15.75" customHeight="1">
      <c r="A19377" s="2" t="s">
        <v>19377</v>
      </c>
      <c r="B19377" s="2" t="str">
        <f>IFERROR(__xludf.DUMMYFUNCTION("GOOGLETRANSLATE(A19377, ""en"", ""mt"")"),"input")</f>
        <v>input</v>
      </c>
    </row>
    <row r="19378" ht="15.75" customHeight="1">
      <c r="A19378" s="2" t="s">
        <v>19378</v>
      </c>
      <c r="B19378" s="2" t="str">
        <f>IFERROR(__xludf.DUMMYFUNCTION("GOOGLETRANSLATE(A19378, ""en"", ""mt"")"),"Liema punt it-teologi kienu differenti fuq l-aħħar ċena?")</f>
        <v>Liema punt it-teologi kienu differenti fuq l-aħħar ċena?</v>
      </c>
    </row>
    <row r="19379" ht="15.75" customHeight="1">
      <c r="A19379" s="2" t="s">
        <v>19379</v>
      </c>
      <c r="B19379" s="2" t="str">
        <f>IFERROR(__xludf.DUMMYFUNCTION("GOOGLETRANSLATE(A19379, ""en"", ""mt"")"),"Ministri tal-Gvern tar-Renju Unit")</f>
        <v>Ministri tal-Gvern tar-Renju Unit</v>
      </c>
    </row>
    <row r="19380" ht="15.75" customHeight="1">
      <c r="A19380" s="2" t="s">
        <v>19380</v>
      </c>
      <c r="B19380" s="2" t="str">
        <f>IFERROR(__xludf.DUMMYFUNCTION("GOOGLETRANSLATE(A19380, ""en"", ""mt"")"),"Meta żiedu l-prezz taż-żejt għal $ 5.11?")</f>
        <v>Meta żiedu l-prezz taż-żejt għal $ 5.11?</v>
      </c>
    </row>
    <row r="19381" ht="15.75" customHeight="1">
      <c r="A19381" s="2" t="s">
        <v>19381</v>
      </c>
      <c r="B19381" s="2" t="str">
        <f>IFERROR(__xludf.DUMMYFUNCTION("GOOGLETRANSLATE(A19381, ""en"", ""mt"")"),"Beroida")</f>
        <v>Beroida</v>
      </c>
    </row>
    <row r="19382" ht="15.75" customHeight="1">
      <c r="A19382" s="2" t="s">
        <v>19382</v>
      </c>
      <c r="B19382" s="2" t="str">
        <f>IFERROR(__xludf.DUMMYFUNCTION("GOOGLETRANSLATE(A19382, ""en"", ""mt"")"),"F'liema sena twieldet Nikola Tesla?")</f>
        <v>F'liema sena twieldet Nikola Tesla?</v>
      </c>
    </row>
    <row r="19383" ht="15.75" customHeight="1">
      <c r="A19383" s="2" t="s">
        <v>19383</v>
      </c>
      <c r="B19383" s="2" t="str">
        <f>IFERROR(__xludf.DUMMYFUNCTION("GOOGLETRANSLATE(A19383, ""en"", ""mt"")"),"Ford")</f>
        <v>Ford</v>
      </c>
    </row>
    <row r="19384" ht="15.75" customHeight="1">
      <c r="A19384" s="2" t="s">
        <v>19384</v>
      </c>
      <c r="B19384" s="2" t="str">
        <f>IFERROR(__xludf.DUMMYFUNCTION("GOOGLETRANSLATE(A19384, ""en"", ""mt"")"),"X’kienu fehmu ċ-ċittadini Pollakki li għandhom il-kliem ta ’Ġwanni Pawlu II?")</f>
        <v>X’kienu fehmu ċ-ċittadini Pollakki li għandhom il-kliem ta ’Ġwanni Pawlu II?</v>
      </c>
    </row>
    <row r="19385" ht="15.75" customHeight="1">
      <c r="A19385" s="2" t="s">
        <v>19385</v>
      </c>
      <c r="B19385" s="2" t="str">
        <f>IFERROR(__xludf.DUMMYFUNCTION("GOOGLETRANSLATE(A19385, ""en"", ""mt"")"),"F'liema qasam huwa komuni li l-mentoring spiritwali jkun għoli ħafna?")</f>
        <v>F'liema qasam huwa komuni li l-mentoring spiritwali jkun għoli ħafna?</v>
      </c>
    </row>
    <row r="19386" ht="15.75" customHeight="1">
      <c r="A19386" s="2" t="s">
        <v>19386</v>
      </c>
      <c r="B19386" s="2" t="str">
        <f>IFERROR(__xludf.DUMMYFUNCTION("GOOGLETRANSLATE(A19386, ""en"", ""mt"")"),"Ġermaniżi ta 'kuljum")</f>
        <v>Ġermaniżi ta 'kuljum</v>
      </c>
    </row>
    <row r="19387" ht="15.75" customHeight="1">
      <c r="A19387" s="2" t="s">
        <v>19387</v>
      </c>
      <c r="B19387" s="2" t="str">
        <f>IFERROR(__xludf.DUMMYFUNCTION("GOOGLETRANSLATE(A19387, ""en"", ""mt"")"),"Għalliema ta ’qabel l-iskola")</f>
        <v>Għalliema ta ’qabel l-iskola</v>
      </c>
    </row>
    <row r="19388" ht="15.75" customHeight="1">
      <c r="A19388" s="2" t="s">
        <v>19388</v>
      </c>
      <c r="B19388" s="2" t="str">
        <f>IFERROR(__xludf.DUMMYFUNCTION("GOOGLETRANSLATE(A19388, ""en"", ""mt"")"),"tikkoordina r-rispons għall-embargo")</f>
        <v>tikkoordina r-rispons għall-embargo</v>
      </c>
    </row>
    <row r="19389" ht="15.75" customHeight="1">
      <c r="A19389" s="2" t="s">
        <v>19389</v>
      </c>
      <c r="B19389" s="2" t="str">
        <f>IFERROR(__xludf.DUMMYFUNCTION("GOOGLETRANSLATE(A19389, ""en"", ""mt"")"),"Il-qorti kostituzzjonali Taljana")</f>
        <v>Il-qorti kostituzzjonali Taljana</v>
      </c>
    </row>
    <row r="19390" ht="15.75" customHeight="1">
      <c r="A19390" s="2" t="s">
        <v>19390</v>
      </c>
      <c r="B19390" s="2" t="str">
        <f>IFERROR(__xludf.DUMMYFUNCTION("GOOGLETRANSLATE(A19390, ""en"", ""mt"")"),"sigriet")</f>
        <v>sigriet</v>
      </c>
    </row>
    <row r="19391" ht="15.75" customHeight="1">
      <c r="A19391" s="2" t="s">
        <v>19391</v>
      </c>
      <c r="B19391" s="2" t="str">
        <f>IFERROR(__xludf.DUMMYFUNCTION("GOOGLETRANSLATE(A19391, ""en"", ""mt"")"),"Post-klassiku Ewropew")</f>
        <v>Post-klassiku Ewropew</v>
      </c>
    </row>
    <row r="19392" ht="15.75" customHeight="1">
      <c r="A19392" s="2" t="s">
        <v>19392</v>
      </c>
      <c r="B19392" s="2" t="str">
        <f>IFERROR(__xludf.DUMMYFUNCTION("GOOGLETRANSLATE(A19392, ""en"", ""mt"")"),"(1185")</f>
        <v>(1185</v>
      </c>
    </row>
    <row r="19393" ht="15.75" customHeight="1">
      <c r="A19393" s="2" t="s">
        <v>19393</v>
      </c>
      <c r="B19393" s="2" t="str">
        <f>IFERROR(__xludf.DUMMYFUNCTION("GOOGLETRANSLATE(A19393, ""en"", ""mt"")"),"X'jista 'jagħmel prinċipal, jekk hu / hi jaħdem għal skola kbira?")</f>
        <v>X'jista 'jagħmel prinċipal, jekk hu / hi jaħdem għal skola kbira?</v>
      </c>
    </row>
    <row r="19394" ht="15.75" customHeight="1">
      <c r="A19394" s="2" t="s">
        <v>19394</v>
      </c>
      <c r="B19394" s="2" t="str">
        <f>IFERROR(__xludf.DUMMYFUNCTION("GOOGLETRANSLATE(A19394, ""en"", ""mt"")"),"Liema park jospita l-akbar mill-ġdid tal-gwerra ċivili fuq il-kosta tal-punent?")</f>
        <v>Liema park jospita l-akbar mill-ġdid tal-gwerra ċivili fuq il-kosta tal-punent?</v>
      </c>
    </row>
    <row r="19395" ht="15.75" customHeight="1">
      <c r="A19395" s="2" t="s">
        <v>19395</v>
      </c>
      <c r="B19395" s="2" t="str">
        <f>IFERROR(__xludf.DUMMYFUNCTION("GOOGLETRANSLATE(A19395, ""en"", ""mt"")"),"X'kien ix-xogħol ta 'Brown?")</f>
        <v>X'kien ix-xogħol ta 'Brown?</v>
      </c>
    </row>
    <row r="19396" ht="15.75" customHeight="1">
      <c r="A19396" s="2" t="s">
        <v>19396</v>
      </c>
      <c r="B19396" s="2" t="str">
        <f>IFERROR(__xludf.DUMMYFUNCTION("GOOGLETRANSLATE(A19396, ""en"", ""mt"")"),"Għal xiex tfisser UMC?")</f>
        <v>Għal xiex tfisser UMC?</v>
      </c>
    </row>
    <row r="19397" ht="15.75" customHeight="1">
      <c r="A19397" s="2" t="s">
        <v>19397</v>
      </c>
      <c r="B19397" s="2" t="str">
        <f>IFERROR(__xludf.DUMMYFUNCTION("GOOGLETRANSLATE(A19397, ""en"", ""mt"")"),"Espost għall-iskrutinju")</f>
        <v>Espost għall-iskrutinju</v>
      </c>
    </row>
    <row r="19398" ht="15.75" customHeight="1">
      <c r="A19398" s="2" t="s">
        <v>19398</v>
      </c>
      <c r="B19398" s="2" t="str">
        <f>IFERROR(__xludf.DUMMYFUNCTION("GOOGLETRANSLATE(A19398, ""en"", ""mt"")"),"F'liema jidher Phycoerytherin?")</f>
        <v>F'liema jidher Phycoerytherin?</v>
      </c>
    </row>
    <row r="19399" ht="15.75" customHeight="1">
      <c r="A19399" s="2" t="s">
        <v>19399</v>
      </c>
      <c r="B19399" s="2" t="str">
        <f>IFERROR(__xludf.DUMMYFUNCTION("GOOGLETRANSLATE(A19399, ""en"", ""mt"")"),"X'inhu l-annimal li l-gżejjer tar-Rhine huma msemmija wara?")</f>
        <v>X'inhu l-annimal li l-gżejjer tar-Rhine huma msemmija wara?</v>
      </c>
    </row>
    <row r="19400" ht="15.75" customHeight="1">
      <c r="A19400" s="2" t="s">
        <v>19400</v>
      </c>
      <c r="B19400" s="2" t="str">
        <f>IFERROR(__xludf.DUMMYFUNCTION("GOOGLETRANSLATE(A19400, ""en"", ""mt"")"),"1263")</f>
        <v>1263</v>
      </c>
    </row>
    <row r="19401" ht="15.75" customHeight="1">
      <c r="A19401" s="2" t="s">
        <v>19401</v>
      </c>
      <c r="B19401" s="2" t="str">
        <f>IFERROR(__xludf.DUMMYFUNCTION("GOOGLETRANSLATE(A19401, ""en"", ""mt"")"),"biex rovina lilu")</f>
        <v>biex rovina lilu</v>
      </c>
    </row>
    <row r="19402" ht="15.75" customHeight="1">
      <c r="A19402" s="2" t="s">
        <v>19402</v>
      </c>
      <c r="B19402" s="2" t="str">
        <f>IFERROR(__xludf.DUMMYFUNCTION("GOOGLETRANSLATE(A19402, ""en"", ""mt"")"),"tagħmilha diffiċli ħafna għall-predaturi li jevolvu li jistgħu jispeċjalizzaw bħala predaturi")</f>
        <v>tagħmilha diffiċli ħafna għall-predaturi li jevolvu li jistgħu jispeċjalizzaw bħala predaturi</v>
      </c>
    </row>
    <row r="19403" ht="15.75" customHeight="1">
      <c r="A19403" s="2" t="s">
        <v>19403</v>
      </c>
      <c r="B19403" s="2" t="str">
        <f>IFERROR(__xludf.DUMMYFUNCTION("GOOGLETRANSLATE(A19403, ""en"", ""mt"")"),"Id-dinastija Yuan hija meqjusa kemm suċċessur għall-imperu Mongoljan kif ukoll għal dinastija Ċiniża Imperjali. Kien il-Khanate maħkum mis-suċċessuri ta 'Möngke Khan wara d-diviżjoni tal-imperu Mongoljan. Fl-istoriji uffiċjali Ċiniżi, id-dinastija Yuan ġa"&amp;"rrbet il-mandat tas-sema, wara d-dinastija tal-kanzunetta u qabel id-dinastija Ming. Id-dinastija ġiet stabbilita minn Kublai Khan, iżda poġġa lin-nannu tiegħu Genghis Khan fuq ir-Rekords Imperjali bħala l-fundatur uffiċjali tad-dinastija bħala Taizu. [B]"&amp;" Fil-proklamazzjoni tal-isem dinastiku (《建國 建國 號詔 號詔 號詔 號詔 號詔 號詔 號詔 號詔 號詔 號詔 號詔 號詔 號詔 號詔Isem id-dinastija l-ġdida bħala wan kbir u sostna s-suċċessjoni ta 'ex-dinastiji Ċiniżi mit-tliet sovrani u ħames imperaturi għad-dinastija Tang.")</f>
        <v>Id-dinastija Yuan hija meqjusa kemm suċċessur għall-imperu Mongoljan kif ukoll għal dinastija Ċiniża Imperjali. Kien il-Khanate maħkum mis-suċċessuri ta 'Möngke Khan wara d-diviżjoni tal-imperu Mongoljan. Fl-istoriji uffiċjali Ċiniżi, id-dinastija Yuan ġarrbet il-mandat tas-sema, wara d-dinastija tal-kanzunetta u qabel id-dinastija Ming. Id-dinastija ġiet stabbilita minn Kublai Khan, iżda poġġa lin-nannu tiegħu Genghis Khan fuq ir-Rekords Imperjali bħala l-fundatur uffiċjali tad-dinastija bħala Taizu. [B] Fil-proklamazzjoni tal-isem dinastiku (《建國 建國 號詔 號詔 號詔 號詔 號詔 號詔 號詔 號詔 號詔 號詔 號詔 號詔 號詔 號詔Isem id-dinastija l-ġdida bħala wan kbir u sostna s-suċċessjoni ta 'ex-dinastiji Ċiniżi mit-tliet sovrani u ħames imperaturi għad-dinastija Tang.</v>
      </c>
    </row>
    <row r="19404" ht="15.75" customHeight="1">
      <c r="A19404" s="2" t="s">
        <v>19404</v>
      </c>
      <c r="B19404" s="2" t="str">
        <f>IFERROR(__xludf.DUMMYFUNCTION("GOOGLETRANSLATE(A19404, ""en"", ""mt"")"),"Tana River, kif ukoll id-diga ta ’Turkwel Gorge")</f>
        <v>Tana River, kif ukoll id-diga ta ’Turkwel Gorge</v>
      </c>
    </row>
    <row r="19405" ht="15.75" customHeight="1">
      <c r="A19405" s="2" t="s">
        <v>19405</v>
      </c>
      <c r="B19405" s="2" t="str">
        <f>IFERROR(__xludf.DUMMYFUNCTION("GOOGLETRANSLATE(A19405, ""en"", ""mt"")"),"Kif jikkontrollaw il-galleġġjant?")</f>
        <v>Kif jikkontrollaw il-galleġġjant?</v>
      </c>
    </row>
    <row r="19406" ht="15.75" customHeight="1">
      <c r="A19406" s="2" t="s">
        <v>19406</v>
      </c>
      <c r="B19406" s="2" t="str">
        <f>IFERROR(__xludf.DUMMYFUNCTION("GOOGLETRANSLATE(A19406, ""en"", ""mt"")"),"Il-ħakkiema Mongoljani patronizzaw l-industrija tal-istampar tal-wan. It-teknoloġija tal-istampar Ċiniża ġiet trasferita lill-Mongoli permezz tar-Renju tal-Qocho u l-intermedjarji Tibetani. Xi dokumenti tal-wan bħal Wang Zhen's Nong Shu ġew stampati bit-t"&amp;"ip mobbli tal-fuħħar, teknoloġija ivvintata fis-seklu 12. Madankollu, ħafna xogħlijiet ippubblikati kienu għadhom prodotti permezz ta 'tekniki tradizzjonali ta' stampar ta 'blokki. Il-pubblikazzjoni ta 'test Taoist miktub bl-isem ta' Töregene Khatun, il-m"&amp;"ara ta 'Ögedei, hija waħda mill-ewwel xogħlijiet stampati sponsorjati mill-Mongoli. Fl-1273, il-Mongoli ħolqu d-Direttorat tal-Librerija Imperjali, uffiċċju tal-istampar sponsorjat mill-gvern. Il-gvern tal-Yuan stabbilixxa ċentri għall-istampar matul iċ-Ċ"&amp;"ina. L-iskejjel lokali u l-aġenziji tal-gvern ġew iffinanzjati biex jappoġġjaw il-pubblikazzjoni tal-kotba.")</f>
        <v>Il-ħakkiema Mongoljani patronizzaw l-industrija tal-istampar tal-wan. It-teknoloġija tal-istampar Ċiniża ġiet trasferita lill-Mongoli permezz tar-Renju tal-Qocho u l-intermedjarji Tibetani. Xi dokumenti tal-wan bħal Wang Zhen's Nong Shu ġew stampati bit-tip mobbli tal-fuħħar, teknoloġija ivvintata fis-seklu 12. Madankollu, ħafna xogħlijiet ippubblikati kienu għadhom prodotti permezz ta 'tekniki tradizzjonali ta' stampar ta 'blokki. Il-pubblikazzjoni ta 'test Taoist miktub bl-isem ta' Töregene Khatun, il-mara ta 'Ögedei, hija waħda mill-ewwel xogħlijiet stampati sponsorjati mill-Mongoli. Fl-1273, il-Mongoli ħolqu d-Direttorat tal-Librerija Imperjali, uffiċċju tal-istampar sponsorjat mill-gvern. Il-gvern tal-Yuan stabbilixxa ċentri għall-istampar matul iċ-Ċina. L-iskejjel lokali u l-aġenziji tal-gvern ġew iffinanzjati biex jappoġġjaw il-pubblikazzjoni tal-kotba.</v>
      </c>
    </row>
    <row r="19407" ht="15.75" customHeight="1">
      <c r="A19407" s="2" t="s">
        <v>19407</v>
      </c>
      <c r="B19407" s="2" t="str">
        <f>IFERROR(__xludf.DUMMYFUNCTION("GOOGLETRANSLATE(A19407, ""en"", ""mt"")"),"vjolenza")</f>
        <v>vjolenza</v>
      </c>
    </row>
    <row r="19408" ht="15.75" customHeight="1">
      <c r="A19408" s="2" t="s">
        <v>19408</v>
      </c>
      <c r="B19408" s="2" t="str">
        <f>IFERROR(__xludf.DUMMYFUNCTION("GOOGLETRANSLATE(A19408, ""en"", ""mt"")"),"Tnaqqis wieqaf u kostanti")</f>
        <v>Tnaqqis wieqaf u kostanti</v>
      </c>
    </row>
    <row r="19409" ht="15.75" customHeight="1">
      <c r="A19409" s="2" t="s">
        <v>19409</v>
      </c>
      <c r="B19409" s="2" t="str">
        <f>IFERROR(__xludf.DUMMYFUNCTION("GOOGLETRANSLATE(A19409, ""en"", ""mt"")"),"Ariq Böke")</f>
        <v>Ariq Böke</v>
      </c>
    </row>
    <row r="19410" ht="15.75" customHeight="1">
      <c r="A19410" s="2" t="s">
        <v>19410</v>
      </c>
      <c r="B19410" s="2" t="str">
        <f>IFERROR(__xludf.DUMMYFUNCTION("GOOGLETRANSLATE(A19410, ""en"", ""mt"")"),"Is-satellita Calipso tan-NASA kejjel l-ammont ta 'trab ittrasportat mir-riħ mis-Saħara għall-Amażon L-Oċean Atlantiku (xi trab jaqa 'fl-Atlantiku), imbagħad f'35 grad lonġitudni tal-punent fil-kosta tal-Lvant ta' l-Amerika t'Isfel, 27.7 miljun tunnellata "&amp;"(15%) ta 'trab jaqgħu fuq il-baċin tal-Amażonja, 132 miljun tunnellata ta' trab jibqgħu fl-arja, 43 miljun tunnellata ta 'trab huma windblown u taqa' fuq il-Baħar Karibew, li għaddew 75 grad lonġitudni tal-punent.")</f>
        <v>Is-satellita Calipso tan-NASA kejjel l-ammont ta 'trab ittrasportat mir-riħ mis-Saħara għall-Amażon L-Oċean Atlantiku (xi trab jaqa 'fl-Atlantiku), imbagħad f'35 grad lonġitudni tal-punent fil-kosta tal-Lvant ta' l-Amerika t'Isfel, 27.7 miljun tunnellata (15%) ta 'trab jaqgħu fuq il-baċin tal-Amażonja, 132 miljun tunnellata ta' trab jibqgħu fl-arja, 43 miljun tunnellata ta 'trab huma windblown u taqa' fuq il-Baħar Karibew, li għaddew 75 grad lonġitudni tal-punent.</v>
      </c>
    </row>
    <row r="19411" ht="15.75" customHeight="1">
      <c r="A19411" s="2" t="s">
        <v>19411</v>
      </c>
      <c r="B19411" s="2" t="str">
        <f>IFERROR(__xludf.DUMMYFUNCTION("GOOGLETRANSLATE(A19411, ""en"", ""mt"")"),"X'kienet l-ewwel Super Bowl tad-ditta bin-numri Rumani?")</f>
        <v>X'kienet l-ewwel Super Bowl tad-ditta bin-numri Rumani?</v>
      </c>
    </row>
    <row r="19412" ht="15.75" customHeight="1">
      <c r="A19412" s="2" t="s">
        <v>19412</v>
      </c>
      <c r="B19412" s="2" t="str">
        <f>IFERROR(__xludf.DUMMYFUNCTION("GOOGLETRANSLATE(A19412, ""en"", ""mt"")"),"Kemm-il siegħa wieħed jista 'jistenna li jirkeb il-ferrovija minn Newcastle għal King's Cross?")</f>
        <v>Kemm-il siegħa wieħed jista 'jistenna li jirkeb il-ferrovija minn Newcastle għal King's Cross?</v>
      </c>
    </row>
    <row r="19413" ht="15.75" customHeight="1">
      <c r="A19413" s="2" t="s">
        <v>19413</v>
      </c>
      <c r="B19413" s="2" t="str">
        <f>IFERROR(__xludf.DUMMYFUNCTION("GOOGLETRANSLATE(A19413, ""en"", ""mt"")"),"il-bilanċ tal-partijiet madwar il-parlament")</f>
        <v>il-bilanċ tal-partijiet madwar il-parlament</v>
      </c>
    </row>
    <row r="19414" ht="15.75" customHeight="1">
      <c r="A19414" s="2" t="s">
        <v>19414</v>
      </c>
      <c r="B19414" s="2" t="str">
        <f>IFERROR(__xludf.DUMMYFUNCTION("GOOGLETRANSLATE(A19414, ""en"", ""mt"")"),"moda moderna")</f>
        <v>moda moderna</v>
      </c>
    </row>
    <row r="19415" ht="15.75" customHeight="1">
      <c r="A19415" s="2" t="s">
        <v>19415</v>
      </c>
      <c r="B19415" s="2" t="str">
        <f>IFERROR(__xludf.DUMMYFUNCTION("GOOGLETRANSLATE(A19415, ""en"", ""mt"")"),"Meta għadda l-Att dwar in-Nazzjonalità Brittanika?")</f>
        <v>Meta għadda l-Att dwar in-Nazzjonalità Brittanika?</v>
      </c>
    </row>
    <row r="19416" ht="15.75" customHeight="1">
      <c r="A19416" s="2" t="s">
        <v>19416</v>
      </c>
      <c r="B19416" s="2" t="str">
        <f>IFERROR(__xludf.DUMMYFUNCTION("GOOGLETRANSLATE(A19416, ""en"", ""mt"")"),"X'kienet il-klassifikazzjoni tal-passer ta 'Manning fi tmiem l-istaġun?")</f>
        <v>X'kienet il-klassifikazzjoni tal-passer ta 'Manning fi tmiem l-istaġun?</v>
      </c>
    </row>
    <row r="19417" ht="15.75" customHeight="1">
      <c r="A19417" s="2" t="s">
        <v>19417</v>
      </c>
      <c r="B19417" s="2" t="str">
        <f>IFERROR(__xludf.DUMMYFUNCTION("GOOGLETRANSLATE(A19417, ""en"", ""mt"")"),"Evita l- ""inkonvenjent"" li żżur tabib")</f>
        <v>Evita l- "inkonvenjent" li żżur tabib</v>
      </c>
    </row>
    <row r="19418" ht="15.75" customHeight="1">
      <c r="A19418" s="2" t="s">
        <v>19418</v>
      </c>
      <c r="B19418" s="2" t="str">
        <f>IFERROR(__xludf.DUMMYFUNCTION("GOOGLETRANSLATE(A19418, ""en"", ""mt"")"),"Kif jissejħu pjanti bit-trasformazzjonijiet tal-ġeni tal-plastid?")</f>
        <v>Kif jissejħu pjanti bit-trasformazzjonijiet tal-ġeni tal-plastid?</v>
      </c>
    </row>
    <row r="19419" ht="15.75" customHeight="1">
      <c r="A19419" s="2" t="s">
        <v>19419</v>
      </c>
      <c r="B19419" s="2" t="str">
        <f>IFERROR(__xludf.DUMMYFUNCTION("GOOGLETRANSLATE(A19419, ""en"", ""mt"")"),"F'liema jispeċjalizzaw l-ispiżjara kliniċi?")</f>
        <v>F'liema jispeċjalizzaw l-ispiżjara kliniċi?</v>
      </c>
    </row>
    <row r="19420" ht="15.75" customHeight="1">
      <c r="A19420" s="2" t="s">
        <v>19420</v>
      </c>
      <c r="B19420" s="2" t="str">
        <f>IFERROR(__xludf.DUMMYFUNCTION("GOOGLETRANSLATE(A19420, ""en"", ""mt"")"),"Gurus, Mullahs, Rabbis, Rgħajja / Rgħajja taż-Żgħażagħ u Lamas")</f>
        <v>Gurus, Mullahs, Rabbis, Rgħajja / Rgħajja taż-Żgħażagħ u Lamas</v>
      </c>
    </row>
    <row r="19421" ht="15.75" customHeight="1">
      <c r="A19421" s="2" t="s">
        <v>19421</v>
      </c>
      <c r="B19421" s="2" t="str">
        <f>IFERROR(__xludf.DUMMYFUNCTION("GOOGLETRANSLATE(A19421, ""en"", ""mt"")"),"Il-plastoglobuli darba kienu maħsuba li huma f'wiċċ l-ilma ħieles fl-istoma, iżda issa huwa maħsub li huma mwaħħlin b'mod permanenti jew ma 'tilkoid jew ma' plastoglobulus ieħor imwaħħal ma 'thylakoid, konfigurazzjoni li tippermetti plastoglobulus biex ti"&amp;"skambja l-kontenut tagħha man-netwerk ta' thylakoid - Fil-kloroplasti ħodor normali, il-maġġoranza l-kbira tal-plastoglobuli jseħħu singularment, imwaħħlin direttament mat-tilakoid ġenitur tagħhom. Fil-kloroplasti qodma jew stressati, il-plastoglobuli għa"&amp;"ndhom it-tendenza li jseħħu fi gruppi jew ktajjen marbuta, li għadhom dejjem ankrati ma 'thylakoid.")</f>
        <v>Il-plastoglobuli darba kienu maħsuba li huma f'wiċċ l-ilma ħieles fl-istoma, iżda issa huwa maħsub li huma mwaħħlin b'mod permanenti jew ma 'tilkoid jew ma' plastoglobulus ieħor imwaħħal ma 'thylakoid, konfigurazzjoni li tippermetti plastoglobulus biex tiskambja l-kontenut tagħha man-netwerk ta' thylakoid - Fil-kloroplasti ħodor normali, il-maġġoranza l-kbira tal-plastoglobuli jseħħu singularment, imwaħħlin direttament mat-tilakoid ġenitur tagħhom. Fil-kloroplasti qodma jew stressati, il-plastoglobuli għandhom it-tendenza li jseħħu fi gruppi jew ktajjen marbuta, li għadhom dejjem ankrati ma 'thylakoid.</v>
      </c>
    </row>
    <row r="19422" ht="15.75" customHeight="1">
      <c r="A19422" s="2" t="s">
        <v>19422</v>
      </c>
      <c r="B19422" s="2" t="str">
        <f>IFERROR(__xludf.DUMMYFUNCTION("GOOGLETRANSLATE(A19422, ""en"", ""mt"")"),"erba 'snin fl-iskola għolja")</f>
        <v>erba 'snin fl-iskola għolja</v>
      </c>
    </row>
    <row r="19423" ht="15.75" customHeight="1">
      <c r="A19423" s="2" t="s">
        <v>19423</v>
      </c>
      <c r="B19423" s="2" t="str">
        <f>IFERROR(__xludf.DUMMYFUNCTION("GOOGLETRANSLATE(A19423, ""en"", ""mt"")"),"L-ewwel inċidenti rreġistrati ta 'diżubbidjenza ċivili kollettiva seħħew matul l-Imperu Ruman [ċ-ċitazzjoni meħtieġa]. Lhud mhux armati nġabru fit-toroq biex jipprevjenu l-installazzjoni ta 'immaġini pagani fit-tempju f'Ġerusalemm. [Ċitazzjoni meħtieġa] ["&amp;"Riċerka oriġinali?] Fi żminijiet moderni, xi attivisti li jikkommettu diżubbidjenza ċivili bħala grupp li kollettivament jirrifjutaw li jiffirmaw il-ħelsien mill-arrest Met, bħal kundizzjonijiet ta 'ħelsien mill-arrest favorevoli, jew il-ħelsien ta' l-att"&amp;"ivisti kollha. Din hija forma ta 'solidarjetà tal-ħabs. [Paġna meħtieġa] Kien hemm ukoll ħafna każijiet ta' diżubbidjenza ċivili solitarja, bħal dik imwettqa minn Thoreau, iżda dawn xi kultant jgħaddu inosservati. Thoreau, fil-ħin tal-arrest tiegħu, kien "&amp;"għadu ma kienx awtur magħruf, u l-arrest tiegħu ma kien kopert fl-ebda gazzetti fil-jiem, ġimgħat u xhur wara li ġara. Il-kollettur tat-taxxa li arrestah tela ’għal kariga politika ogħla, u l-esej ta’ Thoreau ma ġiex ippubblikat sa wara t-tmiem tal-Gwerra"&amp;" tal-Messiku.")</f>
        <v>L-ewwel inċidenti rreġistrati ta 'diżubbidjenza ċivili kollettiva seħħew matul l-Imperu Ruman [ċ-ċitazzjoni meħtieġa]. Lhud mhux armati nġabru fit-toroq biex jipprevjenu l-installazzjoni ta 'immaġini pagani fit-tempju f'Ġerusalemm. [Ċitazzjoni meħtieġa] [Riċerka oriġinali?] Fi żminijiet moderni, xi attivisti li jikkommettu diżubbidjenza ċivili bħala grupp li kollettivament jirrifjutaw li jiffirmaw il-ħelsien mill-arrest Met, bħal kundizzjonijiet ta 'ħelsien mill-arrest favorevoli, jew il-ħelsien ta' l-attivisti kollha. Din hija forma ta 'solidarjetà tal-ħabs. [Paġna meħtieġa] Kien hemm ukoll ħafna każijiet ta' diżubbidjenza ċivili solitarja, bħal dik imwettqa minn Thoreau, iżda dawn xi kultant jgħaddu inosservati. Thoreau, fil-ħin tal-arrest tiegħu, kien għadu ma kienx awtur magħruf, u l-arrest tiegħu ma kien kopert fl-ebda gazzetti fil-jiem, ġimgħat u xhur wara li ġara. Il-kollettur tat-taxxa li arrestah tela ’għal kariga politika ogħla, u l-esej ta’ Thoreau ma ġiex ippubblikat sa wara t-tmiem tal-Gwerra tal-Messiku.</v>
      </c>
    </row>
    <row r="19424" ht="15.75" customHeight="1">
      <c r="A19424" s="2" t="s">
        <v>19424</v>
      </c>
      <c r="B19424" s="2" t="str">
        <f>IFERROR(__xludf.DUMMYFUNCTION("GOOGLETRANSLATE(A19424, ""en"", ""mt"")"),"2002")</f>
        <v>2002</v>
      </c>
    </row>
    <row r="19425" ht="15.75" customHeight="1">
      <c r="A19425" s="2" t="s">
        <v>19425</v>
      </c>
      <c r="B19425" s="2" t="str">
        <f>IFERROR(__xludf.DUMMYFUNCTION("GOOGLETRANSLATE(A19425, ""en"", ""mt"")"),"Kemm skejjel pubbliċi charter tmexxi l-università?")</f>
        <v>Kemm skejjel pubbliċi charter tmexxi l-università?</v>
      </c>
    </row>
    <row r="19426" ht="15.75" customHeight="1">
      <c r="A19426" s="2" t="s">
        <v>19426</v>
      </c>
      <c r="B19426" s="2" t="str">
        <f>IFERROR(__xludf.DUMMYFUNCTION("GOOGLETRANSLATE(A19426, ""en"", ""mt"")"),"Min għandu l-awtorità tad-disinn fuq ir-riċevituri kollha tas-satellita diġitali li huma kapaċi jużaw is-servizz tagħhom?")</f>
        <v>Min għandu l-awtorità tad-disinn fuq ir-riċevituri kollha tas-satellita diġitali li huma kapaċi jużaw is-servizz tagħhom?</v>
      </c>
    </row>
    <row r="19427" ht="15.75" customHeight="1">
      <c r="A19427" s="2" t="s">
        <v>19427</v>
      </c>
      <c r="B19427" s="2" t="str">
        <f>IFERROR(__xludf.DUMMYFUNCTION("GOOGLETRANSLATE(A19427, ""en"", ""mt"")"),"Il-kollezzjoni ta 'tpinġijiet tinkludi aktar minn 10,000 xogħlijiet kaptan Ingliżi u 2,000 qodma, inklużi xogħlijiet minn: Dürer, Giovanni Benedetto Castiglione, Bernardo Buontalenti, Rembrandt, Antonio Verrio, Paul Sandby, John Russell, Angelica Kauffman"&amp;", John Flaxman, Hugh Douglas Hamilton, Thomas Rowlandson , William Kilburn, Thomas Girtin, Jean Auguste Dominique Ingres, David Wilkie, John Martin, Samuel Palmer, Sir Edwin Henry Landseer, Lord Frederic Leighton, Sir Samuel Luke Fildes u Aubrey Beardsley"&amp;". Artisti Ingliżi moderni rappreżentati fil-kollezzjoni jinkludu: Paul Nash, Percy Wyndham Lewis, Eric Gill, Stanley Spencer, John Piper, Graham Sutherland, Lucian Freud u David Hockney.")</f>
        <v>Il-kollezzjoni ta 'tpinġijiet tinkludi aktar minn 10,000 xogħlijiet kaptan Ingliżi u 2,000 qodma, inklużi xogħlijiet minn: Dürer, Giovanni Benedetto Castiglione, Bernardo Buontalenti, Rembrandt, Antonio Verrio, Paul Sandby, John Russell, Angelica Kauffman, John Flaxman, Hugh Douglas Hamilton, Thomas Rowlandson , William Kilburn, Thomas Girtin, Jean Auguste Dominique Ingres, David Wilkie, John Martin, Samuel Palmer, Sir Edwin Henry Landseer, Lord Frederic Leighton, Sir Samuel Luke Fildes u Aubrey Beardsley. Artisti Ingliżi moderni rappreżentati fil-kollezzjoni jinkludu: Paul Nash, Percy Wyndham Lewis, Eric Gill, Stanley Spencer, John Piper, Graham Sutherland, Lucian Freud u David Hockney.</v>
      </c>
    </row>
    <row r="19428" ht="15.75" customHeight="1">
      <c r="A19428" s="2" t="s">
        <v>19428</v>
      </c>
      <c r="B19428" s="2" t="str">
        <f>IFERROR(__xludf.DUMMYFUNCTION("GOOGLETRANSLATE(A19428, ""en"", ""mt"")"),"1950s")</f>
        <v>1950s</v>
      </c>
    </row>
    <row r="19429" ht="15.75" customHeight="1">
      <c r="A19429" s="2" t="s">
        <v>19429</v>
      </c>
      <c r="B19429" s="2" t="str">
        <f>IFERROR(__xludf.DUMMYFUNCTION("GOOGLETRANSLATE(A19429, ""en"", ""mt"")"),"Liema dipartiment jospita x-xogħlijiet fuq il-karta tal-ġbir tal-kostumi?")</f>
        <v>Liema dipartiment jospita x-xogħlijiet fuq il-karta tal-ġbir tal-kostumi?</v>
      </c>
    </row>
    <row r="19430" ht="15.75" customHeight="1">
      <c r="A19430" s="2" t="s">
        <v>19430</v>
      </c>
      <c r="B19430" s="2" t="str">
        <f>IFERROR(__xludf.DUMMYFUNCTION("GOOGLETRANSLATE(A19430, ""en"", ""mt"")"),"stat jew gvern")</f>
        <v>stat jew gvern</v>
      </c>
    </row>
    <row r="19431" ht="15.75" customHeight="1">
      <c r="A19431" s="2" t="s">
        <v>19431</v>
      </c>
      <c r="B19431" s="2" t="str">
        <f>IFERROR(__xludf.DUMMYFUNCTION("GOOGLETRANSLATE(A19431, ""en"", ""mt"")"),"Mużika Medjevali")</f>
        <v>Mużika Medjevali</v>
      </c>
    </row>
    <row r="19432" ht="15.75" customHeight="1">
      <c r="A19432" s="2" t="s">
        <v>19432</v>
      </c>
      <c r="B19432" s="2" t="str">
        <f>IFERROR(__xludf.DUMMYFUNCTION("GOOGLETRANSLATE(A19432, ""en"", ""mt"")"),"Meta kantanta kkontestaw il-graff waqt seduta tas-Senat?")</f>
        <v>Meta kantanta kkontestaw il-graff waqt seduta tas-Senat?</v>
      </c>
    </row>
    <row r="19433" ht="15.75" customHeight="1">
      <c r="A19433" s="2" t="s">
        <v>19433</v>
      </c>
      <c r="B19433" s="2" t="str">
        <f>IFERROR(__xludf.DUMMYFUNCTION("GOOGLETRANSLATE(A19433, ""en"", ""mt"")"),"Tossini alkalojdi lipofiliċi")</f>
        <v>Tossini alkalojdi lipofiliċi</v>
      </c>
    </row>
    <row r="19434" ht="15.75" customHeight="1">
      <c r="A19434" s="2" t="s">
        <v>19434</v>
      </c>
      <c r="B19434" s="2" t="str">
        <f>IFERROR(__xludf.DUMMYFUNCTION("GOOGLETRANSLATE(A19434, ""en"", ""mt"")"),"Fuq fejn huma ffokati ħafna mill-attrazzjonijiet turistiċi fir-Rabat?")</f>
        <v>Fuq fejn huma ffokati ħafna mill-attrazzjonijiet turistiċi fir-Rabat?</v>
      </c>
    </row>
    <row r="19435" ht="15.75" customHeight="1">
      <c r="A19435" s="2" t="s">
        <v>19435</v>
      </c>
      <c r="B19435" s="2" t="str">
        <f>IFERROR(__xludf.DUMMYFUNCTION("GOOGLETRANSLATE(A19435, ""en"", ""mt"")"),"Wieħed (jew aktar")</f>
        <v>Wieħed (jew aktar</v>
      </c>
    </row>
    <row r="19436" ht="15.75" customHeight="1">
      <c r="A19436" s="2" t="s">
        <v>19436</v>
      </c>
      <c r="B19436" s="2" t="str">
        <f>IFERROR(__xludf.DUMMYFUNCTION("GOOGLETRANSLATE(A19436, ""en"", ""mt"")"),"Lulju 1899")</f>
        <v>Lulju 1899</v>
      </c>
    </row>
    <row r="19437" ht="15.75" customHeight="1">
      <c r="A19437" s="2" t="s">
        <v>19437</v>
      </c>
      <c r="B19437" s="2" t="str">
        <f>IFERROR(__xludf.DUMMYFUNCTION("GOOGLETRANSLATE(A19437, ""en"", ""mt"")"),"handshake bejn il-partijiet li jikkomunikaw qabel ma jiġu trasmessi xi pakketti tal-utent")</f>
        <v>handshake bejn il-partijiet li jikkomunikaw qabel ma jiġu trasmessi xi pakketti tal-utent</v>
      </c>
    </row>
    <row r="19438" ht="15.75" customHeight="1">
      <c r="A19438" s="2" t="s">
        <v>19438</v>
      </c>
      <c r="B19438" s="2" t="str">
        <f>IFERROR(__xludf.DUMMYFUNCTION("GOOGLETRANSLATE(A19438, ""en"", ""mt"")"),"F'liema sena għadda l-att tal-iskejjel tal-Afrika t'Isfel?")</f>
        <v>F'liema sena għadda l-att tal-iskejjel tal-Afrika t'Isfel?</v>
      </c>
    </row>
    <row r="19439" ht="15.75" customHeight="1">
      <c r="A19439" s="2" t="s">
        <v>19439</v>
      </c>
      <c r="B19439" s="2" t="str">
        <f>IFERROR(__xludf.DUMMYFUNCTION("GOOGLETRANSLATE(A19439, ""en"", ""mt"")"),"iktar għali")</f>
        <v>iktar għali</v>
      </c>
    </row>
    <row r="19440" ht="15.75" customHeight="1">
      <c r="A19440" s="2" t="s">
        <v>19440</v>
      </c>
      <c r="B19440" s="2" t="str">
        <f>IFERROR(__xludf.DUMMYFUNCTION("GOOGLETRANSLATE(A19440, ""en"", ""mt"")"),"Spark ta 'għalliem jista' joħloq xrar fejn?")</f>
        <v>Spark ta 'għalliem jista' joħloq xrar fejn?</v>
      </c>
    </row>
    <row r="19441" ht="15.75" customHeight="1">
      <c r="A19441" s="2" t="s">
        <v>19441</v>
      </c>
      <c r="B19441" s="2" t="str">
        <f>IFERROR(__xludf.DUMMYFUNCTION("GOOGLETRANSLATE(A19441, ""en"", ""mt"")"),"L-iskejjel privati ​​fl-Awstralja jistgħu jiġu ffavoriti għal ħafna raġunijiet: prestiġju u l-istatus soċjali ta 'l-'intabta ta' l-iskola antika '; Infrastruttura fiżika ta 'kwalità aħjar u aktar faċilitajiet (e.ż. kampijiet ta' logħob, pixxini, eċċ.), Għ"&amp;"alliema ta 'ħlas ogħla; u / jew it-twemmin li l-iskejjel privati ​​joffru kwalità ogħla ta 'edukazzjoni. Xi skejjel joffru t-tneħħija tad-distrazzjonijiet allegati ta 'ko-edukazzjoni; il-preżenza ta 'faċilitajiet ta' imbark; jew dixxiplina aktar stretta b"&amp;"bażata fuq il-poter ta 'tkeċċija tagħhom, għodda mhux disponibbli għall-iskejjel tal-gvern. L-uniformijiet tal-istudenti għall-iskejjel privati ​​Awstraljani huma ġeneralment aktar stretti u aktar formali milli fl-iskejjel tal-gvern - pereżempju, blazer o"&amp;"bbligatorju. L-iskejjel privati ​​fl-Awstralja huma dejjem aktar għoljin mill-kontropartijiet pubbliċi tagħhom. [Ċitazzjoni meħtieġa]")</f>
        <v>L-iskejjel privati ​​fl-Awstralja jistgħu jiġu ffavoriti għal ħafna raġunijiet: prestiġju u l-istatus soċjali ta 'l-'intabta ta' l-iskola antika '; Infrastruttura fiżika ta 'kwalità aħjar u aktar faċilitajiet (e.ż. kampijiet ta' logħob, pixxini, eċċ.), Għalliema ta 'ħlas ogħla; u / jew it-twemmin li l-iskejjel privati ​​joffru kwalità ogħla ta 'edukazzjoni. Xi skejjel joffru t-tneħħija tad-distrazzjonijiet allegati ta 'ko-edukazzjoni; il-preżenza ta 'faċilitajiet ta' imbark; jew dixxiplina aktar stretta bbażata fuq il-poter ta 'tkeċċija tagħhom, għodda mhux disponibbli għall-iskejjel tal-gvern. L-uniformijiet tal-istudenti għall-iskejjel privati ​​Awstraljani huma ġeneralment aktar stretti u aktar formali milli fl-iskejjel tal-gvern - pereżempju, blazer obbligatorju. L-iskejjel privati ​​fl-Awstralja huma dejjem aktar għoljin mill-kontropartijiet pubbliċi tagħhom. [Ċitazzjoni meħtieġa]</v>
      </c>
    </row>
    <row r="19442" ht="15.75" customHeight="1">
      <c r="A19442" s="2" t="s">
        <v>19442</v>
      </c>
      <c r="B19442" s="2" t="str">
        <f>IFERROR(__xludf.DUMMYFUNCTION("GOOGLETRANSLATE(A19442, ""en"", ""mt"")"),"Skond l-istorja sigrieta, Temüjin reġa 'offra l-ħbiberija tiegħu lil Jamukha, u talbuh jirritorna lejn in-naħa tiegħu. Temüjin kien qatel l-irġiel li ttradixxa lil Jamukha, u ddikjara li ma riedx irġiel żleali fl-armata tiegħu. Jamukha rrifjuta l-offerta "&amp;"ta 'ħbiberija u riunjoni, u qal li jista' jkun hemm xemx waħda biss fis-sema, u huwa talab mewt nobbli. Id-drawwa hija li tmut mingħajr ma tixrid id-demm, li jingħata billi tkisser id-dahar. Jamukha talab din il-forma ta 'mewt, minkejja l-fatt li fil-pass"&amp;"at Jamukha kien magħruf li għeleb lill-ġenerali tal-avversarji tiegħu ħajjin.")</f>
        <v>Skond l-istorja sigrieta, Temüjin reġa 'offra l-ħbiberija tiegħu lil Jamukha, u talbuh jirritorna lejn in-naħa tiegħu. Temüjin kien qatel l-irġiel li ttradixxa lil Jamukha, u ddikjara li ma riedx irġiel żleali fl-armata tiegħu. Jamukha rrifjuta l-offerta ta 'ħbiberija u riunjoni, u qal li jista' jkun hemm xemx waħda biss fis-sema, u huwa talab mewt nobbli. Id-drawwa hija li tmut mingħajr ma tixrid id-demm, li jingħata billi tkisser id-dahar. Jamukha talab din il-forma ta 'mewt, minkejja l-fatt li fil-passat Jamukha kien magħruf li għeleb lill-ġenerali tal-avversarji tiegħu ħajjin.</v>
      </c>
    </row>
    <row r="19443" ht="15.75" customHeight="1">
      <c r="A19443" s="2" t="s">
        <v>19443</v>
      </c>
      <c r="B19443" s="2" t="str">
        <f>IFERROR(__xludf.DUMMYFUNCTION("GOOGLETRANSLATE(A19443, ""en"", ""mt"")"),"""Jenggis")</f>
        <v>"Jenggis</v>
      </c>
    </row>
    <row r="19444" ht="15.75" customHeight="1">
      <c r="A19444" s="2" t="s">
        <v>19444</v>
      </c>
      <c r="B19444" s="2" t="str">
        <f>IFERROR(__xludf.DUMMYFUNCTION("GOOGLETRANSLATE(A19444, ""en"", ""mt"")"),"Le Grand jitlob varjazzjoni ta 'liema tliet termini?")</f>
        <v>Le Grand jitlob varjazzjoni ta 'liema tliet termini?</v>
      </c>
    </row>
    <row r="19445" ht="15.75" customHeight="1">
      <c r="A19445" s="2" t="s">
        <v>19445</v>
      </c>
      <c r="B19445" s="2" t="str">
        <f>IFERROR(__xludf.DUMMYFUNCTION("GOOGLETRANSLATE(A19445, ""en"", ""mt"")"),"Xi jfisser l-ogħla livell tal-Vistula Plateau?")</f>
        <v>Xi jfisser l-ogħla livell tal-Vistula Plateau?</v>
      </c>
    </row>
    <row r="19446" ht="15.75" customHeight="1">
      <c r="A19446" s="2" t="s">
        <v>19446</v>
      </c>
      <c r="B19446" s="2" t="str">
        <f>IFERROR(__xludf.DUMMYFUNCTION("GOOGLETRANSLATE(A19446, ""en"", ""mt"")"),"Min waqqaf Woodward Park?")</f>
        <v>Min waqqaf Woodward Park?</v>
      </c>
    </row>
    <row r="19447" ht="15.75" customHeight="1">
      <c r="A19447" s="2" t="s">
        <v>19447</v>
      </c>
      <c r="B19447" s="2" t="str">
        <f>IFERROR(__xludf.DUMMYFUNCTION("GOOGLETRANSLATE(A19447, ""en"", ""mt"")"),"Jochi miet fl-1226, matul ħajtu missieru. Xi studjużi, l-aktar Ratchnevsky, ikkummentaw dwar il-possibbiltà li Jochi kien segretament avvelenat minn ordni minn Genghis Khan. Rashid al-Din jirrapporta li l-Khan il-kbir bagħat għal uliedu fir-rebbiegħa tal-"&amp;"1223, u waqt li ħutu taw l-ordni, Jochi baqa 'f'Khorasan. Jusqjani jissuġġerixxi li n-nuqqas ta ’qbil inħoloq minn tilwima bejn Jochi u ħutu fl-assedju ta’ Urgench. Jochi kien ipprova jipproteġi lil Urgench mill-qerda, peress li kien jappartjeni għal terr"&amp;"itorju allokat lilu bħala fief. Huwa jikkonkludi l-istorja tiegħu bl-istqarrija apocryphal b'mod ċar minn Jochi: ""Genghis Khan huwa ġenn li massakra tant nies u waqqaf tant artijiet. Inkun qed nagħmel servizz jekk inqatel lil missieri meta jkun qed jikka"&amp;"ċċja, għamilt alleanza ma ' Is-Sultan Muhammad, ġab din l-art għall-ħajja u ta għajnuna u appoġġ lill-Musulmani. "" Jusqjani jiddikjara li kien bi tweġiba għas-smigħ ta 'dawn il-pjanijiet li Genghis Khan ordna lil ibnu segretament avvelenat; Madankollu, h"&amp;"ekk kif is-Sultan Muhammad kien diġà mejjet fl-1223, l-eżattezza ta 'din l-istorja hija dubjuża.")</f>
        <v>Jochi miet fl-1226, matul ħajtu missieru. Xi studjużi, l-aktar Ratchnevsky, ikkummentaw dwar il-possibbiltà li Jochi kien segretament avvelenat minn ordni minn Genghis Khan. Rashid al-Din jirrapporta li l-Khan il-kbir bagħat għal uliedu fir-rebbiegħa tal-1223, u waqt li ħutu taw l-ordni, Jochi baqa 'f'Khorasan. Jusqjani jissuġġerixxi li n-nuqqas ta ’qbil inħoloq minn tilwima bejn Jochi u ħutu fl-assedju ta’ Urgench. Jochi kien ipprova jipproteġi lil Urgench mill-qerda, peress li kien jappartjeni għal territorju allokat lilu bħala fief. Huwa jikkonkludi l-istorja tiegħu bl-istqarrija apocryphal b'mod ċar minn Jochi: "Genghis Khan huwa ġenn li massakra tant nies u waqqaf tant artijiet. Inkun qed nagħmel servizz jekk inqatel lil missieri meta jkun qed jikkaċċja, għamilt alleanza ma ' Is-Sultan Muhammad, ġab din l-art għall-ħajja u ta għajnuna u appoġġ lill-Musulmani. " Jusqjani jiddikjara li kien bi tweġiba għas-smigħ ta 'dawn il-pjanijiet li Genghis Khan ordna lil ibnu segretament avvelenat; Madankollu, hekk kif is-Sultan Muhammad kien diġà mejjet fl-1223, l-eżattezza ta 'din l-istorja hija dubjuża.</v>
      </c>
    </row>
    <row r="19448" ht="15.75" customHeight="1">
      <c r="A19448" s="2" t="s">
        <v>19448</v>
      </c>
      <c r="B19448" s="2" t="str">
        <f>IFERROR(__xludf.DUMMYFUNCTION("GOOGLETRANSLATE(A19448, ""en"", ""mt"")"),"Atlanta Falcons")</f>
        <v>Atlanta Falcons</v>
      </c>
    </row>
    <row r="19449" ht="15.75" customHeight="1">
      <c r="A19449" s="2" t="s">
        <v>19449</v>
      </c>
      <c r="B19449" s="2" t="str">
        <f>IFERROR(__xludf.DUMMYFUNCTION("GOOGLETRANSLATE(A19449, ""en"", ""mt"")"),"Min ġeneralment jgħallem minn xogħol bħall-Quran, Torah jew Bibbja?")</f>
        <v>Min ġeneralment jgħallem minn xogħol bħall-Quran, Torah jew Bibbja?</v>
      </c>
    </row>
    <row r="19450" ht="15.75" customHeight="1">
      <c r="A19450" s="2" t="s">
        <v>19450</v>
      </c>
      <c r="B19450" s="2" t="str">
        <f>IFERROR(__xludf.DUMMYFUNCTION("GOOGLETRANSLATE(A19450, ""en"", ""mt"")"),"Dak li tipikament jinvolvi produzzjoni tal-massa ta 'oġġetti simili mingħajr xerrej magħżul?")</f>
        <v>Dak li tipikament jinvolvi produzzjoni tal-massa ta 'oġġetti simili mingħajr xerrej magħżul?</v>
      </c>
    </row>
    <row r="19451" ht="15.75" customHeight="1">
      <c r="A19451" s="2" t="s">
        <v>19451</v>
      </c>
      <c r="B19451" s="2" t="str">
        <f>IFERROR(__xludf.DUMMYFUNCTION("GOOGLETRANSLATE(A19451, ""en"", ""mt"")"),"X'għamlet involontarjament il-gwerra tal-Golf fil-bidu tad-disgħinijiet?")</f>
        <v>X'għamlet involontarjament il-gwerra tal-Golf fil-bidu tad-disgħinijiet?</v>
      </c>
    </row>
    <row r="19452" ht="15.75" customHeight="1">
      <c r="A19452" s="2" t="s">
        <v>19452</v>
      </c>
      <c r="B19452" s="2" t="str">
        <f>IFERROR(__xludf.DUMMYFUNCTION("GOOGLETRANSLATE(A19452, ""en"", ""mt"")"),"X'hemm bejn l-Iżlazzina Fundamentalista u l-Iżlamiżmu Riformist?")</f>
        <v>X'hemm bejn l-Iżlazzina Fundamentalista u l-Iżlamiżmu Riformist?</v>
      </c>
    </row>
    <row r="19453" ht="15.75" customHeight="1">
      <c r="A19453" s="2" t="s">
        <v>19453</v>
      </c>
      <c r="B19453" s="2" t="str">
        <f>IFERROR(__xludf.DUMMYFUNCTION("GOOGLETRANSLATE(A19453, ""en"", ""mt"")"),"X'jagħmel għalliem ta 'qabel l-iskola, għaqli bis-salarju?")</f>
        <v>X'jagħmel għalliem ta 'qabel l-iskola, għaqli bis-salarju?</v>
      </c>
    </row>
    <row r="19454" ht="15.75" customHeight="1">
      <c r="A19454" s="2" t="s">
        <v>19454</v>
      </c>
      <c r="B19454" s="2" t="str">
        <f>IFERROR(__xludf.DUMMYFUNCTION("GOOGLETRANSLATE(A19454, ""en"", ""mt"")"),"3:08")</f>
        <v>3:08</v>
      </c>
    </row>
    <row r="19455" ht="15.75" customHeight="1">
      <c r="A19455" s="2" t="s">
        <v>19455</v>
      </c>
      <c r="B19455" s="2" t="str">
        <f>IFERROR(__xludf.DUMMYFUNCTION("GOOGLETRANSLATE(A19455, ""en"", ""mt"")"),"il-ġenerali tiegħu")</f>
        <v>il-ġenerali tiegħu</v>
      </c>
    </row>
    <row r="19456" ht="15.75" customHeight="1">
      <c r="A19456" s="2" t="s">
        <v>19456</v>
      </c>
      <c r="B19456" s="2" t="str">
        <f>IFERROR(__xludf.DUMMYFUNCTION("GOOGLETRANSLATE(A19456, ""en"", ""mt"")"),"Minn min kienu aktar tard l-imperaturi tal-wan iżolati?")</f>
        <v>Minn min kienu aktar tard l-imperaturi tal-wan iżolati?</v>
      </c>
    </row>
    <row r="19457" ht="15.75" customHeight="1">
      <c r="A19457" s="2" t="s">
        <v>19457</v>
      </c>
      <c r="B19457" s="2" t="str">
        <f>IFERROR(__xludf.DUMMYFUNCTION("GOOGLETRANSLATE(A19457, ""en"", ""mt"")"),"Momus")</f>
        <v>Momus</v>
      </c>
    </row>
    <row r="19458" ht="15.75" customHeight="1">
      <c r="A19458" s="2" t="s">
        <v>19458</v>
      </c>
      <c r="B19458" s="2" t="str">
        <f>IFERROR(__xludf.DUMMYFUNCTION("GOOGLETRANSLATE(A19458, ""en"", ""mt"")"),"Kif kienet taħdem l-oxxillatur mekkaniku ta 'Tesla?")</f>
        <v>Kif kienet taħdem l-oxxillatur mekkaniku ta 'Tesla?</v>
      </c>
    </row>
    <row r="19459" ht="15.75" customHeight="1">
      <c r="A19459" s="2" t="s">
        <v>19459</v>
      </c>
      <c r="B19459" s="2" t="str">
        <f>IFERROR(__xludf.DUMMYFUNCTION("GOOGLETRANSLATE(A19459, ""en"", ""mt"")"),"Northern San Diego")</f>
        <v>Northern San Diego</v>
      </c>
    </row>
    <row r="19460" ht="15.75" customHeight="1">
      <c r="A19460" s="2" t="s">
        <v>19460</v>
      </c>
      <c r="B19460" s="2" t="str">
        <f>IFERROR(__xludf.DUMMYFUNCTION("GOOGLETRANSLATE(A19460, ""en"", ""mt"")"),"X'kienet il-pożizzjoni ta 'Tesla ma' Westinghouse?")</f>
        <v>X'kienet il-pożizzjoni ta 'Tesla ma' Westinghouse?</v>
      </c>
    </row>
    <row r="19461" ht="15.75" customHeight="1">
      <c r="A19461" s="2" t="s">
        <v>19461</v>
      </c>
      <c r="B19461" s="2" t="str">
        <f>IFERROR(__xludf.DUMMYFUNCTION("GOOGLETRANSLATE(A19461, ""en"", ""mt"")"),"Kull ħames snin")</f>
        <v>Kull ħames snin</v>
      </c>
    </row>
    <row r="19462" ht="15.75" customHeight="1">
      <c r="A19462" s="2" t="s">
        <v>19462</v>
      </c>
      <c r="B19462" s="2" t="str">
        <f>IFERROR(__xludf.DUMMYFUNCTION("GOOGLETRANSLATE(A19462, ""en"", ""mt"")"),"Deċiżjonijiet bejn il-laqgħat ta 'erba' snin jittieħdu mill-Kunsill tal-Missjoni (ġeneralment jikkonsistu minn isqfijiet tal-knisja). Waħda mill-aktar deċiżjonijiet ta 'profil għoli f'dawn l-aħħar snin minn wieħed mill-kunsilli kienet deċiżjoni mill-Kunsi"&amp;"ll tal-Missjoni tal-Ġurisdizzjoni Ċentrali tan-Nofsinhar li f'Marzu 2007 approva kirja ta '99 sena ta' 36 acres (150,000 m2) fl-Università Metodista tan-Nofsinhar Librerija Presidenzjali George W. Bush. Id-deċiżjoni ġġenerat kontroversja fid-dawl tal-appo"&amp;"ġġ ta ’Bush għall-gwerra tal-Iraq li l-isqfijiet tal-knisja kkritikaw. Dibattitu dwar jekk id-deċiżjoni għandhiex jew tista 'tiġi sottomessa għall-approvazzjoni mill-Konferenza Ġurisdizzjonali tan-Nofsinhar fil-laqgħa tagħha f'Lulju 2008 f'Dallas, Texas, "&amp;"għadu mhux solvut.")</f>
        <v>Deċiżjonijiet bejn il-laqgħat ta 'erba' snin jittieħdu mill-Kunsill tal-Missjoni (ġeneralment jikkonsistu minn isqfijiet tal-knisja). Waħda mill-aktar deċiżjonijiet ta 'profil għoli f'dawn l-aħħar snin minn wieħed mill-kunsilli kienet deċiżjoni mill-Kunsill tal-Missjoni tal-Ġurisdizzjoni Ċentrali tan-Nofsinhar li f'Marzu 2007 approva kirja ta '99 sena ta' 36 acres (150,000 m2) fl-Università Metodista tan-Nofsinhar Librerija Presidenzjali George W. Bush. Id-deċiżjoni ġġenerat kontroversja fid-dawl tal-appoġġ ta ’Bush għall-gwerra tal-Iraq li l-isqfijiet tal-knisja kkritikaw. Dibattitu dwar jekk id-deċiżjoni għandhiex jew tista 'tiġi sottomessa għall-approvazzjoni mill-Konferenza Ġurisdizzjonali tan-Nofsinhar fil-laqgħa tagħha f'Lulju 2008 f'Dallas, Texas, għadu mhux solvut.</v>
      </c>
    </row>
    <row r="19463" ht="15.75" customHeight="1">
      <c r="A19463" s="2" t="s">
        <v>19463</v>
      </c>
      <c r="B19463" s="2" t="str">
        <f>IFERROR(__xludf.DUMMYFUNCTION("GOOGLETRANSLATE(A19463, ""en"", ""mt"")"),"Meta ġiet ippubblikata l-karta li l-graff ""Millennial Northern Emisfera Reconstruction"" kienet ibbażata?")</f>
        <v>Meta ġiet ippubblikata l-karta li l-graff "Millennial Northern Emisfera Reconstruction" kienet ibbażata?</v>
      </c>
    </row>
    <row r="19464" ht="15.75" customHeight="1">
      <c r="A19464" s="2" t="s">
        <v>19464</v>
      </c>
      <c r="B19464" s="2" t="str">
        <f>IFERROR(__xludf.DUMMYFUNCTION("GOOGLETRANSLATE(A19464, ""en"", ""mt"")"),"Il-Gwerra Franċiża u Indjana kienet l-aspett tad-dinja l-ġdida ta 'liema kunflitt Ewropew?")</f>
        <v>Il-Gwerra Franċiża u Indjana kienet l-aspett tad-dinja l-ġdida ta 'liema kunflitt Ewropew?</v>
      </c>
    </row>
    <row r="19465" ht="15.75" customHeight="1">
      <c r="A19465" s="2" t="s">
        <v>19465</v>
      </c>
      <c r="B19465" s="2" t="str">
        <f>IFERROR(__xludf.DUMMYFUNCTION("GOOGLETRANSLATE(A19465, ""en"", ""mt"")"),"kapaċità li teżaġera")</f>
        <v>kapaċità li teżaġera</v>
      </c>
    </row>
    <row r="19466" ht="15.75" customHeight="1">
      <c r="A19466" s="2" t="s">
        <v>19466</v>
      </c>
      <c r="B19466" s="2" t="str">
        <f>IFERROR(__xludf.DUMMYFUNCTION("GOOGLETRANSLATE(A19466, ""en"", ""mt"")"),"residenzjali u mhux residenzjali (kummerċjali / istituzzjonali)")</f>
        <v>residenzjali u mhux residenzjali (kummerċjali / istituzzjonali)</v>
      </c>
    </row>
    <row r="19467" ht="15.75" customHeight="1">
      <c r="A19467" s="2" t="s">
        <v>19467</v>
      </c>
      <c r="B19467" s="2" t="str">
        <f>IFERROR(__xludf.DUMMYFUNCTION("GOOGLETRANSLATE(A19467, ""en"", ""mt"")"),"ambjent li fih għexu")</f>
        <v>ambjent li fih għexu</v>
      </c>
    </row>
    <row r="19468" ht="15.75" customHeight="1">
      <c r="A19468" s="2" t="s">
        <v>19468</v>
      </c>
      <c r="B19468" s="2" t="str">
        <f>IFERROR(__xludf.DUMMYFUNCTION("GOOGLETRANSLATE(A19468, ""en"", ""mt"")"),"Meta ċellula T tiltaqa 'ma' patoġen barrani, dan jestendi riċettur ta 'vitamina D. Dan huwa essenzjalment apparat ta 'sinjalazzjoni li jippermetti li ċ-ċellola T torbot mal-forma attiva ta' vitamina D, l-ormon sterojdi calcitriol. Iċ-ċelloli T għandhom re"&amp;"lazzjoni simbjotika mal-vitamina D. Mhux biss iċ-ċellola T testendi riċettur ta 'vitamina D, essenzjalment titlob li torbot mal-verżjoni tal-ormon sterojdi tal-vitamina D, calcitriol, iżda ċ-ċellola T tesprimi l-ġene CYP27B1, li huwa l-ġene responsabbli g"&amp;"ħall-konverżjoni tal-verżjoni ta 'qabel l-ormon ta' vitamina D, calcidiol fil-verżjoni tal-ormon sterojdi, Calcitriol. Biss wara li jorbot ma 'calcitriol CAN-ċelloli T iwettqu l-funzjoni maħsuba tagħhom. Ċelloli oħra tas-sistema immuni li huma magħrufa li"&amp;" jesprimu CYP27B1 u b'hekk jattivaw il-vitamina D calcidiol, huma ċelloli dendritiċi, keratinocytes u makrofaġi.")</f>
        <v>Meta ċellula T tiltaqa 'ma' patoġen barrani, dan jestendi riċettur ta 'vitamina D. Dan huwa essenzjalment apparat ta 'sinjalazzjoni li jippermetti li ċ-ċellola T torbot mal-forma attiva ta' vitamina D, l-ormon sterojdi calcitriol. Iċ-ċelloli T għandhom relazzjoni simbjotika mal-vitamina D. Mhux biss iċ-ċellola T testendi riċettur ta 'vitamina D, essenzjalment titlob li torbot mal-verżjoni tal-ormon sterojdi tal-vitamina D, calcitriol, iżda ċ-ċellola T tesprimi l-ġene CYP27B1, li huwa l-ġene responsabbli għall-konverżjoni tal-verżjoni ta 'qabel l-ormon ta' vitamina D, calcidiol fil-verżjoni tal-ormon sterojdi, Calcitriol. Biss wara li jorbot ma 'calcitriol CAN-ċelloli T iwettqu l-funzjoni maħsuba tagħhom. Ċelloli oħra tas-sistema immuni li huma magħrufa li jesprimu CYP27B1 u b'hekk jattivaw il-vitamina D calcidiol, huma ċelloli dendritiċi, keratinocytes u makrofaġi.</v>
      </c>
    </row>
    <row r="19469" ht="15.75" customHeight="1">
      <c r="A19469" s="2" t="s">
        <v>19469</v>
      </c>
      <c r="B19469" s="2" t="str">
        <f>IFERROR(__xludf.DUMMYFUNCTION("GOOGLETRANSLATE(A19469, ""en"", ""mt"")"),"X’kien ikkaratterizzat bħala teoloġija Arminjana b’enfasi fuq ix-xogħol tal-Ispirtu s-Santu?")</f>
        <v>X’kien ikkaratterizzat bħala teoloġija Arminjana b’enfasi fuq ix-xogħol tal-Ispirtu s-Santu?</v>
      </c>
    </row>
    <row r="19470" ht="15.75" customHeight="1">
      <c r="A19470" s="2" t="s">
        <v>19470</v>
      </c>
      <c r="B19470" s="2" t="str">
        <f>IFERROR(__xludf.DUMMYFUNCTION("GOOGLETRANSLATE(A19470, ""en"", ""mt"")"),"It-Test tal-Primalità AKS")</f>
        <v>It-Test tal-Primalità AKS</v>
      </c>
    </row>
    <row r="19471" ht="15.75" customHeight="1">
      <c r="A19471" s="2" t="s">
        <v>19471</v>
      </c>
      <c r="B19471" s="2" t="str">
        <f>IFERROR(__xludf.DUMMYFUNCTION("GOOGLETRANSLATE(A19471, ""en"", ""mt"")"),"Qrib l-aħħar tas-seklu 19 Magni komposti daħlu f'użu mifrux. Magni komposti eżawrew fwar għal ċilindri suċċessivament akbar biex jakkomodaw il-volumi ogħla fi pressjonijiet imnaqqsa, u jagħtu effiċjenza mtejba. Dawn l-istadji kienu msejħa espansjonijiet, "&amp;"b'magni ta 'espansjoni doppja u tripla li huma komuni, speċjalment fit-tbaħħir fejn l-effiċjenza kienet importanti biex jitnaqqas il-piż tal-faħam li jinġarr. Il-magni tal-fwar baqgħu s-sors dominanti ta 'enerġija sal-bidu tas-seklu 20, meta l-avvanzi fid"&amp;"-disinn ta' muturi elettriċi u magni ta 'kombustjoni interna rriżultaw gradwalment fis-sostituzzjoni ta' magni tal-fwar reċiprokanti (pistuni), bit-tbaħħir fis-seklu 20 billi jiddependi fuq il-fwar turbina.")</f>
        <v>Qrib l-aħħar tas-seklu 19 Magni komposti daħlu f'użu mifrux. Magni komposti eżawrew fwar għal ċilindri suċċessivament akbar biex jakkomodaw il-volumi ogħla fi pressjonijiet imnaqqsa, u jagħtu effiċjenza mtejba. Dawn l-istadji kienu msejħa espansjonijiet, b'magni ta 'espansjoni doppja u tripla li huma komuni, speċjalment fit-tbaħħir fejn l-effiċjenza kienet importanti biex jitnaqqas il-piż tal-faħam li jinġarr. Il-magni tal-fwar baqgħu s-sors dominanti ta 'enerġija sal-bidu tas-seklu 20, meta l-avvanzi fid-disinn ta' muturi elettriċi u magni ta 'kombustjoni interna rriżultaw gradwalment fis-sostituzzjoni ta' magni tal-fwar reċiprokanti (pistuni), bit-tbaħħir fis-seklu 20 billi jiddependi fuq il-fwar turbina.</v>
      </c>
    </row>
    <row r="19472" ht="15.75" customHeight="1">
      <c r="A19472" s="2" t="s">
        <v>19472</v>
      </c>
      <c r="B19472" s="2" t="str">
        <f>IFERROR(__xludf.DUMMYFUNCTION("GOOGLETRANSLATE(A19472, ""en"", ""mt"")"),"Liema lingwa tintuża fi skejjel sekondarji Ċiniżi fil-Malasja?")</f>
        <v>Liema lingwa tintuża fi skejjel sekondarji Ċiniżi fil-Malasja?</v>
      </c>
    </row>
    <row r="19473" ht="15.75" customHeight="1">
      <c r="A19473" s="2" t="s">
        <v>19473</v>
      </c>
      <c r="B19473" s="2" t="str">
        <f>IFERROR(__xludf.DUMMYFUNCTION("GOOGLETRANSLATE(A19473, ""en"", ""mt"")"),"Università ta ’Florida tat-Tramuntana")</f>
        <v>Università ta ’Florida tat-Tramuntana</v>
      </c>
    </row>
    <row r="19474" ht="15.75" customHeight="1">
      <c r="A19474" s="2" t="s">
        <v>19474</v>
      </c>
      <c r="B19474" s="2" t="str">
        <f>IFERROR(__xludf.DUMMYFUNCTION("GOOGLETRANSLATE(A19474, ""en"", ""mt"")"),"1 ta 'Frar 2007")</f>
        <v>1 ta 'Frar 2007</v>
      </c>
    </row>
    <row r="19475" ht="15.75" customHeight="1">
      <c r="A19475" s="2" t="s">
        <v>19475</v>
      </c>
      <c r="B19475" s="2" t="str">
        <f>IFERROR(__xludf.DUMMYFUNCTION("GOOGLETRANSLATE(A19475, ""en"", ""mt"")"),"Liema tekniki jistgħu jintużaw biex tiddetermina l-paleotopografija?")</f>
        <v>Liema tekniki jistgħu jintużaw biex tiddetermina l-paleotopografija?</v>
      </c>
    </row>
    <row r="19476" ht="15.75" customHeight="1">
      <c r="A19476" s="2" t="s">
        <v>19476</v>
      </c>
      <c r="B19476" s="2" t="str">
        <f>IFERROR(__xludf.DUMMYFUNCTION("GOOGLETRANSLATE(A19476, ""en"", ""mt"")"),"Min għamel play-by-play fuq Westwood One?")</f>
        <v>Min għamel play-by-play fuq Westwood One?</v>
      </c>
    </row>
    <row r="19477" ht="15.75" customHeight="1">
      <c r="A19477" s="2" t="s">
        <v>19477</v>
      </c>
      <c r="B19477" s="2" t="str">
        <f>IFERROR(__xludf.DUMMYFUNCTION("GOOGLETRANSLATE(A19477, ""en"", ""mt"")"),"X'inhi s-sistema proprjetarja li tuża Sky + HD?")</f>
        <v>X'inhi s-sistema proprjetarja li tuża Sky + HD?</v>
      </c>
    </row>
    <row r="19478" ht="15.75" customHeight="1">
      <c r="A19478" s="2" t="s">
        <v>19478</v>
      </c>
      <c r="B19478" s="2" t="str">
        <f>IFERROR(__xludf.DUMMYFUNCTION("GOOGLETRANSLATE(A19478, ""en"", ""mt"")"),"Problema f'C hija iktar diffiċli minn x")</f>
        <v>Problema f'C hija iktar diffiċli minn x</v>
      </c>
    </row>
    <row r="19479" ht="15.75" customHeight="1">
      <c r="A19479" s="2" t="s">
        <v>19479</v>
      </c>
      <c r="B19479" s="2" t="str">
        <f>IFERROR(__xludf.DUMMYFUNCTION("GOOGLETRANSLATE(A19479, ""en"", ""mt"")"),"X'inhu l-isem ta 'struttura alġebrika li fiha huma definiti żieda, tnaqqis u multiplikazzjoni?")</f>
        <v>X'inhu l-isem ta 'struttura alġebrika li fiha huma definiti żieda, tnaqqis u multiplikazzjoni?</v>
      </c>
    </row>
    <row r="19480" ht="15.75" customHeight="1">
      <c r="A19480" s="2" t="s">
        <v>19480</v>
      </c>
      <c r="B19480" s="2" t="str">
        <f>IFERROR(__xludf.DUMMYFUNCTION("GOOGLETRANSLATE(A19480, ""en"", ""mt"")"),"Istitut tas-Saħħa tat-Tfal tat-Tfal")</f>
        <v>Istitut tas-Saħħa tat-Tfal tat-Tfal</v>
      </c>
    </row>
    <row r="19481" ht="15.75" customHeight="1">
      <c r="A19481" s="2" t="s">
        <v>19481</v>
      </c>
      <c r="B19481" s="2" t="str">
        <f>IFERROR(__xludf.DUMMYFUNCTION("GOOGLETRANSLATE(A19481, ""en"", ""mt"")"),"Meta kien qed jara Doctor Who fl-ogħla livell tiegħu?")</f>
        <v>Meta kien qed jara Doctor Who fl-ogħla livell tiegħu?</v>
      </c>
    </row>
    <row r="19482" ht="15.75" customHeight="1">
      <c r="A19482" s="2" t="s">
        <v>19482</v>
      </c>
      <c r="B19482" s="2" t="str">
        <f>IFERROR(__xludf.DUMMYFUNCTION("GOOGLETRANSLATE(A19482, ""en"", ""mt"")"),"Liema emenda għall-Kostituzzjoni ta 'l-Istati Uniti tirregola l-finanzjament tal-gvern ta' skejjel reliġjużi?")</f>
        <v>Liema emenda għall-Kostituzzjoni ta 'l-Istati Uniti tirregola l-finanzjament tal-gvern ta' skejjel reliġjużi?</v>
      </c>
    </row>
    <row r="19483" ht="15.75" customHeight="1">
      <c r="A19483" s="2" t="s">
        <v>19483</v>
      </c>
      <c r="B19483" s="2" t="str">
        <f>IFERROR(__xludf.DUMMYFUNCTION("GOOGLETRANSLATE(A19483, ""en"", ""mt"")"),"L-Alpi")</f>
        <v>L-Alpi</v>
      </c>
    </row>
    <row r="19484" ht="15.75" customHeight="1">
      <c r="A19484" s="2" t="s">
        <v>19484</v>
      </c>
      <c r="B19484" s="2" t="str">
        <f>IFERROR(__xludf.DUMMYFUNCTION("GOOGLETRANSLATE(A19484, ""en"", ""mt"")"),"Uża Sickles biex tiddefla wieħed mill-koppji l-kbar li jkopru żewġ platti bis-satellita")</f>
        <v>Uża Sickles biex tiddefla wieħed mill-koppji l-kbar li jkopru żewġ platti bis-satellita</v>
      </c>
    </row>
    <row r="19485" ht="15.75" customHeight="1">
      <c r="A19485" s="2" t="s">
        <v>19485</v>
      </c>
      <c r="B19485" s="2" t="str">
        <f>IFERROR(__xludf.DUMMYFUNCTION("GOOGLETRANSLATE(A19485, ""en"", ""mt"")"),"universitajiet")</f>
        <v>universitajiet</v>
      </c>
    </row>
    <row r="19486" ht="15.75" customHeight="1">
      <c r="A19486" s="2" t="s">
        <v>19486</v>
      </c>
      <c r="B19486" s="2" t="str">
        <f>IFERROR(__xludf.DUMMYFUNCTION("GOOGLETRANSLATE(A19486, ""en"", ""mt"")"),"Awtoritajiet Temporali")</f>
        <v>Awtoritajiet Temporali</v>
      </c>
    </row>
    <row r="19487" ht="15.75" customHeight="1">
      <c r="A19487" s="2" t="s">
        <v>19487</v>
      </c>
      <c r="B19487" s="2" t="str">
        <f>IFERROR(__xludf.DUMMYFUNCTION("GOOGLETRANSLATE(A19487, ""en"", ""mt"")"),"Liema żewġ komposti al-MuwaffAQ iddifferenzjaw bejniethom?")</f>
        <v>Liema żewġ komposti al-MuwaffAQ iddifferenzjaw bejniethom?</v>
      </c>
    </row>
    <row r="19488" ht="15.75" customHeight="1">
      <c r="A19488" s="2" t="s">
        <v>19488</v>
      </c>
      <c r="B19488" s="2" t="str">
        <f>IFERROR(__xludf.DUMMYFUNCTION("GOOGLETRANSLATE(A19488, ""en"", ""mt"")"),"In-Nofsinhar ta ’California fiha klima Mediterranja, b’xi xita mhux frekwenti u ħafna ġranet xemxija. Is-Sjuf huma sħan u niexfa, filwaqt li x-xtiewi huma daqsxejn sħan jew ħfief u mxarrbin. Xita serja tista 'sseħħ mhux tas-soltu. Fis-sjuf, il-firxiet tat"&amp;"-temperatura huma 90-60's waqt li x-xtiewi huma 70-50's, ġeneralment in-Nofsinhar ta 'California għandhom klima Mediterranja. Iżda s-silġ huwa rari ħafna fil-Lbiċ ta 'l-Istat, dan iseħħ fix-Xlokk ta' l-Istat.")</f>
        <v>In-Nofsinhar ta ’California fiha klima Mediterranja, b’xi xita mhux frekwenti u ħafna ġranet xemxija. Is-Sjuf huma sħan u niexfa, filwaqt li x-xtiewi huma daqsxejn sħan jew ħfief u mxarrbin. Xita serja tista 'sseħħ mhux tas-soltu. Fis-sjuf, il-firxiet tat-temperatura huma 90-60's waqt li x-xtiewi huma 70-50's, ġeneralment in-Nofsinhar ta 'California għandhom klima Mediterranja. Iżda s-silġ huwa rari ħafna fil-Lbiċ ta 'l-Istat, dan iseħħ fix-Xlokk ta' l-Istat.</v>
      </c>
    </row>
    <row r="19489" ht="15.75" customHeight="1">
      <c r="A19489" s="2" t="s">
        <v>19489</v>
      </c>
      <c r="B19489" s="2" t="str">
        <f>IFERROR(__xludf.DUMMYFUNCTION("GOOGLETRANSLATE(A19489, ""en"", ""mt"")"),"Replika ta 'liema monument kien preżenti fis-Super Bowl tal-ftuħ tal-lejl?")</f>
        <v>Replika ta 'liema monument kien preżenti fis-Super Bowl tal-ftuħ tal-lejl?</v>
      </c>
    </row>
    <row r="19490" ht="15.75" customHeight="1">
      <c r="A19490" s="2" t="s">
        <v>19490</v>
      </c>
      <c r="B19490" s="2" t="str">
        <f>IFERROR(__xludf.DUMMYFUNCTION("GOOGLETRANSLATE(A19490, ""en"", ""mt"")"),"Liema entità ABC biegħet lil KXYZ fl-1983?")</f>
        <v>Liema entità ABC biegħet lil KXYZ fl-1983?</v>
      </c>
    </row>
    <row r="19491" ht="15.75" customHeight="1">
      <c r="A19491" s="2" t="s">
        <v>19491</v>
      </c>
      <c r="B19491" s="2" t="str">
        <f>IFERROR(__xludf.DUMMYFUNCTION("GOOGLETRANSLATE(A19491, ""en"", ""mt"")"),"Kalamita qawwija")</f>
        <v>Kalamita qawwija</v>
      </c>
    </row>
    <row r="19492" ht="15.75" customHeight="1">
      <c r="A19492" s="2" t="s">
        <v>19492</v>
      </c>
      <c r="B19492" s="2" t="str">
        <f>IFERROR(__xludf.DUMMYFUNCTION("GOOGLETRANSLATE(A19492, ""en"", ""mt"")"),"X'jistgħu juru maġġoranza kbira ta 'blat li ttieħdu kampjuni mill-qamar?")</f>
        <v>X'jistgħu juru maġġoranza kbira ta 'blat li ttieħdu kampjuni mill-qamar?</v>
      </c>
    </row>
    <row r="19493" ht="15.75" customHeight="1">
      <c r="A19493" s="2" t="s">
        <v>19493</v>
      </c>
      <c r="B19493" s="2" t="str">
        <f>IFERROR(__xludf.DUMMYFUNCTION("GOOGLETRANSLATE(A19493, ""en"", ""mt"")"),"Liema gerijiet intuża fuq magni tal-baħar tat-turbina tal-fwar fis-seklu 20?")</f>
        <v>Liema gerijiet intuża fuq magni tal-baħar tat-turbina tal-fwar fis-seklu 20?</v>
      </c>
    </row>
    <row r="19494" ht="15.75" customHeight="1">
      <c r="A19494" s="2" t="s">
        <v>19494</v>
      </c>
      <c r="B19494" s="2" t="str">
        <f>IFERROR(__xludf.DUMMYFUNCTION("GOOGLETRANSLATE(A19494, ""en"", ""mt"")"),"għibien")</f>
        <v>għibien</v>
      </c>
    </row>
    <row r="19495" ht="15.75" customHeight="1">
      <c r="A19495" s="2" t="s">
        <v>19495</v>
      </c>
      <c r="B19495" s="2" t="str">
        <f>IFERROR(__xludf.DUMMYFUNCTION("GOOGLETRANSLATE(A19495, ""en"", ""mt"")"),"Minn liema innu preċedenti ġie adattat minn Luther?")</f>
        <v>Minn liema innu preċedenti ġie adattat minn Luther?</v>
      </c>
    </row>
    <row r="19496" ht="15.75" customHeight="1">
      <c r="A19496" s="2" t="s">
        <v>19496</v>
      </c>
      <c r="B19496" s="2" t="str">
        <f>IFERROR(__xludf.DUMMYFUNCTION("GOOGLETRANSLATE(A19496, ""en"", ""mt"")"),"f’moħħu.")</f>
        <v>f’moħħu.</v>
      </c>
    </row>
    <row r="19497" ht="15.75" customHeight="1">
      <c r="A19497" s="2" t="s">
        <v>19497</v>
      </c>
      <c r="B19497" s="2" t="str">
        <f>IFERROR(__xludf.DUMMYFUNCTION("GOOGLETRANSLATE(A19497, ""en"", ""mt"")"),"Università ta ’Pariġi")</f>
        <v>Università ta ’Pariġi</v>
      </c>
    </row>
    <row r="19498" ht="15.75" customHeight="1">
      <c r="A19498" s="2" t="s">
        <v>19498</v>
      </c>
      <c r="B19498" s="2" t="str">
        <f>IFERROR(__xludf.DUMMYFUNCTION("GOOGLETRANSLATE(A19498, ""en"", ""mt"")"),"Bejn Brakel u liema belt oħra tista 'tiġi skoperta l-iktar influwenza tal-marea fuq l-art?")</f>
        <v>Bejn Brakel u liema belt oħra tista 'tiġi skoperta l-iktar influwenza tal-marea fuq l-art?</v>
      </c>
    </row>
    <row r="19499" ht="15.75" customHeight="1">
      <c r="A19499" s="2" t="s">
        <v>19499</v>
      </c>
      <c r="B19499" s="2" t="str">
        <f>IFERROR(__xludf.DUMMYFUNCTION("GOOGLETRANSLATE(A19499, ""en"", ""mt"")"),"dial-up")</f>
        <v>dial-up</v>
      </c>
    </row>
    <row r="19500" ht="15.75" customHeight="1">
      <c r="A19500" s="2" t="s">
        <v>19500</v>
      </c>
      <c r="B19500" s="2" t="str">
        <f>IFERROR(__xludf.DUMMYFUNCTION("GOOGLETRANSLATE(A19500, ""en"", ""mt"")"),"Tang, Song, kif ukoll Khitan Liao u Jurchen Jin Dynasties")</f>
        <v>Tang, Song, kif ukoll Khitan Liao u Jurchen Jin Dynasties</v>
      </c>
    </row>
    <row r="19501" ht="15.75" customHeight="1">
      <c r="A19501" s="2" t="s">
        <v>19501</v>
      </c>
      <c r="B19501" s="2" t="str">
        <f>IFERROR(__xludf.DUMMYFUNCTION("GOOGLETRANSLATE(A19501, ""en"", ""mt"")"),"Meta Tesla ltaqgħet l-ewwel darba Alfred S. Brown")</f>
        <v>Meta Tesla ltaqgħet l-ewwel darba Alfred S. Brown</v>
      </c>
    </row>
    <row r="19502" ht="15.75" customHeight="1">
      <c r="A19502" s="2" t="s">
        <v>19502</v>
      </c>
      <c r="B19502" s="2" t="str">
        <f>IFERROR(__xludf.DUMMYFUNCTION("GOOGLETRANSLATE(A19502, ""en"", ""mt"")"),"700,000")</f>
        <v>700,000</v>
      </c>
    </row>
    <row r="19503" ht="15.75" customHeight="1">
      <c r="A19503" s="2" t="s">
        <v>19503</v>
      </c>
      <c r="B19503" s="2" t="str">
        <f>IFERROR(__xludf.DUMMYFUNCTION("GOOGLETRANSLATE(A19503, ""en"", ""mt"")"),"Ix-xjentisti kif vvalutaw id-DNA / RNA ta 'Yersinia pestis?")</f>
        <v>Ix-xjentisti kif vvalutaw id-DNA / RNA ta 'Yersinia pestis?</v>
      </c>
    </row>
    <row r="19504" ht="15.75" customHeight="1">
      <c r="A19504" s="2" t="s">
        <v>19504</v>
      </c>
      <c r="B19504" s="2" t="str">
        <f>IFERROR(__xludf.DUMMYFUNCTION("GOOGLETRANSLATE(A19504, ""en"", ""mt"")"),"Ġestjoni fqira, diviżjonijiet interni, u scouts Kanadiżi effettivi, forzi regolari Franċiżi, u alleati tal-gwerriera Indjani")</f>
        <v>Ġestjoni fqira, diviżjonijiet interni, u scouts Kanadiżi effettivi, forzi regolari Franċiżi, u alleati tal-gwerriera Indjani</v>
      </c>
    </row>
    <row r="19505" ht="15.75" customHeight="1">
      <c r="A19505" s="2" t="s">
        <v>19505</v>
      </c>
      <c r="B19505" s="2" t="str">
        <f>IFERROR(__xludf.DUMMYFUNCTION("GOOGLETRANSLATE(A19505, ""en"", ""mt"")"),"Liema artikolu TFEU jiddikjara li l-istati huma eżentati milli jiksru d-drittijiet ta 'stabbiliment meta jeżerċitaw awtorità uffiċjali?")</f>
        <v>Liema artikolu TFEU jiddikjara li l-istati huma eżentati milli jiksru d-drittijiet ta 'stabbiliment meta jeżerċitaw awtorità uffiċjali?</v>
      </c>
    </row>
    <row r="19506" ht="15.75" customHeight="1">
      <c r="A19506" s="2" t="s">
        <v>19506</v>
      </c>
      <c r="B19506" s="2" t="str">
        <f>IFERROR(__xludf.DUMMYFUNCTION("GOOGLETRANSLATE(A19506, ""en"", ""mt"")"),"Meta l-ewwel ħareġ mis-sodda wara l-inċident?")</f>
        <v>Meta l-ewwel ħareġ mis-sodda wara l-inċident?</v>
      </c>
    </row>
    <row r="19507" ht="15.75" customHeight="1">
      <c r="A19507" s="2" t="s">
        <v>19507</v>
      </c>
      <c r="B19507" s="2" t="str">
        <f>IFERROR(__xludf.DUMMYFUNCTION("GOOGLETRANSLATE(A19507, ""en"", ""mt"")"),"Meta l-ekonomisti waslu għal konklużjoni mal-aġenzija tal-klassifikazzjoni tal-S &amp; P?")</f>
        <v>Meta l-ekonomisti waslu għal konklużjoni mal-aġenzija tal-klassifikazzjoni tal-S &amp; P?</v>
      </c>
    </row>
    <row r="19508" ht="15.75" customHeight="1">
      <c r="A19508" s="2" t="s">
        <v>19508</v>
      </c>
      <c r="B19508" s="2" t="str">
        <f>IFERROR(__xludf.DUMMYFUNCTION("GOOGLETRANSLATE(A19508, ""en"", ""mt"")"),"Liema poteri għandha l-Qorti tal-Ġustizzja tal-Unjoni Ewropea fir-rigward tat-trattati?")</f>
        <v>Liema poteri għandha l-Qorti tal-Ġustizzja tal-Unjoni Ewropea fir-rigward tat-trattati?</v>
      </c>
    </row>
    <row r="19509" ht="15.75" customHeight="1">
      <c r="A19509" s="2" t="s">
        <v>19509</v>
      </c>
      <c r="B19509" s="2" t="str">
        <f>IFERROR(__xludf.DUMMYFUNCTION("GOOGLETRANSLATE(A19509, ""en"", ""mt"")"),"2012")</f>
        <v>2012</v>
      </c>
    </row>
    <row r="19510" ht="15.75" customHeight="1">
      <c r="A19510" s="2" t="s">
        <v>19510</v>
      </c>
      <c r="B19510" s="2" t="str">
        <f>IFERROR(__xludf.DUMMYFUNCTION("GOOGLETRANSLATE(A19510, ""en"", ""mt"")"),"biex toqgħod, sakemm kien hemm mill-inqas ""indirett quid pro quo"" għax-xogħol li għamel")</f>
        <v>biex toqgħod, sakemm kien hemm mill-inqas "indirett quid pro quo" għax-xogħol li għamel</v>
      </c>
    </row>
    <row r="19511" ht="15.75" customHeight="1">
      <c r="A19511" s="2" t="s">
        <v>19511</v>
      </c>
      <c r="B19511" s="2" t="str">
        <f>IFERROR(__xludf.DUMMYFUNCTION("GOOGLETRANSLATE(A19511, ""en"", ""mt"")"),"id-dispożizzjoni tal-effetti personali tal-priġunieri")</f>
        <v>id-dispożizzjoni tal-effetti personali tal-priġunieri</v>
      </c>
    </row>
    <row r="19512" ht="15.75" customHeight="1">
      <c r="A19512" s="2" t="s">
        <v>19512</v>
      </c>
      <c r="B19512" s="2" t="str">
        <f>IFERROR(__xludf.DUMMYFUNCTION("GOOGLETRANSLATE(A19512, ""en"", ""mt"")"),"X'hemm enfasizza ""The Holy Club""?")</f>
        <v>X'hemm enfasizza "The Holy Club"?</v>
      </c>
    </row>
    <row r="19513" ht="15.75" customHeight="1">
      <c r="A19513" s="2" t="s">
        <v>19513</v>
      </c>
      <c r="B19513" s="2" t="str">
        <f>IFERROR(__xludf.DUMMYFUNCTION("GOOGLETRANSLATE(A19513, ""en"", ""mt"")"),"Liema pajjiż huwa alleat tradizzjonali ta 'Iżrael?")</f>
        <v>Liema pajjiż huwa alleat tradizzjonali ta 'Iżrael?</v>
      </c>
    </row>
    <row r="19514" ht="15.75" customHeight="1">
      <c r="A19514" s="2" t="s">
        <v>19514</v>
      </c>
      <c r="B19514" s="2" t="str">
        <f>IFERROR(__xludf.DUMMYFUNCTION("GOOGLETRANSLATE(A19514, ""en"", ""mt"")"),"ABC sar kompetitur aggressiv għal NBC u CBS meta, kontinwa t-tradizzjonijiet tas-servizz pubbliku tal-NBC Blue, xandar wirjiet sinfoniċi mmexxija minn Paul Whiteman, wirjiet mill-opra metropolitana, u kunċerti tal-jazz imxandra bħala parti mix-xandira tas"&amp;"-Soċjetà tal-Mużika tal-Kamra tagħha ta 'Lower Triq il-Baċin imħabbra minn Milton Cross. In-netwerk sar magħruf ukoll għal drammi suspenseful bħal Sherlock Holmes, Gang Busters u Counterspy, kif ukoll għal diversi programmi orjentati lejn iż-żgħażagħ ta '"&amp;"nofsinhar. Madankollu, ABC għamel isem għalih innifsu billi uża l-prattika ta 'kontroprogrammazzjoni, li magħha ħafna drabi poġġa wirjiet tagħha stess kontra l-offerti ta' NBC u CBS, billi adotta l-użu tat-tape recorder tal-manjetofon, miġjub fl-Istati Un"&amp;"iti mill-Ġermanja Nażista wara konkwista, biex tirrekordja minn qabel l-ipprogrammar tagħha. Bl-għajnuna tal-manjetofon, ABC irnexxielu jipprovdi l-istilel tiegħu b'ħin akbar f'termini ta 'żmien, u jattira wkoll diversi ismijiet kbar, bħal Bing Crosby fi "&amp;"żmien meta NBC u CBS ma ppermettewx wirjiet ta' qabel it-taped.")</f>
        <v>ABC sar kompetitur aggressiv għal NBC u CBS meta, kontinwa t-tradizzjonijiet tas-servizz pubbliku tal-NBC Blue, xandar wirjiet sinfoniċi mmexxija minn Paul Whiteman, wirjiet mill-opra metropolitana, u kunċerti tal-jazz imxandra bħala parti mix-xandira tas-Soċjetà tal-Mużika tal-Kamra tagħha ta 'Lower Triq il-Baċin imħabbra minn Milton Cross. In-netwerk sar magħruf ukoll għal drammi suspenseful bħal Sherlock Holmes, Gang Busters u Counterspy, kif ukoll għal diversi programmi orjentati lejn iż-żgħażagħ ta 'nofsinhar. Madankollu, ABC għamel isem għalih innifsu billi uża l-prattika ta 'kontroprogrammazzjoni, li magħha ħafna drabi poġġa wirjiet tagħha stess kontra l-offerti ta' NBC u CBS, billi adotta l-użu tat-tape recorder tal-manjetofon, miġjub fl-Istati Uniti mill-Ġermanja Nażista wara konkwista, biex tirrekordja minn qabel l-ipprogrammar tagħha. Bl-għajnuna tal-manjetofon, ABC irnexxielu jipprovdi l-istilel tiegħu b'ħin akbar f'termini ta 'żmien, u jattira wkoll diversi ismijiet kbar, bħal Bing Crosby fi żmien meta NBC u CBS ma ppermettewx wirjiet ta' qabel it-taped.</v>
      </c>
    </row>
    <row r="19515" ht="15.75" customHeight="1">
      <c r="A19515" s="2" t="s">
        <v>19515</v>
      </c>
      <c r="B19515" s="2" t="str">
        <f>IFERROR(__xludf.DUMMYFUNCTION("GOOGLETRANSLATE(A19515, ""en"", ""mt"")"),"Liema attur lagħab il-Valeyard?")</f>
        <v>Liema attur lagħab il-Valeyard?</v>
      </c>
    </row>
    <row r="19516" ht="15.75" customHeight="1">
      <c r="A19516" s="2" t="s">
        <v>19516</v>
      </c>
      <c r="B19516" s="2" t="str">
        <f>IFERROR(__xludf.DUMMYFUNCTION("GOOGLETRANSLATE(A19516, ""en"", ""mt"")"),"X'tum l-armata Mongoljana fil-katapulti tagħhom?")</f>
        <v>X'tum l-armata Mongoljana fil-katapulti tagħhom?</v>
      </c>
    </row>
    <row r="19517" ht="15.75" customHeight="1">
      <c r="A19517" s="2" t="s">
        <v>19517</v>
      </c>
      <c r="B19517" s="2" t="str">
        <f>IFERROR(__xludf.DUMMYFUNCTION("GOOGLETRANSLATE(A19517, ""en"", ""mt"")"),"Kemm idum biex tasal fin-nofs ta 'Newcastle mill-periferija tagħha meta riekeb il-binarji?")</f>
        <v>Kemm idum biex tasal fin-nofs ta 'Newcastle mill-periferija tagħha meta riekeb il-binarji?</v>
      </c>
    </row>
    <row r="19518" ht="15.75" customHeight="1">
      <c r="A19518" s="2" t="s">
        <v>19518</v>
      </c>
      <c r="B19518" s="2" t="str">
        <f>IFERROR(__xludf.DUMMYFUNCTION("GOOGLETRANSLATE(A19518, ""en"", ""mt"")"),"Diversi eluf")</f>
        <v>Diversi eluf</v>
      </c>
    </row>
    <row r="19519" ht="15.75" customHeight="1">
      <c r="A19519" s="2" t="s">
        <v>19519</v>
      </c>
      <c r="B19519" s="2" t="str">
        <f>IFERROR(__xludf.DUMMYFUNCTION("GOOGLETRANSLATE(A19519, ""en"", ""mt"")"),"Amazon")</f>
        <v>Amazon</v>
      </c>
    </row>
    <row r="19520" ht="15.75" customHeight="1">
      <c r="A19520" s="2" t="s">
        <v>19520</v>
      </c>
      <c r="B19520" s="2" t="str">
        <f>IFERROR(__xludf.DUMMYFUNCTION("GOOGLETRANSLATE(A19520, ""en"", ""mt"")"),"Għall-Konservattivi, id-diżappunt ewlieni kien it-telf ta 'Edinburgh Pentlands, is-sede tal-eks mexxej tal-partit David McLetchie, għall-SNP. McLetchie ġiet eletta fil-lista reġjonali Lothian u l-Konservattivi sofrew telf nett ta 'ħames siġġijiet, bil-mex"&amp;"xejja Annabel Goldie sostniet li l-appoġġ tagħhom kien kellu sod. Minkejja dan, hi wkoll ħabbret li kienet se tonqos bħala mexxej tal-partit. Cameron feraħ lill-SNP għar-rebħa tagħhom iżda wegħdet li tagħmel kampanja għall-Unjoni fir-referendum tal-Indipe"&amp;"ndenza.")</f>
        <v>Għall-Konservattivi, id-diżappunt ewlieni kien it-telf ta 'Edinburgh Pentlands, is-sede tal-eks mexxej tal-partit David McLetchie, għall-SNP. McLetchie ġiet eletta fil-lista reġjonali Lothian u l-Konservattivi sofrew telf nett ta 'ħames siġġijiet, bil-mexxejja Annabel Goldie sostniet li l-appoġġ tagħhom kien kellu sod. Minkejja dan, hi wkoll ħabbret li kienet se tonqos bħala mexxej tal-partit. Cameron feraħ lill-SNP għar-rebħa tagħhom iżda wegħdet li tagħmel kampanja għall-Unjoni fir-referendum tal-Indipendenza.</v>
      </c>
    </row>
    <row r="19521" ht="15.75" customHeight="1">
      <c r="A19521" s="2" t="s">
        <v>19521</v>
      </c>
      <c r="B19521" s="2" t="str">
        <f>IFERROR(__xludf.DUMMYFUNCTION("GOOGLETRANSLATE(A19521, ""en"", ""mt"")"),"waħda")</f>
        <v>waħda</v>
      </c>
    </row>
    <row r="19522" ht="15.75" customHeight="1">
      <c r="A19522" s="2" t="s">
        <v>19522</v>
      </c>
      <c r="B19522" s="2" t="str">
        <f>IFERROR(__xludf.DUMMYFUNCTION("GOOGLETRANSLATE(A19522, ""en"", ""mt"")"),"ABC Entertainment Group")</f>
        <v>ABC Entertainment Group</v>
      </c>
    </row>
    <row r="19523" ht="15.75" customHeight="1">
      <c r="A19523" s="2" t="s">
        <v>19523</v>
      </c>
      <c r="B19523" s="2" t="str">
        <f>IFERROR(__xludf.DUMMYFUNCTION("GOOGLETRANSLATE(A19523, ""en"", ""mt"")"),"Kemm kien fadal ħin fil-kwart meta Stewart kiseb l-illandjar?")</f>
        <v>Kemm kien fadal ħin fil-kwart meta Stewart kiseb l-illandjar?</v>
      </c>
    </row>
    <row r="19524" ht="15.75" customHeight="1">
      <c r="A19524" s="2" t="s">
        <v>19524</v>
      </c>
      <c r="B19524" s="2" t="str">
        <f>IFERROR(__xludf.DUMMYFUNCTION("GOOGLETRANSLATE(A19524, ""en"", ""mt"")"),"Il-Maroons jikkompetu f'liema diviżjoni tal-kampjonat?")</f>
        <v>Il-Maroons jikkompetu f'liema diviżjoni tal-kampjonat?</v>
      </c>
    </row>
    <row r="19525" ht="15.75" customHeight="1">
      <c r="A19525" s="2" t="s">
        <v>19525</v>
      </c>
      <c r="B19525" s="2" t="str">
        <f>IFERROR(__xludf.DUMMYFUNCTION("GOOGLETRANSLATE(A19525, ""en"", ""mt"")"),"il-piż tagħha")</f>
        <v>il-piż tagħha</v>
      </c>
    </row>
    <row r="19526" ht="15.75" customHeight="1">
      <c r="A19526" s="2" t="s">
        <v>19526</v>
      </c>
      <c r="B19526" s="2" t="str">
        <f>IFERROR(__xludf.DUMMYFUNCTION("GOOGLETRANSLATE(A19526, ""en"", ""mt"")"),"Min rebaħ il-battalja tal-Lag George?")</f>
        <v>Min rebaħ il-battalja tal-Lag George?</v>
      </c>
    </row>
    <row r="19527" ht="15.75" customHeight="1">
      <c r="A19527" s="2" t="s">
        <v>19527</v>
      </c>
      <c r="B19527" s="2" t="str">
        <f>IFERROR(__xludf.DUMMYFUNCTION("GOOGLETRANSLATE(A19527, ""en"", ""mt"")"),"Kleru u teologi Luterani")</f>
        <v>Kleru u teologi Luterani</v>
      </c>
    </row>
    <row r="19528" ht="15.75" customHeight="1">
      <c r="A19528" s="2" t="s">
        <v>19528</v>
      </c>
      <c r="B19528" s="2" t="str">
        <f>IFERROR(__xludf.DUMMYFUNCTION("GOOGLETRANSLATE(A19528, ""en"", ""mt"")"),"Assassinju tal-President Amerikan John F. Kennedy")</f>
        <v>Assassinju tal-President Amerikan John F. Kennedy</v>
      </c>
    </row>
    <row r="19529" ht="15.75" customHeight="1">
      <c r="A19529" s="2" t="s">
        <v>19529</v>
      </c>
      <c r="B19529" s="2" t="str">
        <f>IFERROR(__xludf.DUMMYFUNCTION("GOOGLETRANSLATE(A19529, ""en"", ""mt"")"),"Rhine-Meuse Delta")</f>
        <v>Rhine-Meuse Delta</v>
      </c>
    </row>
    <row r="19530" ht="15.75" customHeight="1">
      <c r="A19530" s="2" t="s">
        <v>19530</v>
      </c>
      <c r="B19530" s="2" t="str">
        <f>IFERROR(__xludf.DUMMYFUNCTION("GOOGLETRANSLATE(A19530, ""en"", ""mt"")"),"Kemm sakemm il-gvern tal-Istati Uniti kien involut b'mod attiv fl-isforzi biex jiġu miġġielda l-Iżlamiżmu?")</f>
        <v>Kemm sakemm il-gvern tal-Istati Uniti kien involut b'mod attiv fl-isforzi biex jiġu miġġielda l-Iżlamiżmu?</v>
      </c>
    </row>
    <row r="19531" ht="15.75" customHeight="1">
      <c r="A19531" s="2" t="s">
        <v>19531</v>
      </c>
      <c r="B19531" s="2" t="str">
        <f>IFERROR(__xludf.DUMMYFUNCTION("GOOGLETRANSLATE(A19531, ""en"", ""mt"")"),"Eroj ta ’Lixandra")</f>
        <v>Eroj ta ’Lixandra</v>
      </c>
    </row>
    <row r="19532" ht="15.75" customHeight="1">
      <c r="A19532" s="2" t="s">
        <v>19532</v>
      </c>
      <c r="B19532" s="2" t="str">
        <f>IFERROR(__xludf.DUMMYFUNCTION("GOOGLETRANSLATE(A19532, ""en"", ""mt"")"),"X’għamel Luther fl-aħħar tad-diskors tiegħu?")</f>
        <v>X’għamel Luther fl-aħħar tad-diskors tiegħu?</v>
      </c>
    </row>
    <row r="19533" ht="15.75" customHeight="1">
      <c r="A19533" s="2" t="s">
        <v>19533</v>
      </c>
      <c r="B19533" s="2" t="str">
        <f>IFERROR(__xludf.DUMMYFUNCTION("GOOGLETRANSLATE(A19533, ""en"", ""mt"")"),"X'inhu t-titlu ta 'Edwards Book About Luther?")</f>
        <v>X'inhu t-titlu ta 'Edwards Book About Luther?</v>
      </c>
    </row>
    <row r="19534" ht="15.75" customHeight="1">
      <c r="A19534" s="2" t="s">
        <v>19534</v>
      </c>
      <c r="B19534" s="2" t="str">
        <f>IFERROR(__xludf.DUMMYFUNCTION("GOOGLETRANSLATE(A19534, ""en"", ""mt"")"),"NBC")</f>
        <v>NBC</v>
      </c>
    </row>
    <row r="19535" ht="15.75" customHeight="1">
      <c r="A19535" s="2" t="s">
        <v>19535</v>
      </c>
      <c r="B19535" s="2" t="str">
        <f>IFERROR(__xludf.DUMMYFUNCTION("GOOGLETRANSLATE(A19535, ""en"", ""mt"")"),"Professjonist tal-Kura tas-Saħħa")</f>
        <v>Professjonist tal-Kura tas-Saħħa</v>
      </c>
    </row>
    <row r="19536" ht="15.75" customHeight="1">
      <c r="A19536" s="2" t="s">
        <v>19536</v>
      </c>
      <c r="B19536" s="2" t="str">
        <f>IFERROR(__xludf.DUMMYFUNCTION("GOOGLETRANSLATE(A19536, ""en"", ""mt"")"),"Ħafna bidliet fil-veġetazzjoni tal-Amazon Rainforest seħħew mill-aħħar massimu glaċjali, li kien kemm snin ilu?")</f>
        <v>Ħafna bidliet fil-veġetazzjoni tal-Amazon Rainforest seħħew mill-aħħar massimu glaċjali, li kien kemm snin ilu?</v>
      </c>
    </row>
    <row r="19537" ht="15.75" customHeight="1">
      <c r="A19537" s="2" t="s">
        <v>19537</v>
      </c>
      <c r="B19537" s="2" t="str">
        <f>IFERROR(__xludf.DUMMYFUNCTION("GOOGLETRANSLATE(A19537, ""en"", ""mt"")"),"X’għamel għal $ 2 kuljum?")</f>
        <v>X’għamel għal $ 2 kuljum?</v>
      </c>
    </row>
    <row r="19538" ht="15.75" customHeight="1">
      <c r="A19538" s="2" t="s">
        <v>19538</v>
      </c>
      <c r="B19538" s="2" t="str">
        <f>IFERROR(__xludf.DUMMYFUNCTION("GOOGLETRANSLATE(A19538, ""en"", ""mt"")"),"b'suċċess")</f>
        <v>b'suċċess</v>
      </c>
    </row>
    <row r="19539" ht="15.75" customHeight="1">
      <c r="A19539" s="2" t="s">
        <v>19539</v>
      </c>
      <c r="B19539" s="2" t="str">
        <f>IFERROR(__xludf.DUMMYFUNCTION("GOOGLETRANSLATE(A19539, ""en"", ""mt"")"),"16,000")</f>
        <v>16,000</v>
      </c>
    </row>
    <row r="19540" ht="15.75" customHeight="1">
      <c r="A19540" s="2" t="s">
        <v>19540</v>
      </c>
      <c r="B19540" s="2" t="str">
        <f>IFERROR(__xludf.DUMMYFUNCTION("GOOGLETRANSLATE(A19540, ""en"", ""mt"")"),"Għal liema tip ta 'mużika kien it-tabib li kien ikkunsidra pijunier?")</f>
        <v>Għal liema tip ta 'mużika kien it-tabib li kien ikkunsidra pijunier?</v>
      </c>
    </row>
    <row r="19541" ht="15.75" customHeight="1">
      <c r="A19541" s="2" t="s">
        <v>19541</v>
      </c>
      <c r="B19541" s="2" t="str">
        <f>IFERROR(__xludf.DUMMYFUNCTION("GOOGLETRANSLATE(A19541, ""en"", ""mt"")"),"Liema belt għandha l-akbar port intern fl-Ewropa?")</f>
        <v>Liema belt għandha l-akbar port intern fl-Ewropa?</v>
      </c>
    </row>
    <row r="19542" ht="15.75" customHeight="1">
      <c r="A19542" s="2" t="s">
        <v>19542</v>
      </c>
      <c r="B19542" s="2" t="str">
        <f>IFERROR(__xludf.DUMMYFUNCTION("GOOGLETRANSLATE(A19542, ""en"", ""mt"")"),"X'inhuma ż-żewġ affiljati ABC għal Grand Rapids Michigan?")</f>
        <v>X'inhuma ż-żewġ affiljati ABC għal Grand Rapids Michigan?</v>
      </c>
    </row>
    <row r="19543" ht="15.75" customHeight="1">
      <c r="A19543" s="2" t="s">
        <v>19543</v>
      </c>
      <c r="B19543" s="2" t="str">
        <f>IFERROR(__xludf.DUMMYFUNCTION("GOOGLETRANSLATE(A19543, ""en"", ""mt"")"),"Mistoqsija Lothian tal-Punent")</f>
        <v>Mistoqsija Lothian tal-Punent</v>
      </c>
    </row>
    <row r="19544" ht="15.75" customHeight="1">
      <c r="A19544" s="2" t="s">
        <v>19544</v>
      </c>
      <c r="B19544" s="2" t="str">
        <f>IFERROR(__xludf.DUMMYFUNCTION("GOOGLETRANSLATE(A19544, ""en"", ""mt"")"),"850")</f>
        <v>850</v>
      </c>
    </row>
    <row r="19545" ht="15.75" customHeight="1">
      <c r="A19545" s="2" t="s">
        <v>19545</v>
      </c>
      <c r="B19545" s="2" t="str">
        <f>IFERROR(__xludf.DUMMYFUNCTION("GOOGLETRANSLATE(A19545, ""en"", ""mt"")"),"Liema diviżjoni amministrattiva Kublai ħalliet mhux modifikata?")</f>
        <v>Liema diviżjoni amministrattiva Kublai ħalliet mhux modifikata?</v>
      </c>
    </row>
    <row r="19546" ht="15.75" customHeight="1">
      <c r="A19546" s="2" t="s">
        <v>19546</v>
      </c>
      <c r="B19546" s="2" t="str">
        <f>IFERROR(__xludf.DUMMYFUNCTION("GOOGLETRANSLATE(A19546, ""en"", ""mt"")"),"sistema magħluqa ta 'partiċelli")</f>
        <v>sistema magħluqa ta 'partiċelli</v>
      </c>
    </row>
    <row r="19547" ht="15.75" customHeight="1">
      <c r="A19547" s="2" t="s">
        <v>19547</v>
      </c>
      <c r="B19547" s="2" t="str">
        <f>IFERROR(__xludf.DUMMYFUNCTION("GOOGLETRANSLATE(A19547, ""en"", ""mt"")"),"X'inhi l-pożizzjoni tas-satellita li ppermettiet lil Sky ixandar il-kanali kważi elclusively għar-Renju Unit?")</f>
        <v>X'inhi l-pożizzjoni tas-satellita li ppermettiet lil Sky ixandar il-kanali kważi elclusively għar-Renju Unit?</v>
      </c>
    </row>
    <row r="19548" ht="15.75" customHeight="1">
      <c r="A19548" s="2" t="s">
        <v>19548</v>
      </c>
      <c r="B19548" s="2" t="str">
        <f>IFERROR(__xludf.DUMMYFUNCTION("GOOGLETRANSLATE(A19548, ""en"", ""mt"")"),"X'kienet waħda mill-aktar kitbiet personali ta 'Luther?")</f>
        <v>X'kienet waħda mill-aktar kitbiet personali ta 'Luther?</v>
      </c>
    </row>
    <row r="19549" ht="15.75" customHeight="1">
      <c r="A19549" s="2" t="s">
        <v>19549</v>
      </c>
      <c r="B19549" s="2" t="str">
        <f>IFERROR(__xludf.DUMMYFUNCTION("GOOGLETRANSLATE(A19549, ""en"", ""mt"")"),"Min se jaljena l-okkupazzjoni?")</f>
        <v>Min se jaljena l-okkupazzjoni?</v>
      </c>
    </row>
    <row r="19550" ht="15.75" customHeight="1">
      <c r="A19550" s="2" t="s">
        <v>19550</v>
      </c>
      <c r="B19550" s="2" t="str">
        <f>IFERROR(__xludf.DUMMYFUNCTION("GOOGLETRANSLATE(A19550, ""en"", ""mt"")"),"Tien Shan")</f>
        <v>Tien Shan</v>
      </c>
    </row>
    <row r="19551" ht="15.75" customHeight="1">
      <c r="A19551" s="2" t="s">
        <v>19551</v>
      </c>
      <c r="B19551" s="2" t="str">
        <f>IFERROR(__xludf.DUMMYFUNCTION("GOOGLETRANSLATE(A19551, ""en"", ""mt"")"),"Jekk is-soluzzjoni tagħha teħtieġ riżorsi sinifikanti")</f>
        <v>Jekk is-soluzzjoni tagħha teħtieġ riżorsi sinifikanti</v>
      </c>
    </row>
    <row r="19552" ht="15.75" customHeight="1">
      <c r="A19552" s="2" t="s">
        <v>19552</v>
      </c>
      <c r="B19552" s="2" t="str">
        <f>IFERROR(__xludf.DUMMYFUNCTION("GOOGLETRANSLATE(A19552, ""en"", ""mt"")"),"Kumitati tas-suġġetti attwali")</f>
        <v>Kumitati tas-suġġetti attwali</v>
      </c>
    </row>
    <row r="19553" ht="15.75" customHeight="1">
      <c r="A19553" s="2" t="s">
        <v>19553</v>
      </c>
      <c r="B19553" s="2" t="str">
        <f>IFERROR(__xludf.DUMMYFUNCTION("GOOGLETRANSLATE(A19553, ""en"", ""mt"")"),"Prince Wonjong")</f>
        <v>Prince Wonjong</v>
      </c>
    </row>
    <row r="19554" ht="15.75" customHeight="1">
      <c r="A19554" s="2" t="s">
        <v>19554</v>
      </c>
      <c r="B19554" s="2" t="str">
        <f>IFERROR(__xludf.DUMMYFUNCTION("GOOGLETRANSLATE(A19554, ""en"", ""mt"")"),"Shing-Tung Yau")</f>
        <v>Shing-Tung Yau</v>
      </c>
    </row>
    <row r="19555" ht="15.75" customHeight="1">
      <c r="A19555" s="2" t="s">
        <v>19555</v>
      </c>
      <c r="B19555" s="2" t="str">
        <f>IFERROR(__xludf.DUMMYFUNCTION("GOOGLETRANSLATE(A19555, ""en"", ""mt"")"),"aktar minn nofs")</f>
        <v>aktar minn nofs</v>
      </c>
    </row>
    <row r="19556" ht="15.75" customHeight="1">
      <c r="A19556" s="2" t="s">
        <v>19556</v>
      </c>
      <c r="B19556" s="2" t="str">
        <f>IFERROR(__xludf.DUMMYFUNCTION("GOOGLETRANSLATE(A19556, ""en"", ""mt"")"),"42,000 kongregazzjoni")</f>
        <v>42,000 kongregazzjoni</v>
      </c>
    </row>
    <row r="19557" ht="15.75" customHeight="1">
      <c r="A19557" s="2" t="s">
        <v>19557</v>
      </c>
      <c r="B19557" s="2" t="str">
        <f>IFERROR(__xludf.DUMMYFUNCTION("GOOGLETRANSLATE(A19557, ""en"", ""mt"")"),"Meta seħħ l-inċident?")</f>
        <v>Meta seħħ l-inċident?</v>
      </c>
    </row>
    <row r="19558" ht="15.75" customHeight="1">
      <c r="A19558" s="2" t="s">
        <v>19558</v>
      </c>
      <c r="B19558" s="2" t="str">
        <f>IFERROR(__xludf.DUMMYFUNCTION("GOOGLETRANSLATE(A19558, ""en"", ""mt"")"),"41 ° C.")</f>
        <v>41 ° C.</v>
      </c>
    </row>
    <row r="19559" ht="15.75" customHeight="1">
      <c r="A19559" s="2" t="s">
        <v>19559</v>
      </c>
      <c r="B19559" s="2" t="str">
        <f>IFERROR(__xludf.DUMMYFUNCTION("GOOGLETRANSLATE(A19559, ""en"", ""mt"")"),"Kien hemm ħafna reliġjonijiet ipprattikati matul id-dinastija Yuan, bħall-Buddiżmu, l-Islam, u l-Kristjaneżmu. L-istabbiliment tad-dinastija Yuan kien żied b'mod drammatiku n-numru ta 'Musulmani fiċ-Ċina. Madankollu, b'differenza mill-Khanates tal-Punent,"&amp;" id-dinastija Yuan qatt ma kkonvertiet għall-Iżlam. Minflok, Kublai Khan, il-fundatur tad-dinastija Yuan, iffavorixxa l-Buddiżmu, speċjalment il-varjanti tat-Tibet. Bħala riżultat, il-Buddiżmu Tibetan ġie stabbilit bħala r-reliġjon tal-istat de facto. Id-"&amp;"dipartiment tal-ogħla livell u l-aġenzija tal-gvern magħrufa bħala l-Bureau tal-Affarijiet Buddisti u Tibetani (Xuanzheng Yuan) twaqqfet f'Khanbaliq (Modern Beijing) biex tissorvelja patrijiet Buddisti fl-imperu kollu. Peress li Kublai Khan stma biss is-s"&amp;"etta Sakya tal-Buddiżmu Tibetan, reliġjonijiet oħra saru inqas importanti. Huwa u s-suċċessuri tiegħu żammew il-preċettur imperjali Sakya (dixx) fil-qorti. Qabel it-tmiem tad-dinastija Yuan, 14-il mexxej tas-setta Sakya kellhom il-kariga ta 'preċettur imp"&amp;"erjali, u b'hekk igawdu poter speċjali. Barra minn hekk, il-patroċinju Mongoljan tal-Buddiżmu rriżulta f'numru ta 'monumenti ta' arti Buddista. It-traduzzjonijiet Buddisti Mongoljani, kważi kollha mill-oriġinali tat-Tibet, bdew fuq skala kbira wara l-1300"&amp;". Ħafna Mongoli tal-klassi ta ’fuq bħall-Jalayir u n-nobbli Oronar kif ukoll l-imperaturi wkoll patronizzaw studjużi u istituzzjonijiet Confucian. Numru konsiderevoli ta 'xogħlijiet storiċi Confucian u Ċiniżi ġew tradotti fil-lingwa Mongoljana.")</f>
        <v>Kien hemm ħafna reliġjonijiet ipprattikati matul id-dinastija Yuan, bħall-Buddiżmu, l-Islam, u l-Kristjaneżmu. L-istabbiliment tad-dinastija Yuan kien żied b'mod drammatiku n-numru ta 'Musulmani fiċ-Ċina. Madankollu, b'differenza mill-Khanates tal-Punent, id-dinastija Yuan qatt ma kkonvertiet għall-Iżlam. Minflok, Kublai Khan, il-fundatur tad-dinastija Yuan, iffavorixxa l-Buddiżmu, speċjalment il-varjanti tat-Tibet. Bħala riżultat, il-Buddiżmu Tibetan ġie stabbilit bħala r-reliġjon tal-istat de facto. Id-dipartiment tal-ogħla livell u l-aġenzija tal-gvern magħrufa bħala l-Bureau tal-Affarijiet Buddisti u Tibetani (Xuanzheng Yuan) twaqqfet f'Khanbaliq (Modern Beijing) biex tissorvelja patrijiet Buddisti fl-imperu kollu. Peress li Kublai Khan stma biss is-setta Sakya tal-Buddiżmu Tibetan, reliġjonijiet oħra saru inqas importanti. Huwa u s-suċċessuri tiegħu żammew il-preċettur imperjali Sakya (dixx) fil-qorti. Qabel it-tmiem tad-dinastija Yuan, 14-il mexxej tas-setta Sakya kellhom il-kariga ta 'preċettur imperjali, u b'hekk igawdu poter speċjali. Barra minn hekk, il-patroċinju Mongoljan tal-Buddiżmu rriżulta f'numru ta 'monumenti ta' arti Buddista. It-traduzzjonijiet Buddisti Mongoljani, kważi kollha mill-oriġinali tat-Tibet, bdew fuq skala kbira wara l-1300. Ħafna Mongoli tal-klassi ta ’fuq bħall-Jalayir u n-nobbli Oronar kif ukoll l-imperaturi wkoll patronizzaw studjużi u istituzzjonijiet Confucian. Numru konsiderevoli ta 'xogħlijiet storiċi Confucian u Ċiniżi ġew tradotti fil-lingwa Mongoljana.</v>
      </c>
    </row>
    <row r="19560" ht="15.75" customHeight="1">
      <c r="A19560" s="2" t="s">
        <v>19560</v>
      </c>
      <c r="B19560" s="2" t="str">
        <f>IFERROR(__xludf.DUMMYFUNCTION("GOOGLETRANSLATE(A19560, ""en"", ""mt"")"),"Spiżeriji onlajn")</f>
        <v>Spiżeriji onlajn</v>
      </c>
    </row>
    <row r="19561" ht="15.75" customHeight="1">
      <c r="A19561" s="2" t="s">
        <v>19561</v>
      </c>
      <c r="B19561" s="2" t="str">
        <f>IFERROR(__xludf.DUMMYFUNCTION("GOOGLETRANSLATE(A19561, ""en"", ""mt"")"),"X'inhu l-istatus attwali tal-istudju Haensch?")</f>
        <v>X'inhu l-istatus attwali tal-istudju Haensch?</v>
      </c>
    </row>
    <row r="19562" ht="15.75" customHeight="1">
      <c r="A19562" s="2" t="s">
        <v>19562</v>
      </c>
      <c r="B19562" s="2" t="str">
        <f>IFERROR(__xludf.DUMMYFUNCTION("GOOGLETRANSLATE(A19562, ""en"", ""mt"")"),"il-Qorti Ewropea tal-Ġustizzja u l-ogħla qrati nazzjonali")</f>
        <v>il-Qorti Ewropea tal-Ġustizzja u l-ogħla qrati nazzjonali</v>
      </c>
    </row>
    <row r="19563" ht="15.75" customHeight="1">
      <c r="A19563" s="2" t="s">
        <v>19563</v>
      </c>
      <c r="B19563" s="2" t="str">
        <f>IFERROR(__xludf.DUMMYFUNCTION("GOOGLETRANSLATE(A19563, ""en"", ""mt"")"),"René-Robert Cavelier, Sieur de la Salle kien esplora l-pajjiż ta 'Ohio kważi seklu qabel.")</f>
        <v>René-Robert Cavelier, Sieur de la Salle kien esplora l-pajjiż ta 'Ohio kważi seklu qabel.</v>
      </c>
    </row>
    <row r="19564" ht="15.75" customHeight="1">
      <c r="A19564" s="2" t="s">
        <v>19564</v>
      </c>
      <c r="B19564" s="2" t="str">
        <f>IFERROR(__xludf.DUMMYFUNCTION("GOOGLETRANSLATE(A19564, ""en"", ""mt"")"),"idub")</f>
        <v>idub</v>
      </c>
    </row>
    <row r="19565" ht="15.75" customHeight="1">
      <c r="A19565" s="2" t="s">
        <v>19565</v>
      </c>
      <c r="B19565" s="2" t="str">
        <f>IFERROR(__xludf.DUMMYFUNCTION("GOOGLETRANSLATE(A19565, ""en"", ""mt"")"),"Il-pjan li d-delegati qablu li qatt ma ġie rratifikat mil-leġiżlaturi kolonjali u lanqas approvat mill-Kuruna")</f>
        <v>Il-pjan li d-delegati qablu li qatt ma ġie rratifikat mil-leġiżlaturi kolonjali u lanqas approvat mill-Kuruna</v>
      </c>
    </row>
    <row r="19566" ht="15.75" customHeight="1">
      <c r="A19566" s="2" t="s">
        <v>19566</v>
      </c>
      <c r="B19566" s="2" t="str">
        <f>IFERROR(__xludf.DUMMYFUNCTION("GOOGLETRANSLATE(A19566, ""en"", ""mt"")"),"Kapaċità tat-tarka tas-sħana tal-modulu tal-kmand biex tibqa 'ħajja mill-ġdid trans-lunari")</f>
        <v>Kapaċità tat-tarka tas-sħana tal-modulu tal-kmand biex tibqa 'ħajja mill-ġdid trans-lunari</v>
      </c>
    </row>
    <row r="19567" ht="15.75" customHeight="1">
      <c r="A19567" s="2" t="s">
        <v>19567</v>
      </c>
      <c r="B19567" s="2" t="str">
        <f>IFERROR(__xludf.DUMMYFUNCTION("GOOGLETRANSLATE(A19567, ""en"", ""mt"")"),"kien jipproduċi wkoll dokument kostituzzjonali wieħed")</f>
        <v>kien jipproduċi wkoll dokument kostituzzjonali wieħed</v>
      </c>
    </row>
    <row r="19568" ht="15.75" customHeight="1">
      <c r="A19568" s="2" t="s">
        <v>19568</v>
      </c>
      <c r="B19568" s="2" t="str">
        <f>IFERROR(__xludf.DUMMYFUNCTION("GOOGLETRANSLATE(A19568, ""en"", ""mt"")"),"Il-V &amp; A għandha l-akbar ġabra ta 'liema perjodu fl-istorja tal-arti skulturika?")</f>
        <v>Il-V &amp; A għandha l-akbar ġabra ta 'liema perjodu fl-istorja tal-arti skulturika?</v>
      </c>
    </row>
    <row r="19569" ht="15.75" customHeight="1">
      <c r="A19569" s="2" t="s">
        <v>19569</v>
      </c>
      <c r="B19569" s="2" t="str">
        <f>IFERROR(__xludf.DUMMYFUNCTION("GOOGLETRANSLATE(A19569, ""en"", ""mt"")"),"Żona Amorfa tal-Ewropa Ċentrali")</f>
        <v>Żona Amorfa tal-Ewropa Ċentrali</v>
      </c>
    </row>
    <row r="19570" ht="15.75" customHeight="1">
      <c r="A19570" s="2" t="s">
        <v>19570</v>
      </c>
      <c r="B19570" s="2" t="str">
        <f>IFERROR(__xludf.DUMMYFUNCTION("GOOGLETRANSLATE(A19570, ""en"", ""mt"")"),"aktar attiva u għex itwal waqt li tieħu n-nifs")</f>
        <v>aktar attiva u għex itwal waqt li tieħu n-nifs</v>
      </c>
    </row>
    <row r="19571" ht="15.75" customHeight="1">
      <c r="A19571" s="2" t="s">
        <v>19571</v>
      </c>
      <c r="B19571" s="2" t="str">
        <f>IFERROR(__xludf.DUMMYFUNCTION("GOOGLETRANSLATE(A19571, ""en"", ""mt"")"),"mitħna tad-dqiq")</f>
        <v>mitħna tad-dqiq</v>
      </c>
    </row>
    <row r="19572" ht="15.75" customHeight="1">
      <c r="A19572" s="2" t="s">
        <v>19572</v>
      </c>
      <c r="B19572" s="2" t="str">
        <f>IFERROR(__xludf.DUMMYFUNCTION("GOOGLETRANSLATE(A19572, ""en"", ""mt"")"),"Minbarra li tippubblika lin-nobbli Nisranija tan-nazzjon Ġermaniż u fuq il-magħluq Babilonjan tal-knisja, liema xogħol ieħor Luther ipproduċa fl-1520?")</f>
        <v>Minbarra li tippubblika lin-nobbli Nisranija tan-nazzjon Ġermaniż u fuq il-magħluq Babilonjan tal-knisja, liema xogħol ieħor Luther ipproduċa fl-1520?</v>
      </c>
    </row>
    <row r="19573" ht="15.75" customHeight="1">
      <c r="A19573" s="2" t="s">
        <v>19573</v>
      </c>
      <c r="B19573" s="2" t="str">
        <f>IFERROR(__xludf.DUMMYFUNCTION("GOOGLETRANSLATE(A19573, ""en"", ""mt"")"),"Għin biex tittrasferixxi u tinħela l-enerġija żejda")</f>
        <v>Għin biex tittrasferixxi u tinħela l-enerġija żejda</v>
      </c>
    </row>
    <row r="19574" ht="15.75" customHeight="1">
      <c r="A19574" s="2" t="s">
        <v>19574</v>
      </c>
      <c r="B19574" s="2" t="str">
        <f>IFERROR(__xludf.DUMMYFUNCTION("GOOGLETRANSLATE(A19574, ""en"", ""mt"")"),"Fl-1949, ABC kellha inqas kopertura minn liema netwerks li jikkompetu?")</f>
        <v>Fl-1949, ABC kellha inqas kopertura minn liema netwerks li jikkompetu?</v>
      </c>
    </row>
    <row r="19575" ht="15.75" customHeight="1">
      <c r="A19575" s="2" t="s">
        <v>19575</v>
      </c>
      <c r="B19575" s="2" t="str">
        <f>IFERROR(__xludf.DUMMYFUNCTION("GOOGLETRANSLATE(A19575, ""en"", ""mt"")"),"id-deżert")</f>
        <v>id-deżert</v>
      </c>
    </row>
    <row r="19576" ht="15.75" customHeight="1">
      <c r="A19576" s="2" t="s">
        <v>19576</v>
      </c>
      <c r="B19576" s="2" t="str">
        <f>IFERROR(__xludf.DUMMYFUNCTION("GOOGLETRANSLATE(A19576, ""en"", ""mt"")"),"X'kienet it-telfa tat-truppi Għarab f'idejn it-truppi Iżraeljani matul il-gwerra ta 'sitt ijiem?")</f>
        <v>X'kienet it-telfa tat-truppi Għarab f'idejn it-truppi Iżraeljani matul il-gwerra ta 'sitt ijiem?</v>
      </c>
    </row>
    <row r="19577" ht="15.75" customHeight="1">
      <c r="A19577" s="2" t="s">
        <v>19577</v>
      </c>
      <c r="B19577" s="2" t="str">
        <f>IFERROR(__xludf.DUMMYFUNCTION("GOOGLETRANSLATE(A19577, ""en"", ""mt"")"),"akbar minn $ 2 miljun")</f>
        <v>akbar minn $ 2 miljun</v>
      </c>
    </row>
    <row r="19578" ht="15.75" customHeight="1">
      <c r="A19578" s="2" t="s">
        <v>19578</v>
      </c>
      <c r="B19578" s="2" t="str">
        <f>IFERROR(__xludf.DUMMYFUNCTION("GOOGLETRANSLATE(A19578, ""en"", ""mt"")"),"Ted Ginn Jr.")</f>
        <v>Ted Ginn Jr.</v>
      </c>
    </row>
    <row r="19579" ht="15.75" customHeight="1">
      <c r="A19579" s="2" t="s">
        <v>19579</v>
      </c>
      <c r="B19579" s="2" t="str">
        <f>IFERROR(__xludf.DUMMYFUNCTION("GOOGLETRANSLATE(A19579, ""en"", ""mt"")"),"30–75%")</f>
        <v>30–75%</v>
      </c>
    </row>
    <row r="19580" ht="15.75" customHeight="1">
      <c r="A19580" s="2" t="s">
        <v>19580</v>
      </c>
      <c r="B19580" s="2" t="str">
        <f>IFERROR(__xludf.DUMMYFUNCTION("GOOGLETRANSLATE(A19580, ""en"", ""mt"")"),"F'nofs is-snin 1950, Frank Burnet, ispirat minn suġġeriment magħmul minn Niels Jerne, ifformula t-teorija tal-għażla klonali (CST) tal-immunità. Fuq il-bażi ta 'CST, Burnet żviluppa teorija ta' kif rispons immuni huwa kkawżat skond id-distinzjoni ta 'self"&amp;" / nonself: kostitwenti ""awto"" (kostitwenti tal-ġisem) ma jikkawżawx risponsi immuni distruttivi, filwaqt li ""nonself"" entitajiet (patoġeni, allograft) iqanqal rispons immuni distruttiv. It-teorija ġiet modifikata aktar tard biex tirrifletti skoperti "&amp;"ġodda rigward l-istokompatibilità jew l-attivazzjoni kumplessa ""b'żewġ sinjali"" taċ-ċelloli T. It-teorija ta 'l-immunità u n-nuqqas ta' l-immunità u l-vokabularju nfisha / nonself ġew ikkritikati, iżda jibqgħu influwenti ħafna.")</f>
        <v>F'nofs is-snin 1950, Frank Burnet, ispirat minn suġġeriment magħmul minn Niels Jerne, ifformula t-teorija tal-għażla klonali (CST) tal-immunità. Fuq il-bażi ta 'CST, Burnet żviluppa teorija ta' kif rispons immuni huwa kkawżat skond id-distinzjoni ta 'self / nonself: kostitwenti "awto" (kostitwenti tal-ġisem) ma jikkawżawx risponsi immuni distruttivi, filwaqt li "nonself" entitajiet (patoġeni, allograft) iqanqal rispons immuni distruttiv. It-teorija ġiet modifikata aktar tard biex tirrifletti skoperti ġodda rigward l-istokompatibilità jew l-attivazzjoni kumplessa "b'żewġ sinjali" taċ-ċelloli T. It-teorija ta 'l-immunità u n-nuqqas ta' l-immunità u l-vokabularju nfisha / nonself ġew ikkritikati, iżda jibqgħu influwenti ħafna.</v>
      </c>
    </row>
    <row r="19581" ht="15.75" customHeight="1">
      <c r="A19581" s="2" t="s">
        <v>19581</v>
      </c>
      <c r="B19581" s="2" t="str">
        <f>IFERROR(__xludf.DUMMYFUNCTION("GOOGLETRANSLATE(A19581, ""en"", ""mt"")"),"Ali Shariati")</f>
        <v>Ali Shariati</v>
      </c>
    </row>
    <row r="19582" ht="15.75" customHeight="1">
      <c r="A19582" s="2" t="s">
        <v>19582</v>
      </c>
      <c r="B19582" s="2" t="str">
        <f>IFERROR(__xludf.DUMMYFUNCTION("GOOGLETRANSLATE(A19582, ""en"", ""mt"")"),"Liema persentaġġ ta 'siġġijiet identifikaw il-partiti politiċi hekk kif irbaħ l-Iżlamisti fl-elezzjoni Parlamentari Eġizzjana tal-2011-2012?")</f>
        <v>Liema persentaġġ ta 'siġġijiet identifikaw il-partiti politiċi hekk kif irbaħ l-Iżlamisti fl-elezzjoni Parlamentari Eġizzjana tal-2011-2012?</v>
      </c>
    </row>
    <row r="19583" ht="15.75" customHeight="1">
      <c r="A19583" s="2" t="s">
        <v>19583</v>
      </c>
      <c r="B19583" s="2" t="str">
        <f>IFERROR(__xludf.DUMMYFUNCTION("GOOGLETRANSLATE(A19583, ""en"", ""mt"")"),"1421")</f>
        <v>1421</v>
      </c>
    </row>
    <row r="19584" ht="15.75" customHeight="1">
      <c r="A19584" s="2" t="s">
        <v>19584</v>
      </c>
      <c r="B19584" s="2" t="str">
        <f>IFERROR(__xludf.DUMMYFUNCTION("GOOGLETRANSLATE(A19584, ""en"", ""mt"")"),"territorju mhux esplorat")</f>
        <v>territorju mhux esplorat</v>
      </c>
    </row>
    <row r="19585" ht="15.75" customHeight="1">
      <c r="A19585" s="2" t="s">
        <v>19585</v>
      </c>
      <c r="B19585" s="2" t="str">
        <f>IFERROR(__xludf.DUMMYFUNCTION("GOOGLETRANSLATE(A19585, ""en"", ""mt"")"),"Front Unifikat fil-Kummerċ u n-Negozjati ma 'Diversi Indjani")</f>
        <v>Front Unifikat fil-Kummerċ u n-Negozjati ma 'Diversi Indjani</v>
      </c>
    </row>
    <row r="19586" ht="15.75" customHeight="1">
      <c r="A19586" s="2" t="s">
        <v>19586</v>
      </c>
      <c r="B19586" s="2" t="str">
        <f>IFERROR(__xludf.DUMMYFUNCTION("GOOGLETRANSLATE(A19586, ""en"", ""mt"")"),"Ħtieġa għall-ekonomiji kapitalisti biex kontinwament jespandu l-investiment, ir-riżorsi materjali u l-ħaddiema")</f>
        <v>Ħtieġa għall-ekonomiji kapitalisti biex kontinwament jespandu l-investiment, ir-riżorsi materjali u l-ħaddiema</v>
      </c>
    </row>
    <row r="19587" ht="15.75" customHeight="1">
      <c r="A19587" s="2" t="s">
        <v>19587</v>
      </c>
      <c r="B19587" s="2" t="str">
        <f>IFERROR(__xludf.DUMMYFUNCTION("GOOGLETRANSLATE(A19587, ""en"", ""mt"")"),"Iċ-ċelloli T Delta Gamma jirranġaw il-ġeni TCR biex jipproduċu xiex?")</f>
        <v>Iċ-ċelloli T Delta Gamma jirranġaw il-ġeni TCR biex jipproduċu xiex?</v>
      </c>
    </row>
    <row r="19588" ht="15.75" customHeight="1">
      <c r="A19588" s="2" t="s">
        <v>19588</v>
      </c>
      <c r="B19588" s="2" t="str">
        <f>IFERROR(__xludf.DUMMYFUNCTION("GOOGLETRANSLATE(A19588, ""en"", ""mt"")"),"L-epidemija fi Newcastle kienet l-iktar liema f'xi belt Ingliża dak iż-żmien?")</f>
        <v>L-epidemija fi Newcastle kienet l-iktar liema f'xi belt Ingliża dak iż-żmien?</v>
      </c>
    </row>
    <row r="19589" ht="15.75" customHeight="1">
      <c r="A19589" s="2" t="s">
        <v>19589</v>
      </c>
      <c r="B19589" s="2" t="str">
        <f>IFERROR(__xludf.DUMMYFUNCTION("GOOGLETRANSLATE(A19589, ""en"", ""mt"")"),"Kteis 'comb' u φέρω pherō 'iġorru'")</f>
        <v>Kteis 'comb' u φέρω pherō 'iġorru'</v>
      </c>
    </row>
    <row r="19590" ht="15.75" customHeight="1">
      <c r="A19590" s="2" t="s">
        <v>19590</v>
      </c>
      <c r="B19590" s="2" t="str">
        <f>IFERROR(__xludf.DUMMYFUNCTION("GOOGLETRANSLATE(A19590, ""en"", ""mt"")"),"mingħajr ekwipaġġ")</f>
        <v>mingħajr ekwipaġġ</v>
      </c>
    </row>
    <row r="19591" ht="15.75" customHeight="1">
      <c r="A19591" s="2" t="s">
        <v>19591</v>
      </c>
      <c r="B19591" s="2" t="str">
        <f>IFERROR(__xludf.DUMMYFUNCTION("GOOGLETRANSLATE(A19591, ""en"", ""mt"")"),"Alfred Wegener")</f>
        <v>Alfred Wegener</v>
      </c>
    </row>
    <row r="19592" ht="15.75" customHeight="1">
      <c r="A19592" s="2" t="s">
        <v>19592</v>
      </c>
      <c r="B19592" s="2" t="str">
        <f>IFERROR(__xludf.DUMMYFUNCTION("GOOGLETRANSLATE(A19592, ""en"", ""mt"")"),"Yuán Cháo")</f>
        <v>Yuán Cháo</v>
      </c>
    </row>
    <row r="19593" ht="15.75" customHeight="1">
      <c r="A19593" s="2" t="s">
        <v>19593</v>
      </c>
      <c r="B19593" s="2" t="str">
        <f>IFERROR(__xludf.DUMMYFUNCTION("GOOGLETRANSLATE(A19593, ""en"", ""mt"")"),"sawm, sigħat twal fit-talb, pellegrinaġġ, u konfessjoni frekwenti")</f>
        <v>sawm, sigħat twal fit-talb, pellegrinaġġ, u konfessjoni frekwenti</v>
      </c>
    </row>
    <row r="19594" ht="15.75" customHeight="1">
      <c r="A19594" s="2" t="s">
        <v>19594</v>
      </c>
      <c r="B19594" s="2" t="str">
        <f>IFERROR(__xludf.DUMMYFUNCTION("GOOGLETRANSLATE(A19594, ""en"", ""mt"")"),"Wara liema sena kienet qed tgħaqqad ta 'spiss fil-magni tal-baħar?")</f>
        <v>Wara liema sena kienet qed tgħaqqad ta 'spiss fil-magni tal-baħar?</v>
      </c>
    </row>
    <row r="19595" ht="15.75" customHeight="1">
      <c r="A19595" s="2" t="s">
        <v>19595</v>
      </c>
      <c r="B19595" s="2" t="str">
        <f>IFERROR(__xludf.DUMMYFUNCTION("GOOGLETRANSLATE(A19595, ""en"", ""mt"")"),"Meta Victoria ppromulgat il-Kostituzzjoni tagħha?")</f>
        <v>Meta Victoria ppromulgat il-Kostituzzjoni tagħha?</v>
      </c>
    </row>
    <row r="19596" ht="15.75" customHeight="1">
      <c r="A19596" s="2" t="s">
        <v>19596</v>
      </c>
      <c r="B19596" s="2" t="str">
        <f>IFERROR(__xludf.DUMMYFUNCTION("GOOGLETRANSLATE(A19596, ""en"", ""mt"")"),"Kien mitlub regolament tar-Rhine, b'kanal ta 'fuq ħdejn Diepoldsau u kanal aktar baxx f'Fußach, sabiex tiġi miġġielda l-għargħar kostanti u s-sedimentazzjoni qawwija fid-delta tar-Renu tal-Punent. Id-Dornbirner ACh kellu jiġi ddevjat ukoll, u issa joħroġ "&amp;"paralleli mar-Rhine kanalizzata fil-lag. L-ilma tiegħu għandu kulur iktar skur mir-Rhine; It-tagħbija sospiża eħfef ta 'dan tal-aħħar ġejja minn ogħla' l fuq mill-muntanji. Huwa mistenni li l-input kontinwu tas-sediment fil-lag se joħroġ il-lag. Dan diġà "&amp;"ġara lill-eks Lag Tuggenersee.")</f>
        <v>Kien mitlub regolament tar-Rhine, b'kanal ta 'fuq ħdejn Diepoldsau u kanal aktar baxx f'Fußach, sabiex tiġi miġġielda l-għargħar kostanti u s-sedimentazzjoni qawwija fid-delta tar-Renu tal-Punent. Id-Dornbirner ACh kellu jiġi ddevjat ukoll, u issa joħroġ paralleli mar-Rhine kanalizzata fil-lag. L-ilma tiegħu għandu kulur iktar skur mir-Rhine; It-tagħbija sospiża eħfef ta 'dan tal-aħħar ġejja minn ogħla' l fuq mill-muntanji. Huwa mistenni li l-input kontinwu tas-sediment fil-lag se joħroġ il-lag. Dan diġà ġara lill-eks Lag Tuggenersee.</v>
      </c>
    </row>
    <row r="19597" ht="15.75" customHeight="1">
      <c r="A19597" s="2" t="s">
        <v>19597</v>
      </c>
      <c r="B19597" s="2" t="str">
        <f>IFERROR(__xludf.DUMMYFUNCTION("GOOGLETRANSLATE(A19597, ""en"", ""mt"")"),"Edukazzjoni u Taħriġ Speċjalizzat")</f>
        <v>Edukazzjoni u Taħriġ Speċjalizzat</v>
      </c>
    </row>
    <row r="19598" ht="15.75" customHeight="1">
      <c r="A19598" s="2" t="s">
        <v>19598</v>
      </c>
      <c r="B19598" s="2" t="str">
        <f>IFERROR(__xludf.DUMMYFUNCTION("GOOGLETRANSLATE(A19598, ""en"", ""mt"")"),"rwoli tas-sessi u drawwiet")</f>
        <v>rwoli tas-sessi u drawwiet</v>
      </c>
    </row>
    <row r="19599" ht="15.75" customHeight="1">
      <c r="A19599" s="2" t="s">
        <v>19599</v>
      </c>
      <c r="B19599" s="2" t="str">
        <f>IFERROR(__xludf.DUMMYFUNCTION("GOOGLETRANSLATE(A19599, ""en"", ""mt"")"),"ċelloli tal-parenchyma")</f>
        <v>ċelloli tal-parenchyma</v>
      </c>
    </row>
    <row r="19600" ht="15.75" customHeight="1">
      <c r="A19600" s="2" t="s">
        <v>19600</v>
      </c>
      <c r="B19600" s="2" t="str">
        <f>IFERROR(__xludf.DUMMYFUNCTION("GOOGLETRANSLATE(A19600, ""en"", ""mt"")"),"Il-Lega tan-Nazzjonijiet")</f>
        <v>Il-Lega tan-Nazzjonijiet</v>
      </c>
    </row>
    <row r="19601" ht="15.75" customHeight="1">
      <c r="A19601" s="2" t="s">
        <v>19601</v>
      </c>
      <c r="B19601" s="2" t="str">
        <f>IFERROR(__xludf.DUMMYFUNCTION("GOOGLETRANSLATE(A19601, ""en"", ""mt"")"),"Chinghiz, Chinghis, u Chingiz")</f>
        <v>Chinghiz, Chinghis, u Chingiz</v>
      </c>
    </row>
    <row r="19602" ht="15.75" customHeight="1">
      <c r="A19602" s="2" t="s">
        <v>19602</v>
      </c>
      <c r="B19602" s="2" t="str">
        <f>IFERROR(__xludf.DUMMYFUNCTION("GOOGLETRANSLATE(A19602, ""en"", ""mt"")"),"Ġebel tal-kliewi u tal-bużżieqa")</f>
        <v>Ġebel tal-kliewi u tal-bużżieqa</v>
      </c>
    </row>
    <row r="19603" ht="15.75" customHeight="1">
      <c r="A19603" s="2" t="s">
        <v>19603</v>
      </c>
      <c r="B19603" s="2" t="str">
        <f>IFERROR(__xludf.DUMMYFUNCTION("GOOGLETRANSLATE(A19603, ""en"", ""mt"")"),"il-metodu li bih il-mediċini huma mitluba u riċevuti")</f>
        <v>il-metodu li bih il-mediċini huma mitluba u riċevuti</v>
      </c>
    </row>
    <row r="19604" ht="15.75" customHeight="1">
      <c r="A19604" s="2" t="s">
        <v>19604</v>
      </c>
      <c r="B19604" s="2" t="str">
        <f>IFERROR(__xludf.DUMMYFUNCTION("GOOGLETRANSLATE(A19604, ""en"", ""mt"")"),"Chicago Bears")</f>
        <v>Chicago Bears</v>
      </c>
    </row>
    <row r="19605" ht="15.75" customHeight="1">
      <c r="A19605" s="2" t="s">
        <v>19605</v>
      </c>
      <c r="B19605" s="2" t="str">
        <f>IFERROR(__xludf.DUMMYFUNCTION("GOOGLETRANSLATE(A19605, ""en"", ""mt"")"),"ħdejn Millingen Aan de Rijn")</f>
        <v>ħdejn Millingen Aan de Rijn</v>
      </c>
    </row>
    <row r="19606" ht="15.75" customHeight="1">
      <c r="A19606" s="2" t="s">
        <v>19606</v>
      </c>
      <c r="B19606" s="2" t="str">
        <f>IFERROR(__xludf.DUMMYFUNCTION("GOOGLETRANSLATE(A19606, ""en"", ""mt"")"),"Londonistan")</f>
        <v>Londonistan</v>
      </c>
    </row>
    <row r="19607" ht="15.75" customHeight="1">
      <c r="A19607" s="2" t="s">
        <v>19607</v>
      </c>
      <c r="B19607" s="2" t="str">
        <f>IFERROR(__xludf.DUMMYFUNCTION("GOOGLETRANSLATE(A19607, ""en"", ""mt"")"),"Iċ-Cestida")</f>
        <v>Iċ-Cestida</v>
      </c>
    </row>
    <row r="19608" ht="15.75" customHeight="1">
      <c r="A19608" s="2" t="s">
        <v>19608</v>
      </c>
      <c r="B19608" s="2" t="str">
        <f>IFERROR(__xludf.DUMMYFUNCTION("GOOGLETRANSLATE(A19608, ""en"", ""mt"")"),"Il-Papa u d-Duttrina tat-Transubstantjazzjoni")</f>
        <v>Il-Papa u d-Duttrina tat-Transubstantjazzjoni</v>
      </c>
    </row>
    <row r="19609" ht="15.75" customHeight="1">
      <c r="A19609" s="2" t="s">
        <v>19609</v>
      </c>
      <c r="B19609" s="2" t="str">
        <f>IFERROR(__xludf.DUMMYFUNCTION("GOOGLETRANSLATE(A19609, ""en"", ""mt"")"),"proporzjonijiet ta 'iżotopi ta' elementi radjuattivi")</f>
        <v>proporzjonijiet ta 'iżotopi ta' elementi radjuattivi</v>
      </c>
    </row>
    <row r="19610" ht="15.75" customHeight="1">
      <c r="A19610" s="2" t="s">
        <v>19610</v>
      </c>
      <c r="B19610" s="2" t="str">
        <f>IFERROR(__xludf.DUMMYFUNCTION("GOOGLETRANSLATE(A19610, ""en"", ""mt"")"),"qatlu ħafna mill-Kanadiżi, inkluż l-uffiċjal kmandant tagħhom, Joseph Coulon de Jumonville")</f>
        <v>qatlu ħafna mill-Kanadiżi, inkluż l-uffiċjal kmandant tagħhom, Joseph Coulon de Jumonville</v>
      </c>
    </row>
    <row r="19611" ht="15.75" customHeight="1">
      <c r="A19611" s="2" t="s">
        <v>19611</v>
      </c>
      <c r="B19611" s="2" t="str">
        <f>IFERROR(__xludf.DUMMYFUNCTION("GOOGLETRANSLATE(A19611, ""en"", ""mt"")"),"tnaqqis")</f>
        <v>tnaqqis</v>
      </c>
    </row>
    <row r="19612" ht="15.75" customHeight="1">
      <c r="A19612" s="2" t="s">
        <v>19612</v>
      </c>
      <c r="B19612" s="2" t="str">
        <f>IFERROR(__xludf.DUMMYFUNCTION("GOOGLETRANSLATE(A19612, ""en"", ""mt"")"),"biex tiflaħ il-mewġ u l-partiċelli tas-sediment li jdawru")</f>
        <v>biex tiflaħ il-mewġ u l-partiċelli tas-sediment li jdawru</v>
      </c>
    </row>
    <row r="19613" ht="15.75" customHeight="1">
      <c r="A19613" s="2" t="s">
        <v>19613</v>
      </c>
      <c r="B19613" s="2" t="str">
        <f>IFERROR(__xludf.DUMMYFUNCTION("GOOGLETRANSLATE(A19613, ""en"", ""mt"")"),"il-leġittimità ta 'kwalunkwe gvern")</f>
        <v>il-leġittimità ta 'kwalunkwe gvern</v>
      </c>
    </row>
    <row r="19614" ht="15.75" customHeight="1">
      <c r="A19614" s="2" t="s">
        <v>19614</v>
      </c>
      <c r="B19614" s="2" t="str">
        <f>IFERROR(__xludf.DUMMYFUNCTION("GOOGLETRANSLATE(A19614, ""en"", ""mt"")"),"Il-kloroplasti kif huma simili għal mitokondrija?")</f>
        <v>Il-kloroplasti kif huma simili għal mitokondrija?</v>
      </c>
    </row>
    <row r="19615" ht="15.75" customHeight="1">
      <c r="A19615" s="2" t="s">
        <v>19615</v>
      </c>
      <c r="B19615" s="2" t="str">
        <f>IFERROR(__xludf.DUMMYFUNCTION("GOOGLETRANSLATE(A19615, ""en"", ""mt"")"),"Bach")</f>
        <v>Bach</v>
      </c>
    </row>
    <row r="19616" ht="15.75" customHeight="1">
      <c r="A19616" s="2" t="s">
        <v>19616</v>
      </c>
      <c r="B19616" s="2" t="str">
        <f>IFERROR(__xludf.DUMMYFUNCTION("GOOGLETRANSLATE(A19616, ""en"", ""mt"")"),"X'għandhom il-formola FTSZ1 u FTSZ2 Plus Arc6?")</f>
        <v>X'għandhom il-formola FTSZ1 u FTSZ2 Plus Arc6?</v>
      </c>
    </row>
    <row r="19617" ht="15.75" customHeight="1">
      <c r="A19617" s="2" t="s">
        <v>19617</v>
      </c>
      <c r="B19617" s="2" t="str">
        <f>IFERROR(__xludf.DUMMYFUNCTION("GOOGLETRANSLATE(A19617, ""en"", ""mt"")"),"X'kienu magħrufa r-raġġi X bħala dak iż-żmien?")</f>
        <v>X'kienu magħrufa r-raġġi X bħala dak iż-żmien?</v>
      </c>
    </row>
    <row r="19618" ht="15.75" customHeight="1">
      <c r="A19618" s="2" t="s">
        <v>19618</v>
      </c>
      <c r="B19618" s="2" t="str">
        <f>IFERROR(__xludf.DUMMYFUNCTION("GOOGLETRANSLATE(A19618, ""en"", ""mt"")"),"66–34 Mya")</f>
        <v>66–34 Mya</v>
      </c>
    </row>
    <row r="19619" ht="15.75" customHeight="1">
      <c r="A19619" s="2" t="s">
        <v>19619</v>
      </c>
      <c r="B19619" s="2" t="str">
        <f>IFERROR(__xludf.DUMMYFUNCTION("GOOGLETRANSLATE(A19619, ""en"", ""mt"")"),"John Vanderbank's")</f>
        <v>John Vanderbank's</v>
      </c>
    </row>
    <row r="19620" ht="15.75" customHeight="1">
      <c r="A19620" s="2" t="s">
        <v>19620</v>
      </c>
      <c r="B19620" s="2" t="str">
        <f>IFERROR(__xludf.DUMMYFUNCTION("GOOGLETRANSLATE(A19620, ""en"", ""mt"")"),"L-Iroquois bagħat runners lill-villaġġ ta ’William Johnson fl-istati ta’ New York. Is-Supretendent Brittaniku għall-Affarijiet Indjani fir-reġjun ta 'New York u lil hinn minnha, Johnson kien magħruf għall-Iroquois bħala Warraghgey, li jfisser ""hu li jagħ"&amp;"mel affarijiet kbar."" Huwa tkellem il-lingwi tagħhom u kien sar membru onorarju rispettat tal-Konfederazzjoni Iroquois fiż-żona. Fl-1746, Johnson sar kurunell tal-Iroquois. Aktar tard ġie kkummissjonat bħala kurunell tal-milizja tal-Punent ta ’New York. "&amp;"Iltaqgħu f'Albany, New York flimkien mal-Gvernatur Clinton u uffiċjali minn uħud mill-kolonji Amerikani l-oħra. Il-Kap Mohawk Hendrick, kelliem tal-kunsill tribali tagħhom, insista li l-Ingliżi jimxu mal-obbligi tagħhom u jimblokka l-espansjoni Franċiża. "&amp;"Meta Clinton ma weġibx għas-sodisfazzjon tiegħu, il-Kap Hendrick qal li l- ""katina tal-patt"", relazzjoni ta 'ħbiberija li ilha għaddejja bejn il-Konfederazzjoni Iroquois u l-Kuruna Ingliża, kienet miksura.")</f>
        <v>L-Iroquois bagħat runners lill-villaġġ ta ’William Johnson fl-istati ta’ New York. Is-Supretendent Brittaniku għall-Affarijiet Indjani fir-reġjun ta 'New York u lil hinn minnha, Johnson kien magħruf għall-Iroquois bħala Warraghgey, li jfisser "hu li jagħmel affarijiet kbar." Huwa tkellem il-lingwi tagħhom u kien sar membru onorarju rispettat tal-Konfederazzjoni Iroquois fiż-żona. Fl-1746, Johnson sar kurunell tal-Iroquois. Aktar tard ġie kkummissjonat bħala kurunell tal-milizja tal-Punent ta ’New York. Iltaqgħu f'Albany, New York flimkien mal-Gvernatur Clinton u uffiċjali minn uħud mill-kolonji Amerikani l-oħra. Il-Kap Mohawk Hendrick, kelliem tal-kunsill tribali tagħhom, insista li l-Ingliżi jimxu mal-obbligi tagħhom u jimblokka l-espansjoni Franċiża. Meta Clinton ma weġibx għas-sodisfazzjon tiegħu, il-Kap Hendrick qal li l- "katina tal-patt", relazzjoni ta 'ħbiberija li ilha għaddejja bejn il-Konfederazzjoni Iroquois u l-Kuruna Ingliża, kienet miksura.</v>
      </c>
    </row>
    <row r="19621" ht="15.75" customHeight="1">
      <c r="A19621" s="2" t="s">
        <v>19621</v>
      </c>
      <c r="B19621" s="2" t="str">
        <f>IFERROR(__xludf.DUMMYFUNCTION("GOOGLETRANSLATE(A19621, ""en"", ""mt"")"),"Minn xiex tista 'tiddependi l-elastiċità tat-tkabbir tal-faqar?")</f>
        <v>Minn xiex tista 'tiddependi l-elastiċità tat-tkabbir tal-faqar?</v>
      </c>
    </row>
    <row r="19622" ht="15.75" customHeight="1">
      <c r="A19622" s="2" t="s">
        <v>19622</v>
      </c>
      <c r="B19622" s="2" t="str">
        <f>IFERROR(__xludf.DUMMYFUNCTION("GOOGLETRANSLATE(A19622, ""en"", ""mt"")"),"amministrazzjoni")</f>
        <v>amministrazzjoni</v>
      </c>
    </row>
    <row r="19623" ht="15.75" customHeight="1">
      <c r="A19623" s="2" t="s">
        <v>19623</v>
      </c>
      <c r="B19623" s="2" t="str">
        <f>IFERROR(__xludf.DUMMYFUNCTION("GOOGLETRANSLATE(A19623, ""en"", ""mt"")"),"1775-1795")</f>
        <v>1775-1795</v>
      </c>
    </row>
    <row r="19624" ht="15.75" customHeight="1">
      <c r="A19624" s="2" t="s">
        <v>19624</v>
      </c>
      <c r="B19624" s="2" t="str">
        <f>IFERROR(__xludf.DUMMYFUNCTION("GOOGLETRANSLATE(A19624, ""en"", ""mt"")"),"vokazzjonali")</f>
        <v>vokazzjonali</v>
      </c>
    </row>
    <row r="19625" ht="15.75" customHeight="1">
      <c r="A19625" s="2" t="s">
        <v>19625</v>
      </c>
      <c r="B19625" s="2" t="str">
        <f>IFERROR(__xludf.DUMMYFUNCTION("GOOGLETRANSLATE(A19625, ""en"", ""mt"")"),"kant fil-knejjes")</f>
        <v>kant fil-knejjes</v>
      </c>
    </row>
    <row r="19626" ht="15.75" customHeight="1">
      <c r="A19626" s="2" t="s">
        <v>19626</v>
      </c>
      <c r="B19626" s="2" t="str">
        <f>IFERROR(__xludf.DUMMYFUNCTION("GOOGLETRANSLATE(A19626, ""en"", ""mt"")"),"Min mikrija l-Kumpanija Ingliża tal-Indja tal-Lvant?")</f>
        <v>Min mikrija l-Kumpanija Ingliża tal-Indja tal-Lvant?</v>
      </c>
    </row>
    <row r="19627" ht="15.75" customHeight="1">
      <c r="A19627" s="2" t="s">
        <v>19627</v>
      </c>
      <c r="B19627" s="2" t="str">
        <f>IFERROR(__xludf.DUMMYFUNCTION("GOOGLETRANSLATE(A19627, ""en"", ""mt"")"),"Ftit millimetri għal 1.5 m (4 ft 11 in) fid-daqs")</f>
        <v>Ftit millimetri għal 1.5 m (4 ft 11 in) fid-daqs</v>
      </c>
    </row>
    <row r="19628" ht="15.75" customHeight="1">
      <c r="A19628" s="2" t="s">
        <v>19628</v>
      </c>
      <c r="B19628" s="2" t="str">
        <f>IFERROR(__xludf.DUMMYFUNCTION("GOOGLETRANSLATE(A19628, ""en"", ""mt"")"),"X'kien l-approċċ karatteristiku ta 'Genghis Khan għad-diversità reliġjuża?")</f>
        <v>X'kien l-approċċ karatteristiku ta 'Genghis Khan għad-diversità reliġjuża?</v>
      </c>
    </row>
    <row r="19629" ht="15.75" customHeight="1">
      <c r="A19629" s="2" t="s">
        <v>19629</v>
      </c>
      <c r="B19629" s="2" t="str">
        <f>IFERROR(__xludf.DUMMYFUNCTION("GOOGLETRANSLATE(A19629, ""en"", ""mt"")"),"età ta '16")</f>
        <v>età ta '16</v>
      </c>
    </row>
    <row r="19630" ht="15.75" customHeight="1">
      <c r="A19630" s="2" t="s">
        <v>19630</v>
      </c>
      <c r="B19630" s="2" t="str">
        <f>IFERROR(__xludf.DUMMYFUNCTION("GOOGLETRANSLATE(A19630, ""en"", ""mt"")"),"Aktar minn 100 pulizija Eġizzjana kienu vittmi ta 'liema kampanja ta' terrur ta 'grupp?")</f>
        <v>Aktar minn 100 pulizija Eġizzjana kienu vittmi ta 'liema kampanja ta' terrur ta 'grupp?</v>
      </c>
    </row>
    <row r="19631" ht="15.75" customHeight="1">
      <c r="A19631" s="2" t="s">
        <v>19631</v>
      </c>
      <c r="B19631" s="2" t="str">
        <f>IFERROR(__xludf.DUMMYFUNCTION("GOOGLETRANSLATE(A19631, ""en"", ""mt"")"),"Minbarra d-distrett tan-negozju ċentrali ewlieni tiegħu, fejn jinsabu l-maġġoranza tad-distretti tan-negozju ta 'San Diego?")</f>
        <v>Minbarra d-distrett tan-negozju ċentrali ewlieni tiegħu, fejn jinsabu l-maġġoranza tad-distretti tan-negozju ta 'San Diego?</v>
      </c>
    </row>
    <row r="19632" ht="15.75" customHeight="1">
      <c r="A19632" s="2" t="s">
        <v>19632</v>
      </c>
      <c r="B19632" s="2" t="str">
        <f>IFERROR(__xludf.DUMMYFUNCTION("GOOGLETRANSLATE(A19632, ""en"", ""mt"")"),"4 ġimgħat imħallsa")</f>
        <v>4 ġimgħat imħallsa</v>
      </c>
    </row>
    <row r="19633" ht="15.75" customHeight="1">
      <c r="A19633" s="2" t="s">
        <v>19633</v>
      </c>
      <c r="B19633" s="2" t="str">
        <f>IFERROR(__xludf.DUMMYFUNCTION("GOOGLETRANSLATE(A19633, ""en"", ""mt"")"),"Liema console tal-logħob jistgħu telespettaturi jxandru l-logħba?")</f>
        <v>Liema console tal-logħob jistgħu telespettaturi jxandru l-logħba?</v>
      </c>
    </row>
    <row r="19634" ht="15.75" customHeight="1">
      <c r="A19634" s="2" t="s">
        <v>19634</v>
      </c>
      <c r="B19634" s="2" t="str">
        <f>IFERROR(__xludf.DUMMYFUNCTION("GOOGLETRANSLATE(A19634, ""en"", ""mt"")"),"Bibbja Tyndale.")</f>
        <v>Bibbja Tyndale.</v>
      </c>
    </row>
    <row r="19635" ht="15.75" customHeight="1">
      <c r="A19635" s="2" t="s">
        <v>19635</v>
      </c>
      <c r="B19635" s="2" t="str">
        <f>IFERROR(__xludf.DUMMYFUNCTION("GOOGLETRANSLATE(A19635, ""en"", ""mt"")"),"Hija espandiet mill-ġdid matul il-Miocene tan-nofs, imbagħad tinġibed għal formazzjoni l-aktar interna fl-aħħar massimu glaċjali.")</f>
        <v>Hija espandiet mill-ġdid matul il-Miocene tan-nofs, imbagħad tinġibed għal formazzjoni l-aktar interna fl-aħħar massimu glaċjali.</v>
      </c>
    </row>
    <row r="19636" ht="15.75" customHeight="1">
      <c r="A19636" s="2" t="s">
        <v>19636</v>
      </c>
      <c r="B19636" s="2" t="str">
        <f>IFERROR(__xludf.DUMMYFUNCTION("GOOGLETRANSLATE(A19636, ""en"", ""mt"")"),"Christian Goldbach")</f>
        <v>Christian Goldbach</v>
      </c>
    </row>
    <row r="19637" ht="15.75" customHeight="1">
      <c r="A19637" s="2" t="s">
        <v>19637</v>
      </c>
      <c r="B19637" s="2" t="str">
        <f>IFERROR(__xludf.DUMMYFUNCTION("GOOGLETRANSLATE(A19637, ""en"", ""mt"")"),"L-istanza tal-problema hija tipikament ikkaratterizzata bħala astratta jew konkreta?")</f>
        <v>L-istanza tal-problema hija tipikament ikkaratterizzata bħala astratta jew konkreta?</v>
      </c>
    </row>
    <row r="19638" ht="15.75" customHeight="1">
      <c r="A19638" s="2" t="s">
        <v>19638</v>
      </c>
      <c r="B19638" s="2" t="str">
        <f>IFERROR(__xludf.DUMMYFUNCTION("GOOGLETRANSLATE(A19638, ""en"", ""mt"")"),"Kors wieħed avvanzat kull tliet snin")</f>
        <v>Kors wieħed avvanzat kull tliet snin</v>
      </c>
    </row>
    <row r="19639" ht="15.75" customHeight="1">
      <c r="A19639" s="2" t="s">
        <v>19639</v>
      </c>
      <c r="B19639" s="2" t="str">
        <f>IFERROR(__xludf.DUMMYFUNCTION("GOOGLETRANSLATE(A19639, ""en"", ""mt"")"),"Xi studjużi, bħal Mark U. Edwards fil-ktieb tiegħu Luther's Last Battles: Politics and Polemics 1531–46 (1983), jissuġġerixxu li peress li l-opinjonijiet dejjem aktar antisemitiċi ta 'Luther żviluppaw matul is-snin li saħħtu marret għall-agħar, huwa possi"&amp;"bbli li kienu tal-inqas parzjalment il- prodott ta 'stat tal-moħħ li qed jonqos. Edwards jikkummenta wkoll li Luther spiss uża deliberatament ""vulgarità u vjolenza"" għall-effett, kemm fil-kitbiet tiegħu li jikkundannaw il-Lhud kif ukoll fid-diatribi kon"&amp;"tra ""Torok"" (Musulmani) u Kattoliċi.")</f>
        <v>Xi studjużi, bħal Mark U. Edwards fil-ktieb tiegħu Luther's Last Battles: Politics and Polemics 1531–46 (1983), jissuġġerixxu li peress li l-opinjonijiet dejjem aktar antisemitiċi ta 'Luther żviluppaw matul is-snin li saħħtu marret għall-agħar, huwa possibbli li kienu tal-inqas parzjalment il- prodott ta 'stat tal-moħħ li qed jonqos. Edwards jikkummenta wkoll li Luther spiss uża deliberatament "vulgarità u vjolenza" għall-effett, kemm fil-kitbiet tiegħu li jikkundannaw il-Lhud kif ukoll fid-diatribi kontra "Torok" (Musulmani) u Kattoliċi.</v>
      </c>
    </row>
    <row r="19640" ht="15.75" customHeight="1">
      <c r="A19640" s="2" t="s">
        <v>19640</v>
      </c>
      <c r="B19640" s="2" t="str">
        <f>IFERROR(__xludf.DUMMYFUNCTION("GOOGLETRANSLATE(A19640, ""en"", ""mt"")"),"Edukazzjoni Primarja")</f>
        <v>Edukazzjoni Primarja</v>
      </c>
    </row>
    <row r="19641" ht="15.75" customHeight="1">
      <c r="A19641" s="2" t="s">
        <v>19641</v>
      </c>
      <c r="B19641" s="2" t="str">
        <f>IFERROR(__xludf.DUMMYFUNCTION("GOOGLETRANSLATE(A19641, ""en"", ""mt"")"),"kwistjonijiet morali")</f>
        <v>kwistjonijiet morali</v>
      </c>
    </row>
    <row r="19642" ht="15.75" customHeight="1">
      <c r="A19642" s="2" t="s">
        <v>19642</v>
      </c>
      <c r="B19642" s="2" t="str">
        <f>IFERROR(__xludf.DUMMYFUNCTION("GOOGLETRANSLATE(A19642, ""en"", ""mt"")"),"Min ikkonkluda li d-distakk fl-inugwaljanza tad-dħul li qed jiżdied ma kienx qed jitjieb?")</f>
        <v>Min ikkonkluda li d-distakk fl-inugwaljanza tad-dħul li qed jiżdied ma kienx qed jitjieb?</v>
      </c>
    </row>
    <row r="19643" ht="15.75" customHeight="1">
      <c r="A19643" s="2" t="s">
        <v>19643</v>
      </c>
      <c r="B19643" s="2" t="str">
        <f>IFERROR(__xludf.DUMMYFUNCTION("GOOGLETRANSLATE(A19643, ""en"", ""mt"")"),"The Late Show ma 'Stephen Colbert")</f>
        <v>The Late Show ma 'Stephen Colbert</v>
      </c>
    </row>
    <row r="19644" ht="15.75" customHeight="1">
      <c r="A19644" s="2" t="s">
        <v>19644</v>
      </c>
      <c r="B19644" s="2" t="str">
        <f>IFERROR(__xludf.DUMMYFUNCTION("GOOGLETRANSLATE(A19644, ""en"", ""mt"")"),"Liema korriment Thomas Davis sofra ripetutament, għal total ta 'tliet darbiet, matul il-karriera tiegħu?")</f>
        <v>Liema korriment Thomas Davis sofra ripetutament, għal total ta 'tliet darbiet, matul il-karriera tiegħu?</v>
      </c>
    </row>
    <row r="19645" ht="15.75" customHeight="1">
      <c r="A19645" s="2" t="s">
        <v>19645</v>
      </c>
      <c r="B19645" s="2" t="str">
        <f>IFERROR(__xludf.DUMMYFUNCTION("GOOGLETRANSLATE(A19645, ""en"", ""mt"")"),"imwettaq b'suċċess")</f>
        <v>imwettaq b'suċċess</v>
      </c>
    </row>
    <row r="19646" ht="15.75" customHeight="1">
      <c r="A19646" s="2" t="s">
        <v>19646</v>
      </c>
      <c r="B19646" s="2" t="str">
        <f>IFERROR(__xludf.DUMMYFUNCTION("GOOGLETRANSLATE(A19646, ""en"", ""mt"")"),"Verżjonijiet tax-xogħol tat-teknoloġija tal-bini tal-istampar 3D diġà qed jistampaw")</f>
        <v>Verżjonijiet tax-xogħol tat-teknoloġija tal-bini tal-istampar 3D diġà qed jistampaw</v>
      </c>
    </row>
    <row r="19647" ht="15.75" customHeight="1">
      <c r="A19647" s="2" t="s">
        <v>19647</v>
      </c>
      <c r="B19647" s="2" t="str">
        <f>IFERROR(__xludf.DUMMYFUNCTION("GOOGLETRANSLATE(A19647, ""en"", ""mt"")"),"Għaliex is-serje ntemmet fl-2011?")</f>
        <v>Għaliex is-serje ntemmet fl-2011?</v>
      </c>
    </row>
    <row r="19648" ht="15.75" customHeight="1">
      <c r="A19648" s="2" t="s">
        <v>19648</v>
      </c>
      <c r="B19648" s="2" t="str">
        <f>IFERROR(__xludf.DUMMYFUNCTION("GOOGLETRANSLATE(A19648, ""en"", ""mt"")"),"Trasformazzjoni Galiljana")</f>
        <v>Trasformazzjoni Galiljana</v>
      </c>
    </row>
    <row r="19649" ht="15.75" customHeight="1">
      <c r="A19649" s="2" t="s">
        <v>19649</v>
      </c>
      <c r="B19649" s="2" t="str">
        <f>IFERROR(__xludf.DUMMYFUNCTION("GOOGLETRANSLATE(A19649, ""en"", ""mt"")"),"X'uża Luther l-innu biex iħeġġeġ lill-kollegi jagħmlu?")</f>
        <v>X'uża Luther l-innu biex iħeġġeġ lill-kollegi jagħmlu?</v>
      </c>
    </row>
    <row r="19650" ht="15.75" customHeight="1">
      <c r="A19650" s="2" t="s">
        <v>19650</v>
      </c>
      <c r="B19650" s="2" t="str">
        <f>IFERROR(__xludf.DUMMYFUNCTION("GOOGLETRANSLATE(A19650, ""en"", ""mt"")"),"Liema programm televiżiv għal ABC kien adattament tal-film tal-1947 Wyoming Kid?")</f>
        <v>Liema programm televiżiv għal ABC kien adattament tal-film tal-1947 Wyoming Kid?</v>
      </c>
    </row>
    <row r="19651" ht="15.75" customHeight="1">
      <c r="A19651" s="2" t="s">
        <v>19651</v>
      </c>
      <c r="B19651" s="2" t="str">
        <f>IFERROR(__xludf.DUMMYFUNCTION("GOOGLETRANSLATE(A19651, ""en"", ""mt"")"),"""spinta"" fil-prestazzjoni")</f>
        <v>"spinta" fil-prestazzjoni</v>
      </c>
    </row>
    <row r="19652" ht="15.75" customHeight="1">
      <c r="A19652" s="2" t="s">
        <v>19652</v>
      </c>
      <c r="B19652" s="2" t="str">
        <f>IFERROR(__xludf.DUMMYFUNCTION("GOOGLETRANSLATE(A19652, ""en"", ""mt"")"),"affiljat ma 'denominazzjonijiet Protestanti oħra")</f>
        <v>affiljat ma 'denominazzjonijiet Protestanti oħra</v>
      </c>
    </row>
    <row r="19653" ht="15.75" customHeight="1">
      <c r="A19653" s="2" t="s">
        <v>19653</v>
      </c>
      <c r="B19653" s="2" t="str">
        <f>IFERROR(__xludf.DUMMYFUNCTION("GOOGLETRANSLATE(A19653, ""en"", ""mt"")"),"Ed McCaffrey")</f>
        <v>Ed McCaffrey</v>
      </c>
    </row>
    <row r="19654" ht="15.75" customHeight="1">
      <c r="A19654" s="2" t="s">
        <v>19654</v>
      </c>
      <c r="B19654" s="2" t="str">
        <f>IFERROR(__xludf.DUMMYFUNCTION("GOOGLETRANSLATE(A19654, ""en"", ""mt"")"),"Tesla tista 'tkun ħarxa xi drabi u esprimiet b'mod miftuħ id-diżgust għal nies li għandhom piż żejjed, bħal meta spara segretarju minħabba l-piż tagħha. F’diversi okkażjonijiet, Tesla dderieġa subordinat biex tmur id-dar u tbiddel il-libsa tagħha.")</f>
        <v>Tesla tista 'tkun ħarxa xi drabi u esprimiet b'mod miftuħ id-diżgust għal nies li għandhom piż żejjed, bħal meta spara segretarju minħabba l-piż tagħha. F’diversi okkażjonijiet, Tesla dderieġa subordinat biex tmur id-dar u tbiddel il-libsa tagħha.</v>
      </c>
    </row>
    <row r="19655" ht="15.75" customHeight="1">
      <c r="A19655" s="2" t="s">
        <v>19655</v>
      </c>
      <c r="B19655" s="2" t="str">
        <f>IFERROR(__xludf.DUMMYFUNCTION("GOOGLETRANSLATE(A19655, ""en"", ""mt"")"),"xejn")</f>
        <v>xejn</v>
      </c>
    </row>
    <row r="19656" ht="15.75" customHeight="1">
      <c r="A19656" s="2" t="s">
        <v>19656</v>
      </c>
      <c r="B19656" s="2" t="str">
        <f>IFERROR(__xludf.DUMMYFUNCTION("GOOGLETRANSLATE(A19656, ""en"", ""mt"")"),"Problema tal-funzjoni")</f>
        <v>Problema tal-funzjoni</v>
      </c>
    </row>
    <row r="19657" ht="15.75" customHeight="1">
      <c r="A19657" s="2" t="s">
        <v>19657</v>
      </c>
      <c r="B19657" s="2" t="str">
        <f>IFERROR(__xludf.DUMMYFUNCTION("GOOGLETRANSLATE(A19657, ""en"", ""mt"")"),"Liema tip ta 'ċellula jintuża wkoll għar-rispons immuni fil-biċċa l-kbira tat-tipi ta' ħajja invertebrata?")</f>
        <v>Liema tip ta 'ċellula jintuża wkoll għar-rispons immuni fil-biċċa l-kbira tat-tipi ta' ħajja invertebrata?</v>
      </c>
    </row>
    <row r="19658" ht="15.75" customHeight="1">
      <c r="A19658" s="2" t="s">
        <v>19658</v>
      </c>
      <c r="B19658" s="2" t="str">
        <f>IFERROR(__xludf.DUMMYFUNCTION("GOOGLETRANSLATE(A19658, ""en"", ""mt"")"),"FCC v. Pacifica Foundation")</f>
        <v>FCC v. Pacifica Foundation</v>
      </c>
    </row>
    <row r="19659" ht="15.75" customHeight="1">
      <c r="A19659" s="2" t="s">
        <v>19659</v>
      </c>
      <c r="B19659" s="2" t="str">
        <f>IFERROR(__xludf.DUMMYFUNCTION("GOOGLETRANSLATE(A19659, ""en"", ""mt"")"),"Xi teoriji ta 'diżubbidjenza ċivili jqisu li d-diżubbidjenza ċivili hija ġġustifikata biss kontra entitajiet governattivi. Brownlee jargumenta li d-diżubbidjenza fl-oppożizzjoni għad-deċiżjonijiet ta 'aġenziji mhux governattivi bħalma huma t-trejdjunjins,"&amp;" il-banek, u l-universitajiet privati ​​tista' tkun iġġustifikata jekk tirrifletti ""sfida akbar għas-sistema legali li tippermetti li dawn id-deċiżjonijiet jittieħdu"". L-istess prinċipju, hija targumenta, tapplika għal ksur tal-liġi bi protesta kontra o"&amp;"rganizzazzjonijiet internazzjonali u gvernijiet barranin.")</f>
        <v>Xi teoriji ta 'diżubbidjenza ċivili jqisu li d-diżubbidjenza ċivili hija ġġustifikata biss kontra entitajiet governattivi. Brownlee jargumenta li d-diżubbidjenza fl-oppożizzjoni għad-deċiżjonijiet ta 'aġenziji mhux governattivi bħalma huma t-trejdjunjins, il-banek, u l-universitajiet privati ​​tista' tkun iġġustifikata jekk tirrifletti "sfida akbar għas-sistema legali li tippermetti li dawn id-deċiżjonijiet jittieħdu". L-istess prinċipju, hija targumenta, tapplika għal ksur tal-liġi bi protesta kontra organizzazzjonijiet internazzjonali u gvernijiet barranin.</v>
      </c>
    </row>
    <row r="19660" ht="15.75" customHeight="1">
      <c r="A19660" s="2" t="s">
        <v>19660</v>
      </c>
      <c r="B19660" s="2" t="str">
        <f>IFERROR(__xludf.DUMMYFUNCTION("GOOGLETRANSLATE(A19660, ""en"", ""mt"")"),"Żoni li fihom il-muntanji huma mibnija tul il-konfini tal-pjanċa tettonika konverġenti huma msejħa?")</f>
        <v>Żoni li fihom il-muntanji huma mibnija tul il-konfini tal-pjanċa tettonika konverġenti huma msejħa?</v>
      </c>
    </row>
    <row r="19661" ht="15.75" customHeight="1">
      <c r="A19661" s="2" t="s">
        <v>19661</v>
      </c>
      <c r="B19661" s="2" t="str">
        <f>IFERROR(__xludf.DUMMYFUNCTION("GOOGLETRANSLATE(A19661, ""en"", ""mt"")"),"Liema band ħafna drabi hija meqjusa bħala l-ewwel grupp tal-metall folkloristiku?")</f>
        <v>Liema band ħafna drabi hija meqjusa bħala l-ewwel grupp tal-metall folkloristiku?</v>
      </c>
    </row>
    <row r="19662" ht="15.75" customHeight="1">
      <c r="A19662" s="2" t="s">
        <v>19662</v>
      </c>
      <c r="B19662" s="2" t="str">
        <f>IFERROR(__xludf.DUMMYFUNCTION("GOOGLETRANSLATE(A19662, ""en"", ""mt"")"),"Introduzzjoni ta 'Beroe")</f>
        <v>Introduzzjoni ta 'Beroe</v>
      </c>
    </row>
    <row r="19663" ht="15.75" customHeight="1">
      <c r="A19663" s="2" t="s">
        <v>19663</v>
      </c>
      <c r="B19663" s="2" t="str">
        <f>IFERROR(__xludf.DUMMYFUNCTION("GOOGLETRANSLATE(A19663, ""en"", ""mt"")"),"huwa akbar minn 1 u inqas minn jew daqs l-għerq kwadru ta 'n")</f>
        <v>huwa akbar minn 1 u inqas minn jew daqs l-għerq kwadru ta 'n</v>
      </c>
    </row>
    <row r="19664" ht="15.75" customHeight="1">
      <c r="A19664" s="2" t="s">
        <v>19664</v>
      </c>
      <c r="B19664" s="2" t="str">
        <f>IFERROR(__xludf.DUMMYFUNCTION("GOOGLETRANSLATE(A19664, ""en"", ""mt"")"),"Min kien il-kittieb l-iktar li jinqara tal-ġenerazzjoni tiegħu?")</f>
        <v>Min kien il-kittieb l-iktar li jinqara tal-ġenerazzjoni tiegħu?</v>
      </c>
    </row>
    <row r="19665" ht="15.75" customHeight="1">
      <c r="A19665" s="2" t="s">
        <v>19665</v>
      </c>
      <c r="B19665" s="2" t="str">
        <f>IFERROR(__xludf.DUMMYFUNCTION("GOOGLETRANSLATE(A19665, ""en"", ""mt"")"),"1221")</f>
        <v>1221</v>
      </c>
    </row>
    <row r="19666" ht="15.75" customHeight="1">
      <c r="A19666" s="2" t="s">
        <v>19666</v>
      </c>
      <c r="B19666" s="2" t="str">
        <f>IFERROR(__xludf.DUMMYFUNCTION("GOOGLETRANSLATE(A19666, ""en"", ""mt"")"),"X'inhu l-laqam reġjonali għal Newcastle u ż-żona tal-madwar?")</f>
        <v>X'inhu l-laqam reġjonali għal Newcastle u ż-żona tal-madwar?</v>
      </c>
    </row>
    <row r="19667" ht="15.75" customHeight="1">
      <c r="A19667" s="2" t="s">
        <v>19667</v>
      </c>
      <c r="B19667" s="2" t="str">
        <f>IFERROR(__xludf.DUMMYFUNCTION("GOOGLETRANSLATE(A19667, ""en"", ""mt"")"),"Min jikkontribwixxi għan-negozju tal-membri minbarra l-proponent?")</f>
        <v>Min jikkontribwixxi għan-negozju tal-membri minbarra l-proponent?</v>
      </c>
    </row>
    <row r="19668" ht="15.75" customHeight="1">
      <c r="A19668" s="2" t="s">
        <v>19668</v>
      </c>
      <c r="B19668" s="2" t="str">
        <f>IFERROR(__xludf.DUMMYFUNCTION("GOOGLETRANSLATE(A19668, ""en"", ""mt"")"),"Minorenni")</f>
        <v>Minorenni</v>
      </c>
    </row>
    <row r="19669" ht="15.75" customHeight="1">
      <c r="A19669" s="2" t="s">
        <v>19669</v>
      </c>
      <c r="B19669" s="2" t="str">
        <f>IFERROR(__xludf.DUMMYFUNCTION("GOOGLETRANSLATE(A19669, ""en"", ""mt"")"),"Luther kif iddeskriva l-ħin tiegħu fl-ordni?")</f>
        <v>Luther kif iddeskriva l-ħin tiegħu fl-ordni?</v>
      </c>
    </row>
    <row r="19670" ht="15.75" customHeight="1">
      <c r="A19670" s="2" t="s">
        <v>19670</v>
      </c>
      <c r="B19670" s="2" t="str">
        <f>IFERROR(__xludf.DUMMYFUNCTION("GOOGLETRANSLATE(A19670, ""en"", ""mt"")"),"Liema kummissjoni ġiet iċċensurata fl-1999, u witta t-triq għall-kummissarji biex jabbużaw mill-poter tagħhom?")</f>
        <v>Liema kummissjoni ġiet iċċensurata fl-1999, u witta t-triq għall-kummissarji biex jabbużaw mill-poter tagħhom?</v>
      </c>
    </row>
    <row r="19671" ht="15.75" customHeight="1">
      <c r="A19671" s="2" t="s">
        <v>19671</v>
      </c>
      <c r="B19671" s="2" t="str">
        <f>IFERROR(__xludf.DUMMYFUNCTION("GOOGLETRANSLATE(A19671, ""en"", ""mt"")"),"Il-Ktieb tad-Dixxiplina huwa l-ktieb gwida għall-knejjes lokali u r-ragħajja u jiddeskrivi b’dettall konsiderevoli l-istruttura organizzattiva tal-knejjes Metodisti lokali Magħquda. Il-knejjes kollha tal-UM għandu jkollhom bord ta 'trustees b'mill-inqas t"&amp;"liet membri u mhux aktar minn disa' membri u huwa rrakkomandat li l-ebda sess ma għandu jżomm aktar minn maġġoranza ta '2/3. Il-knejjes kollha għandu jkollhom ukoll kumitat tan-nomina, kumitat tal-finanzi u kunsill tal-knisja jew kunsill amministrattiv. K"&amp;"umitati oħra huma ssuġġeriti iżda mhux meħtieġa bħal kumitat ta 'missjonijiet, jew kumitat ta' evanġelizmu jew qima. Il-limiti tat-terminu huma stabbiliti għal xi kumitati iżda mhux għal kulħadd. Il-konferenza tal-knisja hija laqgħa annwali tal-uffiċjali "&amp;"kollha tal-knisja u ta 'kwalunkwe membru interessat. Dan il-kumitat għandu s-setgħa esklussiva li jistabbilixxi s-salarji tar-ragħajja (pakketti ta 'kumpens għal skopijiet ta' taxxa) u li jeleġġi uffiċjali fil-kumitati.")</f>
        <v>Il-Ktieb tad-Dixxiplina huwa l-ktieb gwida għall-knejjes lokali u r-ragħajja u jiddeskrivi b’dettall konsiderevoli l-istruttura organizzattiva tal-knejjes Metodisti lokali Magħquda. Il-knejjes kollha tal-UM għandu jkollhom bord ta 'trustees b'mill-inqas tliet membri u mhux aktar minn disa' membri u huwa rrakkomandat li l-ebda sess ma għandu jżomm aktar minn maġġoranza ta '2/3. Il-knejjes kollha għandu jkollhom ukoll kumitat tan-nomina, kumitat tal-finanzi u kunsill tal-knisja jew kunsill amministrattiv. Kumitati oħra huma ssuġġeriti iżda mhux meħtieġa bħal kumitat ta 'missjonijiet, jew kumitat ta' evanġelizmu jew qima. Il-limiti tat-terminu huma stabbiliti għal xi kumitati iżda mhux għal kulħadd. Il-konferenza tal-knisja hija laqgħa annwali tal-uffiċjali kollha tal-knisja u ta 'kwalunkwe membru interessat. Dan il-kumitat għandu s-setgħa esklussiva li jistabbilixxi s-salarji tar-ragħajja (pakketti ta 'kumpens għal skopijiet ta' taxxa) u li jeleġġi uffiċjali fil-kumitati.</v>
      </c>
    </row>
    <row r="19672" ht="15.75" customHeight="1">
      <c r="A19672" s="2" t="s">
        <v>19672</v>
      </c>
      <c r="B19672" s="2" t="str">
        <f>IFERROR(__xludf.DUMMYFUNCTION("GOOGLETRANSLATE(A19672, ""en"", ""mt"")"),"X'inhi t-tarf baxx tal-firxa tat-temperatura fis-sajf?")</f>
        <v>X'inhi t-tarf baxx tal-firxa tat-temperatura fis-sajf?</v>
      </c>
    </row>
    <row r="19673" ht="15.75" customHeight="1">
      <c r="A19673" s="2" t="s">
        <v>19673</v>
      </c>
      <c r="B19673" s="2" t="str">
        <f>IFERROR(__xludf.DUMMYFUNCTION("GOOGLETRANSLATE(A19673, ""en"", ""mt"")"),"X'inhi l-iktar kundizzjoni tal-biża 'li l-għaddasa jridu jevitaw?")</f>
        <v>X'inhi l-iktar kundizzjoni tal-biża 'li l-għaddasa jridu jevitaw?</v>
      </c>
    </row>
    <row r="19674" ht="15.75" customHeight="1">
      <c r="A19674" s="2" t="s">
        <v>19674</v>
      </c>
      <c r="B19674" s="2" t="str">
        <f>IFERROR(__xludf.DUMMYFUNCTION("GOOGLETRANSLATE(A19674, ""en"", ""mt"")"),"Min hu meqjus bħala l-ewwel ġeologu modern?")</f>
        <v>Min hu meqjus bħala l-ewwel ġeologu modern?</v>
      </c>
    </row>
    <row r="19675" ht="15.75" customHeight="1">
      <c r="A19675" s="2" t="s">
        <v>19675</v>
      </c>
      <c r="B19675" s="2" t="str">
        <f>IFERROR(__xludf.DUMMYFUNCTION("GOOGLETRANSLATE(A19675, ""en"", ""mt"")"),"allegatament makkinarji korrotti ta 'François bigot")</f>
        <v>allegatament makkinarji korrotti ta 'François bigot</v>
      </c>
    </row>
    <row r="19676" ht="15.75" customHeight="1">
      <c r="A19676" s="2" t="s">
        <v>19676</v>
      </c>
      <c r="B19676" s="2" t="str">
        <f>IFERROR(__xludf.DUMMYFUNCTION("GOOGLETRANSLATE(A19676, ""en"", ""mt"")"),"F’liema sena l-kollezzjoni John Jones tħalliet fil-mużew?")</f>
        <v>F’liema sena l-kollezzjoni John Jones tħalliet fil-mużew?</v>
      </c>
    </row>
    <row r="19677" ht="15.75" customHeight="1">
      <c r="A19677" s="2" t="s">
        <v>19677</v>
      </c>
      <c r="B19677" s="2" t="str">
        <f>IFERROR(__xludf.DUMMYFUNCTION("GOOGLETRANSLATE(A19677, ""en"", ""mt"")"),"1965–66")</f>
        <v>1965–66</v>
      </c>
    </row>
    <row r="19678" ht="15.75" customHeight="1">
      <c r="A19678" s="2" t="s">
        <v>19678</v>
      </c>
      <c r="B19678" s="2" t="str">
        <f>IFERROR(__xludf.DUMMYFUNCTION("GOOGLETRANSLATE(A19678, ""en"", ""mt"")"),"Luther meta kiteb il-katekiżmu kbir?")</f>
        <v>Luther meta kiteb il-katekiżmu kbir?</v>
      </c>
    </row>
    <row r="19679" ht="15.75" customHeight="1">
      <c r="A19679" s="2" t="s">
        <v>19679</v>
      </c>
      <c r="B19679" s="2" t="str">
        <f>IFERROR(__xludf.DUMMYFUNCTION("GOOGLETRANSLATE(A19679, ""en"", ""mt"")"),"metodi ta 'ħażna")</f>
        <v>metodi ta 'ħażna</v>
      </c>
    </row>
    <row r="19680" ht="15.75" customHeight="1">
      <c r="A19680" s="2" t="s">
        <v>19680</v>
      </c>
      <c r="B19680" s="2" t="str">
        <f>IFERROR(__xludf.DUMMYFUNCTION("GOOGLETRANSLATE(A19680, ""en"", ""mt"")"),"Meta John Fox telaq bħala kowċ ewlieni għall-Broncos, min ħa post?")</f>
        <v>Meta John Fox telaq bħala kowċ ewlieni għall-Broncos, min ħa post?</v>
      </c>
    </row>
    <row r="19681" ht="15.75" customHeight="1">
      <c r="A19681" s="2" t="s">
        <v>19681</v>
      </c>
      <c r="B19681" s="2" t="str">
        <f>IFERROR(__xludf.DUMMYFUNCTION("GOOGLETRANSLATE(A19681, ""en"", ""mt"")"),"J.I. Pontanus")</f>
        <v>J.I. Pontanus</v>
      </c>
    </row>
    <row r="19682" ht="15.75" customHeight="1">
      <c r="A19682" s="2" t="s">
        <v>19682</v>
      </c>
      <c r="B19682" s="2" t="str">
        <f>IFERROR(__xludf.DUMMYFUNCTION("GOOGLETRANSLATE(A19682, ""en"", ""mt"")"),"In-netwerk ta ’swiċċjar tal-pakketti Cyclades kien netwerk ta’ riċerka Franċiż iddisinjat u dirett minn Louis Pouzin. L-ewwel muri fl-1973, ġie żviluppat biex jesplora alternattivi għad-disinn ta 'Arpanet bikri u biex jappoġġja r-riċerka tan-netwerk ġener"&amp;"alment. Kien l-ewwel netwerk li għamel lill-ospiti responsabbli għat-twassil ta 'data affidabbli, aktar milli n-netwerk innifsu, bl-użu ta' datagrammi mhux affidabbli u mekkaniżmi ta 'protokoll end-to-end assoċjati. Kunċetti ta 'dan in-netwerk influwenzaw"&amp;" aktar tard l-arkitettura ta' Arpanet.")</f>
        <v>In-netwerk ta ’swiċċjar tal-pakketti Cyclades kien netwerk ta’ riċerka Franċiż iddisinjat u dirett minn Louis Pouzin. L-ewwel muri fl-1973, ġie żviluppat biex jesplora alternattivi għad-disinn ta 'Arpanet bikri u biex jappoġġja r-riċerka tan-netwerk ġeneralment. Kien l-ewwel netwerk li għamel lill-ospiti responsabbli għat-twassil ta 'data affidabbli, aktar milli n-netwerk innifsu, bl-użu ta' datagrammi mhux affidabbli u mekkaniżmi ta 'protokoll end-to-end assoċjati. Kunċetti ta 'dan in-netwerk influwenzaw aktar tard l-arkitettura ta' Arpanet.</v>
      </c>
    </row>
    <row r="19683" ht="15.75" customHeight="1">
      <c r="A19683" s="2" t="s">
        <v>19683</v>
      </c>
      <c r="B19683" s="2" t="str">
        <f>IFERROR(__xludf.DUMMYFUNCTION("GOOGLETRANSLATE(A19683, ""en"", ""mt"")"),"Kemm X.25 kif ukoll Frame Relay jipprovdu operazzjonijiet orjentati lejn il-konnessjoni. Imma X.25 jagħmel dan fis-saff tan-netwerk tal-mudell OSI. Frame Relay jagħmel dan fil-livell tnejn, is-saff tal-link tad-dejta. Differenza ewlenija oħra bejn X.25 u "&amp;"Frame Relay hija li X.25 jirrikjedi handshake bejn il-partijiet li jikkomunikaw qabel ma jiġu trasmessi xi pakketti tal-utent. Frame Relay ma jiddefinixxi l-ebda handshakes bħal dawn. X.25 ma jiddefinixxi l-ebda operazzjoni ġewwa n-netwerk tal-pakketti. J"&amp;"opera biss fl-interface tal-utent-netwerk (UNI). Għalhekk, il-fornitur tan-netwerk huwa liberu li juża kwalunkwe proċedura li jixtieq fin-netwerk. X.25 jispeċifika xi proċeduri limitati ta 'trasmissjoni mill-ġdid fl-UNI, u l-protokoll tas-saff tal-link ti"&amp;"egħu (LAPB) jipprovdi proċeduri konvenzjonali ta' ġestjoni tat-tip HDLC. Frame Relay hija verżjoni modifikata tas-saff tal-ISDN Two Protocol, LAPD u LAPB. Bħala tali, l-operazzjonijiet ta 'integrità tagħha għandhom x'jaqsmu biss bejn l-għoqiedi fuq link, "&amp;"mhux end-to-end. Kull trażmissjonijiet għandhom jitwettqu minn protokolli ta 'saff ogħla. Il-protokoll X.25 UNI huwa parti mis-suite tal-protokoll X.25, li tikkonsisti fit-tliet saffi l-aktar baxxi tal-mudell OSI. Intuża ħafna fl-UNI għal netwerks ta 'qli"&amp;"b tal-pakketti matul is-snin 1980 u l-bidu tas-snin disgħin, biex jipprovdu interface standardizzata f'netwerks ta' pakketti u barra. Xi implimentazzjonijiet użaw X.25 fin-netwerk ukoll, iżda l-karatteristiċi orjentati lejn il-konnessjoni għamlu din is-se"&amp;"tup ingombranti u ineffiċjenti. Frame Relay jaħdem prinċipalment fis-saff tnejn tal-mudell OSI. Madankollu, il-qasam tal-indirizz tiegħu (l-ID tal-konnessjoni tal-link tad-dejta, jew DLCI) jista 'jintuża fis-saff tan-netwerk OSI, b'sett minimu ta' proċedu"&amp;"ri. Għalhekk, hija teħles lilha nnifisha minn ħafna x.25 saff 3 ta 'obbligu, iżda għad għandha d-DLCI bħala ID lil hinn minn saff ta' node-to-node b'żewġ protokoll ta 'rabta. Is-sempliċità tar-relay tal-qafas tagħmilha aktar mgħaġġla u aktar effiċjenti mi"&amp;"nn X.25. Minħabba li l-qafas tar-rilej huwa protokoll tas-saff tal-link tad-dejta, bħal x.25 ma jiddefinixxix operazzjonijiet ta 'rotta interna tan-netwerk. Għal x.25 l-IDs tal-pakketti tiegħu --- iċ-ċirkwit virtwali u n-numri tal-kanali virtwali għandhom"&amp;" ikunu korrelati mal-indirizzi tan-netwerk. L-istess jgħodd għar-rilejs tal-qafas DLCI. Kif dan isir huwa f'idejn il-fornitur tan-netwerk. Relay tal-qafas, bis-saħħa li ma jkollux proċeduri ta 'saff tan-netwerk huwa orjentat lejn il-konnessjoni fis-saff t"&amp;"nejn, billi tuża l-mod HDLC / LAPD / LAPB issettja l-mod asinkroniku bilanċjat (SABM). Il-konnessjonijiet X.25 huma tipikament stabbiliti għal kull sessjoni ta 'komunikazzjoni, iżda għandu karatteristika li tippermetti ammont limitat ta' traffiku li jiġi "&amp;"mgħoddi mill-UNI mingħajr il-handshake orjentat lejn il-konnessjoni. Għal ftit żmien, Frame Relay intuża biex jgħaqqad LANs ma 'netwerks ta' żona wiesgħa. Madankollu, X.25 u kif ukoll ir-relay tal-qafas ġew sostitwiti mill-Protokoll tal-Internet (IP) fis-"&amp;"saff tan-netwerk, u l-mod ta 'trasferiment mhux sinkroniku (ATM) u jew verżjonijiet ta' qlib tat-tikketta b'ħafna protokol (MPLS) fis-saff tnejn. Konfigurazzjoni tipika hija li tmexxi IP fuq ATM jew verżjoni ta 'MPLS. &lt;Uyless Black, X.25 u Protokolli Rela"&amp;"tati, IEEE Computer Society, 1991&gt; &lt;uyless Black, Frame Relay Networks, McGraw-Hill, 1998&gt; &lt;Uyless Black, MPLS u Networks ta 'Qlib tat-Tikketta, Prentice Hall, 2001&gt; &lt;Uyless Black, ATM, Volum I, Prentice Hall, 1995&gt;")</f>
        <v>Kemm X.25 kif ukoll Frame Relay jipprovdu operazzjonijiet orjentati lejn il-konnessjoni. Imma X.25 jagħmel dan fis-saff tan-netwerk tal-mudell OSI. Frame Relay jagħmel dan fil-livell tnejn, is-saff tal-link tad-dejta. Differenza ewlenija oħra bejn X.25 u Frame Relay hija li X.25 jirrikjedi handshake bejn il-partijiet li jikkomunikaw qabel ma jiġu trasmessi xi pakketti tal-utent. Frame Relay ma jiddefinixxi l-ebda handshakes bħal dawn. X.25 ma jiddefinixxi l-ebda operazzjoni ġewwa n-netwerk tal-pakketti. Jopera biss fl-interface tal-utent-netwerk (UNI). Għalhekk, il-fornitur tan-netwerk huwa liberu li juża kwalunkwe proċedura li jixtieq fin-netwerk. X.25 jispeċifika xi proċeduri limitati ta 'trasmissjoni mill-ġdid fl-UNI, u l-protokoll tas-saff tal-link tiegħu (LAPB) jipprovdi proċeduri konvenzjonali ta' ġestjoni tat-tip HDLC. Frame Relay hija verżjoni modifikata tas-saff tal-ISDN Two Protocol, LAPD u LAPB. Bħala tali, l-operazzjonijiet ta 'integrità tagħha għandhom x'jaqsmu biss bejn l-għoqiedi fuq link, mhux end-to-end. Kull trażmissjonijiet għandhom jitwettqu minn protokolli ta 'saff ogħla. Il-protokoll X.25 UNI huwa parti mis-suite tal-protokoll X.25, li tikkonsisti fit-tliet saffi l-aktar baxxi tal-mudell OSI. Intuża ħafna fl-UNI għal netwerks ta 'qlib tal-pakketti matul is-snin 1980 u l-bidu tas-snin disgħin, biex jipprovdu interface standardizzata f'netwerks ta' pakketti u barra. Xi implimentazzjonijiet użaw X.25 fin-netwerk ukoll, iżda l-karatteristiċi orjentati lejn il-konnessjoni għamlu din is-setup ingombranti u ineffiċjenti. Frame Relay jaħdem prinċipalment fis-saff tnejn tal-mudell OSI. Madankollu, il-qasam tal-indirizz tiegħu (l-ID tal-konnessjoni tal-link tad-dejta, jew DLCI) jista 'jintuża fis-saff tan-netwerk OSI, b'sett minimu ta' proċeduri. Għalhekk, hija teħles lilha nnifisha minn ħafna x.25 saff 3 ta 'obbligu, iżda għad għandha d-DLCI bħala ID lil hinn minn saff ta' node-to-node b'żewġ protokoll ta 'rabta. Is-sempliċità tar-relay tal-qafas tagħmilha aktar mgħaġġla u aktar effiċjenti minn X.25. Minħabba li l-qafas tar-rilej huwa protokoll tas-saff tal-link tad-dejta, bħal x.25 ma jiddefinixxix operazzjonijiet ta 'rotta interna tan-netwerk. Għal x.25 l-IDs tal-pakketti tiegħu --- iċ-ċirkwit virtwali u n-numri tal-kanali virtwali għandhom ikunu korrelati mal-indirizzi tan-netwerk. L-istess jgħodd għar-rilejs tal-qafas DLCI. Kif dan isir huwa f'idejn il-fornitur tan-netwerk. Relay tal-qafas, bis-saħħa li ma jkollux proċeduri ta 'saff tan-netwerk huwa orjentat lejn il-konnessjoni fis-saff tnejn, billi tuża l-mod HDLC / LAPD / LAPB issettja l-mod asinkroniku bilanċjat (SABM). Il-konnessjonijiet X.25 huma tipikament stabbiliti għal kull sessjoni ta 'komunikazzjoni, iżda għandu karatteristika li tippermetti ammont limitat ta' traffiku li jiġi mgħoddi mill-UNI mingħajr il-handshake orjentat lejn il-konnessjoni. Għal ftit żmien, Frame Relay intuża biex jgħaqqad LANs ma 'netwerks ta' żona wiesgħa. Madankollu, X.25 u kif ukoll ir-relay tal-qafas ġew sostitwiti mill-Protokoll tal-Internet (IP) fis-saff tan-netwerk, u l-mod ta 'trasferiment mhux sinkroniku (ATM) u jew verżjonijiet ta' qlib tat-tikketta b'ħafna protokol (MPLS) fis-saff tnejn. Konfigurazzjoni tipika hija li tmexxi IP fuq ATM jew verżjoni ta 'MPLS. &lt;Uyless Black, X.25 u Protokolli Relatati, IEEE Computer Society, 1991&gt; &lt;uyless Black, Frame Relay Networks, McGraw-Hill, 1998&gt; &lt;Uyless Black, MPLS u Networks ta 'Qlib tat-Tikketta, Prentice Hall, 2001&gt; &lt;Uyless Black, ATM, Volum I, Prentice Hall, 1995&gt;</v>
      </c>
    </row>
    <row r="19684" ht="15.75" customHeight="1">
      <c r="A19684" s="2" t="s">
        <v>19684</v>
      </c>
      <c r="B19684" s="2" t="str">
        <f>IFERROR(__xludf.DUMMYFUNCTION("GOOGLETRANSLATE(A19684, ""en"", ""mt"")"),"Meta ġie ppubblikat l-artiklu tiegħu fir-rivista Century?")</f>
        <v>Meta ġie ppubblikat l-artiklu tiegħu fir-rivista Century?</v>
      </c>
    </row>
    <row r="19685" ht="15.75" customHeight="1">
      <c r="A19685" s="2" t="s">
        <v>19685</v>
      </c>
      <c r="B19685" s="2" t="str">
        <f>IFERROR(__xludf.DUMMYFUNCTION("GOOGLETRANSLATE(A19685, ""en"", ""mt"")"),"Għal kemm dam il-pesta?")</f>
        <v>Għal kemm dam il-pesta?</v>
      </c>
    </row>
    <row r="19686" ht="15.75" customHeight="1">
      <c r="A19686" s="2" t="s">
        <v>19686</v>
      </c>
      <c r="B19686" s="2" t="str">
        <f>IFERROR(__xludf.DUMMYFUNCTION("GOOGLETRANSLATE(A19686, ""en"",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19687" ht="15.75" customHeight="1">
      <c r="A19687" s="2" t="s">
        <v>19687</v>
      </c>
      <c r="B19687" s="2" t="str">
        <f>IFERROR(__xludf.DUMMYFUNCTION("GOOGLETRANSLATE(A19687, ""en"", ""mt"")"),"Min ma jħobbx il-programm ta 'affiljat?")</f>
        <v>Min ma jħobbx il-programm ta 'affiljat?</v>
      </c>
    </row>
    <row r="19688" ht="15.75" customHeight="1">
      <c r="A19688" s="2" t="s">
        <v>19688</v>
      </c>
      <c r="B19688" s="2" t="str">
        <f>IFERROR(__xludf.DUMMYFUNCTION("GOOGLETRANSLATE(A19688, ""en"", ""mt"")"),"daqs 50%")</f>
        <v>daqs 50%</v>
      </c>
    </row>
    <row r="19689" ht="15.75" customHeight="1">
      <c r="A19689" s="2" t="s">
        <v>19689</v>
      </c>
      <c r="B19689" s="2" t="str">
        <f>IFERROR(__xludf.DUMMYFUNCTION("GOOGLETRANSLATE(A19689, ""en"", ""mt"")"),"deheb")</f>
        <v>deheb</v>
      </c>
    </row>
    <row r="19690" ht="15.75" customHeight="1">
      <c r="A19690" s="2" t="s">
        <v>19690</v>
      </c>
      <c r="B19690" s="2" t="str">
        <f>IFERROR(__xludf.DUMMYFUNCTION("GOOGLETRANSLATE(A19690, ""en"", ""mt"")"),"Settembru 1969")</f>
        <v>Settembru 1969</v>
      </c>
    </row>
    <row r="19691" ht="15.75" customHeight="1">
      <c r="A19691" s="2" t="s">
        <v>19691</v>
      </c>
      <c r="B19691" s="2" t="str">
        <f>IFERROR(__xludf.DUMMYFUNCTION("GOOGLETRANSLATE(A19691, ""en"", ""mt"")"),"Xi tfisser l-ożonu li jikkawża effett ta 'ħsara?")</f>
        <v>Xi tfisser l-ożonu li jikkawża effett ta 'ħsara?</v>
      </c>
    </row>
    <row r="19692" ht="15.75" customHeight="1">
      <c r="A19692" s="2" t="s">
        <v>19692</v>
      </c>
      <c r="B19692" s="2" t="str">
        <f>IFERROR(__xludf.DUMMYFUNCTION("GOOGLETRANSLATE(A19692, ""en"", ""mt"")"),"Il-Mongoli lil hinn mir-Renju Nofsani rawhom bħala Ċiniżi wisq")</f>
        <v>Il-Mongoli lil hinn mir-Renju Nofsani rawhom bħala Ċiniżi wisq</v>
      </c>
    </row>
    <row r="19693" ht="15.75" customHeight="1">
      <c r="A19693" s="2" t="s">
        <v>19693</v>
      </c>
      <c r="B19693" s="2" t="str">
        <f>IFERROR(__xludf.DUMMYFUNCTION("GOOGLETRANSLATE(A19693, ""en"", ""mt"")"),"Min ma jistax jiġi impjegat fi skola b'xi mod?")</f>
        <v>Min ma jistax jiġi impjegat fi skola b'xi mod?</v>
      </c>
    </row>
    <row r="19694" ht="15.75" customHeight="1">
      <c r="A19694" s="2" t="s">
        <v>19694</v>
      </c>
      <c r="B19694" s="2" t="str">
        <f>IFERROR(__xludf.DUMMYFUNCTION("GOOGLETRANSLATE(A19694, ""en"", ""mt"")"),"maġġuri")</f>
        <v>maġġuri</v>
      </c>
    </row>
    <row r="19695" ht="15.75" customHeight="1">
      <c r="A19695" s="2" t="s">
        <v>19695</v>
      </c>
      <c r="B19695" s="2" t="str">
        <f>IFERROR(__xludf.DUMMYFUNCTION("GOOGLETRANSLATE(A19695, ""en"", ""mt"")"),"l-ebda ħsara")</f>
        <v>l-ebda ħsara</v>
      </c>
    </row>
    <row r="19696" ht="15.75" customHeight="1">
      <c r="A19696" s="2" t="s">
        <v>19696</v>
      </c>
      <c r="B19696" s="2" t="str">
        <f>IFERROR(__xludf.DUMMYFUNCTION("GOOGLETRANSLATE(A19696, ""en"", ""mt"")"),"Liema stazzjon tar-radju kien xtara ABC f'Mejju 1960?")</f>
        <v>Liema stazzjon tar-radju kien xtara ABC f'Mejju 1960?</v>
      </c>
    </row>
    <row r="19697" ht="15.75" customHeight="1">
      <c r="A19697" s="2" t="s">
        <v>19697</v>
      </c>
      <c r="B19697" s="2" t="str">
        <f>IFERROR(__xludf.DUMMYFUNCTION("GOOGLETRANSLATE(A19697, ""en"", ""mt"")"),"tibgħat email lill-Libanu")</f>
        <v>tibgħat email lill-Libanu</v>
      </c>
    </row>
    <row r="19698" ht="15.75" customHeight="1">
      <c r="A19698" s="2" t="s">
        <v>19698</v>
      </c>
      <c r="B19698" s="2" t="str">
        <f>IFERROR(__xludf.DUMMYFUNCTION("GOOGLETRANSLATE(A19698, ""en"", ""mt"")"),"X'inhuma ż-żewġ sorsi kostituzzjonali primarji ta 'l-Unjoni Ewropea?")</f>
        <v>X'inhuma ż-żewġ sorsi kostituzzjonali primarji ta 'l-Unjoni Ewropea?</v>
      </c>
    </row>
    <row r="19699" ht="15.75" customHeight="1">
      <c r="A19699" s="2" t="s">
        <v>19699</v>
      </c>
      <c r="B19699" s="2" t="str">
        <f>IFERROR(__xludf.DUMMYFUNCTION("GOOGLETRANSLATE(A19699, ""en"", ""mt"")"),"Liema varjabbli hija assoċjata mal-problemi kollha solvuti fl-ispazju logaritmiku?")</f>
        <v>Liema varjabbli hija assoċjata mal-problemi kollha solvuti fl-ispazju logaritmiku?</v>
      </c>
    </row>
    <row r="19700" ht="15.75" customHeight="1">
      <c r="A19700" s="2" t="s">
        <v>19700</v>
      </c>
      <c r="B19700" s="2" t="str">
        <f>IFERROR(__xludf.DUMMYFUNCTION("GOOGLETRANSLATE(A19700, ""en"", ""mt"")"),"Kaifeng,")</f>
        <v>Kaifeng,</v>
      </c>
    </row>
    <row r="19701" ht="15.75" customHeight="1">
      <c r="A19701" s="2" t="s">
        <v>19701</v>
      </c>
      <c r="B19701" s="2" t="str">
        <f>IFERROR(__xludf.DUMMYFUNCTION("GOOGLETRANSLATE(A19701, ""en"", ""mt"")"),"Pajjiżi Ewropej Kontinentali")</f>
        <v>Pajjiżi Ewropej Kontinentali</v>
      </c>
    </row>
    <row r="19702" ht="15.75" customHeight="1">
      <c r="A19702" s="2" t="s">
        <v>19702</v>
      </c>
      <c r="B19702" s="2" t="str">
        <f>IFERROR(__xludf.DUMMYFUNCTION("GOOGLETRANSLATE(A19702, ""en"", ""mt"")"),"Liema Premju Memorial Nobel fir-rebbieħ tax-Xjenzi Ekonomiċi huwa wkoll membru tal-alumni tal-università?")</f>
        <v>Liema Premju Memorial Nobel fir-rebbieħ tax-Xjenzi Ekonomiċi huwa wkoll membru tal-alumni tal-università?</v>
      </c>
    </row>
    <row r="19703" ht="15.75" customHeight="1">
      <c r="A19703" s="2" t="s">
        <v>19703</v>
      </c>
      <c r="B19703" s="2" t="str">
        <f>IFERROR(__xludf.DUMMYFUNCTION("GOOGLETRANSLATE(A19703, ""en"", ""mt"")"),"1749")</f>
        <v>1749</v>
      </c>
    </row>
    <row r="19704" ht="15.75" customHeight="1">
      <c r="A19704" s="2" t="s">
        <v>19704</v>
      </c>
      <c r="B19704" s="2" t="str">
        <f>IFERROR(__xludf.DUMMYFUNCTION("GOOGLETRANSLATE(A19704, ""en"", ""mt"")"),"dritta 'l isfel")</f>
        <v>dritta 'l isfel</v>
      </c>
    </row>
    <row r="19705" ht="15.75" customHeight="1">
      <c r="A19705" s="2" t="s">
        <v>19705</v>
      </c>
      <c r="B19705" s="2" t="str">
        <f>IFERROR(__xludf.DUMMYFUNCTION("GOOGLETRANSLATE(A19705, ""en"", ""mt"")"),"Tnaqqis fil-baġit")</f>
        <v>Tnaqqis fil-baġit</v>
      </c>
    </row>
    <row r="19706" ht="15.75" customHeight="1">
      <c r="A19706" s="2" t="s">
        <v>19706</v>
      </c>
      <c r="B19706" s="2" t="str">
        <f>IFERROR(__xludf.DUMMYFUNCTION("GOOGLETRANSLATE(A19706, ""en"", ""mt"")"),"Seklu 10")</f>
        <v>Seklu 10</v>
      </c>
    </row>
    <row r="19707" ht="15.75" customHeight="1">
      <c r="A19707" s="2" t="s">
        <v>19707</v>
      </c>
      <c r="B19707" s="2" t="str">
        <f>IFERROR(__xludf.DUMMYFUNCTION("GOOGLETRANSLATE(A19707, ""en"", ""mt"")"),"X'vigħat id-disinn tiegħu meta ma jkollux kommutatur?")</f>
        <v>X'vigħat id-disinn tiegħu meta ma jkollux kommutatur?</v>
      </c>
    </row>
    <row r="19708" ht="15.75" customHeight="1">
      <c r="A19708" s="2" t="s">
        <v>19708</v>
      </c>
      <c r="B19708" s="2" t="str">
        <f>IFERROR(__xludf.DUMMYFUNCTION("GOOGLETRANSLATE(A19708, ""en"", ""mt"")"),"Peress li n-NASA ma kinitx taf kemm tentattivi kull test jispiċċa jeħtieġ, dak li użaw minflok numri għall-provi?")</f>
        <v>Peress li n-NASA ma kinitx taf kemm tentattivi kull test jispiċċa jeħtieġ, dak li użaw minflok numri għall-provi?</v>
      </c>
    </row>
    <row r="19709" ht="15.75" customHeight="1">
      <c r="A19709" s="2" t="s">
        <v>19709</v>
      </c>
      <c r="B19709" s="2" t="str">
        <f>IFERROR(__xludf.DUMMYFUNCTION("GOOGLETRANSLATE(A19709, ""en"", ""mt"")"),"Liema komposti organiċi fihom l-akbar ammont ta 'ossiġenu bil-massa?")</f>
        <v>Liema komposti organiċi fihom l-akbar ammont ta 'ossiġenu bil-massa?</v>
      </c>
    </row>
    <row r="19710" ht="15.75" customHeight="1">
      <c r="A19710" s="2" t="s">
        <v>19710</v>
      </c>
      <c r="B19710" s="2" t="str">
        <f>IFERROR(__xludf.DUMMYFUNCTION("GOOGLETRANSLATE(A19710, ""en"", ""mt"")"),"Liema xmara tingħaqad mar-Rhine f'Duisburg?")</f>
        <v>Liema xmara tingħaqad mar-Rhine f'Duisburg?</v>
      </c>
    </row>
    <row r="19711" ht="15.75" customHeight="1">
      <c r="A19711" s="2" t="s">
        <v>19711</v>
      </c>
      <c r="B19711" s="2" t="str">
        <f>IFERROR(__xludf.DUMMYFUNCTION("GOOGLETRANSLATE(A19711, ""en"", ""mt"")"),"X'kien in-numru ta '17 -il interċezzjoni li Peyton Manning kellu sa tmiem is-sena?")</f>
        <v>X'kien in-numru ta '17 -il interċezzjoni li Peyton Manning kellu sa tmiem is-sena?</v>
      </c>
    </row>
    <row r="19712" ht="15.75" customHeight="1">
      <c r="A19712" s="2" t="s">
        <v>19712</v>
      </c>
      <c r="B19712" s="2" t="str">
        <f>IFERROR(__xludf.DUMMYFUNCTION("GOOGLETRANSLATE(A19712, ""en"", ""mt"")"),"Liema snin tas-serje huma disponibbli fuq Blu-ray?")</f>
        <v>Liema snin tas-serje huma disponibbli fuq Blu-ray?</v>
      </c>
    </row>
    <row r="19713" ht="15.75" customHeight="1">
      <c r="A19713" s="2" t="s">
        <v>19713</v>
      </c>
      <c r="B19713" s="2" t="str">
        <f>IFERROR(__xludf.DUMMYFUNCTION("GOOGLETRANSLATE(A19713, ""en"", ""mt"")"),"bejn l-1835 u l-1842")</f>
        <v>bejn l-1835 u l-1842</v>
      </c>
    </row>
    <row r="19714" ht="15.75" customHeight="1">
      <c r="A19714" s="2" t="s">
        <v>19714</v>
      </c>
      <c r="B19714" s="2" t="str">
        <f>IFERROR(__xludf.DUMMYFUNCTION("GOOGLETRANSLATE(A19714, ""en"", ""mt"")"),"Taħt il-pjan ta 'għaqda ta' Goldenson, x'jista 'tissemma l-entità l-ġdida?")</f>
        <v>Taħt il-pjan ta 'għaqda ta' Goldenson, x'jista 'tissemma l-entità l-ġdida?</v>
      </c>
    </row>
    <row r="19715" ht="15.75" customHeight="1">
      <c r="A19715" s="2" t="s">
        <v>19715</v>
      </c>
      <c r="B19715" s="2" t="str">
        <f>IFERROR(__xludf.DUMMYFUNCTION("GOOGLETRANSLATE(A19715, ""en"", ""mt"")"),"Is-servizz ferrovjarju tal-passiġġieri huwa pprovdut minn Amtrak San Joaquins. L-istazzjon tal-ferrovija tal-passiġġieri prinċipali huwa l-istoriku storiku rinnovat ta 'Santa Fe Depot fil-belt ta' Fresno. Il-linji ewlenin ta 'Bakersfield-Stockton tal-Ferr"&amp;"ovija ta' Burlington Northern Santa Fe u l-Ferrovija tal-Ferrovija tal-Paċifiku tal-Unjoni fi Fresno, u ż-żewġ ferroviji jżommu l-ferroviji fil-belt; Il-Ferrovija ta ’San Joaquin Valley topera wkoll ex-fergħat tal-Paċifiku tan-Nofsinhar li jmorru lejn il-"&amp;"punent u n-nofsinhar barra mill-belt. Il-belt ta 'Fresno hija ppjanata li sservi l-ferrovija futura ta' veloċità għolja ta 'California.")</f>
        <v>Is-servizz ferrovjarju tal-passiġġieri huwa pprovdut minn Amtrak San Joaquins. L-istazzjon tal-ferrovija tal-passiġġieri prinċipali huwa l-istoriku storiku rinnovat ta 'Santa Fe Depot fil-belt ta' Fresno. Il-linji ewlenin ta 'Bakersfield-Stockton tal-Ferrovija ta' Burlington Northern Santa Fe u l-Ferrovija tal-Ferrovija tal-Paċifiku tal-Unjoni fi Fresno, u ż-żewġ ferroviji jżommu l-ferroviji fil-belt; Il-Ferrovija ta ’San Joaquin Valley topera wkoll ex-fergħat tal-Paċifiku tan-Nofsinhar li jmorru lejn il-punent u n-nofsinhar barra mill-belt. Il-belt ta 'Fresno hija ppjanata li sservi l-ferrovija futura ta' veloċità għolja ta 'California.</v>
      </c>
    </row>
    <row r="19716" ht="15.75" customHeight="1">
      <c r="A19716" s="2" t="s">
        <v>19716</v>
      </c>
      <c r="B19716" s="2" t="str">
        <f>IFERROR(__xludf.DUMMYFUNCTION("GOOGLETRANSLATE(A19716, ""en"", ""mt"")"),"Fl-1962, id-disinjatur grafiku Paul Rand iddisinja mill-ġdid il-logo ABC fil-forma l-iktar magħrufa (u kurrenti) tiegħu, bl-ittri żgħar ""ABC"" magħluqa f'ċirku iswed wieħed. Il-logo l-ġdid iddebutta fuq l-ajru għall-promos ta 'ABC fil-bidu tal-istaġun 19"&amp;"63–64. L-ittri huma reminixxenti bil-qawwa tat-tip ta 'Bauhaus iddisinjat minn Herbert Bayer fis-snin 1920, iżda wkoll jaqsmu xebh ma' bosta fonts oħra, bħal ITC Avant Garde u Horatio, u l-aktar li jixbħu Chalet. Is-sempliċità tal-logo għamlitha aktar faċ"&amp;"li biex tfassal mill-ġdid u tidduplika, li taw benefiċċju għal ABC (l-aktar qabel il-miġja tal-grafika tal-kompjuter).")</f>
        <v>Fl-1962, id-disinjatur grafiku Paul Rand iddisinja mill-ġdid il-logo ABC fil-forma l-iktar magħrufa (u kurrenti) tiegħu, bl-ittri żgħar "ABC" magħluqa f'ċirku iswed wieħed. Il-logo l-ġdid iddebutta fuq l-ajru għall-promos ta 'ABC fil-bidu tal-istaġun 1963–64. L-ittri huma reminixxenti bil-qawwa tat-tip ta 'Bauhaus iddisinjat minn Herbert Bayer fis-snin 1920, iżda wkoll jaqsmu xebh ma' bosta fonts oħra, bħal ITC Avant Garde u Horatio, u l-aktar li jixbħu Chalet. Is-sempliċità tal-logo għamlitha aktar faċli biex tfassal mill-ġdid u tidduplika, li taw benefiċċju għal ABC (l-aktar qabel il-miġja tal-grafika tal-kompjuter).</v>
      </c>
    </row>
    <row r="19717" ht="15.75" customHeight="1">
      <c r="A19717" s="2" t="s">
        <v>19717</v>
      </c>
      <c r="B19717" s="2" t="str">
        <f>IFERROR(__xludf.DUMMYFUNCTION("GOOGLETRANSLATE(A19717, ""en"", ""mt"")"),"Phagolysosome")</f>
        <v>Phagolysosome</v>
      </c>
    </row>
    <row r="19718" ht="15.75" customHeight="1">
      <c r="A19718" s="2" t="s">
        <v>19718</v>
      </c>
      <c r="B19718" s="2" t="str">
        <f>IFERROR(__xludf.DUMMYFUNCTION("GOOGLETRANSLATE(A19718, ""en"", ""mt"")"),"Ipproteġi l-Art tar-Re fil-Wied ta 'Ohio")</f>
        <v>Ipproteġi l-Art tar-Re fil-Wied ta 'Ohio</v>
      </c>
    </row>
    <row r="19719" ht="15.75" customHeight="1">
      <c r="A19719" s="2" t="s">
        <v>19719</v>
      </c>
      <c r="B19719" s="2" t="str">
        <f>IFERROR(__xludf.DUMMYFUNCTION("GOOGLETRANSLATE(A19719, ""en"", ""mt"")"),"Jochi")</f>
        <v>Jochi</v>
      </c>
    </row>
    <row r="19720" ht="15.75" customHeight="1">
      <c r="A19720" s="2" t="s">
        <v>19720</v>
      </c>
      <c r="B19720" s="2" t="str">
        <f>IFERROR(__xludf.DUMMYFUNCTION("GOOGLETRANSLATE(A19720, ""en"", ""mt"")"),"Pitt")</f>
        <v>Pitt</v>
      </c>
    </row>
    <row r="19721" ht="15.75" customHeight="1">
      <c r="A19721" s="2" t="s">
        <v>19721</v>
      </c>
      <c r="B19721" s="2" t="str">
        <f>IFERROR(__xludf.DUMMYFUNCTION("GOOGLETRANSLATE(A19721, ""en"", ""mt"")"),"Guinea Ġdida")</f>
        <v>Guinea Ġdida</v>
      </c>
    </row>
    <row r="19722" ht="15.75" customHeight="1">
      <c r="A19722" s="2" t="s">
        <v>19722</v>
      </c>
      <c r="B19722" s="2" t="str">
        <f>IFERROR(__xludf.DUMMYFUNCTION("GOOGLETRANSLATE(A19722, ""en"", ""mt"")"),"miksura fuq libertajiet demokratiċi")</f>
        <v>miksura fuq libertajiet demokratiċi</v>
      </c>
    </row>
    <row r="19723" ht="15.75" customHeight="1">
      <c r="A19723" s="2" t="s">
        <v>19723</v>
      </c>
      <c r="B19723" s="2" t="str">
        <f>IFERROR(__xludf.DUMMYFUNCTION("GOOGLETRANSLATE(A19723, ""en"", ""mt"")"),"178")</f>
        <v>178</v>
      </c>
    </row>
    <row r="19724" ht="15.75" customHeight="1">
      <c r="A19724" s="2" t="s">
        <v>19724</v>
      </c>
      <c r="B19724" s="2" t="str">
        <f>IFERROR(__xludf.DUMMYFUNCTION("GOOGLETRANSLATE(A19724, ""en"", ""mt"")"),"X'eżamina studju tal-1996 minn Perotti?")</f>
        <v>X'eżamina studju tal-1996 minn Perotti?</v>
      </c>
    </row>
    <row r="19725" ht="15.75" customHeight="1">
      <c r="A19725" s="2" t="s">
        <v>19725</v>
      </c>
      <c r="B19725" s="2" t="str">
        <f>IFERROR(__xludf.DUMMYFUNCTION("GOOGLETRANSLATE(A19725, ""en"", ""mt"")"),"Distretti tan-Negozju")</f>
        <v>Distretti tan-Negozju</v>
      </c>
    </row>
    <row r="19726" ht="15.75" customHeight="1">
      <c r="A19726" s="2" t="s">
        <v>19726</v>
      </c>
      <c r="B19726" s="2" t="str">
        <f>IFERROR(__xludf.DUMMYFUNCTION("GOOGLETRANSLATE(A19726, ""en"", ""mt"")"),"X'kien il-mudell dominanti tad-djar meta ċ-ċentri industrijali kienu qed jikbru l-iktar malajr?")</f>
        <v>X'kien il-mudell dominanti tad-djar meta ċ-ċentri industrijali kienu qed jikbru l-iktar malajr?</v>
      </c>
    </row>
    <row r="19727" ht="15.75" customHeight="1">
      <c r="A19727" s="2" t="s">
        <v>19727</v>
      </c>
      <c r="B19727" s="2" t="str">
        <f>IFERROR(__xludf.DUMMYFUNCTION("GOOGLETRANSLATE(A19727, ""en"", ""mt"")"),"l-orjent kontemporanju")</f>
        <v>l-orjent kontemporanju</v>
      </c>
    </row>
    <row r="19728" ht="15.75" customHeight="1">
      <c r="A19728" s="2" t="s">
        <v>19728</v>
      </c>
      <c r="B19728" s="2" t="str">
        <f>IFERROR(__xludf.DUMMYFUNCTION("GOOGLETRANSLATE(A19728, ""en"", ""mt"")"),"BBC Dead Ringers")</f>
        <v>BBC Dead Ringers</v>
      </c>
    </row>
    <row r="19729" ht="15.75" customHeight="1">
      <c r="A19729" s="2" t="s">
        <v>19729</v>
      </c>
      <c r="B19729" s="2" t="str">
        <f>IFERROR(__xludf.DUMMYFUNCTION("GOOGLETRANSLATE(A19729, ""en"", ""mt"")"),"Sistema tat-taxxa")</f>
        <v>Sistema tat-taxxa</v>
      </c>
    </row>
    <row r="19730" ht="15.75" customHeight="1">
      <c r="A19730" s="2" t="s">
        <v>19730</v>
      </c>
      <c r="B19730" s="2" t="str">
        <f>IFERROR(__xludf.DUMMYFUNCTION("GOOGLETRANSLATE(A19730, ""en"", ""mt"")"),"Gemini")</f>
        <v>Gemini</v>
      </c>
    </row>
    <row r="19731" ht="15.75" customHeight="1">
      <c r="A19731" s="2" t="s">
        <v>19731</v>
      </c>
      <c r="B19731" s="2" t="str">
        <f>IFERROR(__xludf.DUMMYFUNCTION("GOOGLETRANSLATE(A19731, ""en"", ""mt"")"),"Kemm hemm fraternitajiet apparti mill-università?")</f>
        <v>Kemm hemm fraternitajiet apparti mill-università?</v>
      </c>
    </row>
    <row r="19732" ht="15.75" customHeight="1">
      <c r="A19732" s="2" t="s">
        <v>19732</v>
      </c>
      <c r="B19732" s="2" t="str">
        <f>IFERROR(__xludf.DUMMYFUNCTION("GOOGLETRANSLATE(A19732, ""en"", ""mt"")"),"Mhux iċ-ċelloli kollha f'impjant multikellulari fihom kloroplasti. Il-partijiet ħodor kollha ta 'pjanta fihom kloroplasti - il-kloroplasti, jew b'mod aktar speċifiku, il-klorofilla fihom huma dak li jagħmlu l-partijiet fotosintetiċi ta' pjanta ħadra. Iċ-ċ"&amp;"elloli tal-pjanti li fihom kloroplasti huma ġeneralment ċelloli tal-parenċima, għalkemm il-kloroplasti jistgħu jinstabu wkoll fit-tessut tal-collenchyma. Ċellula tal-pjanti li fiha kloroplasti hija magħrufa bħala ċellola tal-klorenchyma. Ċellula tipika ta"&amp;"l-klorenchyma ta 'impjant tal-art fiha madwar 10 sa 100 kloroplasti.")</f>
        <v>Mhux iċ-ċelloli kollha f'impjant multikellulari fihom kloroplasti. Il-partijiet ħodor kollha ta 'pjanta fihom kloroplasti - il-kloroplasti, jew b'mod aktar speċifiku, il-klorofilla fihom huma dak li jagħmlu l-partijiet fotosintetiċi ta' pjanta ħadra. Iċ-ċelloli tal-pjanti li fihom kloroplasti huma ġeneralment ċelloli tal-parenċima, għalkemm il-kloroplasti jistgħu jinstabu wkoll fit-tessut tal-collenchyma. Ċellula tal-pjanti li fiha kloroplasti hija magħrufa bħala ċellola tal-klorenchyma. Ċellula tipika tal-klorenchyma ta 'impjant tal-art fiha madwar 10 sa 100 kloroplasti.</v>
      </c>
    </row>
    <row r="19733" ht="15.75" customHeight="1">
      <c r="A19733" s="2" t="s">
        <v>19733</v>
      </c>
      <c r="B19733" s="2" t="str">
        <f>IFERROR(__xludf.DUMMYFUNCTION("GOOGLETRANSLATE(A19733, ""en"", ""mt"")"),"Liema ammont ta 'speċi ta' għasafar fid-dinja jinstabu fil-foresta tropikali tal-Amażonja?")</f>
        <v>Liema ammont ta 'speċi ta' għasafar fid-dinja jinstabu fil-foresta tropikali tal-Amażonja?</v>
      </c>
    </row>
    <row r="19734" ht="15.75" customHeight="1">
      <c r="A19734" s="2" t="s">
        <v>19734</v>
      </c>
      <c r="B19734" s="2" t="str">
        <f>IFERROR(__xludf.DUMMYFUNCTION("GOOGLETRANSLATE(A19734, ""en"", ""mt"")"),"mard ta 'dekompressjoni (il- ""liwjiet"")")</f>
        <v>mard ta 'dekompressjoni (il- "liwjiet")</v>
      </c>
    </row>
    <row r="19735" ht="15.75" customHeight="1">
      <c r="A19735" s="2" t="s">
        <v>19735</v>
      </c>
      <c r="B19735" s="2" t="str">
        <f>IFERROR(__xludf.DUMMYFUNCTION("GOOGLETRANSLATE(A19735, ""en"", ""mt"")"),"Disney-ABC Television Group implimenta restrizzjonijiet għal Hulu u Watch ABC li għamlu episodji disponibbli biss wara kemm jiem wara xandira inizjali?")</f>
        <v>Disney-ABC Television Group implimenta restrizzjonijiet għal Hulu u Watch ABC li għamlu episodji disponibbli biss wara kemm jiem wara xandira inizjali?</v>
      </c>
    </row>
    <row r="19736" ht="15.75" customHeight="1">
      <c r="A19736" s="2" t="s">
        <v>19736</v>
      </c>
      <c r="B19736" s="2" t="str">
        <f>IFERROR(__xludf.DUMMYFUNCTION("GOOGLETRANSLATE(A19736, ""en"", ""mt"")"),"Min japplika għarfien espert biex jirrelata x-xogħol u l-materjali involuti ma 'valutazzjoni xierqa?")</f>
        <v>Min japplika għarfien espert biex jirrelata x-xogħol u l-materjali involuti ma 'valutazzjoni xierqa?</v>
      </c>
    </row>
    <row r="19737" ht="15.75" customHeight="1">
      <c r="A19737" s="2" t="s">
        <v>19737</v>
      </c>
      <c r="B19737" s="2" t="str">
        <f>IFERROR(__xludf.DUMMYFUNCTION("GOOGLETRANSLATE(A19737, ""en"", ""mt"")"),"Għal liema tip ta 'trattament huma importanti l-ispiżjara?")</f>
        <v>Għal liema tip ta 'trattament huma importanti l-ispiżjara?</v>
      </c>
    </row>
    <row r="19738" ht="15.75" customHeight="1">
      <c r="A19738" s="2" t="s">
        <v>19738</v>
      </c>
      <c r="B19738" s="2" t="str">
        <f>IFERROR(__xludf.DUMMYFUNCTION("GOOGLETRANSLATE(A19738, ""en"", ""mt"")"),"Liema istitut ħabbar l-università lil kulħadd fl-2008?")</f>
        <v>Liema istitut ħabbar l-università lil kulħadd fl-2008?</v>
      </c>
    </row>
    <row r="19739" ht="15.75" customHeight="1">
      <c r="A19739" s="2" t="s">
        <v>19739</v>
      </c>
      <c r="B19739" s="2" t="str">
        <f>IFERROR(__xludf.DUMMYFUNCTION("GOOGLETRANSLATE(A19739, ""en"", ""mt"")"),"Luther kif esprima l-qerda?")</f>
        <v>Luther kif esprima l-qerda?</v>
      </c>
    </row>
    <row r="19740" ht="15.75" customHeight="1">
      <c r="A19740" s="2" t="s">
        <v>19740</v>
      </c>
      <c r="B19740" s="2" t="str">
        <f>IFERROR(__xludf.DUMMYFUNCTION("GOOGLETRANSLATE(A19740, ""en"", ""mt"")"),"X'inhu t-terminu għal sistema immuni iperattiva li tattakka tessuti normali?")</f>
        <v>X'inhu t-terminu għal sistema immuni iperattiva li tattakka tessuti normali?</v>
      </c>
    </row>
    <row r="19741" ht="15.75" customHeight="1">
      <c r="A19741" s="2" t="s">
        <v>19741</v>
      </c>
      <c r="B19741" s="2" t="str">
        <f>IFERROR(__xludf.DUMMYFUNCTION("GOOGLETRANSLATE(A19741, ""en"", ""mt"")"),"Il-lingwa formali assoċjata ma 'din il-problema ta' deċiżjoni")</f>
        <v>Il-lingwa formali assoċjata ma 'din il-problema ta' deċiżjoni</v>
      </c>
    </row>
    <row r="19742" ht="15.75" customHeight="1">
      <c r="A19742" s="2" t="s">
        <v>19742</v>
      </c>
      <c r="B19742" s="2" t="str">
        <f>IFERROR(__xludf.DUMMYFUNCTION("GOOGLETRANSLATE(A19742, ""en"", ""mt"")"),"Il-funzjoni Zeta hija relatata mill-qrib man-numri ewlenin. Pereżempju, il-fatt imsemmi hawn fuq li hemm ħafna primes infinitament jista 'jidher ukoll bl-użu tal-funzjoni Zeta: jekk kien hemm biss ħafna primes finitament allura ζ (1) ikollu valur finit. M"&amp;"adankollu, is-Serje Armonika 1 + 1/2 + 1/3 + 1/4 + ... tvarja (i.e., taqbeż kull numru partikolari), u għalhekk għandu jkun hemm ħafna primes infinitament. Eżempju ieħor tar-rikkezza tal-funzjoni Zeta u idea tat-teorija moderna tan-numru alġebrin huwa l-i"&amp;"dentità li ġejja (problema ta 'Basel), minħabba Euler,")</f>
        <v>Il-funzjoni Zeta hija relatata mill-qrib man-numri ewlenin. Pereżempju, il-fatt imsemmi hawn fuq li hemm ħafna primes infinitament jista 'jidher ukoll bl-użu tal-funzjoni Zeta: jekk kien hemm biss ħafna primes finitament allura ζ (1) ikollu valur finit. Madankollu, is-Serje Armonika 1 + 1/2 + 1/3 + 1/4 + ... tvarja (i.e., taqbeż kull numru partikolari), u għalhekk għandu jkun hemm ħafna primes infinitament. Eżempju ieħor tar-rikkezza tal-funzjoni Zeta u idea tat-teorija moderna tan-numru alġebrin huwa l-identità li ġejja (problema ta 'Basel), minħabba Euler,</v>
      </c>
    </row>
    <row r="19743" ht="15.75" customHeight="1">
      <c r="A19743" s="2" t="s">
        <v>19743</v>
      </c>
      <c r="B19743" s="2" t="str">
        <f>IFERROR(__xludf.DUMMYFUNCTION("GOOGLETRANSLATE(A19743, ""en"", ""mt"")"),"Il-kastig korporali qed jiżdied jew jonqos fin-Nofsinhar?")</f>
        <v>Il-kastig korporali qed jiżdied jew jonqos fin-Nofsinhar?</v>
      </c>
    </row>
    <row r="19744" ht="15.75" customHeight="1">
      <c r="A19744" s="2" t="s">
        <v>19744</v>
      </c>
      <c r="B19744" s="2" t="str">
        <f>IFERROR(__xludf.DUMMYFUNCTION("GOOGLETRANSLATE(A19744, ""en"", ""mt"")"),"Ġersijiet bojod li jaqblu")</f>
        <v>Ġersijiet bojod li jaqblu</v>
      </c>
    </row>
    <row r="19745" ht="15.75" customHeight="1">
      <c r="A19745" s="2" t="s">
        <v>19745</v>
      </c>
      <c r="B19745" s="2" t="str">
        <f>IFERROR(__xludf.DUMMYFUNCTION("GOOGLETRANSLATE(A19745, ""en"", ""mt"")"),"Aktar fin-nofsinhar l-intern tax-Xlokk kien iddominat minn Catawba li titkellem minn Siouan, Creek u Choctaw li jitkellmu bil-Muskogee, u t-tribujiet Cherokee li jitkellmu Iroquoian. Meta faqqgħet il-gwerra, il-Franċiżi użaw il-konnessjonijiet kummerċjali"&amp;" tagħhom biex jirreklutaw ġellieda minn tribujiet f'porzjonijiet tal-Punent tar-reġjun tal-Lagi l-Kbar (żona li mhix direttament soġġetta għall-kunflitt bejn il-Franċiżi u l-Ingliżi), inklużi l-Huron, Mississauga, Ojibwa, Winnebago, u Potawatomi. Il-Britt"&amp;"aniċi kienu appoġġjati fil-gwerra mill-Iroquois Six Nations, u wkoll miċ-Cherokee - sakemm id-differenzi qanqlu l-Gwerra Anglo-Cherokee fl-1758. Fl-1758 il-gvern ta ’Pennsylvania innegozja b’suċċess it-Trattat ta’ Easton, li fih numru ta ’tribujiet fil - "&amp;"Pajjiż Ohio wiegħed in-newtralità bi skambju għal konċessjonijiet tal-art u kunsiderazzjonijiet oħra. Il-biċċa l-kbira tat-tribujiet l-oħra tat-Tramuntana naħat mal-Franċiżi, is-sieħeb kummerċjali primarju tagħhom u l-fornitur tal-armi. Il-Creek u Cheroke"&amp;"e kienu soġġetti għal sforzi diplomatiċi kemm mill-Franċiżi kif ukoll mill-Ingliżi biex jiksbu l-appoġġ tagħhom jew in-newtralità fil-kunflitt. Ma kienx komuni għal baned żgħar biex jipparteċipaw fuq in- ""naħa l-oħra"" tal-kunflitt minn ftehimiet negozja"&amp;"ti formalment, peress li ħafna tribujiet kienu deċentralizzati u l-baned ħadu d-deċiżjonijiet tagħhom stess dwar il-gwerra.")</f>
        <v>Aktar fin-nofsinhar l-intern tax-Xlokk kien iddominat minn Catawba li titkellem minn Siouan, Creek u Choctaw li jitkellmu bil-Muskogee, u t-tribujiet Cherokee li jitkellmu Iroquoian. Meta faqqgħet il-gwerra, il-Franċiżi użaw il-konnessjonijiet kummerċjali tagħhom biex jirreklutaw ġellieda minn tribujiet f'porzjonijiet tal-Punent tar-reġjun tal-Lagi l-Kbar (żona li mhix direttament soġġetta għall-kunflitt bejn il-Franċiżi u l-Ingliżi), inklużi l-Huron, Mississauga, Ojibwa, Winnebago, u Potawatomi. Il-Brittaniċi kienu appoġġjati fil-gwerra mill-Iroquois Six Nations, u wkoll miċ-Cherokee - sakemm id-differenzi qanqlu l-Gwerra Anglo-Cherokee fl-1758. Fl-1758 il-gvern ta ’Pennsylvania innegozja b’suċċess it-Trattat ta’ Easton, li fih numru ta ’tribujiet fil - Pajjiż Ohio wiegħed in-newtralità bi skambju għal konċessjonijiet tal-art u kunsiderazzjonijiet oħra. Il-biċċa l-kbira tat-tribujiet l-oħra tat-Tramuntana naħat mal-Franċiżi, is-sieħeb kummerċjali primarju tagħhom u l-fornitur tal-armi. Il-Creek u Cherokee kienu soġġetti għal sforzi diplomatiċi kemm mill-Franċiżi kif ukoll mill-Ingliżi biex jiksbu l-appoġġ tagħhom jew in-newtralità fil-kunflitt. Ma kienx komuni għal baned żgħar biex jipparteċipaw fuq in- "naħa l-oħra" tal-kunflitt minn ftehimiet negozjati formalment, peress li ħafna tribujiet kienu deċentralizzati u l-baned ħadu d-deċiżjonijiet tagħhom stess dwar il-gwerra.</v>
      </c>
    </row>
    <row r="19746" ht="15.75" customHeight="1">
      <c r="A19746" s="2" t="s">
        <v>19746</v>
      </c>
      <c r="B19746" s="2" t="str">
        <f>IFERROR(__xludf.DUMMYFUNCTION("GOOGLETRANSLATE(A19746, ""en"", ""mt"")"),"X'jikkawża li l-popolazzjoni ta 'ctenophora tikber b'rata splussiva?")</f>
        <v>X'jikkawża li l-popolazzjoni ta 'ctenophora tikber b'rata splussiva?</v>
      </c>
    </row>
    <row r="19747" ht="15.75" customHeight="1">
      <c r="A19747" s="2" t="s">
        <v>19747</v>
      </c>
      <c r="B19747" s="2" t="str">
        <f>IFERROR(__xludf.DUMMYFUNCTION("GOOGLETRANSLATE(A19747, ""en"", ""mt"")"),"Il-partit, jew il-partijiet, li jżommu l-maġġoranza tas-siġġijiet fil-Parlament jiffurmaw il-gvern Skoċċiż. B'kuntrast ma 'ħafna sistemi parlamentari oħra, il-Parlament jeleġġi l-ewwel ministru minn numru ta' kandidati fil-bidu ta 'kull terminu parlamenta"&amp;"ri (wara elezzjoni ġenerali). Kull membru jista 'jressaq isimhom biex ikun l-ewwel ministru, u jittieħed vot mill-membri kollha tal-Parlament. Normalment, il-mexxej tal-akbar partit jiġi rritornat bħala l-Ewwel Ministru, u l-Kap tal-Gvern Skoċċiż. Teoreti"&amp;"kament, il-Parlament jagħżel ukoll il-ministri Skoċċiżi li jiffurmaw il-gvern tal-Iskozja u joqogħdu fil-kabinett Skoċċiż, iżda dawn il-ministri huma, fil-prattika, maħtura għar-rwoli tagħhom mill-Ewwel Ministru. Il-ministri tal-Junior, li ma jattendux il"&amp;"-kabinett, huma wkoll maħtura biex jgħinu lill-ministri Skoċċiżi fid-dipartimenti tagħhom. Il-biċċa l-kbira tal-ministri u l-juniors tagħhom huma meħuda minn fost l-MSPs eletti, bl-eċċezzjoni tal-uffiċjali ewlenin tal-liġi tal-Iskozja: l-Avukat tal-Mulej "&amp;"u l-avukat ġenerali. Filwaqt li l-ewwel ministru jagħżel il-ministri - u jista 'jiddeċiedi li jneħħihom fi kwalunkwe ħin - il-ħatra formali jew it-tkeċċija ssir mis-sovran.")</f>
        <v>Il-partit, jew il-partijiet, li jżommu l-maġġoranza tas-siġġijiet fil-Parlament jiffurmaw il-gvern Skoċċiż. B'kuntrast ma 'ħafna sistemi parlamentari oħra, il-Parlament jeleġġi l-ewwel ministru minn numru ta' kandidati fil-bidu ta 'kull terminu parlamentari (wara elezzjoni ġenerali). Kull membru jista 'jressaq isimhom biex ikun l-ewwel ministru, u jittieħed vot mill-membri kollha tal-Parlament. Normalment, il-mexxej tal-akbar partit jiġi rritornat bħala l-Ewwel Ministru, u l-Kap tal-Gvern Skoċċiż. Teoretikament, il-Parlament jagħżel ukoll il-ministri Skoċċiżi li jiffurmaw il-gvern tal-Iskozja u joqogħdu fil-kabinett Skoċċiż, iżda dawn il-ministri huma, fil-prattika, maħtura għar-rwoli tagħhom mill-Ewwel Ministru. Il-ministri tal-Junior, li ma jattendux il-kabinett, huma wkoll maħtura biex jgħinu lill-ministri Skoċċiżi fid-dipartimenti tagħhom. Il-biċċa l-kbira tal-ministri u l-juniors tagħhom huma meħuda minn fost l-MSPs eletti, bl-eċċezzjoni tal-uffiċjali ewlenin tal-liġi tal-Iskozja: l-Avukat tal-Mulej u l-avukat ġenerali. Filwaqt li l-ewwel ministru jagħżel il-ministri - u jista 'jiddeċiedi li jneħħihom fi kwalunkwe ħin - il-ħatra formali jew it-tkeċċija ssir mis-sovran.</v>
      </c>
    </row>
    <row r="19748" ht="15.75" customHeight="1">
      <c r="A19748" s="2" t="s">
        <v>19748</v>
      </c>
      <c r="B19748" s="2" t="str">
        <f>IFERROR(__xludf.DUMMYFUNCTION("GOOGLETRANSLATE(A19748, ""en"", ""mt"")"),"1% sa 3%")</f>
        <v>1% sa 3%</v>
      </c>
    </row>
    <row r="19749" ht="15.75" customHeight="1">
      <c r="A19749" s="2" t="s">
        <v>19749</v>
      </c>
      <c r="B19749" s="2" t="str">
        <f>IFERROR(__xludf.DUMMYFUNCTION("GOOGLETRANSLATE(A19749, ""en"", ""mt"")"),"Il-Gallerija T. T. Tsui tal-Art Ċiniża")</f>
        <v>Il-Gallerija T. T. Tsui tal-Art Ċiniża</v>
      </c>
    </row>
    <row r="19750" ht="15.75" customHeight="1">
      <c r="A19750" s="2" t="s">
        <v>19750</v>
      </c>
      <c r="B19750" s="2" t="str">
        <f>IFERROR(__xludf.DUMMYFUNCTION("GOOGLETRANSLATE(A19750, ""en"", ""mt"")"),"mhux restawrat mill-awtoritajiet komunisti")</f>
        <v>mhux restawrat mill-awtoritajiet komunisti</v>
      </c>
    </row>
    <row r="19751" ht="15.75" customHeight="1">
      <c r="A19751" s="2" t="s">
        <v>19751</v>
      </c>
      <c r="B19751" s="2" t="str">
        <f>IFERROR(__xludf.DUMMYFUNCTION("GOOGLETRANSLATE(A19751, ""en"", ""mt"")"),"Xi riedu li tkun is-sistema edukattiva?")</f>
        <v>Xi riedu li tkun is-sistema edukattiva?</v>
      </c>
    </row>
    <row r="19752" ht="15.75" customHeight="1">
      <c r="A19752" s="2" t="s">
        <v>19752</v>
      </c>
      <c r="B19752" s="2" t="str">
        <f>IFERROR(__xludf.DUMMYFUNCTION("GOOGLETRANSLATE(A19752, ""en"", ""mt"")"),"Il-Battalja ta ’Hastings")</f>
        <v>Il-Battalja ta ’Hastings</v>
      </c>
    </row>
    <row r="19753" ht="15.75" customHeight="1">
      <c r="A19753" s="2" t="s">
        <v>19753</v>
      </c>
      <c r="B19753" s="2" t="str">
        <f>IFERROR(__xludf.DUMMYFUNCTION("GOOGLETRANSLATE(A19753, ""en"", ""mt"")"),"Gallerija tan-nagħaġ")</f>
        <v>Gallerija tan-nagħaġ</v>
      </c>
    </row>
    <row r="19754" ht="15.75" customHeight="1">
      <c r="A19754" s="2" t="s">
        <v>19754</v>
      </c>
      <c r="B19754" s="2" t="str">
        <f>IFERROR(__xludf.DUMMYFUNCTION("GOOGLETRANSLATE(A19754, ""en"", ""mt"")"),"27 ta ’Lulju 2008")</f>
        <v>27 ta ’Lulju 2008</v>
      </c>
    </row>
    <row r="19755" ht="15.75" customHeight="1">
      <c r="A19755" s="2" t="s">
        <v>19755</v>
      </c>
      <c r="B19755" s="2" t="str">
        <f>IFERROR(__xludf.DUMMYFUNCTION("GOOGLETRANSLATE(A19755, ""en"", ""mt"")"),"Kemm żdied it-tieni stadju bl-integrazzjoni tal-S-IVB-200?")</f>
        <v>Kemm żdied it-tieni stadju bl-integrazzjoni tal-S-IVB-200?</v>
      </c>
    </row>
    <row r="19756" ht="15.75" customHeight="1">
      <c r="A19756" s="2" t="s">
        <v>19756</v>
      </c>
      <c r="B19756" s="2" t="str">
        <f>IFERROR(__xludf.DUMMYFUNCTION("GOOGLETRANSLATE(A19756, ""en"", ""mt"")"),"vot finali")</f>
        <v>vot finali</v>
      </c>
    </row>
    <row r="19757" ht="15.75" customHeight="1">
      <c r="A19757" s="2" t="s">
        <v>19757</v>
      </c>
      <c r="B19757" s="2" t="str">
        <f>IFERROR(__xludf.DUMMYFUNCTION("GOOGLETRANSLATE(A19757, ""en"", ""mt"")"),"Il-bram u l-anemoni tal-baħar jappartjenu għal liema grupp /")</f>
        <v>Il-bram u l-anemoni tal-baħar jappartjenu għal liema grupp /</v>
      </c>
    </row>
    <row r="19758" ht="15.75" customHeight="1">
      <c r="A19758" s="2" t="s">
        <v>19758</v>
      </c>
      <c r="B19758" s="2" t="str">
        <f>IFERROR(__xludf.DUMMYFUNCTION("GOOGLETRANSLATE(A19758, ""en"", ""mt"")"),"Meta r-rivalità bejn Westinghouse u Edison laħqet il-quċċata tagħha?")</f>
        <v>Meta r-rivalità bejn Westinghouse u Edison laħqet il-quċċata tagħha?</v>
      </c>
    </row>
    <row r="19759" ht="15.75" customHeight="1">
      <c r="A19759" s="2" t="s">
        <v>19759</v>
      </c>
      <c r="B19759" s="2" t="str">
        <f>IFERROR(__xludf.DUMMYFUNCTION("GOOGLETRANSLATE(A19759, ""en"", ""mt"")"),"Long Island")</f>
        <v>Long Island</v>
      </c>
    </row>
    <row r="19760" ht="15.75" customHeight="1">
      <c r="A19760" s="2" t="s">
        <v>19760</v>
      </c>
      <c r="B19760" s="2" t="str">
        <f>IFERROR(__xludf.DUMMYFUNCTION("GOOGLETRANSLATE(A19760, ""en"", ""mt"")"),"Quddiesa Latina")</f>
        <v>Quddiesa Latina</v>
      </c>
    </row>
    <row r="19761" ht="15.75" customHeight="1">
      <c r="A19761" s="2" t="s">
        <v>19761</v>
      </c>
      <c r="B19761" s="2" t="str">
        <f>IFERROR(__xludf.DUMMYFUNCTION("GOOGLETRANSLATE(A19761, ""en"", ""mt"")"),"il-pulizija u l-forzi armati")</f>
        <v>il-pulizija u l-forzi armati</v>
      </c>
    </row>
    <row r="19762" ht="15.75" customHeight="1">
      <c r="A19762" s="2" t="s">
        <v>19762</v>
      </c>
      <c r="B19762" s="2" t="str">
        <f>IFERROR(__xludf.DUMMYFUNCTION("GOOGLETRANSLATE(A19762, ""en"", ""mt"")"),"Kemm plejers tal-Panthers ġew magħżula għall-Pro Bowl?")</f>
        <v>Kemm plejers tal-Panthers ġew magħżula għall-Pro Bowl?</v>
      </c>
    </row>
    <row r="19763" ht="15.75" customHeight="1">
      <c r="A19763" s="2" t="s">
        <v>19763</v>
      </c>
      <c r="B19763" s="2" t="str">
        <f>IFERROR(__xludf.DUMMYFUNCTION("GOOGLETRANSLATE(A19763, ""en"", ""mt"")"),"xabla")</f>
        <v>xabla</v>
      </c>
    </row>
    <row r="19764" ht="15.75" customHeight="1">
      <c r="A19764" s="2" t="s">
        <v>19764</v>
      </c>
      <c r="B19764" s="2" t="str">
        <f>IFERROR(__xludf.DUMMYFUNCTION("GOOGLETRANSLATE(A19764, ""en"", ""mt"")"),"kitba ta 'traduzzjoni bl-Ingliż")</f>
        <v>kitba ta 'traduzzjoni bl-Ingliż</v>
      </c>
    </row>
    <row r="19765" ht="15.75" customHeight="1">
      <c r="A19765" s="2" t="s">
        <v>19765</v>
      </c>
      <c r="B19765" s="2" t="str">
        <f>IFERROR(__xludf.DUMMYFUNCTION("GOOGLETRANSLATE(A19765, ""en"", ""mt"")"),"Qara Khitai")</f>
        <v>Qara Khitai</v>
      </c>
    </row>
    <row r="19766" ht="15.75" customHeight="1">
      <c r="A19766" s="2" t="s">
        <v>19766</v>
      </c>
      <c r="B19766" s="2" t="str">
        <f>IFERROR(__xludf.DUMMYFUNCTION("GOOGLETRANSLATE(A19766, ""en"", ""mt"")"),"Sena gdida")</f>
        <v>Sena gdida</v>
      </c>
    </row>
    <row r="19767" ht="15.75" customHeight="1">
      <c r="A19767" s="2" t="s">
        <v>19767</v>
      </c>
      <c r="B19767" s="2" t="str">
        <f>IFERROR(__xludf.DUMMYFUNCTION("GOOGLETRANSLATE(A19767, ""en"", ""mt"")"),"F'liema sena ABC waqaf billi tuża l-jingle b'erba 'noti għall-promozzjoni?")</f>
        <v>F'liema sena ABC waqaf billi tuża l-jingle b'erba 'noti għall-promozzjoni?</v>
      </c>
    </row>
    <row r="19768" ht="15.75" customHeight="1">
      <c r="A19768" s="2" t="s">
        <v>19768</v>
      </c>
      <c r="B19768" s="2" t="str">
        <f>IFERROR(__xludf.DUMMYFUNCTION("GOOGLETRANSLATE(A19768, ""en"", ""mt"")"),"X'inhi l-professjoni ta 'Michael Carrick u Alan Shearer?")</f>
        <v>X'inhi l-professjoni ta 'Michael Carrick u Alan Shearer?</v>
      </c>
    </row>
    <row r="19769" ht="15.75" customHeight="1">
      <c r="A19769" s="2" t="s">
        <v>19769</v>
      </c>
      <c r="B19769" s="2" t="str">
        <f>IFERROR(__xludf.DUMMYFUNCTION("GOOGLETRANSLATE(A19769, ""en"", ""mt"")"),"John W. Weeks Bridge")</f>
        <v>John W. Weeks Bridge</v>
      </c>
    </row>
    <row r="19770" ht="15.75" customHeight="1">
      <c r="A19770" s="2" t="s">
        <v>19770</v>
      </c>
      <c r="B19770" s="2" t="str">
        <f>IFERROR(__xludf.DUMMYFUNCTION("GOOGLETRANSLATE(A19770, ""en"", ""mt"")"),"Min ta parir lil Buyantu?")</f>
        <v>Min ta parir lil Buyantu?</v>
      </c>
    </row>
    <row r="19771" ht="15.75" customHeight="1">
      <c r="A19771" s="2" t="s">
        <v>19771</v>
      </c>
      <c r="B19771" s="2" t="str">
        <f>IFERROR(__xludf.DUMMYFUNCTION("GOOGLETRANSLATE(A19771, ""en"", ""mt"")"),"Min ta lil Genghis Khan it-titlu Khadan?")</f>
        <v>Min ta lil Genghis Khan it-titlu Khadan?</v>
      </c>
    </row>
    <row r="19772" ht="15.75" customHeight="1">
      <c r="A19772" s="2" t="s">
        <v>19772</v>
      </c>
      <c r="B19772" s="2" t="str">
        <f>IFERROR(__xludf.DUMMYFUNCTION("GOOGLETRANSLATE(A19772, ""en"", ""mt"")"),"720p")</f>
        <v>720p</v>
      </c>
    </row>
    <row r="19773" ht="15.75" customHeight="1">
      <c r="A19773" s="2" t="s">
        <v>19773</v>
      </c>
      <c r="B19773" s="2" t="str">
        <f>IFERROR(__xludf.DUMMYFUNCTION("GOOGLETRANSLATE(A19773, ""en"", ""mt"")"),"plug-n-play")</f>
        <v>plug-n-play</v>
      </c>
    </row>
    <row r="19774" ht="15.75" customHeight="1">
      <c r="A19774" s="2" t="s">
        <v>19774</v>
      </c>
      <c r="B19774" s="2" t="str">
        <f>IFERROR(__xludf.DUMMYFUNCTION("GOOGLETRANSLATE(A19774, ""en"", ""mt"")"),"Liema kulur huma n-numri fil-logo tas-Super Bowl 50?")</f>
        <v>Liema kulur huma n-numri fil-logo tas-Super Bowl 50?</v>
      </c>
    </row>
    <row r="19775" ht="15.75" customHeight="1">
      <c r="A19775" s="2" t="s">
        <v>19775</v>
      </c>
      <c r="B19775" s="2" t="str">
        <f>IFERROR(__xludf.DUMMYFUNCTION("GOOGLETRANSLATE(A19775, ""en"", ""mt"")"),"Splużjoni tat-tank tal-ossiġnu")</f>
        <v>Splużjoni tat-tank tal-ossiġnu</v>
      </c>
    </row>
    <row r="19776" ht="15.75" customHeight="1">
      <c r="A19776" s="2" t="s">
        <v>19776</v>
      </c>
      <c r="B19776" s="2" t="str">
        <f>IFERROR(__xludf.DUMMYFUNCTION("GOOGLETRANSLATE(A19776, ""en"", ""mt"")"),"X'tip ta 'mudell tal-fiżika Einstein naqas milli jagħmel?")</f>
        <v>X'tip ta 'mudell tal-fiżika Einstein naqas milli jagħmel?</v>
      </c>
    </row>
    <row r="19777" ht="15.75" customHeight="1">
      <c r="A19777" s="2" t="s">
        <v>19777</v>
      </c>
      <c r="B19777" s="2" t="str">
        <f>IFERROR(__xludf.DUMMYFUNCTION("GOOGLETRANSLATE(A19777, ""en"", ""mt"")"),"Minn min il-Parlament kera bini addizzjonali?")</f>
        <v>Minn min il-Parlament kera bini addizzjonali?</v>
      </c>
    </row>
    <row r="19778" ht="15.75" customHeight="1">
      <c r="A19778" s="2" t="s">
        <v>19778</v>
      </c>
      <c r="B19778" s="2" t="str">
        <f>IFERROR(__xludf.DUMMYFUNCTION("GOOGLETRANSLATE(A19778, ""en"", ""mt"")"),"Liema post ieħor Apollo 1 ittestja fiċ-Ċentru Spazjali Kennedy?")</f>
        <v>Liema post ieħor Apollo 1 ittestja fiċ-Ċentru Spazjali Kennedy?</v>
      </c>
    </row>
    <row r="19779" ht="15.75" customHeight="1">
      <c r="A19779" s="2" t="s">
        <v>19779</v>
      </c>
      <c r="B19779" s="2" t="str">
        <f>IFERROR(__xludf.DUMMYFUNCTION("GOOGLETRANSLATE(A19779, ""en"", ""mt"")"),"Miralles enriċi")</f>
        <v>Miralles enriċi</v>
      </c>
    </row>
    <row r="19780" ht="15.75" customHeight="1">
      <c r="A19780" s="2" t="s">
        <v>19780</v>
      </c>
      <c r="B19780" s="2" t="str">
        <f>IFERROR(__xludf.DUMMYFUNCTION("GOOGLETRANSLATE(A19780, ""en"", ""mt"")"),"Harris School of Public Policy Studies")</f>
        <v>Harris School of Public Policy Studies</v>
      </c>
    </row>
    <row r="19781" ht="15.75" customHeight="1">
      <c r="A19781" s="2" t="s">
        <v>19781</v>
      </c>
      <c r="B19781" s="2" t="str">
        <f>IFERROR(__xludf.DUMMYFUNCTION("GOOGLETRANSLATE(A19781, ""en"", ""mt"")"),"kostanti dimensjonali")</f>
        <v>kostanti dimensjonali</v>
      </c>
    </row>
    <row r="19782" ht="15.75" customHeight="1">
      <c r="A19782" s="2" t="s">
        <v>19782</v>
      </c>
      <c r="B19782" s="2" t="str">
        <f>IFERROR(__xludf.DUMMYFUNCTION("GOOGLETRANSLATE(A19782, ""en"", ""mt"")"),"Baċin tal-Amazonas")</f>
        <v>Baċin tal-Amazonas</v>
      </c>
    </row>
    <row r="19783" ht="15.75" customHeight="1">
      <c r="A19783" s="2" t="s">
        <v>19783</v>
      </c>
      <c r="B19783" s="2" t="str">
        <f>IFERROR(__xludf.DUMMYFUNCTION("GOOGLETRANSLATE(A19783, ""en"", ""mt"")"),"Liema organizzazzjoni l-Ġeneral Gaafar al-Nimeiry stieden lill-membri biex iservu fil-gvern tiegħu?")</f>
        <v>Liema organizzazzjoni l-Ġeneral Gaafar al-Nimeiry stieden lill-membri biex iservu fil-gvern tiegħu?</v>
      </c>
    </row>
    <row r="19784" ht="15.75" customHeight="1">
      <c r="A19784" s="2" t="s">
        <v>19784</v>
      </c>
      <c r="B19784" s="2" t="str">
        <f>IFERROR(__xludf.DUMMYFUNCTION("GOOGLETRANSLATE(A19784, ""en"", ""mt"")"),"Leonard Bernstein")</f>
        <v>Leonard Bernstein</v>
      </c>
    </row>
    <row r="19785" ht="15.75" customHeight="1">
      <c r="A19785" s="2" t="s">
        <v>19785</v>
      </c>
      <c r="B19785" s="2" t="str">
        <f>IFERROR(__xludf.DUMMYFUNCTION("GOOGLETRANSLATE(A19785, ""en"", ""mt"")"),"26-yard Line")</f>
        <v>26-yard Line</v>
      </c>
    </row>
    <row r="19786" ht="15.75" customHeight="1">
      <c r="A19786" s="2" t="s">
        <v>19786</v>
      </c>
      <c r="B19786" s="2" t="str">
        <f>IFERROR(__xludf.DUMMYFUNCTION("GOOGLETRANSLATE(A19786, ""en"", ""mt"")"),"Min żamm tabs fuq il-bord tar-reviżjoni tal-inċidenti li ħoloq in-NASA?")</f>
        <v>Min żamm tabs fuq il-bord tar-reviżjoni tal-inċidenti li ħoloq in-NASA?</v>
      </c>
    </row>
    <row r="19787" ht="15.75" customHeight="1">
      <c r="A19787" s="2" t="s">
        <v>19787</v>
      </c>
      <c r="B19787" s="2" t="str">
        <f>IFERROR(__xludf.DUMMYFUNCTION("GOOGLETRANSLATE(A19787, ""en"", ""mt"")"),"142 libbra (64 kg)")</f>
        <v>142 libbra (64 kg)</v>
      </c>
    </row>
    <row r="19788" ht="15.75" customHeight="1">
      <c r="A19788" s="2" t="s">
        <v>19788</v>
      </c>
      <c r="B19788" s="2" t="str">
        <f>IFERROR(__xludf.DUMMYFUNCTION("GOOGLETRANSLATE(A19788, ""en"", ""mt"")"),"Benjamin Lamme")</f>
        <v>Benjamin Lamme</v>
      </c>
    </row>
    <row r="19789" ht="15.75" customHeight="1">
      <c r="A19789" s="2" t="s">
        <v>19789</v>
      </c>
      <c r="B19789" s="2" t="str">
        <f>IFERROR(__xludf.DUMMYFUNCTION("GOOGLETRANSLATE(A19789, ""en"", ""mt"")"),"Luther")</f>
        <v>Luther</v>
      </c>
    </row>
    <row r="19790" ht="15.75" customHeight="1">
      <c r="A19790" s="2" t="s">
        <v>19790</v>
      </c>
      <c r="B19790" s="2" t="str">
        <f>IFERROR(__xludf.DUMMYFUNCTION("GOOGLETRANSLATE(A19790, ""en"", ""mt"")"),"Atmosferiku")</f>
        <v>Atmosferiku</v>
      </c>
    </row>
    <row r="19791" ht="15.75" customHeight="1">
      <c r="A19791" s="2" t="s">
        <v>19791</v>
      </c>
      <c r="B19791" s="2" t="str">
        <f>IFERROR(__xludf.DUMMYFUNCTION("GOOGLETRANSLATE(A19791, ""en"", ""mt"")"),"rati għoljin")</f>
        <v>rati għoljin</v>
      </c>
    </row>
    <row r="19792" ht="15.75" customHeight="1">
      <c r="A19792" s="2" t="s">
        <v>19792</v>
      </c>
      <c r="B19792" s="2" t="str">
        <f>IFERROR(__xludf.DUMMYFUNCTION("GOOGLETRANSLATE(A19792, ""en"", ""mt"")"),"Fir-rapport dettaljat b'mod estensiv tiegħu, Céloron kiteb, ""Kull ma nista 'ngħid huwa li n-nies ta' dawn il-lokalitajiet huma mormija ħażin ħafna lejn il-Franċiżi, u huma kompletament iddedikati għall-Ingliżi. Ma nafx b'liema mod jistgħu jinġiebu lura ."&amp;" "" Anke qabel ir-ritorn tiegħu lejn Montreal, rapporti dwar is-sitwazzjoni fil-pajjiż ta 'Ohio kienu qed jagħmlu triqthom lejn Londra u Pariġi, kull naħa li tipproponi li tittieħed dik l-azzjoni. William Shirley, il-gvernatur espansjonist tal-provinċja t"&amp;"al-Bajja ta 'Massachusetts, kien partikolarment qawwi, u qal li l-kolonisti Ingliżi ma jkunux siguri sakemm il-Franċiżi kienu preżenti. Kunflitti bejn il-kolonji, imwettqa permezz ta 'partiti li kienu jinkludu alleati Indjani, seħħew għal għexieren ta' sn"&amp;"in, li wasslu għal kummerċ mgħaġġel fil-kaptivi kolonjali Ewropej minn kull naħa.")</f>
        <v>Fir-rapport dettaljat b'mod estensiv tiegħu, Céloron kiteb, "Kull ma nista 'ngħid huwa li n-nies ta' dawn il-lokalitajiet huma mormija ħażin ħafna lejn il-Franċiżi, u huma kompletament iddedikati għall-Ingliżi. Ma nafx b'liema mod jistgħu jinġiebu lura . " Anke qabel ir-ritorn tiegħu lejn Montreal, rapporti dwar is-sitwazzjoni fil-pajjiż ta 'Ohio kienu qed jagħmlu triqthom lejn Londra u Pariġi, kull naħa li tipproponi li tittieħed dik l-azzjoni. William Shirley, il-gvernatur espansjonist tal-provinċja tal-Bajja ta 'Massachusetts, kien partikolarment qawwi, u qal li l-kolonisti Ingliżi ma jkunux siguri sakemm il-Franċiżi kienu preżenti. Kunflitti bejn il-kolonji, imwettqa permezz ta 'partiti li kienu jinkludu alleati Indjani, seħħew għal għexieren ta' snin, li wasslu għal kummerċ mgħaġġel fil-kaptivi kolonjali Ewropej minn kull naħa.</v>
      </c>
    </row>
    <row r="19793" ht="15.75" customHeight="1">
      <c r="A19793" s="2" t="s">
        <v>19793</v>
      </c>
      <c r="B19793" s="2" t="str">
        <f>IFERROR(__xludf.DUMMYFUNCTION("GOOGLETRANSLATE(A19793, ""en"", ""mt"")"),"Għaliex Varsavja rat ħafna titjib matul l-aħħar għaxar snin?")</f>
        <v>Għaliex Varsavja rat ħafna titjib matul l-aħħar għaxar snin?</v>
      </c>
    </row>
    <row r="19794" ht="15.75" customHeight="1">
      <c r="A19794" s="2" t="s">
        <v>19794</v>
      </c>
      <c r="B19794" s="2" t="str">
        <f>IFERROR(__xludf.DUMMYFUNCTION("GOOGLETRANSLATE(A19794, ""en"", ""mt"")"),"Għalkemm nieqes minn konnessjonijiet storiċi mal-Lvant Nofsani, il-Ġappun kien il-pajjiż l-iktar dipendenti fuq iż-żejt Għarbi. 71% taż-żejt importat tiegħu ġie mill-Lvant Nofsani fl-1970. Fis-7 ta 'Novembru, 1973, il-gvernijiet Sawdi u l-Kuwajt iddikjara"&amp;"w lill-Ġappun pajjiż ""mhux faċli"" biex iħeġġeġha tbiddel il-politika ta' nuqqas ta 'involviment tagħha. Irċieva tnaqqis fil-produzzjoni ta '5% f'Diċembru, u kkawża paniku. Fit-22 ta 'Novembru, il-Ġappun ħareġ dikjarazzjoni ""billi afferma li l-Iżrael għ"&amp;"andu jirtira mit-territorji kollha tal-1967, favur l-awtodeterminazzjoni Palestinjana, u thedded li jerġa' jikkunsidra l-politika tiegħu lejn l-Iżrael jekk l-Iżrael irrifjuta li jaċċetta dawn il-prekundizzjonijiet"". Sal-25 ta 'Diċembru, il-Ġappun kien me"&amp;"qjus bħala stat li jirrispetta l-Għarbi.")</f>
        <v>Għalkemm nieqes minn konnessjonijiet storiċi mal-Lvant Nofsani, il-Ġappun kien il-pajjiż l-iktar dipendenti fuq iż-żejt Għarbi. 71% taż-żejt importat tiegħu ġie mill-Lvant Nofsani fl-1970. Fis-7 ta 'Novembru, 1973, il-gvernijiet Sawdi u l-Kuwajt iddikjaraw lill-Ġappun pajjiż "mhux faċli" biex iħeġġeġha tbiddel il-politika ta' nuqqas ta 'involviment tagħha. Irċieva tnaqqis fil-produzzjoni ta '5% f'Diċembru, u kkawża paniku. Fit-22 ta 'Novembru, il-Ġappun ħareġ dikjarazzjoni "billi afferma li l-Iżrael għandu jirtira mit-territorji kollha tal-1967, favur l-awtodeterminazzjoni Palestinjana, u thedded li jerġa' jikkunsidra l-politika tiegħu lejn l-Iżrael jekk l-Iżrael irrifjuta li jaċċetta dawn il-prekundizzjonijiet". Sal-25 ta 'Diċembru, il-Ġappun kien meqjus bħala stat li jirrispetta l-Għarbi.</v>
      </c>
    </row>
    <row r="19795" ht="15.75" customHeight="1">
      <c r="A19795" s="2" t="s">
        <v>19795</v>
      </c>
      <c r="B19795" s="2" t="str">
        <f>IFERROR(__xludf.DUMMYFUNCTION("GOOGLETRANSLATE(A19795, ""en"", ""mt"")"),"Premier")</f>
        <v>Premier</v>
      </c>
    </row>
    <row r="19796" ht="15.75" customHeight="1">
      <c r="A19796" s="2" t="s">
        <v>19796</v>
      </c>
      <c r="B19796" s="2" t="str">
        <f>IFERROR(__xludf.DUMMYFUNCTION("GOOGLETRANSLATE(A19796, ""en"", ""mt"")"),"Klasti")</f>
        <v>Klasti</v>
      </c>
    </row>
    <row r="19797" ht="15.75" customHeight="1">
      <c r="A19797" s="2" t="s">
        <v>19797</v>
      </c>
      <c r="B19797" s="2" t="str">
        <f>IFERROR(__xludf.DUMMYFUNCTION("GOOGLETRANSLATE(A19797, ""en"", ""mt"")"),"X’għamel ABC li kien speċjali fl-2003?")</f>
        <v>X’għamel ABC li kien speċjali fl-2003?</v>
      </c>
    </row>
    <row r="19798" ht="15.75" customHeight="1">
      <c r="A19798" s="2" t="s">
        <v>19798</v>
      </c>
      <c r="B19798" s="2" t="str">
        <f>IFERROR(__xludf.DUMMYFUNCTION("GOOGLETRANSLATE(A19798, ""en"", ""mt"")"),"X'taħseb li Dalton il-proporzjonijiet atomiċi kienu bejn l-atomi fil-komposti?")</f>
        <v>X'taħseb li Dalton il-proporzjonijiet atomiċi kienu bejn l-atomi fil-komposti?</v>
      </c>
    </row>
    <row r="19799" ht="15.75" customHeight="1">
      <c r="A19799" s="2" t="s">
        <v>19799</v>
      </c>
      <c r="B19799" s="2" t="str">
        <f>IFERROR(__xludf.DUMMYFUNCTION("GOOGLETRANSLATE(A19799, ""en"", ""mt"")"),"Għal xiex jintużaw cilia?")</f>
        <v>Għal xiex jintużaw cilia?</v>
      </c>
    </row>
    <row r="19800" ht="15.75" customHeight="1">
      <c r="A19800" s="2" t="s">
        <v>19800</v>
      </c>
      <c r="B19800" s="2" t="str">
        <f>IFERROR(__xludf.DUMMYFUNCTION("GOOGLETRANSLATE(A19800, ""en"", ""mt"")"),"Liema karozzi tal-pajjiż saru aktar imfittxija peress li kienu aktar effiċjenti fil-fjuwil?")</f>
        <v>Liema karozzi tal-pajjiż saru aktar imfittxija peress li kienu aktar effiċjenti fil-fjuwil?</v>
      </c>
    </row>
    <row r="19801" ht="15.75" customHeight="1">
      <c r="A19801" s="2" t="s">
        <v>19801</v>
      </c>
      <c r="B19801" s="2" t="str">
        <f>IFERROR(__xludf.DUMMYFUNCTION("GOOGLETRANSLATE(A19801, ""en"", ""mt"")"),"X'kienet il-kanal HD Lineari Virgin Media Channel wieħed minn Novembru 2006 sa Lulju 2009?")</f>
        <v>X'kienet il-kanal HD Lineari Virgin Media Channel wieħed minn Novembru 2006 sa Lulju 2009?</v>
      </c>
    </row>
    <row r="19802" ht="15.75" customHeight="1">
      <c r="A19802" s="2" t="s">
        <v>19802</v>
      </c>
      <c r="B19802" s="2" t="str">
        <f>IFERROR(__xludf.DUMMYFUNCTION("GOOGLETRANSLATE(A19802, ""en"", ""mt"")"),"Liema Scholar Shakespeare huwa membru tal-fakultà f'Harvard?")</f>
        <v>Liema Scholar Shakespeare huwa membru tal-fakultà f'Harvard?</v>
      </c>
    </row>
    <row r="19803" ht="15.75" customHeight="1">
      <c r="A19803" s="2" t="s">
        <v>19803</v>
      </c>
      <c r="B19803" s="2" t="str">
        <f>IFERROR(__xludf.DUMMYFUNCTION("GOOGLETRANSLATE(A19803, ""en"", ""mt"")"),"Miżmuma fil-Knisja Metodista sabiħa")</f>
        <v>Miżmuma fil-Knisja Metodista sabiħa</v>
      </c>
    </row>
    <row r="19804" ht="15.75" customHeight="1">
      <c r="A19804" s="2" t="s">
        <v>19804</v>
      </c>
      <c r="B19804" s="2" t="str">
        <f>IFERROR(__xludf.DUMMYFUNCTION("GOOGLETRANSLATE(A19804, ""en"", ""mt"")"),"Zeta")</f>
        <v>Zeta</v>
      </c>
    </row>
    <row r="19805" ht="15.75" customHeight="1">
      <c r="A19805" s="2" t="s">
        <v>19805</v>
      </c>
      <c r="B19805" s="2" t="str">
        <f>IFERROR(__xludf.DUMMYFUNCTION("GOOGLETRANSLATE(A19805, ""en"", ""mt"")"),"Min isostni li Luther ma kellux l-intenzjoni li jopponi l-knisja?")</f>
        <v>Min isostni li Luther ma kellux l-intenzjoni li jopponi l-knisja?</v>
      </c>
    </row>
    <row r="19806" ht="15.75" customHeight="1">
      <c r="A19806" s="2" t="s">
        <v>19806</v>
      </c>
      <c r="B19806" s="2" t="str">
        <f>IFERROR(__xludf.DUMMYFUNCTION("GOOGLETRANSLATE(A19806, ""en"", ""mt"")"),"Kemm il-kampijiet tal-PNU kif ukoll tal-ODM")</f>
        <v>Kemm il-kampijiet tal-PNU kif ukoll tal-ODM</v>
      </c>
    </row>
    <row r="19807" ht="15.75" customHeight="1">
      <c r="A19807" s="2" t="s">
        <v>19807</v>
      </c>
      <c r="B19807" s="2" t="str">
        <f>IFERROR(__xludf.DUMMYFUNCTION("GOOGLETRANSLATE(A19807, ""en"", ""mt"")"),"Veteran All-Gemini")</f>
        <v>Veteran All-Gemini</v>
      </c>
    </row>
    <row r="19808" ht="15.75" customHeight="1">
      <c r="A19808" s="2" t="s">
        <v>19808</v>
      </c>
      <c r="B19808" s="2" t="str">
        <f>IFERROR(__xludf.DUMMYFUNCTION("GOOGLETRANSLATE(A19808, ""en"", ""mt"")"),"Min qal li Tesla kellha ""ħlewwa distinta""?")</f>
        <v>Min qal li Tesla kellha "ħlewwa distinta"?</v>
      </c>
    </row>
    <row r="19809" ht="15.75" customHeight="1">
      <c r="A19809" s="2" t="s">
        <v>19809</v>
      </c>
      <c r="B19809" s="2" t="str">
        <f>IFERROR(__xludf.DUMMYFUNCTION("GOOGLETRANSLATE(A19809, ""en"", ""mt"")"),"tnejn")</f>
        <v>tnejn</v>
      </c>
    </row>
    <row r="19810" ht="15.75" customHeight="1">
      <c r="A19810" s="2" t="s">
        <v>19810</v>
      </c>
      <c r="B19810" s="2" t="str">
        <f>IFERROR(__xludf.DUMMYFUNCTION("GOOGLETRANSLATE(A19810, ""en"", ""mt"")"),"Għaliex huwa diffiċli li tissolva nuqqas ta 'qbil dwar il-bidliet fil-foresta tropikali tal-Amażonja?")</f>
        <v>Għaliex huwa diffiċli li tissolva nuqqas ta 'qbil dwar il-bidliet fil-foresta tropikali tal-Amażonja?</v>
      </c>
    </row>
    <row r="19811" ht="15.75" customHeight="1">
      <c r="A19811" s="2" t="s">
        <v>19811</v>
      </c>
      <c r="B19811" s="2" t="str">
        <f>IFERROR(__xludf.DUMMYFUNCTION("GOOGLETRANSLATE(A19811, ""en"", ""mt"")"),"""In-Nofsinhar ta 'California"" mhix indikazzjoni ġeografika formali, u d-definizzjonijiet ta' dak li jikkostitwixxi n-Nofsinhar ta 'California ivarjaw. Ġeografikament, il-punt tan-nofs tan-nofsinhar ta 'California jinsab eżattament 37 ° 9' 58.23 ""Latitu"&amp;"dni, madwar 11-il mil (18 km) fin-Nofsinhar ta 'San Jose; madankollu, dan ma jikkoinċidix ma' l-użu popolari tat-terminu. Meta l-istat huwa maqsum fihom Żewġ żoni (it-Tramuntana u n-Nofsinhar ta 'Kalifornja), it-terminu ""Southern California"" ġeneralment"&amp;" jirreferi għall-għaxar kontej l-iktar fin-Nofsinhar tal-istat. Din id-definizzjoni tikkoinċidi sewwa mal-linji tal-kontea f'35 ° 47 ′ 28 ″ 28 ″ latitudni tat-tramuntana, li jiffurmaw it-tramuntana Fruntieri ta 'San Luis Obispo, Kern, u San Bernardino Cou"&amp;"nties. Definizzjoni oħra għan-Nofsinhar ta' California tuża l-konċepiment tal-punt u l-Muntanji Tehachapi bħala l-konfini tat-tramuntana.")</f>
        <v>"In-Nofsinhar ta 'California" mhix indikazzjoni ġeografika formali, u d-definizzjonijiet ta' dak li jikkostitwixxi n-Nofsinhar ta 'California ivarjaw. Ġeografikament, il-punt tan-nofs tan-nofsinhar ta 'California jinsab eżattament 37 ° 9' 58.23 "Latitudni, madwar 11-il mil (18 km) fin-Nofsinhar ta 'San Jose; madankollu, dan ma jikkoinċidix ma' l-użu popolari tat-terminu. Meta l-istat huwa maqsum fihom Żewġ żoni (it-Tramuntana u n-Nofsinhar ta 'Kalifornja), it-terminu "Southern California" ġeneralment jirreferi għall-għaxar kontej l-iktar fin-Nofsinhar tal-istat. Din id-definizzjoni tikkoinċidi sewwa mal-linji tal-kontea f'35 ° 47 ′ 28 ″ 28 ″ latitudni tat-tramuntana, li jiffurmaw it-tramuntana Fruntieri ta 'San Luis Obispo, Kern, u San Bernardino Counties. Definizzjoni oħra għan-Nofsinhar ta' California tuża l-konċepiment tal-punt u l-Muntanji Tehachapi bħala l-konfini tat-tramuntana.</v>
      </c>
    </row>
    <row r="19812" ht="15.75" customHeight="1">
      <c r="A19812" s="2" t="s">
        <v>19812</v>
      </c>
      <c r="B19812" s="2" t="str">
        <f>IFERROR(__xludf.DUMMYFUNCTION("GOOGLETRANSLATE(A19812, ""en"", ""mt"")"),"F'liema spettaklu Murray Gold immodifika t-tema tal-krediti tal-għeluq?")</f>
        <v>F'liema spettaklu Murray Gold immodifika t-tema tal-krediti tal-għeluq?</v>
      </c>
    </row>
    <row r="19813" ht="15.75" customHeight="1">
      <c r="A19813" s="2" t="s">
        <v>19813</v>
      </c>
      <c r="B19813" s="2" t="str">
        <f>IFERROR(__xludf.DUMMYFUNCTION("GOOGLETRANSLATE(A19813, ""en"", ""mt"")"),"Ċidippid ctenophores għandhom korpi li huma ftit jew wisq tond, xi kultant kważi sferiċi u drabi oħra aktar ċilindriċi jew forma ta 'bajd; Il-kosta komuni ""gooseberry tal-baħar,"" Pleurobrachia, xi kultant għandha korp b'forma ta 'bajd bil-ħalq fit-tarf "&amp;"dejjaq, għalkemm xi individwi huma aktar uniformi tondi. Minn naħat opposti tal-ġisem testendi par ta 'tentakli twal u rqaq, kull wieħed miżmum f'għant li fih jista' jiġi rtirat. Xi speċi ta 'cydippids għandhom korpi li huma ċċattjati għal diversi estensj"&amp;"onijiet, sabiex ikunu usa' fil-pjan tat-tentakli.")</f>
        <v>Ċidippid ctenophores għandhom korpi li huma ftit jew wisq tond, xi kultant kważi sferiċi u drabi oħra aktar ċilindriċi jew forma ta 'bajd; Il-kosta komuni "gooseberry tal-baħar," Pleurobrachia, xi kultant għandha korp b'forma ta 'bajd bil-ħalq fit-tarf dejjaq, għalkemm xi individwi huma aktar uniformi tondi. Minn naħat opposti tal-ġisem testendi par ta 'tentakli twal u rqaq, kull wieħed miżmum f'għant li fih jista' jiġi rtirat. Xi speċi ta 'cydippids għandhom korpi li huma ċċattjati għal diversi estensjonijiet, sabiex ikunu usa' fil-pjan tat-tentakli.</v>
      </c>
    </row>
    <row r="19814" ht="15.75" customHeight="1">
      <c r="A19814" s="2" t="s">
        <v>19814</v>
      </c>
      <c r="B19814" s="2" t="str">
        <f>IFERROR(__xludf.DUMMYFUNCTION("GOOGLETRANSLATE(A19814, ""en"", ""mt"")"),"X'inhu tipikament użat biex jiddefinixxi b'mod wiesa 'miżuri ta' kumplessità?")</f>
        <v>X'inhu tipikament użat biex jiddefinixxi b'mod wiesa 'miżuri ta' kumplessità?</v>
      </c>
    </row>
    <row r="19815" ht="15.75" customHeight="1">
      <c r="A19815" s="2" t="s">
        <v>19815</v>
      </c>
      <c r="B19815" s="2" t="str">
        <f>IFERROR(__xludf.DUMMYFUNCTION("GOOGLETRANSLATE(A19815, ""en"", ""mt"")"),"X'inhi l-oriġini tal-ispiżerija klinika?")</f>
        <v>X'inhi l-oriġini tal-ispiżerija klinika?</v>
      </c>
    </row>
    <row r="19816" ht="15.75" customHeight="1">
      <c r="A19816" s="2" t="s">
        <v>19816</v>
      </c>
      <c r="B19816" s="2" t="str">
        <f>IFERROR(__xludf.DUMMYFUNCTION("GOOGLETRANSLATE(A19816, ""en"", ""mt"")"),"Ofcom")</f>
        <v>Ofcom</v>
      </c>
    </row>
    <row r="19817" ht="15.75" customHeight="1">
      <c r="A19817" s="2" t="s">
        <v>19817</v>
      </c>
      <c r="B19817" s="2" t="str">
        <f>IFERROR(__xludf.DUMMYFUNCTION("GOOGLETRANSLATE(A19817, ""en"", ""mt"")"),"Fl-1755, sitt gvernaturi kolonjali fl-Amerika ta ’Fuq iltaqgħu mal-Ġeneral Edward Braddock, il-kmandant tal-Armata Brittanika li għadu kif wasal, u ppjanaw attakk b’erba’ direzzjonijiet fuq il-Franċiżi. Xejn ma rnexxielu u l-isforz ewlieni minn Braddock k"&amp;"ien diżastru; Huwa ġie megħlub fil-battalja tal-Monongahela fid-9 ta 'Lulju, 1755 u miet ftit jiem wara. Operazzjonijiet Ingliżi fl-1755, 1756 u 1757 fiż-żoni tal-fruntiera ta ’Pennsylvania u New York kollha fallew, minħabba taħlita ta’ ġestjoni fqira, di"&amp;"viżjonijiet interni, u scouts Kanadiżi effettivi, forzi regolari Franċiżi, u alleati tal-gwerriera Indjani. Fl-1755, il-Brittaniċi qabdu Fort Beauséjour fuq il-fruntiera li jifred in-Nova Scotia minn Acadia; Ftit wara huma ordnaw it-tkeċċija tal-Akkadjani"&amp;". L-ordnijiet għad-deportazzjoni ngħataw minn William Shirley, Kmandant fil-Kap, l-Amerika ta ’Fuq, mingħajr direzzjoni mill-Gran Brittanja. L-Akkadjani, kemm dawk maqbuda fl-armi kif ukoll dawk li ħalef il-ġurament tal-lealtà lejn il-maestà Britannika ti"&amp;"egħu, ġew imkeċċija. L-Amerikani Nattivi kienu wkoll misjuqa mill-art tagħhom biex jagħmlu triq għall-kolonizzaturi minn New England.")</f>
        <v>Fl-1755, sitt gvernaturi kolonjali fl-Amerika ta ’Fuq iltaqgħu mal-Ġeneral Edward Braddock, il-kmandant tal-Armata Brittanika li għadu kif wasal, u ppjanaw attakk b’erba’ direzzjonijiet fuq il-Franċiżi. Xejn ma rnexxielu u l-isforz ewlieni minn Braddock kien diżastru; Huwa ġie megħlub fil-battalja tal-Monongahela fid-9 ta 'Lulju, 1755 u miet ftit jiem wara. Operazzjonijiet Ingliżi fl-1755, 1756 u 1757 fiż-żoni tal-fruntiera ta ’Pennsylvania u New York kollha fallew, minħabba taħlita ta’ ġestjoni fqira, diviżjonijiet interni, u scouts Kanadiżi effettivi, forzi regolari Franċiżi, u alleati tal-gwerriera Indjani. Fl-1755, il-Brittaniċi qabdu Fort Beauséjour fuq il-fruntiera li jifred in-Nova Scotia minn Acadia; Ftit wara huma ordnaw it-tkeċċija tal-Akkadjani. L-ordnijiet għad-deportazzjoni ngħataw minn William Shirley, Kmandant fil-Kap, l-Amerika ta ’Fuq, mingħajr direzzjoni mill-Gran Brittanja. L-Akkadjani, kemm dawk maqbuda fl-armi kif ukoll dawk li ħalef il-ġurament tal-lealtà lejn il-maestà Britannika tiegħu, ġew imkeċċija. L-Amerikani Nattivi kienu wkoll misjuqa mill-art tagħhom biex jagħmlu triq għall-kolonizzaturi minn New England.</v>
      </c>
    </row>
    <row r="19818" ht="15.75" customHeight="1">
      <c r="A19818" s="2" t="s">
        <v>19818</v>
      </c>
      <c r="B19818" s="2" t="str">
        <f>IFERROR(__xludf.DUMMYFUNCTION("GOOGLETRANSLATE(A19818, ""en"", ""mt"")"),"Għażla wiesgħa ta 'serje huma disponibbli mill-vidjow tal-BBC fuq DVD, għall-bejgħ fir-Renju Unit, l-Awstralja, il-Kanada u l-Istati Uniti. Kull serje kompletament eżistenti ġiet rilaxxata fuq VHS, u l-BBC Worldwide tkompli tirrilaxxa regolarment serjali "&amp;"fuq DVD. Is-serje 2005 hija wkoll disponibbli fl-intier tagħha fuq UMD għall-PlayStation Portable. Tmien serje oriġinali ġew rilaxxati fuq LaserDisc u ħafna ġew rilaxxati wkoll fuq Betamax Tape u Video 2000. Episodju ta 'Doctor Who (The Infinite Quest) ġi"&amp;"e rilaxxat fuq VCD. Is-serje biss mill-2009 'il quddiem huma disponibbli fuq Blu-ray, ħlief għall-istorja tal-1970 Spearhead mill-Ispazju, rilaxxata f'Lulju 2013. Ħafna ħarġiet bikrija reġgħu ġew rilaxxati bħala edizzjonijiet speċjali, b'aktar karatterist"&amp;"iċi bonus.")</f>
        <v>Għażla wiesgħa ta 'serje huma disponibbli mill-vidjow tal-BBC fuq DVD, għall-bejgħ fir-Renju Unit, l-Awstralja, il-Kanada u l-Istati Uniti. Kull serje kompletament eżistenti ġiet rilaxxata fuq VHS, u l-BBC Worldwide tkompli tirrilaxxa regolarment serjali fuq DVD. Is-serje 2005 hija wkoll disponibbli fl-intier tagħha fuq UMD għall-PlayStation Portable. Tmien serje oriġinali ġew rilaxxati fuq LaserDisc u ħafna ġew rilaxxati wkoll fuq Betamax Tape u Video 2000. Episodju ta 'Doctor Who (The Infinite Quest) ġie rilaxxat fuq VCD. Is-serje biss mill-2009 'il quddiem huma disponibbli fuq Blu-ray, ħlief għall-istorja tal-1970 Spearhead mill-Ispazju, rilaxxata f'Lulju 2013. Ħafna ħarġiet bikrija reġgħu ġew rilaxxati bħala edizzjonijiet speċjali, b'aktar karatteristiċi bonus.</v>
      </c>
    </row>
    <row r="19819" ht="15.75" customHeight="1">
      <c r="A19819" s="2" t="s">
        <v>19819</v>
      </c>
      <c r="B19819" s="2" t="str">
        <f>IFERROR(__xludf.DUMMYFUNCTION("GOOGLETRANSLATE(A19819, ""en"", ""mt"")"),"Matriċi ta 'l-aġġustanza")</f>
        <v>Matriċi ta 'l-aġġustanza</v>
      </c>
    </row>
    <row r="19820" ht="15.75" customHeight="1">
      <c r="A19820" s="2" t="s">
        <v>19820</v>
      </c>
      <c r="B19820" s="2" t="str">
        <f>IFERROR(__xludf.DUMMYFUNCTION("GOOGLETRANSLATE(A19820, ""en"", ""mt"")"),"Sajf tal-1521")</f>
        <v>Sajf tal-1521</v>
      </c>
    </row>
    <row r="19821" ht="15.75" customHeight="1">
      <c r="A19821" s="2" t="s">
        <v>19821</v>
      </c>
      <c r="B19821" s="2" t="str">
        <f>IFERROR(__xludf.DUMMYFUNCTION("GOOGLETRANSLATE(A19821, ""en"", ""mt"")"),"23 ta 'April, 1968")</f>
        <v>23 ta 'April, 1968</v>
      </c>
    </row>
    <row r="19822" ht="15.75" customHeight="1">
      <c r="A19822" s="2" t="s">
        <v>19822</v>
      </c>
      <c r="B19822" s="2" t="str">
        <f>IFERROR(__xludf.DUMMYFUNCTION("GOOGLETRANSLATE(A19822, ""en"", ""mt"")"),"Meta mqabbel mal-kumplament ta 'Florida, kif il-popolazzjoni Filippina ta' Jacksonville tikklassifika?")</f>
        <v>Meta mqabbel mal-kumplament ta 'Florida, kif il-popolazzjoni Filippina ta' Jacksonville tikklassifika?</v>
      </c>
    </row>
    <row r="19823" ht="15.75" customHeight="1">
      <c r="A19823" s="2" t="s">
        <v>19823</v>
      </c>
      <c r="B19823" s="2" t="str">
        <f>IFERROR(__xludf.DUMMYFUNCTION("GOOGLETRANSLATE(A19823, ""en"", ""mt"")"),"X'inhi d-data eżatta tal-ftuħ uffiċjali tal-V &amp; A?")</f>
        <v>X'inhi d-data eżatta tal-ftuħ uffiċjali tal-V &amp; A?</v>
      </c>
    </row>
    <row r="19824" ht="15.75" customHeight="1">
      <c r="A19824" s="2" t="s">
        <v>19824</v>
      </c>
      <c r="B19824" s="2" t="str">
        <f>IFERROR(__xludf.DUMMYFUNCTION("GOOGLETRANSLATE(A19824, ""en"", ""mt"")"),"riżultat")</f>
        <v>riżultat</v>
      </c>
    </row>
    <row r="19825" ht="15.75" customHeight="1">
      <c r="A19825" s="2" t="s">
        <v>19825</v>
      </c>
      <c r="B19825" s="2" t="str">
        <f>IFERROR(__xludf.DUMMYFUNCTION("GOOGLETRANSLATE(A19825, ""en"", ""mt"")"),"L-Alpi Vittorjani fil-Grigal huma l-iktar parti kiesħa tar-Rabat. L-Alpi huma parti mis-sistema kbira tal-Muntanji tal-Muntanji Diviżorji li jestendu l-Lvant-Punent miċ-ċentru tar-Rabat. It-temperaturi medji huma inqas minn 9 ° C (48 ° F) fix-xitwa u taħt"&amp;" 0 ° C (32 ° F) fl-ogħla partijiet tal-meded. L-inqas temperatura minima ta 'l-istat ta' -11.7 ° C (10.9 ° F) ġiet irreġistrata f'OMEO fit-13 ta 'Ġunju 1965, u għal darb'oħra fi Falls Creek fit-3 ta' Lulju 1970. It-temperatura estremi għall-istat huma ele"&amp;"nkati fit-tabella hawn taħt:")</f>
        <v>L-Alpi Vittorjani fil-Grigal huma l-iktar parti kiesħa tar-Rabat. L-Alpi huma parti mis-sistema kbira tal-Muntanji tal-Muntanji Diviżorji li jestendu l-Lvant-Punent miċ-ċentru tar-Rabat. It-temperaturi medji huma inqas minn 9 ° C (48 ° F) fix-xitwa u taħt 0 ° C (32 ° F) fl-ogħla partijiet tal-meded. L-inqas temperatura minima ta 'l-istat ta' -11.7 ° C (10.9 ° F) ġiet irreġistrata f'OMEO fit-13 ta 'Ġunju 1965, u għal darb'oħra fi Falls Creek fit-3 ta' Lulju 1970. It-temperatura estremi għall-istat huma elenkati fit-tabella hawn taħt:</v>
      </c>
    </row>
    <row r="19826" ht="15.75" customHeight="1">
      <c r="A19826" s="2" t="s">
        <v>19826</v>
      </c>
      <c r="B19826" s="2" t="str">
        <f>IFERROR(__xludf.DUMMYFUNCTION("GOOGLETRANSLATE(A19826, ""en"", ""mt"")"),"Liema ktieb minn Edward qal ippreżenta l-Lvant bħala l- ""oħrajn?""")</f>
        <v>Liema ktieb minn Edward qal ippreżenta l-Lvant bħala l- "oħrajn?"</v>
      </c>
    </row>
    <row r="19827" ht="15.75" customHeight="1">
      <c r="A19827" s="2" t="s">
        <v>19827</v>
      </c>
      <c r="B19827" s="2" t="str">
        <f>IFERROR(__xludf.DUMMYFUNCTION("GOOGLETRANSLATE(A19827, ""en"", ""mt"")"),"Liema kumitat għamel sforz biex jistieden kumpaniji li huma proprjetà ta 'nies, li huma transġeneru jew omosesswali, biex jieħdu sehem f'negozju kuntrattwali assoċjat mas-Super Bowl 50.")</f>
        <v>Liema kumitat għamel sforz biex jistieden kumpaniji li huma proprjetà ta 'nies, li huma transġeneru jew omosesswali, biex jieħdu sehem f'negozju kuntrattwali assoċjat mas-Super Bowl 50.</v>
      </c>
    </row>
    <row r="19828" ht="15.75" customHeight="1">
      <c r="A19828" s="2" t="s">
        <v>19828</v>
      </c>
      <c r="B19828" s="2" t="str">
        <f>IFERROR(__xludf.DUMMYFUNCTION("GOOGLETRANSLATE(A19828, ""en"", ""mt"")"),"Kif kien spjegat l-isem Olandiż għar-Rhine oriġinarjament?")</f>
        <v>Kif kien spjegat l-isem Olandiż għar-Rhine oriġinarjament?</v>
      </c>
    </row>
    <row r="19829" ht="15.75" customHeight="1">
      <c r="A19829" s="2" t="s">
        <v>19829</v>
      </c>
      <c r="B19829" s="2" t="str">
        <f>IFERROR(__xludf.DUMMYFUNCTION("GOOGLETRANSLATE(A19829, ""en"", ""mt"")"),"proċess edukattiv jew da'wah")</f>
        <v>proċess edukattiv jew da'wah</v>
      </c>
    </row>
    <row r="19830" ht="15.75" customHeight="1">
      <c r="A19830" s="2" t="s">
        <v>19830</v>
      </c>
      <c r="B19830" s="2" t="str">
        <f>IFERROR(__xludf.DUMMYFUNCTION("GOOGLETRANSLATE(A19830, ""en"", ""mt"")"),"Kemm hemm nisel tal-kloroplast?")</f>
        <v>Kemm hemm nisel tal-kloroplast?</v>
      </c>
    </row>
    <row r="19831" ht="15.75" customHeight="1">
      <c r="A19831" s="2" t="s">
        <v>19831</v>
      </c>
      <c r="B19831" s="2" t="str">
        <f>IFERROR(__xludf.DUMMYFUNCTION("GOOGLETRANSLATE(A19831, ""en"", ""mt"")"),"X’sejjaħ lilhom infushom il-grupp Huguenot tas-seklu 18?")</f>
        <v>X’sejjaħ lilhom infushom il-grupp Huguenot tas-seklu 18?</v>
      </c>
    </row>
    <row r="19832" ht="15.75" customHeight="1">
      <c r="A19832" s="2" t="s">
        <v>19832</v>
      </c>
      <c r="B19832" s="2" t="str">
        <f>IFERROR(__xludf.DUMMYFUNCTION("GOOGLETRANSLATE(A19832, ""en"", ""mt"")"),"Xi tfisser id-dar tal-ġwienaħ tas-Segretarjat?")</f>
        <v>Xi tfisser id-dar tal-ġwienaħ tas-Segretarjat?</v>
      </c>
    </row>
    <row r="19833" ht="15.75" customHeight="1">
      <c r="A19833" s="2" t="s">
        <v>19833</v>
      </c>
      <c r="B19833" s="2" t="str">
        <f>IFERROR(__xludf.DUMMYFUNCTION("GOOGLETRANSLATE(A19833, ""en"", ""mt"")"),"Ħidma bla ħniena")</f>
        <v>Ħidma bla ħniena</v>
      </c>
    </row>
    <row r="19834" ht="15.75" customHeight="1">
      <c r="A19834" s="2" t="s">
        <v>19834</v>
      </c>
      <c r="B19834" s="2" t="str">
        <f>IFERROR(__xludf.DUMMYFUNCTION("GOOGLETRANSLATE(A19834, ""en"", ""mt"")"),"ESPN")</f>
        <v>ESPN</v>
      </c>
    </row>
    <row r="19835" ht="15.75" customHeight="1">
      <c r="A19835" s="2" t="s">
        <v>19835</v>
      </c>
      <c r="B19835" s="2" t="str">
        <f>IFERROR(__xludf.DUMMYFUNCTION("GOOGLETRANSLATE(A19835, ""en"", ""mt"")"),"X'kien in-numru ta 'indirizzi solo li Von Miller kellu fis-Super Bowl 50?")</f>
        <v>X'kien in-numru ta 'indirizzi solo li Von Miller kellu fis-Super Bowl 50?</v>
      </c>
    </row>
    <row r="19836" ht="15.75" customHeight="1">
      <c r="A19836" s="2" t="s">
        <v>19836</v>
      </c>
      <c r="B19836" s="2" t="str">
        <f>IFERROR(__xludf.DUMMYFUNCTION("GOOGLETRANSLATE(A19836, ""en"", ""mt"")"),"fi tliet stadji")</f>
        <v>fi tliet stadji</v>
      </c>
    </row>
    <row r="19837" ht="15.75" customHeight="1">
      <c r="A19837" s="2" t="s">
        <v>19837</v>
      </c>
      <c r="B19837" s="2" t="str">
        <f>IFERROR(__xludf.DUMMYFUNCTION("GOOGLETRANSLATE(A19837, ""en"", ""mt"")"),"Christopher Hay u Douglas Coyne")</f>
        <v>Christopher Hay u Douglas Coyne</v>
      </c>
    </row>
    <row r="19838" ht="15.75" customHeight="1">
      <c r="A19838" s="2" t="s">
        <v>19838</v>
      </c>
      <c r="B19838" s="2" t="str">
        <f>IFERROR(__xludf.DUMMYFUNCTION("GOOGLETRANSLATE(A19838, ""en"", ""mt"")"),"Chateau ta 'Montal")</f>
        <v>Chateau ta 'Montal</v>
      </c>
    </row>
    <row r="19839" ht="15.75" customHeight="1">
      <c r="A19839" s="2" t="s">
        <v>19839</v>
      </c>
      <c r="B19839" s="2" t="str">
        <f>IFERROR(__xludf.DUMMYFUNCTION("GOOGLETRANSLATE(A19839, ""en"", ""mt"")"),"Astronawt tal-Merkurju")</f>
        <v>Astronawt tal-Merkurju</v>
      </c>
    </row>
    <row r="19840" ht="15.75" customHeight="1">
      <c r="A19840" s="2" t="s">
        <v>19840</v>
      </c>
      <c r="B19840" s="2" t="str">
        <f>IFERROR(__xludf.DUMMYFUNCTION("GOOGLETRANSLATE(A19840, ""en"", ""mt"")"),"Fort Le Boeuf (preżenti Waterford, Pennsylvania")</f>
        <v>Fort Le Boeuf (preżenti Waterford, Pennsylvania</v>
      </c>
    </row>
    <row r="19841" ht="15.75" customHeight="1">
      <c r="A19841" s="2" t="s">
        <v>19841</v>
      </c>
      <c r="B19841" s="2" t="str">
        <f>IFERROR(__xludf.DUMMYFUNCTION("GOOGLETRANSLATE(A19841, ""en"", ""mt"")"),"ħin u spazju")</f>
        <v>ħin u spazju</v>
      </c>
    </row>
    <row r="19842" ht="15.75" customHeight="1">
      <c r="A19842" s="2" t="s">
        <v>19842</v>
      </c>
      <c r="B19842" s="2" t="str">
        <f>IFERROR(__xludf.DUMMYFUNCTION("GOOGLETRANSLATE(A19842, ""en"", ""mt"")"),"F'Lulju 1968, ABC Radio nediet proġett ta 'programmazzjoni speċjali għall-istazzjonijiet FM tagħha, li kien immexxi minn Allen Shaw, eks maniġer tal-programm f'WCFL f'Chicago li ġie avviċinat mill-President tar-Radju ABC Harold L. Neal biex jiżviluppa for"&amp;"mat biex jikkompeti ma' Stazzjonijiet progressivi ġodda tal-blat u d-DJ. Il-kunċett il-ġdid imsejjaħ ""Love Radio"", li deher għażla limitata ta 'ġeneri tal-mużika, ġie mniedi fuq l-istazzjonijiet FM ta' ABC ta 'seba' proprjetà u mħaddma fl-aħħar ta 'Nove"&amp;"mbru 1968; Il-kunċett issostitwixxa kważi l-ipprogrammar kollu pprovdut minn dawn l-istazzjonijiet; Madankollu, diversi affiljati (bħal KXYZ) żammew il-maġġoranza tal-kontenut tagħhom. F’Awwissu tal-1970, Shaw ħabbar li l-politika tal-għażla tal-mużika ta"&amp;" ’ABC FM għandha tiġi riveduta biex tippermetti lis-semmiegħa aċċess għal ħafna stili ta’ mużika.")</f>
        <v>F'Lulju 1968, ABC Radio nediet proġett ta 'programmazzjoni speċjali għall-istazzjonijiet FM tagħha, li kien immexxi minn Allen Shaw, eks maniġer tal-programm f'WCFL f'Chicago li ġie avviċinat mill-President tar-Radju ABC Harold L. Neal biex jiżviluppa format biex jikkompeti ma' Stazzjonijiet progressivi ġodda tal-blat u d-DJ. Il-kunċett il-ġdid imsejjaħ "Love Radio", li deher għażla limitata ta 'ġeneri tal-mużika, ġie mniedi fuq l-istazzjonijiet FM ta' ABC ta 'seba' proprjetà u mħaddma fl-aħħar ta 'Novembru 1968; Il-kunċett issostitwixxa kważi l-ipprogrammar kollu pprovdut minn dawn l-istazzjonijiet; Madankollu, diversi affiljati (bħal KXYZ) żammew il-maġġoranza tal-kontenut tagħhom. F’Awwissu tal-1970, Shaw ħabbar li l-politika tal-għażla tal-mużika ta ’ABC FM għandha tiġi riveduta biex tippermetti lis-semmiegħa aċċess għal ħafna stili ta’ mużika.</v>
      </c>
    </row>
    <row r="19843" ht="15.75" customHeight="1">
      <c r="A19843" s="2" t="s">
        <v>19843</v>
      </c>
      <c r="B19843" s="2" t="str">
        <f>IFERROR(__xludf.DUMMYFUNCTION("GOOGLETRANSLATE(A19843, ""en"", ""mt"")"),"Meta l-Venezjani ħadu l-kontroll totali ta 'Ċipru?")</f>
        <v>Meta l-Venezjani ħadu l-kontroll totali ta 'Ċipru?</v>
      </c>
    </row>
    <row r="19844" ht="15.75" customHeight="1">
      <c r="A19844" s="2" t="s">
        <v>19844</v>
      </c>
      <c r="B19844" s="2" t="str">
        <f>IFERROR(__xludf.DUMMYFUNCTION("GOOGLETRANSLATE(A19844, ""en"", ""mt"")"),"Stil Art Deco")</f>
        <v>Stil Art Deco</v>
      </c>
    </row>
    <row r="19845" ht="15.75" customHeight="1">
      <c r="A19845" s="2" t="s">
        <v>19845</v>
      </c>
      <c r="B19845" s="2" t="str">
        <f>IFERROR(__xludf.DUMMYFUNCTION("GOOGLETRANSLATE(A19845, ""en"", ""mt"")"),"1892 sal-1894")</f>
        <v>1892 sal-1894</v>
      </c>
    </row>
    <row r="19846" ht="15.75" customHeight="1">
      <c r="A19846" s="2" t="s">
        <v>19846</v>
      </c>
      <c r="B19846" s="2" t="str">
        <f>IFERROR(__xludf.DUMMYFUNCTION("GOOGLETRANSLATE(A19846, ""en"", ""mt"")"),"Liema mill-faċilitajiet ta 'produzzjoni ewlenin ta' ABC tinsab fi New York City?")</f>
        <v>Liema mill-faċilitajiet ta 'produzzjoni ewlenin ta' ABC tinsab fi New York City?</v>
      </c>
    </row>
    <row r="19847" ht="15.75" customHeight="1">
      <c r="A19847" s="2" t="s">
        <v>19847</v>
      </c>
      <c r="B19847" s="2" t="str">
        <f>IFERROR(__xludf.DUMMYFUNCTION("GOOGLETRANSLATE(A19847, ""en"", ""mt"")"),"Vertebrati primittivi ta 'xedaq għandhom firxa ta' riċetturi msemmija bħala xiex?")</f>
        <v>Vertebrati primittivi ta 'xedaq għandhom firxa ta' riċetturi msemmija bħala xiex?</v>
      </c>
    </row>
    <row r="19848" ht="15.75" customHeight="1">
      <c r="A19848" s="2" t="s">
        <v>19848</v>
      </c>
      <c r="B19848" s="2" t="str">
        <f>IFERROR(__xludf.DUMMYFUNCTION("GOOGLETRANSLATE(A19848, ""en"", ""mt"")"),"huma mfixkla,")</f>
        <v>huma mfixkla,</v>
      </c>
    </row>
    <row r="19849" ht="15.75" customHeight="1">
      <c r="A19849" s="2" t="s">
        <v>19849</v>
      </c>
      <c r="B19849" s="2" t="str">
        <f>IFERROR(__xludf.DUMMYFUNCTION("GOOGLETRANSLATE(A19849, ""en"", ""mt"")"),"djar l-uffiċċji u l-kamra tal-bord eċċ u mhix miftuħa għall-pubbliku")</f>
        <v>djar l-uffiċċji u l-kamra tal-bord eċċ u mhix miftuħa għall-pubbliku</v>
      </c>
    </row>
    <row r="19850" ht="15.75" customHeight="1">
      <c r="A19850" s="2" t="s">
        <v>19850</v>
      </c>
      <c r="B19850" s="2" t="str">
        <f>IFERROR(__xludf.DUMMYFUNCTION("GOOGLETRANSLATE(A19850, ""en"", ""mt"")"),"ftit jew wisq tond")</f>
        <v>ftit jew wisq tond</v>
      </c>
    </row>
    <row r="19851" ht="15.75" customHeight="1">
      <c r="A19851" s="2" t="s">
        <v>19851</v>
      </c>
      <c r="B19851" s="2" t="str">
        <f>IFERROR(__xludf.DUMMYFUNCTION("GOOGLETRANSLATE(A19851, ""en"", ""mt"")"),"Kemm dam biex id-diżubbidjenza ta 'Thoreau tkun magħrufa?")</f>
        <v>Kemm dam biex id-diżubbidjenza ta 'Thoreau tkun magħrufa?</v>
      </c>
    </row>
    <row r="19852" ht="15.75" customHeight="1">
      <c r="A19852" s="2" t="s">
        <v>19852</v>
      </c>
      <c r="B19852" s="2" t="str">
        <f>IFERROR(__xludf.DUMMYFUNCTION("GOOGLETRANSLATE(A19852, ""en"", ""mt"")"),"Tmiem ta ’Ottubru 2006")</f>
        <v>Tmiem ta ’Ottubru 2006</v>
      </c>
    </row>
    <row r="19853" ht="15.75" customHeight="1">
      <c r="A19853" s="2" t="s">
        <v>19853</v>
      </c>
      <c r="B19853" s="2" t="str">
        <f>IFERROR(__xludf.DUMMYFUNCTION("GOOGLETRANSLATE(A19853, ""en"", ""mt"")"),"Liema kumpanija kienet fl-aħħar sena tagħha biex tikseb riklami tas-Super Bowl bi skont kbir?")</f>
        <v>Liema kumpanija kienet fl-aħħar sena tagħha biex tikseb riklami tas-Super Bowl bi skont kbir?</v>
      </c>
    </row>
    <row r="19854" ht="15.75" customHeight="1">
      <c r="A19854" s="2" t="s">
        <v>19854</v>
      </c>
      <c r="B19854" s="2" t="str">
        <f>IFERROR(__xludf.DUMMYFUNCTION("GOOGLETRANSLATE(A19854, ""en"", ""mt"")"),"Mujahideen")</f>
        <v>Mujahideen</v>
      </c>
    </row>
    <row r="19855" ht="15.75" customHeight="1">
      <c r="A19855" s="2" t="s">
        <v>19855</v>
      </c>
      <c r="B19855" s="2" t="str">
        <f>IFERROR(__xludf.DUMMYFUNCTION("GOOGLETRANSLATE(A19855, ""en"", ""mt"")"),"L-istaġun tal-2015")</f>
        <v>L-istaġun tal-2015</v>
      </c>
    </row>
    <row r="19856" ht="15.75" customHeight="1">
      <c r="A19856" s="2" t="s">
        <v>19856</v>
      </c>
      <c r="B19856" s="2" t="str">
        <f>IFERROR(__xludf.DUMMYFUNCTION("GOOGLETRANSLATE(A19856, ""en"", ""mt"")"),"Kif hija tipikament tipikament id-diżubbidjenza ċivili b'rabta maċ-ċittadin?")</f>
        <v>Kif hija tipikament tipikament id-diżubbidjenza ċivili b'rabta maċ-ċittadin?</v>
      </c>
    </row>
    <row r="19857" ht="15.75" customHeight="1">
      <c r="A19857" s="2" t="s">
        <v>19857</v>
      </c>
      <c r="B19857" s="2" t="str">
        <f>IFERROR(__xludf.DUMMYFUNCTION("GOOGLETRANSLATE(A19857, ""en"", ""mt"")"),"Id-Dgħajjes")</f>
        <v>Id-Dgħajjes</v>
      </c>
    </row>
    <row r="19858" ht="15.75" customHeight="1">
      <c r="A19858" s="2" t="s">
        <v>19858</v>
      </c>
      <c r="B19858" s="2" t="str">
        <f>IFERROR(__xludf.DUMMYFUNCTION("GOOGLETRANSLATE(A19858, ""en"", ""mt"")"),"X'kienet il-formula żbaljata ta 'Dalton għall-ilma?")</f>
        <v>X'kienet il-formula żbaljata ta 'Dalton għall-ilma?</v>
      </c>
    </row>
    <row r="19859" ht="15.75" customHeight="1">
      <c r="A19859" s="2" t="s">
        <v>19859</v>
      </c>
      <c r="B19859" s="2" t="str">
        <f>IFERROR(__xludf.DUMMYFUNCTION("GOOGLETRANSLATE(A19859, ""en"", ""mt"")"),"Liema kicker kellu porzjon tal-kollass tat-turf, u jġegħluh jitlef gowl fil-grawnd?")</f>
        <v>Liema kicker kellu porzjon tal-kollass tat-turf, u jġegħluh jitlef gowl fil-grawnd?</v>
      </c>
    </row>
    <row r="19860" ht="15.75" customHeight="1">
      <c r="A19860" s="2" t="s">
        <v>19860</v>
      </c>
      <c r="B19860" s="2" t="str">
        <f>IFERROR(__xludf.DUMMYFUNCTION("GOOGLETRANSLATE(A19860, ""en"", ""mt"")"),"In-naħa tax-Xlokk ta 'Manhattan")</f>
        <v>In-naħa tax-Xlokk ta 'Manhattan</v>
      </c>
    </row>
    <row r="19861" ht="15.75" customHeight="1">
      <c r="A19861" s="2" t="s">
        <v>19861</v>
      </c>
      <c r="B19861" s="2" t="str">
        <f>IFERROR(__xludf.DUMMYFUNCTION("GOOGLETRANSLATE(A19861, ""en"", ""mt"")"),"Minn liema sena l-università offriet dottorat fil-kompożizzjoni tal-mużika?")</f>
        <v>Minn liema sena l-università offriet dottorat fil-kompożizzjoni tal-mużika?</v>
      </c>
    </row>
    <row r="19862" ht="15.75" customHeight="1">
      <c r="A19862" s="2" t="s">
        <v>19862</v>
      </c>
      <c r="B19862" s="2" t="str">
        <f>IFERROR(__xludf.DUMMYFUNCTION("GOOGLETRANSLATE(A19862, ""en"", ""mt"")"),"X'inhu l-isem ta 'tip wieħed ta' prim fejn P + 1 jew P-1 jieħu ċerta forma?")</f>
        <v>X'inhu l-isem ta 'tip wieħed ta' prim fejn P + 1 jew P-1 jieħu ċerta forma?</v>
      </c>
    </row>
    <row r="19863" ht="15.75" customHeight="1">
      <c r="A19863" s="2" t="s">
        <v>19863</v>
      </c>
      <c r="B19863" s="2" t="str">
        <f>IFERROR(__xludf.DUMMYFUNCTION("GOOGLETRANSLATE(A19863, ""en"", ""mt"")"),"L-imperjalizmu informali għadu dominanti; Madankollu, inqas xiex?")</f>
        <v>L-imperjalizmu informali għadu dominanti; Madankollu, inqas xiex?</v>
      </c>
    </row>
    <row r="19864" ht="15.75" customHeight="1">
      <c r="A19864" s="2" t="s">
        <v>19864</v>
      </c>
      <c r="B19864" s="2" t="str">
        <f>IFERROR(__xludf.DUMMYFUNCTION("GOOGLETRANSLATE(A19864, ""en"", ""mt"")"),"Unitajiet tal-blat")</f>
        <v>Unitajiet tal-blat</v>
      </c>
    </row>
    <row r="19865" ht="15.75" customHeight="1">
      <c r="A19865" s="2" t="s">
        <v>19865</v>
      </c>
      <c r="B19865" s="2" t="str">
        <f>IFERROR(__xludf.DUMMYFUNCTION("GOOGLETRANSLATE(A19865, ""en"", ""mt"")"),"Tekniki ġodda tal-kostruzzjoni tal-bini qed jiġu riċerkati, li huma possibbli permezz ta 'avvanzi?")</f>
        <v>Tekniki ġodda tal-kostruzzjoni tal-bini qed jiġu riċerkati, li huma possibbli permezz ta 'avvanzi?</v>
      </c>
    </row>
    <row r="19866" ht="15.75" customHeight="1">
      <c r="A19866" s="2" t="s">
        <v>19866</v>
      </c>
      <c r="B19866" s="2" t="str">
        <f>IFERROR(__xludf.DUMMYFUNCTION("GOOGLETRANSLATE(A19866, ""en"", ""mt"")"),"valv tal-plagg")</f>
        <v>valv tal-plagg</v>
      </c>
    </row>
    <row r="19867" ht="15.75" customHeight="1">
      <c r="A19867" s="2" t="s">
        <v>19867</v>
      </c>
      <c r="B19867" s="2" t="str">
        <f>IFERROR(__xludf.DUMMYFUNCTION("GOOGLETRANSLATE(A19867, ""en"", ""mt"")"),"Parlament tar-Rabat")</f>
        <v>Parlament tar-Rabat</v>
      </c>
    </row>
    <row r="19868" ht="15.75" customHeight="1">
      <c r="A19868" s="2" t="s">
        <v>19868</v>
      </c>
      <c r="B19868" s="2" t="str">
        <f>IFERROR(__xludf.DUMMYFUNCTION("GOOGLETRANSLATE(A19868, ""en"", ""mt"")"),"Fl-2004, it-telespettazzjoni medja ta 'ABC naqset b'għaxar punti ta' klassifikazzjonijiet, li żbarka n-netwerk fir-raba 'post, wara NBC, CBS u Fox (sas-sena ta' wara, is-sehem medju tal-udjenza medju li jintemm l-istaġun tal-ABC, NBC u CBS irrappreżenta b"&amp;"iss 32% ta ' Djar tal-Istati Uniti). Madankollu, matul l-istaġun 2004–05, in-netwerk esperjenza suċċess mhux mistenni b'serje ġdida bħal Desperate Housewives, Lost and Grey's Anatomy kif ukoll is-serje ta 'realtà Dancing With the Stars, li għenet lil ABC "&amp;"titla' għat-tieni post, jaqbeż qabel is-CBS, iżda wara volpi li tiżdied. Fil-21 ta 'April, 2004, Disney ħabbret ristrutturar tad-diviżjoni tagħha ta' Disney Media Networks ma 'Anne Sweeney li ġiet imsemmija president tal-ABC Parent Disney - ABC Television"&amp;" Group, u l-president tal-ESPN George Bodenheimer li sar ko-CEO tad-diviżjoni ma' Sweeney, kif ukoll il-President ta 'l-isports ABC. Fis-7 ta 'Diċembru, 2005, ABC Sports u ESPN iffirmaw ftehim ta' drittijiet ta 'xandir ta' tmien snin ma 'NASCAR, li pperme"&amp;"tta lil ABC u ESPN ixandru 17-il tiġrijiet ta' Cup Nextel kull staġun (li jinkludu ftit iktar minn nofs it-36 tiġrijiet miżmuma kull sena) effettivi bl-istaġun tal-2006 -")</f>
        <v>Fl-2004, it-telespettazzjoni medja ta 'ABC naqset b'għaxar punti ta' klassifikazzjonijiet, li żbarka n-netwerk fir-raba 'post, wara NBC, CBS u Fox (sas-sena ta' wara, is-sehem medju tal-udjenza medju li jintemm l-istaġun tal-ABC, NBC u CBS irrappreżenta biss 32% ta ' Djar tal-Istati Uniti). Madankollu, matul l-istaġun 2004–05, in-netwerk esperjenza suċċess mhux mistenni b'serje ġdida bħal Desperate Housewives, Lost and Grey's Anatomy kif ukoll is-serje ta 'realtà Dancing With the Stars, li għenet lil ABC titla' għat-tieni post, jaqbeż qabel is-CBS, iżda wara volpi li tiżdied. Fil-21 ta 'April, 2004, Disney ħabbret ristrutturar tad-diviżjoni tagħha ta' Disney Media Networks ma 'Anne Sweeney li ġiet imsemmija president tal-ABC Parent Disney - ABC Television Group, u l-president tal-ESPN George Bodenheimer li sar ko-CEO tad-diviżjoni ma' Sweeney, kif ukoll il-President ta 'l-isports ABC. Fis-7 ta 'Diċembru, 2005, ABC Sports u ESPN iffirmaw ftehim ta' drittijiet ta 'xandir ta' tmien snin ma 'NASCAR, li ppermetta lil ABC u ESPN ixandru 17-il tiġrijiet ta' Cup Nextel kull staġun (li jinkludu ftit iktar minn nofs it-36 tiġrijiet miżmuma kull sena) effettivi bl-istaġun tal-2006 -</v>
      </c>
    </row>
    <row r="19869" ht="15.75" customHeight="1">
      <c r="A19869" s="2" t="s">
        <v>19869</v>
      </c>
      <c r="B19869" s="2" t="str">
        <f>IFERROR(__xludf.DUMMYFUNCTION("GOOGLETRANSLATE(A19869, ""en"", ""mt"")"),"Liema avveniment ikun jeħtieġ li l-passiġġieri tal-ajru jkollhom bżonn provvista supplimentari ta 'ossiġnu?")</f>
        <v>Liema avveniment ikun jeħtieġ li l-passiġġieri tal-ajru jkollhom bżonn provvista supplimentari ta 'ossiġnu?</v>
      </c>
    </row>
    <row r="19870" ht="15.75" customHeight="1">
      <c r="A19870" s="2" t="s">
        <v>19870</v>
      </c>
      <c r="B19870" s="2" t="str">
        <f>IFERROR(__xludf.DUMMYFUNCTION("GOOGLETRANSLATE(A19870, ""en"", ""mt"")"),"9 ta 'Mejju, 1960")</f>
        <v>9 ta 'Mejju, 1960</v>
      </c>
    </row>
    <row r="19871" ht="15.75" customHeight="1">
      <c r="A19871" s="2" t="s">
        <v>19871</v>
      </c>
      <c r="B19871" s="2" t="str">
        <f>IFERROR(__xludf.DUMMYFUNCTION("GOOGLETRANSLATE(A19871, ""en"", ""mt"")"),"Min kellu l-aktar btieħi li jgħaġġlu fuq il-Broncos?")</f>
        <v>Min kellu l-aktar btieħi li jgħaġġlu fuq il-Broncos?</v>
      </c>
    </row>
    <row r="19872" ht="15.75" customHeight="1">
      <c r="A19872" s="2" t="s">
        <v>19872</v>
      </c>
      <c r="B19872" s="2" t="str">
        <f>IFERROR(__xludf.DUMMYFUNCTION("GOOGLETRANSLATE(A19872, ""en"", ""mt"")"),"Starr")</f>
        <v>Starr</v>
      </c>
    </row>
    <row r="19873" ht="15.75" customHeight="1">
      <c r="A19873" s="2" t="s">
        <v>19873</v>
      </c>
      <c r="B19873" s="2" t="str">
        <f>IFERROR(__xludf.DUMMYFUNCTION("GOOGLETRANSLATE(A19873, ""en"", ""mt"")"),"Coleman")</f>
        <v>Coleman</v>
      </c>
    </row>
    <row r="19874" ht="15.75" customHeight="1">
      <c r="A19874" s="2" t="s">
        <v>19874</v>
      </c>
      <c r="B19874" s="2" t="str">
        <f>IFERROR(__xludf.DUMMYFUNCTION("GOOGLETRANSLATE(A19874, ""en"", ""mt"")"),"X'ġara biex iqajjem in-NASA biex tirreġistra fuq tejps manjetiċi arkivjati?")</f>
        <v>X'ġara biex iqajjem in-NASA biex tirreġistra fuq tejps manjetiċi arkivjati?</v>
      </c>
    </row>
    <row r="19875" ht="15.75" customHeight="1">
      <c r="A19875" s="2" t="s">
        <v>19875</v>
      </c>
      <c r="B19875" s="2" t="str">
        <f>IFERROR(__xludf.DUMMYFUNCTION("GOOGLETRANSLATE(A19875, ""en"", ""mt"")"),"Il-fergħa ġudizzjarja tal-UE kellha rwol importanti fl-iżvilupp tal-liġi tal-UE, billi assumiet il-kompitu li tinterpreta t-trattati, u taċċellera l-integrazzjoni ekonomika u politika. Illum il-Qorti tal-Ġustizzja tal-Unjoni Ewropea (CJEU) hija l-korp ġud"&amp;"izzjarju ewlieni, li fih hemm Qorti tal-Ġustizzja Ewropea ogħla (komunement imqassra bħala ECJ) li tittratta każijiet li fihom aktar importanza pubblika, u qorti ġenerali li tittratta bi kwistjonijiet ta 'dettall iżda mingħajr importanza ġenerali. Hemm uk"&amp;"oll tribunal tas-servizz ċivili biex jittratta kwistjonijiet tal-persunal tal-UE, u mbagħad qorti separata tal-awdituri. Taħt it-Trattat dwar l-Artikolu 19 tal-Unjoni Ewropea (2) hemm imħallef wieħed minn kull Stat Membru, 28 fil-preżent, li suppost għand"&amp;"u ""jkollu l-kwalifiki meħtieġa għall-ħatra fl-ogħla uffiċċji ġudizzjarji"" (jew għall-Qorti Ġenerali, il- """" "" abbiltà meħtieġa għall-ħatra għal uffiċċju ġudizzjarju għoli ""). President huwa elett mill-imħallfin għal tliet snin. Taħt it-TEU l-Artikol"&amp;"u 19 (3) għandu jkun il-qorti aħħarija li tinterpreta mistoqsijiet tal-liġi tal-UE. Fil-fatt, il-biċċa l-kbira tal-liġi tal-UE hija applikata mill-qrati tal-Istat Membru (il-Qorti tal-Appell Ingliż, il-Bundesgerichtshof Ġermaniż, il-Cour Du Travail Belġja"&amp;"n, eċċ.) Iżda jistgħu jirreferu mistoqsijiet lill-qorti tal-UE għal deċiżjoni preliminari. Id-dmir tas-CJEU huwa li ""jiżgura li fl-interpretazzjoni u l-applikazzjoni tat-trattati tkun osservata l-liġi"", għalkemm realistikament għandha l-abbiltà li tespa"&amp;"ndi u tiżviluppa l-liġi skond il-prinċipji li tqis li huma xierqa. B’mod raġonevoli dan sar permezz ta ’sentenzi seminali u kontroversjali, inklużi Van Gend En Loos, Mangold v Helm, u l-Kummissjoni Kadi V.")</f>
        <v>Il-fergħa ġudizzjarja tal-UE kellha rwol importanti fl-iżvilupp tal-liġi tal-UE, billi assumiet il-kompitu li tinterpreta t-trattati, u taċċellera l-integrazzjoni ekonomika u politika. Illum il-Qorti tal-Ġustizzja tal-Unjoni Ewropea (CJEU) hija l-korp ġudizzjarju ewlieni, li fih hemm Qorti tal-Ġustizzja Ewropea ogħla (komunement imqassra bħala ECJ) li tittratta każijiet li fihom aktar importanza pubblika, u qorti ġenerali li tittratta bi kwistjonijiet ta 'dettall iżda mingħajr importanza ġenerali. Hemm ukoll tribunal tas-servizz ċivili biex jittratta kwistjonijiet tal-persunal tal-UE, u mbagħad qorti separata tal-awdituri. Taħt it-Trattat dwar l-Artikolu 19 tal-Unjoni Ewropea (2) hemm imħallef wieħed minn kull Stat Membru, 28 fil-preżent, li suppost għandu "jkollu l-kwalifiki meħtieġa għall-ħatra fl-ogħla uffiċċji ġudizzjarji" (jew għall-Qorti Ġenerali, il- "" " abbiltà meħtieġa għall-ħatra għal uffiċċju ġudizzjarju għoli "). President huwa elett mill-imħallfin għal tliet snin. Taħt it-TEU l-Artikolu 19 (3) għandu jkun il-qorti aħħarija li tinterpreta mistoqsijiet tal-liġi tal-UE. Fil-fatt, il-biċċa l-kbira tal-liġi tal-UE hija applikata mill-qrati tal-Istat Membru (il-Qorti tal-Appell Ingliż, il-Bundesgerichtshof Ġermaniż, il-Cour Du Travail Belġjan, eċċ.) Iżda jistgħu jirreferu mistoqsijiet lill-qorti tal-UE għal deċiżjoni preliminari. Id-dmir tas-CJEU huwa li "jiżgura li fl-interpretazzjoni u l-applikazzjoni tat-trattati tkun osservata l-liġi", għalkemm realistikament għandha l-abbiltà li tespandi u tiżviluppa l-liġi skond il-prinċipji li tqis li huma xierqa. B’mod raġonevoli dan sar permezz ta ’sentenzi seminali u kontroversjali, inklużi Van Gend En Loos, Mangold v Helm, u l-Kummissjoni Kadi V.</v>
      </c>
    </row>
    <row r="19876" ht="15.75" customHeight="1">
      <c r="A19876" s="2" t="s">
        <v>19876</v>
      </c>
      <c r="B19876" s="2" t="str">
        <f>IFERROR(__xludf.DUMMYFUNCTION("GOOGLETRANSLATE(A19876, ""en"", ""mt"")"),"Meta kienu Joseph Schumpeter u Norman Angell fil-perjodu l-iktar prolifiku tagħhom?")</f>
        <v>Meta kienu Joseph Schumpeter u Norman Angell fil-perjodu l-iktar prolifiku tagħhom?</v>
      </c>
    </row>
    <row r="19877" ht="15.75" customHeight="1">
      <c r="A19877" s="2" t="s">
        <v>19877</v>
      </c>
      <c r="B19877" s="2" t="str">
        <f>IFERROR(__xludf.DUMMYFUNCTION("GOOGLETRANSLATE(A19877, ""en"", ""mt"")"),"Min skjera l-armata tiegħu fl-Afganistan fl-1979?")</f>
        <v>Min skjera l-armata tiegħu fl-Afganistan fl-1979?</v>
      </c>
    </row>
    <row r="19878" ht="15.75" customHeight="1">
      <c r="A19878" s="2" t="s">
        <v>19878</v>
      </c>
      <c r="B19878" s="2" t="str">
        <f>IFERROR(__xludf.DUMMYFUNCTION("GOOGLETRANSLATE(A19878, ""en"", ""mt"")"),"Min qabbad lil Tesla fl-1888?")</f>
        <v>Min qabbad lil Tesla fl-1888?</v>
      </c>
    </row>
    <row r="19879" ht="15.75" customHeight="1">
      <c r="A19879" s="2" t="s">
        <v>19879</v>
      </c>
      <c r="B19879" s="2" t="str">
        <f>IFERROR(__xludf.DUMMYFUNCTION("GOOGLETRANSLATE(A19879, ""en"", ""mt"")"),"Pierre L’Oseleleur")</f>
        <v>Pierre L’Oseleleur</v>
      </c>
    </row>
    <row r="19880" ht="15.75" customHeight="1">
      <c r="A19880" s="2" t="s">
        <v>19880</v>
      </c>
      <c r="B19880" s="2" t="str">
        <f>IFERROR(__xludf.DUMMYFUNCTION("GOOGLETRANSLATE(A19880, ""en"", ""mt"")"),"Wara dan, Huguenots (bi stimi li jvarjaw minn 200,000 sa 1,000,000) ħarbu lejn il-pajjiżi Protestanti tal-madwar: l-Ingilterra, l-Olanda, l-Isvizzera, in-Norveġja, in-Norveġja, id-Danimarka u l-Prussja - li l-Elettur Kbir Kalvinist Frederick William laqa "&amp;"'biex jgħinhom jibnu mill-ġdid il-gwerra pajjiż. Wara dan l-eżodu, Huguenots baqa 'f'numri kbar f'reġjun wieħed biss ta' Franza: ir-reġjun imħatteb ta 'Cévennes fin-nofsinhar. Fil-bidu tas-seklu 18, grupp reġjonali magħruf bħala l-camisards li kienu Hugue"&amp;"nots ħarġu kontra l-Knisja Kattolika fir-reġjun, jaħarqu l-knejjes u joqtlu l-kleru. Għaddew truppi Franċiżi biex jikkaċċjaw u jeqirdu l-baned kollha ta 'camisards, bejn l-1702 u l-1709.")</f>
        <v>Wara dan, Huguenots (bi stimi li jvarjaw minn 200,000 sa 1,000,000) ħarbu lejn il-pajjiżi Protestanti tal-madwar: l-Ingilterra, l-Olanda, l-Isvizzera, in-Norveġja, in-Norveġja, id-Danimarka u l-Prussja - li l-Elettur Kbir Kalvinist Frederick William laqa 'biex jgħinhom jibnu mill-ġdid il-gwerra pajjiż. Wara dan l-eżodu, Huguenots baqa 'f'numri kbar f'reġjun wieħed biss ta' Franza: ir-reġjun imħatteb ta 'Cévennes fin-nofsinhar. Fil-bidu tas-seklu 18, grupp reġjonali magħruf bħala l-camisards li kienu Huguenots ħarġu kontra l-Knisja Kattolika fir-reġjun, jaħarqu l-knejjes u joqtlu l-kleru. Għaddew truppi Franċiżi biex jikkaċċjaw u jeqirdu l-baned kollha ta 'camisards, bejn l-1702 u l-1709.</v>
      </c>
    </row>
    <row r="19881" ht="15.75" customHeight="1">
      <c r="A19881" s="2" t="s">
        <v>19881</v>
      </c>
      <c r="B19881" s="2" t="str">
        <f>IFERROR(__xludf.DUMMYFUNCTION("GOOGLETRANSLATE(A19881, ""en"", ""mt"")"),"Fejn ġiet ippubblikata s-sejħa għall-bidla ta 'Frar 2010?")</f>
        <v>Fejn ġiet ippubblikata s-sejħa għall-bidla ta 'Frar 2010?</v>
      </c>
    </row>
    <row r="19882" ht="15.75" customHeight="1">
      <c r="A19882" s="2" t="s">
        <v>19882</v>
      </c>
      <c r="B19882" s="2" t="str">
        <f>IFERROR(__xludf.DUMMYFUNCTION("GOOGLETRANSLATE(A19882, ""en"", ""mt"")"),"Tip II")</f>
        <v>Tip II</v>
      </c>
    </row>
    <row r="19883" ht="15.75" customHeight="1">
      <c r="A19883" s="2" t="s">
        <v>19883</v>
      </c>
      <c r="B19883" s="2" t="str">
        <f>IFERROR(__xludf.DUMMYFUNCTION("GOOGLETRANSLATE(A19883, ""en"", ""mt"")"),"Inqas")</f>
        <v>Inqas</v>
      </c>
    </row>
    <row r="19884" ht="15.75" customHeight="1">
      <c r="A19884" s="2" t="s">
        <v>19884</v>
      </c>
      <c r="B19884" s="2" t="str">
        <f>IFERROR(__xludf.DUMMYFUNCTION("GOOGLETRANSLATE(A19884, ""en"", ""mt"")"),"Phagosome")</f>
        <v>Phagosome</v>
      </c>
    </row>
    <row r="19885" ht="15.75" customHeight="1">
      <c r="A19885" s="2" t="s">
        <v>19885</v>
      </c>
      <c r="B19885" s="2" t="str">
        <f>IFERROR(__xludf.DUMMYFUNCTION("GOOGLETRANSLATE(A19885, ""en"", ""mt"")"),"X’għamlu l-Musulmani li għamlu l-Musulmani?")</f>
        <v>X’għamlu l-Musulmani li għamlu l-Musulmani?</v>
      </c>
    </row>
    <row r="19886" ht="15.75" customHeight="1">
      <c r="A19886" s="2" t="s">
        <v>19886</v>
      </c>
      <c r="B19886" s="2" t="str">
        <f>IFERROR(__xludf.DUMMYFUNCTION("GOOGLETRANSLATE(A19886, ""en"", ""mt"")"),"David Suzuki")</f>
        <v>David Suzuki</v>
      </c>
    </row>
    <row r="19887" ht="15.75" customHeight="1">
      <c r="A19887" s="2" t="s">
        <v>19887</v>
      </c>
      <c r="B19887" s="2" t="str">
        <f>IFERROR(__xludf.DUMMYFUNCTION("GOOGLETRANSLATE(A19887, ""en"", ""mt"")"),"Kemm iddum l-Ewropa tal-Punent Ċipru?")</f>
        <v>Kemm iddum l-Ewropa tal-Punent Ċipru?</v>
      </c>
    </row>
    <row r="19888" ht="15.75" customHeight="1">
      <c r="A19888" s="2" t="s">
        <v>19888</v>
      </c>
      <c r="B19888" s="2" t="str">
        <f>IFERROR(__xludf.DUMMYFUNCTION("GOOGLETRANSLATE(A19888, ""en"", ""mt"")"),"Kemm atturi lagħbu tabib min?")</f>
        <v>Kemm atturi lagħbu tabib min?</v>
      </c>
    </row>
    <row r="19889" ht="15.75" customHeight="1">
      <c r="A19889" s="2" t="s">
        <v>19889</v>
      </c>
      <c r="B19889" s="2" t="str">
        <f>IFERROR(__xludf.DUMMYFUNCTION("GOOGLETRANSLATE(A19889, ""en"", ""mt"")"),"L-użi kollha")</f>
        <v>L-użi kollha</v>
      </c>
    </row>
    <row r="19890" ht="15.75" customHeight="1">
      <c r="A19890" s="2" t="s">
        <v>19890</v>
      </c>
      <c r="B19890" s="2" t="str">
        <f>IFERROR(__xludf.DUMMYFUNCTION("GOOGLETRANSLATE(A19890, ""en"", ""mt"")"),"X'inhu mod ieħor kif tiddikjara l-kundizzjoni li infinitament ħafna primes jistgħu jeżistu biss jekk A u Q huma koprime?")</f>
        <v>X'inhu mod ieħor kif tiddikjara l-kundizzjoni li infinitament ħafna primes jistgħu jeżistu biss jekk A u Q huma koprime?</v>
      </c>
    </row>
    <row r="19891" ht="15.75" customHeight="1">
      <c r="A19891" s="2" t="s">
        <v>19891</v>
      </c>
      <c r="B19891" s="2" t="str">
        <f>IFERROR(__xludf.DUMMYFUNCTION("GOOGLETRANSLATE(A19891, ""en"", ""mt"")"),"Johann Gerhard")</f>
        <v>Johann Gerhard</v>
      </c>
    </row>
    <row r="19892" ht="15.75" customHeight="1">
      <c r="A19892" s="2" t="s">
        <v>19892</v>
      </c>
      <c r="B19892" s="2" t="str">
        <f>IFERROR(__xludf.DUMMYFUNCTION("GOOGLETRANSLATE(A19892, ""en"", ""mt"")"),"X'inhuma t-tliet sorsi ewlenin tal-liġi tal-Unjoni Ewropea?")</f>
        <v>X'inhuma t-tliet sorsi ewlenin tal-liġi tal-Unjoni Ewropea?</v>
      </c>
    </row>
    <row r="19893" ht="15.75" customHeight="1">
      <c r="A19893" s="2" t="s">
        <v>19893</v>
      </c>
      <c r="B19893" s="2" t="str">
        <f>IFERROR(__xludf.DUMMYFUNCTION("GOOGLETRANSLATE(A19893, ""en"", ""mt"")"),"forzi limitati")</f>
        <v>forzi limitati</v>
      </c>
    </row>
    <row r="19894" ht="15.75" customHeight="1">
      <c r="A19894" s="2" t="s">
        <v>19894</v>
      </c>
      <c r="B19894" s="2" t="str">
        <f>IFERROR(__xludf.DUMMYFUNCTION("GOOGLETRANSLATE(A19894, ""en"", ""mt"")"),"jonqos")</f>
        <v>jonqos</v>
      </c>
    </row>
    <row r="19895" ht="15.75" customHeight="1">
      <c r="A19895" s="2" t="s">
        <v>19895</v>
      </c>
      <c r="B19895" s="2" t="str">
        <f>IFERROR(__xludf.DUMMYFUNCTION("GOOGLETRANSLATE(A19895, ""en"", ""mt"")"),"Triq il-Knisja Franċiża tinsab f’liema belt Irlandiża?")</f>
        <v>Triq il-Knisja Franċiża tinsab f’liema belt Irlandiża?</v>
      </c>
    </row>
    <row r="19896" ht="15.75" customHeight="1">
      <c r="A19896" s="2" t="s">
        <v>19896</v>
      </c>
      <c r="B19896" s="2" t="str">
        <f>IFERROR(__xludf.DUMMYFUNCTION("GOOGLETRANSLATE(A19896, ""en"", ""mt"")"),"ir-riskju għoli ta 'kunflitt ta' interess u / jew l-evitar ta 'poteri assoluti")</f>
        <v>ir-riskju għoli ta 'kunflitt ta' interess u / jew l-evitar ta 'poteri assoluti</v>
      </c>
    </row>
    <row r="19897" ht="15.75" customHeight="1">
      <c r="A19897" s="2" t="s">
        <v>19897</v>
      </c>
      <c r="B19897" s="2" t="str">
        <f>IFERROR(__xludf.DUMMYFUNCTION("GOOGLETRANSLATE(A19897, ""en"", ""mt"")"),"Tesla Electric Company")</f>
        <v>Tesla Electric Company</v>
      </c>
    </row>
    <row r="19898" ht="15.75" customHeight="1">
      <c r="A19898" s="2" t="s">
        <v>19898</v>
      </c>
      <c r="B19898" s="2" t="str">
        <f>IFERROR(__xludf.DUMMYFUNCTION("GOOGLETRANSLATE(A19898, ""en"", ""mt"")"),"Biex tikklassifika l-ħin tal-komputazzjoni (jew riżorsi simili, bħall-konsum spazjali), wieħed huwa interessat li jipprova limiti ta 'fuq u t'isfel fuq l-ammont minimu ta' ħin meħtieġ mill-algoritmu l-iktar effiċjenti biex issolvi problema partikolari. Il"&amp;"-kumplessità ta 'algoritmu ġeneralment tittieħed bħala l-agħar kumplessità tiegħu, sakemm ma tkunx speċifikata mod ieħor. L-analiżi ta 'algoritmu partikolari jaqa' taħt il-qasam ta 'analiżi ta' algoritmi. Biex turi t (n) fuq il-kumplessità tal-ħin ta 'pro"&amp;"blema, wieħed irid juri biss li hemm algoritmu partikolari bil-ħin ta' tħaddim fil-biċċa l-kbira t (n). Madankollu, li tipprova limiti aktar baxxi hija ħafna iktar diffiċli, peress li limiti aktar baxxi jagħmlu dikjarazzjoni dwar l-algoritmi kollha possib"&amp;"bli li jsolvu problema partikolari. Il-frażi ""l-algoritmi kollha possibbli"" tinkludi mhux biss l-algoritmi magħrufa llum, iżda kwalunkwe algoritmu li jista 'jiġi skopert fil-futur. Biex turi limitu aktar baxx ta 't (n) għal problema teħtieġ li turi li l"&amp;"-ebda algoritmu ma jista' jkollu kumplessità tal-ħin inqas minn t (n).")</f>
        <v>Biex tikklassifika l-ħin tal-komputazzjoni (jew riżorsi simili, bħall-konsum spazjali), wieħed huwa interessat li jipprova limiti ta 'fuq u t'isfel fuq l-ammont minimu ta' ħin meħtieġ mill-algoritmu l-iktar effiċjenti biex issolvi problema partikolari. Il-kumplessità ta 'algoritmu ġeneralment tittieħed bħala l-agħar kumplessità tiegħu, sakemm ma tkunx speċifikata mod ieħor. L-analiżi ta 'algoritmu partikolari jaqa' taħt il-qasam ta 'analiżi ta' algoritmi. Biex turi t (n) fuq il-kumplessità tal-ħin ta 'problema, wieħed irid juri biss li hemm algoritmu partikolari bil-ħin ta' tħaddim fil-biċċa l-kbira t (n). Madankollu, li tipprova limiti aktar baxxi hija ħafna iktar diffiċli, peress li limiti aktar baxxi jagħmlu dikjarazzjoni dwar l-algoritmi kollha possibbli li jsolvu problema partikolari. Il-frażi "l-algoritmi kollha possibbli" tinkludi mhux biss l-algoritmi magħrufa llum, iżda kwalunkwe algoritmu li jista 'jiġi skopert fil-futur. Biex turi limitu aktar baxx ta 't (n) għal problema teħtieġ li turi li l-ebda algoritmu ma jista' jkollu kumplessità tal-ħin inqas minn t (n).</v>
      </c>
    </row>
    <row r="19899" ht="15.75" customHeight="1">
      <c r="A19899" s="2" t="s">
        <v>19899</v>
      </c>
      <c r="B19899" s="2" t="str">
        <f>IFERROR(__xludf.DUMMYFUNCTION("GOOGLETRANSLATE(A19899, ""en"", ""mt"")"),"Los Angeles")</f>
        <v>Los Angeles</v>
      </c>
    </row>
    <row r="19900" ht="15.75" customHeight="1">
      <c r="A19900" s="2" t="s">
        <v>19900</v>
      </c>
      <c r="B19900" s="2" t="str">
        <f>IFERROR(__xludf.DUMMYFUNCTION("GOOGLETRANSLATE(A19900, ""en"", ""mt"")"),"""Combs"" - Gruppi ta 'Cilia")</f>
        <v>"Combs" - Gruppi ta 'Cilia</v>
      </c>
    </row>
    <row r="19901" ht="15.75" customHeight="1">
      <c r="A19901" s="2" t="s">
        <v>19901</v>
      </c>
      <c r="B19901" s="2" t="str">
        <f>IFERROR(__xludf.DUMMYFUNCTION("GOOGLETRANSLATE(A19901, ""en"", ""mt"")"),"Torn down fl-1904")</f>
        <v>Torn down fl-1904</v>
      </c>
    </row>
    <row r="19902" ht="15.75" customHeight="1">
      <c r="A19902" s="2" t="s">
        <v>19902</v>
      </c>
      <c r="B19902" s="2" t="str">
        <f>IFERROR(__xludf.DUMMYFUNCTION("GOOGLETRANSLATE(A19902, ""en"", ""mt"")"),"rudimentarju")</f>
        <v>rudimentarju</v>
      </c>
    </row>
    <row r="19903" ht="15.75" customHeight="1">
      <c r="A19903" s="2" t="s">
        <v>19903</v>
      </c>
      <c r="B19903" s="2" t="str">
        <f>IFERROR(__xludf.DUMMYFUNCTION("GOOGLETRANSLATE(A19903, ""en"", ""mt"")"),"X'inhu mod kif tista 'turi uffiċjali tal-pulizija diżubbidjenza ċivili?")</f>
        <v>X'inhu mod kif tista 'turi uffiċjali tal-pulizija diżubbidjenza ċivili?</v>
      </c>
    </row>
    <row r="19904" ht="15.75" customHeight="1">
      <c r="A19904" s="2" t="s">
        <v>19904</v>
      </c>
      <c r="B19904" s="2" t="str">
        <f>IFERROR(__xludf.DUMMYFUNCTION("GOOGLETRANSLATE(A19904, ""en"", ""mt"")"),"X'inhu l-iktar mod elementari biex tittestja l-primalità ta 'xi numru sħiħ?")</f>
        <v>X'inhu l-iktar mod elementari biex tittestja l-primalità ta 'xi numru sħiħ?</v>
      </c>
    </row>
    <row r="19905" ht="15.75" customHeight="1">
      <c r="A19905" s="2" t="s">
        <v>19905</v>
      </c>
      <c r="B19905" s="2" t="str">
        <f>IFERROR(__xludf.DUMMYFUNCTION("GOOGLETRANSLATE(A19905, ""en"", ""mt"")"),"Iż-żewġ familji Norman l-iktar prominenti li jaslu fil-Mediterran kienu dixxendenti ta 'Tancred ta' Hauteville u l-familja Drengot, li minnhom Rainulf Drengot irċeviet il-Kontea ta 'Averssa, l-ewwel Norman Toehold fin-Nofsinhar, minn Duke Sergius IV ta' N"&amp;"apli fl-1030. Il-familja Hauteville kisbet grad prinċepju billi pproklama l-Prinċep Guimar IV ta 'Salerno ""Duka ta' Apulia u Calabria"". Huwa fil-pront ingħata lill-mexxej elett tagħhom, William Iron Arm, bit-titlu ta 'Konti fil-kapitali tiegħu ta' Melfi"&amp;". Il-familja Drengot wara dan laħqet il-Prinċipat ta 'Capua, u l-Imperatur Henry III legalment ħarab lill-mexxej ta' Hauteville, Drogo, bħala ""Dux et Magister Italiae comeque Normannorum normannorum ttius apuliae et calabriae"" (""Duke u Master of Italja"&amp;" u l-għadd tan-Normans ta 'l-Apulia kollha u Calabria "") fl-1047.")</f>
        <v>Iż-żewġ familji Norman l-iktar prominenti li jaslu fil-Mediterran kienu dixxendenti ta 'Tancred ta' Hauteville u l-familja Drengot, li minnhom Rainulf Drengot irċeviet il-Kontea ta 'Averssa, l-ewwel Norman Toehold fin-Nofsinhar, minn Duke Sergius IV ta' Napli fl-1030. Il-familja Hauteville kisbet grad prinċepju billi pproklama l-Prinċep Guimar IV ta 'Salerno "Duka ta' Apulia u Calabria". Huwa fil-pront ingħata lill-mexxej elett tagħhom, William Iron Arm, bit-titlu ta 'Konti fil-kapitali tiegħu ta' Melfi. Il-familja Drengot wara dan laħqet il-Prinċipat ta 'Capua, u l-Imperatur Henry III legalment ħarab lill-mexxej ta' Hauteville, Drogo, bħala "Dux et Magister Italiae comeque Normannorum normannorum ttius apuliae et calabriae" ("Duke u Master of Italja u l-għadd tan-Normans ta 'l-Apulia kollha u Calabria ") fl-1047.</v>
      </c>
    </row>
    <row r="19906" ht="15.75" customHeight="1">
      <c r="A19906" s="2" t="s">
        <v>19906</v>
      </c>
      <c r="B19906" s="2" t="str">
        <f>IFERROR(__xludf.DUMMYFUNCTION("GOOGLETRANSLATE(A19906, ""en"", ""mt"")"),"8,646")</f>
        <v>8,646</v>
      </c>
    </row>
    <row r="19907" ht="15.75" customHeight="1">
      <c r="A19907" s="2" t="s">
        <v>19907</v>
      </c>
      <c r="B19907" s="2" t="str">
        <f>IFERROR(__xludf.DUMMYFUNCTION("GOOGLETRANSLATE(A19907, ""en"", ""mt"")"),"servizz pubbliku")</f>
        <v>servizz pubbliku</v>
      </c>
    </row>
    <row r="19908" ht="15.75" customHeight="1">
      <c r="A19908" s="2" t="s">
        <v>19908</v>
      </c>
      <c r="B19908" s="2" t="str">
        <f>IFERROR(__xludf.DUMMYFUNCTION("GOOGLETRANSLATE(A19908, ""en"", ""mt"")"),"2020")</f>
        <v>2020</v>
      </c>
    </row>
    <row r="19909" ht="15.75" customHeight="1">
      <c r="A19909" s="2" t="s">
        <v>19909</v>
      </c>
      <c r="B19909" s="2" t="str">
        <f>IFERROR(__xludf.DUMMYFUNCTION("GOOGLETRANSLATE(A19909, ""en"", ""mt"")"),"Reuben Townroe")</f>
        <v>Reuben Townroe</v>
      </c>
    </row>
    <row r="19910" ht="15.75" customHeight="1">
      <c r="A19910" s="2" t="s">
        <v>19910</v>
      </c>
      <c r="B19910" s="2" t="str">
        <f>IFERROR(__xludf.DUMMYFUNCTION("GOOGLETRANSLATE(A19910, ""en"", ""mt"")"),"Kemm intużaw rikostruzzjonijiet medjevali ta 'perjodu sħun?")</f>
        <v>Kemm intużaw rikostruzzjonijiet medjevali ta 'perjodu sħun?</v>
      </c>
    </row>
    <row r="19911" ht="15.75" customHeight="1">
      <c r="A19911" s="2" t="s">
        <v>19911</v>
      </c>
      <c r="B19911" s="2" t="str">
        <f>IFERROR(__xludf.DUMMYFUNCTION("GOOGLETRANSLATE(A19911, ""en"", ""mt"")"),"Kemm qal li t-tielet rapport ta 'valutazzjoni tal-IPCC qal li l-livelli tal-baħar se jogħlew mill-1990 sal-2100?")</f>
        <v>Kemm qal li t-tielet rapport ta 'valutazzjoni tal-IPCC qal li l-livelli tal-baħar se jogħlew mill-1990 sal-2100?</v>
      </c>
    </row>
    <row r="19912" ht="15.75" customHeight="1">
      <c r="A19912" s="2" t="s">
        <v>19912</v>
      </c>
      <c r="B19912" s="2" t="str">
        <f>IFERROR(__xludf.DUMMYFUNCTION("GOOGLETRANSLATE(A19912, ""en"", ""mt"")"),"pjuttost kumpless")</f>
        <v>pjuttost kumpless</v>
      </c>
    </row>
    <row r="19913" ht="15.75" customHeight="1">
      <c r="A19913" s="2" t="s">
        <v>19913</v>
      </c>
      <c r="B19913" s="2" t="str">
        <f>IFERROR(__xludf.DUMMYFUNCTION("GOOGLETRANSLATE(A19913, ""en"", ""mt"")"),"Ukoll qabel it-tluq ta 'Braddock għall-Amerika ta' Fuq")</f>
        <v>Ukoll qabel it-tluq ta 'Braddock għall-Amerika ta' Fuq</v>
      </c>
    </row>
    <row r="19914" ht="15.75" customHeight="1">
      <c r="A19914" s="2" t="s">
        <v>19914</v>
      </c>
      <c r="B19914" s="2" t="str">
        <f>IFERROR(__xludf.DUMMYFUNCTION("GOOGLETRANSLATE(A19914, ""en"", ""mt"")"),"Liema organizzazzjonijiet tan-NU stabbilixxew l-IPCC?")</f>
        <v>Liema organizzazzjonijiet tan-NU stabbilixxew l-IPCC?</v>
      </c>
    </row>
    <row r="19915" ht="15.75" customHeight="1">
      <c r="A19915" s="2" t="s">
        <v>19915</v>
      </c>
      <c r="B19915" s="2" t="str">
        <f>IFERROR(__xludf.DUMMYFUNCTION("GOOGLETRANSLATE(A19915, ""en"", ""mt"")"),"Perjodu ta '4 ġimgħat")</f>
        <v>Perjodu ta '4 ġimgħat</v>
      </c>
    </row>
    <row r="19916" ht="15.75" customHeight="1">
      <c r="A19916" s="2" t="s">
        <v>19916</v>
      </c>
      <c r="B19916" s="2" t="str">
        <f>IFERROR(__xludf.DUMMYFUNCTION("GOOGLETRANSLATE(A19916, ""en"", ""mt"")"),"Min Newton temm il-pass ta '45 tarzna fuq il-ftuħ tas-sewqan tat-tieni taqsima?")</f>
        <v>Min Newton temm il-pass ta '45 tarzna fuq il-ftuħ tas-sewqan tat-tieni taqsima?</v>
      </c>
    </row>
    <row r="19917" ht="15.75" customHeight="1">
      <c r="A19917" s="2" t="s">
        <v>19917</v>
      </c>
      <c r="B19917" s="2" t="str">
        <f>IFERROR(__xludf.DUMMYFUNCTION("GOOGLETRANSLATE(A19917, ""en"", ""mt"")"),"X'għandha influwenza negattiva fuq l-ekonomija ta 'l-Istati Uniti?")</f>
        <v>X'għandha influwenza negattiva fuq l-ekonomija ta 'l-Istati Uniti?</v>
      </c>
    </row>
    <row r="19918" ht="15.75" customHeight="1">
      <c r="A19918" s="2" t="s">
        <v>19918</v>
      </c>
      <c r="B19918" s="2" t="str">
        <f>IFERROR(__xludf.DUMMYFUNCTION("GOOGLETRANSLATE(A19918, ""en"", ""mt"")"),"Ċentru tal-vetturi spazjali bl-ekwipaġġ")</f>
        <v>Ċentru tal-vetturi spazjali bl-ekwipaġġ</v>
      </c>
    </row>
    <row r="19919" ht="15.75" customHeight="1">
      <c r="A19919" s="2" t="s">
        <v>19919</v>
      </c>
      <c r="B19919" s="2" t="str">
        <f>IFERROR(__xludf.DUMMYFUNCTION("GOOGLETRANSLATE(A19919, ""en"", ""mt"")"),"X'kienet l-okkażjoni meta sostna li kien għamel il-mewt tar-raġġ?")</f>
        <v>X'kienet l-okkażjoni meta sostna li kien għamel il-mewt tar-raġġ?</v>
      </c>
    </row>
    <row r="19920" ht="15.75" customHeight="1">
      <c r="A19920" s="2" t="s">
        <v>19920</v>
      </c>
      <c r="B19920" s="2" t="str">
        <f>IFERROR(__xludf.DUMMYFUNCTION("GOOGLETRANSLATE(A19920, ""en"", ""mt"")"),"Liema tim tal-NFL rebaħ Super Bowl 50?")</f>
        <v>Liema tim tal-NFL rebaħ Super Bowl 50?</v>
      </c>
    </row>
    <row r="19921" ht="15.75" customHeight="1">
      <c r="A19921" s="2" t="s">
        <v>19921</v>
      </c>
      <c r="B19921" s="2" t="str">
        <f>IFERROR(__xludf.DUMMYFUNCTION("GOOGLETRANSLATE(A19921, ""en"", ""mt"")"),"Liema sistema għandha impatt fuq l-inugwaljanza tad-dħul?")</f>
        <v>Liema sistema għandha impatt fuq l-inugwaljanza tad-dħul?</v>
      </c>
    </row>
    <row r="19922" ht="15.75" customHeight="1">
      <c r="A19922" s="2" t="s">
        <v>19922</v>
      </c>
      <c r="B19922" s="2" t="str">
        <f>IFERROR(__xludf.DUMMYFUNCTION("GOOGLETRANSLATE(A19922, ""en"", ""mt"")"),"Lil min biegħ ABC id-diviżjoni tar-reġistrazzjoni tagħha fl-1979?")</f>
        <v>Lil min biegħ ABC id-diviżjoni tar-reġistrazzjoni tagħha fl-1979?</v>
      </c>
    </row>
    <row r="19923" ht="15.75" customHeight="1">
      <c r="A19923" s="2" t="s">
        <v>19923</v>
      </c>
      <c r="B19923" s="2" t="str">
        <f>IFERROR(__xludf.DUMMYFUNCTION("GOOGLETRANSLATE(A19923, ""en"", ""mt"")"),"Min neħħa l-ballun minn Newton fit-3 u disgħa?")</f>
        <v>Min neħħa l-ballun minn Newton fit-3 u disgħa?</v>
      </c>
    </row>
    <row r="19924" ht="15.75" customHeight="1">
      <c r="A19924" s="2" t="s">
        <v>19924</v>
      </c>
      <c r="B19924" s="2" t="str">
        <f>IFERROR(__xludf.DUMMYFUNCTION("GOOGLETRANSLATE(A19924, ""en"", ""mt"")"),"Huma għandhom żewġ membrani taċ-ċelloli")</f>
        <v>Huma għandhom żewġ membrani taċ-ċelloli</v>
      </c>
    </row>
    <row r="19925" ht="15.75" customHeight="1">
      <c r="A19925" s="2" t="s">
        <v>19925</v>
      </c>
      <c r="B19925" s="2" t="str">
        <f>IFERROR(__xludf.DUMMYFUNCTION("GOOGLETRANSLATE(A19925, ""en"", ""mt"")"),"Teoriji dwar l-imperjalizmu jużaw liema pajjiż bħala mudell?")</f>
        <v>Teoriji dwar l-imperjalizmu jużaw liema pajjiż bħala mudell?</v>
      </c>
    </row>
    <row r="19926" ht="15.75" customHeight="1">
      <c r="A19926" s="2" t="s">
        <v>19926</v>
      </c>
      <c r="B19926" s="2" t="str">
        <f>IFERROR(__xludf.DUMMYFUNCTION("GOOGLETRANSLATE(A19926, ""en"", ""mt"")"),"Jannar 1964, sakemm kiseb l-ewwel inżul ta 'l-ekwipaġġ f'Lulju 1969")</f>
        <v>Jannar 1964, sakemm kiseb l-ewwel inżul ta 'l-ekwipaġġ f'Lulju 1969</v>
      </c>
    </row>
    <row r="19927" ht="15.75" customHeight="1">
      <c r="A19927" s="2" t="s">
        <v>19927</v>
      </c>
      <c r="B19927" s="2" t="str">
        <f>IFERROR(__xludf.DUMMYFUNCTION("GOOGLETRANSLATE(A19927, ""en"", ""mt"")"),"X'tip ta 'fossili nstabu fiċ-Ċina?")</f>
        <v>X'tip ta 'fossili nstabu fiċ-Ċina?</v>
      </c>
    </row>
    <row r="19928" ht="15.75" customHeight="1">
      <c r="A19928" s="2" t="s">
        <v>19928</v>
      </c>
      <c r="B19928" s="2" t="str">
        <f>IFERROR(__xludf.DUMMYFUNCTION("GOOGLETRANSLATE(A19928, ""en"", ""mt"")"),"antagonistiku")</f>
        <v>antagonistiku</v>
      </c>
    </row>
    <row r="19929" ht="15.75" customHeight="1">
      <c r="A19929" s="2" t="s">
        <v>19929</v>
      </c>
      <c r="B19929" s="2" t="str">
        <f>IFERROR(__xludf.DUMMYFUNCTION("GOOGLETRANSLATE(A19929, ""en"", ""mt"")"),"ħafna drabi tagħmel ħsara")</f>
        <v>ħafna drabi tagħmel ħsara</v>
      </c>
    </row>
    <row r="19930" ht="15.75" customHeight="1">
      <c r="A19930" s="2" t="s">
        <v>19930</v>
      </c>
      <c r="B19930" s="2" t="str">
        <f>IFERROR(__xludf.DUMMYFUNCTION("GOOGLETRANSLATE(A19930, ""en"", ""mt"")"),"Prova u riabilitazzjoni ta 'Joan of Arc")</f>
        <v>Prova u riabilitazzjoni ta 'Joan of Arc</v>
      </c>
    </row>
    <row r="19931" ht="15.75" customHeight="1">
      <c r="A19931" s="2" t="s">
        <v>19931</v>
      </c>
      <c r="B19931" s="2" t="str">
        <f>IFERROR(__xludf.DUMMYFUNCTION("GOOGLETRANSLATE(A19931, ""en"", ""mt"")"),"Għaliex is-suġġetti vokazzjonali kienu l-iktar importanti?")</f>
        <v>Għaliex is-suġġetti vokazzjonali kienu l-iktar importanti?</v>
      </c>
    </row>
    <row r="19932" ht="15.75" customHeight="1">
      <c r="A19932" s="2" t="s">
        <v>19932</v>
      </c>
      <c r="B19932" s="2" t="str">
        <f>IFERROR(__xludf.DUMMYFUNCTION("GOOGLETRANSLATE(A19932, ""en"", ""mt"")"),"Dokumenti li jakkumpanjaw - Noti ta 'Spjegazzjoni")</f>
        <v>Dokumenti li jakkumpanjaw - Noti ta 'Spjegazzjoni</v>
      </c>
    </row>
    <row r="19933" ht="15.75" customHeight="1">
      <c r="A19933" s="2" t="s">
        <v>19933</v>
      </c>
      <c r="B19933" s="2" t="str">
        <f>IFERROR(__xludf.DUMMYFUNCTION("GOOGLETRANSLATE(A19933, ""en"", ""mt"")"),"qabar mhux immarkat x'imkien fil-Mongolja")</f>
        <v>qabar mhux immarkat x'imkien fil-Mongolja</v>
      </c>
    </row>
    <row r="19934" ht="15.75" customHeight="1">
      <c r="A19934" s="2" t="s">
        <v>19934</v>
      </c>
      <c r="B19934" s="2" t="str">
        <f>IFERROR(__xludf.DUMMYFUNCTION("GOOGLETRANSLATE(A19934, ""en"", ""mt"")"),"F'liema episodju Doctor Who kiseb ċiklu ġdid ta 'riġenerazzjonijiet?")</f>
        <v>F'liema episodju Doctor Who kiseb ċiklu ġdid ta 'riġenerazzjonijiet?</v>
      </c>
    </row>
    <row r="19935" ht="15.75" customHeight="1">
      <c r="A19935" s="2" t="s">
        <v>19935</v>
      </c>
      <c r="B19935" s="2" t="str">
        <f>IFERROR(__xludf.DUMMYFUNCTION("GOOGLETRANSLATE(A19935, ""en"", ""mt"")"),"Id-delta tar-Rhine-Meuse, l-iktar reġjun naturali importanti tal-Olanda jibda qrib Millingen Aan de Rijn, viċin il-fruntiera Olandiża-Ġermaniża mad-diviżjoni tar-Renu f'Waal u Nederrijn. Peress li r-Renu jikkontribwixxi ħafna mill-ilma, it-terminu iqsar t"&amp;"ar-Rhine Delta huwa komunement użat. Madankollu, dan l-isem jintuża wkoll għad-delta tax-xmara fejn ir-Rhine joħroġ fil-Lag Constance, u għalhekk huwa aktar ċar li ssejjaħ id-delta waħda akbar tar-Rhine-Meus -")</f>
        <v>Id-delta tar-Rhine-Meuse, l-iktar reġjun naturali importanti tal-Olanda jibda qrib Millingen Aan de Rijn, viċin il-fruntiera Olandiża-Ġermaniża mad-diviżjoni tar-Renu f'Waal u Nederrijn. Peress li r-Renu jikkontribwixxi ħafna mill-ilma, it-terminu iqsar tar-Rhine Delta huwa komunement użat. Madankollu, dan l-isem jintuża wkoll għad-delta tax-xmara fejn ir-Rhine joħroġ fil-Lag Constance, u għalhekk huwa aktar ċar li ssejjaħ id-delta waħda akbar tar-Rhine-Meus -</v>
      </c>
    </row>
    <row r="19936" ht="15.75" customHeight="1">
      <c r="A19936" s="2" t="s">
        <v>19936</v>
      </c>
      <c r="B19936" s="2" t="str">
        <f>IFERROR(__xludf.DUMMYFUNCTION("GOOGLETRANSLATE(A19936, ""en"", ""mt"")"),"il-moviment tat-tempra")</f>
        <v>il-moviment tat-tempra</v>
      </c>
    </row>
    <row r="19937" ht="15.75" customHeight="1">
      <c r="A19937" s="2" t="s">
        <v>19937</v>
      </c>
      <c r="B19937" s="2" t="str">
        <f>IFERROR(__xludf.DUMMYFUNCTION("GOOGLETRANSLATE(A19937, ""en"", ""mt"")"),"Gvern tal-Knisja taħt is-Sovran Temporali")</f>
        <v>Gvern tal-Knisja taħt is-Sovran Temporali</v>
      </c>
    </row>
    <row r="19938" ht="15.75" customHeight="1">
      <c r="A19938" s="2" t="s">
        <v>19938</v>
      </c>
      <c r="B19938" s="2" t="str">
        <f>IFERROR(__xludf.DUMMYFUNCTION("GOOGLETRANSLATE(A19938, ""en"", ""mt"")"),"X'inhu l-isem tal-ikbar ċentru tax-xiri ta 'ġewwa fl-Ewropa?")</f>
        <v>X'inhu l-isem tal-ikbar ċentru tax-xiri ta 'ġewwa fl-Ewropa?</v>
      </c>
    </row>
    <row r="19939" ht="15.75" customHeight="1">
      <c r="A19939" s="2" t="s">
        <v>19939</v>
      </c>
      <c r="B19939" s="2" t="str">
        <f>IFERROR(__xludf.DUMMYFUNCTION("GOOGLETRANSLATE(A19939, ""en"", ""mt"")"),"Fejn jibqa 'l-istudent waqt li jkun qiegħed f'detenzjoni")</f>
        <v>Fejn jibqa 'l-istudent waqt li jkun qiegħed f'detenzjoni</v>
      </c>
    </row>
    <row r="19940" ht="15.75" customHeight="1">
      <c r="A19940" s="2" t="s">
        <v>19940</v>
      </c>
      <c r="B19940" s="2" t="str">
        <f>IFERROR(__xludf.DUMMYFUNCTION("GOOGLETRANSLATE(A19940, ""en"", ""mt"")"),"bejn 8 sa 10 mili kuljum")</f>
        <v>bejn 8 sa 10 mili kuljum</v>
      </c>
    </row>
    <row r="19941" ht="15.75" customHeight="1">
      <c r="A19941" s="2" t="s">
        <v>19941</v>
      </c>
      <c r="B19941" s="2" t="str">
        <f>IFERROR(__xludf.DUMMYFUNCTION("GOOGLETRANSLATE(A19941, ""en"", ""mt"")"),"Għal xiex kien l-aħħar episodju ta 'Doctor Who li Dudley Simpson kiteb il-mużika għalih?")</f>
        <v>Għal xiex kien l-aħħar episodju ta 'Doctor Who li Dudley Simpson kiteb il-mużika għalih?</v>
      </c>
    </row>
    <row r="19942" ht="15.75" customHeight="1">
      <c r="A19942" s="2" t="s">
        <v>19942</v>
      </c>
      <c r="B19942" s="2" t="str">
        <f>IFERROR(__xludf.DUMMYFUNCTION("GOOGLETRANSLATE(A19942, ""en"", ""mt"")"),"Kemm huma kbar il-kloroplasti fil-pjanti tal-art?")</f>
        <v>Kemm huma kbar il-kloroplasti fil-pjanti tal-art?</v>
      </c>
    </row>
    <row r="19943" ht="15.75" customHeight="1">
      <c r="A19943" s="2" t="s">
        <v>19943</v>
      </c>
      <c r="B19943" s="2" t="str">
        <f>IFERROR(__xludf.DUMMYFUNCTION("GOOGLETRANSLATE(A19943, ""en"", ""mt"")"),"F’liema sena kien legalizzat iż-żwieġ tal-istess sess fuq livell nazzjonali?")</f>
        <v>F’liema sena kien legalizzat iż-żwieġ tal-istess sess fuq livell nazzjonali?</v>
      </c>
    </row>
    <row r="19944" ht="15.75" customHeight="1">
      <c r="A19944" s="2" t="s">
        <v>19944</v>
      </c>
      <c r="B19944" s="2" t="str">
        <f>IFERROR(__xludf.DUMMYFUNCTION("GOOGLETRANSLATE(A19944, ""en"", ""mt"")"),"Liema kontinent huma l-Gżejjer Kanarini barra mill-kosta ta '?")</f>
        <v>Liema kontinent huma l-Gżejjer Kanarini barra mill-kosta ta '?</v>
      </c>
    </row>
    <row r="19945" ht="15.75" customHeight="1">
      <c r="A19945" s="2" t="s">
        <v>19945</v>
      </c>
      <c r="B19945" s="2" t="str">
        <f>IFERROR(__xludf.DUMMYFUNCTION("GOOGLETRANSLATE(A19945, ""en"", ""mt"")"),"Bejn iż-żmien tal-pubblikazzjoni tal-ktieb Domesday u s-sena 1377")</f>
        <v>Bejn iż-żmien tal-pubblikazzjoni tal-ktieb Domesday u s-sena 1377</v>
      </c>
    </row>
    <row r="19946" ht="15.75" customHeight="1">
      <c r="A19946" s="2" t="s">
        <v>19946</v>
      </c>
      <c r="B19946" s="2" t="str">
        <f>IFERROR(__xludf.DUMMYFUNCTION("GOOGLETRANSLATE(A19946, ""en"", ""mt"")"),"L-ewwel netwerk ta 'dejta pubblika liċenzjata mill-FCC")</f>
        <v>L-ewwel netwerk ta 'dejta pubblika liċenzjata mill-FCC</v>
      </c>
    </row>
    <row r="19947" ht="15.75" customHeight="1">
      <c r="A19947" s="2" t="s">
        <v>19947</v>
      </c>
      <c r="B19947" s="2" t="str">
        <f>IFERROR(__xludf.DUMMYFUNCTION("GOOGLETRANSLATE(A19947, ""en"", ""mt"")"),"flussi tal-magma jew tal-lava")</f>
        <v>flussi tal-magma jew tal-lava</v>
      </c>
    </row>
    <row r="19948" ht="15.75" customHeight="1">
      <c r="A19948" s="2" t="s">
        <v>19948</v>
      </c>
      <c r="B19948" s="2" t="str">
        <f>IFERROR(__xludf.DUMMYFUNCTION("GOOGLETRANSLATE(A19948, ""en"", ""mt"")"),"Gap tal-missili")</f>
        <v>Gap tal-missili</v>
      </c>
    </row>
    <row r="19949" ht="15.75" customHeight="1">
      <c r="A19949" s="2" t="s">
        <v>19949</v>
      </c>
      <c r="B19949" s="2" t="str">
        <f>IFERROR(__xludf.DUMMYFUNCTION("GOOGLETRANSLATE(A19949, ""en"", ""mt"")"),"Kważi miljun persuna")</f>
        <v>Kważi miljun persuna</v>
      </c>
    </row>
    <row r="19950" ht="15.75" customHeight="1">
      <c r="A19950" s="2" t="s">
        <v>19950</v>
      </c>
      <c r="B19950" s="2" t="str">
        <f>IFERROR(__xludf.DUMMYFUNCTION("GOOGLETRANSLATE(A19950, ""en"", ""mt"")"),"NYPD Blu")</f>
        <v>NYPD Blu</v>
      </c>
    </row>
    <row r="19951" ht="15.75" customHeight="1">
      <c r="A19951" s="2" t="s">
        <v>19951</v>
      </c>
      <c r="B19951" s="2" t="str">
        <f>IFERROR(__xludf.DUMMYFUNCTION("GOOGLETRANSLATE(A19951, ""en"", ""mt"")"),"MacCulloch")</f>
        <v>MacCulloch</v>
      </c>
    </row>
    <row r="19952" ht="15.75" customHeight="1">
      <c r="A19952" s="2" t="s">
        <v>19952</v>
      </c>
      <c r="B19952" s="2" t="str">
        <f>IFERROR(__xludf.DUMMYFUNCTION("GOOGLETRANSLATE(A19952, ""en"", ""mt"")"),"Brocard's")</f>
        <v>Brocard's</v>
      </c>
    </row>
    <row r="19953" ht="15.75" customHeight="1">
      <c r="A19953" s="2" t="s">
        <v>19953</v>
      </c>
      <c r="B19953" s="2" t="str">
        <f>IFERROR(__xludf.DUMMYFUNCTION("GOOGLETRANSLATE(A19953, ""en"", ""mt"")"),"Tundra")</f>
        <v>Tundra</v>
      </c>
    </row>
    <row r="19954" ht="15.75" customHeight="1">
      <c r="A19954" s="2" t="s">
        <v>19954</v>
      </c>
      <c r="B19954" s="2" t="str">
        <f>IFERROR(__xludf.DUMMYFUNCTION("GOOGLETRANSLATE(A19954, ""en"", ""mt"")"),"Ktieb tal-Qima Metodista Magħquda")</f>
        <v>Ktieb tal-Qima Metodista Magħquda</v>
      </c>
    </row>
    <row r="19955" ht="15.75" customHeight="1">
      <c r="A19955" s="2" t="s">
        <v>19955</v>
      </c>
      <c r="B19955" s="2" t="str">
        <f>IFERROR(__xludf.DUMMYFUNCTION("GOOGLETRANSLATE(A19955, ""en"", ""mt"")"),"Kemm kienu veloċi l-irjieħ madwar Santu Wistin fl-Uragan tal-1964?")</f>
        <v>Kemm kienu veloċi l-irjieħ madwar Santu Wistin fl-Uragan tal-1964?</v>
      </c>
    </row>
    <row r="19956" ht="15.75" customHeight="1">
      <c r="A19956" s="2" t="s">
        <v>19956</v>
      </c>
      <c r="B19956" s="2" t="str">
        <f>IFERROR(__xludf.DUMMYFUNCTION("GOOGLETRANSLATE(A19956, ""en"", ""mt"")"),"Harrods")</f>
        <v>Harrods</v>
      </c>
    </row>
    <row r="19957" ht="15.75" customHeight="1">
      <c r="A19957" s="2" t="s">
        <v>19957</v>
      </c>
      <c r="B19957" s="2" t="str">
        <f>IFERROR(__xludf.DUMMYFUNCTION("GOOGLETRANSLATE(A19957, ""en"", ""mt"")"),"l-ewwel direttur")</f>
        <v>l-ewwel direttur</v>
      </c>
    </row>
    <row r="19958" ht="15.75" customHeight="1">
      <c r="A19958" s="2" t="s">
        <v>19958</v>
      </c>
      <c r="B19958" s="2" t="str">
        <f>IFERROR(__xludf.DUMMYFUNCTION("GOOGLETRANSLATE(A19958, ""en"", ""mt"")"),"Il-Kabinett tal-Konferenza Annwali")</f>
        <v>Il-Kabinett tal-Konferenza Annwali</v>
      </c>
    </row>
    <row r="19959" ht="15.75" customHeight="1">
      <c r="A19959" s="2" t="s">
        <v>19959</v>
      </c>
      <c r="B19959" s="2" t="str">
        <f>IFERROR(__xludf.DUMMYFUNCTION("GOOGLETRANSLATE(A19959, ""en"", ""mt"")"),"L-Antichrist tat-2 Tessalonjani 2")</f>
        <v>L-Antichrist tat-2 Tessalonjani 2</v>
      </c>
    </row>
    <row r="19960" ht="15.75" customHeight="1">
      <c r="A19960" s="2" t="s">
        <v>19960</v>
      </c>
      <c r="B19960" s="2" t="str">
        <f>IFERROR(__xludf.DUMMYFUNCTION("GOOGLETRANSLATE(A19960, ""en"", ""mt"")"),"Kemm hemm sulari fil-bini li tlesta fl-1967?")</f>
        <v>Kemm hemm sulari fil-bini li tlesta fl-1967?</v>
      </c>
    </row>
    <row r="19961" ht="15.75" customHeight="1">
      <c r="A19961" s="2" t="s">
        <v>19961</v>
      </c>
      <c r="B19961" s="2" t="str">
        <f>IFERROR(__xludf.DUMMYFUNCTION("GOOGLETRANSLATE(A19961, ""en"", ""mt"")"),"Il-logo oriġinali")</f>
        <v>Il-logo oriġinali</v>
      </c>
    </row>
    <row r="19962" ht="15.75" customHeight="1">
      <c r="A19962" s="2" t="s">
        <v>19962</v>
      </c>
      <c r="B19962" s="2" t="str">
        <f>IFERROR(__xludf.DUMMYFUNCTION("GOOGLETRANSLATE(A19962, ""en"", ""mt"")"),"Madwar 3,000 mil")</f>
        <v>Madwar 3,000 mil</v>
      </c>
    </row>
    <row r="19963" ht="15.75" customHeight="1">
      <c r="A19963" s="2" t="s">
        <v>19963</v>
      </c>
      <c r="B19963" s="2" t="str">
        <f>IFERROR(__xludf.DUMMYFUNCTION("GOOGLETRANSLATE(A19963, ""en"", ""mt"")"),"15 Saturn V Rockets")</f>
        <v>15 Saturn V Rockets</v>
      </c>
    </row>
    <row r="19964" ht="15.75" customHeight="1">
      <c r="A19964" s="2" t="s">
        <v>19964</v>
      </c>
      <c r="B19964" s="2" t="str">
        <f>IFERROR(__xludf.DUMMYFUNCTION("GOOGLETRANSLATE(A19964, ""en"", ""mt"")"),"Il-biċċa l-kbira tal-iskejjel stabbiliti mill-UMC huma membri ta 'liema grupp?")</f>
        <v>Il-biċċa l-kbira tal-iskejjel stabbiliti mill-UMC huma membri ta 'liema grupp?</v>
      </c>
    </row>
    <row r="19965" ht="15.75" customHeight="1">
      <c r="A19965" s="2" t="s">
        <v>19965</v>
      </c>
      <c r="B19965" s="2" t="str">
        <f>IFERROR(__xludf.DUMMYFUNCTION("GOOGLETRANSLATE(A19965, ""en"", ""mt"")"),"Liema żewġ skulturi Ingliżi issa huma rrappreżentati bil-ftuħ tal-galleriji l-ġodda?")</f>
        <v>Liema żewġ skulturi Ingliżi issa huma rrappreżentati bil-ftuħ tal-galleriji l-ġodda?</v>
      </c>
    </row>
    <row r="19966" ht="15.75" customHeight="1">
      <c r="A19966" s="2" t="s">
        <v>19966</v>
      </c>
      <c r="B19966" s="2" t="str">
        <f>IFERROR(__xludf.DUMMYFUNCTION("GOOGLETRANSLATE(A19966, ""en"", ""mt"")"),"Sistema immuni innata kontra s-sistema immuni adatta")</f>
        <v>Sistema immuni innata kontra s-sistema immuni adatta</v>
      </c>
    </row>
    <row r="19967" ht="15.75" customHeight="1">
      <c r="A19967" s="2" t="s">
        <v>19967</v>
      </c>
      <c r="B19967" s="2" t="str">
        <f>IFERROR(__xludf.DUMMYFUNCTION("GOOGLETRANSLATE(A19967, ""en"", ""mt"")"),"Rhine Delta")</f>
        <v>Rhine Delta</v>
      </c>
    </row>
    <row r="19968" ht="15.75" customHeight="1">
      <c r="A19968" s="2" t="s">
        <v>19968</v>
      </c>
      <c r="B19968" s="2" t="str">
        <f>IFERROR(__xludf.DUMMYFUNCTION("GOOGLETRANSLATE(A19968, ""en"", ""mt"")"),"Fil-31 ta 'Lulju, 1995")</f>
        <v>Fil-31 ta 'Lulju, 1995</v>
      </c>
    </row>
    <row r="19969" ht="15.75" customHeight="1">
      <c r="A19969" s="2" t="s">
        <v>19969</v>
      </c>
      <c r="B19969" s="2" t="str">
        <f>IFERROR(__xludf.DUMMYFUNCTION("GOOGLETRANSLATE(A19969, ""en"", ""mt"")"),"X'kien oriġinarjament fuq l-ispazji qabel l-elmu ċar ""Fishbowl""?")</f>
        <v>X'kien oriġinarjament fuq l-ispazji qabel l-elmu ċar "Fishbowl"?</v>
      </c>
    </row>
    <row r="19970" ht="15.75" customHeight="1">
      <c r="A19970" s="2" t="s">
        <v>19970</v>
      </c>
      <c r="B19970" s="2" t="str">
        <f>IFERROR(__xludf.DUMMYFUNCTION("GOOGLETRANSLATE(A19970, ""en"", ""mt"")"),"Skond Lenin Għaliex il-pajjiżi kapitalisti għandhom politika imperjalista?")</f>
        <v>Skond Lenin Għaliex il-pajjiżi kapitalisti għandhom politika imperjalista?</v>
      </c>
    </row>
    <row r="19971" ht="15.75" customHeight="1">
      <c r="A19971" s="2" t="s">
        <v>19971</v>
      </c>
      <c r="B19971" s="2" t="str">
        <f>IFERROR(__xludf.DUMMYFUNCTION("GOOGLETRANSLATE(A19971, ""en"", ""mt"")"),"Deskrizzjoni tal-arkivju kodifikata (EAD)")</f>
        <v>Deskrizzjoni tal-arkivju kodifikata (EAD)</v>
      </c>
    </row>
    <row r="19972" ht="15.75" customHeight="1">
      <c r="A19972" s="2" t="s">
        <v>19972</v>
      </c>
      <c r="B19972" s="2" t="str">
        <f>IFERROR(__xludf.DUMMYFUNCTION("GOOGLETRANSLATE(A19972, ""en"", ""mt"")"),"Mill-1965, Donald Davies fil-Laboratorju Fiżiku Nazzjonali, ir-Renju Unit, żviluppa b'mod indipendenti l-istess metodoloġija ta 'rotta ta' messaġġi kif żviluppat minn Baran. Huwa sejjaħlu l-iswiċċ tal-pakkett, isem aktar aċċessibbli minn dak ta 'Baran, u "&amp;"ppropona li jibni netwerk nazzjonali fir-Renju Unit. Huwa ta taħdita dwar il-proposta fl-1966, u wara persuna mill-Ministeru tad-Difiża (MOD) qaltlu dwar ix-xogħol ta 'Baran. Membru tat-tim ta 'Davies (Roger Scantlebury) iltaqa' ma 'Lawrence Roberts fis-S"&amp;"ymposium ACM tal-1967 dwar il-prinċipji tas-sistema operattiva u ssuġġerixxah għall-użu fl-arpanet.")</f>
        <v>Mill-1965, Donald Davies fil-Laboratorju Fiżiku Nazzjonali, ir-Renju Unit, żviluppa b'mod indipendenti l-istess metodoloġija ta 'rotta ta' messaġġi kif żviluppat minn Baran. Huwa sejjaħlu l-iswiċċ tal-pakkett, isem aktar aċċessibbli minn dak ta 'Baran, u ppropona li jibni netwerk nazzjonali fir-Renju Unit. Huwa ta taħdita dwar il-proposta fl-1966, u wara persuna mill-Ministeru tad-Difiża (MOD) qaltlu dwar ix-xogħol ta 'Baran. Membru tat-tim ta 'Davies (Roger Scantlebury) iltaqa' ma 'Lawrence Roberts fis-Symposium ACM tal-1967 dwar il-prinċipji tas-sistema operattiva u ssuġġerixxah għall-użu fl-arpanet.</v>
      </c>
    </row>
    <row r="19973" ht="15.75" customHeight="1">
      <c r="A19973" s="2" t="s">
        <v>19973</v>
      </c>
      <c r="B19973" s="2" t="str">
        <f>IFERROR(__xludf.DUMMYFUNCTION("GOOGLETRANSLATE(A19973, ""en"", ""mt"")"),"Il-kollezzjoni tat-tapizzerija tinkludi framment tad-drapp ta ’San Gereon, l-eqdem tapizzerija Ewropea li għadu ħaj. Il-qofol tal-kollezzjoni huwa l-erba 'tapizzeriji tal-kaċċa ta' Devonshire, tapizzeriji rari ħafna tas-seklu 15, minsuġin fl-Olanda, li ju"&amp;"ru l-kaċċa ta 'diversi annimali; Mhux biss l-età tagħhom iżda d-daqs tagħhom jagħmlu dawn uniċi. Iż-żewġ ċentri Ingliżi ewlenin ta 'l-insiġ tat-tapizzerija tas-sekli 16 u 17 rispettivament, Sheldon &amp; Mortlake huma rappreżentati fil-kollezzjoni minn divers"&amp;"i eżempji. Inklużi wkoll it-tapizzeriji mill-workshop ta 'John Vanderbank li kienet il-manifattura ewlenija tat-Tapizzerija Ingliża fl-aħħar tas-seklu 17 u l-bidu tas-seklu 18. Uħud mill-ifjen tapizzeriji huma eżempji mill-workshop tal-Gobelins, inkluż se"&amp;"tt ta '' Jason u l-Argonauts 'li jmorru mill-1750. Ċentri oħra kontinentali ta 'l-insiġ ta' l-irfid b'xogħol fil-kollezzjoni jinkludu Brussell, Tournai, Beauvais, Strasburgu u Firenze.")</f>
        <v>Il-kollezzjoni tat-tapizzerija tinkludi framment tad-drapp ta ’San Gereon, l-eqdem tapizzerija Ewropea li għadu ħaj. Il-qofol tal-kollezzjoni huwa l-erba 'tapizzeriji tal-kaċċa ta' Devonshire, tapizzeriji rari ħafna tas-seklu 15, minsuġin fl-Olanda, li juru l-kaċċa ta 'diversi annimali; Mhux biss l-età tagħhom iżda d-daqs tagħhom jagħmlu dawn uniċi. Iż-żewġ ċentri Ingliżi ewlenin ta 'l-insiġ tat-tapizzerija tas-sekli 16 u 17 rispettivament, Sheldon &amp; Mortlake huma rappreżentati fil-kollezzjoni minn diversi eżempji. Inklużi wkoll it-tapizzeriji mill-workshop ta 'John Vanderbank li kienet il-manifattura ewlenija tat-Tapizzerija Ingliża fl-aħħar tas-seklu 17 u l-bidu tas-seklu 18. Uħud mill-ifjen tapizzeriji huma eżempji mill-workshop tal-Gobelins, inkluż sett ta '' Jason u l-Argonauts 'li jmorru mill-1750. Ċentri oħra kontinentali ta 'l-insiġ ta' l-irfid b'xogħol fil-kollezzjoni jinkludu Brussell, Tournai, Beauvais, Strasburgu u Firenze.</v>
      </c>
    </row>
    <row r="19974" ht="15.75" customHeight="1">
      <c r="A19974" s="2" t="s">
        <v>19974</v>
      </c>
      <c r="B19974" s="2" t="str">
        <f>IFERROR(__xludf.DUMMYFUNCTION("GOOGLETRANSLATE(A19974, ""en"", ""mt"")"),"nukleari")</f>
        <v>nukleari</v>
      </c>
    </row>
    <row r="19975" ht="15.75" customHeight="1">
      <c r="A19975" s="2" t="s">
        <v>19975</v>
      </c>
      <c r="B19975" s="2" t="str">
        <f>IFERROR(__xludf.DUMMYFUNCTION("GOOGLETRANSLATE(A19975, ""en"", ""mt"")"),"Il-proċess tal-IPCC dwar it-tibdil fil-klima u l-effiċjenza u s-suċċess tiegħu ġie mqabbel ma 'trattamenti ma' sfidi ambjentali oħra (qabbel it-tnaqqis tal-ożonu u t-tisħin globali). Fil-każ tar-regolament globali tat-tnaqqis tal-ożonu bbażat fuq il-proto"&amp;"koll ta 'Montreal kien suċċess, f'każ ta' bidla fil-klima, il-protokoll ta 'Kyoto falla. Il-każ tal-ożonu ntuża biex tevalwa l-effiċjenza tal-proċess IPCC. Is-sitwazzjoni tal-lockstep tal-IPCC qed tibni kunsens wiesa 'tax-xjenza filwaqt li l-istati u l-gv"&amp;"ernijiet għadhom isegwu għanijiet differenti, jekk mhux opposti. Il-mudell lineari sottostanti tat-tfassil tal-politika ta 'aktar għarfien li għandna, aħjar tkun qed tiġi ddubita r-rispons politiku.")</f>
        <v>Il-proċess tal-IPCC dwar it-tibdil fil-klima u l-effiċjenza u s-suċċess tiegħu ġie mqabbel ma 'trattamenti ma' sfidi ambjentali oħra (qabbel it-tnaqqis tal-ożonu u t-tisħin globali). Fil-każ tar-regolament globali tat-tnaqqis tal-ożonu bbażat fuq il-protokoll ta 'Montreal kien suċċess, f'każ ta' bidla fil-klima, il-protokoll ta 'Kyoto falla. Il-każ tal-ożonu ntuża biex tevalwa l-effiċjenza tal-proċess IPCC. Is-sitwazzjoni tal-lockstep tal-IPCC qed tibni kunsens wiesa 'tax-xjenza filwaqt li l-istati u l-gvernijiet għadhom isegwu għanijiet differenti, jekk mhux opposti. Il-mudell lineari sottostanti tat-tfassil tal-politika ta 'aktar għarfien li għandna, aħjar tkun qed tiġi ddubita r-rispons politiku.</v>
      </c>
    </row>
    <row r="19976" ht="15.75" customHeight="1">
      <c r="A19976" s="2" t="s">
        <v>19976</v>
      </c>
      <c r="B19976" s="2" t="str">
        <f>IFERROR(__xludf.DUMMYFUNCTION("GOOGLETRANSLATE(A19976, ""en"", ""mt"")"),"2-3 snin bħala anzjani proviżorji qabel l-ordinazzjoni tagħhom.")</f>
        <v>2-3 snin bħala anzjani proviżorji qabel l-ordinazzjoni tagħhom.</v>
      </c>
    </row>
    <row r="19977" ht="15.75" customHeight="1">
      <c r="A19977" s="2" t="s">
        <v>19977</v>
      </c>
      <c r="B19977" s="2" t="str">
        <f>IFERROR(__xludf.DUMMYFUNCTION("GOOGLETRANSLATE(A19977, ""en"", ""mt"")"),"X'kienet innumerata mill-ġdid fi Newcastle mat-tlestija tal-bypass tal-Punent?")</f>
        <v>X'kienet innumerata mill-ġdid fi Newcastle mat-tlestija tal-bypass tal-Punent?</v>
      </c>
    </row>
    <row r="19978" ht="15.75" customHeight="1">
      <c r="A19978" s="2" t="s">
        <v>19978</v>
      </c>
      <c r="B19978" s="2" t="str">
        <f>IFERROR(__xludf.DUMMYFUNCTION("GOOGLETRANSLATE(A19978, ""en"", ""mt"")"),"forza tal-gravità")</f>
        <v>forza tal-gravità</v>
      </c>
    </row>
    <row r="19979" ht="15.75" customHeight="1">
      <c r="A19979" s="2" t="s">
        <v>19979</v>
      </c>
      <c r="B19979" s="2" t="str">
        <f>IFERROR(__xludf.DUMMYFUNCTION("GOOGLETRANSLATE(A19979, ""en"", ""mt"")"),"Għal min jismu l-mużew?")</f>
        <v>Għal min jismu l-mużew?</v>
      </c>
    </row>
    <row r="19980" ht="15.75" customHeight="1">
      <c r="A19980" s="2" t="s">
        <v>19980</v>
      </c>
      <c r="B19980" s="2" t="str">
        <f>IFERROR(__xludf.DUMMYFUNCTION("GOOGLETRANSLATE(A19980, ""en"", ""mt"")"),"60 jum")</f>
        <v>60 jum</v>
      </c>
    </row>
    <row r="19981" ht="15.75" customHeight="1">
      <c r="A19981" s="2" t="s">
        <v>19981</v>
      </c>
      <c r="B19981" s="2" t="str">
        <f>IFERROR(__xludf.DUMMYFUNCTION("GOOGLETRANSLATE(A19981, ""en"", ""mt"")"),"individwi diġà sinjifikanti")</f>
        <v>individwi diġà sinjifikanti</v>
      </c>
    </row>
    <row r="19982" ht="15.75" customHeight="1">
      <c r="A19982" s="2" t="s">
        <v>19982</v>
      </c>
      <c r="B19982" s="2" t="str">
        <f>IFERROR(__xludf.DUMMYFUNCTION("GOOGLETRANSLATE(A19982, ""en"", ""mt"")"),"Kontra min żdiedu l-camisards biex jiġġieldu?")</f>
        <v>Kontra min żdiedu l-camisards biex jiġġieldu?</v>
      </c>
    </row>
    <row r="19983" ht="15.75" customHeight="1">
      <c r="A19983" s="2" t="s">
        <v>19983</v>
      </c>
      <c r="B19983" s="2" t="str">
        <f>IFERROR(__xludf.DUMMYFUNCTION("GOOGLETRANSLATE(A19983, ""en"", ""mt"")"),"€ 5,000")</f>
        <v>€ 5,000</v>
      </c>
    </row>
    <row r="19984" ht="15.75" customHeight="1">
      <c r="A19984" s="2" t="s">
        <v>19984</v>
      </c>
      <c r="B19984" s="2" t="str">
        <f>IFERROR(__xludf.DUMMYFUNCTION("GOOGLETRANSLATE(A19984, ""en"", ""mt"")"),"kullimkien minn tnejn sa mitt")</f>
        <v>kullimkien minn tnejn sa mitt</v>
      </c>
    </row>
    <row r="19985" ht="15.75" customHeight="1">
      <c r="A19985" s="2" t="s">
        <v>19985</v>
      </c>
      <c r="B19985" s="2" t="str">
        <f>IFERROR(__xludf.DUMMYFUNCTION("GOOGLETRANSLATE(A19985, ""en"", ""mt"")"),"Liema bliet oħra tal-Ewropa tat-Tramuntana kellhom kongregazzjonijiet Huguenot?")</f>
        <v>Liema bliet oħra tal-Ewropa tat-Tramuntana kellhom kongregazzjonijiet Huguenot?</v>
      </c>
    </row>
    <row r="19986" ht="15.75" customHeight="1">
      <c r="A19986" s="2" t="s">
        <v>19986</v>
      </c>
      <c r="B19986" s="2" t="str">
        <f>IFERROR(__xludf.DUMMYFUNCTION("GOOGLETRANSLATE(A19986, ""en"", ""mt"")"),"l-awtorità aħħarija tal-istati membri")</f>
        <v>l-awtorità aħħarija tal-istati membri</v>
      </c>
    </row>
    <row r="19987" ht="15.75" customHeight="1">
      <c r="A19987" s="2" t="s">
        <v>19987</v>
      </c>
      <c r="B19987" s="2" t="str">
        <f>IFERROR(__xludf.DUMMYFUNCTION("GOOGLETRANSLATE(A19987, ""en"", ""mt"")"),"Il-kontijiet tal-ħajja ta 'Genghis Khan huma mmarkati minn talbiet ta' serje ta 'tradimenti u konspirazzjonijiet. Dawn jinkludu Rifts mal-alleati bikrija tiegħu bħal Jamukha (li ried ukoll ikun ħakkiem ta 'tribujiet Mongoljani) u Wang Khan (l-alleat tiegħ"&amp;"u u missieru), ibnu Jochi, u problemi bl-iktar shaman importanti, li allegatament kien qed jipprova Sewqan felli bejnu u ħuh leali Khasar. L-istrateġiji militari tiegħu wrew interess profond fil-ġbir ta 'intelliġenza tajba u biex jifhmu l-motivazzjonijiet"&amp;" tar-rivali tiegħu, eżemplifikati min-netwerk ta' spija estensiv tiegħu u s-sistemi tar-rotta tal-yam. Huwa deher li kien student rapidu, li adotta teknoloġiji u ideat ġodda li ltaqa 'magħhom, bħal gwerra tal-assedju miċ-Ċiniżi. Huwa kien ukoll bla ħniena"&amp;", muri bit-tattika tiegħu ta 'kejl kontra l-linchpin, użat kontra t-tribujiet immexxija minn Jamukha.")</f>
        <v>Il-kontijiet tal-ħajja ta 'Genghis Khan huma mmarkati minn talbiet ta' serje ta 'tradimenti u konspirazzjonijiet. Dawn jinkludu Rifts mal-alleati bikrija tiegħu bħal Jamukha (li ried ukoll ikun ħakkiem ta 'tribujiet Mongoljani) u Wang Khan (l-alleat tiegħu u missieru), ibnu Jochi, u problemi bl-iktar shaman importanti, li allegatament kien qed jipprova Sewqan felli bejnu u ħuh leali Khasar. L-istrateġiji militari tiegħu wrew interess profond fil-ġbir ta 'intelliġenza tajba u biex jifhmu l-motivazzjonijiet tar-rivali tiegħu, eżemplifikati min-netwerk ta' spija estensiv tiegħu u s-sistemi tar-rotta tal-yam. Huwa deher li kien student rapidu, li adotta teknoloġiji u ideat ġodda li ltaqa 'magħhom, bħal gwerra tal-assedju miċ-Ċiniżi. Huwa kien ukoll bla ħniena, muri bit-tattika tiegħu ta 'kejl kontra l-linchpin, użat kontra t-tribujiet immexxija minn Jamukha.</v>
      </c>
    </row>
    <row r="19988" ht="15.75" customHeight="1">
      <c r="A19988" s="2" t="s">
        <v>19988</v>
      </c>
      <c r="B19988" s="2" t="str">
        <f>IFERROR(__xludf.DUMMYFUNCTION("GOOGLETRANSLATE(A19988, ""en"", ""mt"")"),"X'inhu identifikatur tal-konnessjoni")</f>
        <v>X'inhu identifikatur tal-konnessjoni</v>
      </c>
    </row>
    <row r="19989" ht="15.75" customHeight="1">
      <c r="A19989" s="2" t="s">
        <v>19989</v>
      </c>
      <c r="B19989" s="2" t="str">
        <f>IFERROR(__xludf.DUMMYFUNCTION("GOOGLETRANSLATE(A19989, ""en"", ""mt"")"),"Ergäzungsschulen huma skejjel sekondarji jew post-sekondarji (mhux terzjarji), li huma mmexxija minn individwi privati, organizzazzjonijiet privati ​​jew rarament, gruppi reliġjużi u joffru tip ta 'edukazzjoni li mhix disponibbli fl-iskejjel pubbliċi. Ħaf"&amp;"na minn dawn l-iskejjel huma skejjel vokazzjonali. Madankollu, dawn l-iskejjel vokazzjonali mhumiex parti mis-sistema ta 'edukazzjoni doppja Ġermaniża. Ergäzungsschulen għandhom il-libertà li joperaw barra mir-regolamentazzjoni tal-gvern u huma ffinanzjat"&amp;"i kollha billi ċċarġjaw l-istudenti tagħhom dwar it-tariffi tat-tagħlim.")</f>
        <v>Ergäzungsschulen huma skejjel sekondarji jew post-sekondarji (mhux terzjarji), li huma mmexxija minn individwi privati, organizzazzjonijiet privati ​​jew rarament, gruppi reliġjużi u joffru tip ta 'edukazzjoni li mhix disponibbli fl-iskejjel pubbliċi. Ħafna minn dawn l-iskejjel huma skejjel vokazzjonali. Madankollu, dawn l-iskejjel vokazzjonali mhumiex parti mis-sistema ta 'edukazzjoni doppja Ġermaniża. Ergäzungsschulen għandhom il-libertà li joperaw barra mir-regolamentazzjoni tal-gvern u huma ffinanzjati kollha billi ċċarġjaw l-istudenti tagħhom dwar it-tariffi tat-tagħlim.</v>
      </c>
    </row>
    <row r="19990" ht="15.75" customHeight="1">
      <c r="A19990" s="2" t="s">
        <v>19990</v>
      </c>
      <c r="B19990" s="2" t="str">
        <f>IFERROR(__xludf.DUMMYFUNCTION("GOOGLETRANSLATE(A19990, ""en"", ""mt"")"),"Minbarra li tinsab fuq il-kosta, dak li jikkontribwixxi għan-nuqqas ta 'temp kiesaħ ta' Jacksonville?")</f>
        <v>Minbarra li tinsab fuq il-kosta, dak li jikkontribwixxi għan-nuqqas ta 'temp kiesaħ ta' Jacksonville?</v>
      </c>
    </row>
    <row r="19991" ht="15.75" customHeight="1">
      <c r="A19991" s="2" t="s">
        <v>19991</v>
      </c>
      <c r="B19991" s="2" t="str">
        <f>IFERROR(__xludf.DUMMYFUNCTION("GOOGLETRANSLATE(A19991, ""en"", ""mt"")"),"mesophyll")</f>
        <v>mesophyll</v>
      </c>
    </row>
    <row r="19992" ht="15.75" customHeight="1">
      <c r="A19992" s="2" t="s">
        <v>19992</v>
      </c>
      <c r="B19992" s="2" t="str">
        <f>IFERROR(__xludf.DUMMYFUNCTION("GOOGLETRANSLATE(A19992, ""en"", ""mt"")"),"Settembru 2007")</f>
        <v>Settembru 2007</v>
      </c>
    </row>
    <row r="19993" ht="15.75" customHeight="1">
      <c r="A19993" s="2" t="s">
        <v>19993</v>
      </c>
      <c r="B19993" s="2" t="str">
        <f>IFERROR(__xludf.DUMMYFUNCTION("GOOGLETRANSLATE(A19993, ""en"", ""mt"")"),"biex jippermettu lin-nies isegwu l-għanijiet tal-ħajja tagħhom fi kwalunkwe pajjiż permezz tal-moviment liberu")</f>
        <v>biex jippermettu lin-nies isegwu l-għanijiet tal-ħajja tagħhom fi kwalunkwe pajjiż permezz tal-moviment liberu</v>
      </c>
    </row>
    <row r="19994" ht="15.75" customHeight="1">
      <c r="A19994" s="2" t="s">
        <v>19994</v>
      </c>
      <c r="B19994" s="2" t="str">
        <f>IFERROR(__xludf.DUMMYFUNCTION("GOOGLETRANSLATE(A19994, ""en"", ""mt"")"),"Meta kienet l-aħħar priedka ta 'Luther?")</f>
        <v>Meta kienet l-aħħar priedka ta 'Luther?</v>
      </c>
    </row>
    <row r="19995" ht="15.75" customHeight="1">
      <c r="A19995" s="2" t="s">
        <v>19995</v>
      </c>
      <c r="B19995" s="2" t="str">
        <f>IFERROR(__xludf.DUMMYFUNCTION("GOOGLETRANSLATE(A19995, ""en"", ""mt"")"),"Riċerka Privata")</f>
        <v>Riċerka Privata</v>
      </c>
    </row>
    <row r="19996" ht="15.75" customHeight="1">
      <c r="A19996" s="2" t="s">
        <v>19996</v>
      </c>
      <c r="B19996" s="2" t="str">
        <f>IFERROR(__xludf.DUMMYFUNCTION("GOOGLETRANSLATE(A19996, ""en"", ""mt"")"),"Huguon")</f>
        <v>Huguon</v>
      </c>
    </row>
    <row r="19997" ht="15.75" customHeight="1">
      <c r="A19997" s="2" t="s">
        <v>19997</v>
      </c>
      <c r="B19997" s="2" t="str">
        <f>IFERROR(__xludf.DUMMYFUNCTION("GOOGLETRANSLATE(A19997, ""en"", ""mt"")"),"X'kien is-salarju ta 'konsulent ta' kull xahar ta 'Tesla?")</f>
        <v>X'kien is-salarju ta 'konsulent ta' kull xahar ta 'Tesla?</v>
      </c>
    </row>
    <row r="19998" ht="15.75" customHeight="1">
      <c r="A19998" s="2" t="s">
        <v>19998</v>
      </c>
      <c r="B19998" s="2" t="str">
        <f>IFERROR(__xludf.DUMMYFUNCTION("GOOGLETRANSLATE(A19998, ""en"", ""mt"")"),"Sit tal-Wirt Dinji tal-UNESCO")</f>
        <v>Sit tal-Wirt Dinji tal-UNESCO</v>
      </c>
    </row>
    <row r="19999" ht="15.75" customHeight="1">
      <c r="A19999" s="2" t="s">
        <v>19999</v>
      </c>
      <c r="B19999" s="2" t="str">
        <f>IFERROR(__xludf.DUMMYFUNCTION("GOOGLETRANSLATE(A19999, ""en"", ""mt"")"),"Bajd u sperma jimmaturaw fi żminijiet differenti")</f>
        <v>Bajd u sperma jimmaturaw fi żminijiet differenti</v>
      </c>
    </row>
    <row r="20000" ht="15.75" customHeight="1">
      <c r="A20000" s="2" t="s">
        <v>20000</v>
      </c>
      <c r="B20000" s="2" t="str">
        <f>IFERROR(__xludf.DUMMYFUNCTION("GOOGLETRANSLATE(A20000, ""en"", ""mt"")"),"1815")</f>
        <v>1815</v>
      </c>
    </row>
    <row r="20001" ht="15.75" customHeight="1">
      <c r="A20001" s="2" t="s">
        <v>20001</v>
      </c>
      <c r="B20001" s="2" t="str">
        <f>IFERROR(__xludf.DUMMYFUNCTION("GOOGLETRANSLATE(A20001, ""en"", ""mt"")"),"Kampanji fuq il-Lag Ontario")</f>
        <v>Kampanji fuq il-Lag Ontario</v>
      </c>
    </row>
    <row r="20002" ht="15.75" customHeight="1">
      <c r="A20002" s="2" t="s">
        <v>20002</v>
      </c>
      <c r="B20002" s="2" t="str">
        <f>IFERROR(__xludf.DUMMYFUNCTION("GOOGLETRANSLATE(A20002, ""en"", ""mt"")"),"Forza tal-Ajru")</f>
        <v>Forza tal-Ajru</v>
      </c>
    </row>
    <row r="20003" ht="15.75" customHeight="1">
      <c r="A20003" s="2" t="s">
        <v>20003</v>
      </c>
      <c r="B20003" s="2" t="str">
        <f>IFERROR(__xludf.DUMMYFUNCTION("GOOGLETRANSLATE(A20003, ""en"", ""mt"")"),"Meta ġie introdott il-kunċett ta 'ekonomija tas-suq soċjali fil-liġi tal-UE?")</f>
        <v>Meta ġie introdott il-kunċett ta 'ekonomija tas-suq soċjali fil-liġi tal-UE?</v>
      </c>
    </row>
    <row r="20004" ht="15.75" customHeight="1">
      <c r="A20004" s="2" t="s">
        <v>20004</v>
      </c>
      <c r="B20004" s="2" t="str">
        <f>IFERROR(__xludf.DUMMYFUNCTION("GOOGLETRANSLATE(A20004, ""en"", ""mt"")"),"Franza, l-Arġentina, ir-Renju Unit, il-Belġju, l-Irlanda, l-Italja, Spanja, u l-Indja")</f>
        <v>Franza, l-Arġentina, ir-Renju Unit, il-Belġju, l-Irlanda, l-Italja, Spanja, u l-Indja</v>
      </c>
    </row>
    <row r="20005" ht="15.75" customHeight="1">
      <c r="A20005" s="2" t="s">
        <v>20005</v>
      </c>
      <c r="B20005" s="2" t="str">
        <f>IFERROR(__xludf.DUMMYFUNCTION("GOOGLETRANSLATE(A20005, ""en"", ""mt"")"),"Tankers iżolati apposta")</f>
        <v>Tankers iżolati apposta</v>
      </c>
    </row>
    <row r="20006" ht="15.75" customHeight="1">
      <c r="A20006" s="2" t="s">
        <v>20006</v>
      </c>
      <c r="B20006" s="2" t="str">
        <f>IFERROR(__xludf.DUMMYFUNCTION("GOOGLETRANSLATE(A20006, ""en"", ""mt"")"),"Parlament tar-Renju Unit f'Westminster")</f>
        <v>Parlament tar-Renju Unit f'Westminster</v>
      </c>
    </row>
    <row r="20007" ht="15.75" customHeight="1">
      <c r="A20007" s="2" t="s">
        <v>20007</v>
      </c>
      <c r="B20007" s="2" t="str">
        <f>IFERROR(__xludf.DUMMYFUNCTION("GOOGLETRANSLATE(A20007, ""en"", ""mt"")"),"sokits tas-snien fl-iskeletri tal-bniedem")</f>
        <v>sokits tas-snien fl-iskeletri tal-bniedem</v>
      </c>
    </row>
    <row r="20008" ht="15.75" customHeight="1">
      <c r="A20008" s="2" t="s">
        <v>20008</v>
      </c>
      <c r="B20008" s="2" t="str">
        <f>IFERROR(__xludf.DUMMYFUNCTION("GOOGLETRANSLATE(A20008, ""en"", ""mt"")"),"Qorti Kbira u Ġenerali tal-Kolonja tal-Bajja ta ’Massachusetts")</f>
        <v>Qorti Kbira u Ġenerali tal-Kolonja tal-Bajja ta ’Massachusetts</v>
      </c>
    </row>
    <row r="20009" ht="15.75" customHeight="1">
      <c r="A20009" s="2" t="s">
        <v>20009</v>
      </c>
      <c r="B20009" s="2" t="str">
        <f>IFERROR(__xludf.DUMMYFUNCTION("GOOGLETRANSLATE(A20009, ""en"", ""mt"")"),"oqbra tal-massa fit-tramuntana, ċentrali u fin-nofsinhar tal-Ewropa")</f>
        <v>oqbra tal-massa fit-tramuntana, ċentrali u fin-nofsinhar tal-Ewropa</v>
      </c>
    </row>
    <row r="20010" ht="15.75" customHeight="1">
      <c r="A20010" s="2" t="s">
        <v>20010</v>
      </c>
      <c r="B20010" s="2" t="str">
        <f>IFERROR(__xludf.DUMMYFUNCTION("GOOGLETRANSLATE(A20010, ""en"", ""mt"")"),"Kemm mill-episodji prodotti fl-ewwel sitt staġuni mhumiex fl-arkivji tal-BBC?")</f>
        <v>Kemm mill-episodji prodotti fl-ewwel sitt staġuni mhumiex fl-arkivji tal-BBC?</v>
      </c>
    </row>
    <row r="20011" ht="15.75" customHeight="1">
      <c r="A20011" s="2" t="s">
        <v>20011</v>
      </c>
      <c r="B20011" s="2" t="str">
        <f>IFERROR(__xludf.DUMMYFUNCTION("GOOGLETRANSLATE(A20011, ""en"", ""mt"")"),"Il-kunċett ""forza"" żżomm it-tifsira tagħha fil-mekkanika kwantistika, għalkemm issa wieħed qed jittratta ma 'operaturi minflok varjabbli klassiċi u għalkemm il-fiżika issa hija deskritta mill-ekwazzjoni ta' Schrödinger minflok l-ekwazzjonijiet Newtonjan"&amp;"i. Dan għandu l-konsegwenza li r-riżultati ta 'kejl issa huma xi kultant ""kwantifikati"", i.e. jidhru f'porzjonijiet diskreti. Dan huwa, ovvjament, diffiċli li wieħed jimmaġina fil-kuntest ta '""forzi"". Madankollu, il-potenzjal V (x, y, z) jew oqsma, li"&amp;" minnhom il-forzi ġeneralment jistgħu jiġu derivati, huma trattati simili għal varjabbli ta 'pożizzjoni klassika, i.e.,.")</f>
        <v>Il-kunċett "forza" żżomm it-tifsira tagħha fil-mekkanika kwantistika, għalkemm issa wieħed qed jittratta ma 'operaturi minflok varjabbli klassiċi u għalkemm il-fiżika issa hija deskritta mill-ekwazzjoni ta' Schrödinger minflok l-ekwazzjonijiet Newtonjani. Dan għandu l-konsegwenza li r-riżultati ta 'kejl issa huma xi kultant "kwantifikati", i.e. jidhru f'porzjonijiet diskreti. Dan huwa, ovvjament, diffiċli li wieħed jimmaġina fil-kuntest ta '"forzi". Madankollu, il-potenzjal V (x, y, z) jew oqsma, li minnhom il-forzi ġeneralment jistgħu jiġu derivati, huma trattati simili għal varjabbli ta 'pożizzjoni klassika, i.e.,.</v>
      </c>
    </row>
    <row r="20012" ht="15.75" customHeight="1">
      <c r="A20012" s="2" t="s">
        <v>20012</v>
      </c>
      <c r="B20012" s="2" t="str">
        <f>IFERROR(__xludf.DUMMYFUNCTION("GOOGLETRANSLATE(A20012, ""en"", ""mt"")"),"Interventiżmu")</f>
        <v>Interventiżmu</v>
      </c>
    </row>
    <row r="20013" ht="15.75" customHeight="1">
      <c r="A20013" s="2" t="s">
        <v>20013</v>
      </c>
      <c r="B20013" s="2" t="str">
        <f>IFERROR(__xludf.DUMMYFUNCTION("GOOGLETRANSLATE(A20013, ""en"", ""mt"")"),"Antiklinja maqluba")</f>
        <v>Antiklinja maqluba</v>
      </c>
    </row>
    <row r="20014" ht="15.75" customHeight="1">
      <c r="A20014" s="2" t="s">
        <v>20014</v>
      </c>
      <c r="B20014" s="2" t="str">
        <f>IFERROR(__xludf.DUMMYFUNCTION("GOOGLETRANSLATE(A20014, ""en"", ""mt"")"),"F'liema sena l-kaptan reinkarnat f'ġisem femminili?")</f>
        <v>F'liema sena l-kaptan reinkarnat f'ġisem femminili?</v>
      </c>
    </row>
    <row r="20015" ht="15.75" customHeight="1">
      <c r="A20015" s="2" t="s">
        <v>20015</v>
      </c>
      <c r="B20015" s="2" t="str">
        <f>IFERROR(__xludf.DUMMYFUNCTION("GOOGLETRANSLATE(A20015, ""en"", ""mt"")"),"Liema spinoff ta 'Happy Days iddebutta fl-1976?")</f>
        <v>Liema spinoff ta 'Happy Days iddebutta fl-1976?</v>
      </c>
    </row>
    <row r="20016" ht="15.75" customHeight="1">
      <c r="A20016" s="2" t="s">
        <v>20016</v>
      </c>
      <c r="B20016" s="2" t="str">
        <f>IFERROR(__xludf.DUMMYFUNCTION("GOOGLETRANSLATE(A20016, ""en"", ""mt"")"),"11,600 bp")</f>
        <v>11,600 bp</v>
      </c>
    </row>
    <row r="20017" ht="15.75" customHeight="1">
      <c r="A20017" s="2" t="s">
        <v>20017</v>
      </c>
      <c r="B20017" s="2" t="str">
        <f>IFERROR(__xludf.DUMMYFUNCTION("GOOGLETRANSLATE(A20017, ""en"", ""mt"")"),"L-ewwel servizz onlajn kummerċjali tad-dinja")</f>
        <v>L-ewwel servizz onlajn kummerċjali tad-dinja</v>
      </c>
    </row>
    <row r="20018" ht="15.75" customHeight="1">
      <c r="A20018" s="2" t="s">
        <v>20018</v>
      </c>
      <c r="B20018" s="2" t="str">
        <f>IFERROR(__xludf.DUMMYFUNCTION("GOOGLETRANSLATE(A20018, ""en"", ""mt"")"),"Il-Broncos għelbu lil Pittsburgh Steelers fir-rawnd diviżjonali, 23-16, billi skorja 11-il punt fl-aħħar tliet minuti tal-logħba. Imbagħad għelbu liċ-champion tas-Super Bowl XLIX li jiddefendi New England Patriots fil-logħba tal-Kampjonat AFC, 20-18, bill"&amp;"i interċetta pass fuq l-attentat ta 'konverżjoni ta' 2 punti ta 'New England bi 17-il sekonda xellug fuq l-arloġġ. Minkejja l-problemi ta 'Manning bl-interċezzjonijiet matul l-istaġun, huwa ma tefa' l-ebda fiż-żewġ logħbiet tal-playoff tagħhom.")</f>
        <v>Il-Broncos għelbu lil Pittsburgh Steelers fir-rawnd diviżjonali, 23-16, billi skorja 11-il punt fl-aħħar tliet minuti tal-logħba. Imbagħad għelbu liċ-champion tas-Super Bowl XLIX li jiddefendi New England Patriots fil-logħba tal-Kampjonat AFC, 20-18, billi interċetta pass fuq l-attentat ta 'konverżjoni ta' 2 punti ta 'New England bi 17-il sekonda xellug fuq l-arloġġ. Minkejja l-problemi ta 'Manning bl-interċezzjonijiet matul l-istaġun, huwa ma tefa' l-ebda fiż-żewġ logħbiet tal-playoff tagħhom.</v>
      </c>
    </row>
    <row r="20019" ht="15.75" customHeight="1">
      <c r="A20019" s="2" t="s">
        <v>20019</v>
      </c>
      <c r="B20019" s="2" t="str">
        <f>IFERROR(__xludf.DUMMYFUNCTION("GOOGLETRANSLATE(A20019, ""en"", ""mt"")"),"teħid tal-ħġieġ")</f>
        <v>teħid tal-ħġieġ</v>
      </c>
    </row>
    <row r="20020" ht="15.75" customHeight="1">
      <c r="A20020" s="2" t="s">
        <v>20020</v>
      </c>
      <c r="B20020" s="2" t="str">
        <f>IFERROR(__xludf.DUMMYFUNCTION("GOOGLETRANSLATE(A20020, ""en"", ""mt"")"),"Hank Paulson huwa l-ex president u CEO ta 'liema ditta bankarja?")</f>
        <v>Hank Paulson huwa l-ex president u CEO ta 'liema ditta bankarja?</v>
      </c>
    </row>
    <row r="20021" ht="15.75" customHeight="1">
      <c r="A20021" s="2" t="s">
        <v>20021</v>
      </c>
      <c r="B20021" s="2" t="str">
        <f>IFERROR(__xludf.DUMMYFUNCTION("GOOGLETRANSLATE(A20021, ""en"", ""mt"")"),"Fil-Letteratura, awtur ta ’The New York Times Bestseller Qabel I Fall Lauren Oliver, Pulitzer Premju Ir-rumanzier rebbieħ Philip Roth, il-Premju Pulitzer tat-twelid Kanadiż u l-Premju Nobel għall-kittieb rebbieħ tal-letteratura Saul Bellow, filosofu polit"&amp;"iku, kritiku letterarju, kritiku letterarju, kritiku letterarju u awtur ta’ New York Times bestseller ""The Closing of the American Mind"" Allan Bloom, """" The Good War ""awtur studs Terkel, kittieb Amerikan, essayist, produttur, għalliem, u attivista po"&amp;"litika Susan Sontag, filosofu analitiku u professur tal-Università ta 'Stanford tal-letteratura komparattiva Richard Rorty, u Kittieb u satirist Amerikan Kurt Vonnegut huma alumni notevoli.")</f>
        <v>Fil-Letteratura, awtur ta ’The New York Times Bestseller Qabel I Fall Lauren Oliver, Pulitzer Premju Ir-rumanzier rebbieħ Philip Roth, il-Premju Pulitzer tat-twelid Kanadiż u l-Premju Nobel għall-kittieb rebbieħ tal-letteratura Saul Bellow, filosofu politiku, kritiku letterarju, kritiku letterarju, kritiku letterarju u awtur ta’ New York Times bestseller "The Closing of the American Mind" Allan Bloom, "" The Good War "awtur studs Terkel, kittieb Amerikan, essayist, produttur, għalliem, u attivista politika Susan Sontag, filosofu analitiku u professur tal-Università ta 'Stanford tal-letteratura komparattiva Richard Rorty, u Kittieb u satirist Amerikan Kurt Vonnegut huma alumni notevoli.</v>
      </c>
    </row>
    <row r="20022" ht="15.75" customHeight="1">
      <c r="A20022" s="2" t="s">
        <v>20022</v>
      </c>
      <c r="B20022" s="2" t="str">
        <f>IFERROR(__xludf.DUMMYFUNCTION("GOOGLETRANSLATE(A20022, ""en"", ""mt"")"),"Charles u Ray Eames")</f>
        <v>Charles u Ray Eames</v>
      </c>
    </row>
    <row r="20023" ht="15.75" customHeight="1">
      <c r="A20023" s="2" t="s">
        <v>20023</v>
      </c>
      <c r="B20023" s="2" t="str">
        <f>IFERROR(__xludf.DUMMYFUNCTION("GOOGLETRANSLATE(A20023, ""en"", ""mt"")"),"ossiġnu kimiku")</f>
        <v>ossiġnu kimiku</v>
      </c>
    </row>
    <row r="20024" ht="15.75" customHeight="1">
      <c r="A20024" s="2" t="s">
        <v>20024</v>
      </c>
      <c r="B20024" s="2" t="str">
        <f>IFERROR(__xludf.DUMMYFUNCTION("GOOGLETRANSLATE(A20024, ""en"", ""mt"")"),"kliem mitkellem")</f>
        <v>kliem mitkellem</v>
      </c>
    </row>
    <row r="20025" ht="15.75" customHeight="1">
      <c r="A20025" s="2" t="s">
        <v>20025</v>
      </c>
      <c r="B20025" s="2" t="str">
        <f>IFERROR(__xludf.DUMMYFUNCTION("GOOGLETRANSLATE(A20025, ""en"", ""mt"")"),"Kemm aktar ossiġnu jinħall f'0 gradi Ċ milli f'20 grad C?")</f>
        <v>Kemm aktar ossiġnu jinħall f'0 gradi Ċ milli f'20 grad C?</v>
      </c>
    </row>
    <row r="20026" ht="15.75" customHeight="1">
      <c r="A20026" s="2" t="s">
        <v>20026</v>
      </c>
      <c r="B20026" s="2" t="str">
        <f>IFERROR(__xludf.DUMMYFUNCTION("GOOGLETRANSLATE(A20026, ""en"", ""mt"")"),"X'se jiżen ir- ""50"" lir-rebbieħ tas-Super Bowl?")</f>
        <v>X'se jiżen ir- "50" lir-rebbieħ tas-Super Bowl?</v>
      </c>
    </row>
    <row r="20027" ht="15.75" customHeight="1">
      <c r="A20027" s="2" t="s">
        <v>20027</v>
      </c>
      <c r="B20027" s="2" t="str">
        <f>IFERROR(__xludf.DUMMYFUNCTION("GOOGLETRANSLATE(A20027, ""en"", ""mt"")"),"Taoism")</f>
        <v>Taoism</v>
      </c>
    </row>
    <row r="20028" ht="15.75" customHeight="1">
      <c r="A20028" s="2" t="s">
        <v>20028</v>
      </c>
      <c r="B20028" s="2" t="str">
        <f>IFERROR(__xludf.DUMMYFUNCTION("GOOGLETRANSLATE(A20028, ""en"", ""mt"")"),"Fejn jaħżnu l-enerġija Apicomplexans?")</f>
        <v>Fejn jaħżnu l-enerġija Apicomplexans?</v>
      </c>
    </row>
    <row r="20029" ht="15.75" customHeight="1">
      <c r="A20029" s="2" t="s">
        <v>20029</v>
      </c>
      <c r="B20029" s="2" t="str">
        <f>IFERROR(__xludf.DUMMYFUNCTION("GOOGLETRANSLATE(A20029, ""en"", ""mt"")"),"2011")</f>
        <v>2011</v>
      </c>
    </row>
    <row r="20030" ht="15.75" customHeight="1">
      <c r="A20030" s="2" t="s">
        <v>20030</v>
      </c>
      <c r="B20030" s="2" t="str">
        <f>IFERROR(__xludf.DUMMYFUNCTION("GOOGLETRANSLATE(A20030, ""en"", ""mt"")"),"Xi jfissru t-temperaturi medji fis-sajf?")</f>
        <v>Xi jfissru t-temperaturi medji fis-sajf?</v>
      </c>
    </row>
    <row r="20031" ht="15.75" customHeight="1">
      <c r="A20031" s="2" t="s">
        <v>20031</v>
      </c>
      <c r="B20031" s="2" t="str">
        <f>IFERROR(__xludf.DUMMYFUNCTION("GOOGLETRANSLATE(A20031, ""en"", ""mt"")"),"Wankel")</f>
        <v>Wankel</v>
      </c>
    </row>
    <row r="20032" ht="15.75" customHeight="1">
      <c r="A20032" s="2" t="s">
        <v>20032</v>
      </c>
      <c r="B20032" s="2" t="str">
        <f>IFERROR(__xludf.DUMMYFUNCTION("GOOGLETRANSLATE(A20032, ""en"", ""mt"")"),"Jikkoinkula l-iswiċċ tal-pakketti tal-isem modern u jispira bosta netwerks tal-iswiċċ tal-pakketti")</f>
        <v>Jikkoinkula l-iswiċċ tal-pakketti tal-isem modern u jispira bosta netwerks tal-iswiċċ tal-pakketti</v>
      </c>
    </row>
    <row r="20033" ht="15.75" customHeight="1">
      <c r="A20033" s="2" t="s">
        <v>20033</v>
      </c>
      <c r="B20033" s="2" t="str">
        <f>IFERROR(__xludf.DUMMYFUNCTION("GOOGLETRANSLATE(A20033, ""en"", ""mt"")"),"L-iskejjel għolja tilfu l-akkreditazzjoni tagħhom")</f>
        <v>L-iskejjel għolja tilfu l-akkreditazzjoni tagħhom</v>
      </c>
    </row>
    <row r="20034" ht="15.75" customHeight="1">
      <c r="A20034" s="2" t="s">
        <v>20034</v>
      </c>
      <c r="B20034" s="2" t="str">
        <f>IFERROR(__xludf.DUMMYFUNCTION("GOOGLETRANSLATE(A20034, ""en"", ""mt"")"),"Il-pubblikazzjonijiet ostili ta 'Luther lejn il-Lhud")</f>
        <v>Il-pubblikazzjonijiet ostili ta 'Luther lejn il-Lhud</v>
      </c>
    </row>
    <row r="20035" ht="15.75" customHeight="1">
      <c r="A20035" s="2" t="s">
        <v>20035</v>
      </c>
      <c r="B20035" s="2" t="str">
        <f>IFERROR(__xludf.DUMMYFUNCTION("GOOGLETRANSLATE(A20035, ""en"", ""mt"")"),"Michael E. Mann, Raymond S. Bradley u Malcolm K. Hughes")</f>
        <v>Michael E. Mann, Raymond S. Bradley u Malcolm K. Hughes</v>
      </c>
    </row>
    <row r="20036" ht="15.75" customHeight="1">
      <c r="A20036" s="2" t="s">
        <v>20036</v>
      </c>
      <c r="B20036" s="2" t="str">
        <f>IFERROR(__xludf.DUMMYFUNCTION("GOOGLETRANSLATE(A20036, ""en"", ""mt"")"),"Ogród Saski")</f>
        <v>Ogród Saski</v>
      </c>
    </row>
    <row r="20037" ht="15.75" customHeight="1">
      <c r="A20037" s="2" t="s">
        <v>20037</v>
      </c>
      <c r="B20037" s="2" t="str">
        <f>IFERROR(__xludf.DUMMYFUNCTION("GOOGLETRANSLATE(A20037, ""en"", ""mt"")"),"Pac-12")</f>
        <v>Pac-12</v>
      </c>
    </row>
    <row r="20038" ht="15.75" customHeight="1">
      <c r="A20038" s="2" t="s">
        <v>20038</v>
      </c>
      <c r="B20038" s="2" t="str">
        <f>IFERROR(__xludf.DUMMYFUNCTION("GOOGLETRANSLATE(A20038, ""en"", ""mt"")"),"Artikoli 1 sa 7")</f>
        <v>Artikoli 1 sa 7</v>
      </c>
    </row>
    <row r="20039" ht="15.75" customHeight="1">
      <c r="A20039" s="2" t="s">
        <v>20039</v>
      </c>
      <c r="B20039" s="2" t="str">
        <f>IFERROR(__xludf.DUMMYFUNCTION("GOOGLETRANSLATE(A20039, ""en"", ""mt"")"),"Kemm għandha attività bl-imnut il-viċinat?")</f>
        <v>Kemm għandha attività bl-imnut il-viċinat?</v>
      </c>
    </row>
    <row r="20040" ht="15.75" customHeight="1">
      <c r="A20040" s="2" t="s">
        <v>20040</v>
      </c>
      <c r="B20040" s="2" t="str">
        <f>IFERROR(__xludf.DUMMYFUNCTION("GOOGLETRANSLATE(A20040, ""en"", ""mt"")"),"Il-phycobilins huma t-tielet grupp ta 'pigmenti misjuba fiċ-ċjanobatterji, u glaukofite, alka ħamra, u kloroplasti tal-kriptofiti. Il-phycobilins jidħlu bil-kuluri kollha, għalkemm il-phycoerytherin huwa wieħed mill-pigmenti li jagħmel ħafna alka ħamra ħa"&amp;"mra. Il-phycobilins spiss jorganizzaw kumplessi ta 'proteini relattivament kbar madwar 40 nanometru madwar il-phycobilisomes. Bħal Photosystem I u ATP synthase, il-phycobilisomes jut fl-istoma, li jipprevjenu l-istivar tat-tilkoid fi kloroplasti tal-alka "&amp;"ħamra. Il-kloroplasti tal-kriptofiti u xi ċjanobatterji m'għandhomx il-pigmenti tal-phycobilin organizzati fil-phycobilisomes, u jżommuhom fl-ispazju tat-tilakoid tagħhom minflok.")</f>
        <v>Il-phycobilins huma t-tielet grupp ta 'pigmenti misjuba fiċ-ċjanobatterji, u glaukofite, alka ħamra, u kloroplasti tal-kriptofiti. Il-phycobilins jidħlu bil-kuluri kollha, għalkemm il-phycoerytherin huwa wieħed mill-pigmenti li jagħmel ħafna alka ħamra ħamra. Il-phycobilins spiss jorganizzaw kumplessi ta 'proteini relattivament kbar madwar 40 nanometru madwar il-phycobilisomes. Bħal Photosystem I u ATP synthase, il-phycobilisomes jut fl-istoma, li jipprevjenu l-istivar tat-tilkoid fi kloroplasti tal-alka ħamra. Il-kloroplasti tal-kriptofiti u xi ċjanobatterji m'għandhomx il-pigmenti tal-phycobilin organizzati fil-phycobilisomes, u jżommuhom fl-ispazju tat-tilakoid tagħhom minflok.</v>
      </c>
    </row>
    <row r="20041" ht="15.75" customHeight="1">
      <c r="A20041" s="2" t="s">
        <v>20041</v>
      </c>
      <c r="B20041" s="2" t="str">
        <f>IFERROR(__xludf.DUMMYFUNCTION("GOOGLETRANSLATE(A20041, ""en"", ""mt"")"),"L-għalf kaptan ta 'ABC huwa trażmess fid-definizzjoni għolja ta' 720p, il-format ta 'riżoluzzjoni nattiva għall-proprjetajiet tat-televiżjoni ta' l-Istati Uniti ta 'Walt Disney Company. Madankollu, il-biċċa l-kbira tas-16-il stazzjon affiljat mill-ABC ta "&amp;"'Hearst Television jittrasmettu l-ipprogrammar tan-netwerk f'1080i HD, filwaqt li 11-il affiljat ieħor li huma proprjetà ta' diversi kumpaniji jġorru l-għalf tan-netwerk fid-definizzjoni standard 480i jew minħabba konsiderazzjonijiet tekniċi għal affiljat"&amp;"i ta 'netwerks ewlenin oħra li jġorru programmazzjoni ABC Fuq subchannel diġitali jew minħabba li affiljat primarju ta 'l-għalf ABC għadu ma aġġornax it-tagħmir ta' trasmissjoni tagħhom biex jippermetti li l-kontenut jiġi ppreżentat f'HD.")</f>
        <v>L-għalf kaptan ta 'ABC huwa trażmess fid-definizzjoni għolja ta' 720p, il-format ta 'riżoluzzjoni nattiva għall-proprjetajiet tat-televiżjoni ta' l-Istati Uniti ta 'Walt Disney Company. Madankollu, il-biċċa l-kbira tas-16-il stazzjon affiljat mill-ABC ta 'Hearst Television jittrasmettu l-ipprogrammar tan-netwerk f'1080i HD, filwaqt li 11-il affiljat ieħor li huma proprjetà ta' diversi kumpaniji jġorru l-għalf tan-netwerk fid-definizzjoni standard 480i jew minħabba konsiderazzjonijiet tekniċi għal affiljati ta 'netwerks ewlenin oħra li jġorru programmazzjoni ABC Fuq subchannel diġitali jew minħabba li affiljat primarju ta 'l-għalf ABC għadu ma aġġornax it-tagħmir ta' trasmissjoni tagħhom biex jippermetti li l-kontenut jiġi ppreżentat f'HD.</v>
      </c>
    </row>
    <row r="20042" ht="15.75" customHeight="1">
      <c r="A20042" s="2" t="s">
        <v>20042</v>
      </c>
      <c r="B20042" s="2" t="str">
        <f>IFERROR(__xludf.DUMMYFUNCTION("GOOGLETRANSLATE(A20042, ""en"", ""mt"")"),"Ipproteġi l-art tar-re fil-wied ta 'Ohio mill-Ingliżi")</f>
        <v>Ipproteġi l-art tar-re fil-wied ta 'Ohio mill-Ingliżi</v>
      </c>
    </row>
    <row r="20043" ht="15.75" customHeight="1">
      <c r="A20043" s="2" t="s">
        <v>20043</v>
      </c>
      <c r="B20043" s="2" t="str">
        <f>IFERROR(__xludf.DUMMYFUNCTION("GOOGLETRANSLATE(A20043, ""en"", ""mt"")"),"Uża datagrammi mhux affidabbli u mekkaniżmi ta 'protokoll end-to-end assoċjati")</f>
        <v>Uża datagrammi mhux affidabbli u mekkaniżmi ta 'protokoll end-to-end assoċjati</v>
      </c>
    </row>
    <row r="20044" ht="15.75" customHeight="1">
      <c r="A20044" s="2" t="s">
        <v>20044</v>
      </c>
      <c r="B20044" s="2" t="str">
        <f>IFERROR(__xludf.DUMMYFUNCTION("GOOGLETRANSLATE(A20044, ""en"", ""mt"")"),"X'jista 'jwassal għal pagi ogħla għall-membri tal-organizzazzjonijiet tax-xogħol?")</f>
        <v>X'jista 'jwassal għal pagi ogħla għall-membri tal-organizzazzjonijiet tax-xogħol?</v>
      </c>
    </row>
    <row r="20045" ht="15.75" customHeight="1">
      <c r="A20045" s="2" t="s">
        <v>20045</v>
      </c>
      <c r="B20045" s="2" t="str">
        <f>IFERROR(__xludf.DUMMYFUNCTION("GOOGLETRANSLATE(A20045, ""en"", ""mt"")"),"Kemm hemm kloroplasti fiċ-ċelloli tal-gwardja stomatali?")</f>
        <v>Kemm hemm kloroplasti fiċ-ċelloli tal-gwardja stomatali?</v>
      </c>
    </row>
    <row r="20046" ht="15.75" customHeight="1">
      <c r="A20046" s="2" t="s">
        <v>20046</v>
      </c>
      <c r="B20046" s="2" t="str">
        <f>IFERROR(__xludf.DUMMYFUNCTION("GOOGLETRANSLATE(A20046, ""en"", ""mt"")"),"Meta kienet il-ftuħ ta '""Super Bowl City""?")</f>
        <v>Meta kienet il-ftuħ ta '"Super Bowl City"?</v>
      </c>
    </row>
    <row r="20047" ht="15.75" customHeight="1">
      <c r="A20047" s="2" t="s">
        <v>20047</v>
      </c>
      <c r="B20047" s="2" t="str">
        <f>IFERROR(__xludf.DUMMYFUNCTION("GOOGLETRANSLATE(A20047, ""en"", ""mt"")"),"Saul Alinsky")</f>
        <v>Saul Alinsky</v>
      </c>
    </row>
    <row r="20048" ht="15.75" customHeight="1">
      <c r="A20048" s="2" t="s">
        <v>20048</v>
      </c>
      <c r="B20048" s="2" t="str">
        <f>IFERROR(__xludf.DUMMYFUNCTION("GOOGLETRANSLATE(A20048, ""en"", ""mt"")"),"F'liema sena Fresno ġab l-ewwel pedestrian tiegħu?")</f>
        <v>F'liema sena Fresno ġab l-ewwel pedestrian tiegħu?</v>
      </c>
    </row>
    <row r="20049" ht="15.75" customHeight="1">
      <c r="A20049" s="2" t="s">
        <v>20049</v>
      </c>
      <c r="B20049" s="2" t="str">
        <f>IFERROR(__xludf.DUMMYFUNCTION("GOOGLETRANSLATE(A20049, ""en"", ""mt"")"),"Sistemi tar-Rotta Yam")</f>
        <v>Sistemi tar-Rotta Yam</v>
      </c>
    </row>
    <row r="20050" ht="15.75" customHeight="1">
      <c r="A20050" s="2" t="s">
        <v>20050</v>
      </c>
      <c r="B20050" s="2" t="str">
        <f>IFERROR(__xludf.DUMMYFUNCTION("GOOGLETRANSLATE(A20050, ""en"", ""mt"")"),"L-Irlanda")</f>
        <v>L-Irlanda</v>
      </c>
    </row>
    <row r="20051" ht="15.75" customHeight="1">
      <c r="A20051" s="2" t="s">
        <v>20051</v>
      </c>
      <c r="B20051" s="2" t="str">
        <f>IFERROR(__xludf.DUMMYFUNCTION("GOOGLETRANSLATE(A20051, ""en"", ""mt"")"),"Il-kapital uman huwa traskurat")</f>
        <v>Il-kapital uman huwa traskurat</v>
      </c>
    </row>
    <row r="20052" ht="15.75" customHeight="1">
      <c r="A20052" s="2" t="s">
        <v>20052</v>
      </c>
      <c r="B20052" s="2" t="str">
        <f>IFERROR(__xludf.DUMMYFUNCTION("GOOGLETRANSLATE(A20052, ""en"", ""mt"")"),"Tayichi'ud")</f>
        <v>Tayichi'ud</v>
      </c>
    </row>
    <row r="20053" ht="15.75" customHeight="1">
      <c r="A20053" s="2" t="s">
        <v>20053</v>
      </c>
      <c r="B20053" s="2" t="str">
        <f>IFERROR(__xludf.DUMMYFUNCTION("GOOGLETRANSLATE(A20053, ""en"", ""mt"")"),"funzjonijiet tal-iskola")</f>
        <v>funzjonijiet tal-iskola</v>
      </c>
    </row>
    <row r="20054" ht="15.75" customHeight="1">
      <c r="A20054" s="2" t="s">
        <v>20054</v>
      </c>
      <c r="B20054" s="2" t="str">
        <f>IFERROR(__xludf.DUMMYFUNCTION("GOOGLETRANSLATE(A20054, ""en"", ""mt"")"),"spontanju")</f>
        <v>spontanju</v>
      </c>
    </row>
    <row r="20055" ht="15.75" customHeight="1">
      <c r="A20055" s="2" t="s">
        <v>20055</v>
      </c>
      <c r="B20055" s="2" t="str">
        <f>IFERROR(__xludf.DUMMYFUNCTION("GOOGLETRANSLATE(A20055, ""en"", ""mt"")"),"Arti Kapitali tar-Renju Unit")</f>
        <v>Arti Kapitali tar-Renju Unit</v>
      </c>
    </row>
    <row r="20056" ht="15.75" customHeight="1">
      <c r="A20056" s="2" t="s">
        <v>20056</v>
      </c>
      <c r="B20056" s="2" t="str">
        <f>IFERROR(__xludf.DUMMYFUNCTION("GOOGLETRANSLATE(A20056, ""en"", ""mt"")"),"T (n) = o (n2)")</f>
        <v>T (n) = o (n2)</v>
      </c>
    </row>
    <row r="20057" ht="15.75" customHeight="1">
      <c r="A20057" s="2" t="s">
        <v>20057</v>
      </c>
      <c r="B20057" s="2" t="str">
        <f>IFERROR(__xludf.DUMMYFUNCTION("GOOGLETRANSLATE(A20057, ""en"", ""mt"")"),"Awwissu 2004")</f>
        <v>Awwissu 2004</v>
      </c>
    </row>
    <row r="20058" ht="15.75" customHeight="1">
      <c r="A20058" s="2" t="s">
        <v>20058</v>
      </c>
      <c r="B20058" s="2" t="str">
        <f>IFERROR(__xludf.DUMMYFUNCTION("GOOGLETRANSLATE(A20058, ""en"", ""mt"")"),"xhur bikrin tal-1754")</f>
        <v>xhur bikrin tal-1754</v>
      </c>
    </row>
    <row r="20059" ht="15.75" customHeight="1">
      <c r="A20059" s="2" t="s">
        <v>20059</v>
      </c>
      <c r="B20059" s="2" t="str">
        <f>IFERROR(__xludf.DUMMYFUNCTION("GOOGLETRANSLATE(A20059, ""en"", ""mt"")"),"Huma proprjetà tal-pajjiż Ohio")</f>
        <v>Huma proprjetà tal-pajjiż Ohio</v>
      </c>
    </row>
    <row r="20060" ht="15.75" customHeight="1">
      <c r="A20060" s="2" t="s">
        <v>20060</v>
      </c>
      <c r="B20060" s="2" t="str">
        <f>IFERROR(__xludf.DUMMYFUNCTION("GOOGLETRANSLATE(A20060, ""en"", ""mt"")"),"perspettivi differenti")</f>
        <v>perspettivi differenti</v>
      </c>
    </row>
    <row r="20061" ht="15.75" customHeight="1">
      <c r="A20061" s="2" t="s">
        <v>20061</v>
      </c>
      <c r="B20061" s="2" t="str">
        <f>IFERROR(__xludf.DUMMYFUNCTION("GOOGLETRANSLATE(A20061, ""en"", ""mt"")"),"Salmonella")</f>
        <v>Salmonella</v>
      </c>
    </row>
    <row r="20062" ht="15.75" customHeight="1">
      <c r="A20062" s="2" t="s">
        <v>20062</v>
      </c>
      <c r="B20062" s="2" t="str">
        <f>IFERROR(__xludf.DUMMYFUNCTION("GOOGLETRANSLATE(A20062, ""en"", ""mt"")"),"Forza radjali (ċentripetali)")</f>
        <v>Forza radjali (ċentripetali)</v>
      </c>
    </row>
    <row r="20063" ht="15.75" customHeight="1">
      <c r="A20063" s="2" t="s">
        <v>20063</v>
      </c>
      <c r="B20063" s="2" t="str">
        <f>IFERROR(__xludf.DUMMYFUNCTION("GOOGLETRANSLATE(A20063, ""en"", ""mt"")"),"allokazzjoni")</f>
        <v>allokazzjoni</v>
      </c>
    </row>
    <row r="20064" ht="15.75" customHeight="1">
      <c r="A20064" s="2" t="s">
        <v>20064</v>
      </c>
      <c r="B20064" s="2" t="str">
        <f>IFERROR(__xludf.DUMMYFUNCTION("GOOGLETRANSLATE(A20064, ""en"", ""mt"")"),"X'inhi kelma oħra għall-forza ċentripetali?")</f>
        <v>X'inhi kelma oħra għall-forza ċentripetali?</v>
      </c>
    </row>
    <row r="20065" ht="15.75" customHeight="1">
      <c r="A20065" s="2" t="s">
        <v>20065</v>
      </c>
      <c r="B20065" s="2" t="str">
        <f>IFERROR(__xludf.DUMMYFUNCTION("GOOGLETRANSLATE(A20065, ""en"", ""mt"")"),"New Rochelle")</f>
        <v>New Rochelle</v>
      </c>
    </row>
    <row r="20066" ht="15.75" customHeight="1">
      <c r="A20066" s="2" t="s">
        <v>20066</v>
      </c>
      <c r="B20066" s="2" t="str">
        <f>IFERROR(__xludf.DUMMYFUNCTION("GOOGLETRANSLATE(A20066, ""en"", ""mt"")"),"Bi tweġiba għat-talbiet għal liturġija Ġermaniża, Luther kiteb massa Ġermaniża, li ppubblika fil-bidu tal-1526. Huwa ma kellux l-intenzjoni bħala sostitut għall-adattament 1523 tiegħu tal-massa Latina iżda bħala alternattiva għan- ""nies sempliċi"", a ""S"&amp;"timulazzjoni pubblika biex in-nies jemmnu u jsiru Kristjani."" Luther ibbaża l-ordni tiegħu fuq is-servizz Kattoliku iżda ħalla barra ""dak kollu li jinqata 'ta' sagrifiċċju""; U l-Quddiesa saret ċelebrazzjoni fejn kulħadd irċieva l-inbid kif ukoll il-ħob"&amp;"ż. Huwa żamm l-elevazzjoni tal-ospitanti u tal-kalċi, filwaqt li t-trappings bħall-ilbies tal-massa, l-artal, u x-xemgħat saru fakultattivi, li jippermettu l-libertà taċ-ċerimonja. Xi riformaturi, inklużi segwaċi ta 'Huldrych Zwingli, ikkunsidraw is-servi"&amp;"zz ta' Luther wisq papistiku; U l-istudjużi moderni jinnutaw il-konservattiviżmu tal-alternattiva tiegħu għall-Quddiesa Kattolika. Is-servizz ta 'Luther, madankollu, kien jinkludi kant kongregazzjonali ta' innijiet u salmi bil-Ġermaniż, kif ukoll f'partij"&amp;"iet tal-liturġija, inkluż l-issettjar unison ta 'Luther tal-Kredu. Biex tasal għand in-nies sempliċi u ż-żgħażagħ, Luther inkorpora l-istruzzjoni reliġjuża fis-servizzi tal-ġimgħa fil-forma tal-katekiżmu. Huwa pprovda wkoll verżjonijiet simplifikati tal-m"&amp;"agħmudija u s-servizzi taż-żwieġ.")</f>
        <v>Bi tweġiba għat-talbiet għal liturġija Ġermaniża, Luther kiteb massa Ġermaniża, li ppubblika fil-bidu tal-1526. Huwa ma kellux l-intenzjoni bħala sostitut għall-adattament 1523 tiegħu tal-massa Latina iżda bħala alternattiva għan- "nies sempliċi", a "Stimulazzjoni pubblika biex in-nies jemmnu u jsiru Kristjani." Luther ibbaża l-ordni tiegħu fuq is-servizz Kattoliku iżda ħalla barra "dak kollu li jinqata 'ta' sagrifiċċju"; U l-Quddiesa saret ċelebrazzjoni fejn kulħadd irċieva l-inbid kif ukoll il-ħobż. Huwa żamm l-elevazzjoni tal-ospitanti u tal-kalċi, filwaqt li t-trappings bħall-ilbies tal-massa, l-artal, u x-xemgħat saru fakultattivi, li jippermettu l-libertà taċ-ċerimonja. Xi riformaturi, inklużi segwaċi ta 'Huldrych Zwingli, ikkunsidraw is-servizz ta' Luther wisq papistiku; U l-istudjużi moderni jinnutaw il-konservattiviżmu tal-alternattiva tiegħu għall-Quddiesa Kattolika. Is-servizz ta 'Luther, madankollu, kien jinkludi kant kongregazzjonali ta' innijiet u salmi bil-Ġermaniż, kif ukoll f'partijiet tal-liturġija, inkluż l-issettjar unison ta 'Luther tal-Kredu. Biex tasal għand in-nies sempliċi u ż-żgħażagħ, Luther inkorpora l-istruzzjoni reliġjuża fis-servizzi tal-ġimgħa fil-forma tal-katekiżmu. Huwa pprovda wkoll verżjonijiet simplifikati tal-magħmudija u s-servizzi taż-żwieġ.</v>
      </c>
    </row>
    <row r="20067" ht="15.75" customHeight="1">
      <c r="A20067" s="2" t="s">
        <v>20067</v>
      </c>
      <c r="B20067" s="2" t="str">
        <f>IFERROR(__xludf.DUMMYFUNCTION("GOOGLETRANSLATE(A20067, ""en"", ""mt"")"),"Liema tim kellu l-inqas downs u btieħi li qatt kien fis-Super Bowl tas-Super Bowl 50?")</f>
        <v>Liema tim kellu l-inqas downs u btieħi li qatt kien fis-Super Bowl tas-Super Bowl 50?</v>
      </c>
    </row>
    <row r="20068" ht="15.75" customHeight="1">
      <c r="A20068" s="2" t="s">
        <v>20068</v>
      </c>
      <c r="B20068" s="2" t="str">
        <f>IFERROR(__xludf.DUMMYFUNCTION("GOOGLETRANSLATE(A20068, ""en"", ""mt"")"),"Liema gwerra tal-Istati Uniti għandha ammont kbir ta 'diżubbidjenti ċivili?")</f>
        <v>Liema gwerra tal-Istati Uniti għandha ammont kbir ta 'diżubbidjenti ċivili?</v>
      </c>
    </row>
    <row r="20069" ht="15.75" customHeight="1">
      <c r="A20069" s="2" t="s">
        <v>20069</v>
      </c>
      <c r="B20069" s="2" t="str">
        <f>IFERROR(__xludf.DUMMYFUNCTION("GOOGLETRANSLATE(A20069, ""en"", ""mt"")"),"X'kienet l-affiljazzjoni reliġjuża tal-mexxej Olandiż?")</f>
        <v>X'kienet l-affiljazzjoni reliġjuża tal-mexxej Olandiż?</v>
      </c>
    </row>
    <row r="20070" ht="15.75" customHeight="1">
      <c r="A20070" s="2" t="s">
        <v>20070</v>
      </c>
      <c r="B20070" s="2" t="str">
        <f>IFERROR(__xludf.DUMMYFUNCTION("GOOGLETRANSLATE(A20070, ""en"", ""mt"")"),"sustanzi ċari b'kulur ċar blu-sema")</f>
        <v>sustanzi ċari b'kulur ċar blu-sema</v>
      </c>
    </row>
    <row r="20071" ht="15.75" customHeight="1">
      <c r="A20071" s="2" t="s">
        <v>20071</v>
      </c>
      <c r="B20071" s="2" t="str">
        <f>IFERROR(__xludf.DUMMYFUNCTION("GOOGLETRANSLATE(A20071, ""en"", ""mt"")"),"Islam kwietist / mhux politiku")</f>
        <v>Islam kwietist / mhux politiku</v>
      </c>
    </row>
    <row r="20072" ht="15.75" customHeight="1">
      <c r="A20072" s="2" t="s">
        <v>20072</v>
      </c>
      <c r="B20072" s="2" t="str">
        <f>IFERROR(__xludf.DUMMYFUNCTION("GOOGLETRANSLATE(A20072, ""en"", ""mt"")"),"Ir-rivali lokali tagħhom, Polonia Warsaw, għandhom inqas partitarji, iżda rnexxielhom jirbħu l-Kampjonat Ekstraklasa fl-2000. Huma rebħu wkoll il-kampjonat tal-pajjiż fl-1946, u rebħu t-tazza darbtejn ukoll. Il-post tad-dar ta 'Polonia jinsab fi Triq Konw"&amp;"iktorska, għaxar minuti mixi fit-tramuntana mill-belt il-qadima. Polonia ġiet relegata mill-aqwa titjira tal-pajjiż fl-2013 minħabba s-sitwazzjoni finanzjarja diżastruża tagħhom. Issa qegħdin jilagħbu fir-4 kampjonat (il-5 livell fil-Polonja) - il-kampjon"&amp;"at professjonali tal-qiegħ fl-istruttura Nazzjonali - Pollakka tal-Futbol (PZPN).")</f>
        <v>Ir-rivali lokali tagħhom, Polonia Warsaw, għandhom inqas partitarji, iżda rnexxielhom jirbħu l-Kampjonat Ekstraklasa fl-2000. Huma rebħu wkoll il-kampjonat tal-pajjiż fl-1946, u rebħu t-tazza darbtejn ukoll. Il-post tad-dar ta 'Polonia jinsab fi Triq Konwiktorska, għaxar minuti mixi fit-tramuntana mill-belt il-qadima. Polonia ġiet relegata mill-aqwa titjira tal-pajjiż fl-2013 minħabba s-sitwazzjoni finanzjarja diżastruża tagħhom. Issa qegħdin jilagħbu fir-4 kampjonat (il-5 livell fil-Polonja) - il-kampjonat professjonali tal-qiegħ fl-istruttura Nazzjonali - Pollakka tal-Futbol (PZPN).</v>
      </c>
    </row>
    <row r="20073" ht="15.75" customHeight="1">
      <c r="A20073" s="2" t="s">
        <v>20073</v>
      </c>
      <c r="B20073" s="2" t="str">
        <f>IFERROR(__xludf.DUMMYFUNCTION("GOOGLETRANSLATE(A20073, ""en"", ""mt"")"),"Il-forza tal-lira għandha kontroparti metrika, inqas użata minn Newton: il-kilogramma-forza (KGF) (xi kultant kilopond), hija l-forza eżerċitata mill-gravità standard fuq kilogramma waħda ta 'massa. Il-forza tal-kilogramma twassal għal unità alternattiva,"&amp;" iżda rarament użata ta 'massa: il-bużba tal-metrika (xi kultant mug jew hyl) hija dik il-massa li taċċellera f'1 m · s - 2 meta tkun soġġetta għal forza ta' 1 kgf. Il-forza tal-kilogramma mhix parti mis-sistema SI moderna, u ġeneralment tinqata '; Madank"&amp;"ollu għadu jara l-użu għal xi skopijiet bħala li jesprimi l-piż tal-inġenji tal-ajru, l-imbuttatura tal-ġett, it-tensjoni tat-tkellmet bir-roti, is-settings tal-wrench tat-torque u t-torque tal-ħruġ tal-magna. Unitajiet oħra ta 'forza arkani jinkludu l-st"&amp;"hène, li huwa ekwivalenti għal 1000 N, u l-kip, li huwa ekwivalenti għal 1000 lbf.")</f>
        <v>Il-forza tal-lira għandha kontroparti metrika, inqas użata minn Newton: il-kilogramma-forza (KGF) (xi kultant kilopond), hija l-forza eżerċitata mill-gravità standard fuq kilogramma waħda ta 'massa. Il-forza tal-kilogramma twassal għal unità alternattiva, iżda rarament użata ta 'massa: il-bużba tal-metrika (xi kultant mug jew hyl) hija dik il-massa li taċċellera f'1 m · s - 2 meta tkun soġġetta għal forza ta' 1 kgf. Il-forza tal-kilogramma mhix parti mis-sistema SI moderna, u ġeneralment tinqata '; Madankollu għadu jara l-użu għal xi skopijiet bħala li jesprimi l-piż tal-inġenji tal-ajru, l-imbuttatura tal-ġett, it-tensjoni tat-tkellmet bir-roti, is-settings tal-wrench tat-torque u t-torque tal-ħruġ tal-magna. Unitajiet oħra ta 'forza arkani jinkludu l-sthène, li huwa ekwivalenti għal 1000 N, u l-kip, li huwa ekwivalenti għal 1000 lbf.</v>
      </c>
    </row>
    <row r="20074" ht="15.75" customHeight="1">
      <c r="A20074" s="2" t="s">
        <v>20074</v>
      </c>
      <c r="B20074" s="2" t="str">
        <f>IFERROR(__xludf.DUMMYFUNCTION("GOOGLETRANSLATE(A20074, ""en"", ""mt"")"),"Min kienu ż-żewġ abbati fil-Fécamp Abbey?")</f>
        <v>Min kienu ż-żewġ abbati fil-Fécamp Abbey?</v>
      </c>
    </row>
    <row r="20075" ht="15.75" customHeight="1">
      <c r="A20075" s="2" t="s">
        <v>20075</v>
      </c>
      <c r="B20075" s="2" t="str">
        <f>IFERROR(__xludf.DUMMYFUNCTION("GOOGLETRANSLATE(A20075, ""en"", ""mt"")"),"Studios Times Square")</f>
        <v>Studios Times Square</v>
      </c>
    </row>
    <row r="20076" ht="15.75" customHeight="1">
      <c r="A20076" s="2" t="s">
        <v>20076</v>
      </c>
      <c r="B20076" s="2" t="str">
        <f>IFERROR(__xludf.DUMMYFUNCTION("GOOGLETRANSLATE(A20076, ""en"", ""mt"")"),"X'kienet l-Unjoni Sovjetika tipprova trażżan bl-armata tagħha?")</f>
        <v>X'kienet l-Unjoni Sovjetika tipprova trażżan bl-armata tagħha?</v>
      </c>
    </row>
    <row r="20077" ht="15.75" customHeight="1">
      <c r="A20077" s="2" t="s">
        <v>20077</v>
      </c>
      <c r="B20077" s="2" t="str">
        <f>IFERROR(__xludf.DUMMYFUNCTION("GOOGLETRANSLATE(A20077, ""en"", ""mt"")"),"aktar minn 37 miljun")</f>
        <v>aktar minn 37 miljun</v>
      </c>
    </row>
    <row r="20078" ht="15.75" customHeight="1">
      <c r="A20078" s="2" t="s">
        <v>20078</v>
      </c>
      <c r="B20078" s="2" t="str">
        <f>IFERROR(__xludf.DUMMYFUNCTION("GOOGLETRANSLATE(A20078, ""en"", ""mt"")"),"Meta ġiet akkwistata l-kollezzjoni Soulages?")</f>
        <v>Meta ġiet akkwistata l-kollezzjoni Soulages?</v>
      </c>
    </row>
    <row r="20079" ht="15.75" customHeight="1">
      <c r="A20079" s="2" t="s">
        <v>20079</v>
      </c>
      <c r="B20079" s="2" t="str">
        <f>IFERROR(__xludf.DUMMYFUNCTION("GOOGLETRANSLATE(A20079, ""en"", ""mt"")"),"Informatika tal-ispiżerija hija l-kombinazzjoni ta 'xjenza tal-prattika tal-ispiżerija u xjenza ta' informazzjoni applikata. L-informatiċi tal-ispiżerija jaħdmu f'ħafna oqsma ta 'prattika tal-ispiżerija, madankollu, jistgħu jaħdmu wkoll fid-dipartimenti t"&amp;"at-teknoloġija tal-informazzjoni jew għal kumpaniji tal-bejjiegħ tat-teknoloġija tal-informazzjoni dwar il-kura tas-saħħa. Bħala qasam ta 'prattika u dominju speċjalizzat, l-informatika tal-ispiżerija qed tikber malajr biex tissodisfa l-bżonnijiet ta' pro"&amp;"ġetti ta 'informazzjoni nazzjonali u internazzjonali ewlenin u għanijiet ta' interoperabilità tas-sistema tas-saħħa. L-ispiżjara f'dan il-qasam huma mħarrġa biex jipparteċipaw fl-iżvilupp, l-iskjerament u l-ottimizzazzjoni tas-sistema tal-ġestjoni tal-med"&amp;"ikazzjoni.")</f>
        <v>Informatika tal-ispiżerija hija l-kombinazzjoni ta 'xjenza tal-prattika tal-ispiżerija u xjenza ta' informazzjoni applikata. L-informatiċi tal-ispiżerija jaħdmu f'ħafna oqsma ta 'prattika tal-ispiżerija, madankollu, jistgħu jaħdmu wkoll fid-dipartimenti tat-teknoloġija tal-informazzjoni jew għal kumpaniji tal-bejjiegħ tat-teknoloġija tal-informazzjoni dwar il-kura tas-saħħa. Bħala qasam ta 'prattika u dominju speċjalizzat, l-informatika tal-ispiżerija qed tikber malajr biex tissodisfa l-bżonnijiet ta' proġetti ta 'informazzjoni nazzjonali u internazzjonali ewlenin u għanijiet ta' interoperabilità tas-sistema tas-saħħa. L-ispiżjara f'dan il-qasam huma mħarrġa biex jipparteċipaw fl-iżvilupp, l-iskjerament u l-ottimizzazzjoni tas-sistema tal-ġestjoni tal-medikazzjoni.</v>
      </c>
    </row>
    <row r="20080" ht="15.75" customHeight="1">
      <c r="A20080" s="2" t="s">
        <v>20080</v>
      </c>
      <c r="B20080" s="2" t="str">
        <f>IFERROR(__xludf.DUMMYFUNCTION("GOOGLETRANSLATE(A20080, ""en"", ""mt"")"),"kumpless")</f>
        <v>kumpless</v>
      </c>
    </row>
    <row r="20081" ht="15.75" customHeight="1">
      <c r="A20081" s="2" t="s">
        <v>20081</v>
      </c>
      <c r="B20081" s="2" t="str">
        <f>IFERROR(__xludf.DUMMYFUNCTION("GOOGLETRANSLATE(A20081, ""en"", ""mt"")"),"Kemm imur lura spiżerija waħda fil-Kroazja?")</f>
        <v>Kemm imur lura spiżerija waħda fil-Kroazja?</v>
      </c>
    </row>
    <row r="20082" ht="15.75" customHeight="1">
      <c r="A20082" s="2" t="s">
        <v>20082</v>
      </c>
      <c r="B20082" s="2" t="str">
        <f>IFERROR(__xludf.DUMMYFUNCTION("GOOGLETRANSLATE(A20082, ""en"", ""mt"")"),"Sa dak iż-żmien tal-Miocene")</f>
        <v>Sa dak iż-żmien tal-Miocene</v>
      </c>
    </row>
    <row r="20083" ht="15.75" customHeight="1">
      <c r="A20083" s="2" t="s">
        <v>20083</v>
      </c>
      <c r="B20083" s="2" t="str">
        <f>IFERROR(__xludf.DUMMYFUNCTION("GOOGLETRANSLATE(A20083, ""en"", ""mt"")"),"Botanika u Kimika")</f>
        <v>Botanika u Kimika</v>
      </c>
    </row>
    <row r="20084" ht="15.75" customHeight="1">
      <c r="A20084" s="2" t="s">
        <v>20084</v>
      </c>
      <c r="B20084" s="2" t="str">
        <f>IFERROR(__xludf.DUMMYFUNCTION("GOOGLETRANSLATE(A20084, ""en"", ""mt"")"),"Harvard_Università")</f>
        <v>Harvard_Università</v>
      </c>
    </row>
    <row r="20085" ht="15.75" customHeight="1">
      <c r="A20085" s="2" t="s">
        <v>20085</v>
      </c>
      <c r="B20085" s="2" t="str">
        <f>IFERROR(__xludf.DUMMYFUNCTION("GOOGLETRANSLATE(A20085, ""en"", ""mt"")"),"Kif irrispondew il-mexxejja tal-belt ta 'Bukhara?")</f>
        <v>Kif irrispondew il-mexxejja tal-belt ta 'Bukhara?</v>
      </c>
    </row>
    <row r="20086" ht="15.75" customHeight="1">
      <c r="A20086" s="2" t="s">
        <v>20086</v>
      </c>
      <c r="B20086" s="2" t="str">
        <f>IFERROR(__xludf.DUMMYFUNCTION("GOOGLETRANSLATE(A20086, ""en"", ""mt"")"),"milli tagħti lil ħuha Polynices dfin xieraq")</f>
        <v>milli tagħti lil ħuha Polynices dfin xieraq</v>
      </c>
    </row>
    <row r="20087" ht="15.75" customHeight="1">
      <c r="A20087" s="2" t="s">
        <v>20087</v>
      </c>
      <c r="B20087" s="2" t="str">
        <f>IFERROR(__xludf.DUMMYFUNCTION("GOOGLETRANSLATE(A20087, ""en"", ""mt"")"),"400 m (1,300 ft).")</f>
        <v>400 m (1,300 ft).</v>
      </c>
    </row>
    <row r="20088" ht="15.75" customHeight="1">
      <c r="A20088" s="2" t="s">
        <v>20088</v>
      </c>
      <c r="B20088" s="2" t="str">
        <f>IFERROR(__xludf.DUMMYFUNCTION("GOOGLETRANSLATE(A20088, ""en"", ""mt"")"),"Min oriġinarjament ipproduċa dinja wiesgħa ta 'sport għal ABC?")</f>
        <v>Min oriġinarjament ipproduċa dinja wiesgħa ta 'sport għal ABC?</v>
      </c>
    </row>
    <row r="20089" ht="15.75" customHeight="1">
      <c r="A20089" s="2" t="s">
        <v>20089</v>
      </c>
      <c r="B20089" s="2" t="str">
        <f>IFERROR(__xludf.DUMMYFUNCTION("GOOGLETRANSLATE(A20089, ""en"", ""mt"")"),"April sa Ottubru")</f>
        <v>April sa Ottubru</v>
      </c>
    </row>
    <row r="20090" ht="15.75" customHeight="1">
      <c r="A20090" s="2" t="s">
        <v>20090</v>
      </c>
      <c r="B20090" s="2" t="str">
        <f>IFERROR(__xludf.DUMMYFUNCTION("GOOGLETRANSLATE(A20090, ""en"", ""mt"")"),"12")</f>
        <v>12</v>
      </c>
    </row>
    <row r="20091" ht="15.75" customHeight="1">
      <c r="A20091" s="2" t="s">
        <v>20091</v>
      </c>
      <c r="B20091" s="2" t="str">
        <f>IFERROR(__xludf.DUMMYFUNCTION("GOOGLETRANSLATE(A20091, ""en"", ""mt"")"),"Jerricho Cotchery")</f>
        <v>Jerricho Cotchery</v>
      </c>
    </row>
    <row r="20092" ht="15.75" customHeight="1">
      <c r="A20092" s="2" t="s">
        <v>20092</v>
      </c>
      <c r="B20092" s="2" t="str">
        <f>IFERROR(__xludf.DUMMYFUNCTION("GOOGLETRANSLATE(A20092, ""en"", ""mt"")"),"X'inhi l-iktar riżorsa kritika fl-analiżi tal-problemi tal-komputazzjoni assoċjati ma 'magni tat-Turing mhux deterministiċi?")</f>
        <v>X'inhi l-iktar riżorsa kritika fl-analiżi tal-problemi tal-komputazzjoni assoċjati ma 'magni tat-Turing mhux deterministiċi?</v>
      </c>
    </row>
    <row r="20093" ht="15.75" customHeight="1">
      <c r="A20093" s="2" t="s">
        <v>20093</v>
      </c>
      <c r="B20093" s="2" t="str">
        <f>IFERROR(__xludf.DUMMYFUNCTION("GOOGLETRANSLATE(A20093, ""en"", ""mt"")"),"Kolonna ta 'Trajan")</f>
        <v>Kolonna ta 'Trajan</v>
      </c>
    </row>
    <row r="20094" ht="15.75" customHeight="1">
      <c r="A20094" s="2" t="s">
        <v>20094</v>
      </c>
      <c r="B20094" s="2" t="str">
        <f>IFERROR(__xludf.DUMMYFUNCTION("GOOGLETRANSLATE(A20094, ""en"", ""mt"")"),"Klassiku")</f>
        <v>Klassiku</v>
      </c>
    </row>
    <row r="20095" ht="15.75" customHeight="1">
      <c r="A20095" s="2" t="s">
        <v>20095</v>
      </c>
      <c r="B20095" s="2" t="str">
        <f>IFERROR(__xludf.DUMMYFUNCTION("GOOGLETRANSLATE(A20095, ""en"", ""mt"")"),"konċentrazzjonijiet ta 'gass serra fl-atmosfera")</f>
        <v>konċentrazzjonijiet ta 'gass serra fl-atmosfera</v>
      </c>
    </row>
    <row r="20096" ht="15.75" customHeight="1">
      <c r="A20096" s="2" t="s">
        <v>20096</v>
      </c>
      <c r="B20096" s="2" t="str">
        <f>IFERROR(__xludf.DUMMYFUNCTION("GOOGLETRANSLATE(A20096, ""en"", ""mt"")"),"Tesla meta telqet lil Graz?")</f>
        <v>Tesla meta telqet lil Graz?</v>
      </c>
    </row>
    <row r="20097" ht="15.75" customHeight="1">
      <c r="A20097" s="2" t="s">
        <v>20097</v>
      </c>
      <c r="B20097" s="2" t="str">
        <f>IFERROR(__xludf.DUMMYFUNCTION("GOOGLETRANSLATE(A20097, ""en"", ""mt"")"),"X'Jirridu jirriflettu s-sħubija fil-kumitati?")</f>
        <v>X'Jirridu jirriflettu s-sħubija fil-kumitati?</v>
      </c>
    </row>
    <row r="20098" ht="15.75" customHeight="1">
      <c r="A20098" s="2" t="s">
        <v>20098</v>
      </c>
      <c r="B20098" s="2" t="str">
        <f>IFERROR(__xludf.DUMMYFUNCTION("GOOGLETRANSLATE(A20098, ""en"", ""mt"")"),"it-tieni l-iktar")</f>
        <v>it-tieni l-iktar</v>
      </c>
    </row>
    <row r="20099" ht="15.75" customHeight="1">
      <c r="A20099" s="2" t="s">
        <v>20099</v>
      </c>
      <c r="B20099" s="2" t="str">
        <f>IFERROR(__xludf.DUMMYFUNCTION("GOOGLETRANSLATE(A20099, ""en"", ""mt"")"),"post")</f>
        <v>post</v>
      </c>
    </row>
    <row r="20100" ht="15.75" customHeight="1">
      <c r="A20100" s="2" t="s">
        <v>20100</v>
      </c>
      <c r="B20100" s="2" t="str">
        <f>IFERROR(__xludf.DUMMYFUNCTION("GOOGLETRANSLATE(A20100, ""en"", ""mt"")"),"memorja fotografika")</f>
        <v>memorja fotografika</v>
      </c>
    </row>
    <row r="20101" ht="15.75" customHeight="1">
      <c r="A20101" s="2" t="s">
        <v>20101</v>
      </c>
      <c r="B20101" s="2" t="str">
        <f>IFERROR(__xludf.DUMMYFUNCTION("GOOGLETRANSLATE(A20101, ""en"", ""mt"")"),"Fis-snin 1890, l-Università ta 'Chicago, jibżgħu li r-riżorsi vasti tagħha jweġġgħu skejjel iżgħar billi jiġbdu studenti tajbin, affiljati ma' bosta kulleġġi u universitajiet reġjonali: Des Moines College, Kalamazoo College, Butler University, u Stetson U"&amp;"niversity. Fl-1896, l-università affiljata mal-Kulleġġ Shimer f'Monte Carroll, Illinois. Taħt it-termini tal-affiljazzjoni, l-iskejjel kienu meħtieġa jkollhom korsijiet ta 'studju komparabbli ma' dawk fl-università, biex jinnotifikaw lill-università kmien"&amp;"i dwar kwalunkwe ħatriet jew tkeċċijiet tal-fakultà kkontemplati, biex ma jagħmlu l-ebda ħatra tal-fakultà mingħajr l-approvazzjoni tal-università, u jibagħtu kopji ta 'eżamijiet għal suġġerimenti. L-Università ta ’Chicago qablet li tagħti grad lil kull a"&amp;"nzjan li jiggradwa minn skola affiljata li għamlet grad ta’ A għall-erba ’snin kollha, u fuq kull gradwat ieħor li ħa tnax-il ġimgħa studju addizzjonali fl-Università ta’ Chicago. Student jew membru tal-fakultà ta 'skola affiljata kien intitolat għal tagħ"&amp;"lim b'xejn fl-Università ta' Chicago, u studenti ta 'Chicago kienu eliġibbli biex jattendu skola affiljata fuq l-istess termini u jirċievu kreditu għax-xogħol tagħhom. L-Università ta ’Chicago qablet ukoll li tipprovdi skejjel affiljati bi kotba u apparat"&amp;" xjentifiku u provvisti bi spejjeż; Għalliema speċjali u letturi mingħajr spejjeż ħlief spejjeż tal-ivvjaġġar; u kopja ta 'kull ktieb u ġurnal ippubblikat mill-University of Chicago Press bla ħlas. Il-ftehim ipprovda li kwalunkwe parti tista 'tittermina l"&amp;"-affiljazzjoni fuq avviż xieraq. Bosta professuri tal-Università ta ’Chicago ma qalux il-programm, peress li kienu jinvolvu xogħol addizzjonali mhux ikkumpensat min-naħa tagħhom, u jemmnu li rħas ir-reputazzjoni akkademika tal-università. Il-programm għad"&amp;"da fl-istorja sal-1910.")</f>
        <v>Fis-snin 1890, l-Università ta 'Chicago, jibżgħu li r-riżorsi vasti tagħha jweġġgħu skejjel iżgħar billi jiġbdu studenti tajbin, affiljati ma' bosta kulleġġi u universitajiet reġjonali: Des Moines College, Kalamazoo College, Butler University, u Stetson University. Fl-1896, l-università affiljata mal-Kulleġġ Shimer f'Monte Carroll, Illinois. Taħt it-termini tal-affiljazzjoni, l-iskejjel kienu meħtieġa jkollhom korsijiet ta 'studju komparabbli ma' dawk fl-università, biex jinnotifikaw lill-università kmieni dwar kwalunkwe ħatriet jew tkeċċijiet tal-fakultà kkontemplati, biex ma jagħmlu l-ebda ħatra tal-fakultà mingħajr l-approvazzjoni tal-università, u jibagħtu kopji ta 'eżamijiet għal suġġerimenti. L-Università ta ’Chicago qablet li tagħti grad lil kull anzjan li jiggradwa minn skola affiljata li għamlet grad ta’ A għall-erba ’snin kollha, u fuq kull gradwat ieħor li ħa tnax-il ġimgħa studju addizzjonali fl-Università ta’ Chicago. Student jew membru tal-fakultà ta 'skola affiljata kien intitolat għal tagħlim b'xejn fl-Università ta' Chicago, u studenti ta 'Chicago kienu eliġibbli biex jattendu skola affiljata fuq l-istess termini u jirċievu kreditu għax-xogħol tagħhom. L-Università ta ’Chicago qablet ukoll li tipprovdi skejjel affiljati bi kotba u apparat xjentifiku u provvisti bi spejjeż; Għalliema speċjali u letturi mingħajr spejjeż ħlief spejjeż tal-ivvjaġġar; u kopja ta 'kull ktieb u ġurnal ippubblikat mill-University of Chicago Press bla ħlas. Il-ftehim ipprovda li kwalunkwe parti tista 'tittermina l-affiljazzjoni fuq avviż xieraq. Bosta professuri tal-Università ta ’Chicago ma qalux il-programm, peress li kienu jinvolvu xogħol addizzjonali mhux ikkumpensat min-naħa tagħhom, u jemmnu li rħas ir-reputazzjoni akkademika tal-università. Il-programm għadda fl-istorja sal-1910.</v>
      </c>
    </row>
    <row r="20102" ht="15.75" customHeight="1">
      <c r="A20102" s="2" t="s">
        <v>20102</v>
      </c>
      <c r="B20102" s="2" t="str">
        <f>IFERROR(__xludf.DUMMYFUNCTION("GOOGLETRANSLATE(A20102, ""en"", ""mt"")"),"Skond il-paragun ta 'Sheldon Ungar mat-tisħin globali, l-atturi fil-każ tat-tnaqqis tal-ożonu kellhom għarfien aħjar tal-injoranza u l-inċertezzi xjentifiċi. Il-każ ta 'l-ożonu kkomunikat lil persuni lajċi ""b'metafori li jgħaqqdu faċli biex jinftiehmu de"&amp;"rivati ​​mill-kultura popolari"" u relatati ma' ""riskji immedjati b'relevanza ta 'kuljum"", filwaqt li l-opinjoni pubblika dwar it-tibdil fil-klima ma tara l-ebda periklu imminenti. Il-mitigazzjoni gradwali tal-isfida tas-saff tal-ożonu kienet ibbażata w"&amp;"koll fuq it-tnaqqis ta 'kunflitti ta' qsim ta 'piż reġjonali. Fil-każ tal-konklużjonijiet tal-IPCC u l-falliment tal-protokoll Kyoto, li jvarjaw l-analiżi tal-kost-benefiċċju u l-kunflitti ta 'qsim ta' piż fir-rigward tad-distribuzzjoni tat-tnaqqis tal-em"&amp;"issjonijiet jibqgħu problema mhux solvuta. Fir-Renju Unit, rapport għal Kumitat tal-House of Lords talab biex iħeġġeġ lill-IPCC biex jinvolvi valutazzjonijiet aħjar tal-ispejjeż u l-benefiċċji tal-bidla fil-klima iżda r-reviżjoni tal-poppa ordnata mill-gv"&amp;"ern tar-Renju Unit għamlet argument aktar qawwi favur il-ġlieda kontra t-tibdil fil-klima magħmul mill-bniedem -")</f>
        <v>Skond il-paragun ta 'Sheldon Ungar mat-tisħin globali, l-atturi fil-każ tat-tnaqqis tal-ożonu kellhom għarfien aħjar tal-injoranza u l-inċertezzi xjentifiċi. Il-każ ta 'l-ożonu kkomunikat lil persuni lajċi "b'metafori li jgħaqqdu faċli biex jinftiehmu derivati ​​mill-kultura popolari" u relatati ma' "riskji immedjati b'relevanza ta 'kuljum", filwaqt li l-opinjoni pubblika dwar it-tibdil fil-klima ma tara l-ebda periklu imminenti. Il-mitigazzjoni gradwali tal-isfida tas-saff tal-ożonu kienet ibbażata wkoll fuq it-tnaqqis ta 'kunflitti ta' qsim ta 'piż reġjonali. Fil-każ tal-konklużjonijiet tal-IPCC u l-falliment tal-protokoll Kyoto, li jvarjaw l-analiżi tal-kost-benefiċċju u l-kunflitti ta 'qsim ta' piż fir-rigward tad-distribuzzjoni tat-tnaqqis tal-emissjonijiet jibqgħu problema mhux solvuta. Fir-Renju Unit, rapport għal Kumitat tal-House of Lords talab biex iħeġġeġ lill-IPCC biex jinvolvi valutazzjonijiet aħjar tal-ispejjeż u l-benefiċċji tal-bidla fil-klima iżda r-reviżjoni tal-poppa ordnata mill-gvern tar-Renju Unit għamlet argument aktar qawwi favur il-ġlieda kontra t-tibdil fil-klima magħmul mill-bniedem -</v>
      </c>
    </row>
    <row r="20103" ht="15.75" customHeight="1">
      <c r="A20103" s="2" t="s">
        <v>20103</v>
      </c>
      <c r="B20103" s="2" t="str">
        <f>IFERROR(__xludf.DUMMYFUNCTION("GOOGLETRANSLATE(A20103, ""en"", ""mt"")"),"Fejn intemm l-ewwel vjaġġ bil-ferrovija tad-dinja?")</f>
        <v>Fejn intemm l-ewwel vjaġġ bil-ferrovija tad-dinja?</v>
      </c>
    </row>
    <row r="20104" ht="15.75" customHeight="1">
      <c r="A20104" s="2" t="s">
        <v>20104</v>
      </c>
      <c r="B20104" s="2" t="str">
        <f>IFERROR(__xludf.DUMMYFUNCTION("GOOGLETRANSLATE(A20104, ""en"", ""mt"")"),"Skoċċiżi")</f>
        <v>Skoċċiżi</v>
      </c>
    </row>
    <row r="20105" ht="15.75" customHeight="1">
      <c r="A20105" s="2" t="s">
        <v>20105</v>
      </c>
      <c r="B20105" s="2" t="str">
        <f>IFERROR(__xludf.DUMMYFUNCTION("GOOGLETRANSLATE(A20105, ""en"", ""mt"")"),"Fid-dinja industrijalizzata moderna, il-kostruzzjoni ġeneralment tinvolvi t-traduzzjoni tad-disinji fir-realtà. Tim ta 'disinn formali jista' jkun immuntat biex jippjana l-proċeduri fiżiċi, u biex jintegra dawk il-proċeduri mal-partijiet l-oħra. Id-disinn"&amp;" ġeneralment jikkonsisti minn tpinġijiet u speċifikazzjonijiet, ġeneralment ippreparati minn tim tad-disinn li jinkludi perit, inġiniera ċivili, inġiniera mekkaniċi, inġiniera elettriċi, inġiniera strutturali, inġiniera tal-protezzjoni tan-nar, konsulenti"&amp;" tal-ippjanar, konsulenti arkitettoniċi, u konsulenti arkeoloġiċi. It-tim tad-disinn huwa l-iktar użat komunement minn (i.e. f'kuntratt ma ') is-sid tal-propjetà. Taħt din is-sistema, ladarba d-disinn jitlesta mit-tim tad-disinn, numru ta 'kumpaniji tal-k"&amp;"ostruzzjoni jew kumpaniji tal-ġestjoni tal-kostruzzjoni jistgħu mbagħad jintalbu jagħmlu offerta għax-xogħol, jew ibbażati direttament fuq id-disinn, jew fuq il-bażi tat-tpinġijiet u Abbozz ta ’Kwantitajiet ipprovduti minn Surveyor tal-Kwantità. Wara l-ev"&amp;"alwazzjoni tal-offerti, is-sid tipikament jagħti kuntratt lill-offerent l-iktar effiċjenti fl-infiq.")</f>
        <v>Fid-dinja industrijalizzata moderna, il-kostruzzjoni ġeneralment tinvolvi t-traduzzjoni tad-disinji fir-realtà. Tim ta 'disinn formali jista' jkun immuntat biex jippjana l-proċeduri fiżiċi, u biex jintegra dawk il-proċeduri mal-partijiet l-oħra. Id-disinn ġeneralment jikkonsisti minn tpinġijiet u speċifikazzjonijiet, ġeneralment ippreparati minn tim tad-disinn li jinkludi perit, inġiniera ċivili, inġiniera mekkaniċi, inġiniera elettriċi, inġiniera strutturali, inġiniera tal-protezzjoni tan-nar, konsulenti tal-ippjanar, konsulenti arkitettoniċi, u konsulenti arkeoloġiċi. It-tim tad-disinn huwa l-iktar użat komunement minn (i.e. f'kuntratt ma ') is-sid tal-propjetà. Taħt din is-sistema, ladarba d-disinn jitlesta mit-tim tad-disinn, numru ta 'kumpaniji tal-kostruzzjoni jew kumpaniji tal-ġestjoni tal-kostruzzjoni jistgħu mbagħad jintalbu jagħmlu offerta għax-xogħol, jew ibbażati direttament fuq id-disinn, jew fuq il-bażi tat-tpinġijiet u Abbozz ta ’Kwantitajiet ipprovduti minn Surveyor tal-Kwantità. Wara l-evalwazzjoni tal-offerti, is-sid tipikament jagħti kuntratt lill-offerent l-iktar effiċjenti fl-infiq.</v>
      </c>
    </row>
    <row r="20106" ht="15.75" customHeight="1">
      <c r="A20106" s="2" t="s">
        <v>20106</v>
      </c>
      <c r="B20106" s="2" t="str">
        <f>IFERROR(__xludf.DUMMYFUNCTION("GOOGLETRANSLATE(A20106, ""en"", ""mt"")"),"It-terminu Huguenot kien oriġinarjament maħsub biex jagħti?")</f>
        <v>It-terminu Huguenot kien oriġinarjament maħsub biex jagħti?</v>
      </c>
    </row>
    <row r="20107" ht="15.75" customHeight="1">
      <c r="A20107" s="2" t="s">
        <v>20107</v>
      </c>
      <c r="B20107" s="2" t="str">
        <f>IFERROR(__xludf.DUMMYFUNCTION("GOOGLETRANSLATE(A20107, ""en"", ""mt"")"),"Kif jissejħu t-tentakli żgħar fuq Cydippids?")</f>
        <v>Kif jissejħu t-tentakli żgħar fuq Cydippids?</v>
      </c>
    </row>
    <row r="20108" ht="15.75" customHeight="1">
      <c r="A20108" s="2" t="s">
        <v>20108</v>
      </c>
      <c r="B20108" s="2" t="str">
        <f>IFERROR(__xludf.DUMMYFUNCTION("GOOGLETRANSLATE(A20108, ""en"", ""mt"")"),"pur o")</f>
        <v>pur o</v>
      </c>
    </row>
    <row r="20109" ht="15.75" customHeight="1">
      <c r="A20109" s="2" t="s">
        <v>20109</v>
      </c>
      <c r="B20109" s="2" t="str">
        <f>IFERROR(__xludf.DUMMYFUNCTION("GOOGLETRANSLATE(A20109, ""en"", ""mt"")"),"Tqajjem malajr il-popolazzjoni u t-traffiku fi bliet tul SR 99, kif ukoll ix-xewqa ta 'finanzjament federali")</f>
        <v>Tqajjem malajr il-popolazzjoni u t-traffiku fi bliet tul SR 99, kif ukoll ix-xewqa ta 'finanzjament federali</v>
      </c>
    </row>
    <row r="20110" ht="15.75" customHeight="1">
      <c r="A20110" s="2" t="s">
        <v>20110</v>
      </c>
      <c r="B20110" s="2" t="str">
        <f>IFERROR(__xludf.DUMMYFUNCTION("GOOGLETRANSLATE(A20110, ""en"", ""mt"")"),"Lepidodinium Viride u l-qraba viċin tiegħu huma dinofiti li tilfu l-kloroplast tal-peridinin oriġinali tagħhom u ħaduha bi kloroplast derivat bl-alka ħadra (b'mod aktar speċifiku, prasinofita). Lepidodinium huwa l-uniku dinofite li għandu kloroplast li mh"&amp;"ux min-nisel tar-rhodoplast. Il-kloroplast huwa mdawwar b'żewġ membrani u m'għandu l-ebda nukleomorf - il-ġeni tan-nukleomorfi kollha ġew trasferiti għan-nukleu tad-dinofiti. L-avveniment endosimbijotiku li wassal għal dan il-kloroplast kien endosimbijosi"&amp;" sekondarja tas-serje aktar milli endosimbijosi terzjarja - l-endosymbiont kienet alka ħadra li fiha kloroplast primarju (li tagħmel kloroplast sekondarju).")</f>
        <v>Lepidodinium Viride u l-qraba viċin tiegħu huma dinofiti li tilfu l-kloroplast tal-peridinin oriġinali tagħhom u ħaduha bi kloroplast derivat bl-alka ħadra (b'mod aktar speċifiku, prasinofita). Lepidodinium huwa l-uniku dinofite li għandu kloroplast li mhux min-nisel tar-rhodoplast. Il-kloroplast huwa mdawwar b'żewġ membrani u m'għandu l-ebda nukleomorf - il-ġeni tan-nukleomorfi kollha ġew trasferiti għan-nukleu tad-dinofiti. L-avveniment endosimbijotiku li wassal għal dan il-kloroplast kien endosimbijosi sekondarja tas-serje aktar milli endosimbijosi terzjarja - l-endosymbiont kienet alka ħadra li fiha kloroplast primarju (li tagħmel kloroplast sekondarju).</v>
      </c>
    </row>
    <row r="20111" ht="15.75" customHeight="1">
      <c r="A20111" s="2" t="s">
        <v>20111</v>
      </c>
      <c r="B20111" s="2" t="str">
        <f>IFERROR(__xludf.DUMMYFUNCTION("GOOGLETRANSLATE(A20111, ""en"", ""mt"")"),"Alan Turing")</f>
        <v>Alan Turing</v>
      </c>
    </row>
    <row r="20112" ht="15.75" customHeight="1">
      <c r="A20112" s="2" t="s">
        <v>20112</v>
      </c>
      <c r="B20112" s="2" t="str">
        <f>IFERROR(__xludf.DUMMYFUNCTION("GOOGLETRANSLATE(A20112, ""en"", ""mt"")"),"Ferrovija ta 'Stockton u Darlington")</f>
        <v>Ferrovija ta 'Stockton u Darlington</v>
      </c>
    </row>
    <row r="20113" ht="15.75" customHeight="1">
      <c r="A20113" s="2" t="s">
        <v>20113</v>
      </c>
      <c r="B20113" s="2" t="str">
        <f>IFERROR(__xludf.DUMMYFUNCTION("GOOGLETRANSLATE(A20113, ""en"", ""mt"")"),"maħtura għal diversi ministeri.")</f>
        <v>maħtura għal diversi ministeri.</v>
      </c>
    </row>
    <row r="20114" ht="15.75" customHeight="1">
      <c r="A20114" s="2" t="s">
        <v>20114</v>
      </c>
      <c r="B20114" s="2" t="str">
        <f>IFERROR(__xludf.DUMMYFUNCTION("GOOGLETRANSLATE(A20114, ""en"", ""mt"")"),"Kantant Isaac Bashevis")</f>
        <v>Kantant Isaac Bashevis</v>
      </c>
    </row>
    <row r="20115" ht="15.75" customHeight="1">
      <c r="A20115" s="2" t="s">
        <v>20115</v>
      </c>
      <c r="B20115" s="2" t="str">
        <f>IFERROR(__xludf.DUMMYFUNCTION("GOOGLETRANSLATE(A20115, ""en"", ""mt"")"),"Kemm staġuni kien imexxi t-tabib oriġinali?")</f>
        <v>Kemm staġuni kien imexxi t-tabib oriġinali?</v>
      </c>
    </row>
    <row r="20116" ht="15.75" customHeight="1">
      <c r="A20116" s="2" t="s">
        <v>20116</v>
      </c>
      <c r="B20116" s="2" t="str">
        <f>IFERROR(__xludf.DUMMYFUNCTION("GOOGLETRANSLATE(A20116, ""en"", ""mt"")"),"gass ​​ikkompressat;")</f>
        <v>gass ​​ikkompressat;</v>
      </c>
    </row>
    <row r="20117" ht="15.75" customHeight="1">
      <c r="A20117" s="2" t="s">
        <v>20117</v>
      </c>
      <c r="B20117" s="2" t="str">
        <f>IFERROR(__xludf.DUMMYFUNCTION("GOOGLETRANSLATE(A20117, ""en"", ""mt"")"),"Philipp Melanchthon")</f>
        <v>Philipp Melanchthon</v>
      </c>
    </row>
    <row r="20118" ht="15.75" customHeight="1">
      <c r="A20118" s="2" t="s">
        <v>20118</v>
      </c>
      <c r="B20118" s="2" t="str">
        <f>IFERROR(__xludf.DUMMYFUNCTION("GOOGLETRANSLATE(A20118, ""en"", ""mt"")"),"Liema linebacker ta 'Denver ġie msemmi Super Bowl MVP?")</f>
        <v>Liema linebacker ta 'Denver ġie msemmi Super Bowl MVP?</v>
      </c>
    </row>
    <row r="20119" ht="15.75" customHeight="1">
      <c r="A20119" s="2" t="s">
        <v>20119</v>
      </c>
      <c r="B20119" s="2" t="str">
        <f>IFERROR(__xludf.DUMMYFUNCTION("GOOGLETRANSLATE(A20119, ""en"", ""mt"")"),"spettakolari")</f>
        <v>spettakolari</v>
      </c>
    </row>
    <row r="20120" ht="15.75" customHeight="1">
      <c r="A20120" s="2" t="s">
        <v>20120</v>
      </c>
      <c r="B20120" s="2" t="str">
        <f>IFERROR(__xludf.DUMMYFUNCTION("GOOGLETRANSLATE(A20120, ""en"", ""mt"")"),"Kalendarju tal-Qaddisin tal-Knisja tal-Ingilterra")</f>
        <v>Kalendarju tal-Qaddisin tal-Knisja tal-Ingilterra</v>
      </c>
    </row>
    <row r="20121" ht="15.75" customHeight="1">
      <c r="A20121" s="2" t="s">
        <v>20121</v>
      </c>
      <c r="B20121" s="2" t="str">
        <f>IFERROR(__xludf.DUMMYFUNCTION("GOOGLETRANSLATE(A20121, ""en"", ""mt"")"),"X’nota Tesla l-perikli li jaħdmu magħhom?")</f>
        <v>X’nota Tesla l-perikli li jaħdmu magħhom?</v>
      </c>
    </row>
    <row r="20122" ht="15.75" customHeight="1">
      <c r="A20122" s="2" t="s">
        <v>20122</v>
      </c>
      <c r="B20122" s="2" t="str">
        <f>IFERROR(__xludf.DUMMYFUNCTION("GOOGLETRANSLATE(A20122, ""en"", ""mt"")"),"Distretti tan-Negozju Ċentrali")</f>
        <v>Distretti tan-Negozju Ċentrali</v>
      </c>
    </row>
    <row r="20123" ht="15.75" customHeight="1">
      <c r="A20123" s="2" t="s">
        <v>20123</v>
      </c>
      <c r="B20123" s="2" t="str">
        <f>IFERROR(__xludf.DUMMYFUNCTION("GOOGLETRANSLATE(A20123, ""en"", ""mt"")"),"Fejn inżamm l-iffirmar?")</f>
        <v>Fejn inżamm l-iffirmar?</v>
      </c>
    </row>
    <row r="20124" ht="15.75" customHeight="1">
      <c r="A20124" s="2" t="s">
        <v>20124</v>
      </c>
      <c r="B20124" s="2" t="str">
        <f>IFERROR(__xludf.DUMMYFUNCTION("GOOGLETRANSLATE(A20124, ""en"", ""mt"")"),"Protesti bħal dawn ġeneralment huma meqjusa bħala liema tip?")</f>
        <v>Protesti bħal dawn ġeneralment huma meqjusa bħala liema tip?</v>
      </c>
    </row>
    <row r="20125" ht="15.75" customHeight="1">
      <c r="A20125" s="2" t="s">
        <v>20125</v>
      </c>
      <c r="B20125" s="2" t="str">
        <f>IFERROR(__xludf.DUMMYFUNCTION("GOOGLETRANSLATE(A20125, ""en"", ""mt"")"),"Kanadiżi, inkluż l-uffiċjal kmandant tagħhom")</f>
        <v>Kanadiżi, inkluż l-uffiċjal kmandant tagħhom</v>
      </c>
    </row>
    <row r="20126" ht="15.75" customHeight="1">
      <c r="A20126" s="2" t="s">
        <v>20126</v>
      </c>
      <c r="B20126" s="2" t="str">
        <f>IFERROR(__xludf.DUMMYFUNCTION("GOOGLETRANSLATE(A20126, ""en"", ""mt"")"),"200")</f>
        <v>200</v>
      </c>
    </row>
    <row r="20127" ht="15.75" customHeight="1">
      <c r="A20127" s="2" t="s">
        <v>20127</v>
      </c>
      <c r="B20127" s="2" t="str">
        <f>IFERROR(__xludf.DUMMYFUNCTION("GOOGLETRANSLATE(A20127, ""en"", ""mt"")"),"ħafna ħwawar oħra")</f>
        <v>ħafna ħwawar oħra</v>
      </c>
    </row>
    <row r="20128" ht="15.75" customHeight="1">
      <c r="A20128" s="2" t="s">
        <v>20128</v>
      </c>
      <c r="B20128" s="2" t="str">
        <f>IFERROR(__xludf.DUMMYFUNCTION("GOOGLETRANSLATE(A20128, ""en"", ""mt"")"),"X'kien l-isem tal-mexxej permezz tad-Depressjoni l-Kbira u t-Tieni Gwerra Dinjija?")</f>
        <v>X'kien l-isem tal-mexxej permezz tad-Depressjoni l-Kbira u t-Tieni Gwerra Dinjija?</v>
      </c>
    </row>
    <row r="20129" ht="15.75" customHeight="1">
      <c r="A20129" s="2" t="s">
        <v>20129</v>
      </c>
      <c r="B20129" s="2" t="str">
        <f>IFERROR(__xludf.DUMMYFUNCTION("GOOGLETRANSLATE(A20129, ""en"", ""mt"")"),"qodma")</f>
        <v>qodma</v>
      </c>
    </row>
    <row r="20130" ht="15.75" customHeight="1">
      <c r="A20130" s="2" t="s">
        <v>20130</v>
      </c>
      <c r="B20130" s="2" t="str">
        <f>IFERROR(__xludf.DUMMYFUNCTION("GOOGLETRANSLATE(A20130, ""en"", ""mt"")"),"Fiż-żona ta 'Los Angeles hemm id-distretti kummerċjali ewlenin ta' Downtown Burbank, Downtown Santa Monica, Downtown Glendale u Downtown Long Beach. Los Angeles innifsu għandu bosta distretti tan-negozju fosthom id-Distrett tan-Negozju Ċentrali ta ’Los An"&amp;"geles kif ukoll dawk li kisbu l-Wilshire Boulevard Miracle Mile inkluż Century City, Westwood u Warner Centre fil-Wied ta’ San Fernando.")</f>
        <v>Fiż-żona ta 'Los Angeles hemm id-distretti kummerċjali ewlenin ta' Downtown Burbank, Downtown Santa Monica, Downtown Glendale u Downtown Long Beach. Los Angeles innifsu għandu bosta distretti tan-negozju fosthom id-Distrett tan-Negozju Ċentrali ta ’Los Angeles kif ukoll dawk li kisbu l-Wilshire Boulevard Miracle Mile inkluż Century City, Westwood u Warner Centre fil-Wied ta’ San Fernando.</v>
      </c>
    </row>
    <row r="20131" ht="15.75" customHeight="1">
      <c r="A20131" s="2" t="s">
        <v>20131</v>
      </c>
      <c r="B20131" s="2" t="str">
        <f>IFERROR(__xludf.DUMMYFUNCTION("GOOGLETRANSLATE(A20131, ""en"", ""mt"")"),"Maġġoranza fil-Parlament")</f>
        <v>Maġġoranza fil-Parlament</v>
      </c>
    </row>
    <row r="20132" ht="15.75" customHeight="1">
      <c r="A20132" s="2" t="s">
        <v>20132</v>
      </c>
      <c r="B20132" s="2" t="str">
        <f>IFERROR(__xludf.DUMMYFUNCTION("GOOGLETRANSLATE(A20132, ""en"", ""mt"")"),"Raġuni")</f>
        <v>Raġuni</v>
      </c>
    </row>
    <row r="20133" ht="15.75" customHeight="1">
      <c r="A20133" s="2" t="s">
        <v>20133</v>
      </c>
      <c r="B20133" s="2" t="str">
        <f>IFERROR(__xludf.DUMMYFUNCTION("GOOGLETRANSLATE(A20133, ""en"", ""mt"")"),"Ir-Re Ġorġ III")</f>
        <v>Ir-Re Ġorġ III</v>
      </c>
    </row>
    <row r="20134" ht="15.75" customHeight="1">
      <c r="A20134" s="2" t="s">
        <v>20134</v>
      </c>
      <c r="B20134" s="2" t="str">
        <f>IFERROR(__xludf.DUMMYFUNCTION("GOOGLETRANSLATE(A20134, ""en"", ""mt"")"),"Fil-Knisja tal-Kastell")</f>
        <v>Fil-Knisja tal-Kastell</v>
      </c>
    </row>
    <row r="20135" ht="15.75" customHeight="1">
      <c r="A20135" s="2" t="s">
        <v>20135</v>
      </c>
      <c r="B20135" s="2" t="str">
        <f>IFERROR(__xludf.DUMMYFUNCTION("GOOGLETRANSLATE(A20135, ""en"", ""mt"")"),"Liema organizzazzjoni tmexxi s-satellita li kejjel it-trab li żbarka fuq l-Amażonja?")</f>
        <v>Liema organizzazzjoni tmexxi s-satellita li kejjel it-trab li żbarka fuq l-Amażonja?</v>
      </c>
    </row>
    <row r="20136" ht="15.75" customHeight="1">
      <c r="A20136" s="2" t="s">
        <v>20136</v>
      </c>
      <c r="B20136" s="2" t="str">
        <f>IFERROR(__xludf.DUMMYFUNCTION("GOOGLETRANSLATE(A20136, ""en"", ""mt"")"),"1636")</f>
        <v>1636</v>
      </c>
    </row>
    <row r="20137" ht="15.75" customHeight="1">
      <c r="A20137" s="2" t="s">
        <v>20137</v>
      </c>
      <c r="B20137" s="2" t="str">
        <f>IFERROR(__xludf.DUMMYFUNCTION("GOOGLETRANSLATE(A20137, ""en"", ""mt"")"),"l-ewwel liġi")</f>
        <v>l-ewwel liġi</v>
      </c>
    </row>
    <row r="20138" ht="15.75" customHeight="1">
      <c r="A20138" s="2" t="s">
        <v>20138</v>
      </c>
      <c r="B20138" s="2" t="str">
        <f>IFERROR(__xludf.DUMMYFUNCTION("GOOGLETRANSLATE(A20138, ""en"", ""mt"")"),"Ġermanja")</f>
        <v>Ġermanja</v>
      </c>
    </row>
    <row r="20139" ht="15.75" customHeight="1">
      <c r="A20139" s="2" t="s">
        <v>20139</v>
      </c>
      <c r="B20139" s="2" t="str">
        <f>IFERROR(__xludf.DUMMYFUNCTION("GOOGLETRANSLATE(A20139, ""en"", ""mt"")"),"Kemm affiljati jxandru s-servizz tal-grupp Sinclair?")</f>
        <v>Kemm affiljati jxandru s-servizz tal-grupp Sinclair?</v>
      </c>
    </row>
    <row r="20140" ht="15.75" customHeight="1">
      <c r="A20140" s="2" t="s">
        <v>20140</v>
      </c>
      <c r="B20140" s="2" t="str">
        <f>IFERROR(__xludf.DUMMYFUNCTION("GOOGLETRANSLATE(A20140, ""en"", ""mt"")"),"homebound")</f>
        <v>homebound</v>
      </c>
    </row>
    <row r="20141" ht="15.75" customHeight="1">
      <c r="A20141" s="2" t="s">
        <v>20141</v>
      </c>
      <c r="B20141" s="2" t="str">
        <f>IFERROR(__xludf.DUMMYFUNCTION("GOOGLETRANSLATE(A20141, ""en"", ""mt"")"),"Smallpipes ta 'Northumbrian keyed")</f>
        <v>Smallpipes ta 'Northumbrian keyed</v>
      </c>
    </row>
    <row r="20142" ht="15.75" customHeight="1">
      <c r="A20142" s="2" t="s">
        <v>20142</v>
      </c>
      <c r="B20142" s="2" t="str">
        <f>IFERROR(__xludf.DUMMYFUNCTION("GOOGLETRANSLATE(A20142, ""en"", ""mt"")"),"Il-laboratorju tiegħu ġie mqatta '")</f>
        <v>Il-laboratorju tiegħu ġie mqatta '</v>
      </c>
    </row>
    <row r="20143" ht="15.75" customHeight="1">
      <c r="A20143" s="2" t="s">
        <v>20143</v>
      </c>
      <c r="B20143" s="2" t="str">
        <f>IFERROR(__xludf.DUMMYFUNCTION("GOOGLETRANSLATE(A20143, ""en"", ""mt"")"),"738 jum")</f>
        <v>738 jum</v>
      </c>
    </row>
    <row r="20144" ht="15.75" customHeight="1">
      <c r="A20144" s="2" t="s">
        <v>20144</v>
      </c>
      <c r="B20144" s="2" t="str">
        <f>IFERROR(__xludf.DUMMYFUNCTION("GOOGLETRANSLATE(A20144, ""en"", ""mt"")"),"Għaliex il-Konferenza Ġenerali tal-Knisja Episkopali Metodista qasmet f'żewġ konferenzi?")</f>
        <v>Għaliex il-Konferenza Ġenerali tal-Knisja Episkopali Metodista qasmet f'żewġ konferenzi?</v>
      </c>
    </row>
    <row r="20145" ht="15.75" customHeight="1">
      <c r="A20145" s="2" t="s">
        <v>20145</v>
      </c>
      <c r="B20145" s="2" t="str">
        <f>IFERROR(__xludf.DUMMYFUNCTION("GOOGLETRANSLATE(A20145, ""en"", ""mt"")"),"$ 105 biljun")</f>
        <v>$ 105 biljun</v>
      </c>
    </row>
    <row r="20146" ht="15.75" customHeight="1">
      <c r="A20146" s="2" t="s">
        <v>20146</v>
      </c>
      <c r="B20146" s="2" t="str">
        <f>IFERROR(__xludf.DUMMYFUNCTION("GOOGLETRANSLATE(A20146, ""en"", ""mt"")"),"L-ewwel rilaxx tal-awdjo tat-Tabib li rrelata kien hemm 21 minuta narrat tal-istorja tat-televiżjoni tal-Ewwel Tabib The Chase rilaxxata fl-1966. Għaxar snin wara, l-ewwel awdjo oriġinali Doctor Who ġie rilaxxat fuq LP Record; Doctor Who u l-Pescatons li "&amp;"jidhru r-raba ’tabib. L-ewwel audiobook disponibbli kummerċjalment kien qari mqassar tar-Raba 'Doctor Story State of Decay fl-1981. Fl-1988, waqt hiatus fl-ispettaklu televiżiv, Slipback, l-ewwel drama tar-radju, ġiet trasmessa.")</f>
        <v>L-ewwel rilaxx tal-awdjo tat-Tabib li rrelata kien hemm 21 minuta narrat tal-istorja tat-televiżjoni tal-Ewwel Tabib The Chase rilaxxata fl-1966. Għaxar snin wara, l-ewwel awdjo oriġinali Doctor Who ġie rilaxxat fuq LP Record; Doctor Who u l-Pescatons li jidhru r-raba ’tabib. L-ewwel audiobook disponibbli kummerċjalment kien qari mqassar tar-Raba 'Doctor Story State of Decay fl-1981. Fl-1988, waqt hiatus fl-ispettaklu televiżiv, Slipback, l-ewwel drama tar-radju, ġiet trasmessa.</v>
      </c>
    </row>
    <row r="20147" ht="15.75" customHeight="1">
      <c r="A20147" s="2" t="s">
        <v>20147</v>
      </c>
      <c r="B20147" s="2" t="str">
        <f>IFERROR(__xludf.DUMMYFUNCTION("GOOGLETRANSLATE(A20147, ""en"", ""mt"")"),"Kattoliċi")</f>
        <v>Kattoliċi</v>
      </c>
    </row>
    <row r="20148" ht="15.75" customHeight="1">
      <c r="A20148" s="2" t="s">
        <v>20148</v>
      </c>
      <c r="B20148" s="2" t="str">
        <f>IFERROR(__xludf.DUMMYFUNCTION("GOOGLETRANSLATE(A20148, ""en"", ""mt"")"),"żdied b'inqas minn tnejn fil-mija fis-sena")</f>
        <v>żdied b'inqas minn tnejn fil-mija fis-sena</v>
      </c>
    </row>
    <row r="20149" ht="15.75" customHeight="1">
      <c r="A20149" s="2" t="s">
        <v>20149</v>
      </c>
      <c r="B20149" s="2" t="str">
        <f>IFERROR(__xludf.DUMMYFUNCTION("GOOGLETRANSLATE(A20149, ""en"", ""mt"")"),"Kif huma elenkati l-450 bini ta 'Man of Grainger Town?")</f>
        <v>Kif huma elenkati l-450 bini ta 'Man of Grainger Town?</v>
      </c>
    </row>
    <row r="20150" ht="15.75" customHeight="1">
      <c r="A20150" s="2" t="s">
        <v>20150</v>
      </c>
      <c r="B20150" s="2" t="str">
        <f>IFERROR(__xludf.DUMMYFUNCTION("GOOGLETRANSLATE(A20150, ""en"", ""mt"")"),"Xi jservu t-tankijiet tal-ossiġnu, il-krijoġeniċi, u l-komposti kimiċi għall-ossiġnu?")</f>
        <v>Xi jservu t-tankijiet tal-ossiġnu, il-krijoġeniċi, u l-komposti kimiċi għall-ossiġnu?</v>
      </c>
    </row>
    <row r="20151" ht="15.75" customHeight="1">
      <c r="A20151" s="2" t="s">
        <v>20151</v>
      </c>
      <c r="B20151" s="2" t="str">
        <f>IFERROR(__xludf.DUMMYFUNCTION("GOOGLETRANSLATE(A20151, ""en"", ""mt"")"),"Fl-Istati Uniti, l-istudjużi jargumentaw li diġà kien hemm soluzzjoni negozjata bbażata fuq l-ugwaljanza bejn iż-żewġ partijiet qabel l-1973. Il-possibbiltà li l-Lvant Nofsani jista 'jsir konfrontazzjoni oħra ta' superpotenza mal-USSR kienet ta 'tħassib a"&amp;"ktar għall-Istati Uniti milli ż-żejt. Barra minn hekk, gruppi ta 'interess u aġenziji tal-gvern aktar inkwetati dwar l-enerġija ma kinux jaqblu għad-dominanza ta' Kissinger. Fil-produzzjoni, distribuzzjoni u tfixkil tal-prezz tal-Istati Uniti ""inżammu re"&amp;"sponsabbli għar-riċessjonijiet, perjodi ta 'inflazzjoni eċċessiva, produttività mnaqqsa, u tkabbir ekonomiku aktar baxx.""")</f>
        <v>Fl-Istati Uniti, l-istudjużi jargumentaw li diġà kien hemm soluzzjoni negozjata bbażata fuq l-ugwaljanza bejn iż-żewġ partijiet qabel l-1973. Il-possibbiltà li l-Lvant Nofsani jista 'jsir konfrontazzjoni oħra ta' superpotenza mal-USSR kienet ta 'tħassib aktar għall-Istati Uniti milli ż-żejt. Barra minn hekk, gruppi ta 'interess u aġenziji tal-gvern aktar inkwetati dwar l-enerġija ma kinux jaqblu għad-dominanza ta' Kissinger. Fil-produzzjoni, distribuzzjoni u tfixkil tal-prezz tal-Istati Uniti "inżammu responsabbli għar-riċessjonijiet, perjodi ta 'inflazzjoni eċċessiva, produttività mnaqqsa, u tkabbir ekonomiku aktar baxx."</v>
      </c>
    </row>
    <row r="20152" ht="15.75" customHeight="1">
      <c r="A20152" s="2" t="s">
        <v>20152</v>
      </c>
      <c r="B20152" s="2" t="str">
        <f>IFERROR(__xludf.DUMMYFUNCTION("GOOGLETRANSLATE(A20152, ""en"", ""mt"")"),"Diċembru 1517")</f>
        <v>Diċembru 1517</v>
      </c>
    </row>
    <row r="20153" ht="15.75" customHeight="1">
      <c r="A20153" s="2" t="s">
        <v>20153</v>
      </c>
      <c r="B20153" s="2" t="str">
        <f>IFERROR(__xludf.DUMMYFUNCTION("GOOGLETRANSLATE(A20153, ""en"", ""mt"")"),"X'inhu l-kloroplasti li jdawru?")</f>
        <v>X'inhu l-kloroplasti li jdawru?</v>
      </c>
    </row>
    <row r="20154" ht="15.75" customHeight="1">
      <c r="A20154" s="2" t="s">
        <v>20154</v>
      </c>
      <c r="B20154" s="2" t="str">
        <f>IFERROR(__xludf.DUMMYFUNCTION("GOOGLETRANSLATE(A20154, ""en"", ""mt"")"),"Fit-Tieni Gwerra Dinjija, Charles de Gaulle u l-Franċiżi ħielsa użaw il-kolonji barranin bħala bażi li minnhom huma ġġieldu biex jilliberaw lil Franza. Madankollu wara l-1945 movimenti anti-kolonjali bdew jikkontestaw l-imperu. Franza ġġieldet u tilfet gw"&amp;"erra morra fil-Vjetnam fil-ħamsinijiet. Billi huma rebħu l-gwerra fl-Alġerija, il-mexxej Franċiż dak iż-żmien, Charles de Gaulle, iddeċidew li jagħtu l-indipendenza tal-Alġerija xorta waħda fl-1962. Il-kolonizzaturi tagħha u ħafna partitarji lokali rrilok"&amp;"aw lejn Franza. Kważi l-kolonji kollha ta 'Franza kisbu l-indipendenza sal-1960, iżda Franza żammet influwenza finanzjarja u diplomatika kbira. Huwa ripetutament bagħat truppi biex jgħinu lill-kolonji preċedenti tagħha fl-Afrika biex irażżnu l-insurrezzjo"&amp;"nijiet u l-kolp ta 'stat.")</f>
        <v>Fit-Tieni Gwerra Dinjija, Charles de Gaulle u l-Franċiżi ħielsa użaw il-kolonji barranin bħala bażi li minnhom huma ġġieldu biex jilliberaw lil Franza. Madankollu wara l-1945 movimenti anti-kolonjali bdew jikkontestaw l-imperu. Franza ġġieldet u tilfet gwerra morra fil-Vjetnam fil-ħamsinijiet. Billi huma rebħu l-gwerra fl-Alġerija, il-mexxej Franċiż dak iż-żmien, Charles de Gaulle, iddeċidew li jagħtu l-indipendenza tal-Alġerija xorta waħda fl-1962. Il-kolonizzaturi tagħha u ħafna partitarji lokali rrilokaw lejn Franza. Kważi l-kolonji kollha ta 'Franza kisbu l-indipendenza sal-1960, iżda Franza żammet influwenza finanzjarja u diplomatika kbira. Huwa ripetutament bagħat truppi biex jgħinu lill-kolonji preċedenti tagħha fl-Afrika biex irażżnu l-insurrezzjonijiet u l-kolp ta 'stat.</v>
      </c>
    </row>
    <row r="20155" ht="15.75" customHeight="1">
      <c r="A20155" s="2" t="s">
        <v>20155</v>
      </c>
      <c r="B20155" s="2" t="str">
        <f>IFERROR(__xludf.DUMMYFUNCTION("GOOGLETRANSLATE(A20155, ""en"", ""mt"")"),"Fejn kien il-bieb tar-Re Hugo?")</f>
        <v>Fejn kien il-bieb tar-Re Hugo?</v>
      </c>
    </row>
    <row r="20156" ht="15.75" customHeight="1">
      <c r="A20156" s="2" t="s">
        <v>20156</v>
      </c>
      <c r="B20156" s="2" t="str">
        <f>IFERROR(__xludf.DUMMYFUNCTION("GOOGLETRANSLATE(A20156, ""en"", ""mt"")"),"Missjunarji")</f>
        <v>Missjunarji</v>
      </c>
    </row>
    <row r="20157" ht="15.75" customHeight="1">
      <c r="A20157" s="2" t="s">
        <v>20157</v>
      </c>
      <c r="B20157" s="2" t="str">
        <f>IFERROR(__xludf.DUMMYFUNCTION("GOOGLETRANSLATE(A20157, ""en"", ""mt"")"),"Sonia Shankman School Orthogenic")</f>
        <v>Sonia Shankman School Orthogenic</v>
      </c>
    </row>
    <row r="20158" ht="15.75" customHeight="1">
      <c r="A20158" s="2" t="s">
        <v>20158</v>
      </c>
      <c r="B20158" s="2" t="str">
        <f>IFERROR(__xludf.DUMMYFUNCTION("GOOGLETRANSLATE(A20158, ""en"", ""mt"")"),"mużika")</f>
        <v>mużika</v>
      </c>
    </row>
    <row r="20159" ht="15.75" customHeight="1">
      <c r="A20159" s="2" t="s">
        <v>20159</v>
      </c>
      <c r="B20159" s="2" t="str">
        <f>IFERROR(__xludf.DUMMYFUNCTION("GOOGLETRANSLATE(A20159, ""en"", ""mt"")"),"X'jista 'jiġġustifika restrizzjonijiet fuq il-libertà tal-istabbiliment?")</f>
        <v>X'jista 'jiġġustifika restrizzjonijiet fuq il-libertà tal-istabbiliment?</v>
      </c>
    </row>
    <row r="20160" ht="15.75" customHeight="1">
      <c r="A20160" s="2" t="s">
        <v>20160</v>
      </c>
      <c r="B20160" s="2" t="str">
        <f>IFERROR(__xludf.DUMMYFUNCTION("GOOGLETRANSLATE(A20160, ""en"", ""mt"")"),"Manuel Blum")</f>
        <v>Manuel Blum</v>
      </c>
    </row>
    <row r="20161" ht="15.75" customHeight="1">
      <c r="A20161" s="2" t="s">
        <v>20161</v>
      </c>
      <c r="B20161" s="2" t="str">
        <f>IFERROR(__xludf.DUMMYFUNCTION("GOOGLETRANSLATE(A20161, ""en"", ""mt"")"),"Fejn saret il-funeral?")</f>
        <v>Fejn saret il-funeral?</v>
      </c>
    </row>
    <row r="20162" ht="15.75" customHeight="1">
      <c r="A20162" s="2" t="s">
        <v>20162</v>
      </c>
      <c r="B20162" s="2" t="str">
        <f>IFERROR(__xludf.DUMMYFUNCTION("GOOGLETRANSLATE(A20162, ""en"", ""mt"")"),"Fresno għandu tliet parks pubbliċi kbar, tnejn fil-limiti tal-belt u wieħed fl-art tal-kontea lejn il-Lbiċ. Woodward Park, li fih il-Ġonna Ġappuniżi Shinzen, bosta żoni tal-pikniks u diversi mili ta ’traċċi, jinsab fit-Tramuntana ta’ Fresno u jinsab biswi"&amp;"t il-Parkway tax-Xmara San Joaquin. Roeding Park, qrib id-downtown Fresno, huwa d-dar taż-Żoo ta 'Fresno Chaffee, u Storyland u Playland Rotary. Kearney Park hija l-ikbar sistema tal-park tar-reġjun ta 'Fresno u hija d-dar ta' Kearney Mansion storika u ti"&amp;"lgħab li l-Gwerra Ċivili riveduta annwali, l-akbar mill-ġdid mill-ġdid tal-gwerra ċivili fil-kosta tal-punent ta 'l-Istati Uniti ta' l-Istati Uniti ta 'l-Istati Uniti ta' l-Istati Uniti ta 'l-Istati Uniti ta' l-Istati Uniti.")</f>
        <v>Fresno għandu tliet parks pubbliċi kbar, tnejn fil-limiti tal-belt u wieħed fl-art tal-kontea lejn il-Lbiċ. Woodward Park, li fih il-Ġonna Ġappuniżi Shinzen, bosta żoni tal-pikniks u diversi mili ta ’traċċi, jinsab fit-Tramuntana ta’ Fresno u jinsab biswit il-Parkway tax-Xmara San Joaquin. Roeding Park, qrib id-downtown Fresno, huwa d-dar taż-Żoo ta 'Fresno Chaffee, u Storyland u Playland Rotary. Kearney Park hija l-ikbar sistema tal-park tar-reġjun ta 'Fresno u hija d-dar ta' Kearney Mansion storika u tilgħab li l-Gwerra Ċivili riveduta annwali, l-akbar mill-ġdid mill-ġdid tal-gwerra ċivili fil-kosta tal-punent ta 'l-Istati Uniti ta' l-Istati Uniti ta 'l-Istati Uniti ta' l-Istati Uniti ta 'l-Istati Uniti ta' l-Istati Uniti.</v>
      </c>
    </row>
    <row r="20163" ht="15.75" customHeight="1">
      <c r="A20163" s="2" t="s">
        <v>20163</v>
      </c>
      <c r="B20163" s="2" t="str">
        <f>IFERROR(__xludf.DUMMYFUNCTION("GOOGLETRANSLATE(A20163, ""en"", ""mt"")"),"80,000")</f>
        <v>80,000</v>
      </c>
    </row>
    <row r="20164" ht="15.75" customHeight="1">
      <c r="A20164" s="2" t="s">
        <v>20164</v>
      </c>
      <c r="B20164" s="2" t="str">
        <f>IFERROR(__xludf.DUMMYFUNCTION("GOOGLETRANSLATE(A20164, ""en"", ""mt"")"),"Victoria (imqassar bħala Vic) hija stat fix-Xlokk tal-Awstralja. Ir-Rabat huwa l-iktar stat popolat tal-Awstralja u t-tieni l-iktar stat popolat tagħha b’mod ġenerali. Il-biċċa l-kbira tal-popolazzjoni tagħha hija kkonċentrata fiż-żona li tdawwar Port Phi"&amp;"llip Bay, li tinkludi ż-żona metropolitana tal-kapitali tagħha u l-ikbar belt, Melbourne, li hija t-tieni l-akbar belt tal-Awstralja. Ġeografikament l-iżgħar stat fuq il-kontinent Awstraljan, ir-Rabat hija mdawra minn Strada Bass u Tasmanja fin-nofsinhar,"&amp;" [nota 1] New South Wales fit-tramuntana, il-Baħar Tasman lejn il-lvant, u l-Awstralja t'Isfel lejn il-punent.")</f>
        <v>Victoria (imqassar bħala Vic) hija stat fix-Xlokk tal-Awstralja. Ir-Rabat huwa l-iktar stat popolat tal-Awstralja u t-tieni l-iktar stat popolat tagħha b’mod ġenerali. Il-biċċa l-kbira tal-popolazzjoni tagħha hija kkonċentrata fiż-żona li tdawwar Port Phillip Bay, li tinkludi ż-żona metropolitana tal-kapitali tagħha u l-ikbar belt, Melbourne, li hija t-tieni l-akbar belt tal-Awstralja. Ġeografikament l-iżgħar stat fuq il-kontinent Awstraljan, ir-Rabat hija mdawra minn Strada Bass u Tasmanja fin-nofsinhar, [nota 1] New South Wales fit-tramuntana, il-Baħar Tasman lejn il-lvant, u l-Awstralja t'Isfel lejn il-punent.</v>
      </c>
    </row>
    <row r="20165" ht="15.75" customHeight="1">
      <c r="A20165" s="2" t="s">
        <v>20165</v>
      </c>
      <c r="B20165" s="2" t="str">
        <f>IFERROR(__xludf.DUMMYFUNCTION("GOOGLETRANSLATE(A20165, ""en"", ""mt"")"),"diskors li jħawwad")</f>
        <v>diskors li jħawwad</v>
      </c>
    </row>
    <row r="20166" ht="15.75" customHeight="1">
      <c r="A20166" s="2" t="s">
        <v>20166</v>
      </c>
      <c r="B20166" s="2" t="str">
        <f>IFERROR(__xludf.DUMMYFUNCTION("GOOGLETRANSLATE(A20166, ""en"", ""mt"")"),"Amsterdam u ż-żona ta 'West Frisia")</f>
        <v>Amsterdam u ż-żona ta 'West Frisia</v>
      </c>
    </row>
    <row r="20167" ht="15.75" customHeight="1">
      <c r="A20167" s="2" t="s">
        <v>20167</v>
      </c>
      <c r="B20167" s="2" t="str">
        <f>IFERROR(__xludf.DUMMYFUNCTION("GOOGLETRANSLATE(A20167, ""en"", ""mt"")"),"fi żmien ħames snin")</f>
        <v>fi żmien ħames snin</v>
      </c>
    </row>
    <row r="20168" ht="15.75" customHeight="1">
      <c r="A20168" s="2" t="s">
        <v>20168</v>
      </c>
      <c r="B20168" s="2" t="str">
        <f>IFERROR(__xludf.DUMMYFUNCTION("GOOGLETRANSLATE(A20168, ""en"", ""mt"")"),"Fort Frontenac")</f>
        <v>Fort Frontenac</v>
      </c>
    </row>
    <row r="20169" ht="15.75" customHeight="1">
      <c r="A20169" s="2" t="s">
        <v>20169</v>
      </c>
      <c r="B20169" s="2" t="str">
        <f>IFERROR(__xludf.DUMMYFUNCTION("GOOGLETRANSLATE(A20169, ""en"", ""mt"")"),"Fejn hu l-hekk imsejjaħ irkoppa tar-Rhine?")</f>
        <v>Fejn hu l-hekk imsejjaħ irkoppa tar-Rhine?</v>
      </c>
    </row>
    <row r="20170" ht="15.75" customHeight="1">
      <c r="A20170" s="2" t="s">
        <v>20170</v>
      </c>
      <c r="B20170" s="2" t="str">
        <f>IFERROR(__xludf.DUMMYFUNCTION("GOOGLETRANSLATE(A20170, ""en"", ""mt"")"),"alkoħol")</f>
        <v>alkoħol</v>
      </c>
    </row>
    <row r="20171" ht="15.75" customHeight="1">
      <c r="A20171" s="2" t="s">
        <v>20171</v>
      </c>
      <c r="B20171" s="2" t="str">
        <f>IFERROR(__xludf.DUMMYFUNCTION("GOOGLETRANSLATE(A20171, ""en"", ""mt"")"),"Skond l-informazzjoni dwar iċ-ċensiment tal-gvern tar-Renju Unit, il-Belt ta 'Newcastle kellha popolazzjoni ta' 189.863, filwaqt li l-Metropolitan Borough ta 'Newcastle kellu popolazzjoni ta' madwar 259,000. Newcastle għandha popolazzjoni ta '282,442 skon"&amp;"d l-Uffiċċju għall-Istatistika Nazzjonali. Il-boroughs metropolitani ta 'North Tyneside (popolazzjoni madwar 201,000), Tyneside t'Isfel (popolazzjoni madwar 148,000) u Gateshead (popolazzjoni madwar 201,000) huma, flimkien ma' Newcastle, il-parti kollha t"&amp;"al-konurbazzjoni ta 'Tyneside (popolazzjoni madwar 880,000). Il-Kontea Metropolitana ta 'Tyne u Wear, li tikkonsisti fl-erba' distretti msemmija hawn fuq kif ukoll mill-belt ta 'Sunderland (popolazzjoni madwar 275,000), kellha popolazzjoni ta' madwar 1,07"&amp;"6,000 u r-reġjun ta 'Tyne u Wear City li jinkludi wkoll North Durham, South East Northumberland U l-Wied ta 'Tyne għandu popolazzjoni ta' 1,650,000. Newcastle hija wkoll dar għal popolazzjoni ta 'studenti kbar ma' Newcastle u Northumbria universitajiet fi"&amp;"ż-żona lokali. Żoni b'popolazzjonijiet ta 'studenti predominanti jinkludu Jesmond u Heaton.")</f>
        <v>Skond l-informazzjoni dwar iċ-ċensiment tal-gvern tar-Renju Unit, il-Belt ta 'Newcastle kellha popolazzjoni ta' 189.863, filwaqt li l-Metropolitan Borough ta 'Newcastle kellu popolazzjoni ta' madwar 259,000. Newcastle għandha popolazzjoni ta '282,442 skond l-Uffiċċju għall-Istatistika Nazzjonali. Il-boroughs metropolitani ta 'North Tyneside (popolazzjoni madwar 201,000), Tyneside t'Isfel (popolazzjoni madwar 148,000) u Gateshead (popolazzjoni madwar 201,000) huma, flimkien ma' Newcastle, il-parti kollha tal-konurbazzjoni ta 'Tyneside (popolazzjoni madwar 880,000). Il-Kontea Metropolitana ta 'Tyne u Wear, li tikkonsisti fl-erba' distretti msemmija hawn fuq kif ukoll mill-belt ta 'Sunderland (popolazzjoni madwar 275,000), kellha popolazzjoni ta' madwar 1,076,000 u r-reġjun ta 'Tyne u Wear City li jinkludi wkoll North Durham, South East Northumberland U l-Wied ta 'Tyne għandu popolazzjoni ta' 1,650,000. Newcastle hija wkoll dar għal popolazzjoni ta 'studenti kbar ma' Newcastle u Northumbria universitajiet fiż-żona lokali. Żoni b'popolazzjonijiet ta 'studenti predominanti jinkludu Jesmond u Heaton.</v>
      </c>
    </row>
    <row r="20172" ht="15.75" customHeight="1">
      <c r="A20172" s="2" t="s">
        <v>20172</v>
      </c>
      <c r="B20172" s="2" t="str">
        <f>IFERROR(__xludf.DUMMYFUNCTION("GOOGLETRANSLATE(A20172, ""en"", ""mt"")"),"Liema impatt militari kellu l-immigrazzjoni Huguenot fuq l-armata ta 'Frederick?")</f>
        <v>Liema impatt militari kellu l-immigrazzjoni Huguenot fuq l-armata ta 'Frederick?</v>
      </c>
    </row>
    <row r="20173" ht="15.75" customHeight="1">
      <c r="A20173" s="2" t="s">
        <v>20173</v>
      </c>
      <c r="B20173" s="2" t="str">
        <f>IFERROR(__xludf.DUMMYFUNCTION("GOOGLETRANSLATE(A20173, ""en"", ""mt"")"),"X'inhi t-taskforce li ġiet organizzata biex tidentifika mal-pożizzjoni favur il-ħajja?")</f>
        <v>X'inhi t-taskforce li ġiet organizzata biex tidentifika mal-pożizzjoni favur il-ħajja?</v>
      </c>
    </row>
    <row r="20174" ht="15.75" customHeight="1">
      <c r="A20174" s="2" t="s">
        <v>20174</v>
      </c>
      <c r="B20174" s="2" t="str">
        <f>IFERROR(__xludf.DUMMYFUNCTION("GOOGLETRANSLATE(A20174, ""en"", ""mt"")"),"Fitch Digger")</f>
        <v>Fitch Digger</v>
      </c>
    </row>
    <row r="20175" ht="15.75" customHeight="1">
      <c r="A20175" s="2" t="s">
        <v>20175</v>
      </c>
      <c r="B20175" s="2" t="str">
        <f>IFERROR(__xludf.DUMMYFUNCTION("GOOGLETRANSLATE(A20175, ""en"", ""mt"")"),"Fejn kien jinsab Wardenclyffe?")</f>
        <v>Fejn kien jinsab Wardenclyffe?</v>
      </c>
    </row>
    <row r="20176" ht="15.75" customHeight="1">
      <c r="A20176" s="2" t="s">
        <v>20176</v>
      </c>
      <c r="B20176" s="2" t="str">
        <f>IFERROR(__xludf.DUMMYFUNCTION("GOOGLETRANSLATE(A20176, ""en"", ""mt"")"),"______ kemm fil-forma likwida kif ukoll fil-gass jistgħu jirriżultaw malajr f'eżlposion.")</f>
        <v>______ kemm fil-forma likwida kif ukoll fil-gass jistgħu jirriżultaw malajr f'eżlposion.</v>
      </c>
    </row>
    <row r="20177" ht="15.75" customHeight="1">
      <c r="A20177" s="2" t="s">
        <v>20177</v>
      </c>
      <c r="B20177" s="2" t="str">
        <f>IFERROR(__xludf.DUMMYFUNCTION("GOOGLETRANSLATE(A20177, ""en"", ""mt"")"),"60-ċiklu")</f>
        <v>60-ċiklu</v>
      </c>
    </row>
    <row r="20178" ht="15.75" customHeight="1">
      <c r="A20178" s="2" t="s">
        <v>20178</v>
      </c>
      <c r="B20178" s="2" t="str">
        <f>IFERROR(__xludf.DUMMYFUNCTION("GOOGLETRANSLATE(A20178, ""en"", ""mt"")"),"Wieħed mir-refuġjati l-aktar prominenti Huguenot fl-Olanda kien Pierre Bayle. Huwa beda jgħallem f'Rotterdam, fejn spiċċa jikteb u jippubblika l-kapolavur multi-volum tiegħu, dizzjunarju storiku u kritiku. Dan sar wieħed mill-100 test fundamentali tal-Lib"&amp;"rerija tal-Kungress tal-Istati Uniti. Xi dixxendenti Huguenot fl-Olanda jistgħu jiġu nnotati mill-ismijiet tal-familja Franċiżi, għalkemm tipikament jużaw ismijiet Olandiżi. Minħabba r-rabtiet bikrija ta 'Huguenots mat-tmexxija tar-rewwixta Olandiża u l-p"&amp;"arteċipazzjoni tagħhom stess, uħud mill-patriġġjati Olandiżi huma ta' dixxendenza parti minn Huguenot. Xi familji Huguenot żammew diversi tradizzjonijiet, bħaċ-ċelebrazzjoni u l-festa tal-patrun tagħhom San Nicolas, simili għall-festa Olandiża Sint Nicola"&amp;"as (Sinterklaas).")</f>
        <v>Wieħed mir-refuġjati l-aktar prominenti Huguenot fl-Olanda kien Pierre Bayle. Huwa beda jgħallem f'Rotterdam, fejn spiċċa jikteb u jippubblika l-kapolavur multi-volum tiegħu, dizzjunarju storiku u kritiku. Dan sar wieħed mill-100 test fundamentali tal-Librerija tal-Kungress tal-Istati Uniti. Xi dixxendenti Huguenot fl-Olanda jistgħu jiġu nnotati mill-ismijiet tal-familja Franċiżi, għalkemm tipikament jużaw ismijiet Olandiżi. Minħabba r-rabtiet bikrija ta 'Huguenots mat-tmexxija tar-rewwixta Olandiża u l-parteċipazzjoni tagħhom stess, uħud mill-patriġġjati Olandiżi huma ta' dixxendenza parti minn Huguenot. Xi familji Huguenot żammew diversi tradizzjonijiet, bħaċ-ċelebrazzjoni u l-festa tal-patrun tagħhom San Nicolas, simili għall-festa Olandiża Sint Nicolaas (Sinterklaas).</v>
      </c>
    </row>
    <row r="20179" ht="15.75" customHeight="1">
      <c r="A20179" s="2" t="s">
        <v>20179</v>
      </c>
      <c r="B20179" s="2" t="str">
        <f>IFERROR(__xludf.DUMMYFUNCTION("GOOGLETRANSLATE(A20179, ""en"", ""mt"")"),"Preparazzjonijiet ta 'riskju għoli u xi funzjonijiet oħra ta' taħlit")</f>
        <v>Preparazzjonijiet ta 'riskju għoli u xi funzjonijiet oħra ta' taħlit</v>
      </c>
    </row>
    <row r="20180" ht="15.75" customHeight="1">
      <c r="A20180" s="2" t="s">
        <v>20180</v>
      </c>
      <c r="B20180" s="2" t="str">
        <f>IFERROR(__xludf.DUMMYFUNCTION("GOOGLETRANSLATE(A20180, ""en"", ""mt"")"),"toroq")</f>
        <v>toroq</v>
      </c>
    </row>
    <row r="20181" ht="15.75" customHeight="1">
      <c r="A20181" s="2" t="s">
        <v>20181</v>
      </c>
      <c r="B20181" s="2" t="str">
        <f>IFERROR(__xludf.DUMMYFUNCTION("GOOGLETRANSLATE(A20181, ""en"", ""mt"")"),"Ir-Reġina Eliżabetta")</f>
        <v>Ir-Reġina Eliżabetta</v>
      </c>
    </row>
    <row r="20182" ht="15.75" customHeight="1">
      <c r="A20182" s="2" t="s">
        <v>20182</v>
      </c>
      <c r="B20182" s="2" t="str">
        <f>IFERROR(__xludf.DUMMYFUNCTION("GOOGLETRANSLATE(A20182, ""en"", ""mt"")"),"Minbarra Leibniz, liema matematiku ieħor wera l-validità tat-teorema żgħira ta 'Fermat?")</f>
        <v>Minbarra Leibniz, liema matematiku ieħor wera l-validità tat-teorema żgħira ta 'Fermat?</v>
      </c>
    </row>
    <row r="20183" ht="15.75" customHeight="1">
      <c r="A20183" s="2" t="s">
        <v>20183</v>
      </c>
      <c r="B20183" s="2" t="str">
        <f>IFERROR(__xludf.DUMMYFUNCTION("GOOGLETRANSLATE(A20183, ""en"", ""mt"")"),"10 ta ’nofsinhar")</f>
        <v>10 ta ’nofsinhar</v>
      </c>
    </row>
    <row r="20184" ht="15.75" customHeight="1">
      <c r="A20184" s="2" t="s">
        <v>20184</v>
      </c>
      <c r="B20184" s="2" t="str">
        <f>IFERROR(__xludf.DUMMYFUNCTION("GOOGLETRANSLATE(A20184, ""en"", ""mt"")"),"Waħda mill-ewwel produzzjoni ta 'links IP OC-48C (2.5 GBIT / S)")</f>
        <v>Waħda mill-ewwel produzzjoni ta 'links IP OC-48C (2.5 GBIT / S)</v>
      </c>
    </row>
    <row r="20185" ht="15.75" customHeight="1">
      <c r="A20185" s="2" t="s">
        <v>20185</v>
      </c>
      <c r="B20185" s="2" t="str">
        <f>IFERROR(__xludf.DUMMYFUNCTION("GOOGLETRANSLATE(A20185, ""en"", ""mt"")"),"Magna tat-Turing hija mudell matematiku ta 'magna tal-kompjuters ġenerali. Huwa apparat teoretiku li jimmanipula s-simboli li jinsabu fuq strixxa ta 'tejp. Magni tat-Turing mhumiex maħsuba bħala teknoloġija prattika tal-kompjuters, iżda bħala esperiment t"&amp;"al-ħsieb li jirrappreżenta magna tal-kompjuters - kull ħaġa minn superkompjuter avvanzat għal matematiku bil-lapes u l-karta. Huwa maħsub li jekk problema tista 'tissolva permezz ta' algoritmu, teżisti magna tat-Turing li ssolvi l-problema. Tassew, din hi"&amp;"ja d-dikjarazzjoni tat-teżi tal-knisja. Barra minn hekk, huwa magħruf li dak kollu li jista 'jiġi kkalkulat fuq mudelli oħra ta' komputazzjoni magħrufa għalina llum, bħal magna RAM, il-logħba tal-ħajja ta 'Conway, l-awtomata ċellulari jew kwalunkwe lingwa"&amp;" ta' programmazzjoni tista 'tiġi kkalkulata fuq magna tat-Turing. Peress li l-magni tat-Turing huma faċli biex tanalizzaw matematikament, u huma maħsuba li huma b'saħħithom daqs kwalunkwe mudell ieħor ta 'komputazzjoni, il-magna tat-Turing hija l-aktar mu"&amp;"dell użat komunement fit-teorija tal-kumplessità.")</f>
        <v>Magna tat-Turing hija mudell matematiku ta 'magna tal-kompjuters ġenerali. Huwa apparat teoretiku li jimmanipula s-simboli li jinsabu fuq strixxa ta 'tejp. Magni tat-Turing mhumiex maħsuba bħala teknoloġija prattika tal-kompjuters, iżda bħala esperiment tal-ħsieb li jirrappreżenta magna tal-kompjuters - kull ħaġa minn superkompjuter avvanzat għal matematiku bil-lapes u l-karta. Huwa maħsub li jekk problema tista 'tissolva permezz ta' algoritmu, teżisti magna tat-Turing li ssolvi l-problema. Tassew, din hija d-dikjarazzjoni tat-teżi tal-knisja. Barra minn hekk, huwa magħruf li dak kollu li jista 'jiġi kkalkulat fuq mudelli oħra ta' komputazzjoni magħrufa għalina llum, bħal magna RAM, il-logħba tal-ħajja ta 'Conway, l-awtomata ċellulari jew kwalunkwe lingwa ta' programmazzjoni tista 'tiġi kkalkulata fuq magna tat-Turing. Peress li l-magni tat-Turing huma faċli biex tanalizzaw matematikament, u huma maħsuba li huma b'saħħithom daqs kwalunkwe mudell ieħor ta 'komputazzjoni, il-magna tat-Turing hija l-aktar mudell użat komunement fit-teorija tal-kumplessità.</v>
      </c>
    </row>
    <row r="20186" ht="15.75" customHeight="1">
      <c r="A20186" s="2" t="s">
        <v>20186</v>
      </c>
      <c r="B20186" s="2" t="str">
        <f>IFERROR(__xludf.DUMMYFUNCTION("GOOGLETRANSLATE(A20186, ""en"", ""mt"")"),"saru Kristjani")</f>
        <v>saru Kristjani</v>
      </c>
    </row>
    <row r="20187" ht="15.75" customHeight="1">
      <c r="A20187" s="2" t="s">
        <v>20187</v>
      </c>
      <c r="B20187" s="2" t="str">
        <f>IFERROR(__xludf.DUMMYFUNCTION("GOOGLETRANSLATE(A20187, ""en"", ""mt"")"),"acupuncture, moxibustion, dijanjosi tal-polz, u diversi mediċini tal-ħxejjex u elixirs")</f>
        <v>acupuncture, moxibustion, dijanjosi tal-polz, u diversi mediċini tal-ħxejjex u elixirs</v>
      </c>
    </row>
    <row r="20188" ht="15.75" customHeight="1">
      <c r="A20188" s="2" t="s">
        <v>20188</v>
      </c>
      <c r="B20188" s="2" t="str">
        <f>IFERROR(__xludf.DUMMYFUNCTION("GOOGLETRANSLATE(A20188, ""en"", ""mt"")"),"Mongolja")</f>
        <v>Mongolja</v>
      </c>
    </row>
    <row r="20189" ht="15.75" customHeight="1">
      <c r="A20189" s="2" t="s">
        <v>20189</v>
      </c>
      <c r="B20189" s="2" t="str">
        <f>IFERROR(__xludf.DUMMYFUNCTION("GOOGLETRANSLATE(A20189, ""en"", ""mt"")"),"Min kiteb dwar id-distillazzjoni tal-ilma tax-xorb mill-ilma tal-baħar?")</f>
        <v>Min kiteb dwar id-distillazzjoni tal-ilma tax-xorb mill-ilma tal-baħar?</v>
      </c>
    </row>
    <row r="20190" ht="15.75" customHeight="1">
      <c r="A20190" s="2" t="s">
        <v>20190</v>
      </c>
      <c r="B20190" s="2" t="str">
        <f>IFERROR(__xludf.DUMMYFUNCTION("GOOGLETRANSLATE(A20190, ""en"", ""mt"")"),"X'kienu l- ""forzi kbar"" imsemmija fit-titlu tal-artiklu?")</f>
        <v>X'kienu l- "forzi kbar" imsemmija fit-titlu tal-artiklu?</v>
      </c>
    </row>
    <row r="20191" ht="15.75" customHeight="1">
      <c r="A20191" s="2" t="s">
        <v>20191</v>
      </c>
      <c r="B20191" s="2" t="str">
        <f>IFERROR(__xludf.DUMMYFUNCTION("GOOGLETRANSLATE(A20191, ""en"", ""mt"")"),"Kemm tipi ta 'movimenti għandhom l-euplokamis tentilla?")</f>
        <v>Kemm tipi ta 'movimenti għandhom l-euplokamis tentilla?</v>
      </c>
    </row>
    <row r="20192" ht="15.75" customHeight="1">
      <c r="A20192" s="2" t="s">
        <v>20192</v>
      </c>
      <c r="B20192" s="2" t="str">
        <f>IFERROR(__xludf.DUMMYFUNCTION("GOOGLETRANSLATE(A20192, ""en"", ""mt"")"),"Meta Kublai mexxiet il-kapitali Mongolja?")</f>
        <v>Meta Kublai mexxiet il-kapitali Mongolja?</v>
      </c>
    </row>
    <row r="20193" ht="15.75" customHeight="1">
      <c r="A20193" s="2" t="s">
        <v>20193</v>
      </c>
      <c r="B20193" s="2" t="str">
        <f>IFERROR(__xludf.DUMMYFUNCTION("GOOGLETRANSLATE(A20193, ""en"", ""mt"")"),"Semmi l-mod l-ieħor li l-organizzazzjoni Plowshares ingħalqet temporanjament?")</f>
        <v>Semmi l-mod l-ieħor li l-organizzazzjoni Plowshares ingħalqet temporanjament?</v>
      </c>
    </row>
    <row r="20194" ht="15.75" customHeight="1">
      <c r="A20194" s="2" t="s">
        <v>20194</v>
      </c>
      <c r="B20194" s="2" t="str">
        <f>IFERROR(__xludf.DUMMYFUNCTION("GOOGLETRANSLATE(A20194, ""en"", ""mt"")"),"Kemm mill-iskejjel fi Newcastle huma indipendenti?")</f>
        <v>Kemm mill-iskejjel fi Newcastle huma indipendenti?</v>
      </c>
    </row>
    <row r="20195" ht="15.75" customHeight="1">
      <c r="A20195" s="2" t="s">
        <v>20195</v>
      </c>
      <c r="B20195" s="2" t="str">
        <f>IFERROR(__xludf.DUMMYFUNCTION("GOOGLETRANSLATE(A20195, ""en"", ""mt"")"),"Lista tal-Wirt Dinji tal-UNESCO")</f>
        <v>Lista tal-Wirt Dinji tal-UNESCO</v>
      </c>
    </row>
    <row r="20196" ht="15.75" customHeight="1">
      <c r="A20196" s="2" t="s">
        <v>20196</v>
      </c>
      <c r="B20196" s="2" t="str">
        <f>IFERROR(__xludf.DUMMYFUNCTION("GOOGLETRANSLATE(A20196, ""en"", ""mt"")"),"Liema operaturi tas-sapun ikkanċellaw l-ABC fl-2011?")</f>
        <v>Liema operaturi tas-sapun ikkanċellaw l-ABC fl-2011?</v>
      </c>
    </row>
    <row r="20197" ht="15.75" customHeight="1">
      <c r="A20197" s="2" t="s">
        <v>20197</v>
      </c>
      <c r="B20197" s="2" t="str">
        <f>IFERROR(__xludf.DUMMYFUNCTION("GOOGLETRANSLATE(A20197, ""en"", ""mt"")"),"4000")</f>
        <v>4000</v>
      </c>
    </row>
    <row r="20198" ht="15.75" customHeight="1">
      <c r="A20198" s="2" t="s">
        <v>20198</v>
      </c>
      <c r="B20198" s="2" t="str">
        <f>IFERROR(__xludf.DUMMYFUNCTION("GOOGLETRANSLATE(A20198, ""en"", ""mt"")"),"Riċetturi tal-limfoċiti varjabbli")</f>
        <v>Riċetturi tal-limfoċiti varjabbli</v>
      </c>
    </row>
    <row r="20199" ht="15.75" customHeight="1">
      <c r="A20199" s="2" t="s">
        <v>20199</v>
      </c>
      <c r="B20199" s="2" t="str">
        <f>IFERROR(__xludf.DUMMYFUNCTION("GOOGLETRANSLATE(A20199, ""en"", ""mt"")"),"X'tip ta 'magni kellu d-disinn tal-biplan?")</f>
        <v>X'tip ta 'magni kellu d-disinn tal-biplan?</v>
      </c>
    </row>
    <row r="20200" ht="15.75" customHeight="1">
      <c r="A20200" s="2" t="s">
        <v>20200</v>
      </c>
      <c r="B20200" s="2" t="str">
        <f>IFERROR(__xludf.DUMMYFUNCTION("GOOGLETRANSLATE(A20200, ""en"", ""mt"")"),"Kemm kellu Manning meta lagħab Super Bowl 50?")</f>
        <v>Kemm kellu Manning meta lagħab Super Bowl 50?</v>
      </c>
    </row>
    <row r="20201" ht="15.75" customHeight="1">
      <c r="A20201" s="2" t="s">
        <v>20201</v>
      </c>
      <c r="B20201" s="2" t="str">
        <f>IFERROR(__xludf.DUMMYFUNCTION("GOOGLETRANSLATE(A20201, ""en"", ""mt"")"),"Richard Dean Adams")</f>
        <v>Richard Dean Adams</v>
      </c>
    </row>
    <row r="20202" ht="15.75" customHeight="1">
      <c r="A20202" s="2" t="s">
        <v>20202</v>
      </c>
      <c r="B20202" s="2" t="str">
        <f>IFERROR(__xludf.DUMMYFUNCTION("GOOGLETRANSLATE(A20202, ""en"", ""mt"")"),"skart")</f>
        <v>skart</v>
      </c>
    </row>
    <row r="20203" ht="15.75" customHeight="1">
      <c r="A20203" s="2" t="s">
        <v>20203</v>
      </c>
      <c r="B20203" s="2" t="str">
        <f>IFERROR(__xludf.DUMMYFUNCTION("GOOGLETRANSLATE(A20203, ""en"", ""mt"")"),"X'inhu l-Inġinerija tal-Aħbarijiet-Record?")</f>
        <v>X'inhu l-Inġinerija tal-Aħbarijiet-Record?</v>
      </c>
    </row>
    <row r="20204" ht="15.75" customHeight="1">
      <c r="A20204" s="2" t="s">
        <v>20204</v>
      </c>
      <c r="B20204" s="2" t="str">
        <f>IFERROR(__xludf.DUMMYFUNCTION("GOOGLETRANSLATE(A20204, ""en"", ""mt"")"),"$ 10 fil-Ġimgħa")</f>
        <v>$ 10 fil-Ġimgħa</v>
      </c>
    </row>
    <row r="20205" ht="15.75" customHeight="1">
      <c r="A20205" s="2" t="s">
        <v>20205</v>
      </c>
      <c r="B20205" s="2" t="str">
        <f>IFERROR(__xludf.DUMMYFUNCTION("GOOGLETRANSLATE(A20205, ""en"", ""mt"")"),"Il-kwistjoni dwar jekk P tkun daqs NP hija waħda mill-aktar mistoqsijiet miftuħa importanti fix-xjenza teoretika tal-kompjuter minħabba l-implikazzjonijiet wiesgħa ta 'soluzzjoni. Jekk it-tweġiba hija iva, ħafna problemi importanti jistgħu jintwerew li għ"&amp;"andhom soluzzjonijiet aktar effiċjenti. Dawn jinkludu diversi tipi ta 'problemi ta' programmazzjoni integri fir-riċerka tal-operazzjonijiet, ħafna problemi fil-loġistika, tbassir tal-istruttura tal-proteini fil-bijoloġija, u l-abbiltà li ssib provi formal"&amp;"i ta 'teoremi tal-matematika puri. Il-problema P kontra NP hija waħda mill-problemi tal-Premju tal-Millennju proposti mill-Istitut tal-Matematika Clay. Hemm premju ta 'US $ 1,000,000 għar-riżoluzzjoni tal-problema.")</f>
        <v>Il-kwistjoni dwar jekk P tkun daqs NP hija waħda mill-aktar mistoqsijiet miftuħa importanti fix-xjenza teoretika tal-kompjuter minħabba l-implikazzjonijiet wiesgħa ta 'soluzzjoni. Jekk it-tweġiba hija iva, ħafna problemi importanti jistgħu jintwerew li għandhom soluzzjonijiet aktar effiċjenti. Dawn jinkludu diversi tipi ta 'problemi ta' programmazzjoni integri fir-riċerka tal-operazzjonijiet, ħafna problemi fil-loġistika, tbassir tal-istruttura tal-proteini fil-bijoloġija, u l-abbiltà li ssib provi formali ta 'teoremi tal-matematika puri. Il-problema P kontra NP hija waħda mill-problemi tal-Premju tal-Millennju proposti mill-Istitut tal-Matematika Clay. Hemm premju ta 'US $ 1,000,000 għar-riżoluzzjoni tal-problema.</v>
      </c>
    </row>
    <row r="20206" ht="15.75" customHeight="1">
      <c r="A20206" s="2" t="s">
        <v>20206</v>
      </c>
      <c r="B20206" s="2" t="str">
        <f>IFERROR(__xludf.DUMMYFUNCTION("GOOGLETRANSLATE(A20206, ""en"", ""mt"")"),"X'tip ta 'organiżmu huma ċjanobatterji?")</f>
        <v>X'tip ta 'organiżmu huma ċjanobatterji?</v>
      </c>
    </row>
    <row r="20207" ht="15.75" customHeight="1">
      <c r="A20207" s="2" t="s">
        <v>20207</v>
      </c>
      <c r="B20207" s="2" t="str">
        <f>IFERROR(__xludf.DUMMYFUNCTION("GOOGLETRANSLATE(A20207, ""en"", ""mt"")"),"gżejjer")</f>
        <v>gżejjer</v>
      </c>
    </row>
    <row r="20208" ht="15.75" customHeight="1">
      <c r="A20208" s="2" t="s">
        <v>20208</v>
      </c>
      <c r="B20208" s="2" t="str">
        <f>IFERROR(__xludf.DUMMYFUNCTION("GOOGLETRANSLATE(A20208, ""en"", ""mt"")"),"X'inhu jinsab fis-sit tad-Dar tal-Insiġ bħalissa?")</f>
        <v>X'inhu jinsab fis-sit tad-Dar tal-Insiġ bħalissa?</v>
      </c>
    </row>
    <row r="20209" ht="15.75" customHeight="1">
      <c r="A20209" s="2" t="s">
        <v>20209</v>
      </c>
      <c r="B20209" s="2" t="str">
        <f>IFERROR(__xludf.DUMMYFUNCTION("GOOGLETRANSLATE(A20209, ""en"", ""mt"")"),"Storja tal-istazzjonar fuq il-bieb")</f>
        <v>Storja tal-istazzjonar fuq il-bieb</v>
      </c>
    </row>
    <row r="20210" ht="15.75" customHeight="1">
      <c r="A20210" s="2" t="s">
        <v>20210</v>
      </c>
      <c r="B20210" s="2" t="str">
        <f>IFERROR(__xludf.DUMMYFUNCTION("GOOGLETRANSLATE(A20210, ""en"", ""mt"")"),"Kif u meta għamlet l-ewwel varjant ta 'y. Pestis tidħol fl-Ewropa?")</f>
        <v>Kif u meta għamlet l-ewwel varjant ta 'y. Pestis tidħol fl-Ewropa?</v>
      </c>
    </row>
    <row r="20211" ht="15.75" customHeight="1">
      <c r="A20211" s="2" t="s">
        <v>20211</v>
      </c>
      <c r="B20211" s="2" t="str">
        <f>IFERROR(__xludf.DUMMYFUNCTION("GOOGLETRANSLATE(A20211, ""en"", ""mt"")"),"Il-kunċett ta 'numru ewlieni huwa tant importanti li ġie ġeneralizzat b'modi differenti f'diversi fergħat tal-matematika. Ġeneralment, ""prim"" jindika minimalità jew indekompożizzjoni, f'sens xieraq. Pereżempju, il-qasam ewlieni huwa l-iżgħar subfield ta"&amp;" 'qasam F li fih kemm 0 u 1. Huwa jew Q jew il-qasam finit b'elementi P, minn fejn l-isem. Ħafna drabi t-tieni, tifsira addizzjonali hija maħsuba billi tuża l-kelma prim, jiġifieri li kwalunkwe oġġett jista 'jkun, essenzjalment b'mod uniku, dekompost fil-"&amp;"komponenti ewlenin tiegħu. Pereżempju, fit-teorija tal-għoqda, għoqda ewlenija hija għoqda li hija indekkomponi fis-sens li ma tistax tinkiteb bħala s-somma tal-għoqda ta 'żewġ għoqod mhux privati. Kull għoqda tista 'tiġi espressa b'mod uniku bħala somma "&amp;"konnessa ta' għoqod ewlenin. Mudelli ewlenin u 3-manifolds ewlenin huma eżempji oħra ta 'dan it-tip.")</f>
        <v>Il-kunċett ta 'numru ewlieni huwa tant importanti li ġie ġeneralizzat b'modi differenti f'diversi fergħat tal-matematika. Ġeneralment, "prim" jindika minimalità jew indekompożizzjoni, f'sens xieraq. Pereżempju, il-qasam ewlieni huwa l-iżgħar subfield ta 'qasam F li fih kemm 0 u 1. Huwa jew Q jew il-qasam finit b'elementi P, minn fejn l-isem. Ħafna drabi t-tieni, tifsira addizzjonali hija maħsuba billi tuża l-kelma prim, jiġifieri li kwalunkwe oġġett jista 'jkun, essenzjalment b'mod uniku, dekompost fil-komponenti ewlenin tiegħu. Pereżempju, fit-teorija tal-għoqda, għoqda ewlenija hija għoqda li hija indekkomponi fis-sens li ma tistax tinkiteb bħala s-somma tal-għoqda ta 'żewġ għoqod mhux privati. Kull għoqda tista 'tiġi espressa b'mod uniku bħala somma konnessa ta' għoqod ewlenin. Mudelli ewlenin u 3-manifolds ewlenin huma eżempji oħra ta 'dan it-tip.</v>
      </c>
    </row>
    <row r="20212" ht="15.75" customHeight="1">
      <c r="A20212" s="2" t="s">
        <v>20212</v>
      </c>
      <c r="B20212" s="2" t="str">
        <f>IFERROR(__xludf.DUMMYFUNCTION("GOOGLETRANSLATE(A20212, ""en"", ""mt"")"),"Dewweb (magma u / jew lava)")</f>
        <v>Dewweb (magma u / jew lava)</v>
      </c>
    </row>
    <row r="20213" ht="15.75" customHeight="1">
      <c r="A20213" s="2" t="s">
        <v>20213</v>
      </c>
      <c r="B20213" s="2" t="str">
        <f>IFERROR(__xludf.DUMMYFUNCTION("GOOGLETRANSLATE(A20213, ""en"", ""mt"")"),"Buena Vista Televiżjoni Internazzjonali")</f>
        <v>Buena Vista Televiżjoni Internazzjonali</v>
      </c>
    </row>
    <row r="20214" ht="15.75" customHeight="1">
      <c r="A20214" s="2" t="s">
        <v>20214</v>
      </c>
      <c r="B20214" s="2" t="str">
        <f>IFERROR(__xludf.DUMMYFUNCTION("GOOGLETRANSLATE(A20214, ""en"", ""mt"")"),"Kombustjoni spontanja")</f>
        <v>Kombustjoni spontanja</v>
      </c>
    </row>
    <row r="20215" ht="15.75" customHeight="1">
      <c r="A20215" s="2" t="s">
        <v>20215</v>
      </c>
      <c r="B20215" s="2" t="str">
        <f>IFERROR(__xludf.DUMMYFUNCTION("GOOGLETRANSLATE(A20215, ""en"", ""mt"")"),"Dikjarazzjoni ta 'żewġ paġni")</f>
        <v>Dikjarazzjoni ta 'żewġ paġni</v>
      </c>
    </row>
    <row r="20216" ht="15.75" customHeight="1">
      <c r="A20216" s="2" t="s">
        <v>20216</v>
      </c>
      <c r="B20216" s="2" t="str">
        <f>IFERROR(__xludf.DUMMYFUNCTION("GOOGLETRANSLATE(A20216, ""en"", ""mt"")"),"Analiżi mikroskopika")</f>
        <v>Analiżi mikroskopika</v>
      </c>
    </row>
    <row r="20217" ht="15.75" customHeight="1">
      <c r="A20217" s="2" t="s">
        <v>20217</v>
      </c>
      <c r="B20217" s="2" t="str">
        <f>IFERROR(__xludf.DUMMYFUNCTION("GOOGLETRANSLATE(A20217, ""en"", ""mt"")"),"regoli li jmorru kontra l-moralità")</f>
        <v>regoli li jmorru kontra l-moralità</v>
      </c>
    </row>
    <row r="20218" ht="15.75" customHeight="1">
      <c r="A20218" s="2" t="s">
        <v>20218</v>
      </c>
      <c r="B20218" s="2" t="str">
        <f>IFERROR(__xludf.DUMMYFUNCTION("GOOGLETRANSLATE(A20218, ""en"", ""mt"")"),"Meta ġew imħabbra ż-żewġ finalisti għall-akkoljenza Super Bowl 50?")</f>
        <v>Meta ġew imħabbra ż-żewġ finalisti għall-akkoljenza Super Bowl 50?</v>
      </c>
    </row>
    <row r="20219" ht="15.75" customHeight="1">
      <c r="A20219" s="2" t="s">
        <v>20219</v>
      </c>
      <c r="B20219" s="2" t="str">
        <f>IFERROR(__xludf.DUMMYFUNCTION("GOOGLETRANSLATE(A20219, ""en"", ""mt"")"),"salamun chum")</f>
        <v>salamun chum</v>
      </c>
    </row>
    <row r="20220" ht="15.75" customHeight="1">
      <c r="A20220" s="2" t="s">
        <v>20220</v>
      </c>
      <c r="B20220" s="2" t="str">
        <f>IFERROR(__xludf.DUMMYFUNCTION("GOOGLETRANSLATE(A20220, ""en"", ""mt"")"),"Meta l-kloroplasti jipproduċu sinjali tad-difiża?")</f>
        <v>Meta l-kloroplasti jipproduċu sinjali tad-difiża?</v>
      </c>
    </row>
    <row r="20221" ht="15.75" customHeight="1">
      <c r="A20221" s="2" t="s">
        <v>20221</v>
      </c>
      <c r="B20221" s="2" t="str">
        <f>IFERROR(__xludf.DUMMYFUNCTION("GOOGLETRANSLATE(A20221, ""en"", ""mt"")"),"Liema molekuli jaġixxu bħala sinjali tad-difiża?")</f>
        <v>Liema molekuli jaġixxu bħala sinjali tad-difiża?</v>
      </c>
    </row>
    <row r="20222" ht="15.75" customHeight="1">
      <c r="A20222" s="2" t="s">
        <v>20222</v>
      </c>
      <c r="B20222" s="2" t="str">
        <f>IFERROR(__xludf.DUMMYFUNCTION("GOOGLETRANSLATE(A20222, ""en"", ""mt"")"),"10")</f>
        <v>10</v>
      </c>
    </row>
    <row r="20223" ht="15.75" customHeight="1">
      <c r="A20223" s="2" t="s">
        <v>20223</v>
      </c>
      <c r="B20223" s="2" t="str">
        <f>IFERROR(__xludf.DUMMYFUNCTION("GOOGLETRANSLATE(A20223, ""en"", ""mt"")"),"Meta dawn il-kolonizzaturi ġew naturalizzati bħala kolonisti Ingliżi?")</f>
        <v>Meta dawn il-kolonizzaturi ġew naturalizzati bħala kolonisti Ingliżi?</v>
      </c>
    </row>
    <row r="20224" ht="15.75" customHeight="1">
      <c r="A20224" s="2" t="s">
        <v>20224</v>
      </c>
      <c r="B20224" s="2" t="str">
        <f>IFERROR(__xludf.DUMMYFUNCTION("GOOGLETRANSLATE(A20224, ""en"", ""mt"")"),"430 QK")</f>
        <v>430 QK</v>
      </c>
    </row>
    <row r="20225" ht="15.75" customHeight="1">
      <c r="A20225" s="2" t="s">
        <v>20225</v>
      </c>
      <c r="B20225" s="2" t="str">
        <f>IFERROR(__xludf.DUMMYFUNCTION("GOOGLETRANSLATE(A20225, ""en"", ""mt"")"),"Konsorzju mmexxi mill-Istitut Internazzjonali tar-Riċerka dwar l-Uċuħ għat-Tropiċi semi-aridi (ICRISAT) kellu xi suċċess biex jgħin lill-bdiewa jikbru varjetajiet ġodda tal-piżelli tal-ħamiem, minflok il-qamħirrum, f'żoni partikolarment niexfa. Il-piżelli"&amp;" tal-ħamiem huma reżistenti għan-nixfa ħafna, u għalhekk jistgħu jitkabbru f'żoni b'inqas minn 650 mm xita annwali. Proġetti suċċessivi ħeġġew il-kummerċjalizzazzjoni tal-legumi, billi stimulaw it-tkabbir tal-produzzjoni lokali taż-żerriegħa u n-netwerks "&amp;"agro-negozjanti għad-distribuzzjoni u l-kummerċjalizzazzjoni. Dan ix-xogħol, li kien jinkludi l-konnessjoni tal-produtturi ma 'bejjiegħa bl-ingrossa, għen biex jiżdiedu l-prezzijiet tal-produtturi lokali b'20-25% f'Nairobi u Mombasa. Il-kummerċjalizzazzjo"&amp;"ni tal-piżelli tal-ħamiem issa tippermetti lil xi bdiewa jixtru assi, li jvarjaw minn telefowns ċellulari għal art produttiva u bhejjem, u qed tiftaħ mogħdijiet biex dawn joħorġu mill-faqar.")</f>
        <v>Konsorzju mmexxi mill-Istitut Internazzjonali tar-Riċerka dwar l-Uċuħ għat-Tropiċi semi-aridi (ICRISAT) kellu xi suċċess biex jgħin lill-bdiewa jikbru varjetajiet ġodda tal-piżelli tal-ħamiem, minflok il-qamħirrum, f'żoni partikolarment niexfa. Il-piżelli tal-ħamiem huma reżistenti għan-nixfa ħafna, u għalhekk jistgħu jitkabbru f'żoni b'inqas minn 650 mm xita annwali. Proġetti suċċessivi ħeġġew il-kummerċjalizzazzjoni tal-legumi, billi stimulaw it-tkabbir tal-produzzjoni lokali taż-żerriegħa u n-netwerks agro-negozjanti għad-distribuzzjoni u l-kummerċjalizzazzjoni. Dan ix-xogħol, li kien jinkludi l-konnessjoni tal-produtturi ma 'bejjiegħa bl-ingrossa, għen biex jiżdiedu l-prezzijiet tal-produtturi lokali b'20-25% f'Nairobi u Mombasa. Il-kummerċjalizzazzjoni tal-piżelli tal-ħamiem issa tippermetti lil xi bdiewa jixtru assi, li jvarjaw minn telefowns ċellulari għal art produttiva u bhejjem, u qed tiftaħ mogħdijiet biex dawn joħorġu mill-faqar.</v>
      </c>
    </row>
    <row r="20226" ht="15.75" customHeight="1">
      <c r="A20226" s="2" t="s">
        <v>20226</v>
      </c>
      <c r="B20226" s="2" t="str">
        <f>IFERROR(__xludf.DUMMYFUNCTION("GOOGLETRANSLATE(A20226, ""en"", ""mt"")"),"Ħafna mill-istess deċiżjonijiet u prinċipji li japplikaw f'investigazzjonijiet kriminali oħra")</f>
        <v>Ħafna mill-istess deċiżjonijiet u prinċipji li japplikaw f'investigazzjonijiet kriminali oħra</v>
      </c>
    </row>
    <row r="20227" ht="15.75" customHeight="1">
      <c r="A20227" s="2" t="s">
        <v>20227</v>
      </c>
      <c r="B20227" s="2" t="str">
        <f>IFERROR(__xludf.DUMMYFUNCTION("GOOGLETRANSLATE(A20227, ""en"", ""mt"")"),"Il-membrana doppja tal-kloroplast hija wkoll spiss imqabbla mal-membrana doppja mitokondrijali. Dan mhuwiex paragun validu - il-membrana tal-mitokondrija ta 'ġewwa tintuża biex tmexxi pompi tal-protoni u twettaq fosforilazzjoni ossidattiva biex tiġġenera "&amp;"l-enerġija ATP. L-unika struttura tal-kloroplast li tista 'titqies analoga għaliha hija s-sistema interna tat-tilakoid. Anke hekk, f'termini ta '""in-out"", id-direzzjoni tal-fluss tal-joni tal-kloroplast H + tinsab fid-direzzjoni opposta meta mqabbla mal"&amp;"-fosforilazzjoni ossidattiva fil-mitokondrija. Barra minn hekk, f'termini ta 'funzjoni, il-membrana tal-kloroplast ta' ġewwa, li tirregola l-passaġġ tal-metaboliti u tissintetizza xi materjali, m'għandha l-ebda kontroparti fil-mitokondrion.")</f>
        <v>Il-membrana doppja tal-kloroplast hija wkoll spiss imqabbla mal-membrana doppja mitokondrijali. Dan mhuwiex paragun validu - il-membrana tal-mitokondrija ta 'ġewwa tintuża biex tmexxi pompi tal-protoni u twettaq fosforilazzjoni ossidattiva biex tiġġenera l-enerġija ATP. L-unika struttura tal-kloroplast li tista 'titqies analoga għaliha hija s-sistema interna tat-tilakoid. Anke hekk, f'termini ta '"in-out", id-direzzjoni tal-fluss tal-joni tal-kloroplast H + tinsab fid-direzzjoni opposta meta mqabbla mal-fosforilazzjoni ossidattiva fil-mitokondrija. Barra minn hekk, f'termini ta 'funzjoni, il-membrana tal-kloroplast ta' ġewwa, li tirregola l-passaġġ tal-metaboliti u tissintetizza xi materjali, m'għandha l-ebda kontroparti fil-mitokondrion.</v>
      </c>
    </row>
    <row r="20228" ht="15.75" customHeight="1">
      <c r="A20228" s="2" t="s">
        <v>20228</v>
      </c>
      <c r="B20228" s="2" t="str">
        <f>IFERROR(__xludf.DUMMYFUNCTION("GOOGLETRANSLATE(A20228, ""en"", ""mt"")"),"Guo Shoujing applika l-matematika għall-kostruzzjoni ta 'kalendarji. Huwa kien wieħed mill-ewwel matematiċi fiċ-Ċina biex jaħdem fuq trigonometrija sferika. Gou ħareġ formula ta 'interpolazzjoni kubika għall-kalkoli astronomiċi tiegħu. Il-kalendarju tiegħ"&amp;"u, il-Shoushi Li (授時暦) jew il-kalendarju għall-iffissar tal-istaġuni, ġie mxerred fl-1281 bħala l-kalendarju uffiċjali tad-dinastija Yuan. Il-kalendarju seta ’kien influwenzat biss mix-xogħol tal-astronomu tad-dinastija tal-kanzunetta Shen Kuo jew possibi"&amp;"lment mix-xogħol tal-astronomi Għarab. M'hemm l-ebda sinjali espliċiti ta 'influwenzi Musulmani fil-kalendarju ta' Shoushi, iżda l-ħakkiema Mongoljani kienu magħrufa li huma interessati fil-kalendarji Musulmani. L-għarfien matematiku mill-Lvant Nofsani ġi"&amp;"e introdott fiċ-Ċina taħt il-Mongoli, u l-astronomi Musulmani ġabu numri Għarbi fiċ-Ċina fis-seklu 13.")</f>
        <v>Guo Shoujing applika l-matematika għall-kostruzzjoni ta 'kalendarji. Huwa kien wieħed mill-ewwel matematiċi fiċ-Ċina biex jaħdem fuq trigonometrija sferika. Gou ħareġ formula ta 'interpolazzjoni kubika għall-kalkoli astronomiċi tiegħu. Il-kalendarju tiegħu, il-Shoushi Li (授時暦) jew il-kalendarju għall-iffissar tal-istaġuni, ġie mxerred fl-1281 bħala l-kalendarju uffiċjali tad-dinastija Yuan. Il-kalendarju seta ’kien influwenzat biss mix-xogħol tal-astronomu tad-dinastija tal-kanzunetta Shen Kuo jew possibilment mix-xogħol tal-astronomi Għarab. M'hemm l-ebda sinjali espliċiti ta 'influwenzi Musulmani fil-kalendarju ta' Shoushi, iżda l-ħakkiema Mongoljani kienu magħrufa li huma interessati fil-kalendarji Musulmani. L-għarfien matematiku mill-Lvant Nofsani ġie introdott fiċ-Ċina taħt il-Mongoli, u l-astronomi Musulmani ġabu numri Għarbi fiċ-Ċina fis-seklu 13.</v>
      </c>
    </row>
    <row r="20229" ht="15.75" customHeight="1">
      <c r="A20229" s="2" t="s">
        <v>20229</v>
      </c>
      <c r="B20229" s="2" t="str">
        <f>IFERROR(__xludf.DUMMYFUNCTION("GOOGLETRANSLATE(A20229, ""en"", ""mt"")"),"L-università hija organizzata fi ħdax-il unità akkademika separati - għaxar fakultajiet u l-Istitut Radcliffe għal Studju Avvanzat - bil-kampus fiż-żona metropolitana ta 'Boston: il-kampus ewlieni ta' 209-acre (85 ettaru) tiegħu huwa ċċentrat fuq Harvard "&amp;"Yard f'Cambridge, madwar 3 mili (madwar 3 mili ( 5 km) fil-majjistral ta 'Boston; L-iskola tan-negozju u l-faċilitajiet tal-atletika, inkluż Harvard Stadium, jinsabu madwar ix-Xmara Charles fil-viċinat ta 'Allston ta' Boston u l-iskejjel mediċi, dentali u"&amp;" tas-saħħa pubblika jinsabu fiż-żona medika ta 'Longwood. Id-dotazzjoni finanzjarja ta '$ 37.6 biljun ta' Harvard hija l-akbar waħda minn kull istituzzjoni akkademika.")</f>
        <v>L-università hija organizzata fi ħdax-il unità akkademika separati - għaxar fakultajiet u l-Istitut Radcliffe għal Studju Avvanzat - bil-kampus fiż-żona metropolitana ta 'Boston: il-kampus ewlieni ta' 209-acre (85 ettaru) tiegħu huwa ċċentrat fuq Harvard Yard f'Cambridge, madwar 3 mili (madwar 3 mili ( 5 km) fil-majjistral ta 'Boston; L-iskola tan-negozju u l-faċilitajiet tal-atletika, inkluż Harvard Stadium, jinsabu madwar ix-Xmara Charles fil-viċinat ta 'Allston ta' Boston u l-iskejjel mediċi, dentali u tas-saħħa pubblika jinsabu fiż-żona medika ta 'Longwood. Id-dotazzjoni finanzjarja ta '$ 37.6 biljun ta' Harvard hija l-akbar waħda minn kull istituzzjoni akkademika.</v>
      </c>
    </row>
    <row r="20230" ht="15.75" customHeight="1">
      <c r="A20230" s="2" t="s">
        <v>20230</v>
      </c>
      <c r="B20230" s="2" t="str">
        <f>IFERROR(__xludf.DUMMYFUNCTION("GOOGLETRANSLATE(A20230, ""en"", ""mt"")"),"Papa Leo x")</f>
        <v>Papa Leo x</v>
      </c>
    </row>
    <row r="20231" ht="15.75" customHeight="1">
      <c r="A20231" s="2" t="s">
        <v>20231</v>
      </c>
      <c r="B20231" s="2" t="str">
        <f>IFERROR(__xludf.DUMMYFUNCTION("GOOGLETRANSLATE(A20231, ""en"", ""mt"")"),"X’sejjaħ lil Johann Eck lil Luther?")</f>
        <v>X’sejjaħ lil Johann Eck lil Luther?</v>
      </c>
    </row>
    <row r="20232" ht="15.75" customHeight="1">
      <c r="A20232" s="2" t="s">
        <v>20232</v>
      </c>
      <c r="B20232" s="2" t="str">
        <f>IFERROR(__xludf.DUMMYFUNCTION("GOOGLETRANSLATE(A20232, ""en"", ""mt"")"),"Invaginazzjonijiet li jiffurmaw kannizzata ta 'tubi fl-istoma tagħhom")</f>
        <v>Invaginazzjonijiet li jiffurmaw kannizzata ta 'tubi fl-istoma tagħhom</v>
      </c>
    </row>
    <row r="20233" ht="15.75" customHeight="1">
      <c r="A20233" s="2" t="s">
        <v>20233</v>
      </c>
      <c r="B20233" s="2" t="str">
        <f>IFERROR(__xludf.DUMMYFUNCTION("GOOGLETRANSLATE(A20233, ""en"", ""mt"")"),"Bħal ħafna mir-reġjun tal-Atlantiku tan-Nofsinhar ta 'l-Istati Uniti, Jacksonville għandu klima subtropikali umda (Köppen CFA), bi temp ħafif waqt ix-xtiewi u temp sħun u umdu matul is-sjuf. Ix-xita staġjonali hija kkonċentrata fl-iktar xhur sħan minn Mej"&amp;"ju sa Settembru, filwaqt li x-xhur l-aktar niexfa huma minn Novembru sa April. Minħabba l-latitudni baxxa u l-post kostali ta 'Jacksonville, il-belt tara ftit temp kiesaħ, u x-xtiewi huma tipikament ħfief u xemxija. Is-Sjuf jistgħu jkunu sħan u mxarrba, u"&amp;" l-maltempati tas-sajf bi tnaqqis fil-qosor iżda qosra huma komuni.")</f>
        <v>Bħal ħafna mir-reġjun tal-Atlantiku tan-Nofsinhar ta 'l-Istati Uniti, Jacksonville għandu klima subtropikali umda (Köppen CFA), bi temp ħafif waqt ix-xtiewi u temp sħun u umdu matul is-sjuf. Ix-xita staġjonali hija kkonċentrata fl-iktar xhur sħan minn Mejju sa Settembru, filwaqt li x-xhur l-aktar niexfa huma minn Novembru sa April. Minħabba l-latitudni baxxa u l-post kostali ta 'Jacksonville, il-belt tara ftit temp kiesaħ, u x-xtiewi huma tipikament ħfief u xemxija. Is-Sjuf jistgħu jkunu sħan u mxarrba, u l-maltempati tas-sajf bi tnaqqis fil-qosor iżda qosra huma komuni.</v>
      </c>
    </row>
    <row r="20234" ht="15.75" customHeight="1">
      <c r="A20234" s="2" t="s">
        <v>20234</v>
      </c>
      <c r="B20234" s="2" t="str">
        <f>IFERROR(__xludf.DUMMYFUNCTION("GOOGLETRANSLATE(A20234, ""en"", ""mt"")"),"Min tilef lill-Broncos fir-rawnd diviżjonali?")</f>
        <v>Min tilef lill-Broncos fir-rawnd diviżjonali?</v>
      </c>
    </row>
    <row r="20235" ht="15.75" customHeight="1">
      <c r="A20235" s="2" t="s">
        <v>20235</v>
      </c>
      <c r="B20235" s="2" t="str">
        <f>IFERROR(__xludf.DUMMYFUNCTION("GOOGLETRANSLATE(A20235, ""en"", ""mt"")"),"Min iddisinja s-Sala tad-Dħul u Rotunda?")</f>
        <v>Min iddisinja s-Sala tad-Dħul u Rotunda?</v>
      </c>
    </row>
    <row r="20236" ht="15.75" customHeight="1">
      <c r="A20236" s="2" t="s">
        <v>20236</v>
      </c>
      <c r="B20236" s="2" t="str">
        <f>IFERROR(__xludf.DUMMYFUNCTION("GOOGLETRANSLATE(A20236, ""en"", ""mt"")"),"X'kien l-isem tas-setup tal-fond biex jgħin fl-investiment fil-komunità?")</f>
        <v>X'kien l-isem tas-setup tal-fond biex jgħin fl-investiment fil-komunità?</v>
      </c>
    </row>
    <row r="20237" ht="15.75" customHeight="1">
      <c r="A20237" s="2" t="s">
        <v>20237</v>
      </c>
      <c r="B20237" s="2" t="str">
        <f>IFERROR(__xludf.DUMMYFUNCTION("GOOGLETRANSLATE(A20237, ""en"", ""mt"")"),"Salm 130")</f>
        <v>Salm 130</v>
      </c>
    </row>
    <row r="20238" ht="15.75" customHeight="1">
      <c r="A20238" s="2" t="s">
        <v>20238</v>
      </c>
      <c r="B20238" s="2" t="str">
        <f>IFERROR(__xludf.DUMMYFUNCTION("GOOGLETRANSLATE(A20238, ""en"", ""mt"")"),"Liema politika tat id-dominanza tal-Gran Brittanja fil-kummerċ dinji?")</f>
        <v>Liema politika tat id-dominanza tal-Gran Brittanja fil-kummerċ dinji?</v>
      </c>
    </row>
    <row r="20239" ht="15.75" customHeight="1">
      <c r="A20239" s="2" t="s">
        <v>20239</v>
      </c>
      <c r="B20239" s="2" t="str">
        <f>IFERROR(__xludf.DUMMYFUNCTION("GOOGLETRANSLATE(A20239, ""en"", ""mt"")"),"Mustang i")</f>
        <v>Mustang i</v>
      </c>
    </row>
    <row r="20240" ht="15.75" customHeight="1">
      <c r="A20240" s="2" t="s">
        <v>20240</v>
      </c>
      <c r="B20240" s="2" t="str">
        <f>IFERROR(__xludf.DUMMYFUNCTION("GOOGLETRANSLATE(A20240, ""en"", ""mt"")"),"Meta twaqqfet id-Dukat tan-Normandija?")</f>
        <v>Meta twaqqfet id-Dukat tan-Normandija?</v>
      </c>
    </row>
    <row r="20241" ht="15.75" customHeight="1">
      <c r="A20241" s="2" t="s">
        <v>20241</v>
      </c>
      <c r="B20241" s="2" t="str">
        <f>IFERROR(__xludf.DUMMYFUNCTION("GOOGLETRANSLATE(A20241, ""en"", ""mt"")"),"S-band")</f>
        <v>S-band</v>
      </c>
    </row>
    <row r="20242" ht="15.75" customHeight="1">
      <c r="A20242" s="2" t="s">
        <v>20242</v>
      </c>
      <c r="B20242" s="2" t="str">
        <f>IFERROR(__xludf.DUMMYFUNCTION("GOOGLETRANSLATE(A20242, ""en"", ""mt"")"),"Dipartiment tal-Edukazzjoni tar-Rabat")</f>
        <v>Dipartiment tal-Edukazzjoni tar-Rabat</v>
      </c>
    </row>
    <row r="20243" ht="15.75" customHeight="1">
      <c r="A20243" s="2" t="s">
        <v>20243</v>
      </c>
      <c r="B20243" s="2" t="str">
        <f>IFERROR(__xludf.DUMMYFUNCTION("GOOGLETRANSLATE(A20243, ""en"", ""mt"")"),"1832.")</f>
        <v>1832.</v>
      </c>
    </row>
    <row r="20244" ht="15.75" customHeight="1">
      <c r="A20244" s="2" t="s">
        <v>20244</v>
      </c>
      <c r="B20244" s="2" t="str">
        <f>IFERROR(__xludf.DUMMYFUNCTION("GOOGLETRANSLATE(A20244, ""en"", ""mt"")"),"Liema jum tal-ġimgħa jsiru l-elezzjonijiet ġenerali?")</f>
        <v>Liema jum tal-ġimgħa jsiru l-elezzjonijiet ġenerali?</v>
      </c>
    </row>
    <row r="20245" ht="15.75" customHeight="1">
      <c r="A20245" s="2" t="s">
        <v>20245</v>
      </c>
      <c r="B20245" s="2" t="str">
        <f>IFERROR(__xludf.DUMMYFUNCTION("GOOGLETRANSLATE(A20245, ""en"", ""mt"")"),"Super Bowl City ""infetħet")</f>
        <v>Super Bowl City "infetħet</v>
      </c>
    </row>
    <row r="20246" ht="15.75" customHeight="1">
      <c r="A20246" s="2" t="s">
        <v>20246</v>
      </c>
      <c r="B20246" s="2" t="str">
        <f>IFERROR(__xludf.DUMMYFUNCTION("GOOGLETRANSLATE(A20246, ""en"", ""mt"")"),"repulsjoni ta 'ħlasijiet simili")</f>
        <v>repulsjoni ta 'ħlasijiet simili</v>
      </c>
    </row>
    <row r="20247" ht="15.75" customHeight="1">
      <c r="A20247" s="2" t="s">
        <v>20247</v>
      </c>
      <c r="B20247" s="2" t="str">
        <f>IFERROR(__xludf.DUMMYFUNCTION("GOOGLETRANSLATE(A20247, ""en"", ""mt"")"),"fidi profetika")</f>
        <v>fidi profetika</v>
      </c>
    </row>
    <row r="20248" ht="15.75" customHeight="1">
      <c r="A20248" s="2" t="s">
        <v>20248</v>
      </c>
      <c r="B20248" s="2" t="str">
        <f>IFERROR(__xludf.DUMMYFUNCTION("GOOGLETRANSLATE(A20248, ""en"", ""mt"")"),"It-Taliban")</f>
        <v>It-Taliban</v>
      </c>
    </row>
    <row r="20249" ht="15.75" customHeight="1">
      <c r="A20249" s="2" t="s">
        <v>20249</v>
      </c>
      <c r="B20249" s="2" t="str">
        <f>IFERROR(__xludf.DUMMYFUNCTION("GOOGLETRANSLATE(A20249, ""en"", ""mt"")"),"Kif reċentement ġew restawrati d-djar fi Fresno?")</f>
        <v>Kif reċentement ġew restawrati d-djar fi Fresno?</v>
      </c>
    </row>
    <row r="20250" ht="15.75" customHeight="1">
      <c r="A20250" s="2" t="s">
        <v>20250</v>
      </c>
      <c r="B20250" s="2" t="str">
        <f>IFERROR(__xludf.DUMMYFUNCTION("GOOGLETRANSLATE(A20250, ""en"", ""mt"")"),"Ħiliet tal-ħajja")</f>
        <v>Ħiliet tal-ħajja</v>
      </c>
    </row>
    <row r="20251" ht="15.75" customHeight="1">
      <c r="A20251" s="2" t="s">
        <v>20251</v>
      </c>
      <c r="B20251" s="2" t="str">
        <f>IFERROR(__xludf.DUMMYFUNCTION("GOOGLETRANSLATE(A20251, ""en"", ""mt"")"),"CYP27B1")</f>
        <v>CYP27B1</v>
      </c>
    </row>
    <row r="20252" ht="15.75" customHeight="1">
      <c r="A20252" s="2" t="s">
        <v>20252</v>
      </c>
      <c r="B20252" s="2" t="str">
        <f>IFERROR(__xludf.DUMMYFUNCTION("GOOGLETRANSLATE(A20252, ""en"", ""mt"")"),"Fl-1926, Tesla kkummentat dwar il-mard tas-sussistenza soċjali tan-nisa u t-taqbida tan-nisa lejn l-ugwaljanza bejn is-sessi, u indika li l-futur tal-umanità se jitmexxa minn ""naħal reġina."" Huwa emmen li n-nisa kienu se jsiru s-sess dominanti fil-futur"&amp;".")</f>
        <v>Fl-1926, Tesla kkummentat dwar il-mard tas-sussistenza soċjali tan-nisa u t-taqbida tan-nisa lejn l-ugwaljanza bejn is-sessi, u indika li l-futur tal-umanità se jitmexxa minn "naħal reġina." Huwa emmen li n-nisa kienu se jsiru s-sess dominanti fil-futur.</v>
      </c>
    </row>
    <row r="20253" ht="15.75" customHeight="1">
      <c r="A20253" s="2" t="s">
        <v>20253</v>
      </c>
      <c r="B20253" s="2" t="str">
        <f>IFERROR(__xludf.DUMMYFUNCTION("GOOGLETRANSLATE(A20253, ""en"", ""mt"")"),"Tesla sfurzat barra")</f>
        <v>Tesla sfurzat barra</v>
      </c>
    </row>
    <row r="20254" ht="15.75" customHeight="1">
      <c r="A20254" s="2" t="s">
        <v>20254</v>
      </c>
      <c r="B20254" s="2" t="str">
        <f>IFERROR(__xludf.DUMMYFUNCTION("GOOGLETRANSLATE(A20254, ""en"", ""mt"")"),"In-Netwerk tad-Dejta Qaleb Pubbliku Mħaddem mill-PTT Telecom Olandiż")</f>
        <v>In-Netwerk tad-Dejta Qaleb Pubbliku Mħaddem mill-PTT Telecom Olandiż</v>
      </c>
    </row>
    <row r="20255" ht="15.75" customHeight="1">
      <c r="A20255" s="2" t="s">
        <v>20255</v>
      </c>
      <c r="B20255" s="2" t="str">
        <f>IFERROR(__xludf.DUMMYFUNCTION("GOOGLETRANSLATE(A20255, ""en"", ""mt"")"),"Min lagħab quarterback għall-Broncos wara li Peyton Manning ġie mbattal?")</f>
        <v>Min lagħab quarterback għall-Broncos wara li Peyton Manning ġie mbattal?</v>
      </c>
    </row>
    <row r="20256" ht="15.75" customHeight="1">
      <c r="A20256" s="2" t="s">
        <v>20256</v>
      </c>
      <c r="B20256" s="2" t="str">
        <f>IFERROR(__xludf.DUMMYFUNCTION("GOOGLETRANSLATE(A20256, ""en"", ""mt"")"),"Meta Upt Bough ABC, kif kienet imsejħa l-kumpanija magħquda?")</f>
        <v>Meta Upt Bough ABC, kif kienet imsejħa l-kumpanija magħquda?</v>
      </c>
    </row>
    <row r="20257" ht="15.75" customHeight="1">
      <c r="A20257" s="2" t="s">
        <v>20257</v>
      </c>
      <c r="B20257" s="2" t="str">
        <f>IFERROR(__xludf.DUMMYFUNCTION("GOOGLETRANSLATE(A20257, ""en"", ""mt"")"),"Jacksonville, _florida")</f>
        <v>Jacksonville, _florida</v>
      </c>
    </row>
    <row r="20258" ht="15.75" customHeight="1">
      <c r="A20258" s="2" t="s">
        <v>20258</v>
      </c>
      <c r="B20258" s="2" t="str">
        <f>IFERROR(__xludf.DUMMYFUNCTION("GOOGLETRANSLATE(A20258, ""en"", ""mt"")"),"Kif kienu jissejħu l-gwerer ċivili kkawżati mill-Huguenots?")</f>
        <v>Kif kienu jissejħu l-gwerer ċivili kkawżati mill-Huguenots?</v>
      </c>
    </row>
    <row r="20259" ht="15.75" customHeight="1">
      <c r="A20259" s="2" t="s">
        <v>20259</v>
      </c>
      <c r="B20259" s="2" t="str">
        <f>IFERROR(__xludf.DUMMYFUNCTION("GOOGLETRANSLATE(A20259, ""en"", ""mt"")"),"Uħud mill-eqdem skejjel fl-Afrika t'Isfel huma skejjel tal-knisja privata li ġew stabbiliti minn missjunarji fil-bidu tas-seklu dsatax. Is-settur privat kiber minn dakinhar. Wara l-abolizzjoni tal-apartheid, il-liġijiet li jirregolaw l-edukazzjoni privata"&amp;" fl-Afrika t'Isfel inbidlu b'mod sinifikanti. L-Att dwar l-Iskejjel tal-Afrika t'Isfel tal-1996 jirrikonoxxi żewġ kategoriji ta 'skejjel: ""pubbliċi"" (ikkontrollati mill-istat) u ""indipendenti"" (li jinkludu skejjel u skejjel privati ​​tradizzjonali li "&amp;"huma rregolati privatament [kjarifika meħtieġa].)")</f>
        <v>Uħud mill-eqdem skejjel fl-Afrika t'Isfel huma skejjel tal-knisja privata li ġew stabbiliti minn missjunarji fil-bidu tas-seklu dsatax. Is-settur privat kiber minn dakinhar. Wara l-abolizzjoni tal-apartheid, il-liġijiet li jirregolaw l-edukazzjoni privata fl-Afrika t'Isfel inbidlu b'mod sinifikanti. L-Att dwar l-Iskejjel tal-Afrika t'Isfel tal-1996 jirrikonoxxi żewġ kategoriji ta 'skejjel: "pubbliċi" (ikkontrollati mill-istat) u "indipendenti" (li jinkludu skejjel u skejjel privati ​​tradizzjonali li huma rregolati privatament [kjarifika meħtieġa].)</v>
      </c>
    </row>
    <row r="20260" ht="15.75" customHeight="1">
      <c r="A20260" s="2" t="s">
        <v>20260</v>
      </c>
      <c r="B20260" s="2" t="str">
        <f>IFERROR(__xludf.DUMMYFUNCTION("GOOGLETRANSLATE(A20260, ""en"", ""mt"")"),"Kemm-il darba Luther ippriedka f'Halle fl-1545 u l-1546?")</f>
        <v>Kemm-il darba Luther ippriedka f'Halle fl-1545 u l-1546?</v>
      </c>
    </row>
    <row r="20261" ht="15.75" customHeight="1">
      <c r="A20261" s="2" t="s">
        <v>20261</v>
      </c>
      <c r="B20261" s="2" t="str">
        <f>IFERROR(__xludf.DUMMYFUNCTION("GOOGLETRANSLATE(A20261, ""en"", ""mt"")"),"Liema mill-ġeneraturi futuri tiegħu ngħaqdu ma 'Temüjin madwar iż-żmien tal-ħarba tiegħu mit-Tayichi'ud?")</f>
        <v>Liema mill-ġeneraturi futuri tiegħu ngħaqdu ma 'Temüjin madwar iż-żmien tal-ħarba tiegħu mit-Tayichi'ud?</v>
      </c>
    </row>
    <row r="20262" ht="15.75" customHeight="1">
      <c r="A20262" s="2" t="s">
        <v>20262</v>
      </c>
      <c r="B20262" s="2" t="str">
        <f>IFERROR(__xludf.DUMMYFUNCTION("GOOGLETRANSLATE(A20262, ""en"", ""mt"")"),"Meta l-ipprogrammar sportiv huwa pprovdut minn ABC nhar is-Sibt wara nofsinhar?")</f>
        <v>Meta l-ipprogrammar sportiv huwa pprovdut minn ABC nhar is-Sibt wara nofsinhar?</v>
      </c>
    </row>
    <row r="20263" ht="15.75" customHeight="1">
      <c r="A20263" s="2" t="s">
        <v>20263</v>
      </c>
      <c r="B20263" s="2" t="str">
        <f>IFERROR(__xludf.DUMMYFUNCTION("GOOGLETRANSLATE(A20263, ""en"", ""mt"")"),"Fil-partijiet tan-netwerk tal-kanali interni taħt ir-ringieli tal-moxt")</f>
        <v>Fil-partijiet tan-netwerk tal-kanali interni taħt ir-ringieli tal-moxt</v>
      </c>
    </row>
    <row r="20264" ht="15.75" customHeight="1">
      <c r="A20264" s="2" t="s">
        <v>20264</v>
      </c>
      <c r="B20264" s="2" t="str">
        <f>IFERROR(__xludf.DUMMYFUNCTION("GOOGLETRANSLATE(A20264, ""en"", ""mt"")"),"Xmara Noord")</f>
        <v>Xmara Noord</v>
      </c>
    </row>
    <row r="20265" ht="15.75" customHeight="1">
      <c r="A20265" s="2" t="s">
        <v>20265</v>
      </c>
      <c r="B20265" s="2" t="str">
        <f>IFERROR(__xludf.DUMMYFUNCTION("GOOGLETRANSLATE(A20265, ""en"", ""mt"")"),"minimu")</f>
        <v>minimu</v>
      </c>
    </row>
    <row r="20266" ht="15.75" customHeight="1">
      <c r="A20266" s="2" t="s">
        <v>20266</v>
      </c>
      <c r="B20266" s="2" t="str">
        <f>IFERROR(__xludf.DUMMYFUNCTION("GOOGLETRANSLATE(A20266, ""en"", ""mt"")"),"Meta bdew il-films ABC bdew ibigħu programmi lil netwerks oħra?")</f>
        <v>Meta bdew il-films ABC bdew ibigħu programmi lil netwerks oħra?</v>
      </c>
    </row>
    <row r="20267" ht="15.75" customHeight="1">
      <c r="A20267" s="2" t="s">
        <v>20267</v>
      </c>
      <c r="B20267" s="2" t="str">
        <f>IFERROR(__xludf.DUMMYFUNCTION("GOOGLETRANSLATE(A20267, ""en"", ""mt"")"),"Qabel din il-konsiderazzjoni, meta San Francisco l-aħħar ospita Super Bowl?")</f>
        <v>Qabel din il-konsiderazzjoni, meta San Francisco l-aħħar ospita Super Bowl?</v>
      </c>
    </row>
    <row r="20268" ht="15.75" customHeight="1">
      <c r="A20268" s="2" t="s">
        <v>20268</v>
      </c>
      <c r="B20268" s="2" t="str">
        <f>IFERROR(__xludf.DUMMYFUNCTION("GOOGLETRANSLATE(A20268, ""en"", ""mt"")"),"TCP / IP")</f>
        <v>TCP / IP</v>
      </c>
    </row>
    <row r="20269" ht="15.75" customHeight="1">
      <c r="A20269" s="2" t="s">
        <v>20269</v>
      </c>
      <c r="B20269" s="2" t="str">
        <f>IFERROR(__xludf.DUMMYFUNCTION("GOOGLETRANSLATE(A20269, ""en"", ""mt"")"),"Arpanet u Sita HLN saru operattivi fl-1969. Qabel l-introduzzjoni ta 'X.25 fl-1973, ġew żviluppati madwar għoxrin teknoloġiji differenti tan-netwerk. Żewġ differenzi fundamentali kienu jinvolvu d-diviżjoni tal-funzjonijiet u l-kompiti bejn l-ospiti fit-ta"&amp;"rf tan-netwerk u l-qalba tan-netwerk. Fis-sistema tad-datagramma, l-ospiti għandhom ir-responsabbiltà li jiżguraw twassil ordnat ta 'pakketti. Il-Protokoll tad-Datagramma tal-Utent (UDP) huwa eżempju ta 'protokoll ta' datagramma. Fis-sistema ta 'telefonat"&amp;"i virtwali, in-netwerk jiggarantixxi l-konsenja sekwenzjata ta' dejta lill-host. Dan jirriżulta f'interface ospitanti aktar sempliċi b'inqas funzjonalità milli fil-mudell Datagram. Is-suite tal-protokoll X.25 tuża dan it-tip ta 'netwerk.")</f>
        <v>Arpanet u Sita HLN saru operattivi fl-1969. Qabel l-introduzzjoni ta 'X.25 fl-1973, ġew żviluppati madwar għoxrin teknoloġiji differenti tan-netwerk. Żewġ differenzi fundamentali kienu jinvolvu d-diviżjoni tal-funzjonijiet u l-kompiti bejn l-ospiti fit-tarf tan-netwerk u l-qalba tan-netwerk. Fis-sistema tad-datagramma, l-ospiti għandhom ir-responsabbiltà li jiżguraw twassil ordnat ta 'pakketti. Il-Protokoll tad-Datagramma tal-Utent (UDP) huwa eżempju ta 'protokoll ta' datagramma. Fis-sistema ta 'telefonati virtwali, in-netwerk jiggarantixxi l-konsenja sekwenzjata ta' dejta lill-host. Dan jirriżulta f'interface ospitanti aktar sempliċi b'inqas funzjonalità milli fil-mudell Datagram. Is-suite tal-protokoll X.25 tuża dan it-tip ta 'netwerk.</v>
      </c>
    </row>
    <row r="20270" ht="15.75" customHeight="1">
      <c r="A20270" s="2" t="s">
        <v>20270</v>
      </c>
      <c r="B20270" s="2" t="str">
        <f>IFERROR(__xludf.DUMMYFUNCTION("GOOGLETRANSLATE(A20270, ""en"", ""mt"")"),"Liema Iskrittura uża Luther biex issostni l-opinjoni tiegħu li l-knisja ma kinux infallibbli?")</f>
        <v>Liema Iskrittura uża Luther biex issostni l-opinjoni tiegħu li l-knisja ma kinux infallibbli?</v>
      </c>
    </row>
    <row r="20271" ht="15.75" customHeight="1">
      <c r="A20271" s="2" t="s">
        <v>20271</v>
      </c>
      <c r="B20271" s="2" t="str">
        <f>IFERROR(__xludf.DUMMYFUNCTION("GOOGLETRANSLATE(A20271, ""en"", ""mt"")"),"L-immigranti Huguenot ma xerrdux jew joqogħdu f'partijiet differenti tal-pajjiż, iżda pjuttost, iffurmaw tliet soċjetajiet jew kongregazzjonijiet; Waħda fil-belt ta ’New York, 21 mil ieħor fit-tramuntana ta’ New York f’belt li huma semmew New Rochelle, u "&amp;"t-tielet upstate ieħor fi New Paltz. Id- ""Distrett Storiku ta 'Triq Huguenot"" fi New Paltz ġie nominat sit ta' monument storiku nazzjonali u fih l-eqdem triq fl-Istati Uniti ta 'l-Amerika. Grupp żgħir ta 'Huguenots stabbilixxa wkoll fuq ix-Xatt tan-Nofs"&amp;"inhar ta' Staten Island tul il-Port ta 'New York, li għalih kien imsemmi l-viċinat attwali ta' Huguenot.")</f>
        <v>L-immigranti Huguenot ma xerrdux jew joqogħdu f'partijiet differenti tal-pajjiż, iżda pjuttost, iffurmaw tliet soċjetajiet jew kongregazzjonijiet; Waħda fil-belt ta ’New York, 21 mil ieħor fit-tramuntana ta’ New York f’belt li huma semmew New Rochelle, u t-tielet upstate ieħor fi New Paltz. Id- "Distrett Storiku ta 'Triq Huguenot" fi New Paltz ġie nominat sit ta' monument storiku nazzjonali u fih l-eqdem triq fl-Istati Uniti ta 'l-Amerika. Grupp żgħir ta 'Huguenots stabbilixxa wkoll fuq ix-Xatt tan-Nofsinhar ta' Staten Island tul il-Port ta 'New York, li għalih kien imsemmi l-viċinat attwali ta' Huguenot.</v>
      </c>
    </row>
    <row r="20272" ht="15.75" customHeight="1">
      <c r="A20272" s="2" t="s">
        <v>20272</v>
      </c>
      <c r="B20272" s="2" t="str">
        <f>IFERROR(__xludf.DUMMYFUNCTION("GOOGLETRANSLATE(A20272, ""en"", ""mt"")"),"X'inhu l-forza ta 'reazzjoni tar-rebbiegħa fuq oġġett sospiż fuq skala ta' reazzjoni tar-rebbiegħa?")</f>
        <v>X'inhu l-forza ta 'reazzjoni tar-rebbiegħa fuq oġġett sospiż fuq skala ta' reazzjoni tar-rebbiegħa?</v>
      </c>
    </row>
    <row r="20273" ht="15.75" customHeight="1">
      <c r="A20273" s="2" t="s">
        <v>20273</v>
      </c>
      <c r="B20273" s="2" t="str">
        <f>IFERROR(__xludf.DUMMYFUNCTION("GOOGLETRANSLATE(A20273, ""en"", ""mt"")"),"Kemm seħħew avulsjonijiet fl-aħħar 6000 yeas?")</f>
        <v>Kemm seħħew avulsjonijiet fl-aħħar 6000 yeas?</v>
      </c>
    </row>
    <row r="20274" ht="15.75" customHeight="1">
      <c r="A20274" s="2" t="s">
        <v>20274</v>
      </c>
      <c r="B20274" s="2" t="str">
        <f>IFERROR(__xludf.DUMMYFUNCTION("GOOGLETRANSLATE(A20274, ""en"", ""mt"")"),"igneous, sedimentarju, u metamorfiku")</f>
        <v>igneous, sedimentarju, u metamorfiku</v>
      </c>
    </row>
    <row r="20275" ht="15.75" customHeight="1">
      <c r="A20275" s="2" t="s">
        <v>20275</v>
      </c>
      <c r="B20275" s="2" t="str">
        <f>IFERROR(__xludf.DUMMYFUNCTION("GOOGLETRANSLATE(A20275, ""en"", ""mt"")"),"Side tal-Punent")</f>
        <v>Side tal-Punent</v>
      </c>
    </row>
    <row r="20276" ht="15.75" customHeight="1">
      <c r="A20276" s="2" t="s">
        <v>20276</v>
      </c>
      <c r="B20276" s="2" t="str">
        <f>IFERROR(__xludf.DUMMYFUNCTION("GOOGLETRANSLATE(A20276, ""en"", ""mt"")"),"kloroplasti")</f>
        <v>kloroplasti</v>
      </c>
    </row>
    <row r="20277" ht="15.75" customHeight="1">
      <c r="A20277" s="2" t="s">
        <v>20277</v>
      </c>
      <c r="B20277" s="2" t="str">
        <f>IFERROR(__xludf.DUMMYFUNCTION("GOOGLETRANSLATE(A20277, ""en"", ""mt"")"),"Luther kif iddeskriviet il-massa li kienet meqjusa bħala sagrifiċċju?")</f>
        <v>Luther kif iddeskriviet il-massa li kienet meqjusa bħala sagrifiċċju?</v>
      </c>
    </row>
    <row r="20278" ht="15.75" customHeight="1">
      <c r="A20278" s="2" t="s">
        <v>20278</v>
      </c>
      <c r="B20278" s="2" t="str">
        <f>IFERROR(__xludf.DUMMYFUNCTION("GOOGLETRANSLATE(A20278, ""en"", ""mt"")"),"Corliss")</f>
        <v>Corliss</v>
      </c>
    </row>
    <row r="20279" ht="15.75" customHeight="1">
      <c r="A20279" s="2" t="s">
        <v>20279</v>
      </c>
      <c r="B20279" s="2" t="str">
        <f>IFERROR(__xludf.DUMMYFUNCTION("GOOGLETRANSLATE(A20279, ""en"", ""mt"")"),"Partijiet mill-Ewropa li kellhom relazzjonijiet kummerċjali iżgħar mal-ġirien tagħhom")</f>
        <v>Partijiet mill-Ewropa li kellhom relazzjonijiet kummerċjali iżgħar mal-ġirien tagħhom</v>
      </c>
    </row>
    <row r="20280" ht="15.75" customHeight="1">
      <c r="A20280" s="2" t="s">
        <v>20280</v>
      </c>
      <c r="B20280" s="2" t="str">
        <f>IFERROR(__xludf.DUMMYFUNCTION("GOOGLETRANSLATE(A20280, ""en"", ""mt"")"),"Min-naħa tiegħu, in-netwerk televiżiv ipproduċa ftit suċċessi ġodda matul l-1977: Jannar ra l-premiere ta 'Roots, miniseries ibbażati fuq rumanz ta' Alex Haley li ġie ppubblikat is-sena ta 'qabel; F’Settembru, The Love Boat, serje ta ’antoloġija ta’ kummi"&amp;"edja-drama prodotta minn Aaron Spelling li kienet ibbażata madwar l-ekwipaġġ ta ’vapur tal-kruċieri u kienet tidher tliet stejjer iċċentrati parzjalment fuq il-passiġġieri varji tal-vapur; Għalkemm kritikament lambasted, is-serje rriżulta li kienet suċċes"&amp;"s tal-klassifikazzjonijiet u damet disa 'staġuni. L-għeruq komplew isiru wieħed mill-iktar programmi nominali fl-istorja tat-televiżjoni Amerikana, bi klassifikazzjonijiet bla preċedent għall-finali tagħha. Is-suċċess ta 'Roots, Happy Days u The Love Boat"&amp;" ippermettew li n-netwerk jieħu l-ewwel post fil-klassifikazzjonijiet għall-ewwel darba fl-istaġun 1976-77. Fit-13 ta 'Settembru, 1977, in-netwerk iddebutta SOAP, parodija kontroversjali tas-sapun li saret magħrufa għall-ewwel serje televiżiva li għandha "&amp;"karattru ewlieni omosesswali (interpretata minn dak iż-żmien mhux magħruf Billy Crystal); L-aħħar dam fuq in-netwerk fl-20 ta 'April, 1981.")</f>
        <v>Min-naħa tiegħu, in-netwerk televiżiv ipproduċa ftit suċċessi ġodda matul l-1977: Jannar ra l-premiere ta 'Roots, miniseries ibbażati fuq rumanz ta' Alex Haley li ġie ppubblikat is-sena ta 'qabel; F’Settembru, The Love Boat, serje ta ’antoloġija ta’ kummiedja-drama prodotta minn Aaron Spelling li kienet ibbażata madwar l-ekwipaġġ ta ’vapur tal-kruċieri u kienet tidher tliet stejjer iċċentrati parzjalment fuq il-passiġġieri varji tal-vapur; Għalkemm kritikament lambasted, is-serje rriżulta li kienet suċċess tal-klassifikazzjonijiet u damet disa 'staġuni. L-għeruq komplew isiru wieħed mill-iktar programmi nominali fl-istorja tat-televiżjoni Amerikana, bi klassifikazzjonijiet bla preċedent għall-finali tagħha. Is-suċċess ta 'Roots, Happy Days u The Love Boat ippermettew li n-netwerk jieħu l-ewwel post fil-klassifikazzjonijiet għall-ewwel darba fl-istaġun 1976-77. Fit-13 ta 'Settembru, 1977, in-netwerk iddebutta SOAP, parodija kontroversjali tas-sapun li saret magħrufa għall-ewwel serje televiżiva li għandha karattru ewlieni omosesswali (interpretata minn dak iż-żmien mhux magħruf Billy Crystal); L-aħħar dam fuq in-netwerk fl-20 ta 'April, 1981.</v>
      </c>
    </row>
    <row r="20281" ht="15.75" customHeight="1">
      <c r="A20281" s="2" t="s">
        <v>20281</v>
      </c>
      <c r="B20281" s="2" t="str">
        <f>IFERROR(__xludf.DUMMYFUNCTION("GOOGLETRANSLATE(A20281, ""en"", ""mt"")"),"Uniformitarjiżmu")</f>
        <v>Uniformitarjiżmu</v>
      </c>
    </row>
    <row r="20282" ht="15.75" customHeight="1">
      <c r="A20282" s="2" t="s">
        <v>20282</v>
      </c>
      <c r="B20282" s="2" t="str">
        <f>IFERROR(__xludf.DUMMYFUNCTION("GOOGLETRANSLATE(A20282, ""en"", ""mt"")"),"Twaqqif ta 'Kummissjoni Etika u Kontra l-Korruzzjoni ġdida u indipendenti")</f>
        <v>Twaqqif ta 'Kummissjoni Etika u Kontra l-Korruzzjoni ġdida u indipendenti</v>
      </c>
    </row>
    <row r="20283" ht="15.75" customHeight="1">
      <c r="A20283" s="2" t="s">
        <v>20283</v>
      </c>
      <c r="B20283" s="2" t="str">
        <f>IFERROR(__xludf.DUMMYFUNCTION("GOOGLETRANSLATE(A20283, ""en"", ""mt"")"),"Liema artist ta 'nofs il-ħin preċedentement intitolat Super Bowl XLVII?")</f>
        <v>Liema artist ta 'nofs il-ħin preċedentement intitolat Super Bowl XLVII?</v>
      </c>
    </row>
    <row r="20284" ht="15.75" customHeight="1">
      <c r="A20284" s="2" t="s">
        <v>20284</v>
      </c>
      <c r="B20284" s="2" t="str">
        <f>IFERROR(__xludf.DUMMYFUNCTION("GOOGLETRANSLATE(A20284, ""en"", ""mt"")"),"X'tip ta 'arkitettura huwa l-palazz ta' erba 'twieqi eżempju impressjonanti ta'?")</f>
        <v>X'tip ta 'arkitettura huwa l-palazz ta' erba 'twieqi eżempju impressjonanti ta'?</v>
      </c>
    </row>
    <row r="20285" ht="15.75" customHeight="1">
      <c r="A20285" s="2" t="s">
        <v>20285</v>
      </c>
      <c r="B20285" s="2" t="str">
        <f>IFERROR(__xludf.DUMMYFUNCTION("GOOGLETRANSLATE(A20285, ""en"", ""mt"")"),"2011-12 rat lil ABC tinżel għar-4 fil-klassifikazzjonijiet fost liema demografija importanti?")</f>
        <v>2011-12 rat lil ABC tinżel għar-4 fil-klassifikazzjonijiet fost liema demografija importanti?</v>
      </c>
    </row>
    <row r="20286" ht="15.75" customHeight="1">
      <c r="A20286" s="2" t="s">
        <v>20286</v>
      </c>
      <c r="B20286" s="2" t="str">
        <f>IFERROR(__xludf.DUMMYFUNCTION("GOOGLETRANSLATE(A20286, ""en"", ""mt"")"),"Meta l-blat jingħalaq fil-fond fl-art jista 'jintewa wieħed minn żewġ modi, meta joħloq' l isfel?")</f>
        <v>Meta l-blat jingħalaq fil-fond fl-art jista 'jintewa wieħed minn żewġ modi, meta joħloq' l isfel?</v>
      </c>
    </row>
    <row r="20287" ht="15.75" customHeight="1">
      <c r="A20287" s="2" t="s">
        <v>20287</v>
      </c>
      <c r="B20287" s="2" t="str">
        <f>IFERROR(__xludf.DUMMYFUNCTION("GOOGLETRANSLATE(A20287, ""en"", ""mt"")"),"X'inhu bejn L u P li jipprevjeni determinazzjoni definittiva tar-relazzjoni bejn L u P?")</f>
        <v>X'inhu bejn L u P li jipprevjeni determinazzjoni definittiva tar-relazzjoni bejn L u P?</v>
      </c>
    </row>
    <row r="20288" ht="15.75" customHeight="1">
      <c r="A20288" s="2" t="s">
        <v>20288</v>
      </c>
      <c r="B20288" s="2" t="str">
        <f>IFERROR(__xludf.DUMMYFUNCTION("GOOGLETRANSLATE(A20288, ""en"", ""mt"")"),"amministrazzjoni kolonjali Ġermaniża Nażista")</f>
        <v>amministrazzjoni kolonjali Ġermaniża Nażista</v>
      </c>
    </row>
    <row r="20289" ht="15.75" customHeight="1">
      <c r="A20289" s="2" t="s">
        <v>20289</v>
      </c>
      <c r="B20289" s="2" t="str">
        <f>IFERROR(__xludf.DUMMYFUNCTION("GOOGLETRANSLATE(A20289, ""en"", ""mt"")"),"X'hemm bżonn li l-qorti tkun aktar aċċessibbli?")</f>
        <v>X'hemm bżonn li l-qorti tkun aktar aċċessibbli?</v>
      </c>
    </row>
    <row r="20290" ht="15.75" customHeight="1">
      <c r="A20290" s="2" t="s">
        <v>20290</v>
      </c>
      <c r="B20290" s="2" t="str">
        <f>IFERROR(__xludf.DUMMYFUNCTION("GOOGLETRANSLATE(A20290, ""en"", ""mt"")"),"Min hu meqjus bħala l-figura ewlenija fil-moviment tal-arti u s-snajja?")</f>
        <v>Min hu meqjus bħala l-figura ewlenija fil-moviment tal-arti u s-snajja?</v>
      </c>
    </row>
    <row r="20291" ht="15.75" customHeight="1">
      <c r="A20291" s="2" t="s">
        <v>20291</v>
      </c>
      <c r="B20291" s="2" t="str">
        <f>IFERROR(__xludf.DUMMYFUNCTION("GOOGLETRANSLATE(A20291, ""en"", ""mt"")"),"47 Streetcars")</f>
        <v>47 Streetcars</v>
      </c>
    </row>
    <row r="20292" ht="15.75" customHeight="1">
      <c r="A20292" s="2" t="s">
        <v>20292</v>
      </c>
      <c r="B20292" s="2" t="str">
        <f>IFERROR(__xludf.DUMMYFUNCTION("GOOGLETRANSLATE(A20292, ""en"", ""mt"")"),"il-minorenni huma kapaċi riproduzzjoni")</f>
        <v>il-minorenni huma kapaċi riproduzzjoni</v>
      </c>
    </row>
    <row r="20293" ht="15.75" customHeight="1">
      <c r="A20293" s="2" t="s">
        <v>20293</v>
      </c>
      <c r="B20293" s="2" t="str">
        <f>IFERROR(__xludf.DUMMYFUNCTION("GOOGLETRANSLATE(A20293, ""en"", ""mt"")"),"forza strutturali")</f>
        <v>forza strutturali</v>
      </c>
    </row>
    <row r="20294" ht="15.75" customHeight="1">
      <c r="A20294" s="2" t="s">
        <v>20294</v>
      </c>
      <c r="B20294" s="2" t="str">
        <f>IFERROR(__xludf.DUMMYFUNCTION("GOOGLETRANSLATE(A20294, ""en"", ""mt"")"),"Toshiba")</f>
        <v>Toshiba</v>
      </c>
    </row>
    <row r="20295" ht="15.75" customHeight="1">
      <c r="A20295" s="2" t="s">
        <v>20295</v>
      </c>
      <c r="B20295" s="2" t="str">
        <f>IFERROR(__xludf.DUMMYFUNCTION("GOOGLETRANSLATE(A20295, ""en"", ""mt"")"),"Liema tim tal-NFL irrappreżenta lill-AFC fis-Super Bowl 50?")</f>
        <v>Liema tim tal-NFL irrappreżenta lill-AFC fis-Super Bowl 50?</v>
      </c>
    </row>
    <row r="20296" ht="15.75" customHeight="1">
      <c r="A20296" s="2" t="s">
        <v>20296</v>
      </c>
      <c r="B20296" s="2" t="str">
        <f>IFERROR(__xludf.DUMMYFUNCTION("GOOGLETRANSLATE(A20296, ""en"", ""mt"")"),"X'valur jiddependi s-separazzjoni fi ferzzjonijiet u bosons?")</f>
        <v>X'valur jiddependi s-separazzjoni fi ferzzjonijiet u bosons?</v>
      </c>
    </row>
    <row r="20297" ht="15.75" customHeight="1">
      <c r="A20297" s="2" t="s">
        <v>20297</v>
      </c>
      <c r="B20297" s="2" t="str">
        <f>IFERROR(__xludf.DUMMYFUNCTION("GOOGLETRANSLATE(A20297, ""en"", ""mt"")"),"Liema ħin tal-ġurnata dawn ir-riformati suppost inġabru biex jidħlu fir-ritwali Huguenot?")</f>
        <v>Liema ħin tal-ġurnata dawn ir-riformati suppost inġabru biex jidħlu fir-ritwali Huguenot?</v>
      </c>
    </row>
    <row r="20298" ht="15.75" customHeight="1">
      <c r="A20298" s="2" t="s">
        <v>20298</v>
      </c>
      <c r="B20298" s="2" t="str">
        <f>IFERROR(__xludf.DUMMYFUNCTION("GOOGLETRANSLATE(A20298, ""en"", ""mt"")"),"8,525")</f>
        <v>8,525</v>
      </c>
    </row>
    <row r="20299" ht="15.75" customHeight="1">
      <c r="A20299" s="2" t="s">
        <v>20299</v>
      </c>
      <c r="B20299" s="2" t="str">
        <f>IFERROR(__xludf.DUMMYFUNCTION("GOOGLETRANSLATE(A20299, ""en"", ""mt"")"),"Jekk l-organella twettaq l-aħħar sieq tal-passaġġ")</f>
        <v>Jekk l-organella twettaq l-aħħar sieq tal-passaġġ</v>
      </c>
    </row>
    <row r="20300" ht="15.75" customHeight="1">
      <c r="A20300" s="2" t="s">
        <v>20300</v>
      </c>
      <c r="B20300" s="2" t="str">
        <f>IFERROR(__xludf.DUMMYFUNCTION("GOOGLETRANSLATE(A20300, ""en"", ""mt"")"),"5% tal-produzzjoni maqtugħa")</f>
        <v>5% tal-produzzjoni maqtugħa</v>
      </c>
    </row>
    <row r="20301" ht="15.75" customHeight="1">
      <c r="A20301" s="2" t="s">
        <v>20301</v>
      </c>
      <c r="B20301" s="2" t="str">
        <f>IFERROR(__xludf.DUMMYFUNCTION("GOOGLETRANSLATE(A20301, ""en"", ""mt"")"),"Ġersijiet suwed bi qliezet tal-fidda")</f>
        <v>Ġersijiet suwed bi qliezet tal-fidda</v>
      </c>
    </row>
    <row r="20302" ht="15.75" customHeight="1">
      <c r="A20302" s="2" t="s">
        <v>20302</v>
      </c>
      <c r="B20302" s="2" t="str">
        <f>IFERROR(__xludf.DUMMYFUNCTION("GOOGLETRANSLATE(A20302, ""en"", ""mt"")"),"Il-Baċin Solimões")</f>
        <v>Il-Baċin Solimões</v>
      </c>
    </row>
    <row r="20303" ht="15.75" customHeight="1">
      <c r="A20303" s="2" t="s">
        <v>20303</v>
      </c>
      <c r="B20303" s="2" t="str">
        <f>IFERROR(__xludf.DUMMYFUNCTION("GOOGLETRANSLATE(A20303, ""en"", ""mt"")"),"Twin-cylinder")</f>
        <v>Twin-cylinder</v>
      </c>
    </row>
    <row r="20304" ht="15.75" customHeight="1">
      <c r="A20304" s="2" t="s">
        <v>20304</v>
      </c>
      <c r="B20304" s="2" t="str">
        <f>IFERROR(__xludf.DUMMYFUNCTION("GOOGLETRANSLATE(A20304, ""en"", ""mt"")"),"Ħin tal-Miocene")</f>
        <v>Ħin tal-Miocene</v>
      </c>
    </row>
    <row r="20305" ht="15.75" customHeight="1">
      <c r="A20305" s="2" t="s">
        <v>20305</v>
      </c>
      <c r="B20305" s="2" t="str">
        <f>IFERROR(__xludf.DUMMYFUNCTION("GOOGLETRANSLATE(A20305, ""en"", ""mt"")"),"Liema entità tittratta kwistjonijiet tal-persunal tal-UE?")</f>
        <v>Liema entità tittratta kwistjonijiet tal-persunal tal-UE?</v>
      </c>
    </row>
    <row r="20306" ht="15.75" customHeight="1">
      <c r="A20306" s="2" t="s">
        <v>20306</v>
      </c>
      <c r="B20306" s="2" t="str">
        <f>IFERROR(__xludf.DUMMYFUNCTION("GOOGLETRANSLATE(A20306, ""en"", ""mt"")"),"It-tul tar-Rhine huwa mkejjel b'mod konvenzjonali f '""Rhine-Kilometri"" (Rheinkilometer), skala introdotta fl-1939 li tmur mill-Old Rhine Bridge f'Constance (0 km) għal Hoek van Holland (1036.20 km). It-tul tax-xmara huwa mqassar b'mod sinifikanti mill-k"&amp;"ors naturali tax-xmara minħabba numru ta 'proġetti ta' kanalizzazzjoni kompluti fis-seklu 19 u 20 diffiċli biex titkejjel b'mod oġġettiv; Ġie kkwotat bħala 1,232 kilometru (766 mil) mir-Rijkswaterstaat Olandiż fl-2010. [Nota 1]")</f>
        <v>It-tul tar-Rhine huwa mkejjel b'mod konvenzjonali f '"Rhine-Kilometri" (Rheinkilometer), skala introdotta fl-1939 li tmur mill-Old Rhine Bridge f'Constance (0 km) għal Hoek van Holland (1036.20 km). It-tul tax-xmara huwa mqassar b'mod sinifikanti mill-kors naturali tax-xmara minħabba numru ta 'proġetti ta' kanalizzazzjoni kompluti fis-seklu 19 u 20 diffiċli biex titkejjel b'mod oġġettiv; Ġie kkwotat bħala 1,232 kilometru (766 mil) mir-Rijkswaterstaat Olandiż fl-2010. [Nota 1]</v>
      </c>
    </row>
    <row r="20307" ht="15.75" customHeight="1">
      <c r="A20307" s="2" t="s">
        <v>20307</v>
      </c>
      <c r="B20307" s="2" t="str">
        <f>IFERROR(__xludf.DUMMYFUNCTION("GOOGLETRANSLATE(A20307, ""en"", ""mt"")"),"Il-Qorti oriġinali tal-Kontea ta 'Fresno (imwaqqa), il-Librerija Pubblika ta' Fresno Carnegie (imwaqqa)")</f>
        <v>Il-Qorti oriġinali tal-Kontea ta 'Fresno (imwaqqa), il-Librerija Pubblika ta' Fresno Carnegie (imwaqqa)</v>
      </c>
    </row>
    <row r="20308" ht="15.75" customHeight="1">
      <c r="A20308" s="2" t="s">
        <v>20308</v>
      </c>
      <c r="B20308" s="2" t="str">
        <f>IFERROR(__xludf.DUMMYFUNCTION("GOOGLETRANSLATE(A20308, ""en"", ""mt"")"),"Barbara Walters")</f>
        <v>Barbara Walters</v>
      </c>
    </row>
    <row r="20309" ht="15.75" customHeight="1">
      <c r="A20309" s="2" t="s">
        <v>20309</v>
      </c>
      <c r="B20309" s="2" t="str">
        <f>IFERROR(__xludf.DUMMYFUNCTION("GOOGLETRANSLATE(A20309, ""en"", ""mt"")"),"Fejn intbagħtet il-propjetà ta 'Tesla?")</f>
        <v>Fejn intbagħtet il-propjetà ta 'Tesla?</v>
      </c>
    </row>
    <row r="20310" ht="15.75" customHeight="1">
      <c r="A20310" s="2" t="s">
        <v>20310</v>
      </c>
      <c r="B20310" s="2" t="str">
        <f>IFERROR(__xludf.DUMMYFUNCTION("GOOGLETRANSLATE(A20310, ""en"", ""mt"")"),"Thomas Davis,")</f>
        <v>Thomas Davis,</v>
      </c>
    </row>
    <row r="20311" ht="15.75" customHeight="1">
      <c r="A20311" s="2" t="s">
        <v>20311</v>
      </c>
      <c r="B20311" s="2" t="str">
        <f>IFERROR(__xludf.DUMMYFUNCTION("GOOGLETRANSLATE(A20311, ""en"", ""mt"")"),"Studji kkontrollati u sperimentali")</f>
        <v>Studji kkontrollati u sperimentali</v>
      </c>
    </row>
    <row r="20312" ht="15.75" customHeight="1">
      <c r="A20312" s="2" t="s">
        <v>20312</v>
      </c>
      <c r="B20312" s="2" t="str">
        <f>IFERROR(__xludf.DUMMYFUNCTION("GOOGLETRANSLATE(A20312, ""en"", ""mt"")"),"Fuq xiex jitimgħu l-lobati?")</f>
        <v>Fuq xiex jitimgħu l-lobati?</v>
      </c>
    </row>
    <row r="20313" ht="15.75" customHeight="1">
      <c r="A20313" s="2" t="s">
        <v>20313</v>
      </c>
      <c r="B20313" s="2" t="str">
        <f>IFERROR(__xludf.DUMMYFUNCTION("GOOGLETRANSLATE(A20313, ""en"", ""mt"")"),"Il-premier huwa l-wiċċ pubbliku tal-gvern u, bil-kabinett")</f>
        <v>Il-premier huwa l-wiċċ pubbliku tal-gvern u, bil-kabinett</v>
      </c>
    </row>
    <row r="20314" ht="15.75" customHeight="1">
      <c r="A20314" s="2" t="s">
        <v>20314</v>
      </c>
      <c r="B20314" s="2" t="str">
        <f>IFERROR(__xludf.DUMMYFUNCTION("GOOGLETRANSLATE(A20314, ""en"", ""mt"")"),"Effett ta 'serra msaħħa")</f>
        <v>Effett ta 'serra msaħħa</v>
      </c>
    </row>
    <row r="20315" ht="15.75" customHeight="1">
      <c r="A20315" s="2" t="s">
        <v>20315</v>
      </c>
      <c r="B20315" s="2" t="str">
        <f>IFERROR(__xludf.DUMMYFUNCTION("GOOGLETRANSLATE(A20315, ""en"", ""mt"")"),"Minbarra l-argumentazzjoni li l-popolazzjoni tal-firien ma kinitx biżżejjed biex tagħti kont ta 'pandemija tal-pesta bubonika, ix-xettiċi tat-teorija tal-pesta bubonika jindikaw li s-sintomi tal-mewt sewda mhumiex uniċi (u bla dubju f'xi kontijiet jistgħu"&amp;" jvarjaw mill-pesta bubonika); Dik it-trasferiment permezz ta 'briegħed fil-merkanzija x'aktarx li tkun ta' sinifikat marġinali; u li r-riżultati tad-DNA jistgħu jkunu difetti u forsi ma ġewx ripetuti x'imkien ieħor, minkejja kampjuni estensivi minn oqbra"&amp;" tal-massa oħra. Argumenti oħra jinkludu n-nuqqas ta ’kontijiet tal-mewt tal-firien qabel it-tifqigħ tal-pesta bejn is-sekli 14 u 17; temperaturi li huma kesħin wisq fl-Ewropa tat-Tramuntana għas-sopravivenza tal-briegħed; Dan, minkejja sistemi ta 'traspo"&amp;"rt primittivi, it-tixrid tal-mewt l-Iswed kien ferm aktar mgħaġġel minn dak tal-pesta bubonika moderna; Dik ir-rati ta 'mortalità tal-mewt l-Iswed jidhru li huma għoljin ħafna; Dan, filwaqt li l-pesta bubonika moderna hija fil-biċċa l-kbira endemika bħala"&amp;" marda rurali, il-Mewt l-Iswed laqtitha b'mod indiskriminat żoni urbani u rurali; u li x-xejra tal-mewt sewda, bi tifqigħat kbar fl-istess żoni separati minn 5 sa 15-il sena, hija differenti mill-pesta bubonika moderna - li ħafna drabi ssir endemika għal "&amp;"għexieren ta 'snin bi flare-ups annwali.")</f>
        <v>Minbarra l-argumentazzjoni li l-popolazzjoni tal-firien ma kinitx biżżejjed biex tagħti kont ta 'pandemija tal-pesta bubonika, ix-xettiċi tat-teorija tal-pesta bubonika jindikaw li s-sintomi tal-mewt sewda mhumiex uniċi (u bla dubju f'xi kontijiet jistgħu jvarjaw mill-pesta bubonika); Dik it-trasferiment permezz ta 'briegħed fil-merkanzija x'aktarx li tkun ta' sinifikat marġinali; u li r-riżultati tad-DNA jistgħu jkunu difetti u forsi ma ġewx ripetuti x'imkien ieħor, minkejja kampjuni estensivi minn oqbra tal-massa oħra. Argumenti oħra jinkludu n-nuqqas ta ’kontijiet tal-mewt tal-firien qabel it-tifqigħ tal-pesta bejn is-sekli 14 u 17; temperaturi li huma kesħin wisq fl-Ewropa tat-Tramuntana għas-sopravivenza tal-briegħed; Dan, minkejja sistemi ta 'trasport primittivi, it-tixrid tal-mewt l-Iswed kien ferm aktar mgħaġġel minn dak tal-pesta bubonika moderna; Dik ir-rati ta 'mortalità tal-mewt l-Iswed jidhru li huma għoljin ħafna; Dan, filwaqt li l-pesta bubonika moderna hija fil-biċċa l-kbira endemika bħala marda rurali, il-Mewt l-Iswed laqtitha b'mod indiskriminat żoni urbani u rurali; u li x-xejra tal-mewt sewda, bi tifqigħat kbar fl-istess żoni separati minn 5 sa 15-il sena, hija differenti mill-pesta bubonika moderna - li ħafna drabi ssir endemika għal għexieren ta 'snin bi flare-ups annwali.</v>
      </c>
    </row>
    <row r="20316" ht="15.75" customHeight="1">
      <c r="A20316" s="2" t="s">
        <v>20316</v>
      </c>
      <c r="B20316" s="2" t="str">
        <f>IFERROR(__xludf.DUMMYFUNCTION("GOOGLETRANSLATE(A20316, ""en"", ""mt"")"),"Studjużi oħra jargumentaw li, anke jekk il-fehmiet tiegħu kienu sempliċement anti-Ġudaiċi - jiġifieri, opposti għall-Ġudaiżmu u l-aderenza tiegħu aktar milli l-Lhud bħala grupp etniku - il-vjolenza tagħhom issellef element ġdid għas-suspett standard Nisra"&amp;"ni tal-Ġudaiżmu. Ronald Berger jikteb li Luther huwa kkreditat b '""ġernanizzazzjoni tal-kritika Nisranija tal-Ġudaiżmu u li tistabbilixxi l-antisemitiżmu bħala element ewlieni tal-kultura Ġermaniża u l-identità nazzjonali."" Paul Rose jargumenta li huwa "&amp;"kkawża ""mentalità isterika u demonizzanti"" dwar il-Lhud biex jidħlu fil-ħsieb u d-diskors Ġermaniż, mentalità li setgħet kienet assenti. Christopher J. Probst fil-ktieb tiegħu Demonizing the Lhud: Luther and the Protestant Church fil-Ġermanja Nażista (2"&amp;"012), juri li numru kbir ta ’kleru Luteran Ġermaniż u teologi waqt it-Tielet Reich Nażista użaw pubblikazzjonijiet ostili ta’ Luther lejn il-Lhud u r-reliġjon Lhudija tagħhom Biex tiġġustifika mill-inqas parzjalment il-politiki antisemitiċi tas-Soċjalisti"&amp;" Nazzjonali.")</f>
        <v>Studjużi oħra jargumentaw li, anke jekk il-fehmiet tiegħu kienu sempliċement anti-Ġudaiċi - jiġifieri, opposti għall-Ġudaiżmu u l-aderenza tiegħu aktar milli l-Lhud bħala grupp etniku - il-vjolenza tagħhom issellef element ġdid għas-suspett standard Nisrani tal-Ġudaiżmu. Ronald Berger jikteb li Luther huwa kkreditat b '"ġernanizzazzjoni tal-kritika Nisranija tal-Ġudaiżmu u li tistabbilixxi l-antisemitiżmu bħala element ewlieni tal-kultura Ġermaniża u l-identità nazzjonali." Paul Rose jargumenta li huwa kkawża "mentalità isterika u demonizzanti" dwar il-Lhud biex jidħlu fil-ħsieb u d-diskors Ġermaniż, mentalità li setgħet kienet assenti. Christopher J. Probst fil-ktieb tiegħu Demonizing the Lhud: Luther and the Protestant Church fil-Ġermanja Nażista (2012), juri li numru kbir ta ’kleru Luteran Ġermaniż u teologi waqt it-Tielet Reich Nażista użaw pubblikazzjonijiet ostili ta’ Luther lejn il-Lhud u r-reliġjon Lhudija tagħhom Biex tiġġustifika mill-inqas parzjalment il-politiki antisemitiċi tas-Soċjalisti Nazzjonali.</v>
      </c>
    </row>
    <row r="20317" ht="15.75" customHeight="1">
      <c r="A20317" s="2" t="s">
        <v>20317</v>
      </c>
      <c r="B20317" s="2" t="str">
        <f>IFERROR(__xludf.DUMMYFUNCTION("GOOGLETRANSLATE(A20317, ""en"", ""mt"")"),"President")</f>
        <v>President</v>
      </c>
    </row>
    <row r="20318" ht="15.75" customHeight="1">
      <c r="A20318" s="2" t="s">
        <v>20318</v>
      </c>
      <c r="B20318" s="2" t="str">
        <f>IFERROR(__xludf.DUMMYFUNCTION("GOOGLETRANSLATE(A20318, ""en"", ""mt"")"),"Kemm ġew skoperti rettili fir-reġjun tal-Amażonja?")</f>
        <v>Kemm ġew skoperti rettili fir-reġjun tal-Amażonja?</v>
      </c>
    </row>
    <row r="20319" ht="15.75" customHeight="1">
      <c r="A20319" s="2" t="s">
        <v>20319</v>
      </c>
      <c r="B20319" s="2" t="str">
        <f>IFERROR(__xludf.DUMMYFUNCTION("GOOGLETRANSLATE(A20319, ""en"", ""mt"")"),"Jailer u hangman tar-ruħ fqira tiegħi.")</f>
        <v>Jailer u hangman tar-ruħ fqira tiegħi.</v>
      </c>
    </row>
    <row r="20320" ht="15.75" customHeight="1">
      <c r="A20320" s="2" t="s">
        <v>20320</v>
      </c>
      <c r="B20320" s="2" t="str">
        <f>IFERROR(__xludf.DUMMYFUNCTION("GOOGLETRANSLATE(A20320, ""en"", ""mt"")"),"Min kienet il-klassi dominanti qabel in-Normanni?")</f>
        <v>Min kienet il-klassi dominanti qabel in-Normanni?</v>
      </c>
    </row>
    <row r="20321" ht="15.75" customHeight="1">
      <c r="A20321" s="2" t="s">
        <v>20321</v>
      </c>
      <c r="B20321" s="2" t="str">
        <f>IFERROR(__xludf.DUMMYFUNCTION("GOOGLETRANSLATE(A20321, ""en"", ""mt"")"),"X'se jħaffef l-ossiġnu kkonċentrat?")</f>
        <v>X'se jħaffef l-ossiġnu kkonċentrat?</v>
      </c>
    </row>
    <row r="20322" ht="15.75" customHeight="1">
      <c r="A20322" s="2" t="s">
        <v>20322</v>
      </c>
      <c r="B20322" s="2" t="str">
        <f>IFERROR(__xludf.DUMMYFUNCTION("GOOGLETRANSLATE(A20322, ""en"", ""mt"")"),"X'tip ta 'radar intuża biex jikklassifika s-siġar f'erba' kategoriji?")</f>
        <v>X'tip ta 'radar intuża biex jikklassifika s-siġar f'erba' kategoriji?</v>
      </c>
    </row>
    <row r="20323" ht="15.75" customHeight="1">
      <c r="A20323" s="2" t="s">
        <v>20323</v>
      </c>
      <c r="B20323" s="2" t="str">
        <f>IFERROR(__xludf.DUMMYFUNCTION("GOOGLETRANSLATE(A20323, ""en"", ""mt"")"),"1474")</f>
        <v>1474</v>
      </c>
    </row>
    <row r="20324" ht="15.75" customHeight="1">
      <c r="A20324" s="2" t="s">
        <v>20324</v>
      </c>
      <c r="B20324" s="2" t="str">
        <f>IFERROR(__xludf.DUMMYFUNCTION("GOOGLETRANSLATE(A20324, ""en"", ""mt"")"),"Tethys")</f>
        <v>Tethys</v>
      </c>
    </row>
    <row r="20325" ht="15.75" customHeight="1">
      <c r="A20325" s="2" t="s">
        <v>20325</v>
      </c>
      <c r="B20325" s="2" t="str">
        <f>IFERROR(__xludf.DUMMYFUNCTION("GOOGLETRANSLATE(A20325, ""en"", ""mt"")"),"F'liema magna teoretika hija kkonfermata li problema fis-sħubija fil-klassi NP?")</f>
        <v>F'liema magna teoretika hija kkonfermata li problema fis-sħubija fil-klassi NP?</v>
      </c>
    </row>
    <row r="20326" ht="15.75" customHeight="1">
      <c r="A20326" s="2" t="s">
        <v>20326</v>
      </c>
      <c r="B20326" s="2" t="str">
        <f>IFERROR(__xludf.DUMMYFUNCTION("GOOGLETRANSLATE(A20326, ""en"", ""mt"")"),"arja likwifikata")</f>
        <v>arja likwifikata</v>
      </c>
    </row>
    <row r="20327" ht="15.75" customHeight="1">
      <c r="A20327" s="2" t="s">
        <v>20327</v>
      </c>
      <c r="B20327" s="2" t="str">
        <f>IFERROR(__xludf.DUMMYFUNCTION("GOOGLETRANSLATE(A20327, ""en"", ""mt"")"),"Il-kampjonat eventwalment naqqas l-offerti għal tliet siti: Mercedes-Benz Superdome ta 'New Orleans, Miami's Sun Life Stadium, u l-istadium Levi tal-Levi tal-Bajja ta' San Francisco.")</f>
        <v>Il-kampjonat eventwalment naqqas l-offerti għal tliet siti: Mercedes-Benz Superdome ta 'New Orleans, Miami's Sun Life Stadium, u l-istadium Levi tal-Levi tal-Bajja ta' San Francisco.</v>
      </c>
    </row>
    <row r="20328" ht="15.75" customHeight="1">
      <c r="A20328" s="2" t="s">
        <v>20328</v>
      </c>
      <c r="B20328" s="2" t="str">
        <f>IFERROR(__xludf.DUMMYFUNCTION("GOOGLETRANSLATE(A20328, ""en"", ""mt"")"),"Min irkupra l-fumble ta 'Ward?")</f>
        <v>Min irkupra l-fumble ta 'Ward?</v>
      </c>
    </row>
    <row r="20329" ht="15.75" customHeight="1">
      <c r="A20329" s="2" t="s">
        <v>20329</v>
      </c>
      <c r="B20329" s="2" t="str">
        <f>IFERROR(__xludf.DUMMYFUNCTION("GOOGLETRANSLATE(A20329, ""en"", ""mt"")"),"Meta l-ispedizzjoni ta 'Céloron waslet f'Logstown, l-Amerikani Nattivi fiż-żona infurmaw lil Céloron li huma kienu l-pajjiż ta' Ohio u li kienu jinnegozjaw mal-Ingliżi irrispettivament mill-Franċiżi. Céloron kompla lejn in-nofsinhar sakemm l-ispedizzjoni "&amp;"tiegħu laħqet il-konfluwenza tal-Ohio u x-Xmajjar ta ’Miami, li jinsabu fin-Nofsinhar tal-villaġġ ta’ Pickawillany, id-dar tal-kap ta ’Miami magħrufa bħala"" Brittanja qadima ”. Céloron hedded ""Brittaniku qadim"" b'konsegwenzi severi jekk kompla jinnegoz"&amp;"ja mal-Ingliżi. ""Old Brittaniku"" injora t-twissija. Diżappuntat, Céloron irritorna f'Montreal f'Novembru 1749.")</f>
        <v>Meta l-ispedizzjoni ta 'Céloron waslet f'Logstown, l-Amerikani Nattivi fiż-żona infurmaw lil Céloron li huma kienu l-pajjiż ta' Ohio u li kienu jinnegozjaw mal-Ingliżi irrispettivament mill-Franċiżi. Céloron kompla lejn in-nofsinhar sakemm l-ispedizzjoni tiegħu laħqet il-konfluwenza tal-Ohio u x-Xmajjar ta ’Miami, li jinsabu fin-Nofsinhar tal-villaġġ ta’ Pickawillany, id-dar tal-kap ta ’Miami magħrufa bħala" Brittanja qadima ”. Céloron hedded "Brittaniku qadim" b'konsegwenzi severi jekk kompla jinnegozja mal-Ingliżi. "Old Brittaniku" injora t-twissija. Diżappuntat, Céloron irritorna f'Montreal f'Novembru 1749.</v>
      </c>
    </row>
    <row r="20330" ht="15.75" customHeight="1">
      <c r="A20330" s="2" t="s">
        <v>20330</v>
      </c>
      <c r="B20330" s="2" t="str">
        <f>IFERROR(__xludf.DUMMYFUNCTION("GOOGLETRANSLATE(A20330, ""en"", ""mt"")"),"djagonali tal-matriċi tat-tensjoni)")</f>
        <v>djagonali tal-matriċi tat-tensjoni)</v>
      </c>
    </row>
    <row r="20331" ht="15.75" customHeight="1">
      <c r="A20331" s="2" t="s">
        <v>20331</v>
      </c>
      <c r="B20331" s="2" t="str">
        <f>IFERROR(__xludf.DUMMYFUNCTION("GOOGLETRANSLATE(A20331, ""en"", ""mt"")"),"Kemm Korrispondenza Tesla bagħtet lil Morgan fil-ħames snin wara l-1901?")</f>
        <v>Kemm Korrispondenza Tesla bagħtet lil Morgan fil-ħames snin wara l-1901?</v>
      </c>
    </row>
    <row r="20332" ht="15.75" customHeight="1">
      <c r="A20332" s="2" t="s">
        <v>20332</v>
      </c>
      <c r="B20332" s="2" t="str">
        <f>IFERROR(__xludf.DUMMYFUNCTION("GOOGLETRANSLATE(A20332, ""en"", ""mt"")"),"Nisa li ma jieħdu xogħol minħabba żwieġ jew tqala")</f>
        <v>Nisa li ma jieħdu xogħol minħabba żwieġ jew tqala</v>
      </c>
    </row>
    <row r="20333" ht="15.75" customHeight="1">
      <c r="A20333" s="2" t="s">
        <v>20333</v>
      </c>
      <c r="B20333" s="2" t="str">
        <f>IFERROR(__xludf.DUMMYFUNCTION("GOOGLETRANSLATE(A20333, ""en"", ""mt"")"),"L-ispejjeż żejda bi proġetti tal-gvern seħħew meta l-kuntrattur għamel xiex?")</f>
        <v>L-ispejjeż żejda bi proġetti tal-gvern seħħew meta l-kuntrattur għamel xiex?</v>
      </c>
    </row>
    <row r="20334" ht="15.75" customHeight="1">
      <c r="A20334" s="2" t="s">
        <v>20334</v>
      </c>
      <c r="B20334" s="2" t="str">
        <f>IFERROR(__xludf.DUMMYFUNCTION("GOOGLETRANSLATE(A20334, ""en"", ""mt"")"),"żewġ popolazzjonijiet ta 'annimali gerriema")</f>
        <v>żewġ popolazzjonijiet ta 'annimali gerriema</v>
      </c>
    </row>
    <row r="20335" ht="15.75" customHeight="1">
      <c r="A20335" s="2" t="s">
        <v>20335</v>
      </c>
      <c r="B20335" s="2" t="str">
        <f>IFERROR(__xludf.DUMMYFUNCTION("GOOGLETRANSLATE(A20335, ""en"", ""mt"")"),"Forma mqassra ta 'l-isem maskili ta' oriġini Slava Warcisław")</f>
        <v>Forma mqassra ta 'l-isem maskili ta' oriġini Slava Warcisław</v>
      </c>
    </row>
    <row r="20336" ht="15.75" customHeight="1">
      <c r="A20336" s="2" t="s">
        <v>20336</v>
      </c>
      <c r="B20336" s="2" t="str">
        <f>IFERROR(__xludf.DUMMYFUNCTION("GOOGLETRANSLATE(A20336, ""en"", ""mt"")"),"Samuel K. Cohn, Jr.")</f>
        <v>Samuel K. Cohn, Jr.</v>
      </c>
    </row>
    <row r="20337" ht="15.75" customHeight="1">
      <c r="A20337" s="2" t="s">
        <v>20337</v>
      </c>
      <c r="B20337" s="2" t="str">
        <f>IFERROR(__xludf.DUMMYFUNCTION("GOOGLETRANSLATE(A20337, ""en"", ""mt"")"),"Fluss tal-ilma")</f>
        <v>Fluss tal-ilma</v>
      </c>
    </row>
    <row r="20338" ht="15.75" customHeight="1">
      <c r="A20338" s="2" t="s">
        <v>20338</v>
      </c>
      <c r="B20338" s="2" t="str">
        <f>IFERROR(__xludf.DUMMYFUNCTION("GOOGLETRANSLATE(A20338, ""en"", ""mt"")"),"Kemm ta 'differenza fir-rati ta' omiċidji huma relatati ma 'l-inugwaljanza?")</f>
        <v>Kemm ta 'differenza fir-rati ta' omiċidji huma relatati ma 'l-inugwaljanza?</v>
      </c>
    </row>
    <row r="20339" ht="15.75" customHeight="1">
      <c r="A20339" s="2" t="s">
        <v>20339</v>
      </c>
      <c r="B20339" s="2" t="str">
        <f>IFERROR(__xludf.DUMMYFUNCTION("GOOGLETRANSLATE(A20339, ""en"", ""mt"")"),"X'kienet il-premessa tal-inkjesta ta 'Woodrow Wilson?")</f>
        <v>X'kienet il-premessa tal-inkjesta ta 'Woodrow Wilson?</v>
      </c>
    </row>
    <row r="20340" ht="15.75" customHeight="1">
      <c r="A20340" s="2" t="s">
        <v>20340</v>
      </c>
      <c r="B20340" s="2" t="str">
        <f>IFERROR(__xludf.DUMMYFUNCTION("GOOGLETRANSLATE(A20340, ""en"", ""mt"")"),"Ir-relegazzjoni għall-istatus sekondarju għall-ABC irriżultat fit-telespettatur kemm inqas mill-kompetituri tagħhom, skond Goldenson?")</f>
        <v>Ir-relegazzjoni għall-istatus sekondarju għall-ABC irriżultat fit-telespettatur kemm inqas mill-kompetituri tagħhom, skond Goldenson?</v>
      </c>
    </row>
    <row r="20341" ht="15.75" customHeight="1">
      <c r="A20341" s="2" t="s">
        <v>20341</v>
      </c>
      <c r="B20341" s="2" t="str">
        <f>IFERROR(__xludf.DUMMYFUNCTION("GOOGLETRANSLATE(A20341, ""en"", ""mt"")"),"Min hu l-president tal-Kosta Rika li mar Harvard?")</f>
        <v>Min hu l-president tal-Kosta Rika li mar Harvard?</v>
      </c>
    </row>
    <row r="20342" ht="15.75" customHeight="1">
      <c r="A20342" s="2" t="s">
        <v>20342</v>
      </c>
      <c r="B20342" s="2" t="str">
        <f>IFERROR(__xludf.DUMMYFUNCTION("GOOGLETRANSLATE(A20342, ""en"", ""mt"")"),"Dating ta 'saffi tal-lava u rmied vulkaniku")</f>
        <v>Dating ta 'saffi tal-lava u rmied vulkaniku</v>
      </c>
    </row>
    <row r="20343" ht="15.75" customHeight="1">
      <c r="A20343" s="2" t="s">
        <v>20343</v>
      </c>
      <c r="B20343" s="2" t="str">
        <f>IFERROR(__xludf.DUMMYFUNCTION("GOOGLETRANSLATE(A20343, ""en"", ""mt"")"),"Il-bidliet fix-xita naqqsu x'tip ta 'kopertura tal-veġetazzjoni fil-baċin tal-Amażonja?")</f>
        <v>Il-bidliet fix-xita naqqsu x'tip ta 'kopertura tal-veġetazzjoni fil-baċin tal-Amażonja?</v>
      </c>
    </row>
    <row r="20344" ht="15.75" customHeight="1">
      <c r="A20344" s="2" t="s">
        <v>20344</v>
      </c>
      <c r="B20344" s="2" t="str">
        <f>IFERROR(__xludf.DUMMYFUNCTION("GOOGLETRANSLATE(A20344, ""en"", ""mt"")"),"Xlokk")</f>
        <v>Xlokk</v>
      </c>
    </row>
    <row r="20345" ht="15.75" customHeight="1">
      <c r="A20345" s="2" t="s">
        <v>20345</v>
      </c>
      <c r="B20345" s="2" t="str">
        <f>IFERROR(__xludf.DUMMYFUNCTION("GOOGLETRANSLATE(A20345, ""en"", ""mt"")"),"Liema skultura minn Rodin ma ġietx mogħtija mill-artist?")</f>
        <v>Liema skultura minn Rodin ma ġietx mogħtija mill-artist?</v>
      </c>
    </row>
    <row r="20346" ht="15.75" customHeight="1">
      <c r="A20346" s="2" t="s">
        <v>20346</v>
      </c>
      <c r="B20346" s="2" t="str">
        <f>IFERROR(__xludf.DUMMYFUNCTION("GOOGLETRANSLATE(A20346, ""en"", ""mt"")"),"Ġesù Kristu twieled Lhudi")</f>
        <v>Ġesù Kristu twieled Lhudi</v>
      </c>
    </row>
    <row r="20347" ht="15.75" customHeight="1">
      <c r="A20347" s="2" t="s">
        <v>20347</v>
      </c>
      <c r="B20347" s="2" t="str">
        <f>IFERROR(__xludf.DUMMYFUNCTION("GOOGLETRANSLATE(A20347, ""en"", ""mt"")"),"X'inhu l-isem mogħti lid-distrett li huwa assoċjat ma 'l-industrija ta' l-istampi taċ-ċinema?")</f>
        <v>X'inhu l-isem mogħti lid-distrett li huwa assoċjat ma 'l-industrija ta' l-istampi taċ-ċinema?</v>
      </c>
    </row>
    <row r="20348" ht="15.75" customHeight="1">
      <c r="A20348" s="2" t="s">
        <v>20348</v>
      </c>
      <c r="B20348" s="2" t="str">
        <f>IFERROR(__xludf.DUMMYFUNCTION("GOOGLETRANSLATE(A20348, ""en"", ""mt"")"),"Pompa tal-joni tal-idroġenu fl-ispazju tat-tilakoid")</f>
        <v>Pompa tal-joni tal-idroġenu fl-ispazju tat-tilakoid</v>
      </c>
    </row>
    <row r="20349" ht="15.75" customHeight="1">
      <c r="A20349" s="2" t="s">
        <v>20349</v>
      </c>
      <c r="B20349" s="2" t="str">
        <f>IFERROR(__xludf.DUMMYFUNCTION("GOOGLETRANSLATE(A20349, ""en"", ""mt"")"),"Proġett Merkurju")</f>
        <v>Proġett Merkurju</v>
      </c>
    </row>
    <row r="20350" ht="15.75" customHeight="1">
      <c r="A20350" s="2" t="s">
        <v>20350</v>
      </c>
      <c r="B20350" s="2" t="str">
        <f>IFERROR(__xludf.DUMMYFUNCTION("GOOGLETRANSLATE(A20350, ""en"", ""mt"")"),"Min għandu l-kompitu li jiżgura li l-membri tal-partit jivvutaw skont il-linja tal-partit?")</f>
        <v>Min għandu l-kompitu li jiżgura li l-membri tal-partit jivvutaw skont il-linja tal-partit?</v>
      </c>
    </row>
    <row r="20351" ht="15.75" customHeight="1">
      <c r="A20351" s="2" t="s">
        <v>20351</v>
      </c>
      <c r="B20351" s="2" t="str">
        <f>IFERROR(__xludf.DUMMYFUNCTION("GOOGLETRANSLATE(A20351, ""en"", ""mt"")"),"Meta bdiet ixandru WJZ-TV fi New York?")</f>
        <v>Meta bdiet ixandru WJZ-TV fi New York?</v>
      </c>
    </row>
    <row r="20352" ht="15.75" customHeight="1">
      <c r="A20352" s="2" t="s">
        <v>20352</v>
      </c>
      <c r="B20352" s="2" t="str">
        <f>IFERROR(__xludf.DUMMYFUNCTION("GOOGLETRANSLATE(A20352, ""en"", ""mt"")"),"Pax Mongolica")</f>
        <v>Pax Mongolica</v>
      </c>
    </row>
    <row r="20353" ht="15.75" customHeight="1">
      <c r="A20353" s="2" t="s">
        <v>20353</v>
      </c>
      <c r="B20353" s="2" t="str">
        <f>IFERROR(__xludf.DUMMYFUNCTION("GOOGLETRANSLATE(A20353, ""en"", ""mt"")"),"Volum taċ-ċilindru")</f>
        <v>Volum taċ-ċilindru</v>
      </c>
    </row>
    <row r="20354" ht="15.75" customHeight="1">
      <c r="A20354" s="2" t="s">
        <v>20354</v>
      </c>
      <c r="B20354" s="2" t="str">
        <f>IFERROR(__xludf.DUMMYFUNCTION("GOOGLETRANSLATE(A20354, ""en"", ""mt"")"),"Liema netwerk ABC għeleb għat-tielet post fil-klassifikazzjonijiet tat-televiżjoni fl-2010-11?")</f>
        <v>Liema netwerk ABC għeleb għat-tielet post fil-klassifikazzjonijiet tat-televiżjoni fl-2010-11?</v>
      </c>
    </row>
    <row r="20355" ht="15.75" customHeight="1">
      <c r="A20355" s="2" t="s">
        <v>20355</v>
      </c>
      <c r="B20355" s="2" t="str">
        <f>IFERROR(__xludf.DUMMYFUNCTION("GOOGLETRANSLATE(A20355, ""en"", ""mt"")"),"Liema użu ġie ssuġġerit għas-sistema")</f>
        <v>Liema użu ġie ssuġġerit għas-sistema</v>
      </c>
    </row>
    <row r="20356" ht="15.75" customHeight="1">
      <c r="A20356" s="2" t="s">
        <v>20356</v>
      </c>
      <c r="B20356" s="2" t="str">
        <f>IFERROR(__xludf.DUMMYFUNCTION("GOOGLETRANSLATE(A20356, ""en"", ""mt"")"),"L-ENR uża dejta dwar x'għandek tikklassifika l-aqwa 400 ditta bħala kuntratturi tqal?")</f>
        <v>L-ENR uża dejta dwar x'għandek tikklassifika l-aqwa 400 ditta bħala kuntratturi tqal?</v>
      </c>
    </row>
    <row r="20357" ht="15.75" customHeight="1">
      <c r="A20357" s="2" t="s">
        <v>20357</v>
      </c>
      <c r="B20357" s="2" t="str">
        <f>IFERROR(__xludf.DUMMYFUNCTION("GOOGLETRANSLATE(A20357, ""en"", ""mt"")"),"Il-Qorti tal-Ġustizzja tal-Unjoni Ewropea")</f>
        <v>Il-Qorti tal-Ġustizzja tal-Unjoni Ewropea</v>
      </c>
    </row>
    <row r="20358" ht="15.75" customHeight="1">
      <c r="A20358" s="2" t="s">
        <v>20358</v>
      </c>
      <c r="B20358" s="2" t="str">
        <f>IFERROR(__xludf.DUMMYFUNCTION("GOOGLETRANSLATE(A20358, ""en"", ""mt"")"),"Liema rata tat-taxxa għandha relazzjoni diretta mal-inugwaljanza tad-dħul?")</f>
        <v>Liema rata tat-taxxa għandha relazzjoni diretta mal-inugwaljanza tad-dħul?</v>
      </c>
    </row>
    <row r="20359" ht="15.75" customHeight="1">
      <c r="A20359" s="2" t="s">
        <v>20359</v>
      </c>
      <c r="B20359" s="2" t="str">
        <f>IFERROR(__xludf.DUMMYFUNCTION("GOOGLETRANSLATE(A20359, ""en"", ""mt"")"),"Liema komposti jistgħu jiġu mgħottija bil-molekuli taċ-ċellula ospitanti sabiex virus jevadi d-detezzjoni?")</f>
        <v>Liema komposti jistgħu jiġu mgħottija bil-molekuli taċ-ċellula ospitanti sabiex virus jevadi d-detezzjoni?</v>
      </c>
    </row>
    <row r="20360" ht="15.75" customHeight="1">
      <c r="A20360" s="2" t="s">
        <v>20360</v>
      </c>
      <c r="B20360" s="2" t="str">
        <f>IFERROR(__xludf.DUMMYFUNCTION("GOOGLETRANSLATE(A20360, ""en"", ""mt"")"),"Qlib ta 'blokka ta' messaġġi adattivi distribwiti")</f>
        <v>Qlib ta 'blokka ta' messaġġi adattivi distribwiti</v>
      </c>
    </row>
    <row r="20361" ht="15.75" customHeight="1">
      <c r="A20361" s="2" t="s">
        <v>20361</v>
      </c>
      <c r="B20361" s="2" t="str">
        <f>IFERROR(__xludf.DUMMYFUNCTION("GOOGLETRANSLATE(A20361, ""en"", ""mt"")"),"Id-diżubbidjenti ċivili għażlu ħafna tipi differenti ta 'x'tip ta' mġieba?")</f>
        <v>Id-diżubbidjenti ċivili għażlu ħafna tipi differenti ta 'x'tip ta' mġieba?</v>
      </c>
    </row>
    <row r="20362" ht="15.75" customHeight="1">
      <c r="A20362" s="2" t="s">
        <v>20362</v>
      </c>
      <c r="B20362" s="2" t="str">
        <f>IFERROR(__xludf.DUMMYFUNCTION("GOOGLETRANSLATE(A20362, ""en"", ""mt"")"),"29 ta 'Marzu, 1883")</f>
        <v>29 ta 'Marzu, 1883</v>
      </c>
    </row>
    <row r="20363" ht="15.75" customHeight="1">
      <c r="A20363" s="2" t="s">
        <v>20363</v>
      </c>
      <c r="B20363" s="2" t="str">
        <f>IFERROR(__xludf.DUMMYFUNCTION("GOOGLETRANSLATE(A20363, ""en"", ""mt"")"),"Min kien jikri Wiesner biex jimmonitorja u t-tieni raden tad-deċiżjonijiet tan-NASA?")</f>
        <v>Min kien jikri Wiesner biex jimmonitorja u t-tieni raden tad-deċiżjonijiet tan-NASA?</v>
      </c>
    </row>
    <row r="20364" ht="15.75" customHeight="1">
      <c r="A20364" s="2" t="s">
        <v>20364</v>
      </c>
      <c r="B20364" s="2" t="str">
        <f>IFERROR(__xludf.DUMMYFUNCTION("GOOGLETRANSLATE(A20364, ""en"", ""mt"")"),"Meta kienet id-deportazzjoni tal-Akkadjani?")</f>
        <v>Meta kienet id-deportazzjoni tal-Akkadjani?</v>
      </c>
    </row>
    <row r="20365" ht="15.75" customHeight="1">
      <c r="A20365" s="2" t="s">
        <v>20365</v>
      </c>
      <c r="B20365" s="2" t="str">
        <f>IFERROR(__xludf.DUMMYFUNCTION("GOOGLETRANSLATE(A20365, ""en"", ""mt"")"),"Ivaügei, il-kap ewlieni tal-Khamag Mongol")</f>
        <v>Ivaügei, il-kap ewlieni tal-Khamag Mongol</v>
      </c>
    </row>
    <row r="20366" ht="15.75" customHeight="1">
      <c r="A20366" s="2" t="s">
        <v>20366</v>
      </c>
      <c r="B20366" s="2" t="str">
        <f>IFERROR(__xludf.DUMMYFUNCTION("GOOGLETRANSLATE(A20366, ""en"", ""mt"")"),"X’għamlet Tesla f’Maribor għax-xogħol?")</f>
        <v>X’għamlet Tesla f’Maribor għax-xogħol?</v>
      </c>
    </row>
    <row r="20367" ht="15.75" customHeight="1">
      <c r="A20367" s="2" t="s">
        <v>20367</v>
      </c>
      <c r="B20367" s="2" t="str">
        <f>IFERROR(__xludf.DUMMYFUNCTION("GOOGLETRANSLATE(A20367, ""en"", ""mt"")"),"Xi tfisser Obersee?")</f>
        <v>Xi tfisser Obersee?</v>
      </c>
    </row>
    <row r="20368" ht="15.75" customHeight="1">
      <c r="A20368" s="2" t="s">
        <v>20368</v>
      </c>
      <c r="B20368" s="2" t="str">
        <f>IFERROR(__xludf.DUMMYFUNCTION("GOOGLETRANSLATE(A20368, ""en"", ""mt"")"),"Ir-regolamenti tal-UE huma l-istess bħad-dispożizzjonijiet tat-trattati f'dan is-sens, għaliex bħala l-Artikolu 288 TFEU jiddikjara, huma ""applikabbli direttament fl-Istati Membri kollha""")</f>
        <v>Ir-regolamenti tal-UE huma l-istess bħad-dispożizzjonijiet tat-trattati f'dan is-sens, għaliex bħala l-Artikolu 288 TFEU jiddikjara, huma "applikabbli direttament fl-Istati Membri kollha"</v>
      </c>
    </row>
    <row r="20369" ht="15.75" customHeight="1">
      <c r="A20369" s="2" t="s">
        <v>20369</v>
      </c>
      <c r="B20369" s="2" t="str">
        <f>IFERROR(__xludf.DUMMYFUNCTION("GOOGLETRANSLATE(A20369, ""en"", ""mt"")"),"X'kien l-isem tal-ewwel soluzzjoni Ġermaniża?")</f>
        <v>X'kien l-isem tal-ewwel soluzzjoni Ġermaniża?</v>
      </c>
    </row>
    <row r="20370" ht="15.75" customHeight="1">
      <c r="A20370" s="2" t="s">
        <v>20370</v>
      </c>
      <c r="B20370" s="2" t="str">
        <f>IFERROR(__xludf.DUMMYFUNCTION("GOOGLETRANSLATE(A20370, ""en"", ""mt"")"),"L-Università ta ’Aberdeen")</f>
        <v>L-Università ta ’Aberdeen</v>
      </c>
    </row>
    <row r="20371" ht="15.75" customHeight="1">
      <c r="A20371" s="2" t="s">
        <v>20371</v>
      </c>
      <c r="B20371" s="2" t="str">
        <f>IFERROR(__xludf.DUMMYFUNCTION("GOOGLETRANSLATE(A20371, ""en"", ""mt"")"),"Minn kull sitta")</f>
        <v>Minn kull sitta</v>
      </c>
    </row>
    <row r="20372" ht="15.75" customHeight="1">
      <c r="A20372" s="2" t="s">
        <v>20372</v>
      </c>
      <c r="B20372" s="2" t="str">
        <f>IFERROR(__xludf.DUMMYFUNCTION("GOOGLETRANSLATE(A20372, ""en"", ""mt"")"),"Il-punt li fih l-iżotopi radjometriċi differenti jieqfu jinxterdu 'l barra u' l barra mill-kannizzata tal-kristall?")</f>
        <v>Il-punt li fih l-iżotopi radjometriċi differenti jieqfu jinxterdu 'l barra u' l barra mill-kannizzata tal-kristall?</v>
      </c>
    </row>
    <row r="20373" ht="15.75" customHeight="1">
      <c r="A20373" s="2" t="s">
        <v>20373</v>
      </c>
      <c r="B20373" s="2" t="str">
        <f>IFERROR(__xludf.DUMMYFUNCTION("GOOGLETRANSLATE(A20373, ""en"", ""mt"")"),"X’wassal għal ħafna mill-istorja tal-bniedem?")</f>
        <v>X’wassal għal ħafna mill-istorja tal-bniedem?</v>
      </c>
    </row>
    <row r="20374" ht="15.75" customHeight="1">
      <c r="A20374" s="2" t="s">
        <v>20374</v>
      </c>
      <c r="B20374" s="2" t="str">
        <f>IFERROR(__xludf.DUMMYFUNCTION("GOOGLETRANSLATE(A20374, ""en"", ""mt"")"),"Għal liema tip ta 'universitajiet huwa famuż ir-reġjun?")</f>
        <v>Għal liema tip ta 'universitajiet huwa famuż ir-reġjun?</v>
      </c>
    </row>
    <row r="20375" ht="15.75" customHeight="1">
      <c r="A20375" s="2" t="s">
        <v>20375</v>
      </c>
      <c r="B20375" s="2" t="str">
        <f>IFERROR(__xludf.DUMMYFUNCTION("GOOGLETRANSLATE(A20375, ""en"", ""mt"")"),"Tipprevjeni l-installazzjoni ta 'immaġini pagani")</f>
        <v>Tipprevjeni l-installazzjoni ta 'immaġini pagani</v>
      </c>
    </row>
    <row r="20376" ht="15.75" customHeight="1">
      <c r="A20376" s="2" t="s">
        <v>20376</v>
      </c>
      <c r="B20376" s="2" t="str">
        <f>IFERROR(__xludf.DUMMYFUNCTION("GOOGLETRANSLATE(A20376, ""en"", ""mt"")"),"Skond reviżjoni tal-1955, x'kienu l-iffrankar mill-ħsieb sinjur?")</f>
        <v>Skond reviżjoni tal-1955, x'kienu l-iffrankar mill-ħsieb sinjur?</v>
      </c>
    </row>
    <row r="20377" ht="15.75" customHeight="1">
      <c r="A20377" s="2" t="s">
        <v>20377</v>
      </c>
      <c r="B20377" s="2" t="str">
        <f>IFERROR(__xludf.DUMMYFUNCTION("GOOGLETRANSLATE(A20377, ""en"", ""mt"")"),"Materjali mdewba ħdejn krater tal-impatt.")</f>
        <v>Materjali mdewba ħdejn krater tal-impatt.</v>
      </c>
    </row>
    <row r="20378" ht="15.75" customHeight="1">
      <c r="A20378" s="2" t="s">
        <v>20378</v>
      </c>
      <c r="B20378" s="2" t="str">
        <f>IFERROR(__xludf.DUMMYFUNCTION("GOOGLETRANSLATE(A20378, ""en"", ""mt"")"),"Liema tim kien ir-rebbieħ tar-rawnd diviżjonali bejn il-Broncos u l-Steelers?")</f>
        <v>Liema tim kien ir-rebbieħ tar-rawnd diviżjonali bejn il-Broncos u l-Steelers?</v>
      </c>
    </row>
    <row r="20379" ht="15.75" customHeight="1">
      <c r="A20379" s="2" t="s">
        <v>20379</v>
      </c>
      <c r="B20379" s="2" t="str">
        <f>IFERROR(__xludf.DUMMYFUNCTION("GOOGLETRANSLATE(A20379, ""en"", ""mt"")"),"Liema nofs maratona popolari globalment bdiet fl-1981?")</f>
        <v>Liema nofs maratona popolari globalment bdiet fl-1981?</v>
      </c>
    </row>
    <row r="20380" ht="15.75" customHeight="1">
      <c r="A20380" s="2" t="s">
        <v>20380</v>
      </c>
      <c r="B20380" s="2" t="str">
        <f>IFERROR(__xludf.DUMMYFUNCTION("GOOGLETRANSLATE(A20380, ""en"", ""mt"")"),"fil-pussess ta 'individwi jew entitajiet diġà sinjuri")</f>
        <v>fil-pussess ta 'individwi jew entitajiet diġà sinjuri</v>
      </c>
    </row>
    <row r="20381" ht="15.75" customHeight="1">
      <c r="A20381" s="2" t="s">
        <v>20381</v>
      </c>
      <c r="B20381" s="2" t="str">
        <f>IFERROR(__xludf.DUMMYFUNCTION("GOOGLETRANSLATE(A20381, ""en"", ""mt"")"),"Min kien iben Robert?")</f>
        <v>Min kien iben Robert?</v>
      </c>
    </row>
    <row r="20382" ht="15.75" customHeight="1">
      <c r="A20382" s="2" t="s">
        <v>20382</v>
      </c>
      <c r="B20382" s="2" t="str">
        <f>IFERROR(__xludf.DUMMYFUNCTION("GOOGLETRANSLATE(A20382, ""en"", ""mt"")"),"17-il sekonda")</f>
        <v>17-il sekonda</v>
      </c>
    </row>
    <row r="20383" ht="15.75" customHeight="1">
      <c r="A20383" s="2" t="s">
        <v>20383</v>
      </c>
      <c r="B20383" s="2" t="str">
        <f>IFERROR(__xludf.DUMMYFUNCTION("GOOGLETRANSLATE(A20383, ""en"", ""mt"")"),"1770")</f>
        <v>1770</v>
      </c>
    </row>
    <row r="20384" ht="15.75" customHeight="1">
      <c r="A20384" s="2" t="s">
        <v>20384</v>
      </c>
      <c r="B20384" s="2" t="str">
        <f>IFERROR(__xludf.DUMMYFUNCTION("GOOGLETRANSLATE(A20384, ""en"", ""mt"")"),"Żewġ timijiet ta 'riċerka Ġappuniżi")</f>
        <v>Żewġ timijiet ta 'riċerka Ġappuniżi</v>
      </c>
    </row>
    <row r="20385" ht="15.75" customHeight="1">
      <c r="A20385" s="2" t="s">
        <v>20385</v>
      </c>
      <c r="B20385" s="2" t="str">
        <f>IFERROR(__xludf.DUMMYFUNCTION("GOOGLETRANSLATE(A20385, ""en"", ""mt"")"),"Fejn jistgħu jinstabu l-klassijiet tal-kumplessità RP, BPP, PP, BQP, MA, u PH?")</f>
        <v>Fejn jistgħu jinstabu l-klassijiet tal-kumplessità RP, BPP, PP, BQP, MA, u PH?</v>
      </c>
    </row>
    <row r="20386" ht="15.75" customHeight="1">
      <c r="A20386" s="2" t="s">
        <v>20386</v>
      </c>
      <c r="B20386" s="2" t="str">
        <f>IFERROR(__xludf.DUMMYFUNCTION("GOOGLETRANSLATE(A20386, ""en"", ""mt"")"),"Luther marret torqod tikkwota liema Iskrittura?")</f>
        <v>Luther marret torqod tikkwota liema Iskrittura?</v>
      </c>
    </row>
    <row r="20387" ht="15.75" customHeight="1">
      <c r="A20387" s="2" t="s">
        <v>20387</v>
      </c>
      <c r="B20387" s="2" t="str">
        <f>IFERROR(__xludf.DUMMYFUNCTION("GOOGLETRANSLATE(A20387, ""en"", ""mt"")"),"75")</f>
        <v>75</v>
      </c>
    </row>
    <row r="20388" ht="15.75" customHeight="1">
      <c r="A20388" s="2" t="s">
        <v>20388</v>
      </c>
      <c r="B20388" s="2" t="str">
        <f>IFERROR(__xludf.DUMMYFUNCTION("GOOGLETRANSLATE(A20388, ""en"", ""mt"")"),"X'kien l-isem tal-lukanda li l-Panthers għażlu li jibqgħu waqt is-Super Bowl 50?")</f>
        <v>X'kien l-isem tal-lukanda li l-Panthers għażlu li jibqgħu waqt is-Super Bowl 50?</v>
      </c>
    </row>
    <row r="20389" ht="15.75" customHeight="1">
      <c r="A20389" s="2" t="s">
        <v>20389</v>
      </c>
      <c r="B20389" s="2" t="str">
        <f>IFERROR(__xludf.DUMMYFUNCTION("GOOGLETRANSLATE(A20389, ""en"", ""mt"")"),"il-fatt li niżel mill-iskola")</f>
        <v>il-fatt li niżel mill-iskola</v>
      </c>
    </row>
    <row r="20390" ht="15.75" customHeight="1">
      <c r="A20390" s="2" t="s">
        <v>20390</v>
      </c>
      <c r="B20390" s="2" t="str">
        <f>IFERROR(__xludf.DUMMYFUNCTION("GOOGLETRANSLATE(A20390, ""en"", ""mt"")"),"Fejn instabu n-netwerks internazzjonali ta 'ABC prinċipalment fis-snin sebgħin?")</f>
        <v>Fejn instabu n-netwerks internazzjonali ta 'ABC prinċipalment fis-snin sebgħin?</v>
      </c>
    </row>
    <row r="20391" ht="15.75" customHeight="1">
      <c r="A20391" s="2" t="s">
        <v>20391</v>
      </c>
      <c r="B20391" s="2" t="str">
        <f>IFERROR(__xludf.DUMMYFUNCTION("GOOGLETRANSLATE(A20391, ""en"", ""mt"")"),"Ċelloli B")</f>
        <v>Ċelloli B</v>
      </c>
    </row>
    <row r="20392" ht="15.75" customHeight="1">
      <c r="A20392" s="2" t="s">
        <v>20392</v>
      </c>
      <c r="B20392" s="2" t="str">
        <f>IFERROR(__xludf.DUMMYFUNCTION("GOOGLETRANSLATE(A20392, ""en"", ""mt"")"),"100–5,000 hp")</f>
        <v>100–5,000 hp</v>
      </c>
    </row>
    <row r="20393" ht="15.75" customHeight="1">
      <c r="A20393" s="2" t="s">
        <v>20393</v>
      </c>
      <c r="B20393" s="2" t="str">
        <f>IFERROR(__xludf.DUMMYFUNCTION("GOOGLETRANSLATE(A20393, ""en"", ""mt"")"),"Xi jfisser il-kanal ta 'Wessel-Datteln?")</f>
        <v>Xi jfisser il-kanal ta 'Wessel-Datteln?</v>
      </c>
    </row>
    <row r="20394" ht="15.75" customHeight="1">
      <c r="A20394" s="2" t="s">
        <v>20394</v>
      </c>
      <c r="B20394" s="2" t="str">
        <f>IFERROR(__xludf.DUMMYFUNCTION("GOOGLETRANSLATE(A20394, ""en"", ""mt"")"),"1⁄3 pressjoni normali")</f>
        <v>1⁄3 pressjoni normali</v>
      </c>
    </row>
    <row r="20395" ht="15.75" customHeight="1">
      <c r="A20395" s="2" t="s">
        <v>20395</v>
      </c>
      <c r="B20395" s="2" t="str">
        <f>IFERROR(__xludf.DUMMYFUNCTION("GOOGLETRANSLATE(A20395, ""en"", ""mt"")"),"Huwa ġie megħlub")</f>
        <v>Huwa ġie megħlub</v>
      </c>
    </row>
    <row r="20396" ht="15.75" customHeight="1">
      <c r="A20396" s="2" t="s">
        <v>20396</v>
      </c>
      <c r="B20396" s="2" t="str">
        <f>IFERROR(__xludf.DUMMYFUNCTION("GOOGLETRANSLATE(A20396, ""en"", ""mt"")"),"Meta sar studju tal-kontej Żvediżi?")</f>
        <v>Meta sar studju tal-kontej Żvediżi?</v>
      </c>
    </row>
    <row r="20397" ht="15.75" customHeight="1">
      <c r="A20397" s="2" t="s">
        <v>20397</v>
      </c>
      <c r="B20397" s="2" t="str">
        <f>IFERROR(__xludf.DUMMYFUNCTION("GOOGLETRANSLATE(A20397, ""en"", ""mt"")"),"Ħafna drabi, il-liġijiet tal-istat individwali jiddeskrivu dak li jiddefinixxi relazzjoni valida tal-pazjent-toctor")</f>
        <v>Ħafna drabi, il-liġijiet tal-istat individwali jiddeskrivu dak li jiddefinixxi relazzjoni valida tal-pazjent-toctor</v>
      </c>
    </row>
    <row r="20398" ht="15.75" customHeight="1">
      <c r="A20398" s="2" t="s">
        <v>20398</v>
      </c>
      <c r="B20398" s="2" t="str">
        <f>IFERROR(__xludf.DUMMYFUNCTION("GOOGLETRANSLATE(A20398, ""en"", ""mt"")"),"Lil fejn ħarbu Ethelred?")</f>
        <v>Lil fejn ħarbu Ethelred?</v>
      </c>
    </row>
    <row r="20399" ht="15.75" customHeight="1">
      <c r="A20399" s="2" t="s">
        <v>20399</v>
      </c>
      <c r="B20399" s="2" t="str">
        <f>IFERROR(__xludf.DUMMYFUNCTION("GOOGLETRANSLATE(A20399, ""en"", ""mt"")"),"Enrico Fermi")</f>
        <v>Enrico Fermi</v>
      </c>
    </row>
    <row r="20400" ht="15.75" customHeight="1">
      <c r="A20400" s="2" t="s">
        <v>20400</v>
      </c>
      <c r="B20400" s="2" t="str">
        <f>IFERROR(__xludf.DUMMYFUNCTION("GOOGLETRANSLATE(A20400, ""en"", ""mt"")"),"1964")</f>
        <v>1964</v>
      </c>
    </row>
    <row r="20401" ht="15.75" customHeight="1">
      <c r="A20401" s="2" t="s">
        <v>20401</v>
      </c>
      <c r="B20401" s="2" t="str">
        <f>IFERROR(__xludf.DUMMYFUNCTION("GOOGLETRANSLATE(A20401, ""en"", ""mt"")"),"Innat")</f>
        <v>Innat</v>
      </c>
    </row>
    <row r="20402" ht="15.75" customHeight="1">
      <c r="A20402" s="2" t="s">
        <v>20402</v>
      </c>
      <c r="B20402" s="2" t="str">
        <f>IFERROR(__xludf.DUMMYFUNCTION("GOOGLETRANSLATE(A20402, ""en"", ""mt"")"),"forma intermedjarja theta")</f>
        <v>forma intermedjarja theta</v>
      </c>
    </row>
    <row r="20403" ht="15.75" customHeight="1">
      <c r="A20403" s="2" t="s">
        <v>20403</v>
      </c>
      <c r="B20403" s="2" t="str">
        <f>IFERROR(__xludf.DUMMYFUNCTION("GOOGLETRANSLATE(A20403, ""en"", ""mt"")"),"Min kien ir-raġel ta 'Margaret?")</f>
        <v>Min kien ir-raġel ta 'Margaret?</v>
      </c>
    </row>
    <row r="20404" ht="15.75" customHeight="1">
      <c r="A20404" s="2" t="s">
        <v>20404</v>
      </c>
      <c r="B20404" s="2" t="str">
        <f>IFERROR(__xludf.DUMMYFUNCTION("GOOGLETRANSLATE(A20404, ""en"", ""mt"")"),"X'kienet l-ispiża tal-bidu għal kummerċ tat-TV li jdum 30 sekonda u l-arja matul is-Super Bowl 50?")</f>
        <v>X'kienet l-ispiża tal-bidu għal kummerċ tat-TV li jdum 30 sekonda u l-arja matul is-Super Bowl 50?</v>
      </c>
    </row>
    <row r="20405" ht="15.75" customHeight="1">
      <c r="A20405" s="2" t="s">
        <v>20405</v>
      </c>
      <c r="B20405" s="2" t="str">
        <f>IFERROR(__xludf.DUMMYFUNCTION("GOOGLETRANSLATE(A20405, ""en"", ""mt"")"),"Ara l-ebda ħtieġa li taċċetta kastig għal ksur tal-liġi kriminali li ma tikserx id-drittijiet ta 'ħaddieħor")</f>
        <v>Ara l-ebda ħtieġa li taċċetta kastig għal ksur tal-liġi kriminali li ma tikserx id-drittijiet ta 'ħaddieħor</v>
      </c>
    </row>
    <row r="20406" ht="15.75" customHeight="1">
      <c r="A20406" s="2" t="s">
        <v>20406</v>
      </c>
      <c r="B20406" s="2" t="str">
        <f>IFERROR(__xludf.DUMMYFUNCTION("GOOGLETRANSLATE(A20406, ""en"", ""mt"")"),"Madwar 515 miljun sena")</f>
        <v>Madwar 515 miljun sena</v>
      </c>
    </row>
    <row r="20407" ht="15.75" customHeight="1">
      <c r="A20407" s="2" t="s">
        <v>20407</v>
      </c>
      <c r="B20407" s="2" t="str">
        <f>IFERROR(__xludf.DUMMYFUNCTION("GOOGLETRANSLATE(A20407, ""en"", ""mt"")"),"individwi")</f>
        <v>individwi</v>
      </c>
    </row>
    <row r="20408" ht="15.75" customHeight="1">
      <c r="A20408" s="2" t="s">
        <v>20408</v>
      </c>
      <c r="B20408" s="2" t="str">
        <f>IFERROR(__xludf.DUMMYFUNCTION("GOOGLETRANSLATE(A20408, ""en"", ""mt"")"),"Madwar 90,790")</f>
        <v>Madwar 90,790</v>
      </c>
    </row>
    <row r="20409" ht="15.75" customHeight="1">
      <c r="A20409" s="2" t="s">
        <v>20409</v>
      </c>
      <c r="B20409" s="2" t="str">
        <f>IFERROR(__xludf.DUMMYFUNCTION("GOOGLETRANSLATE(A20409, ""en"", ""mt"")"),"1940")</f>
        <v>1940</v>
      </c>
    </row>
    <row r="20410" ht="15.75" customHeight="1">
      <c r="A20410" s="2" t="s">
        <v>20410</v>
      </c>
      <c r="B20410" s="2" t="str">
        <f>IFERROR(__xludf.DUMMYFUNCTION("GOOGLETRANSLATE(A20410, ""en"", ""mt"")"),"Liema belt ta 'Florida għandha l-akbar popolazzjoni?")</f>
        <v>Liema belt ta 'Florida għandha l-akbar popolazzjoni?</v>
      </c>
    </row>
    <row r="20411" ht="15.75" customHeight="1">
      <c r="A20411" s="2" t="s">
        <v>20411</v>
      </c>
      <c r="B20411" s="2" t="str">
        <f>IFERROR(__xludf.DUMMYFUNCTION("GOOGLETRANSLATE(A20411, ""en"", ""mt"")"),"X'tip ta 'vot għandu jgħaddi l-Kunsill sabiex japprova xi tibdil irrakkomandat mill-Parlament?")</f>
        <v>X'tip ta 'vot għandu jgħaddi l-Kunsill sabiex japprova xi tibdil irrakkomandat mill-Parlament?</v>
      </c>
    </row>
    <row r="20412" ht="15.75" customHeight="1">
      <c r="A20412" s="2" t="s">
        <v>20412</v>
      </c>
      <c r="B20412" s="2" t="str">
        <f>IFERROR(__xludf.DUMMYFUNCTION("GOOGLETRANSLATE(A20412, ""en"", ""mt"")"),"Imwiet ta 'żewġ ħbieb")</f>
        <v>Imwiet ta 'żewġ ħbieb</v>
      </c>
    </row>
    <row r="20413" ht="15.75" customHeight="1">
      <c r="A20413" s="2" t="s">
        <v>20413</v>
      </c>
      <c r="B20413" s="2" t="str">
        <f>IFERROR(__xludf.DUMMYFUNCTION("GOOGLETRANSLATE(A20413, ""en"", ""mt"")"),"X'inhu t-tort għall-piżijiet fil-kura tas-saħħa fil-Kenja?")</f>
        <v>X'inhu t-tort għall-piżijiet fil-kura tas-saħħa fil-Kenja?</v>
      </c>
    </row>
    <row r="20414" ht="15.75" customHeight="1">
      <c r="A20414" s="2" t="s">
        <v>20414</v>
      </c>
      <c r="B20414" s="2" t="str">
        <f>IFERROR(__xludf.DUMMYFUNCTION("GOOGLETRANSLATE(A20414, ""en"", ""mt"")"),"ċelloli T tal-għajnuna, ċelloli T ċitotossiċi u ċelloli NK")</f>
        <v>ċelloli T tal-għajnuna, ċelloli T ċitotossiċi u ċelloli NK</v>
      </c>
    </row>
    <row r="20415" ht="15.75" customHeight="1">
      <c r="A20415" s="2" t="s">
        <v>20415</v>
      </c>
      <c r="B20415" s="2" t="str">
        <f>IFERROR(__xludf.DUMMYFUNCTION("GOOGLETRANSLATE(A20415, ""en"", ""mt"")"),"10 sa 15-il miljun persuna")</f>
        <v>10 sa 15-il miljun persuna</v>
      </c>
    </row>
    <row r="20416" ht="15.75" customHeight="1">
      <c r="A20416" s="2" t="s">
        <v>20416</v>
      </c>
      <c r="B20416" s="2" t="str">
        <f>IFERROR(__xludf.DUMMYFUNCTION("GOOGLETRANSLATE(A20416, ""en"", ""mt"")"),"Il-V &amp; A tinsab fid-distrett ta 'Brompton tar-Royal Borough ta' Kensington u Chelsea")</f>
        <v>Il-V &amp; A tinsab fid-distrett ta 'Brompton tar-Royal Borough ta' Kensington u Chelsea</v>
      </c>
    </row>
    <row r="20417" ht="15.75" customHeight="1">
      <c r="A20417" s="2" t="s">
        <v>20417</v>
      </c>
      <c r="B20417" s="2" t="str">
        <f>IFERROR(__xludf.DUMMYFUNCTION("GOOGLETRANSLATE(A20417, ""en"", ""mt"")"),"Liema strument jintuża biex jeżamina l-prestazzjoni tal-magna tal-fwar?")</f>
        <v>Liema strument jintuża biex jeżamina l-prestazzjoni tal-magna tal-fwar?</v>
      </c>
    </row>
    <row r="20418" ht="15.75" customHeight="1">
      <c r="A20418" s="2" t="s">
        <v>20418</v>
      </c>
      <c r="B20418" s="2" t="str">
        <f>IFERROR(__xludf.DUMMYFUNCTION("GOOGLETRANSLATE(A20418, ""en"", ""mt"")"),"Liema fenomenu naturali tesla ħolqot artifiċjalment?")</f>
        <v>Liema fenomenu naturali tesla ħolqot artifiċjalment?</v>
      </c>
    </row>
    <row r="20419" ht="15.75" customHeight="1">
      <c r="A20419" s="2" t="s">
        <v>20419</v>
      </c>
      <c r="B20419" s="2" t="str">
        <f>IFERROR(__xludf.DUMMYFUNCTION("GOOGLETRANSLATE(A20419, ""en"", ""mt"")"),"il-wan kbir")</f>
        <v>il-wan kbir</v>
      </c>
    </row>
    <row r="20420" ht="15.75" customHeight="1">
      <c r="A20420" s="2" t="s">
        <v>20420</v>
      </c>
      <c r="B20420" s="2" t="str">
        <f>IFERROR(__xludf.DUMMYFUNCTION("GOOGLETRANSLATE(A20420, ""en"", ""mt"")"),"It-tankijiet tas-saborra tal-vapuri")</f>
        <v>It-tankijiet tas-saborra tal-vapuri</v>
      </c>
    </row>
    <row r="20421" ht="15.75" customHeight="1">
      <c r="A20421" s="2" t="s">
        <v>20421</v>
      </c>
      <c r="B20421" s="2" t="str">
        <f>IFERROR(__xludf.DUMMYFUNCTION("GOOGLETRANSLATE(A20421, ""en"", ""mt"")"),"tliet mitt sena")</f>
        <v>tliet mitt sena</v>
      </c>
    </row>
    <row r="20422" ht="15.75" customHeight="1">
      <c r="A20422" s="2" t="s">
        <v>20422</v>
      </c>
      <c r="B20422" s="2" t="str">
        <f>IFERROR(__xludf.DUMMYFUNCTION("GOOGLETRANSLATE(A20422, ""en"", ""mt"")"),"Min kien l-ewwel direttur tal-V &amp; A?")</f>
        <v>Min kien l-ewwel direttur tal-V &amp; A?</v>
      </c>
    </row>
    <row r="20423" ht="15.75" customHeight="1">
      <c r="A20423" s="2" t="s">
        <v>20423</v>
      </c>
      <c r="B20423" s="2" t="str">
        <f>IFERROR(__xludf.DUMMYFUNCTION("GOOGLETRANSLATE(A20423, ""en"", ""mt"")"),"X'inhu ppreservat f'sistema magħluqa ta 'forzi meta aġixxiet?")</f>
        <v>X'inhu ppreservat f'sistema magħluqa ta 'forzi meta aġixxiet?</v>
      </c>
    </row>
    <row r="20424" ht="15.75" customHeight="1">
      <c r="A20424" s="2" t="s">
        <v>20424</v>
      </c>
      <c r="B20424" s="2" t="str">
        <f>IFERROR(__xludf.DUMMYFUNCTION("GOOGLETRANSLATE(A20424, ""en"", ""mt"")"),"aġixxa dejjem aktar aggressiv biex iġġiegħel lill-huguenots jikkonvertu")</f>
        <v>aġixxa dejjem aktar aggressiv biex iġġiegħel lill-huguenots jikkonvertu</v>
      </c>
    </row>
    <row r="20425" ht="15.75" customHeight="1">
      <c r="A20425" s="2" t="s">
        <v>20425</v>
      </c>
      <c r="B20425" s="2" t="str">
        <f>IFERROR(__xludf.DUMMYFUNCTION("GOOGLETRANSLATE(A20425, ""en"", ""mt"")"),"Liema suq minbarra Harrogate, Cheltenham, Bath, Inner London, Hastings u Brighton huwa żżejjed?")</f>
        <v>Liema suq minbarra Harrogate, Cheltenham, Bath, Inner London, Hastings u Brighton huwa żżejjed?</v>
      </c>
    </row>
    <row r="20426" ht="15.75" customHeight="1">
      <c r="A20426" s="2" t="s">
        <v>20426</v>
      </c>
      <c r="B20426" s="2" t="str">
        <f>IFERROR(__xludf.DUMMYFUNCTION("GOOGLETRANSLATE(A20426, ""en"", ""mt"")"),"Is-sistema tal-librerija tal-Università ta ’Chicago tiġbor fiha sitt libreriji li fihom total ta’ 9.8 miljun volum, il-11 l-iktar fost is-sistemi tal-librerija fl-Istati Uniti. Il-librerija ewlenija tal-università hija l-Librerija Regenstein, li fiha waħd"&amp;"a mill-ikbar kollezzjonijiet ta 'volumi stampati fl-Istati Uniti. Il-librerija Joe u Rika Mansueto, mibnija fl-2011, tospita spazju kbir ta 'studju u sistema awtomatika ta' ħażna u rkupru ta 'kotba. Il-librerija John Crerar fiha aktar minn 1.3 miljun volu"&amp;"m fix-xjenzi bijoloġiċi, mediċi u fiżiċi u kollezzjonijiet fix-xjenza ġenerali u l-filosofija u l-istorja tax-xjenza, il-mediċina, u t-teknoloġija. L-università topera wkoll numru ta 'libreriji speċjali, inklużi l-Librerija tal-Liġi D'Angelo, il-Librerija"&amp;" tal-Amministrazzjoni tas-Servizz Soċjali, u l-Librerija Eckhart għall-Matematika u x-Xjenza tal-Kompjuter, li għalqet temporanjament għar-rinnovazzjoni fit-8 ta' Lulju, 2013. Harper Memorial Library m'għadhiex fih xi volumi; Madankollu huwa, minbarra l-l"&amp;"ibrerija Regenstein, spazju ta 'studju ta' 24 siegħa fuq il-kampus.")</f>
        <v>Is-sistema tal-librerija tal-Università ta ’Chicago tiġbor fiha sitt libreriji li fihom total ta’ 9.8 miljun volum, il-11 l-iktar fost is-sistemi tal-librerija fl-Istati Uniti. Il-librerija ewlenija tal-università hija l-Librerija Regenstein, li fiha waħda mill-ikbar kollezzjonijiet ta 'volumi stampati fl-Istati Uniti. Il-librerija Joe u Rika Mansueto, mibnija fl-2011, tospita spazju kbir ta 'studju u sistema awtomatika ta' ħażna u rkupru ta 'kotba. Il-librerija John Crerar fiha aktar minn 1.3 miljun volum fix-xjenzi bijoloġiċi, mediċi u fiżiċi u kollezzjonijiet fix-xjenza ġenerali u l-filosofija u l-istorja tax-xjenza, il-mediċina, u t-teknoloġija. L-università topera wkoll numru ta 'libreriji speċjali, inklużi l-Librerija tal-Liġi D'Angelo, il-Librerija tal-Amministrazzjoni tas-Servizz Soċjali, u l-Librerija Eckhart għall-Matematika u x-Xjenza tal-Kompjuter, li għalqet temporanjament għar-rinnovazzjoni fit-8 ta' Lulju, 2013. Harper Memorial Library m'għadhiex fih xi volumi; Madankollu huwa, minbarra l-librerija Regenstein, spazju ta 'studju ta' 24 siegħa fuq il-kampus.</v>
      </c>
    </row>
    <row r="20427" ht="15.75" customHeight="1">
      <c r="A20427" s="2" t="s">
        <v>20427</v>
      </c>
      <c r="B20427" s="2" t="str">
        <f>IFERROR(__xludf.DUMMYFUNCTION("GOOGLETRANSLATE(A20427, ""en"", ""mt"")"),"X'jista 'jirriżulta fil-ħolqien ta' nassa tal-faqar?")</f>
        <v>X'jista 'jirriżulta fil-ħolqien ta' nassa tal-faqar?</v>
      </c>
    </row>
    <row r="20428" ht="15.75" customHeight="1">
      <c r="A20428" s="2" t="s">
        <v>20428</v>
      </c>
      <c r="B20428" s="2" t="str">
        <f>IFERROR(__xludf.DUMMYFUNCTION("GOOGLETRANSLATE(A20428, ""en"", ""mt"")"),"Liema teatru kien l-aħjar eżempju ta '""teatru monumentali Pollakk""?")</f>
        <v>Liema teatru kien l-aħjar eżempju ta '"teatru monumentali Pollakk"?</v>
      </c>
    </row>
    <row r="20429" ht="15.75" customHeight="1">
      <c r="A20429" s="2" t="s">
        <v>20429</v>
      </c>
      <c r="B20429" s="2" t="str">
        <f>IFERROR(__xludf.DUMMYFUNCTION("GOOGLETRANSLATE(A20429, ""en"", ""mt"")"),"Kompożizzjoni organika tal-kapital")</f>
        <v>Kompożizzjoni organika tal-kapital</v>
      </c>
    </row>
    <row r="20430" ht="15.75" customHeight="1">
      <c r="A20430" s="2" t="s">
        <v>20430</v>
      </c>
      <c r="B20430" s="2" t="str">
        <f>IFERROR(__xludf.DUMMYFUNCTION("GOOGLETRANSLATE(A20430, ""en"", ""mt"")"),"X'jista 'ssir il-foresta tal-Amażonja jekk tgħaddi l-punt tat-twaddib u tibda tmut?")</f>
        <v>X'jista 'ssir il-foresta tal-Amażonja jekk tgħaddi l-punt tat-twaddib u tibda tmut?</v>
      </c>
    </row>
    <row r="20431" ht="15.75" customHeight="1">
      <c r="A20431" s="2" t="s">
        <v>20431</v>
      </c>
      <c r="B20431" s="2" t="str">
        <f>IFERROR(__xludf.DUMMYFUNCTION("GOOGLETRANSLATE(A20431, ""en"", ""mt"")"),"Larry Roberts")</f>
        <v>Larry Roberts</v>
      </c>
    </row>
    <row r="20432" ht="15.75" customHeight="1">
      <c r="A20432" s="2" t="s">
        <v>20432</v>
      </c>
      <c r="B20432" s="2" t="str">
        <f>IFERROR(__xludf.DUMMYFUNCTION("GOOGLETRANSLATE(A20432, ""en"", ""mt"")"),"X'inhu l-isem għan-nixxigħat iżgħar tul ir-reġjun tal-Ġermanja tat-Tramuntana?")</f>
        <v>X'inhu l-isem għan-nixxigħat iżgħar tul ir-reġjun tal-Ġermanja tat-Tramuntana?</v>
      </c>
    </row>
    <row r="20433" ht="15.75" customHeight="1">
      <c r="A20433" s="2" t="s">
        <v>20433</v>
      </c>
      <c r="B20433" s="2" t="str">
        <f>IFERROR(__xludf.DUMMYFUNCTION("GOOGLETRANSLATE(A20433, ""en"", ""mt"")"),"Liema serje ġdida tkompli l-plott tat-tabib oriġinali min?")</f>
        <v>Liema serje ġdida tkompli l-plott tat-tabib oriġinali min?</v>
      </c>
    </row>
    <row r="20434" ht="15.75" customHeight="1">
      <c r="A20434" s="2" t="s">
        <v>20434</v>
      </c>
      <c r="B20434" s="2" t="str">
        <f>IFERROR(__xludf.DUMMYFUNCTION("GOOGLETRANSLATE(A20434, ""en"", ""mt"")"),"Ilkhanate")</f>
        <v>Ilkhanate</v>
      </c>
    </row>
    <row r="20435" ht="15.75" customHeight="1">
      <c r="A20435" s="2" t="s">
        <v>20435</v>
      </c>
      <c r="B20435" s="2" t="str">
        <f>IFERROR(__xludf.DUMMYFUNCTION("GOOGLETRANSLATE(A20435, ""en"", ""mt"")"),"Liema vettura spazjali ġiet ittestjata f'żewġ kmamar tal-vakwu biex tissimula l-pressjoni atmosferika?")</f>
        <v>Liema vettura spazjali ġiet ittestjata f'żewġ kmamar tal-vakwu biex tissimula l-pressjoni atmosferika?</v>
      </c>
    </row>
    <row r="20436" ht="15.75" customHeight="1">
      <c r="A20436" s="2" t="s">
        <v>20436</v>
      </c>
      <c r="B20436" s="2" t="str">
        <f>IFERROR(__xludf.DUMMYFUNCTION("GOOGLETRANSLATE(A20436, ""en"", ""mt"")"),"l-ispirall")</f>
        <v>l-ispirall</v>
      </c>
    </row>
    <row r="20437" ht="15.75" customHeight="1">
      <c r="A20437" s="2" t="s">
        <v>20437</v>
      </c>
      <c r="B20437" s="2" t="str">
        <f>IFERROR(__xludf.DUMMYFUNCTION("GOOGLETRANSLATE(A20437, ""en"", ""mt"")"),"xewqa li tipprevjeni affarijiet li huma indiskutibbli ħżiena")</f>
        <v>xewqa li tipprevjeni affarijiet li huma indiskutibbli ħżiena</v>
      </c>
    </row>
    <row r="20438" ht="15.75" customHeight="1">
      <c r="A20438" s="2" t="s">
        <v>20438</v>
      </c>
      <c r="B20438" s="2" t="str">
        <f>IFERROR(__xludf.DUMMYFUNCTION("GOOGLETRANSLATE(A20438, ""en"", ""mt"")"),"X'inhuma l-aktar tliet elementi abbundanti tal-univers bil-massa?")</f>
        <v>X'inhuma l-aktar tliet elementi abbundanti tal-univers bil-massa?</v>
      </c>
    </row>
    <row r="20439" ht="15.75" customHeight="1">
      <c r="A20439" s="2" t="s">
        <v>20439</v>
      </c>
      <c r="B20439" s="2" t="str">
        <f>IFERROR(__xludf.DUMMYFUNCTION("GOOGLETRANSLATE(A20439, ""en"", ""mt"")"),"Fl-1066")</f>
        <v>Fl-1066</v>
      </c>
    </row>
    <row r="20440" ht="15.75" customHeight="1">
      <c r="A20440" s="2" t="s">
        <v>20440</v>
      </c>
      <c r="B20440" s="2" t="str">
        <f>IFERROR(__xludf.DUMMYFUNCTION("GOOGLETRANSLATE(A20440, ""en"", ""mt"")"),"1545")</f>
        <v>1545</v>
      </c>
    </row>
    <row r="20441" ht="15.75" customHeight="1">
      <c r="A20441" s="2" t="s">
        <v>20441</v>
      </c>
      <c r="B20441" s="2" t="str">
        <f>IFERROR(__xludf.DUMMYFUNCTION("GOOGLETRANSLATE(A20441, ""en"", ""mt"")"),"Pajjiżi - fl-Asja tal-Lvant")</f>
        <v>Pajjiżi - fl-Asja tal-Lvant</v>
      </c>
    </row>
    <row r="20442" ht="15.75" customHeight="1">
      <c r="A20442" s="2" t="s">
        <v>20442</v>
      </c>
      <c r="B20442" s="2" t="str">
        <f>IFERROR(__xludf.DUMMYFUNCTION("GOOGLETRANSLATE(A20442, ""en"", ""mt"")"),"X'kienet il-klassifikazzjoni tal-passer ta 'Peyton Manning għall-istaġun?")</f>
        <v>X'kienet il-klassifikazzjoni tal-passer ta 'Peyton Manning għall-istaġun?</v>
      </c>
    </row>
    <row r="20443" ht="15.75" customHeight="1">
      <c r="A20443" s="2" t="s">
        <v>20443</v>
      </c>
      <c r="B20443" s="2" t="str">
        <f>IFERROR(__xludf.DUMMYFUNCTION("GOOGLETRANSLATE(A20443, ""en"", ""mt"")"),"L-inklużjoni tal-Kenja fost il-benefiċjarji tal-Att dwar it-Tkabbir u l-Opportunità Afrikana tal-Gvern Amerikan (AGOA) tat spinta lill-manifattura f'dawn l-aħħar snin. Minn meta AGOA daħlet fis-seħħ fl-2000, il-bejgħ tal-ħwejjeġ tal-Kenja lill-Istati Unit"&amp;"i żdied minn US $ 44 miljun għal US $ 270 miljun (2006). [Ċitazzjoni meħtieġa] inizjattivi oħra biex isaħħu l-manifattura kienu l-miżuri tat-taxxa favorevoli tal-gvern, inkluż it-tneħħija tad-dmir fuq tagħmir kapitali u materja prima oħra. [Ċitazzjoni meħ"&amp;"tieġa]")</f>
        <v>L-inklużjoni tal-Kenja fost il-benefiċjarji tal-Att dwar it-Tkabbir u l-Opportunità Afrikana tal-Gvern Amerikan (AGOA) tat spinta lill-manifattura f'dawn l-aħħar snin. Minn meta AGOA daħlet fis-seħħ fl-2000, il-bejgħ tal-ħwejjeġ tal-Kenja lill-Istati Uniti żdied minn US $ 44 miljun għal US $ 270 miljun (2006). [Ċitazzjoni meħtieġa] inizjattivi oħra biex isaħħu l-manifattura kienu l-miżuri tat-taxxa favorevoli tal-gvern, inkluż it-tneħħija tad-dmir fuq tagħmir kapitali u materja prima oħra. [Ċitazzjoni meħtieġa]</v>
      </c>
    </row>
    <row r="20444" ht="15.75" customHeight="1">
      <c r="A20444" s="2" t="s">
        <v>20444</v>
      </c>
      <c r="B20444" s="2" t="str">
        <f>IFERROR(__xludf.DUMMYFUNCTION("GOOGLETRANSLATE(A20444, ""en"", ""mt"")"),"Thomson")</f>
        <v>Thomson</v>
      </c>
    </row>
    <row r="20445" ht="15.75" customHeight="1">
      <c r="A20445" s="2" t="s">
        <v>20445</v>
      </c>
      <c r="B20445" s="2" t="str">
        <f>IFERROR(__xludf.DUMMYFUNCTION("GOOGLETRANSLATE(A20445, ""en"", ""mt"")"),"L-ABC meta bdiet tixxandar il-Rockin 'Eve tas-Sena l-Ġdida ta' Dick Clark?")</f>
        <v>L-ABC meta bdiet tixxandar il-Rockin 'Eve tas-Sena l-Ġdida ta' Dick Clark?</v>
      </c>
    </row>
    <row r="20446" ht="15.75" customHeight="1">
      <c r="A20446" s="2" t="s">
        <v>20446</v>
      </c>
      <c r="B20446" s="2" t="str">
        <f>IFERROR(__xludf.DUMMYFUNCTION("GOOGLETRANSLATE(A20446, ""en"", ""mt"")"),"Kampanja tal-gwerra tal-gwerillieri")</f>
        <v>Kampanja tal-gwerra tal-gwerillieri</v>
      </c>
    </row>
    <row r="20447" ht="15.75" customHeight="1">
      <c r="A20447" s="2" t="s">
        <v>20447</v>
      </c>
      <c r="B20447" s="2" t="str">
        <f>IFERROR(__xludf.DUMMYFUNCTION("GOOGLETRANSLATE(A20447, ""en"", ""mt"")"),"6 ta 'Jannar, 1913")</f>
        <v>6 ta 'Jannar, 1913</v>
      </c>
    </row>
    <row r="20448" ht="15.75" customHeight="1">
      <c r="A20448" s="2" t="s">
        <v>20448</v>
      </c>
      <c r="B20448" s="2" t="str">
        <f>IFERROR(__xludf.DUMMYFUNCTION("GOOGLETRANSLATE(A20448, ""en"", ""mt"")"),"X'tip ta 'gradjenti huma ffurmati minn difetti u proċessi oħra ta' deformazzjoni?")</f>
        <v>X'tip ta 'gradjenti huma ffurmati minn difetti u proċessi oħra ta' deformazzjoni?</v>
      </c>
    </row>
    <row r="20449" ht="15.75" customHeight="1">
      <c r="A20449" s="2" t="s">
        <v>20449</v>
      </c>
      <c r="B20449" s="2" t="str">
        <f>IFERROR(__xludf.DUMMYFUNCTION("GOOGLETRANSLATE(A20449, ""en"", ""mt"")"),"ċelloli tal-moħħ")</f>
        <v>ċelloli tal-moħħ</v>
      </c>
    </row>
    <row r="20450" ht="15.75" customHeight="1">
      <c r="A20450" s="2" t="s">
        <v>20450</v>
      </c>
      <c r="B20450" s="2" t="str">
        <f>IFERROR(__xludf.DUMMYFUNCTION("GOOGLETRANSLATE(A20450, ""en"", ""mt"")"),"każ tal-ġurisprudenza mill-Qorti tal-Ġustizzja, il-Liġi Internazzjonali u l-Prinċipji Ġenerali tal-Liġi tal-Unjoni Ewropea")</f>
        <v>każ tal-ġurisprudenza mill-Qorti tal-Ġustizzja, il-Liġi Internazzjonali u l-Prinċipji Ġenerali tal-Liġi tal-Unjoni Ewropea</v>
      </c>
    </row>
    <row r="20451" ht="15.75" customHeight="1">
      <c r="A20451" s="2" t="s">
        <v>20451</v>
      </c>
      <c r="B20451" s="2" t="str">
        <f>IFERROR(__xludf.DUMMYFUNCTION("GOOGLETRANSLATE(A20451, ""en"", ""mt"")"),"Kemm qed jintefqu flus fuq avvenimenti oħra relatati mas-Super Bowl?")</f>
        <v>Kemm qed jintefqu flus fuq avvenimenti oħra relatati mas-Super Bowl?</v>
      </c>
    </row>
    <row r="20452" ht="15.75" customHeight="1">
      <c r="A20452" s="2" t="s">
        <v>20452</v>
      </c>
      <c r="B20452" s="2" t="str">
        <f>IFERROR(__xludf.DUMMYFUNCTION("GOOGLETRANSLATE(A20452, ""en"", ""mt"")"),"Liema netwerk tar-radju kien qed juża RCA biex telimina l-kompetizzjoni fl-1940?")</f>
        <v>Liema netwerk tar-radju kien qed juża RCA biex telimina l-kompetizzjoni fl-1940?</v>
      </c>
    </row>
    <row r="20453" ht="15.75" customHeight="1">
      <c r="A20453" s="2" t="s">
        <v>20453</v>
      </c>
      <c r="B20453" s="2" t="str">
        <f>IFERROR(__xludf.DUMMYFUNCTION("GOOGLETRANSLATE(A20453, ""en"", ""mt"")"),"Trotsky, u oħrajn, emmnu li r-rivoluzzjoni tista 'tirnexxi biss fir-Russja bħala parti minn rivoluzzjoni dinjija. Lenin kiteb b'mod estensiv dwar il-kwistjoni u ddikjara famuż li l-imperjalizmu kien l-ogħla stadju tal-kapitaliżmu. Madankollu, wara l-mewt "&amp;"ta 'Lenin, Joseph Stalin stabbilixxa ""Soċjaliżmu f'pajjiż wieħed"" għall-Unjoni Sovjetika, u ħoloq il-mudell għal stati stalinisti sussegwenti li jħarsu' l ġewwa u jnaddfu l-elementi internazzjonalisti bikrija. It-tendenzi internazzjonalisti tar-rivoluzz"&amp;"joni bikrija jiġu abbandunati sakemm jirritornaw fil-qafas ta 'stat ta' klijent f'kompetizzjoni mal-Amerikani matul il-Gwerra Bierda. Bil-bidu tal-era l-ġdida, il-perjodu ta 'wara Stalin sejjaħ ""jinħall"", fl-aħħar tas-snin 1950, il-mexxej politiku l-ġdi"&amp;"d Nikita Khrushchev għamel pressjoni saħansitra aktar fuq ir-relazzjonijiet Sovjetiċi-Amerikani li jibdew mewġa ġdida ta' propaganda anti-imperialista. Fid-diskors tiegħu dwar il-Konferenza tan-NU fl-1960, huwa ħabbar it-tkomplija tal-gwerra għall-imperja"&amp;"lizmu, u ddikjara li dalwaqt in-nies ta 'pajjiżi differenti se jingħaqdu flimkien u jwaqqa' l-mexxejja imperjalisti tagħhom. Għalkemm l-Unjoni Sovjetika ddikjarat lilha nnifisha anti-imperjalista, il-kritiċi jargumentaw li hija wriet tendenzi komuni għall"&amp;"-imperi storiċi. Xi studjużi jsostnu li l-Unjoni Sovjetika kienet entità ibrida li fiha elementi komuni kemm għall-imperi multinazzjonali kif ukoll għall-istati nazzjon. Ġie argumentat ukoll li l-URSS ipprattika l-kolonjaliżmu bħalma għamlu poteri imperja"&amp;"li oħra u kienet qed tmexxi t-tradizzjoni antika Russa ta 'espansjoni u kontroll. Mao Zedong darba argumenta li l-Unjoni Sovjetika kienet stess saret poter imperjalista waqt li żżomm faċċata soċjalista. Barra minn hekk, l-ideat tal-imperjalizmu kienu mifr"&amp;"uxa ħafna fl-azzjoni fuq il-livelli ogħla tal-gvern. Marxisti mhux Russi fil-Federazzjoni Russa u aktar tard l-USSR, bħas-Sultan Galiev u l-Vasyl Shakhrai, ikkunsidraw ir-reġim Sovjetiku verżjoni mġedda tal-imperjalizmu u l-kolonjaliżmu Russu.")</f>
        <v>Trotsky, u oħrajn, emmnu li r-rivoluzzjoni tista 'tirnexxi biss fir-Russja bħala parti minn rivoluzzjoni dinjija. Lenin kiteb b'mod estensiv dwar il-kwistjoni u ddikjara famuż li l-imperjalizmu kien l-ogħla stadju tal-kapitaliżmu. Madankollu, wara l-mewt ta 'Lenin, Joseph Stalin stabbilixxa "Soċjaliżmu f'pajjiż wieħed" għall-Unjoni Sovjetika, u ħoloq il-mudell għal stati stalinisti sussegwenti li jħarsu' l ġewwa u jnaddfu l-elementi internazzjonalisti bikrija. It-tendenzi internazzjonalisti tar-rivoluzzjoni bikrija jiġu abbandunati sakemm jirritornaw fil-qafas ta 'stat ta' klijent f'kompetizzjoni mal-Amerikani matul il-Gwerra Bierda. Bil-bidu tal-era l-ġdida, il-perjodu ta 'wara Stalin sejjaħ "jinħall", fl-aħħar tas-snin 1950, il-mexxej politiku l-ġdid Nikita Khrushchev għamel pressjoni saħansitra aktar fuq ir-relazzjonijiet Sovjetiċi-Amerikani li jibdew mewġa ġdida ta' propaganda anti-imperialista. Fid-diskors tiegħu dwar il-Konferenza tan-NU fl-1960, huwa ħabbar it-tkomplija tal-gwerra għall-imperjalizmu, u ddikjara li dalwaqt in-nies ta 'pajjiżi differenti se jingħaqdu flimkien u jwaqqa' l-mexxejja imperjalisti tagħhom. Għalkemm l-Unjoni Sovjetika ddikjarat lilha nnifisha anti-imperjalista, il-kritiċi jargumentaw li hija wriet tendenzi komuni għall-imperi storiċi. Xi studjużi jsostnu li l-Unjoni Sovjetika kienet entità ibrida li fiha elementi komuni kemm għall-imperi multinazzjonali kif ukoll għall-istati nazzjon. Ġie argumentat ukoll li l-URSS ipprattika l-kolonjaliżmu bħalma għamlu poteri imperjali oħra u kienet qed tmexxi t-tradizzjoni antika Russa ta 'espansjoni u kontroll. Mao Zedong darba argumenta li l-Unjoni Sovjetika kienet stess saret poter imperjalista waqt li żżomm faċċata soċjalista. Barra minn hekk, l-ideat tal-imperjalizmu kienu mifruxa ħafna fl-azzjoni fuq il-livelli ogħla tal-gvern. Marxisti mhux Russi fil-Federazzjoni Russa u aktar tard l-USSR, bħas-Sultan Galiev u l-Vasyl Shakhrai, ikkunsidraw ir-reġim Sovjetiku verżjoni mġedda tal-imperjalizmu u l-kolonjaliżmu Russu.</v>
      </c>
    </row>
    <row r="20454" ht="15.75" customHeight="1">
      <c r="A20454" s="2" t="s">
        <v>20454</v>
      </c>
      <c r="B20454" s="2" t="str">
        <f>IFERROR(__xludf.DUMMYFUNCTION("GOOGLETRANSLATE(A20454, ""en"", ""mt"")"),"F'liema nisel qiegħed Karlodinium?")</f>
        <v>F'liema nisel qiegħed Karlodinium?</v>
      </c>
    </row>
    <row r="20455" ht="15.75" customHeight="1">
      <c r="A20455" s="2" t="s">
        <v>20455</v>
      </c>
      <c r="B20455" s="2" t="str">
        <f>IFERROR(__xludf.DUMMYFUNCTION("GOOGLETRANSLATE(A20455, ""en"", ""mt"")"),"Varsavja baqgħet il-kapitali tal-Commonwealth Pollakka-Litwana sal-1796, meta ġiet annessa mir-renju tal-Prussja biex issir il-kapitali tal-provinċja tan-Nofsinhar tal-Prussja. Meħlus mill-armata ta 'Napuljun fl-1806, Varsavja saret il-kapitali tad-Dukat "&amp;"ta' Varsavja li għadu kif inħoloq. Wara l-Kungress ta ’Vjenna tal-1815, Varsavja sar iċ-ċentru tal-Kungress tal-Polonja, monarkija kostituzzjonali taħt unjoni personali mar-Russja Imperjali. L-Università Rjali ta ’Varsavja ġiet stabbilita fl-1816.")</f>
        <v>Varsavja baqgħet il-kapitali tal-Commonwealth Pollakka-Litwana sal-1796, meta ġiet annessa mir-renju tal-Prussja biex issir il-kapitali tal-provinċja tan-Nofsinhar tal-Prussja. Meħlus mill-armata ta 'Napuljun fl-1806, Varsavja saret il-kapitali tad-Dukat ta' Varsavja li għadu kif inħoloq. Wara l-Kungress ta ’Vjenna tal-1815, Varsavja sar iċ-ċentru tal-Kungress tal-Polonja, monarkija kostituzzjonali taħt unjoni personali mar-Russja Imperjali. L-Università Rjali ta ’Varsavja ġiet stabbilita fl-1816.</v>
      </c>
    </row>
    <row r="20456" ht="15.75" customHeight="1">
      <c r="A20456" s="2" t="s">
        <v>20456</v>
      </c>
      <c r="B20456" s="2" t="str">
        <f>IFERROR(__xludf.DUMMYFUNCTION("GOOGLETRANSLATE(A20456, ""en"", ""mt"")"),"Liema formazzjoni għandha xejra asimmetrika ta 'terrazzi differenti?")</f>
        <v>Liema formazzjoni għandha xejra asimmetrika ta 'terrazzi differenti?</v>
      </c>
    </row>
    <row r="20457" ht="15.75" customHeight="1">
      <c r="A20457" s="2" t="s">
        <v>20457</v>
      </c>
      <c r="B20457" s="2" t="str">
        <f>IFERROR(__xludf.DUMMYFUNCTION("GOOGLETRANSLATE(A20457, ""en"", ""mt"")"),"Liema entità għandha V / Line?")</f>
        <v>Liema entità għandha V / Line?</v>
      </c>
    </row>
    <row r="20458" ht="15.75" customHeight="1">
      <c r="A20458" s="2" t="s">
        <v>20458</v>
      </c>
      <c r="B20458" s="2" t="str">
        <f>IFERROR(__xludf.DUMMYFUNCTION("GOOGLETRANSLATE(A20458, ""en"", ""mt"")"),"Minn fejn ġew il-biċċa l-kbira tal-kloroplasti?")</f>
        <v>Minn fejn ġew il-biċċa l-kbira tal-kloroplasti?</v>
      </c>
    </row>
    <row r="20459" ht="15.75" customHeight="1">
      <c r="A20459" s="2" t="s">
        <v>20459</v>
      </c>
      <c r="B20459" s="2" t="str">
        <f>IFERROR(__xludf.DUMMYFUNCTION("GOOGLETRANSLATE(A20459, ""en"", ""mt"")"),"Minbarra t-tort ta 'San Jacinto, u t-tort ta' Elsinore, isemmu tort ieħor.")</f>
        <v>Minbarra t-tort ta 'San Jacinto, u t-tort ta' Elsinore, isemmu tort ieħor.</v>
      </c>
    </row>
    <row r="20460" ht="15.75" customHeight="1">
      <c r="A20460" s="2" t="s">
        <v>20460</v>
      </c>
      <c r="B20460" s="2" t="str">
        <f>IFERROR(__xludf.DUMMYFUNCTION("GOOGLETRANSLATE(A20460, ""en"", ""mt"")"),"Merkits")</f>
        <v>Merkits</v>
      </c>
    </row>
    <row r="20461" ht="15.75" customHeight="1">
      <c r="A20461" s="2" t="s">
        <v>20461</v>
      </c>
      <c r="B20461" s="2" t="str">
        <f>IFERROR(__xludf.DUMMYFUNCTION("GOOGLETRANSLATE(A20461, ""en"", ""mt"")"),"30")</f>
        <v>30</v>
      </c>
    </row>
    <row r="20462" ht="15.75" customHeight="1">
      <c r="A20462" s="2" t="s">
        <v>20462</v>
      </c>
      <c r="B20462" s="2" t="str">
        <f>IFERROR(__xludf.DUMMYFUNCTION("GOOGLETRANSLATE(A20462, ""en"", ""mt"")"),"Xi jfisser ABC on Demand għal telespettaturi onlajn?")</f>
        <v>Xi jfisser ABC on Demand għal telespettaturi onlajn?</v>
      </c>
    </row>
    <row r="20463" ht="15.75" customHeight="1">
      <c r="A20463" s="2" t="s">
        <v>20463</v>
      </c>
      <c r="B20463" s="2" t="str">
        <f>IFERROR(__xludf.DUMMYFUNCTION("GOOGLETRANSLATE(A20463, ""en"", ""mt"")"),"Liema nazzjonalità huwa l-perit enric miralles?")</f>
        <v>Liema nazzjonalità huwa l-perit enric miralles?</v>
      </c>
    </row>
    <row r="20464" ht="15.75" customHeight="1">
      <c r="A20464" s="2" t="s">
        <v>20464</v>
      </c>
      <c r="B20464" s="2" t="str">
        <f>IFERROR(__xludf.DUMMYFUNCTION("GOOGLETRANSLATE(A20464, ""en"", ""mt"")"),"Liema mużew jispeċjalizza fl-istorja kulturali u ċ-ċiviltajiet ta 'l-Emisferu tal-Punent?")</f>
        <v>Liema mużew jispeċjalizza fl-istorja kulturali u ċ-ċiviltajiet ta 'l-Emisferu tal-Punent?</v>
      </c>
    </row>
    <row r="20465" ht="15.75" customHeight="1">
      <c r="A20465" s="2" t="s">
        <v>20465</v>
      </c>
      <c r="B20465" s="2" t="str">
        <f>IFERROR(__xludf.DUMMYFUNCTION("GOOGLETRANSLATE(A20465, ""en"", ""mt"")"),"Kumpanija tad-Dawl Elettriku f'isem Tesla")</f>
        <v>Kumpanija tad-Dawl Elettriku f'isem Tesla</v>
      </c>
    </row>
    <row r="20466" ht="15.75" customHeight="1">
      <c r="A20466" s="2" t="s">
        <v>20466</v>
      </c>
      <c r="B20466" s="2" t="str">
        <f>IFERROR(__xludf.DUMMYFUNCTION("GOOGLETRANSLATE(A20466, ""en"", ""mt"")"),"Kloroplasti tal-glakofite")</f>
        <v>Kloroplasti tal-glakofite</v>
      </c>
    </row>
    <row r="20467" ht="15.75" customHeight="1">
      <c r="A20467" s="2" t="s">
        <v>20467</v>
      </c>
      <c r="B20467" s="2" t="str">
        <f>IFERROR(__xludf.DUMMYFUNCTION("GOOGLETRANSLATE(A20467, ""en"", ""mt"")"),"Kif qabbel ir-rapport tal-IPCC tal-2001 mar-realtà fuq il-livelli tal-baħar?")</f>
        <v>Kif qabbel ir-rapport tal-IPCC tal-2001 mar-realtà fuq il-livelli tal-baħar?</v>
      </c>
    </row>
    <row r="20468" ht="15.75" customHeight="1">
      <c r="A20468" s="2" t="s">
        <v>20468</v>
      </c>
      <c r="B20468" s="2" t="str">
        <f>IFERROR(__xludf.DUMMYFUNCTION("GOOGLETRANSLATE(A20468, ""en"", ""mt"")"),"Fl-1984 Thomas Murphy ikkuntattja lil Leonard Goldenson dwar l-għaqda ta 'ABC ma' liema kumpanija?")</f>
        <v>Fl-1984 Thomas Murphy ikkuntattja lil Leonard Goldenson dwar l-għaqda ta 'ABC ma' liema kumpanija?</v>
      </c>
    </row>
    <row r="20469" ht="15.75" customHeight="1">
      <c r="A20469" s="2" t="s">
        <v>20469</v>
      </c>
      <c r="B20469" s="2" t="str">
        <f>IFERROR(__xludf.DUMMYFUNCTION("GOOGLETRANSLATE(A20469, ""en"", ""mt"")"),"X'iktar inbidlet il-kini l-ġdida?")</f>
        <v>X'iktar inbidlet il-kini l-ġdida?</v>
      </c>
    </row>
    <row r="20470" ht="15.75" customHeight="1">
      <c r="A20470" s="2" t="s">
        <v>20470</v>
      </c>
      <c r="B20470" s="2" t="str">
        <f>IFERROR(__xludf.DUMMYFUNCTION("GOOGLETRANSLATE(A20470, ""en"", ""mt"")"),"Immaniġġja d-dipartiment tal-ispiżerija u oqsma speċjalizzati fil-prattika tal-ispiżerija")</f>
        <v>Immaniġġja d-dipartiment tal-ispiżerija u oqsma speċjalizzati fil-prattika tal-ispiżerija</v>
      </c>
    </row>
    <row r="20471" ht="15.75" customHeight="1">
      <c r="A20471" s="2" t="s">
        <v>20471</v>
      </c>
      <c r="B20471" s="2" t="str">
        <f>IFERROR(__xludf.DUMMYFUNCTION("GOOGLETRANSLATE(A20471, ""en"", ""mt"")"),"In-Normanni kienu f'kuntatt mal-Ingilterra minn data bikrija. Mhux biss ħutna oriġinali tagħhom tal-Viking għadhom ħarbu mill-kosti Ingliżi, iżda okkupaw ħafna mill-portijiet importanti faċċata tal-Ingilterra madwar il-Kanal Ingliż. Din ir-relazzjoni even"&amp;"twalment ipproduċiet rabtiet aktar mill-qrib ta 'demm permezz taż-żwieġ ta' Emma, ​​oħt id-Duka Richard II tan-Normandija, u r-Re Ethelred II tal-Ingilterra. Minħabba dan, Ethelred ħarab lejn in-Normandija fl-1013, meta kien sfurzat mir-renju tiegħu minn "&amp;"Sweyn Forkbeard. Il-waqfa tiegħu fin-Normandija (sal-1016) influwenzat lilu u lil uliedu minn Emma, ​​li baqgħu fin-Normandija wara Cnut the Great's Conquest of the Isle.")</f>
        <v>In-Normanni kienu f'kuntatt mal-Ingilterra minn data bikrija. Mhux biss ħutna oriġinali tagħhom tal-Viking għadhom ħarbu mill-kosti Ingliżi, iżda okkupaw ħafna mill-portijiet importanti faċċata tal-Ingilterra madwar il-Kanal Ingliż. Din ir-relazzjoni eventwalment ipproduċiet rabtiet aktar mill-qrib ta 'demm permezz taż-żwieġ ta' Emma, ​​oħt id-Duka Richard II tan-Normandija, u r-Re Ethelred II tal-Ingilterra. Minħabba dan, Ethelred ħarab lejn in-Normandija fl-1013, meta kien sfurzat mir-renju tiegħu minn Sweyn Forkbeard. Il-waqfa tiegħu fin-Normandija (sal-1016) influwenzat lilu u lil uliedu minn Emma, ​​li baqgħu fin-Normandija wara Cnut the Great's Conquest of the Isle.</v>
      </c>
    </row>
    <row r="20472" ht="15.75" customHeight="1">
      <c r="A20472" s="2" t="s">
        <v>20472</v>
      </c>
      <c r="B20472" s="2" t="str">
        <f>IFERROR(__xludf.DUMMYFUNCTION("GOOGLETRANSLATE(A20472, ""en"", ""mt"")"),"Lulju 1961")</f>
        <v>Lulju 1961</v>
      </c>
    </row>
    <row r="20473" ht="15.75" customHeight="1">
      <c r="A20473" s="2" t="s">
        <v>20473</v>
      </c>
      <c r="B20473" s="2" t="str">
        <f>IFERROR(__xludf.DUMMYFUNCTION("GOOGLETRANSLATE(A20473, ""en"", ""mt"")"),"Il-bidu tat-televiżjoni diġitali ppermettew liema affiljat f'Wheeling, West Virginia jibda jixxandar il-programmi ABC b'mod diġitali?")</f>
        <v>Il-bidu tat-televiżjoni diġitali ppermettew liema affiljat f'Wheeling, West Virginia jibda jixxandar il-programmi ABC b'mod diġitali?</v>
      </c>
    </row>
    <row r="20474" ht="15.75" customHeight="1">
      <c r="A20474" s="2" t="s">
        <v>20474</v>
      </c>
      <c r="B20474" s="2" t="str">
        <f>IFERROR(__xludf.DUMMYFUNCTION("GOOGLETRANSLATE(A20474, ""en"", ""mt"")"),"Disperazzjoni spiritwali profonda")</f>
        <v>Disperazzjoni spiritwali profonda</v>
      </c>
    </row>
    <row r="20475" ht="15.75" customHeight="1">
      <c r="A20475" s="2" t="s">
        <v>20475</v>
      </c>
      <c r="B20475" s="2" t="str">
        <f>IFERROR(__xludf.DUMMYFUNCTION("GOOGLETRANSLATE(A20475, ""en"", ""mt"")"),"Torok")</f>
        <v>Torok</v>
      </c>
    </row>
    <row r="20476" ht="15.75" customHeight="1">
      <c r="A20476" s="2" t="s">
        <v>20476</v>
      </c>
      <c r="B20476" s="2" t="str">
        <f>IFERROR(__xludf.DUMMYFUNCTION("GOOGLETRANSLATE(A20476, ""en"", ""mt"")"),"Sedimentazzjoni qawwija")</f>
        <v>Sedimentazzjoni qawwija</v>
      </c>
    </row>
    <row r="20477" ht="15.75" customHeight="1">
      <c r="A20477" s="2" t="s">
        <v>20477</v>
      </c>
      <c r="B20477" s="2" t="str">
        <f>IFERROR(__xludf.DUMMYFUNCTION("GOOGLETRANSLATE(A20477, ""en"", ""mt"")"),"60,000")</f>
        <v>60,000</v>
      </c>
    </row>
    <row r="20478" ht="15.75" customHeight="1">
      <c r="A20478" s="2" t="s">
        <v>20478</v>
      </c>
      <c r="B20478" s="2" t="str">
        <f>IFERROR(__xludf.DUMMYFUNCTION("GOOGLETRANSLATE(A20478, ""en"", ""mt"")"),"X'jistgħu jiddubitaw lill-membri lill-ewwel ministru dwar direttament waqt il-ħin tal-mistoqsija tal-ewwel ministru?")</f>
        <v>X'jistgħu jiddubitaw lill-membri lill-ewwel ministru dwar direttament waqt il-ħin tal-mistoqsija tal-ewwel ministru?</v>
      </c>
    </row>
    <row r="20479" ht="15.75" customHeight="1">
      <c r="A20479" s="2" t="s">
        <v>20479</v>
      </c>
      <c r="B20479" s="2" t="str">
        <f>IFERROR(__xludf.DUMMYFUNCTION("GOOGLETRANSLATE(A20479, ""en"", ""mt"")"),"Liema sena hija l-ewwel traċċi tal-kulur Crimson f'Harvard?")</f>
        <v>Liema sena hija l-ewwel traċċi tal-kulur Crimson f'Harvard?</v>
      </c>
    </row>
    <row r="20480" ht="15.75" customHeight="1">
      <c r="A20480" s="2" t="s">
        <v>20480</v>
      </c>
      <c r="B20480" s="2" t="str">
        <f>IFERROR(__xludf.DUMMYFUNCTION("GOOGLETRANSLATE(A20480, ""en"", ""mt"")"),"Archduke Sigismund tal-Awstrija")</f>
        <v>Archduke Sigismund tal-Awstrija</v>
      </c>
    </row>
    <row r="20481" ht="15.75" customHeight="1">
      <c r="A20481" s="2" t="s">
        <v>20481</v>
      </c>
      <c r="B20481" s="2" t="str">
        <f>IFERROR(__xludf.DUMMYFUNCTION("GOOGLETRANSLATE(A20481, ""en"", ""mt"")"),"F’xi anġjospermi C3, u anke xi ġimnospermi")</f>
        <v>F’xi anġjospermi C3, u anke xi ġimnospermi</v>
      </c>
    </row>
    <row r="20482" ht="15.75" customHeight="1">
      <c r="A20482" s="2" t="s">
        <v>20482</v>
      </c>
      <c r="B20482" s="2" t="str">
        <f>IFERROR(__xludf.DUMMYFUNCTION("GOOGLETRANSLATE(A20482, ""en"", ""mt"")"),"63,519")</f>
        <v>63,519</v>
      </c>
    </row>
    <row r="20483" ht="15.75" customHeight="1">
      <c r="A20483" s="2" t="s">
        <v>20483</v>
      </c>
      <c r="B20483" s="2" t="str">
        <f>IFERROR(__xludf.DUMMYFUNCTION("GOOGLETRANSLATE(A20483, ""en"", ""mt"")"),"il-forza tal-gravità")</f>
        <v>il-forza tal-gravità</v>
      </c>
    </row>
    <row r="20484" ht="15.75" customHeight="1">
      <c r="A20484" s="2" t="s">
        <v>20484</v>
      </c>
      <c r="B20484" s="2" t="str">
        <f>IFERROR(__xludf.DUMMYFUNCTION("GOOGLETRANSLATE(A20484, ""en"", ""mt"")"),"Is-sistemi immuni ta 'batterji għandhom enzimi li jipproteġu kontra l-infezzjoni minn x'tip ta' ċelloli?")</f>
        <v>Is-sistemi immuni ta 'batterji għandhom enzimi li jipproteġu kontra l-infezzjoni minn x'tip ta' ċelloli?</v>
      </c>
    </row>
    <row r="20485" ht="15.75" customHeight="1">
      <c r="A20485" s="2" t="s">
        <v>20485</v>
      </c>
      <c r="B20485" s="2" t="str">
        <f>IFERROR(__xludf.DUMMYFUNCTION("GOOGLETRANSLATE(A20485, ""en"", ""mt"")"),"inċitament rewwixta interna")</f>
        <v>inċitament rewwixta interna</v>
      </c>
    </row>
    <row r="20486" ht="15.75" customHeight="1">
      <c r="A20486" s="2" t="s">
        <v>20486</v>
      </c>
      <c r="B20486" s="2" t="str">
        <f>IFERROR(__xludf.DUMMYFUNCTION("GOOGLETRANSLATE(A20486, ""en"", ""mt"")"),"Ir-Re Gilgamesh ta 'Uruk u Atilla l-Hun")</f>
        <v>Ir-Re Gilgamesh ta 'Uruk u Atilla l-Hun</v>
      </c>
    </row>
    <row r="20487" ht="15.75" customHeight="1">
      <c r="A20487" s="2" t="s">
        <v>20487</v>
      </c>
      <c r="B20487" s="2" t="str">
        <f>IFERROR(__xludf.DUMMYFUNCTION("GOOGLETRANSLATE(A20487, ""en"", ""mt"")"),"Meta nbnew l-iżviluppi tad-djar pubbliċi fil-viċinat?")</f>
        <v>Meta nbnew l-iżviluppi tad-djar pubbliċi fil-viċinat?</v>
      </c>
    </row>
    <row r="20488" ht="15.75" customHeight="1">
      <c r="A20488" s="2" t="s">
        <v>20488</v>
      </c>
      <c r="B20488" s="2" t="str">
        <f>IFERROR(__xludf.DUMMYFUNCTION("GOOGLETRANSLATE(A20488, ""en"", ""mt"")"),"L-A696")</f>
        <v>L-A696</v>
      </c>
    </row>
    <row r="20489" ht="15.75" customHeight="1">
      <c r="A20489" s="2" t="s">
        <v>20489</v>
      </c>
      <c r="B20489" s="2" t="str">
        <f>IFERROR(__xludf.DUMMYFUNCTION("GOOGLETRANSLATE(A20489, ""en"", ""mt"")"),"Id-Dipartiment tal-Affarijiet tal-Istat")</f>
        <v>Id-Dipartiment tal-Affarijiet tal-Istat</v>
      </c>
    </row>
    <row r="20490" ht="15.75" customHeight="1">
      <c r="A20490" s="2" t="s">
        <v>20490</v>
      </c>
      <c r="B20490" s="2" t="str">
        <f>IFERROR(__xludf.DUMMYFUNCTION("GOOGLETRANSLATE(A20490, ""en"", ""mt"")"),"Termokimiku")</f>
        <v>Termokimiku</v>
      </c>
    </row>
    <row r="20491" ht="15.75" customHeight="1">
      <c r="A20491" s="2" t="s">
        <v>20491</v>
      </c>
      <c r="B20491" s="2" t="str">
        <f>IFERROR(__xludf.DUMMYFUNCTION("GOOGLETRANSLATE(A20491, ""en"", ""mt"")"),"L-Erbgħa")</f>
        <v>L-Erbgħa</v>
      </c>
    </row>
    <row r="20492" ht="15.75" customHeight="1">
      <c r="A20492" s="2" t="s">
        <v>20492</v>
      </c>
      <c r="B20492" s="2" t="str">
        <f>IFERROR(__xludf.DUMMYFUNCTION("GOOGLETRANSLATE(A20492, ""en"", ""mt"")"),"Min bħalissa huwa l-Ispeaker tal-Parlament Skoċċiż?")</f>
        <v>Min bħalissa huwa l-Ispeaker tal-Parlament Skoċċiż?</v>
      </c>
    </row>
    <row r="20493" ht="15.75" customHeight="1">
      <c r="A20493" s="2" t="s">
        <v>20493</v>
      </c>
      <c r="B20493" s="2" t="str">
        <f>IFERROR(__xludf.DUMMYFUNCTION("GOOGLETRANSLATE(A20493, ""en"", ""mt"")"),"X'kien magħruf in-nar ta 'Jacksonville aktar tard?")</f>
        <v>X'kien magħruf in-nar ta 'Jacksonville aktar tard?</v>
      </c>
    </row>
    <row r="20494" ht="15.75" customHeight="1">
      <c r="A20494" s="2" t="s">
        <v>20494</v>
      </c>
      <c r="B20494" s="2" t="str">
        <f>IFERROR(__xludf.DUMMYFUNCTION("GOOGLETRANSLATE(A20494, ""en"", ""mt"")"),"Meta l-kapaċitajiet ta 'persuna jitbaxxew, huma b'xi mod jiġu mċaħħda milli jaqilgħu daqs kemm kienu. Raġel xiħ u ħażin ma jistax jaqla 'daqs żagħżugħ b'saħħtu; Ir-rwoli tas-sessi u d-drawwiet jistgħu jipprevjenu mara milli tirċievi edukazzjoni jew taħdem"&amp;" barra mid-dar. Jista 'jkun hemm epidemija li tikkawża paniku mifrux, jew jista' jkun hemm vjolenza rampanti fiż-żona li tipprevjeni lin-nies milli jmorru jaħdmu minħabba l-biża 'ta' ħajjithom. Bħala riżultat, id-dħul u l-inugwaljanza ekonomika jiżdied, u"&amp;" jsir iktar diffiċli li titnaqqas id-distakk mingħajr għajnuna addizzjonali. Biex tevita din l-inugwaljanza, dan l-approċċ jemmen li huwa importanti li jkollok libertà politika, faċilitajiet ekonomiċi, opportunitajiet soċjali, garanziji ta 'trasparenza u "&amp;"sigurtà protettiva biex tiżgura li n-nies ma jiġux miċħuda l-funzjonazzjonijiet, il-kapaċitajiet, u l-aġenzija tagħhom u jistgħu għalhekk jaħdmu lejn relevanti aħjar dħul.")</f>
        <v>Meta l-kapaċitajiet ta 'persuna jitbaxxew, huma b'xi mod jiġu mċaħħda milli jaqilgħu daqs kemm kienu. Raġel xiħ u ħażin ma jistax jaqla 'daqs żagħżugħ b'saħħtu; Ir-rwoli tas-sessi u d-drawwiet jistgħu jipprevjenu mara milli tirċievi edukazzjoni jew taħdem barra mid-dar. Jista 'jkun hemm epidemija li tikkawża paniku mifrux, jew jista' jkun hemm vjolenza rampanti fiż-żona li tipprevjeni lin-nies milli jmorru jaħdmu minħabba l-biża 'ta' ħajjithom. Bħala riżultat, id-dħul u l-inugwaljanza ekonomika jiżdied, u jsir iktar diffiċli li titnaqqas id-distakk mingħajr għajnuna addizzjonali. Biex tevita din l-inugwaljanza, dan l-approċċ jemmen li huwa importanti li jkollok libertà politika, faċilitajiet ekonomiċi, opportunitajiet soċjali, garanziji ta 'trasparenza u sigurtà protettiva biex tiżgura li n-nies ma jiġux miċħuda l-funzjonazzjonijiet, il-kapaċitajiet, u l-aġenzija tagħhom u jistgħu għalhekk jaħdmu lejn relevanti aħjar dħul.</v>
      </c>
    </row>
    <row r="20495" ht="15.75" customHeight="1">
      <c r="A20495" s="2" t="s">
        <v>20495</v>
      </c>
      <c r="B20495" s="2" t="str">
        <f>IFERROR(__xludf.DUMMYFUNCTION("GOOGLETRANSLATE(A20495, ""en"", ""mt"")"),"X'inhu wieħed mis-sorsi supplimentari tal-liġi tal-Unjoni Ewropea?")</f>
        <v>X'inhu wieħed mis-sorsi supplimentari tal-liġi tal-Unjoni Ewropea?</v>
      </c>
    </row>
    <row r="20496" ht="15.75" customHeight="1">
      <c r="A20496" s="2" t="s">
        <v>20496</v>
      </c>
      <c r="B20496" s="2" t="str">
        <f>IFERROR(__xludf.DUMMYFUNCTION("GOOGLETRANSLATE(A20496, ""en"", ""mt"")"),"Xi tfisser kritikament għax-xejn?")</f>
        <v>Xi tfisser kritikament għax-xejn?</v>
      </c>
    </row>
    <row r="20497" ht="15.75" customHeight="1">
      <c r="A20497" s="2" t="s">
        <v>20497</v>
      </c>
      <c r="B20497" s="2" t="str">
        <f>IFERROR(__xludf.DUMMYFUNCTION("GOOGLETRANSLATE(A20497, ""en"", ""mt"")"),"Bundesbesoldungsordnung")</f>
        <v>Bundesbesoldungsordnung</v>
      </c>
    </row>
    <row r="20498" ht="15.75" customHeight="1">
      <c r="A20498" s="2" t="s">
        <v>20498</v>
      </c>
      <c r="B20498" s="2" t="str">
        <f>IFERROR(__xludf.DUMMYFUNCTION("GOOGLETRANSLATE(A20498, ""en"", ""mt"")"),"Kemm kellha Newton fl-2015?")</f>
        <v>Kemm kellha Newton fl-2015?</v>
      </c>
    </row>
    <row r="20499" ht="15.75" customHeight="1">
      <c r="A20499" s="2" t="s">
        <v>20499</v>
      </c>
      <c r="B20499" s="2" t="str">
        <f>IFERROR(__xludf.DUMMYFUNCTION("GOOGLETRANSLATE(A20499, ""en"", ""mt"")"),"Liema pajjiż għandu inugwaljanza bi dħul baxx u preżenza għolja ta 'unions?")</f>
        <v>Liema pajjiż għandu inugwaljanza bi dħul baxx u preżenza għolja ta 'unions?</v>
      </c>
    </row>
    <row r="20500" ht="15.75" customHeight="1">
      <c r="A20500" s="2" t="s">
        <v>20500</v>
      </c>
      <c r="B20500" s="2" t="str">
        <f>IFERROR(__xludf.DUMMYFUNCTION("GOOGLETRANSLATE(A20500, ""en"", ""mt"")"),"Iċ-Ċina")</f>
        <v>Iċ-Ċina</v>
      </c>
    </row>
    <row r="20501" ht="15.75" customHeight="1">
      <c r="A20501" s="2" t="s">
        <v>20501</v>
      </c>
      <c r="B20501" s="2" t="str">
        <f>IFERROR(__xludf.DUMMYFUNCTION("GOOGLETRANSLATE(A20501, ""en"", ""mt"")"),"Fuq liema lag attakkaw it-truppi Fort Willima Henry fix-xitwa?")</f>
        <v>Fuq liema lag attakkaw it-truppi Fort Willima Henry fix-xitwa?</v>
      </c>
    </row>
    <row r="20502" ht="15.75" customHeight="1">
      <c r="A20502" s="2" t="s">
        <v>20502</v>
      </c>
      <c r="B20502" s="2" t="str">
        <f>IFERROR(__xludf.DUMMYFUNCTION("GOOGLETRANSLATE(A20502, ""en"", ""mt"")"),"Fil-laboratorju, l-istratigrafiji janalizzaw kampjuni ta 'sezzjonijiet stratigrafiċi li jistgħu jintbagħtu lura mill-qasam, bħal dawk minn qlub tat-tħaffir. Stratigraphers janalizzaw ukoll dejta minn stħarriġ ġeofiżiku li juru l-postijiet ta 'unitajiet st"&amp;"ratigrafiċi fis-sub-wiċċ. Dejta ġeofiżika u zkuk tal-bir jistgħu jiġu kkombinati biex jipproduċu veduta aħjar tas-sub-wiċċ, u l-istratigrafiċi spiss jużaw programmi tal-kompjuter biex jagħmlu dan fi tliet dimensjonijiet. Stratigraphers jistgħu mbagħad już"&amp;"aw din id-dejta biex jibnu mill-ġdid proċessi antiki li jseħħu fuq il-wiċċ tad-dinja, jinterpretaw ambjenti tal-passat, u jsibu żoni għall-ilma, il-faħam u l-estrazzjoni tal-idrokarburi.")</f>
        <v>Fil-laboratorju, l-istratigrafiji janalizzaw kampjuni ta 'sezzjonijiet stratigrafiċi li jistgħu jintbagħtu lura mill-qasam, bħal dawk minn qlub tat-tħaffir. Stratigraphers janalizzaw ukoll dejta minn stħarriġ ġeofiżiku li juru l-postijiet ta 'unitajiet stratigrafiċi fis-sub-wiċċ. Dejta ġeofiżika u zkuk tal-bir jistgħu jiġu kkombinati biex jipproduċu veduta aħjar tas-sub-wiċċ, u l-istratigrafiċi spiss jużaw programmi tal-kompjuter biex jagħmlu dan fi tliet dimensjonijiet. Stratigraphers jistgħu mbagħad jużaw din id-dejta biex jibnu mill-ġdid proċessi antiki li jseħħu fuq il-wiċċ tad-dinja, jinterpretaw ambjenti tal-passat, u jsibu żoni għall-ilma, il-faħam u l-estrazzjoni tal-idrokarburi.</v>
      </c>
    </row>
    <row r="20503" ht="15.75" customHeight="1">
      <c r="A20503" s="2" t="s">
        <v>20503</v>
      </c>
      <c r="B20503" s="2" t="str">
        <f>IFERROR(__xludf.DUMMYFUNCTION("GOOGLETRANSLATE(A20503, ""en"", ""mt"")"),"F'liema sena kienu d-disinji tal-mutur u tat-transformer ta 'Tesla liċenzjati lil Westinghouse?")</f>
        <v>F'liema sena kienu d-disinji tal-mutur u tat-transformer ta 'Tesla liċenzjati lil Westinghouse?</v>
      </c>
    </row>
    <row r="20504" ht="15.75" customHeight="1">
      <c r="A20504" s="2" t="s">
        <v>20504</v>
      </c>
      <c r="B20504" s="2" t="str">
        <f>IFERROR(__xludf.DUMMYFUNCTION("GOOGLETRANSLATE(A20504, ""en"", ""mt"")"),"Meta deher ir-raba 'tabib fuq CD?")</f>
        <v>Meta deher ir-raba 'tabib fuq CD?</v>
      </c>
    </row>
    <row r="20505" ht="15.75" customHeight="1">
      <c r="A20505" s="2" t="s">
        <v>20505</v>
      </c>
      <c r="B20505" s="2" t="str">
        <f>IFERROR(__xludf.DUMMYFUNCTION("GOOGLETRANSLATE(A20505, ""en"", ""mt"")"),"Liema plejer tilef il-Panthers għal korriment ta 'ACL f'logħba ta' preseason?")</f>
        <v>Liema plejer tilef il-Panthers għal korriment ta 'ACL f'logħba ta' preseason?</v>
      </c>
    </row>
    <row r="20506" ht="15.75" customHeight="1">
      <c r="A20506" s="2" t="s">
        <v>20506</v>
      </c>
      <c r="B20506" s="2" t="str">
        <f>IFERROR(__xludf.DUMMYFUNCTION("GOOGLETRANSLATE(A20506, ""en"", ""mt"")"),"timu u mudullun")</f>
        <v>timu u mudullun</v>
      </c>
    </row>
    <row r="20507" ht="15.75" customHeight="1">
      <c r="A20507" s="2" t="s">
        <v>20507</v>
      </c>
      <c r="B20507" s="2" t="str">
        <f>IFERROR(__xludf.DUMMYFUNCTION("GOOGLETRANSLATE(A20507, ""en"", ""mt"")"),"iżgħar")</f>
        <v>iżgħar</v>
      </c>
    </row>
    <row r="20508" ht="15.75" customHeight="1">
      <c r="A20508" s="2" t="s">
        <v>20508</v>
      </c>
      <c r="B20508" s="2" t="str">
        <f>IFERROR(__xludf.DUMMYFUNCTION("GOOGLETRANSLATE(A20508, ""en"", ""mt"")"),"L-estensjoni tikkawża li l-unitajiet tal-blat kollha kemm huma jsiru itwal u irqaq. Dan jitwettaq primarjament permezz ta 'difetti normali u permezz tat-tiġbid u t-traqqaq duttili. Ħsarat normali jwaqqgħu unitajiet tal-blat li huma ogħla taħt dawk li huma"&amp;" aktar baxxi. Dan tipikament jirriżulta f'unitajiet iżgħar li jitpoġġew taħt unitajiet anzjani. It-tiġbid ta 'unitajiet jista' jirriżulta fit-tnaqqija tagħhom; Fil-fatt, hemm post fiċ-ċinturin tat-tinja Maria u l-ġibda li fiha s-sekwenza sedimentarja koll"&amp;"ha tal-Grand Canyon tista 'tidher fuq tul ta' inqas minn metru. Il-blat fil-fond li għandhom jiġu mġebbda b'mod duttili ħafna drabi huma wkoll metamorfositi. Dawn il-blat imġebbda jistgħu wkoll joqogħdu fil-lentijiet, magħrufa bħala boudins, wara l-kelma "&amp;"Franċiża għal ""zalzett"", minħabba x-xebh viżwali tagħhom.")</f>
        <v>L-estensjoni tikkawża li l-unitajiet tal-blat kollha kemm huma jsiru itwal u irqaq. Dan jitwettaq primarjament permezz ta 'difetti normali u permezz tat-tiġbid u t-traqqaq duttili. Ħsarat normali jwaqqgħu unitajiet tal-blat li huma ogħla taħt dawk li huma aktar baxxi. Dan tipikament jirriżulta f'unitajiet iżgħar li jitpoġġew taħt unitajiet anzjani. It-tiġbid ta 'unitajiet jista' jirriżulta fit-tnaqqija tagħhom; Fil-fatt, hemm post fiċ-ċinturin tat-tinja Maria u l-ġibda li fiha s-sekwenza sedimentarja kollha tal-Grand Canyon tista 'tidher fuq tul ta' inqas minn metru. Il-blat fil-fond li għandhom jiġu mġebbda b'mod duttili ħafna drabi huma wkoll metamorfositi. Dawn il-blat imġebbda jistgħu wkoll joqogħdu fil-lentijiet, magħrufa bħala boudins, wara l-kelma Franċiża għal "zalzett", minħabba x-xebh viżwali tagħhom.</v>
      </c>
    </row>
    <row r="20509" ht="15.75" customHeight="1">
      <c r="A20509" s="2" t="s">
        <v>20509</v>
      </c>
      <c r="B20509" s="2" t="str">
        <f>IFERROR(__xludf.DUMMYFUNCTION("GOOGLETRANSLATE(A20509, ""en"", ""mt"")"),"Issa hemm bosta komunitajiet bħal dawn madwar l-Istati Uniti")</f>
        <v>Issa hemm bosta komunitajiet bħal dawn madwar l-Istati Uniti</v>
      </c>
    </row>
    <row r="20510" ht="15.75" customHeight="1">
      <c r="A20510" s="2" t="s">
        <v>20510</v>
      </c>
      <c r="B20510" s="2" t="str">
        <f>IFERROR(__xludf.DUMMYFUNCTION("GOOGLETRANSLATE(A20510, ""en"", ""mt"")"),"Liema teorija ssuġġeriet li n-nies fit-tropiċi ma kinux inkarigati?")</f>
        <v>Liema teorija ssuġġeriet li n-nies fit-tropiċi ma kinux inkarigati?</v>
      </c>
    </row>
    <row r="20511" ht="15.75" customHeight="1">
      <c r="A20511" s="2" t="s">
        <v>20511</v>
      </c>
      <c r="B20511" s="2" t="str">
        <f>IFERROR(__xludf.DUMMYFUNCTION("GOOGLETRANSLATE(A20511, ""en"", ""mt"")"),"Fl-Arti u d-Divertiment, il-kompożitur minimalista Philip Glass, żeffien, koreografu u mexxej fil-qasam tal-antropoloġija taż-żfin Katherine Dunham, fundatriċi tal-Bungie u żviluppatur tas-serje tal-logħob tal-vidjow Halo Alex Seropian, ospitanti tas-serj"&amp;"e Sarah Koenig, l-attur Edner Edner, Pulizer Premju għal Kritika tal-film li rebaħ il-kritika u s-suġġett tad-dokumentarju tal-film tal-2014 tal-ħajja nnifisha Roger Ebert, direttur, kittieb, u kummidjant Mike Nichols, direttur tal-films u skriptur Philip"&amp;" Kaufman, u Carl Van Vechten, fotografu u kittieb, huma gradwati.")</f>
        <v>Fl-Arti u d-Divertiment, il-kompożitur minimalista Philip Glass, żeffien, koreografu u mexxej fil-qasam tal-antropoloġija taż-żfin Katherine Dunham, fundatriċi tal-Bungie u żviluppatur tas-serje tal-logħob tal-vidjow Halo Alex Seropian, ospitanti tas-serje Sarah Koenig, l-attur Edner Edner, Pulizer Premju għal Kritika tal-film li rebaħ il-kritika u s-suġġett tad-dokumentarju tal-film tal-2014 tal-ħajja nnifisha Roger Ebert, direttur, kittieb, u kummidjant Mike Nichols, direttur tal-films u skriptur Philip Kaufman, u Carl Van Vechten, fotografu u kittieb, huma gradwati.</v>
      </c>
    </row>
    <row r="20512" ht="15.75" customHeight="1">
      <c r="A20512" s="2" t="s">
        <v>20512</v>
      </c>
      <c r="B20512" s="2" t="str">
        <f>IFERROR(__xludf.DUMMYFUNCTION("GOOGLETRANSLATE(A20512, ""en"", ""mt"")"),"it-traduzzjoni")</f>
        <v>it-traduzzjoni</v>
      </c>
    </row>
    <row r="20513" ht="15.75" customHeight="1">
      <c r="A20513" s="2" t="s">
        <v>20513</v>
      </c>
      <c r="B20513" s="2" t="str">
        <f>IFERROR(__xludf.DUMMYFUNCTION("GOOGLETRANSLATE(A20513, ""en"", ""mt"")"),"X'kien l-għan tal-Kungress?")</f>
        <v>X'kien l-għan tal-Kungress?</v>
      </c>
    </row>
    <row r="20514" ht="15.75" customHeight="1">
      <c r="A20514" s="2" t="s">
        <v>20514</v>
      </c>
      <c r="B20514" s="2" t="str">
        <f>IFERROR(__xludf.DUMMYFUNCTION("GOOGLETRANSLATE(A20514, ""en"", ""mt"")"),"Gateways ippermettew kumpaniji privati ​​jagħmlu dak")</f>
        <v>Gateways ippermettew kumpaniji privati ​​jagħmlu dak</v>
      </c>
    </row>
    <row r="20515" ht="15.75" customHeight="1">
      <c r="A20515" s="2" t="s">
        <v>20515</v>
      </c>
      <c r="B20515" s="2" t="str">
        <f>IFERROR(__xludf.DUMMYFUNCTION("GOOGLETRANSLATE(A20515, ""en"", ""mt"")"),"Minn liema istituzzjoni Robert Barro silġ?")</f>
        <v>Minn liema istituzzjoni Robert Barro silġ?</v>
      </c>
    </row>
    <row r="20516" ht="15.75" customHeight="1">
      <c r="A20516" s="2" t="s">
        <v>20516</v>
      </c>
      <c r="B20516" s="2" t="str">
        <f>IFERROR(__xludf.DUMMYFUNCTION("GOOGLETRANSLATE(A20516, ""en"", ""mt"")"),"Semmi mod wieħed kif l-organizzazzjoni Plowshares tagħlaq temporanjament GCSB Waihopai?")</f>
        <v>Semmi mod wieħed kif l-organizzazzjoni Plowshares tagħlaq temporanjament GCSB Waihopai?</v>
      </c>
    </row>
    <row r="20517" ht="15.75" customHeight="1">
      <c r="A20517" s="2" t="s">
        <v>20517</v>
      </c>
      <c r="B20517" s="2" t="str">
        <f>IFERROR(__xludf.DUMMYFUNCTION("GOOGLETRANSLATE(A20517, ""en"", ""mt"")"),"CD40")</f>
        <v>CD40</v>
      </c>
    </row>
    <row r="20518" ht="15.75" customHeight="1">
      <c r="A20518" s="2" t="s">
        <v>20518</v>
      </c>
      <c r="B20518" s="2" t="str">
        <f>IFERROR(__xludf.DUMMYFUNCTION("GOOGLETRANSLATE(A20518, ""en"", ""mt"")"),"Minn min xtraw il-Huguenots l-art fejn issetiljaw?")</f>
        <v>Minn min xtraw il-Huguenots l-art fejn issetiljaw?</v>
      </c>
    </row>
    <row r="20519" ht="15.75" customHeight="1">
      <c r="A20519" s="2" t="s">
        <v>20519</v>
      </c>
      <c r="B20519" s="2" t="str">
        <f>IFERROR(__xludf.DUMMYFUNCTION("GOOGLETRANSLATE(A20519, ""en"", ""mt"")"),"Għaliex l-OPEC żied il-prezz taż-żejt għal $ 5.11?")</f>
        <v>Għaliex l-OPEC żied il-prezz taż-żejt għal $ 5.11?</v>
      </c>
    </row>
    <row r="20520" ht="15.75" customHeight="1">
      <c r="A20520" s="2" t="s">
        <v>20520</v>
      </c>
      <c r="B20520" s="2" t="str">
        <f>IFERROR(__xludf.DUMMYFUNCTION("GOOGLETRANSLATE(A20520, ""en"", ""mt"")"),"Liema belt moderna tinsab fuq il-kolonja Huguenot oriġinali?")</f>
        <v>Liema belt moderna tinsab fuq il-kolonja Huguenot oriġinali?</v>
      </c>
    </row>
    <row r="20521" ht="15.75" customHeight="1">
      <c r="A20521" s="2" t="s">
        <v>20521</v>
      </c>
      <c r="B20521" s="2" t="str">
        <f>IFERROR(__xludf.DUMMYFUNCTION("GOOGLETRANSLATE(A20521, ""en"", ""mt"")"),"Mudell tal-Università Ingliża")</f>
        <v>Mudell tal-Università Ingliża</v>
      </c>
    </row>
    <row r="20522" ht="15.75" customHeight="1">
      <c r="A20522" s="2" t="s">
        <v>20522</v>
      </c>
      <c r="B20522" s="2" t="str">
        <f>IFERROR(__xludf.DUMMYFUNCTION("GOOGLETRANSLATE(A20522, ""en"", ""mt"")"),"Iroquois Six Nations, u wkoll miċ-Cherokee")</f>
        <v>Iroquois Six Nations, u wkoll miċ-Cherokee</v>
      </c>
    </row>
    <row r="20523" ht="15.75" customHeight="1">
      <c r="A20523" s="2" t="s">
        <v>20523</v>
      </c>
      <c r="B20523" s="2" t="str">
        <f>IFERROR(__xludf.DUMMYFUNCTION("GOOGLETRANSLATE(A20523, ""en"", ""mt"")"),"Kemm żdiedet l-iskrizzjoni?")</f>
        <v>Kemm żdiedet l-iskrizzjoni?</v>
      </c>
    </row>
    <row r="20524" ht="15.75" customHeight="1">
      <c r="A20524" s="2" t="s">
        <v>20524</v>
      </c>
      <c r="B20524" s="2" t="str">
        <f>IFERROR(__xludf.DUMMYFUNCTION("GOOGLETRANSLATE(A20524, ""en"", ""mt"")"),"Meta huwa kkommemorat Luther fil-Kalendarju tal-Qaddisin Luterani?")</f>
        <v>Meta huwa kkommemorat Luther fil-Kalendarju tal-Qaddisin Luterani?</v>
      </c>
    </row>
    <row r="20525" ht="15.75" customHeight="1">
      <c r="A20525" s="2" t="s">
        <v>20525</v>
      </c>
      <c r="B20525" s="2" t="str">
        <f>IFERROR(__xludf.DUMMYFUNCTION("GOOGLETRANSLATE(A20525, ""en"", ""mt"")"),"X’impatt ikbar fuq l-ekonomija tal-Istati Uniti iktar mill-kummerċ?")</f>
        <v>X’impatt ikbar fuq l-ekonomija tal-Istati Uniti iktar mill-kummerċ?</v>
      </c>
    </row>
    <row r="20526" ht="15.75" customHeight="1">
      <c r="A20526" s="2" t="s">
        <v>20526</v>
      </c>
      <c r="B20526" s="2" t="str">
        <f>IFERROR(__xludf.DUMMYFUNCTION("GOOGLETRANSLATE(A20526, ""en"", ""mt"")"),"Dwar mistoqsijiet kostituzzjonali fundamentali li jaffettwaw id-demokrazija u d-drittijiet tal-bniedem")</f>
        <v>Dwar mistoqsijiet kostituzzjonali fundamentali li jaffettwaw id-demokrazija u d-drittijiet tal-bniedem</v>
      </c>
    </row>
    <row r="20527" ht="15.75" customHeight="1">
      <c r="A20527" s="2" t="s">
        <v>20527</v>
      </c>
      <c r="B20527" s="2" t="str">
        <f>IFERROR(__xludf.DUMMYFUNCTION("GOOGLETRANSLATE(A20527, ""en"", ""mt"")"),"Assemblea Leġiżlattiva")</f>
        <v>Assemblea Leġiżlattiva</v>
      </c>
    </row>
    <row r="20528" ht="15.75" customHeight="1">
      <c r="A20528" s="2" t="s">
        <v>20528</v>
      </c>
      <c r="B20528" s="2" t="str">
        <f>IFERROR(__xludf.DUMMYFUNCTION("GOOGLETRANSLATE(A20528, ""en"", ""mt"")"),"sekulariżmu u nazzjonaliżmu sekulari")</f>
        <v>sekulariżmu u nazzjonaliżmu sekulari</v>
      </c>
    </row>
    <row r="20529" ht="15.75" customHeight="1">
      <c r="A20529" s="2" t="s">
        <v>20529</v>
      </c>
      <c r="B20529" s="2" t="str">
        <f>IFERROR(__xludf.DUMMYFUNCTION("GOOGLETRANSLATE(A20529, ""en"", ""mt"")"),"X.25")</f>
        <v>X.25</v>
      </c>
    </row>
    <row r="20530" ht="15.75" customHeight="1">
      <c r="A20530" s="2" t="s">
        <v>20530</v>
      </c>
      <c r="B20530" s="2" t="str">
        <f>IFERROR(__xludf.DUMMYFUNCTION("GOOGLETRANSLATE(A20530, ""en"", ""mt"")"),"Liema oġġetti nbiegħu fi farmaċewtiċi?")</f>
        <v>Liema oġġetti nbiegħu fi farmaċewtiċi?</v>
      </c>
    </row>
    <row r="20531" ht="15.75" customHeight="1">
      <c r="A20531" s="2" t="s">
        <v>20531</v>
      </c>
      <c r="B20531" s="2" t="str">
        <f>IFERROR(__xludf.DUMMYFUNCTION("GOOGLETRANSLATE(A20531, ""en"", ""mt"")"),"Min jipprovdi l-kont tal-kwantitajiet?")</f>
        <v>Min jipprovdi l-kont tal-kwantitajiet?</v>
      </c>
    </row>
    <row r="20532" ht="15.75" customHeight="1">
      <c r="A20532" s="2" t="s">
        <v>20532</v>
      </c>
      <c r="B20532" s="2" t="str">
        <f>IFERROR(__xludf.DUMMYFUNCTION("GOOGLETRANSLATE(A20532, ""en"", ""mt"")"),"Artiġjani u bdiewa")</f>
        <v>Artiġjani u bdiewa</v>
      </c>
    </row>
    <row r="20533" ht="15.75" customHeight="1">
      <c r="A20533" s="2" t="s">
        <v>20533</v>
      </c>
      <c r="B20533" s="2" t="str">
        <f>IFERROR(__xludf.DUMMYFUNCTION("GOOGLETRANSLATE(A20533, ""en"", ""mt"")"),"Min ġie introdott mill-ġdid għall-50 anniversarju speċjali?")</f>
        <v>Min ġie introdott mill-ġdid għall-50 anniversarju speċjali?</v>
      </c>
    </row>
    <row r="20534" ht="15.75" customHeight="1">
      <c r="A20534" s="2" t="s">
        <v>20534</v>
      </c>
      <c r="B20534" s="2" t="str">
        <f>IFERROR(__xludf.DUMMYFUNCTION("GOOGLETRANSLATE(A20534, ""en"", ""mt"")"),"Meta l-istudenti tal-Kulleġġ Shimer tħallew jittrasferixxu fl-Università ta ’Chicago?")</f>
        <v>Meta l-istudenti tal-Kulleġġ Shimer tħallew jittrasferixxu fl-Università ta ’Chicago?</v>
      </c>
    </row>
    <row r="20535" ht="15.75" customHeight="1">
      <c r="A20535" s="2" t="s">
        <v>20535</v>
      </c>
      <c r="B20535" s="2" t="str">
        <f>IFERROR(__xludf.DUMMYFUNCTION("GOOGLETRANSLATE(A20535, ""en"", ""mt"")"),"Min kienet il-mara ta 'Ogedei?")</f>
        <v>Min kienet il-mara ta 'Ogedei?</v>
      </c>
    </row>
    <row r="20536" ht="15.75" customHeight="1">
      <c r="A20536" s="2" t="s">
        <v>20536</v>
      </c>
      <c r="B20536" s="2" t="str">
        <f>IFERROR(__xludf.DUMMYFUNCTION("GOOGLETRANSLATE(A20536, ""en"", ""mt"")"),"Alvaro Martin u Raul Allegre")</f>
        <v>Alvaro Martin u Raul Allegre</v>
      </c>
    </row>
    <row r="20537" ht="15.75" customHeight="1">
      <c r="A20537" s="2" t="s">
        <v>20537</v>
      </c>
      <c r="B20537" s="2" t="str">
        <f>IFERROR(__xludf.DUMMYFUNCTION("GOOGLETRANSLATE(A20537, ""en"", ""mt"")"),"F'liema sena kien hemm tentattiv biex tirtira s-sħubija UMC?")</f>
        <v>F'liema sena kien hemm tentattiv biex tirtira s-sħubija UMC?</v>
      </c>
    </row>
    <row r="20538" ht="15.75" customHeight="1">
      <c r="A20538" s="2" t="s">
        <v>20538</v>
      </c>
      <c r="B20538" s="2" t="str">
        <f>IFERROR(__xludf.DUMMYFUNCTION("GOOGLETRANSLATE(A20538, ""en"", ""mt"")"),"Daidu")</f>
        <v>Daidu</v>
      </c>
    </row>
    <row r="20539" ht="15.75" customHeight="1">
      <c r="A20539" s="2" t="s">
        <v>20539</v>
      </c>
      <c r="B20539" s="2" t="str">
        <f>IFERROR(__xludf.DUMMYFUNCTION("GOOGLETRANSLATE(A20539, ""en"", ""mt"")"),"Il-baqar ingħataw ix-xmara hemmhekk.")</f>
        <v>Il-baqar ingħataw ix-xmara hemmhekk.</v>
      </c>
    </row>
    <row r="20540" ht="15.75" customHeight="1">
      <c r="A20540" s="2" t="s">
        <v>20540</v>
      </c>
      <c r="B20540" s="2" t="str">
        <f>IFERROR(__xludf.DUMMYFUNCTION("GOOGLETRANSLATE(A20540, ""en"", ""mt"")"),"5,792")</f>
        <v>5,792</v>
      </c>
    </row>
    <row r="20541" ht="15.75" customHeight="1">
      <c r="A20541" s="2" t="s">
        <v>20541</v>
      </c>
      <c r="B20541" s="2" t="str">
        <f>IFERROR(__xludf.DUMMYFUNCTION("GOOGLETRANSLATE(A20541, ""en"", ""mt"")"),"Qabel liema kampanja militari Chagatai kienet pubblikament tilwima l-paternità ta 'Jochi?")</f>
        <v>Qabel liema kampanja militari Chagatai kienet pubblikament tilwima l-paternità ta 'Jochi?</v>
      </c>
    </row>
    <row r="20542" ht="15.75" customHeight="1">
      <c r="A20542" s="2" t="s">
        <v>20542</v>
      </c>
      <c r="B20542" s="2" t="str">
        <f>IFERROR(__xludf.DUMMYFUNCTION("GOOGLETRANSLATE(A20542, ""en"", ""mt"")"),"Kemm ir-riċerkaturi issa jaħsbu li l-livelli tal-baħar se jogħlew mill-1990 sal-2100?")</f>
        <v>Kemm ir-riċerkaturi issa jaħsbu li l-livelli tal-baħar se jogħlew mill-1990 sal-2100?</v>
      </c>
    </row>
    <row r="20543" ht="15.75" customHeight="1">
      <c r="A20543" s="2" t="s">
        <v>20543</v>
      </c>
      <c r="B20543" s="2" t="str">
        <f>IFERROR(__xludf.DUMMYFUNCTION("GOOGLETRANSLATE(A20543, ""en"", ""mt"")"),"Meta tgħallem il-Franċiż dwar il-pjanijiet ta 'Braddock?")</f>
        <v>Meta tgħallem il-Franċiż dwar il-pjanijiet ta 'Braddock?</v>
      </c>
    </row>
    <row r="20544" ht="15.75" customHeight="1">
      <c r="A20544" s="2" t="s">
        <v>20544</v>
      </c>
      <c r="B20544" s="2" t="str">
        <f>IFERROR(__xludf.DUMMYFUNCTION("GOOGLETRANSLATE(A20544, ""en"", ""mt"")"),"Ħafna siġġijiet fl-Assemblea Leġiżlattiva")</f>
        <v>Ħafna siġġijiet fl-Assemblea Leġiżlattiva</v>
      </c>
    </row>
    <row r="20545" ht="15.75" customHeight="1">
      <c r="A20545" s="2" t="s">
        <v>20545</v>
      </c>
      <c r="B20545" s="2" t="str">
        <f>IFERROR(__xludf.DUMMYFUNCTION("GOOGLETRANSLATE(A20545, ""en"", ""mt"")"),"programmi")</f>
        <v>programmi</v>
      </c>
    </row>
    <row r="20546" ht="15.75" customHeight="1">
      <c r="A20546" s="2" t="s">
        <v>20546</v>
      </c>
      <c r="B20546" s="2" t="str">
        <f>IFERROR(__xludf.DUMMYFUNCTION("GOOGLETRANSLATE(A20546, ""en"", ""mt"")"),"Sa liema seklu r-riċerkaturi raw li setgħu likwidi l-arja?")</f>
        <v>Sa liema seklu r-riċerkaturi raw li setgħu likwidi l-arja?</v>
      </c>
    </row>
    <row r="20547" ht="15.75" customHeight="1">
      <c r="A20547" s="2" t="s">
        <v>20547</v>
      </c>
      <c r="B20547" s="2" t="str">
        <f>IFERROR(__xludf.DUMMYFUNCTION("GOOGLETRANSLATE(A20547, ""en"", ""mt"")"),"Standards tal-kurrikulu")</f>
        <v>Standards tal-kurrikulu</v>
      </c>
    </row>
    <row r="20548" ht="15.75" customHeight="1">
      <c r="A20548" s="2" t="s">
        <v>20548</v>
      </c>
      <c r="B20548" s="2" t="str">
        <f>IFERROR(__xludf.DUMMYFUNCTION("GOOGLETRANSLATE(A20548, ""en"", ""mt"")"),"jissimula tnedija countdown fuq")</f>
        <v>jissimula tnedija countdown fuq</v>
      </c>
    </row>
    <row r="20549" ht="15.75" customHeight="1">
      <c r="A20549" s="2" t="s">
        <v>20549</v>
      </c>
      <c r="B20549" s="2" t="str">
        <f>IFERROR(__xludf.DUMMYFUNCTION("GOOGLETRANSLATE(A20549, ""en"", ""mt"")"),"Tard tas-snin sebgħin")</f>
        <v>Tard tas-snin sebgħin</v>
      </c>
    </row>
    <row r="20550" ht="15.75" customHeight="1">
      <c r="A20550" s="2" t="s">
        <v>20550</v>
      </c>
      <c r="B20550" s="2" t="str">
        <f>IFERROR(__xludf.DUMMYFUNCTION("GOOGLETRANSLATE(A20550, ""en"", ""mt"")"),"Wara li rrikonoxxa li t-tneħħija tal-klima bħala kwistjoni ewlenija ta 'żvilupp fil-Viżjoni 2030 kienet sorveljanza")</f>
        <v>Wara li rrikonoxxa li t-tneħħija tal-klima bħala kwistjoni ewlenija ta 'żvilupp fil-Viżjoni 2030 kienet sorveljanza</v>
      </c>
    </row>
    <row r="20551" ht="15.75" customHeight="1">
      <c r="A20551" s="2" t="s">
        <v>20551</v>
      </c>
      <c r="B20551" s="2" t="str">
        <f>IFERROR(__xludf.DUMMYFUNCTION("GOOGLETRANSLATE(A20551, ""en"", ""mt"")"),"Min iddeċieda li ma jżurx il-pajjiż fl-2013?")</f>
        <v>Min iddeċieda li ma jżurx il-pajjiż fl-2013?</v>
      </c>
    </row>
    <row r="20552" ht="15.75" customHeight="1">
      <c r="A20552" s="2" t="s">
        <v>20552</v>
      </c>
      <c r="B20552" s="2" t="str">
        <f>IFERROR(__xludf.DUMMYFUNCTION("GOOGLETRANSLATE(A20552, ""en"", ""mt"")"),"Għall-klassijiet ta 'kumplessità definiti b'dan il-mod, huwa mixtieq li tipprova li l-illaxkar tar-rekwiżiti fuq (ngħidu aħna) il-ħin tal-komputazzjoni tabilħaqq jiddefinixxi sett akbar ta' problemi. B'mod partikolari, għalkemm dtime (n) tinsab fi dtime ("&amp;"n2), ikun interessanti li tkun taf jekk l-inklużjoni hijiex stretta. Għal rekwiżiti ta 'ħin u spazju, it-tweġiba għal dawn il-mistoqsijiet tingħata mit-teoremi tal-ġerarkija tal-ħin u tal-ispazju rispettivament. Huma msejħa teoremi tal-ġerarkija minħabba "&amp;"li jinduċu ġerarkija xierqa fuq il-klassijiet definiti billi jillimitaw ir-riżorsi rispettivi. Għalhekk hemm pari ta 'klassijiet ta' kumplessità tali li wieħed ikun inkluż sew fl-ieħor. Wara li dedotta dawn l-inklużjonijiet ta 'sett xieraq, nistgħu nippro"&amp;"ċedu biex nagħmlu dikjarazzjonijiet kwantitattivi dwar kemm hemm bżonn ta' aktar ħin jew spazju addizzjonali sabiex jiżdied in-numru ta 'problemi li jistgħu jiġu solvuti.")</f>
        <v>Għall-klassijiet ta 'kumplessità definiti b'dan il-mod, huwa mixtieq li tipprova li l-illaxkar tar-rekwiżiti fuq (ngħidu aħna) il-ħin tal-komputazzjoni tabilħaqq jiddefinixxi sett akbar ta' problemi. B'mod partikolari, għalkemm dtime (n) tinsab fi dtime (n2), ikun interessanti li tkun taf jekk l-inklużjoni hijiex stretta. Għal rekwiżiti ta 'ħin u spazju, it-tweġiba għal dawn il-mistoqsijiet tingħata mit-teoremi tal-ġerarkija tal-ħin u tal-ispazju rispettivament. Huma msejħa teoremi tal-ġerarkija minħabba li jinduċu ġerarkija xierqa fuq il-klassijiet definiti billi jillimitaw ir-riżorsi rispettivi. Għalhekk hemm pari ta 'klassijiet ta' kumplessità tali li wieħed ikun inkluż sew fl-ieħor. Wara li dedotta dawn l-inklużjonijiet ta 'sett xieraq, nistgħu nipproċedu biex nagħmlu dikjarazzjonijiet kwantitattivi dwar kemm hemm bżonn ta' aktar ħin jew spazju addizzjonali sabiex jiżdied in-numru ta 'problemi li jistgħu jiġu solvuti.</v>
      </c>
    </row>
    <row r="20553" ht="15.75" customHeight="1">
      <c r="A20553" s="2" t="s">
        <v>20553</v>
      </c>
      <c r="B20553" s="2" t="str">
        <f>IFERROR(__xludf.DUMMYFUNCTION("GOOGLETRANSLATE(A20553, ""en"", ""mt"")"),"Fejn tgħid li t-teorija sekondarja tgħid li ħafna ġeni jinżammu?")</f>
        <v>Fejn tgħid li t-teorija sekondarja tgħid li ħafna ġeni jinżammu?</v>
      </c>
    </row>
    <row r="20554" ht="15.75" customHeight="1">
      <c r="A20554" s="2" t="s">
        <v>20554</v>
      </c>
      <c r="B20554" s="2" t="str">
        <f>IFERROR(__xludf.DUMMYFUNCTION("GOOGLETRANSLATE(A20554, ""en"", ""mt"")"),"X'kien l-ewwel tabib li juri li ġera tvontario?")</f>
        <v>X'kien l-ewwel tabib li juri li ġera tvontario?</v>
      </c>
    </row>
    <row r="20555" ht="15.75" customHeight="1">
      <c r="A20555" s="2" t="s">
        <v>20555</v>
      </c>
      <c r="B20555" s="2" t="str">
        <f>IFERROR(__xludf.DUMMYFUNCTION("GOOGLETRANSLATE(A20555, ""en"", ""mt"")"),"X'jistgħu jsiru l-amiloplasti?")</f>
        <v>X'jistgħu jsiru l-amiloplasti?</v>
      </c>
    </row>
    <row r="20556" ht="15.75" customHeight="1">
      <c r="A20556" s="2" t="s">
        <v>20556</v>
      </c>
      <c r="B20556" s="2" t="str">
        <f>IFERROR(__xludf.DUMMYFUNCTION("GOOGLETRANSLATE(A20556, ""en"", ""mt"")"),"Is-Soċjologu Jake Rosenfield ta 'l-Università ta' Washington jafferma li t-tnaqqis tax-xogħol organizzat fl-Istati Uniti kellu rwol aktar sinifikanti fl-espansjoni tad-distakk fid-dħul minn bidliet teknoloġiċi u globalizzazzjoni, li kienu wkoll esperjenza"&amp;"ti minn nazzjonijiet industrijalizzati oħra li ma esperjenzawx wieqfa żidiet fl-inugwaljanza. Huwa jirrimarka li n-nazzjonijiet b'rati għoljin ta 'unjonizzazzjoni, partikolarment fl-Iskandinavja, għandhom livelli baxxi ħafna ta' inugwaljanza, u jikkonklud"&amp;"i ""l-mudell storiku huwa ċar; ix-xejra transnazzjonali hija ċara: l-inugwaljanza għolja tmur id f'id ma 'xogħol dgħajjef movimenti u viċi versa. """)</f>
        <v>Is-Soċjologu Jake Rosenfield ta 'l-Università ta' Washington jafferma li t-tnaqqis tax-xogħol organizzat fl-Istati Uniti kellu rwol aktar sinifikanti fl-espansjoni tad-distakk fid-dħul minn bidliet teknoloġiċi u globalizzazzjoni, li kienu wkoll esperjenzati minn nazzjonijiet industrijalizzati oħra li ma esperjenzawx wieqfa żidiet fl-inugwaljanza. Huwa jirrimarka li n-nazzjonijiet b'rati għoljin ta 'unjonizzazzjoni, partikolarment fl-Iskandinavja, għandhom livelli baxxi ħafna ta' inugwaljanza, u jikkonkludi "l-mudell storiku huwa ċar; ix-xejra transnazzjonali hija ċara: l-inugwaljanza għolja tmur id f'id ma 'xogħol dgħajjef movimenti u viċi versa. "</v>
      </c>
    </row>
    <row r="20557" ht="15.75" customHeight="1">
      <c r="A20557" s="2" t="s">
        <v>20557</v>
      </c>
      <c r="B20557" s="2" t="str">
        <f>IFERROR(__xludf.DUMMYFUNCTION("GOOGLETRANSLATE(A20557, ""en"", ""mt"")"),"Fejn kienet l-isforzi ta 'Franza li tikkonċentra?")</f>
        <v>Fejn kienet l-isforzi ta 'Franza li tikkonċentra?</v>
      </c>
    </row>
    <row r="20558" ht="15.75" customHeight="1">
      <c r="A20558" s="2" t="s">
        <v>20558</v>
      </c>
      <c r="B20558" s="2" t="str">
        <f>IFERROR(__xludf.DUMMYFUNCTION("GOOGLETRANSLATE(A20558, ""en"", ""mt"")"),"Kemm hemm kanali televiżivi u tar-radju li s-servizz diġitali l-ġdid jista 'jġorr?")</f>
        <v>Kemm hemm kanali televiżivi u tar-radju li s-servizz diġitali l-ġdid jista 'jġorr?</v>
      </c>
    </row>
    <row r="20559" ht="15.75" customHeight="1">
      <c r="A20559" s="2" t="s">
        <v>20559</v>
      </c>
      <c r="B20559" s="2" t="str">
        <f>IFERROR(__xludf.DUMMYFUNCTION("GOOGLETRANSLATE(A20559, ""en"", ""mt"")"),"X'inhu l-iżgħar reġjun ġeografiku diskuss?")</f>
        <v>X'inhu l-iżgħar reġjun ġeografiku diskuss?</v>
      </c>
    </row>
    <row r="20560" ht="15.75" customHeight="1">
      <c r="A20560" s="2" t="s">
        <v>20560</v>
      </c>
      <c r="B20560" s="2" t="str">
        <f>IFERROR(__xludf.DUMMYFUNCTION("GOOGLETRANSLATE(A20560, ""en"", ""mt"")"),"L-Isptar Ġenerali Meta beda jixxandar?")</f>
        <v>L-Isptar Ġenerali Meta beda jixxandar?</v>
      </c>
    </row>
    <row r="20561" ht="15.75" customHeight="1">
      <c r="A20561" s="2" t="s">
        <v>20561</v>
      </c>
      <c r="B20561" s="2" t="str">
        <f>IFERROR(__xludf.DUMMYFUNCTION("GOOGLETRANSLATE(A20561, ""en"", ""mt"")"),"Fl-1271, Kublai Khan impona l-isem Great Yuan (Ċiniż: 大 大; pinyin: dà yuán; wade - giles: ta-yüan), li stabbilixxa d-dinastija Yuan. ""Dà Yuán"" (大 元) hija mis-sentenza ""大 哉 乾元"" (Dà Zai Qián Yuán / ""Kbira hija Qián, il-Primal"") fil-kummentarji dwar it"&amp;"-taqsima klassika tal-bidliet (i ching) rigward Qián (乾) - Il-kontroparti bil-lingwa Mongoljana kienet Dai Ön Ulus, mogħtija wkoll bħala Ikh Yuan üls jew Yekhe Yuan Ulus. Fil-Mongoljan, Dai Ön (wan kbir) ħafna drabi jintuża flimkien mal- ""Yeke Mongghul U"&amp;"lus"" (Lit. ""Great Mongol Stat""), li jirriżulta f'Dai Ön Yeke Mongghul Ulus (Script Mongoljan :), li jfisser ""Yuan Great Mongol Stat"". Id-dinastija Yuan hija magħrufa wkoll bħala d- ""Dynasty Mongol"" jew ""Dynasty Mongol taċ-Ċina"", simili għall-ismi"&amp;"jiet ""Dynasty Manchu"" jew ""Dynasty Manchu taċ-Ċina"" għad-dinastija Qing. Barra minn hekk, il-Yuan xi kultant huwa magħruf bħala l- ""Imperu tal-Khan il-Kbir"" jew ""Khanate tal-Khan il-Kbir"", li partikolarment deher fuq xi mapep tal-wan, peress li l-"&amp;"imperaturi tal-wan kellhom it-titlu nominali ta 'Khan il-Kbir. Madankollu, iż-żewġ termini jistgħu jirreferu wkoll għall-Khanate fi ħdan l-imperu Mongoljan immexxi direttament mill-Khans il-Kbir qabel l-istabbiliment attwali tad-Dynasty Yuan minn Kublai K"&amp;"han fl-1271.")</f>
        <v>Fl-1271, Kublai Khan impona l-isem Great Yuan (Ċiniż: 大 大; pinyin: dà yuán; wade - giles: ta-yüan), li stabbilixxa d-dinastija Yuan. "Dà Yuán" (大 元) hija mis-sentenza "大 哉 乾元" (Dà Zai Qián Yuán / "Kbira hija Qián, il-Primal") fil-kummentarji dwar it-taqsima klassika tal-bidliet (i ching) rigward Qián (乾) - Il-kontroparti bil-lingwa Mongoljana kienet Dai Ön Ulus, mogħtija wkoll bħala Ikh Yuan üls jew Yekhe Yuan Ulus. Fil-Mongoljan, Dai Ön (wan kbir) ħafna drabi jintuża flimkien mal- "Yeke Mongghul Ulus" (Lit. "Great Mongol Stat"), li jirriżulta f'Dai Ön Yeke Mongghul Ulus (Script Mongoljan :), li jfisser "Yuan Great Mongol Stat". Id-dinastija Yuan hija magħrufa wkoll bħala d- "Dynasty Mongol" jew "Dynasty Mongol taċ-Ċina", simili għall-ismijiet "Dynasty Manchu" jew "Dynasty Manchu taċ-Ċina" għad-dinastija Qing. Barra minn hekk, il-Yuan xi kultant huwa magħruf bħala l- "Imperu tal-Khan il-Kbir" jew "Khanate tal-Khan il-Kbir", li partikolarment deher fuq xi mapep tal-wan, peress li l-imperaturi tal-wan kellhom it-titlu nominali ta 'Khan il-Kbir. Madankollu, iż-żewġ termini jistgħu jirreferu wkoll għall-Khanate fi ħdan l-imperu Mongoljan immexxi direttament mill-Khans il-Kbir qabel l-istabbiliment attwali tad-Dynasty Yuan minn Kublai Khan fl-1271.</v>
      </c>
    </row>
    <row r="20562" ht="15.75" customHeight="1">
      <c r="A20562" s="2" t="s">
        <v>20562</v>
      </c>
      <c r="B20562" s="2" t="str">
        <f>IFERROR(__xludf.DUMMYFUNCTION("GOOGLETRANSLATE(A20562, ""en"", ""mt"")"),"X'tagħmel il-fosforilazzjoni?")</f>
        <v>X'tagħmel il-fosforilazzjoni?</v>
      </c>
    </row>
    <row r="20563" ht="15.75" customHeight="1">
      <c r="A20563" s="2" t="s">
        <v>20563</v>
      </c>
      <c r="B20563" s="2" t="str">
        <f>IFERROR(__xludf.DUMMYFUNCTION("GOOGLETRANSLATE(A20563, ""en"", ""mt"")"),"Teorija tal-kumplessità tal-komputazzjoni")</f>
        <v>Teorija tal-kumplessità tal-komputazzjoni</v>
      </c>
    </row>
    <row r="20564" ht="15.75" customHeight="1">
      <c r="A20564" s="2" t="s">
        <v>20564</v>
      </c>
      <c r="B20564" s="2" t="str">
        <f>IFERROR(__xludf.DUMMYFUNCTION("GOOGLETRANSLATE(A20564, ""en"", ""mt"")"),"Min ħa t-tron wara l-mewt ta 'Kusala?")</f>
        <v>Min ħa t-tron wara l-mewt ta 'Kusala?</v>
      </c>
    </row>
    <row r="20565" ht="15.75" customHeight="1">
      <c r="A20565" s="2" t="s">
        <v>20565</v>
      </c>
      <c r="B20565" s="2" t="str">
        <f>IFERROR(__xludf.DUMMYFUNCTION("GOOGLETRANSLATE(A20565, ""en"", ""mt"")"),"Fl-2003")</f>
        <v>Fl-2003</v>
      </c>
    </row>
    <row r="20566" ht="15.75" customHeight="1">
      <c r="A20566" s="2" t="s">
        <v>20566</v>
      </c>
      <c r="B20566" s="2" t="str">
        <f>IFERROR(__xludf.DUMMYFUNCTION("GOOGLETRANSLATE(A20566, ""en"", ""mt"")"),"Ir-Re Sumerjan Gilgamesh ta 'Uruk u Atilla l-Hun")</f>
        <v>Ir-Re Sumerjan Gilgamesh ta 'Uruk u Atilla l-Hun</v>
      </c>
    </row>
    <row r="20567" ht="15.75" customHeight="1">
      <c r="A20567" s="2" t="s">
        <v>20567</v>
      </c>
      <c r="B20567" s="2" t="str">
        <f>IFERROR(__xludf.DUMMYFUNCTION("GOOGLETRANSLATE(A20567, ""en"", ""mt"")"),"William ta 'Montreuil")</f>
        <v>William ta 'Montreuil</v>
      </c>
    </row>
    <row r="20568" ht="15.75" customHeight="1">
      <c r="A20568" s="2" t="s">
        <v>20568</v>
      </c>
      <c r="B20568" s="2" t="str">
        <f>IFERROR(__xludf.DUMMYFUNCTION("GOOGLETRANSLATE(A20568, ""en"", ""mt"")"),"Tyne u Wear Metro")</f>
        <v>Tyne u Wear Metro</v>
      </c>
    </row>
    <row r="20569" ht="15.75" customHeight="1">
      <c r="A20569" s="2" t="s">
        <v>20569</v>
      </c>
      <c r="B20569" s="2" t="str">
        <f>IFERROR(__xludf.DUMMYFUNCTION("GOOGLETRANSLATE(A20569, ""en"", ""mt"")"),"Meta ntnewet is-sospensjoni mill-FIFA?")</f>
        <v>Meta ntnewet is-sospensjoni mill-FIFA?</v>
      </c>
    </row>
    <row r="20570" ht="15.75" customHeight="1">
      <c r="A20570" s="2" t="s">
        <v>20570</v>
      </c>
      <c r="B20570" s="2" t="str">
        <f>IFERROR(__xludf.DUMMYFUNCTION("GOOGLETRANSLATE(A20570, ""en"", ""mt"")"),"X'inhi l-Liġi tal-Unjoni Ewropea?")</f>
        <v>X'inhi l-Liġi tal-Unjoni Ewropea?</v>
      </c>
    </row>
    <row r="20571" ht="15.75" customHeight="1">
      <c r="A20571" s="2" t="s">
        <v>20571</v>
      </c>
      <c r="B20571" s="2" t="str">
        <f>IFERROR(__xludf.DUMMYFUNCTION("GOOGLETRANSLATE(A20571, ""en"", ""mt"")"),"Baillie-PSW")</f>
        <v>Baillie-PSW</v>
      </c>
    </row>
    <row r="20572" ht="15.75" customHeight="1">
      <c r="A20572" s="2" t="s">
        <v>20572</v>
      </c>
      <c r="B20572" s="2" t="str">
        <f>IFERROR(__xludf.DUMMYFUNCTION("GOOGLETRANSLATE(A20572, ""en"", ""mt"")"),"F'liema lingwa d-deportazzjoni ESPN xandret il-logħba?")</f>
        <v>F'liema lingwa d-deportazzjoni ESPN xandret il-logħba?</v>
      </c>
    </row>
    <row r="20573" ht="15.75" customHeight="1">
      <c r="A20573" s="2" t="s">
        <v>20573</v>
      </c>
      <c r="B20573" s="2" t="str">
        <f>IFERROR(__xludf.DUMMYFUNCTION("GOOGLETRANSLATE(A20573, ""en"", ""mt"")"),"stat tal-moħħ li qed jonqos")</f>
        <v>stat tal-moħħ li qed jonqos</v>
      </c>
    </row>
    <row r="20574" ht="15.75" customHeight="1">
      <c r="A20574" s="2" t="s">
        <v>20574</v>
      </c>
      <c r="B20574" s="2" t="str">
        <f>IFERROR(__xludf.DUMMYFUNCTION("GOOGLETRANSLATE(A20574, ""en"", ""mt"")"),"Louisiana Franċiża fil-punent tax-Xmara Mississippi (inkluża New Orleans)")</f>
        <v>Louisiana Franċiża fil-punent tax-Xmara Mississippi (inkluża New Orleans)</v>
      </c>
    </row>
    <row r="20575" ht="15.75" customHeight="1">
      <c r="A20575" s="2" t="s">
        <v>20575</v>
      </c>
      <c r="B20575" s="2" t="str">
        <f>IFERROR(__xludf.DUMMYFUNCTION("GOOGLETRANSLATE(A20575, ""en"", ""mt"")"),"Wara li Braddock miet, min ikkontrolla l-forzi Ingliżi tal-Amerika ta ’Fuq?")</f>
        <v>Wara li Braddock miet, min ikkontrolla l-forzi Ingliżi tal-Amerika ta ’Fuq?</v>
      </c>
    </row>
    <row r="20576" ht="15.75" customHeight="1">
      <c r="A20576" s="2" t="s">
        <v>20576</v>
      </c>
      <c r="B20576" s="2" t="str">
        <f>IFERROR(__xludf.DUMMYFUNCTION("GOOGLETRANSLATE(A20576, ""en"", ""mt"")"),"Bejn wieħed u ieħor kemm hemm osservanti l-Knisja Metodista Magħquda madwar id-dinja?")</f>
        <v>Bejn wieħed u ieħor kemm hemm osservanti l-Knisja Metodista Magħquda madwar id-dinja?</v>
      </c>
    </row>
    <row r="20577" ht="15.75" customHeight="1">
      <c r="A20577" s="2" t="s">
        <v>20577</v>
      </c>
      <c r="B20577" s="2" t="str">
        <f>IFERROR(__xludf.DUMMYFUNCTION("GOOGLETRANSLATE(A20577, ""en"", ""mt"")"),"Surveyor tal-Kwantità")</f>
        <v>Surveyor tal-Kwantità</v>
      </c>
    </row>
    <row r="20578" ht="15.75" customHeight="1">
      <c r="A20578" s="2" t="s">
        <v>20578</v>
      </c>
      <c r="B20578" s="2" t="str">
        <f>IFERROR(__xludf.DUMMYFUNCTION("GOOGLETRANSLATE(A20578, ""en"", ""mt"")"),"Il-knisja ssostni li huma marbuta bl-istess mod li jirrispettaw is-sagrifiċċju tal-ħajja u l-benesseri ta 'min?")</f>
        <v>Il-knisja ssostni li huma marbuta bl-istess mod li jirrispettaw is-sagrifiċċju tal-ħajja u l-benesseri ta 'min?</v>
      </c>
    </row>
    <row r="20579" ht="15.75" customHeight="1">
      <c r="A20579" s="2" t="s">
        <v>20579</v>
      </c>
      <c r="B20579" s="2" t="str">
        <f>IFERROR(__xludf.DUMMYFUNCTION("GOOGLETRANSLATE(A20579, ""en"", ""mt"")"),"X'inhu l-Parlament Skoċċiż bħalissa fir-raba 'ta'?")</f>
        <v>X'inhu l-Parlament Skoċċiż bħalissa fir-raba 'ta'?</v>
      </c>
    </row>
    <row r="20580" ht="15.75" customHeight="1">
      <c r="A20580" s="2" t="s">
        <v>20580</v>
      </c>
      <c r="B20580" s="2" t="str">
        <f>IFERROR(__xludf.DUMMYFUNCTION("GOOGLETRANSLATE(A20580, ""en"", ""mt"")"),"Min irrimarka li s-silta taħt tilwima fil-fatt tirreferi għal raġel ħaj?")</f>
        <v>Min irrimarka li s-silta taħt tilwima fil-fatt tirreferi għal raġel ħaj?</v>
      </c>
    </row>
    <row r="20581" ht="15.75" customHeight="1">
      <c r="A20581" s="2" t="s">
        <v>20581</v>
      </c>
      <c r="B20581" s="2" t="str">
        <f>IFERROR(__xludf.DUMMYFUNCTION("GOOGLETRANSLATE(A20581, ""en"", ""mt"")"),"Liema radjazzjoni ħafifa tassorbi l-ożonu?")</f>
        <v>Liema radjazzjoni ħafifa tassorbi l-ożonu?</v>
      </c>
    </row>
    <row r="20582" ht="15.75" customHeight="1">
      <c r="A20582" s="2" t="s">
        <v>20582</v>
      </c>
      <c r="B20582" s="2" t="str">
        <f>IFERROR(__xludf.DUMMYFUNCTION("GOOGLETRANSLATE(A20582, ""en"", ""mt"")"),"Doc Films")</f>
        <v>Doc Films</v>
      </c>
    </row>
    <row r="20583" ht="15.75" customHeight="1">
      <c r="A20583" s="2" t="s">
        <v>20583</v>
      </c>
      <c r="B20583" s="2" t="str">
        <f>IFERROR(__xludf.DUMMYFUNCTION("GOOGLETRANSLATE(A20583, ""en"", ""mt"")"),"Meta kienet il-Battalja ta 'Hastings?")</f>
        <v>Meta kienet il-Battalja ta 'Hastings?</v>
      </c>
    </row>
    <row r="20584" ht="15.75" customHeight="1">
      <c r="A20584" s="2" t="s">
        <v>20584</v>
      </c>
      <c r="B20584" s="2" t="str">
        <f>IFERROR(__xludf.DUMMYFUNCTION("GOOGLETRANSLATE(A20584, ""en"", ""mt"")"),"tista 'tipproduċi kemm bajd kif ukoll sperma")</f>
        <v>tista 'tipproduċi kemm bajd kif ukoll sperma</v>
      </c>
    </row>
    <row r="20585" ht="15.75" customHeight="1">
      <c r="A20585" s="2" t="s">
        <v>20585</v>
      </c>
      <c r="B20585" s="2" t="str">
        <f>IFERROR(__xludf.DUMMYFUNCTION("GOOGLETRANSLATE(A20585, ""en"", ""mt"")"),"Dynasty Ming")</f>
        <v>Dynasty Ming</v>
      </c>
    </row>
    <row r="20586" ht="15.75" customHeight="1">
      <c r="A20586" s="2" t="s">
        <v>20586</v>
      </c>
      <c r="B20586" s="2" t="str">
        <f>IFERROR(__xludf.DUMMYFUNCTION("GOOGLETRANSLATE(A20586, ""en"", ""mt"")"),"L-għoti ta 'liema status jippermetti skejjel privati ​​mhux reliġjużi fl-Istati Uniti jirċievu fondi pubbliċi?")</f>
        <v>L-għoti ta 'liema status jippermetti skejjel privati ​​mhux reliġjużi fl-Istati Uniti jirċievu fondi pubbliċi?</v>
      </c>
    </row>
    <row r="20587" ht="15.75" customHeight="1">
      <c r="A20587" s="2" t="s">
        <v>20587</v>
      </c>
      <c r="B20587" s="2" t="str">
        <f>IFERROR(__xludf.DUMMYFUNCTION("GOOGLETRANSLATE(A20587, ""en"", ""mt"")"),"X'inhuma l-Frogs Dart li huma magħrufa li jnixxu?")</f>
        <v>X'inhuma l-Frogs Dart li huma magħrufa li jnixxu?</v>
      </c>
    </row>
    <row r="20588" ht="15.75" customHeight="1">
      <c r="A20588" s="2" t="s">
        <v>20588</v>
      </c>
      <c r="B20588" s="2" t="str">
        <f>IFERROR(__xludf.DUMMYFUNCTION("GOOGLETRANSLATE(A20588, ""en"", ""mt"")"),"is-savana semi-arida fit-tramuntana u l-lvant")</f>
        <v>is-savana semi-arida fit-tramuntana u l-lvant</v>
      </c>
    </row>
    <row r="20589" ht="15.75" customHeight="1">
      <c r="A20589" s="2" t="s">
        <v>20589</v>
      </c>
      <c r="B20589" s="2" t="str">
        <f>IFERROR(__xludf.DUMMYFUNCTION("GOOGLETRANSLATE(A20589, ""en"", ""mt"")"),"1639")</f>
        <v>1639</v>
      </c>
    </row>
    <row r="20590" ht="15.75" customHeight="1">
      <c r="A20590" s="2" t="s">
        <v>20590</v>
      </c>
      <c r="B20590" s="2" t="str">
        <f>IFERROR(__xludf.DUMMYFUNCTION("GOOGLETRANSLATE(A20590, ""en"", ""mt"")"),"Arti u Televiżjoni tad-Divertiment (A&amp;E)")</f>
        <v>Arti u Televiżjoni tad-Divertiment (A&amp;E)</v>
      </c>
    </row>
    <row r="20591" ht="15.75" customHeight="1">
      <c r="A20591" s="2" t="s">
        <v>20591</v>
      </c>
      <c r="B20591" s="2" t="str">
        <f>IFERROR(__xludf.DUMMYFUNCTION("GOOGLETRANSLATE(A20591, ""en"", ""mt"")"),"ESPN Deportes")</f>
        <v>ESPN Deportes</v>
      </c>
    </row>
    <row r="20592" ht="15.75" customHeight="1">
      <c r="A20592" s="2" t="s">
        <v>20592</v>
      </c>
      <c r="B20592" s="2" t="str">
        <f>IFERROR(__xludf.DUMMYFUNCTION("GOOGLETRANSLATE(A20592, ""en"", ""mt"")"),"Vendobionta")</f>
        <v>Vendobionta</v>
      </c>
    </row>
    <row r="20593" ht="15.75" customHeight="1">
      <c r="A20593" s="2" t="s">
        <v>20593</v>
      </c>
      <c r="B20593" s="2" t="str">
        <f>IFERROR(__xludf.DUMMYFUNCTION("GOOGLETRANSLATE(A20593, ""en"", ""mt"")"),"veloċitajiet tal-mewġ")</f>
        <v>veloċitajiet tal-mewġ</v>
      </c>
    </row>
    <row r="20594" ht="15.75" customHeight="1">
      <c r="A20594" s="2" t="s">
        <v>20594</v>
      </c>
      <c r="B20594" s="2" t="str">
        <f>IFERROR(__xludf.DUMMYFUNCTION("GOOGLETRANSLATE(A20594, ""en"", ""mt"")"),"Madwar 15,000")</f>
        <v>Madwar 15,000</v>
      </c>
    </row>
    <row r="20595" ht="15.75" customHeight="1">
      <c r="A20595" s="2" t="s">
        <v>20595</v>
      </c>
      <c r="B20595" s="2" t="str">
        <f>IFERROR(__xludf.DUMMYFUNCTION("GOOGLETRANSLATE(A20595, ""en"", ""mt"")"),"Realiżmu Soċjalista")</f>
        <v>Realiżmu Soċjalista</v>
      </c>
    </row>
    <row r="20596" ht="15.75" customHeight="1">
      <c r="A20596" s="2" t="s">
        <v>20596</v>
      </c>
      <c r="B20596" s="2" t="str">
        <f>IFERROR(__xludf.DUMMYFUNCTION("GOOGLETRANSLATE(A20596, ""en"", ""mt"")"),"kbir")</f>
        <v>kbir</v>
      </c>
    </row>
    <row r="20597" ht="15.75" customHeight="1">
      <c r="A20597" s="2" t="s">
        <v>20597</v>
      </c>
      <c r="B20597" s="2" t="str">
        <f>IFERROR(__xludf.DUMMYFUNCTION("GOOGLETRANSLATE(A20597, ""en"", ""mt"")"),"Biex tevita l- ""inkonvenjent"" li żżur tabib jew li jiksbu mediċini li t-tobba tagħhom ma riedux jippreskrivu")</f>
        <v>Biex tevita l- "inkonvenjent" li żżur tabib jew li jiksbu mediċini li t-tobba tagħhom ma riedux jippreskrivu</v>
      </c>
    </row>
    <row r="20598" ht="15.75" customHeight="1">
      <c r="A20598" s="2" t="s">
        <v>20598</v>
      </c>
      <c r="B20598" s="2" t="str">
        <f>IFERROR(__xludf.DUMMYFUNCTION("GOOGLETRANSLATE(A20598, ""en"", ""mt"")"),"L-oqsma kompluti (jew lokali)")</f>
        <v>L-oqsma kompluti (jew lokali)</v>
      </c>
    </row>
    <row r="20599" ht="15.75" customHeight="1">
      <c r="A20599" s="2" t="s">
        <v>20599</v>
      </c>
      <c r="B20599" s="2" t="str">
        <f>IFERROR(__xludf.DUMMYFUNCTION("GOOGLETRANSLATE(A20599, ""en"", ""mt"")"),"Liema organizzazzjoni sabet Harvard fl-1900?")</f>
        <v>Liema organizzazzjoni sabet Harvard fl-1900?</v>
      </c>
    </row>
    <row r="20600" ht="15.75" customHeight="1">
      <c r="A20600" s="2" t="s">
        <v>20600</v>
      </c>
      <c r="B20600" s="2" t="str">
        <f>IFERROR(__xludf.DUMMYFUNCTION("GOOGLETRANSLATE(A20600, ""en"", ""mt"")"),"60,000 kolonizzaturi Ewropej")</f>
        <v>60,000 kolonizzaturi Ewropej</v>
      </c>
    </row>
    <row r="20601" ht="15.75" customHeight="1">
      <c r="A20601" s="2" t="s">
        <v>20601</v>
      </c>
      <c r="B20601" s="2" t="str">
        <f>IFERROR(__xludf.DUMMYFUNCTION("GOOGLETRANSLATE(A20601, ""en"", ""mt"")"),"Istitut Internazzjonali tar-Riċerka dwar l-Uċuħ tar-raba 'għat-Tropiċi Semi-Aridi (ICRISAT)")</f>
        <v>Istitut Internazzjonali tar-Riċerka dwar l-Uċuħ tar-raba 'għat-Tropiċi Semi-Aridi (ICRISAT)</v>
      </c>
    </row>
    <row r="20602" ht="15.75" customHeight="1">
      <c r="A20602" s="2" t="s">
        <v>20602</v>
      </c>
      <c r="B20602" s="2" t="str">
        <f>IFERROR(__xludf.DUMMYFUNCTION("GOOGLETRANSLATE(A20602, ""en"", ""mt"")"),"ABC Meta bdiet ixandar il-Pageant Miss America?")</f>
        <v>ABC Meta bdiet ixandar il-Pageant Miss America?</v>
      </c>
    </row>
    <row r="20603" ht="15.75" customHeight="1">
      <c r="A20603" s="2" t="s">
        <v>20603</v>
      </c>
      <c r="B20603" s="2" t="str">
        <f>IFERROR(__xludf.DUMMYFUNCTION("GOOGLETRANSLATE(A20603, ""en"", ""mt"")"),"Li kkawża li r-riforma qatt ma tidħol fis-seħħ?")</f>
        <v>Li kkawża li r-riforma qatt ma tidħol fis-seħħ?</v>
      </c>
    </row>
    <row r="20604" ht="15.75" customHeight="1">
      <c r="A20604" s="2" t="s">
        <v>20604</v>
      </c>
      <c r="B20604" s="2" t="str">
        <f>IFERROR(__xludf.DUMMYFUNCTION("GOOGLETRANSLATE(A20604, ""en"", ""mt"")"),"X'tifhem l-elettroliżi ta 'l-ilma?")</f>
        <v>X'tifhem l-elettroliżi ta 'l-ilma?</v>
      </c>
    </row>
    <row r="20605" ht="15.75" customHeight="1">
      <c r="A20605" s="2" t="s">
        <v>20605</v>
      </c>
      <c r="B20605" s="2" t="str">
        <f>IFERROR(__xludf.DUMMYFUNCTION("GOOGLETRANSLATE(A20605, ""en"", ""mt"")"),"Is-Suq Harrogate jinsab fil-Lokali X'inhu?")</f>
        <v>Is-Suq Harrogate jinsab fil-Lokali X'inhu?</v>
      </c>
    </row>
    <row r="20606" ht="15.75" customHeight="1">
      <c r="A20606" s="2" t="s">
        <v>20606</v>
      </c>
      <c r="B20606" s="2" t="str">
        <f>IFERROR(__xludf.DUMMYFUNCTION("GOOGLETRANSLATE(A20606, ""en"", ""mt"")"),"Il-komunitajiet tan-Nofsinhar tal-Kalifornja huma magħrufa sew, mifruxa - barra, u liema karatteristika oħra?")</f>
        <v>Il-komunitajiet tan-Nofsinhar tal-Kalifornja huma magħrufa sew, mifruxa - barra, u liema karatteristika oħra?</v>
      </c>
    </row>
    <row r="20607" ht="15.75" customHeight="1">
      <c r="A20607" s="2" t="s">
        <v>20607</v>
      </c>
      <c r="B20607" s="2" t="str">
        <f>IFERROR(__xludf.DUMMYFUNCTION("GOOGLETRANSLATE(A20607, ""en"", ""mt"")"),"Enrique Pérez de Guzmán")</f>
        <v>Enrique Pérez de Guzmán</v>
      </c>
    </row>
    <row r="20608" ht="15.75" customHeight="1">
      <c r="A20608" s="2" t="s">
        <v>20608</v>
      </c>
      <c r="B20608" s="2" t="str">
        <f>IFERROR(__xludf.DUMMYFUNCTION("GOOGLETRANSLATE(A20608, ""en"", ""mt"")"),"Il-Bini tal-Unjoni tal-Istudenti tal-Università ta ’Newcastle")</f>
        <v>Il-Bini tal-Unjoni tal-Istudenti tal-Università ta ’Newcastle</v>
      </c>
    </row>
    <row r="20609" ht="15.75" customHeight="1">
      <c r="A20609" s="2" t="s">
        <v>20609</v>
      </c>
      <c r="B20609" s="2" t="str">
        <f>IFERROR(__xludf.DUMMYFUNCTION("GOOGLETRANSLATE(A20609, ""en"", ""mt"")"),"wiegħed li jibgħatlu lill-aqwa skola tal-inġinerija")</f>
        <v>wiegħed li jibgħatlu lill-aqwa skola tal-inġinerija</v>
      </c>
    </row>
    <row r="20610" ht="15.75" customHeight="1">
      <c r="A20610" s="2" t="s">
        <v>20610</v>
      </c>
      <c r="B20610" s="2" t="str">
        <f>IFERROR(__xludf.DUMMYFUNCTION("GOOGLETRANSLATE(A20610, ""en"", ""mt"")"),"Minn liema lingwa toriġina ""hoy""?")</f>
        <v>Minn liema lingwa toriġina "hoy"?</v>
      </c>
    </row>
    <row r="20611" ht="15.75" customHeight="1">
      <c r="A20611" s="2" t="s">
        <v>20611</v>
      </c>
      <c r="B20611" s="2" t="str">
        <f>IFERROR(__xludf.DUMMYFUNCTION("GOOGLETRANSLATE(A20611, ""en"", ""mt"")"),"North Carolina u New Mexico")</f>
        <v>North Carolina u New Mexico</v>
      </c>
    </row>
    <row r="20612" ht="15.75" customHeight="1">
      <c r="A20612" s="2" t="s">
        <v>20612</v>
      </c>
      <c r="B20612" s="2" t="str">
        <f>IFERROR(__xludf.DUMMYFUNCTION("GOOGLETRANSLATE(A20612, ""en"", ""mt"")"),"X'kienu t-talbiet ta 'korruzzjoni fil-forzi armati?")</f>
        <v>X'kienu t-talbiet ta 'korruzzjoni fil-forzi armati?</v>
      </c>
    </row>
    <row r="20613" ht="15.75" customHeight="1">
      <c r="A20613" s="2" t="s">
        <v>20613</v>
      </c>
      <c r="B20613" s="2" t="str">
        <f>IFERROR(__xludf.DUMMYFUNCTION("GOOGLETRANSLATE(A20613, ""en"", ""mt"")"),"Fil-laboratorju, il-bijostratigrafiċi janalizzaw kampjuni tal-blat mill-qlub u t-tħaffir għall-fossili misjuba fihom. Dawn il-fossili jgħinu lix-xjenzati biex jagħmlu l-qalba u jifhmu l-ambjent ta 'depożitu li fih iffurmaw l-unitajiet tal-blat. Il-ġeokron"&amp;"ologi jmorru b'mod preċiż il-blat fit-taqsima stratigrafika sabiex jipprovdu limiti assoluti aħjar fuq iż-żmien u r-rati ta 'deposizzjoni. Stratigraphers manjetiċi jfittxu sinjali ta 'treġġigħ lura manjetiku f'unitajiet ta' blat igneous fil-qlub tat-tħaff"&amp;"ir. Xjentisti oħra jwettqu studji ta ’iżotopi stabbli fuq il-blat biex jiksbu informazzjoni dwar il-klima tal-passat.")</f>
        <v>Fil-laboratorju, il-bijostratigrafiċi janalizzaw kampjuni tal-blat mill-qlub u t-tħaffir għall-fossili misjuba fihom. Dawn il-fossili jgħinu lix-xjenzati biex jagħmlu l-qalba u jifhmu l-ambjent ta 'depożitu li fih iffurmaw l-unitajiet tal-blat. Il-ġeokronologi jmorru b'mod preċiż il-blat fit-taqsima stratigrafika sabiex jipprovdu limiti assoluti aħjar fuq iż-żmien u r-rati ta 'deposizzjoni. Stratigraphers manjetiċi jfittxu sinjali ta 'treġġigħ lura manjetiku f'unitajiet ta' blat igneous fil-qlub tat-tħaffir. Xjentisti oħra jwettqu studji ta ’iżotopi stabbli fuq il-blat biex jiksbu informazzjoni dwar il-klima tal-passat.</v>
      </c>
    </row>
    <row r="20614" ht="15.75" customHeight="1">
      <c r="A20614" s="2" t="s">
        <v>20614</v>
      </c>
      <c r="B20614" s="2" t="str">
        <f>IFERROR(__xludf.DUMMYFUNCTION("GOOGLETRANSLATE(A20614, ""en"", ""mt"")"),"Kien hemm żewġ tipi ta 'netwerks X.25. Uħud bħal DataPac u TransPac ġew inizjalment implimentati b'interface esterna X.25. Xi netwerks anzjani bħal Telenet u Tymnet ġew modifikati biex jipprovdu interface ospitanti X.25 minbarra skemi ta 'konnessjoni ospi"&amp;"tanti anzjani. Datapac ġie żviluppat minn Bell Northern Research li kienet impriża konġunta ta ’Bell Canada (trasportatur komuni) u tat-telekomunikazzjoni tat-Tramuntana (fornitur tat-tagħmir tat-telekomunikazzjoni). Northern Telecom biegħ diversi kloni D"&amp;"atapac lil PTTs barranin inkluż id-Deutsche Bundespost. X.75 u X.121 ippermettew l-interkonnessjoni tan-netwerks nazzjonali X.25. Utent jew ospitanti jistgħu jċemplu ospitanti fuq netwerk barrani billi jinkludu d-DNIC tan-netwerk remot bħala parti mill-in"&amp;"dirizz tad-destinazzjoni. [Ċitazzjoni meħtieġa]")</f>
        <v>Kien hemm żewġ tipi ta 'netwerks X.25. Uħud bħal DataPac u TransPac ġew inizjalment implimentati b'interface esterna X.25. Xi netwerks anzjani bħal Telenet u Tymnet ġew modifikati biex jipprovdu interface ospitanti X.25 minbarra skemi ta 'konnessjoni ospitanti anzjani. Datapac ġie żviluppat minn Bell Northern Research li kienet impriża konġunta ta ’Bell Canada (trasportatur komuni) u tat-telekomunikazzjoni tat-Tramuntana (fornitur tat-tagħmir tat-telekomunikazzjoni). Northern Telecom biegħ diversi kloni Datapac lil PTTs barranin inkluż id-Deutsche Bundespost. X.75 u X.121 ippermettew l-interkonnessjoni tan-netwerks nazzjonali X.25. Utent jew ospitanti jistgħu jċemplu ospitanti fuq netwerk barrani billi jinkludu d-DNIC tan-netwerk remot bħala parti mill-indirizz tad-destinazzjoni. [Ċitazzjoni meħtieġa]</v>
      </c>
    </row>
    <row r="20615" ht="15.75" customHeight="1">
      <c r="A20615" s="2" t="s">
        <v>20615</v>
      </c>
      <c r="B20615" s="2" t="str">
        <f>IFERROR(__xludf.DUMMYFUNCTION("GOOGLETRANSLATE(A20615, ""en"", ""mt"")"),"Liema karozza hija liċenzjata mill-fabbrika tal-karozzi FSO u mibnija fl-Eġittu?")</f>
        <v>Liema karozza hija liċenzjata mill-fabbrika tal-karozzi FSO u mibnija fl-Eġittu?</v>
      </c>
    </row>
    <row r="20616" ht="15.75" customHeight="1">
      <c r="A20616" s="2" t="s">
        <v>20616</v>
      </c>
      <c r="B20616" s="2" t="str">
        <f>IFERROR(__xludf.DUMMYFUNCTION("GOOGLETRANSLATE(A20616, ""en"", ""mt"")"),"Agrikoltura")</f>
        <v>Agrikoltura</v>
      </c>
    </row>
    <row r="20617" ht="15.75" customHeight="1">
      <c r="A20617" s="2" t="s">
        <v>20617</v>
      </c>
      <c r="B20617" s="2" t="str">
        <f>IFERROR(__xludf.DUMMYFUNCTION("GOOGLETRANSLATE(A20617, ""en"", ""mt"")"),"Fejn hi Triq D'Olier?")</f>
        <v>Fejn hi Triq D'Olier?</v>
      </c>
    </row>
    <row r="20618" ht="15.75" customHeight="1">
      <c r="A20618" s="2" t="s">
        <v>20618</v>
      </c>
      <c r="B20618" s="2" t="str">
        <f>IFERROR(__xludf.DUMMYFUNCTION("GOOGLETRANSLATE(A20618, ""en"", ""mt"")"),"Kif huma appoġġjati l-ispjegazzjonijiet?")</f>
        <v>Kif huma appoġġjati l-ispjegazzjonijiet?</v>
      </c>
    </row>
    <row r="20619" ht="15.75" customHeight="1">
      <c r="A20619" s="2" t="s">
        <v>20619</v>
      </c>
      <c r="B20619" s="2" t="str">
        <f>IFERROR(__xludf.DUMMYFUNCTION("GOOGLETRANSLATE(A20619, ""en"", ""mt"")"),"Teorija tan-Numri")</f>
        <v>Teorija tan-Numri</v>
      </c>
    </row>
    <row r="20620" ht="15.75" customHeight="1">
      <c r="A20620" s="2" t="s">
        <v>20620</v>
      </c>
      <c r="B20620" s="2" t="str">
        <f>IFERROR(__xludf.DUMMYFUNCTION("GOOGLETRANSLATE(A20620, ""en"", ""mt"")"),"Fl-organizzazzjoni ta 'knisja ġdida, dak li Luther sab li ma jaħdimx għall-kongregazzjonijiet?")</f>
        <v>Fl-organizzazzjoni ta 'knisja ġdida, dak li Luther sab li ma jaħdimx għall-kongregazzjonijiet?</v>
      </c>
    </row>
    <row r="20621" ht="15.75" customHeight="1">
      <c r="A20621" s="2" t="s">
        <v>20621</v>
      </c>
      <c r="B20621" s="2" t="str">
        <f>IFERROR(__xludf.DUMMYFUNCTION("GOOGLETRANSLATE(A20621, ""en"", ""mt"")"),"Min hu l-imħallef finali ta 'dritt u ħażin?")</f>
        <v>Min hu l-imħallef finali ta 'dritt u ħażin?</v>
      </c>
    </row>
    <row r="20622" ht="15.75" customHeight="1">
      <c r="A20622" s="2" t="s">
        <v>20622</v>
      </c>
      <c r="B20622" s="2" t="str">
        <f>IFERROR(__xludf.DUMMYFUNCTION("GOOGLETRANSLATE(A20622, ""en"", ""mt"")"),"X'tip ta 'magni tipikament għandha l-karozza Amerikana?")</f>
        <v>X'tip ta 'magni tipikament għandha l-karozza Amerikana?</v>
      </c>
    </row>
    <row r="20623" ht="15.75" customHeight="1">
      <c r="A20623" s="2" t="s">
        <v>20623</v>
      </c>
      <c r="B20623" s="2" t="str">
        <f>IFERROR(__xludf.DUMMYFUNCTION("GOOGLETRANSLATE(A20623, ""en"", ""mt"")"),"eżerċitat mill-gvern")</f>
        <v>eżerċitat mill-gvern</v>
      </c>
    </row>
    <row r="20624" ht="15.75" customHeight="1">
      <c r="A20624" s="2" t="s">
        <v>20624</v>
      </c>
      <c r="B20624" s="2" t="str">
        <f>IFERROR(__xludf.DUMMYFUNCTION("GOOGLETRANSLATE(A20624, ""en"", ""mt"")"),"Min jista 'jiddeċiedi dwar kwistjonijiet legali fl-Iżlam?")</f>
        <v>Min jista 'jiddeċiedi dwar kwistjonijiet legali fl-Iżlam?</v>
      </c>
    </row>
    <row r="20625" ht="15.75" customHeight="1">
      <c r="A20625" s="2" t="s">
        <v>20625</v>
      </c>
      <c r="B20625" s="2" t="str">
        <f>IFERROR(__xludf.DUMMYFUNCTION("GOOGLETRANSLATE(A20625, ""en"", ""mt"")"),"Matul it-tieni sena ta 'studju tiegħu f'Graz, Tesla żviluppat passjoni għal (u saret profiċjenti ħafna) biljards, ċess u logħob tal-karti, xi kultant tqatta' aktar minn 48 siegħa fi medda fuq mejda tal-logħob.: 43, 301 f'okkażjoni waħda Fil-laboratorju ti"&amp;"egħu, Tesla ħadmet għal perjodu ta '84 siegħa mingħajr irqad jew mistrieħ. Swezey fakkret filgħodu meta Tesla sejħilha fit-3 a.m . Xogħol [ed] barra problema, billi jqabbel teorija waħda ma 'oħra, jikkummenta; u meta ħass li kien wasal għas-soluzzjoni, f'"&amp;"daqqa waħda għalaq it-telefon. """)</f>
        <v>Matul it-tieni sena ta 'studju tiegħu f'Graz, Tesla żviluppat passjoni għal (u saret profiċjenti ħafna) biljards, ċess u logħob tal-karti, xi kultant tqatta' aktar minn 48 siegħa fi medda fuq mejda tal-logħob.: 43, 301 f'okkażjoni waħda Fil-laboratorju tiegħu, Tesla ħadmet għal perjodu ta '84 siegħa mingħajr irqad jew mistrieħ. Swezey fakkret filgħodu meta Tesla sejħilha fit-3 a.m . Xogħol [ed] barra problema, billi jqabbel teorija waħda ma 'oħra, jikkummenta; u meta ħass li kien wasal għas-soluzzjoni, f'daqqa waħda għalaq it-telefon. "</v>
      </c>
    </row>
    <row r="20626" ht="15.75" customHeight="1">
      <c r="A20626" s="2" t="s">
        <v>20626</v>
      </c>
      <c r="B20626" s="2" t="str">
        <f>IFERROR(__xludf.DUMMYFUNCTION("GOOGLETRANSLATE(A20626, ""en"", ""mt"")"),"l-uffiċċju Ewropew kontra l-frodi")</f>
        <v>l-uffiċċju Ewropew kontra l-frodi</v>
      </c>
    </row>
    <row r="20627" ht="15.75" customHeight="1">
      <c r="A20627" s="2" t="s">
        <v>20627</v>
      </c>
      <c r="B20627" s="2" t="str">
        <f>IFERROR(__xludf.DUMMYFUNCTION("GOOGLETRANSLATE(A20627, ""en"", ""mt"")"),"X'inhu l-korp eżekuttiv ewlieni tal-UE?")</f>
        <v>X'inhu l-korp eżekuttiv ewlieni tal-UE?</v>
      </c>
    </row>
    <row r="20628" ht="15.75" customHeight="1">
      <c r="A20628" s="2" t="s">
        <v>20628</v>
      </c>
      <c r="B20628" s="2" t="str">
        <f>IFERROR(__xludf.DUMMYFUNCTION("GOOGLETRANSLATE(A20628, ""en"", ""mt"")"),"Apollo dam mill-1961 sal-1972")</f>
        <v>Apollo dam mill-1961 sal-1972</v>
      </c>
    </row>
    <row r="20629" ht="15.75" customHeight="1">
      <c r="A20629" s="2" t="s">
        <v>20629</v>
      </c>
      <c r="B20629" s="2" t="str">
        <f>IFERROR(__xludf.DUMMYFUNCTION("GOOGLETRANSLATE(A20629, ""en"", ""mt"")"),"Ir-Renu joħroġ mill-Lag Constance, il-flussi ġeneralment lejn il-punent, bħala l-Hochrhein, jgħaddi r-Rhine Falls, u huwa magħqud mit-tributarju ewlieni tiegħu, ix-Xmara Aare. L-AARE aktar milli tirdoppja l-iskarikar tal-ilma tar-Rhine, għal medja ta 'kwa"&amp;"żi 1,000 m3 / s (35,000 cu ft / s), u tipprovdi aktar minn ħamsa tal-kwittanza fil-fruntiera Olandiża. L-AARE fih ukoll l-ilmijiet mis-summit ta 'Finsteraarhorn ta' 4,274 m (14,022 ft), l-ogħla punt tal-baċin tar-Renu. Ir-Rhine bejn wieħed u ieħor jifform"&amp;"a l-fruntiera Ġermaniża-Żvizzera mill-Lag Constance bl-eċċezzjonijiet tal-canton ta 'Schaffhausen u partijiet tal-kantuni ta' Zürich u Basel-Stadt, sakemm idur lejn it-tramuntana fl-hekk imsejjaħ irkoppa tar-Renu f'Basel, li jħalli l-Isvizzera.")</f>
        <v>Ir-Renu joħroġ mill-Lag Constance, il-flussi ġeneralment lejn il-punent, bħala l-Hochrhein, jgħaddi r-Rhine Falls, u huwa magħqud mit-tributarju ewlieni tiegħu, ix-Xmara Aare. L-AARE aktar milli tirdoppja l-iskarikar tal-ilma tar-Rhine, għal medja ta 'kważi 1,000 m3 / s (35,000 cu ft / s), u tipprovdi aktar minn ħamsa tal-kwittanza fil-fruntiera Olandiża. L-AARE fih ukoll l-ilmijiet mis-summit ta 'Finsteraarhorn ta' 4,274 m (14,022 ft), l-ogħla punt tal-baċin tar-Renu. Ir-Rhine bejn wieħed u ieħor jifforma l-fruntiera Ġermaniża-Żvizzera mill-Lag Constance bl-eċċezzjonijiet tal-canton ta 'Schaffhausen u partijiet tal-kantuni ta' Zürich u Basel-Stadt, sakemm idur lejn it-tramuntana fl-hekk imsejjaħ irkoppa tar-Renu f'Basel, li jħalli l-Isvizzera.</v>
      </c>
    </row>
    <row r="20630" ht="15.75" customHeight="1">
      <c r="A20630" s="2" t="s">
        <v>20630</v>
      </c>
      <c r="B20630" s="2" t="str">
        <f>IFERROR(__xludf.DUMMYFUNCTION("GOOGLETRANSLATE(A20630, ""en"", ""mt"")"),"Chu'tsai")</f>
        <v>Chu'tsai</v>
      </c>
    </row>
    <row r="20631" ht="15.75" customHeight="1">
      <c r="A20631" s="2" t="s">
        <v>20631</v>
      </c>
      <c r="B20631" s="2" t="str">
        <f>IFERROR(__xludf.DUMMYFUNCTION("GOOGLETRANSLATE(A20631, ""en"", ""mt"")"),"Wied tax-Xmara San Lawrenz")</f>
        <v>Wied tax-Xmara San Lawrenz</v>
      </c>
    </row>
    <row r="20632" ht="15.75" customHeight="1">
      <c r="A20632" s="2" t="s">
        <v>20632</v>
      </c>
      <c r="B20632" s="2" t="str">
        <f>IFERROR(__xludf.DUMMYFUNCTION("GOOGLETRANSLATE(A20632, ""en"", ""mt"")"),"3 ta 'Jannar 1521")</f>
        <v>3 ta 'Jannar 1521</v>
      </c>
    </row>
    <row r="20633" ht="15.75" customHeight="1">
      <c r="A20633" s="2" t="s">
        <v>20633</v>
      </c>
      <c r="B20633" s="2" t="str">
        <f>IFERROR(__xludf.DUMMYFUNCTION("GOOGLETRANSLATE(A20633, ""en"", ""mt"")"),"Downtown Santa Monica u d-downtown Glendale huma parti minn liema żona?")</f>
        <v>Downtown Santa Monica u d-downtown Glendale huma parti minn liema żona?</v>
      </c>
    </row>
    <row r="20634" ht="15.75" customHeight="1">
      <c r="A20634" s="2" t="s">
        <v>20634</v>
      </c>
      <c r="B20634" s="2" t="str">
        <f>IFERROR(__xludf.DUMMYFUNCTION("GOOGLETRANSLATE(A20634, ""en"", ""mt"")"),"F'liema sena ġiet iffurmata l-iskola?")</f>
        <v>F'liema sena ġiet iffurmata l-iskola?</v>
      </c>
    </row>
    <row r="20635" ht="15.75" customHeight="1">
      <c r="A20635" s="2" t="s">
        <v>20635</v>
      </c>
      <c r="B20635" s="2" t="str">
        <f>IFERROR(__xludf.DUMMYFUNCTION("GOOGLETRANSLATE(A20635, ""en"", ""mt"")"),"Danubju")</f>
        <v>Danubju</v>
      </c>
    </row>
    <row r="20636" ht="15.75" customHeight="1">
      <c r="A20636" s="2" t="s">
        <v>20636</v>
      </c>
      <c r="B20636" s="2" t="str">
        <f>IFERROR(__xludf.DUMMYFUNCTION("GOOGLETRANSLATE(A20636, ""en"", ""mt"")"),"Magni tat-Turing Probabilistiċi, Magni tat-Turing mhux Deterministiċi")</f>
        <v>Magni tat-Turing Probabilistiċi, Magni tat-Turing mhux Deterministiċi</v>
      </c>
    </row>
    <row r="20637" ht="15.75" customHeight="1">
      <c r="A20637" s="2" t="s">
        <v>20637</v>
      </c>
      <c r="B20637" s="2" t="str">
        <f>IFERROR(__xludf.DUMMYFUNCTION("GOOGLETRANSLATE(A20637, ""en"", ""mt"")"),"Chu'tsai,")</f>
        <v>Chu'tsai,</v>
      </c>
    </row>
    <row r="20638" ht="15.75" customHeight="1">
      <c r="A20638" s="2" t="s">
        <v>20638</v>
      </c>
      <c r="B20638" s="2" t="str">
        <f>IFERROR(__xludf.DUMMYFUNCTION("GOOGLETRANSLATE(A20638, ""en"", ""mt"")"),"Il-Kap Mohawk Hendrick")</f>
        <v>Il-Kap Mohawk Hendrick</v>
      </c>
    </row>
    <row r="20639" ht="15.75" customHeight="1">
      <c r="A20639" s="2" t="s">
        <v>20639</v>
      </c>
      <c r="B20639" s="2" t="str">
        <f>IFERROR(__xludf.DUMMYFUNCTION("GOOGLETRANSLATE(A20639, ""en"", ""mt"")"),"Ġappuniż")</f>
        <v>Ġappuniż</v>
      </c>
    </row>
    <row r="20640" ht="15.75" customHeight="1">
      <c r="A20640" s="2" t="s">
        <v>20640</v>
      </c>
      <c r="B20640" s="2" t="str">
        <f>IFERROR(__xludf.DUMMYFUNCTION("GOOGLETRANSLATE(A20640, ""en"", ""mt"")"),"Liema kumpanija tal-ħwejjeġ kienet sponsor tas-Super Bowl?")</f>
        <v>Liema kumpanija tal-ħwejjeġ kienet sponsor tas-Super Bowl?</v>
      </c>
    </row>
    <row r="20641" ht="15.75" customHeight="1">
      <c r="A20641" s="2" t="s">
        <v>20641</v>
      </c>
      <c r="B20641" s="2" t="str">
        <f>IFERROR(__xludf.DUMMYFUNCTION("GOOGLETRANSLATE(A20641, ""en"", ""mt"")"),"Kif ikkonċentrat il-joni tal-idroġenu jidħlu fl-ispazju tat-tilkoid?")</f>
        <v>Kif ikkonċentrat il-joni tal-idroġenu jidħlu fl-ispazju tat-tilkoid?</v>
      </c>
    </row>
    <row r="20642" ht="15.75" customHeight="1">
      <c r="A20642" s="2" t="s">
        <v>20642</v>
      </c>
      <c r="B20642" s="2" t="str">
        <f>IFERROR(__xludf.DUMMYFUNCTION("GOOGLETRANSLATE(A20642, ""en"", ""mt"")"),"In-NASA tat it-32 minn dawn l-astronawti l-ogħla unur tagħha, il-midalja tas-servizz distinta, mogħtija għal ""servizz distint, abilità, jew kuraġġ"", u kontribuzzjoni personali ""li tirrappreżenta progress sostanzjali għall-missjoni tan-NASA"". Il-midalj"&amp;"i ngħataw wara l-mewt lil Grissom, White, u Chaffee fl-1969, imbagħad għall-ekwipaġġi tal-missjonijiet kollha minn Apollo 8 'il quddiem. L-ekwipaġġ li tellgħu l-ewwel missjoni tat-test orbitali tad-Dinja Apollo 7, Walter M. Schirra, Donn Eisele, u Walter "&amp;"Cunningham, ingħataw il-midalja tas-servizz eċċezzjonali tan-NASA, minħabba problemi ta 'dixxiplina bl-ordnijiet tad-direttur tat-titjira waqt it-titjira tagħhom. L-amministratur tan-NASA f'Ottubru, 2008, iddeċieda li jagħtihom il-midalji tas-servizz dist"&amp;"inti, sa dan iż-żmien wara mewt lil Schirra u Eisele.")</f>
        <v>In-NASA tat it-32 minn dawn l-astronawti l-ogħla unur tagħha, il-midalja tas-servizz distinta, mogħtija għal "servizz distint, abilità, jew kuraġġ", u kontribuzzjoni personali "li tirrappreżenta progress sostanzjali għall-missjoni tan-NASA". Il-midalji ngħataw wara l-mewt lil Grissom, White, u Chaffee fl-1969, imbagħad għall-ekwipaġġi tal-missjonijiet kollha minn Apollo 8 'il quddiem. L-ekwipaġġ li tellgħu l-ewwel missjoni tat-test orbitali tad-Dinja Apollo 7, Walter M. Schirra, Donn Eisele, u Walter Cunningham, ingħataw il-midalja tas-servizz eċċezzjonali tan-NASA, minħabba problemi ta 'dixxiplina bl-ordnijiet tad-direttur tat-titjira waqt it-titjira tagħhom. L-amministratur tan-NASA f'Ottubru, 2008, iddeċieda li jagħtihom il-midalji tas-servizz distinti, sa dan iż-żmien wara mewt lil Schirra u Eisele.</v>
      </c>
    </row>
    <row r="20643" ht="15.75" customHeight="1">
      <c r="A20643" s="2" t="s">
        <v>20643</v>
      </c>
      <c r="B20643" s="2" t="str">
        <f>IFERROR(__xludf.DUMMYFUNCTION("GOOGLETRANSLATE(A20643, ""en"", ""mt"")"),"Minħabba li ċ-Ċina tan-Nofsinhar irreżistiet u ġġieldet għall-aħħar qabel ma ħarġet")</f>
        <v>Minħabba li ċ-Ċina tan-Nofsinhar irreżistiet u ġġieldet għall-aħħar qabel ma ħarġet</v>
      </c>
    </row>
    <row r="20644" ht="15.75" customHeight="1">
      <c r="A20644" s="2" t="s">
        <v>20644</v>
      </c>
      <c r="B20644" s="2" t="str">
        <f>IFERROR(__xludf.DUMMYFUNCTION("GOOGLETRANSLATE(A20644, ""en"", ""mt"")"),"Kemm studenti gradwati għandu Harvard?")</f>
        <v>Kemm studenti gradwati għandu Harvard?</v>
      </c>
    </row>
    <row r="20645" ht="15.75" customHeight="1">
      <c r="A20645" s="2" t="s">
        <v>20645</v>
      </c>
      <c r="B20645" s="2" t="str">
        <f>IFERROR(__xludf.DUMMYFUNCTION("GOOGLETRANSLATE(A20645, ""en"", ""mt"")"),"L-iktar xhur sħan minn Mejju sa Settembru")</f>
        <v>L-iktar xhur sħan minn Mejju sa Settembru</v>
      </c>
    </row>
    <row r="20646" ht="15.75" customHeight="1">
      <c r="A20646" s="2" t="s">
        <v>20646</v>
      </c>
      <c r="B20646" s="2" t="str">
        <f>IFERROR(__xludf.DUMMYFUNCTION("GOOGLETRANSLATE(A20646, ""en"", ""mt"")"),"Minbarra l-Steamboat, liema forma moderna ta 'vjaġġar ġabet viżitaturi fi Florida?")</f>
        <v>Minbarra l-Steamboat, liema forma moderna ta 'vjaġġar ġabet viżitaturi fi Florida?</v>
      </c>
    </row>
    <row r="20647" ht="15.75" customHeight="1">
      <c r="A20647" s="2" t="s">
        <v>20647</v>
      </c>
      <c r="B20647" s="2" t="str">
        <f>IFERROR(__xludf.DUMMYFUNCTION("GOOGLETRANSLATE(A20647, ""en"", ""mt"")"),"Minn madwar 400 AD sal-1914")</f>
        <v>Minn madwar 400 AD sal-1914</v>
      </c>
    </row>
    <row r="20648" ht="15.75" customHeight="1">
      <c r="A20648" s="2" t="s">
        <v>20648</v>
      </c>
      <c r="B20648" s="2" t="str">
        <f>IFERROR(__xludf.DUMMYFUNCTION("GOOGLETRANSLATE(A20648, ""en"", ""mt"")"),"ir-raġġ () tad-dinja")</f>
        <v>ir-raġġ () tad-dinja</v>
      </c>
    </row>
    <row r="20649" ht="15.75" customHeight="1">
      <c r="A20649" s="2" t="s">
        <v>20649</v>
      </c>
      <c r="B20649" s="2" t="str">
        <f>IFERROR(__xludf.DUMMYFUNCTION("GOOGLETRANSLATE(A20649, ""en"", ""mt"")"),"250,000 pied (")</f>
        <v>250,000 pied (</v>
      </c>
    </row>
    <row r="20650" ht="15.75" customHeight="1">
      <c r="A20650" s="2" t="s">
        <v>20650</v>
      </c>
      <c r="B20650" s="2" t="str">
        <f>IFERROR(__xludf.DUMMYFUNCTION("GOOGLETRANSLATE(A20650, ""en"", ""mt"")"),"Riżors ta 'kumplessità jista' jiġi deskritt ukoll bħala liema tip ieħor ta 'riżorsa?")</f>
        <v>Riżors ta 'kumplessità jista' jiġi deskritt ukoll bħala liema tip ieħor ta 'riżorsa?</v>
      </c>
    </row>
    <row r="20651" ht="15.75" customHeight="1">
      <c r="A20651" s="2" t="s">
        <v>20651</v>
      </c>
      <c r="B20651" s="2" t="str">
        <f>IFERROR(__xludf.DUMMYFUNCTION("GOOGLETRANSLATE(A20651, ""en"", ""mt"")"),"Ġesù l-interpretu")</f>
        <v>Ġesù l-interpretu</v>
      </c>
    </row>
    <row r="20652" ht="15.75" customHeight="1">
      <c r="A20652" s="2" t="s">
        <v>20652</v>
      </c>
      <c r="B20652" s="2" t="str">
        <f>IFERROR(__xludf.DUMMYFUNCTION("GOOGLETRANSLATE(A20652, ""en"", ""mt"")"),"Esklużjoni Soċjali")</f>
        <v>Esklużjoni Soċjali</v>
      </c>
    </row>
    <row r="20653" ht="15.75" customHeight="1">
      <c r="A20653" s="2" t="s">
        <v>20653</v>
      </c>
      <c r="B20653" s="2" t="str">
        <f>IFERROR(__xludf.DUMMYFUNCTION("GOOGLETRANSLATE(A20653, ""en"", ""mt"")"),"Il-konċentrazzjoni mhux tas-soltu għolja ta 'gass ta' ossiġnu fid-dinja hija r-riżultat taċ-ċiklu ta 'ossiġnu. Dan iċ-ċiklu bijokimiku jiddeskrivi l-moviment ta 'ossiġenu fi ħdan u bejn it-tliet ġibjuni ewlenin tiegħu fid-dinja: l-atmosfera, il-bijosfera,"&amp;" u l-litosfera. Il-fattur ewlieni tas-sewqan taċ-ċiklu tal-ossiġnu huwa l-fotosintesi, li hija responsabbli għall-atmosfera moderna tad-Dinja. Il-fotosintesi tirrilaxxa l-ossiġnu fl-atmosfera, filwaqt li r-respirazzjoni u t-tħassir ineħħuha mill-atmosfera"&amp;". Fl-ekwilibriju preżenti, il-produzzjoni u l-konsum iseħħu bl-istess rata ta 'bejn wieħed u ieħor 1/2000 ta' l-ossiġenu atmosferiku kollu fis-sena.")</f>
        <v>Il-konċentrazzjoni mhux tas-soltu għolja ta 'gass ta' ossiġnu fid-dinja hija r-riżultat taċ-ċiklu ta 'ossiġnu. Dan iċ-ċiklu bijokimiku jiddeskrivi l-moviment ta 'ossiġenu fi ħdan u bejn it-tliet ġibjuni ewlenin tiegħu fid-dinja: l-atmosfera, il-bijosfera, u l-litosfera. Il-fattur ewlieni tas-sewqan taċ-ċiklu tal-ossiġnu huwa l-fotosintesi, li hija responsabbli għall-atmosfera moderna tad-Dinja. Il-fotosintesi tirrilaxxa l-ossiġnu fl-atmosfera, filwaqt li r-respirazzjoni u t-tħassir ineħħuha mill-atmosfera. Fl-ekwilibriju preżenti, il-produzzjoni u l-konsum iseħħu bl-istess rata ta 'bejn wieħed u ieħor 1/2000 ta' l-ossiġenu atmosferiku kollu fis-sena.</v>
      </c>
    </row>
    <row r="20654" ht="15.75" customHeight="1">
      <c r="A20654" s="2" t="s">
        <v>20654</v>
      </c>
      <c r="B20654" s="2" t="str">
        <f>IFERROR(__xludf.DUMMYFUNCTION("GOOGLETRANSLATE(A20654, ""en"", ""mt"")"),"Liema Boulevard tista 'ssib ħafna djar maestużi fiż-żona?")</f>
        <v>Liema Boulevard tista 'ssib ħafna djar maestużi fiż-żona?</v>
      </c>
    </row>
    <row r="20655" ht="15.75" customHeight="1">
      <c r="A20655" s="2" t="s">
        <v>20655</v>
      </c>
      <c r="B20655" s="2" t="str">
        <f>IFERROR(__xludf.DUMMYFUNCTION("GOOGLETRANSLATE(A20655, ""en"", ""mt"")"),"Gwerra tal-bdiewa Ġermaniżi")</f>
        <v>Gwerra tal-bdiewa Ġermaniżi</v>
      </c>
    </row>
    <row r="20656" ht="15.75" customHeight="1">
      <c r="A20656" s="2" t="s">
        <v>20656</v>
      </c>
      <c r="B20656" s="2" t="str">
        <f>IFERROR(__xludf.DUMMYFUNCTION("GOOGLETRANSLATE(A20656, ""en"", ""mt"")"),"Iċ-Ċiniżi Han, Khitans, Jurchens, Mongols, u Buddisti Tibetani")</f>
        <v>Iċ-Ċiniżi Han, Khitans, Jurchens, Mongols, u Buddisti Tibetani</v>
      </c>
    </row>
    <row r="20657" ht="15.75" customHeight="1">
      <c r="A20657" s="2" t="s">
        <v>20657</v>
      </c>
      <c r="B20657" s="2" t="str">
        <f>IFERROR(__xludf.DUMMYFUNCTION("GOOGLETRANSLATE(A20657, ""en"", ""mt"")"),"Min introduċa l-ewwel sistema ta 'edukazzjoni?")</f>
        <v>Min introduċa l-ewwel sistema ta 'edukazzjoni?</v>
      </c>
    </row>
    <row r="20658" ht="15.75" customHeight="1">
      <c r="A20658" s="2" t="s">
        <v>20658</v>
      </c>
      <c r="B20658" s="2" t="str">
        <f>IFERROR(__xludf.DUMMYFUNCTION("GOOGLETRANSLATE(A20658, ""en"", ""mt"")"),"Kemm kien sinifikanti t-trasferiment tal-mard permezz tal-briegħed?")</f>
        <v>Kemm kien sinifikanti t-trasferiment tal-mard permezz tal-briegħed?</v>
      </c>
    </row>
    <row r="20659" ht="15.75" customHeight="1">
      <c r="A20659" s="2" t="s">
        <v>20659</v>
      </c>
      <c r="B20659" s="2" t="str">
        <f>IFERROR(__xludf.DUMMYFUNCTION("GOOGLETRANSLATE(A20659, ""en"", ""mt"")"),"Minn fejn ġie trasferit Von Braun biex imur in-NASA?")</f>
        <v>Minn fejn ġie trasferit Von Braun biex imur in-NASA?</v>
      </c>
    </row>
    <row r="20660" ht="15.75" customHeight="1">
      <c r="A20660" s="2" t="s">
        <v>20660</v>
      </c>
      <c r="B20660" s="2" t="str">
        <f>IFERROR(__xludf.DUMMYFUNCTION("GOOGLETRANSLATE(A20660, ""en"", ""mt"")"),"Meta fetaħ l-ewwel suq ta 'ġewwa ta' Newcastle?")</f>
        <v>Meta fetaħ l-ewwel suq ta 'ġewwa ta' Newcastle?</v>
      </c>
    </row>
    <row r="20661" ht="15.75" customHeight="1">
      <c r="A20661" s="2" t="s">
        <v>20661</v>
      </c>
      <c r="B20661" s="2" t="str">
        <f>IFERROR(__xludf.DUMMYFUNCTION("GOOGLETRANSLATE(A20661, ""en"", ""mt"")"),"Il-Gran Brittanja kif ukoll l-Olanda, il-Prussja, u l-Afrika t'Isfel")</f>
        <v>Il-Gran Brittanja kif ukoll l-Olanda, il-Prussja, u l-Afrika t'Isfel</v>
      </c>
    </row>
    <row r="20662" ht="15.75" customHeight="1">
      <c r="A20662" s="2" t="s">
        <v>20662</v>
      </c>
      <c r="B20662" s="2" t="str">
        <f>IFERROR(__xludf.DUMMYFUNCTION("GOOGLETRANSLATE(A20662, ""en"", ""mt"")"),"Pubblikazzjonijiet ostili ta 'Luther")</f>
        <v>Pubblikazzjonijiet ostili ta 'Luther</v>
      </c>
    </row>
    <row r="20663" ht="15.75" customHeight="1">
      <c r="A20663" s="2" t="s">
        <v>20663</v>
      </c>
      <c r="B20663" s="2" t="str">
        <f>IFERROR(__xludf.DUMMYFUNCTION("GOOGLETRANSLATE(A20663, ""en"", ""mt"")"),"Vosges Mountains")</f>
        <v>Vosges Mountains</v>
      </c>
    </row>
    <row r="20664" ht="15.75" customHeight="1">
      <c r="A20664" s="2" t="s">
        <v>20664</v>
      </c>
      <c r="B20664" s="2" t="str">
        <f>IFERROR(__xludf.DUMMYFUNCTION("GOOGLETRANSLATE(A20664, ""en"", ""mt"")"),"X’kont stħarriġ dwar il-Luterani tal-Amerika ta ’Fuq li l-Luterani ħassew dwar il-Lhud meta mqabbla ma’ gruppi ta ’minoranza oħra?")</f>
        <v>X’kont stħarriġ dwar il-Luterani tal-Amerika ta ’Fuq li l-Luterani ħassew dwar il-Lhud meta mqabbla ma’ gruppi ta ’minoranza oħra?</v>
      </c>
    </row>
    <row r="20665" ht="15.75" customHeight="1">
      <c r="A20665" s="2" t="s">
        <v>20665</v>
      </c>
      <c r="B20665" s="2" t="str">
        <f>IFERROR(__xludf.DUMMYFUNCTION("GOOGLETRANSLATE(A20665, ""en"", ""mt"")"),"Tesla kisbet madwar 300 brevett mad-dinja kollha għall-invenzjonijiet tiegħu. Uħud mill-privattivi ta 'Tesla mhumiex ikkontabilizzati, u sorsi varji skoprew xi wħud li kienu moħbija fl-arkivji tal-privattivi. Hemm minimu ta '278 brevett maħruġ lil Tesla f"&amp;"'26 pajjiż li ġew ikkontabilizzati. Ħafna mill-privattivi ta 'Tesla kienu fl-Istati Uniti, il-Gran Brittanja u l-Kanada, iżda ħafna privattivi oħra ġew approvati f'pajjiżi madwar id-dinja.")</f>
        <v>Tesla kisbet madwar 300 brevett mad-dinja kollha għall-invenzjonijiet tiegħu. Uħud mill-privattivi ta 'Tesla mhumiex ikkontabilizzati, u sorsi varji skoprew xi wħud li kienu moħbija fl-arkivji tal-privattivi. Hemm minimu ta '278 brevett maħruġ lil Tesla f'26 pajjiż li ġew ikkontabilizzati. Ħafna mill-privattivi ta 'Tesla kienu fl-Istati Uniti, il-Gran Brittanja u l-Kanada, iżda ħafna privattivi oħra ġew approvati f'pajjiżi madwar id-dinja.</v>
      </c>
    </row>
    <row r="20666" ht="15.75" customHeight="1">
      <c r="A20666" s="2" t="s">
        <v>20666</v>
      </c>
      <c r="B20666" s="2" t="str">
        <f>IFERROR(__xludf.DUMMYFUNCTION("GOOGLETRANSLATE(A20666, ""en"", ""mt"")"),"Il-kriżi taż-żejt ikkawżat lill-kumpaniji taż-żejt biex iżidu l-provvisti taż-żejt f'liema żona?")</f>
        <v>Il-kriżi taż-żejt ikkawżat lill-kumpaniji taż-żejt biex iżidu l-provvisti taż-żejt f'liema żona?</v>
      </c>
    </row>
    <row r="20667" ht="15.75" customHeight="1">
      <c r="A20667" s="2" t="s">
        <v>20667</v>
      </c>
      <c r="B20667" s="2" t="str">
        <f>IFERROR(__xludf.DUMMYFUNCTION("GOOGLETRANSLATE(A20667, ""en"", ""mt"")"),"Meta Luther deher qabel id-dieta tad-dud?")</f>
        <v>Meta Luther deher qabel id-dieta tad-dud?</v>
      </c>
    </row>
    <row r="20668" ht="15.75" customHeight="1">
      <c r="A20668" s="2" t="s">
        <v>20668</v>
      </c>
      <c r="B20668" s="2" t="str">
        <f>IFERROR(__xludf.DUMMYFUNCTION("GOOGLETRANSLATE(A20668, ""en"", ""mt"")"),"Charles Richard")</f>
        <v>Charles Richard</v>
      </c>
    </row>
    <row r="20669" ht="15.75" customHeight="1">
      <c r="A20669" s="2" t="s">
        <v>20669</v>
      </c>
      <c r="B20669" s="2" t="str">
        <f>IFERROR(__xludf.DUMMYFUNCTION("GOOGLETRANSLATE(A20669, ""en"", ""mt"")"),"X'inhuma l-espressjonijiet dgħajfa u elettromatiċi tal-forzi?")</f>
        <v>X'inhuma l-espressjonijiet dgħajfa u elettromatiċi tal-forzi?</v>
      </c>
    </row>
    <row r="20670" ht="15.75" customHeight="1">
      <c r="A20670" s="2" t="s">
        <v>20670</v>
      </c>
      <c r="B20670" s="2" t="str">
        <f>IFERROR(__xludf.DUMMYFUNCTION("GOOGLETRANSLATE(A20670, ""en"", ""mt"")"),"xaft tas-sewqan")</f>
        <v>xaft tas-sewqan</v>
      </c>
    </row>
    <row r="20671" ht="15.75" customHeight="1">
      <c r="A20671" s="2" t="s">
        <v>20671</v>
      </c>
      <c r="B20671" s="2" t="str">
        <f>IFERROR(__xludf.DUMMYFUNCTION("GOOGLETRANSLATE(A20671, ""en"", ""mt"")"),"Wiesner żamm il-pressjoni, anke għamel in-nuqqas ta ’qbil pubbliku waqt żjara ta’ jumejn f’Settembru mill-president fiċ-Ċentru tat-Titjira Spazjali Marshall. Wiesner blurted barra ""Le, dak mhux tajjeb"" quddiem l-istampa, waqt preżentazzjoni minn von Bra"&amp;"un. Webb qabża u ddefenda lil Von Braun, sakemm Kennedy temm il-squabble billi ddikjara li l-kwistjoni kienet ""għadha soġġetta għal reviżjoni finali"". Webb kellu ditta, u ħareġ talba għal proposta lill-kuntratturi tal-Modulu tal-Eskursjoni Lunar tal-Kan"&amp;"didati (LEM). Wiesner fl-aħħar ingħata, ma riedx isolvi t-tilwima darba għal dejjem fl-uffiċċju ta 'Kennedy, minħabba l-involviment tal-president mal-kriżi tal-missili Kubani ta' Ottubru, u l-biża 'tal-appoġġ ta' Kennedy għal Webb. In-NASA ħabbret l-għażl"&amp;"a ta 'Grumman bħala l-kuntrattur LEM f'Novembru 1962.")</f>
        <v>Wiesner żamm il-pressjoni, anke għamel in-nuqqas ta ’qbil pubbliku waqt żjara ta’ jumejn f’Settembru mill-president fiċ-Ċentru tat-Titjira Spazjali Marshall. Wiesner blurted barra "Le, dak mhux tajjeb" quddiem l-istampa, waqt preżentazzjoni minn von Braun. Webb qabża u ddefenda lil Von Braun, sakemm Kennedy temm il-squabble billi ddikjara li l-kwistjoni kienet "għadha soġġetta għal reviżjoni finali". Webb kellu ditta, u ħareġ talba għal proposta lill-kuntratturi tal-Modulu tal-Eskursjoni Lunar tal-Kandidati (LEM). Wiesner fl-aħħar ingħata, ma riedx isolvi t-tilwima darba għal dejjem fl-uffiċċju ta 'Kennedy, minħabba l-involviment tal-president mal-kriżi tal-missili Kubani ta' Ottubru, u l-biża 'tal-appoġġ ta' Kennedy għal Webb. In-NASA ħabbret l-għażla ta 'Grumman bħala l-kuntrattur LEM f'Novembru 1962.</v>
      </c>
    </row>
    <row r="20672" ht="15.75" customHeight="1">
      <c r="A20672" s="2" t="s">
        <v>20672</v>
      </c>
      <c r="B20672" s="2" t="str">
        <f>IFERROR(__xludf.DUMMYFUNCTION("GOOGLETRANSLATE(A20672, ""en"", ""mt"")"),"X’kawża li r-Renju Unit ikollu kriżi taż-żejt f’pajjiżha stess?")</f>
        <v>X’kawża li r-Renju Unit ikollu kriżi taż-żejt f’pajjiżha stess?</v>
      </c>
    </row>
    <row r="20673" ht="15.75" customHeight="1">
      <c r="A20673" s="2" t="s">
        <v>20673</v>
      </c>
      <c r="B20673" s="2" t="str">
        <f>IFERROR(__xludf.DUMMYFUNCTION("GOOGLETRANSLATE(A20673, ""en"", ""mt"")"),"Huwa esplora")</f>
        <v>Huwa esplora</v>
      </c>
    </row>
    <row r="20674" ht="15.75" customHeight="1">
      <c r="A20674" s="2" t="s">
        <v>20674</v>
      </c>
      <c r="B20674" s="2" t="str">
        <f>IFERROR(__xludf.DUMMYFUNCTION("GOOGLETRANSLATE(A20674, ""en"", ""mt"")"),"loess")</f>
        <v>loess</v>
      </c>
    </row>
    <row r="20675" ht="15.75" customHeight="1">
      <c r="A20675" s="2" t="s">
        <v>20675</v>
      </c>
      <c r="B20675" s="2" t="str">
        <f>IFERROR(__xludf.DUMMYFUNCTION("GOOGLETRANSLATE(A20675, ""en"", ""mt"")"),"Super Bowl City")</f>
        <v>Super Bowl City</v>
      </c>
    </row>
    <row r="20676" ht="15.75" customHeight="1">
      <c r="A20676" s="2" t="s">
        <v>20676</v>
      </c>
      <c r="B20676" s="2" t="str">
        <f>IFERROR(__xludf.DUMMYFUNCTION("GOOGLETRANSLATE(A20676, ""en"", ""mt"")"),"Isqfijiet tal-Knisja)")</f>
        <v>Isqfijiet tal-Knisja)</v>
      </c>
    </row>
    <row r="20677" ht="15.75" customHeight="1">
      <c r="A20677" s="2" t="s">
        <v>20677</v>
      </c>
      <c r="B20677" s="2" t="str">
        <f>IFERROR(__xludf.DUMMYFUNCTION("GOOGLETRANSLATE(A20677, ""en"", ""mt"")"),"3.6%")</f>
        <v>3.6%</v>
      </c>
    </row>
    <row r="20678" ht="15.75" customHeight="1">
      <c r="A20678" s="2" t="s">
        <v>20678</v>
      </c>
      <c r="B20678" s="2" t="str">
        <f>IFERROR(__xludf.DUMMYFUNCTION("GOOGLETRANSLATE(A20678, ""en"", ""mt"")"),"Sal-aħħar tal-1350")</f>
        <v>Sal-aħħar tal-1350</v>
      </c>
    </row>
    <row r="20679" ht="15.75" customHeight="1">
      <c r="A20679" s="2" t="s">
        <v>20679</v>
      </c>
      <c r="B20679" s="2" t="str">
        <f>IFERROR(__xludf.DUMMYFUNCTION("GOOGLETRANSLATE(A20679, ""en"", ""mt"")"),"Dgħajjes tal-Fwar u Vetturi tat-Triq")</f>
        <v>Dgħajjes tal-Fwar u Vetturi tat-Triq</v>
      </c>
    </row>
    <row r="20680" ht="15.75" customHeight="1">
      <c r="A20680" s="2" t="s">
        <v>20680</v>
      </c>
      <c r="B20680" s="2" t="str">
        <f>IFERROR(__xludf.DUMMYFUNCTION("GOOGLETRANSLATE(A20680, ""en"", ""mt"")"),"Min mexxa l-istudji tad-disinn tad-dar għan-NASA?")</f>
        <v>Min mexxa l-istudji tad-disinn tad-dar għan-NASA?</v>
      </c>
    </row>
    <row r="20681" ht="15.75" customHeight="1">
      <c r="A20681" s="2" t="s">
        <v>20681</v>
      </c>
      <c r="B20681" s="2" t="str">
        <f>IFERROR(__xludf.DUMMYFUNCTION("GOOGLETRANSLATE(A20681, ""en"", ""mt"")"),"Għall-ewwel darba, il-kumitat ospitanti tas-Super Bowl 50 u l-NFL fittxew b'mod miftuħ veteran u lesbjani, omosesswali, bisesswali u transġeneru f'negozji fin-negozju Connect, il-programm Super Bowl li jipprovdi lill-kumpaniji lokali b'opportunitajiet ta "&amp;"'kuntrattar fi u madwar is-Super Skutella. Il-kumitat ospitanti diġà ġabar aktar minn $ 40 miljun permezz ta 'sponsors inklużi Apple, Google, Yahoo!, Intel, Gap, Chevron, u Dignity Health.")</f>
        <v>Għall-ewwel darba, il-kumitat ospitanti tas-Super Bowl 50 u l-NFL fittxew b'mod miftuħ veteran u lesbjani, omosesswali, bisesswali u transġeneru f'negozji fin-negozju Connect, il-programm Super Bowl li jipprovdi lill-kumpaniji lokali b'opportunitajiet ta 'kuntrattar fi u madwar is-Super Skutella. Il-kumitat ospitanti diġà ġabar aktar minn $ 40 miljun permezz ta 'sponsors inklużi Apple, Google, Yahoo!, Intel, Gap, Chevron, u Dignity Health.</v>
      </c>
    </row>
    <row r="20682" ht="15.75" customHeight="1">
      <c r="A20682" s="2" t="s">
        <v>20682</v>
      </c>
      <c r="B20682" s="2" t="str">
        <f>IFERROR(__xludf.DUMMYFUNCTION("GOOGLETRANSLATE(A20682, ""en"", ""mt"")"),"Meta s-Sirja u l-Eġittu nedew attakk ta ’sorpriża fuq l-Iżrael?")</f>
        <v>Meta s-Sirja u l-Eġittu nedew attakk ta ’sorpriża fuq l-Iżrael?</v>
      </c>
    </row>
    <row r="20683" ht="15.75" customHeight="1">
      <c r="A20683" s="2" t="s">
        <v>20683</v>
      </c>
      <c r="B20683" s="2" t="str">
        <f>IFERROR(__xludf.DUMMYFUNCTION("GOOGLETRANSLATE(A20683, ""en"", ""mt"")"),"X'inhu t-terminu għal skola privata Indjana?")</f>
        <v>X'inhu t-terminu għal skola privata Indjana?</v>
      </c>
    </row>
    <row r="20684" ht="15.75" customHeight="1">
      <c r="A20684" s="2" t="s">
        <v>20684</v>
      </c>
      <c r="B20684" s="2" t="str">
        <f>IFERROR(__xludf.DUMMYFUNCTION("GOOGLETRANSLATE(A20684, ""en"", ""mt"")"),"Il-bliet ta 'Los Angeles u San Diego huma parti minn liema stat?")</f>
        <v>Il-bliet ta 'Los Angeles u San Diego huma parti minn liema stat?</v>
      </c>
    </row>
    <row r="20685" ht="15.75" customHeight="1">
      <c r="A20685" s="2" t="s">
        <v>20685</v>
      </c>
      <c r="B20685" s="2" t="str">
        <f>IFERROR(__xludf.DUMMYFUNCTION("GOOGLETRANSLATE(A20685, ""en"", ""mt"")"),"punt")</f>
        <v>punt</v>
      </c>
    </row>
    <row r="20686" ht="15.75" customHeight="1">
      <c r="A20686" s="2" t="s">
        <v>20686</v>
      </c>
      <c r="B20686" s="2" t="str">
        <f>IFERROR(__xludf.DUMMYFUNCTION("GOOGLETRANSLATE(A20686, ""en"", ""mt"")"),"ir-re")</f>
        <v>ir-re</v>
      </c>
    </row>
    <row r="20687" ht="15.75" customHeight="1">
      <c r="A20687" s="2" t="s">
        <v>20687</v>
      </c>
      <c r="B20687" s="2" t="str">
        <f>IFERROR(__xludf.DUMMYFUNCTION("GOOGLETRANSLATE(A20687, ""en"", ""mt"")"),"organiżmi ħajjin")</f>
        <v>organiżmi ħajjin</v>
      </c>
    </row>
    <row r="20688" ht="15.75" customHeight="1">
      <c r="A20688" s="2" t="s">
        <v>20688</v>
      </c>
      <c r="B20688" s="2" t="str">
        <f>IFERROR(__xludf.DUMMYFUNCTION("GOOGLETRANSLATE(A20688, ""en"", ""mt"")"),"Johann Eck")</f>
        <v>Johann Eck</v>
      </c>
    </row>
    <row r="20689" ht="15.75" customHeight="1">
      <c r="A20689" s="2" t="s">
        <v>20689</v>
      </c>
      <c r="B20689" s="2" t="str">
        <f>IFERROR(__xludf.DUMMYFUNCTION("GOOGLETRANSLATE(A20689, ""en"", ""mt"")"),"Xi tfisser l-inkapaċità li tissepara l-Islam mill-Iżlamiżmu li jwassal ħafna fil-Punent biex jappoġġjaw?")</f>
        <v>Xi tfisser l-inkapaċità li tissepara l-Islam mill-Iżlamiżmu li jwassal ħafna fil-Punent biex jappoġġjaw?</v>
      </c>
    </row>
    <row r="20690" ht="15.75" customHeight="1">
      <c r="A20690" s="2" t="s">
        <v>20690</v>
      </c>
      <c r="B20690" s="2" t="str">
        <f>IFERROR(__xludf.DUMMYFUNCTION("GOOGLETRANSLATE(A20690, ""en"", ""mt"")"),"Disa 'wieħed")</f>
        <v>Disa 'wieħed</v>
      </c>
    </row>
    <row r="20691" ht="15.75" customHeight="1">
      <c r="A20691" s="2" t="s">
        <v>20691</v>
      </c>
      <c r="B20691" s="2" t="str">
        <f>IFERROR(__xludf.DUMMYFUNCTION("GOOGLETRANSLATE(A20691, ""en"", ""mt"")"),"F'liema kompost huwa l-ossiġnu parti ta 'arranġament ta' ċirku?")</f>
        <v>F'liema kompost huwa l-ossiġnu parti ta 'arranġament ta' ċirku?</v>
      </c>
    </row>
    <row r="20692" ht="15.75" customHeight="1">
      <c r="A20692" s="2" t="s">
        <v>20692</v>
      </c>
      <c r="B20692" s="2" t="str">
        <f>IFERROR(__xludf.DUMMYFUNCTION("GOOGLETRANSLATE(A20692, ""en"", ""mt"")"),"7,000 tobba")</f>
        <v>7,000 tobba</v>
      </c>
    </row>
    <row r="20693" ht="15.75" customHeight="1">
      <c r="A20693" s="2" t="s">
        <v>20693</v>
      </c>
      <c r="B20693" s="2" t="str">
        <f>IFERROR(__xludf.DUMMYFUNCTION("GOOGLETRANSLATE(A20693, ""en"", ""mt"")"),"Frazzjoni Eġizzjana")</f>
        <v>Frazzjoni Eġizzjana</v>
      </c>
    </row>
    <row r="20694" ht="15.75" customHeight="1">
      <c r="A20694" s="2" t="s">
        <v>20694</v>
      </c>
      <c r="B20694" s="2" t="str">
        <f>IFERROR(__xludf.DUMMYFUNCTION("GOOGLETRANSLATE(A20694, ""en"", ""mt"")"),"Iż-żona fejn Jacksonville bħalissa qiegħed ilha abitata għal kemm snin?")</f>
        <v>Iż-żona fejn Jacksonville bħalissa qiegħed ilha abitata għal kemm snin?</v>
      </c>
    </row>
    <row r="20695" ht="15.75" customHeight="1">
      <c r="A20695" s="2" t="s">
        <v>20695</v>
      </c>
      <c r="B20695" s="2" t="str">
        <f>IFERROR(__xludf.DUMMYFUNCTION("GOOGLETRANSLATE(A20695, ""en"", ""mt"")"),"L-ożonu ġġenerat f'kuntatt mal-ġilda, u sa ċertu punt, b'aċidu nitruż")</f>
        <v>L-ożonu ġġenerat f'kuntatt mal-ġilda, u sa ċertu punt, b'aċidu nitruż</v>
      </c>
    </row>
    <row r="20696" ht="15.75" customHeight="1">
      <c r="A20696" s="2" t="s">
        <v>20696</v>
      </c>
      <c r="B20696" s="2" t="str">
        <f>IFERROR(__xludf.DUMMYFUNCTION("GOOGLETRANSLATE(A20696, ""en"", ""mt"")"),"Sett Sakya")</f>
        <v>Sett Sakya</v>
      </c>
    </row>
    <row r="20697" ht="15.75" customHeight="1">
      <c r="A20697" s="2" t="s">
        <v>20697</v>
      </c>
      <c r="B20697" s="2" t="str">
        <f>IFERROR(__xludf.DUMMYFUNCTION("GOOGLETRANSLATE(A20697, ""en"", ""mt"")"),"Fejn Luther spjega l-idea tiegħu ta 'ġustifikazzjoni?")</f>
        <v>Fejn Luther spjega l-idea tiegħu ta 'ġustifikazzjoni?</v>
      </c>
    </row>
    <row r="20698" ht="15.75" customHeight="1">
      <c r="A20698" s="2" t="s">
        <v>20698</v>
      </c>
      <c r="B20698" s="2" t="str">
        <f>IFERROR(__xludf.DUMMYFUNCTION("GOOGLETRANSLATE(A20698, ""en"", ""mt"")"),"Cnidarians")</f>
        <v>Cnidarians</v>
      </c>
    </row>
    <row r="20699" ht="15.75" customHeight="1">
      <c r="A20699" s="2" t="s">
        <v>20699</v>
      </c>
      <c r="B20699" s="2" t="str">
        <f>IFERROR(__xludf.DUMMYFUNCTION("GOOGLETRANSLATE(A20699, ""en"", ""mt"")"),"Liema mit-tributarji fil-Ġermanja jikkontribwixxu l-iktar?")</f>
        <v>Liema mit-tributarji fil-Ġermanja jikkontribwixxu l-iktar?</v>
      </c>
    </row>
    <row r="20700" ht="15.75" customHeight="1">
      <c r="A20700" s="2" t="s">
        <v>20700</v>
      </c>
      <c r="B20700" s="2" t="str">
        <f>IFERROR(__xludf.DUMMYFUNCTION("GOOGLETRANSLATE(A20700, ""en"", ""mt"")"),"X’ġiegħel il-kriżi taż-żejt agħar fl-Istati Uniti?")</f>
        <v>X’ġiegħel il-kriżi taż-żejt agħar fl-Istati Uniti?</v>
      </c>
    </row>
    <row r="20701" ht="15.75" customHeight="1">
      <c r="A20701" s="2" t="s">
        <v>20701</v>
      </c>
      <c r="B20701" s="2" t="str">
        <f>IFERROR(__xludf.DUMMYFUNCTION("GOOGLETRANSLATE(A20701, ""en"", ""mt"")"),"prezzijiet")</f>
        <v>prezzijiet</v>
      </c>
    </row>
    <row r="20702" ht="15.75" customHeight="1">
      <c r="A20702" s="2" t="s">
        <v>20702</v>
      </c>
      <c r="B20702" s="2" t="str">
        <f>IFERROR(__xludf.DUMMYFUNCTION("GOOGLETRANSLATE(A20702, ""en"", ""mt"")"),"Klassi I MHC")</f>
        <v>Klassi I MHC</v>
      </c>
    </row>
    <row r="20703" ht="15.75" customHeight="1">
      <c r="A20703" s="2" t="s">
        <v>20703</v>
      </c>
      <c r="B20703" s="2" t="str">
        <f>IFERROR(__xludf.DUMMYFUNCTION("GOOGLETRANSLATE(A20703, ""en"", ""mt"")"),"Huma rranġaw biex l-Iżrael jiġbed lura mill-Peniżola tas-Sinaj u l-Golan Heights.")</f>
        <v>Huma rranġaw biex l-Iżrael jiġbed lura mill-Peniżola tas-Sinaj u l-Golan Heights.</v>
      </c>
    </row>
    <row r="20704" ht="15.75" customHeight="1">
      <c r="A20704" s="2" t="s">
        <v>20704</v>
      </c>
      <c r="B20704" s="2" t="str">
        <f>IFERROR(__xludf.DUMMYFUNCTION("GOOGLETRANSLATE(A20704, ""en"", ""mt"")"),"Hemm rabtiet kuntrattwali diretti bejn min?")</f>
        <v>Hemm rabtiet kuntrattwali diretti bejn min?</v>
      </c>
    </row>
    <row r="20705" ht="15.75" customHeight="1">
      <c r="A20705" s="2" t="s">
        <v>20705</v>
      </c>
      <c r="B20705" s="2" t="str">
        <f>IFERROR(__xludf.DUMMYFUNCTION("GOOGLETRANSLATE(A20705, ""en"", ""mt"")"),"L-ossiġenu, bħala suppost ewforiku ħafif, għandu storja ta 'użu rikreattiv fil-bars tal-ossiġnu u fl-isport. Il-vireg tal-ossiġnu huma stabbilimenti, misjuba fil-Ġappun, California, u f'Las Vegas, Nevada mill-aħħar tad-disgħinijiet li joffru ogħla min-nor"&amp;"mal O
2 Esponiment għal ħlas. Atleti professjonali, speċjalment fil-futbol Amerikan, kultant ukoll imorru barra mill-grawnd biex jilbsu maskri ta 'ossiġnu sabiex jiksbu ""spinta"" fil-prestazzjoni. L-effett farmakoloġiku huwa dubjuż; Effett tal-plaċebo hu"&amp;"wa spjegazzjoni aktar probabbli. Studji disponibbli jappoġġjaw spinta tal-prestazzjoni minn O arrikkita
2 taħlitiet biss jekk ikunu nifs waqt eżerċizzju aerobiku.")</f>
        <v>L-ossiġenu, bħala suppost ewforiku ħafif, għandu storja ta 'użu rikreattiv fil-bars tal-ossiġnu u fl-isport. Il-vireg tal-ossiġnu huma stabbilimenti, misjuba fil-Ġappun, California, u f'Las Vegas, Nevada mill-aħħar tad-disgħinijiet li joffru ogħla min-normal O
2 Esponiment għal ħlas. Atleti professjonali, speċjalment fil-futbol Amerikan, kultant ukoll imorru barra mill-grawnd biex jilbsu maskri ta 'ossiġnu sabiex jiksbu "spinta" fil-prestazzjoni. L-effett farmakoloġiku huwa dubjuż; Effett tal-plaċebo huwa spjegazzjoni aktar probabbli. Studji disponibbli jappoġġjaw spinta tal-prestazzjoni minn O arrikkita
2 taħlitiet biss jekk ikunu nifs waqt eżerċizzju aerobiku.</v>
      </c>
    </row>
    <row r="20706" ht="15.75" customHeight="1">
      <c r="A20706" s="2" t="s">
        <v>20706</v>
      </c>
      <c r="B20706" s="2" t="str">
        <f>IFERROR(__xludf.DUMMYFUNCTION("GOOGLETRANSLATE(A20706, ""en"", ""mt"")"),"Għal dak li hu ugwali 50 kilopascals?")</f>
        <v>Għal dak li hu ugwali 50 kilopascals?</v>
      </c>
    </row>
    <row r="20707" ht="15.75" customHeight="1">
      <c r="A20707" s="2" t="s">
        <v>20707</v>
      </c>
      <c r="B20707" s="2" t="str">
        <f>IFERROR(__xludf.DUMMYFUNCTION("GOOGLETRANSLATE(A20707, ""en"", ""mt"")"),"F’dak li sar magħruf bħala l-massakru ta ’Jum San Bartolomew fl-24 ta’ Awwissu - 3 ta ’Ottubru 1572, il-Kattoliċi qatlu eluf ta’ Huguenots f’Pariġi. Massakri simili seħħew fi bliet oħra fil-ġimgħat ta ’wara. Il-bliet u l-ibliet provinċjali ewlenin li jesp"&amp;"erjenzaw il-massakru kienu Aix, Bordeaux, Bourges, Lyons, Meaux, Orleans, Rouen, Toulouse, u Troyes. Kważi 3,000 Protestant inqatlu f'Toulouse biss. L-għadd eżatt ta 'fatalitajiet madwar il-pajjiż mhux magħruf. Fit-23-24 ta ’Awwissu, bejn madwar 2,000 u 3"&amp;",000 Protestant inqatlu f’Pariġi u bejn 3,000 u 7,000 aktar fil-provinċji Franċiżi. Sal-17 ta ’Settembru, kważi 25,000 Protestant kienu ġew massakrati biss f’Pariġi. Lil hinn minn Pariġi, il-qtil kompla sat-3 ta ’Ottubru. Amnestija mogħtija fl-1573 maħfra"&amp;" lill-awturi. [Ċitazzjoni meħtieġa]")</f>
        <v>F’dak li sar magħruf bħala l-massakru ta ’Jum San Bartolomew fl-24 ta’ Awwissu - 3 ta ’Ottubru 1572, il-Kattoliċi qatlu eluf ta’ Huguenots f’Pariġi. Massakri simili seħħew fi bliet oħra fil-ġimgħat ta ’wara. Il-bliet u l-ibliet provinċjali ewlenin li jesperjenzaw il-massakru kienu Aix, Bordeaux, Bourges, Lyons, Meaux, Orleans, Rouen, Toulouse, u Troyes. Kważi 3,000 Protestant inqatlu f'Toulouse biss. L-għadd eżatt ta 'fatalitajiet madwar il-pajjiż mhux magħruf. Fit-23-24 ta ’Awwissu, bejn madwar 2,000 u 3,000 Protestant inqatlu f’Pariġi u bejn 3,000 u 7,000 aktar fil-provinċji Franċiżi. Sal-17 ta ’Settembru, kważi 25,000 Protestant kienu ġew massakrati biss f’Pariġi. Lil hinn minn Pariġi, il-qtil kompla sat-3 ta ’Ottubru. Amnestija mogħtija fl-1573 maħfra lill-awturi. [Ċitazzjoni meħtieġa]</v>
      </c>
    </row>
    <row r="20708" ht="15.75" customHeight="1">
      <c r="A20708" s="2" t="s">
        <v>20708</v>
      </c>
      <c r="B20708" s="2" t="str">
        <f>IFERROR(__xludf.DUMMYFUNCTION("GOOGLETRANSLATE(A20708, ""en"", ""mt"")"),"Irkoppa tar-Rhine")</f>
        <v>Irkoppa tar-Rhine</v>
      </c>
    </row>
    <row r="20709" ht="15.75" customHeight="1">
      <c r="A20709" s="2" t="s">
        <v>20709</v>
      </c>
      <c r="B20709" s="2" t="str">
        <f>IFERROR(__xludf.DUMMYFUNCTION("GOOGLETRANSLATE(A20709, ""en"", ""mt"")"),"Meta Virgin Media ġiet mibdula mill-ġdid mill-NTL Telewest?")</f>
        <v>Meta Virgin Media ġiet mibdula mill-ġdid mill-NTL Telewest?</v>
      </c>
    </row>
    <row r="20710" ht="15.75" customHeight="1">
      <c r="A20710" s="2" t="s">
        <v>20710</v>
      </c>
      <c r="B20710" s="2" t="str">
        <f>IFERROR(__xludf.DUMMYFUNCTION("GOOGLETRANSLATE(A20710, ""en"", ""mt"")"),"Jochi,")</f>
        <v>Jochi,</v>
      </c>
    </row>
    <row r="20711" ht="15.75" customHeight="1">
      <c r="A20711" s="2" t="s">
        <v>20711</v>
      </c>
      <c r="B20711" s="2" t="str">
        <f>IFERROR(__xludf.DUMMYFUNCTION("GOOGLETRANSLATE(A20711, ""en"", ""mt"")"),"Min kienu l-kumpanji sekondarji tad-disa 'u l-għaxar tobba?")</f>
        <v>Min kienu l-kumpanji sekondarji tad-disa 'u l-għaxar tobba?</v>
      </c>
    </row>
    <row r="20712" ht="15.75" customHeight="1">
      <c r="A20712" s="2" t="s">
        <v>20712</v>
      </c>
      <c r="B20712" s="2" t="str">
        <f>IFERROR(__xludf.DUMMYFUNCTION("GOOGLETRANSLATE(A20712, ""en"", ""mt"")"),"Kemm hemm formazzjonijiet ġeomorfoloġiċi fuq Varsavja?")</f>
        <v>Kemm hemm formazzjonijiet ġeomorfoloġiċi fuq Varsavja?</v>
      </c>
    </row>
    <row r="20713" ht="15.75" customHeight="1">
      <c r="A20713" s="2" t="s">
        <v>20713</v>
      </c>
      <c r="B20713" s="2" t="str">
        <f>IFERROR(__xludf.DUMMYFUNCTION("GOOGLETRANSLATE(A20713, ""en"", ""mt"")"),"Taħt it-teorija ċellulari ta 'Elie Metchnikoff, liema ċelloli kienu responsabbli għar-rispons immuni?")</f>
        <v>Taħt it-teorija ċellulari ta 'Elie Metchnikoff, liema ċelloli kienu responsabbli għar-rispons immuni?</v>
      </c>
    </row>
    <row r="20714" ht="15.75" customHeight="1">
      <c r="A20714" s="2" t="s">
        <v>20714</v>
      </c>
      <c r="B20714" s="2" t="str">
        <f>IFERROR(__xludf.DUMMYFUNCTION("GOOGLETRANSLATE(A20714, ""en"", ""mt"")"),"il-mod ta 'azzjoni militari")</f>
        <v>il-mod ta 'azzjoni militari</v>
      </c>
    </row>
    <row r="20715" ht="15.75" customHeight="1">
      <c r="A20715" s="2" t="s">
        <v>20715</v>
      </c>
      <c r="B20715" s="2" t="str">
        <f>IFERROR(__xludf.DUMMYFUNCTION("GOOGLETRANSLATE(A20715, ""en"", ""mt"")"),"X'inhu l-laqam tal-kaptan tan-nisa?")</f>
        <v>X'inhu l-laqam tal-kaptan tan-nisa?</v>
      </c>
    </row>
    <row r="20716" ht="15.75" customHeight="1">
      <c r="A20716" s="2" t="s">
        <v>20716</v>
      </c>
      <c r="B20716" s="2" t="str">
        <f>IFERROR(__xludf.DUMMYFUNCTION("GOOGLETRANSLATE(A20716, ""en"", ""mt"")"),"18–49 demografija")</f>
        <v>18–49 demografija</v>
      </c>
    </row>
    <row r="20717" ht="15.75" customHeight="1">
      <c r="A20717" s="2" t="s">
        <v>20717</v>
      </c>
      <c r="B20717" s="2" t="str">
        <f>IFERROR(__xludf.DUMMYFUNCTION("GOOGLETRANSLATE(A20717, ""en"", ""mt"")"),"X'inhu kważi identiku bejn in-nazzjonijiet u l-ġurisdizzjonijiet kollha?")</f>
        <v>X'inhu kważi identiku bejn in-nazzjonijiet u l-ġurisdizzjonijiet kollha?</v>
      </c>
    </row>
    <row r="20718" ht="15.75" customHeight="1">
      <c r="A20718" s="2" t="s">
        <v>20718</v>
      </c>
      <c r="B20718" s="2" t="str">
        <f>IFERROR(__xludf.DUMMYFUNCTION("GOOGLETRANSLATE(A20718, ""en"", ""mt"")"),"Village of Pickawillany")</f>
        <v>Village of Pickawillany</v>
      </c>
    </row>
    <row r="20719" ht="15.75" customHeight="1">
      <c r="A20719" s="2" t="s">
        <v>20719</v>
      </c>
      <c r="B20719" s="2" t="str">
        <f>IFERROR(__xludf.DUMMYFUNCTION("GOOGLETRANSLATE(A20719, ""en"", ""mt"")"),"200,000 lbf")</f>
        <v>200,000 lbf</v>
      </c>
    </row>
    <row r="20720" ht="15.75" customHeight="1">
      <c r="A20720" s="2" t="s">
        <v>20720</v>
      </c>
      <c r="B20720" s="2" t="str">
        <f>IFERROR(__xludf.DUMMYFUNCTION("GOOGLETRANSLATE(A20720, ""en"", ""mt"")"),"entużjażmu")</f>
        <v>entużjażmu</v>
      </c>
    </row>
    <row r="20721" ht="15.75" customHeight="1">
      <c r="A20721" s="2" t="s">
        <v>20721</v>
      </c>
      <c r="B20721" s="2" t="str">
        <f>IFERROR(__xludf.DUMMYFUNCTION("GOOGLETRANSLATE(A20721, ""en"", ""mt"")"),"Kemm fumbles forza Von Miller?")</f>
        <v>Kemm fumbles forza Von Miller?</v>
      </c>
    </row>
    <row r="20722" ht="15.75" customHeight="1">
      <c r="A20722" s="2" t="s">
        <v>20722</v>
      </c>
      <c r="B20722" s="2" t="str">
        <f>IFERROR(__xludf.DUMMYFUNCTION("GOOGLETRANSLATE(A20722, ""en"", ""mt"")"),"Henry David Thoreau")</f>
        <v>Henry David Thoreau</v>
      </c>
    </row>
    <row r="20723" ht="15.75" customHeight="1">
      <c r="A20723" s="2" t="s">
        <v>20723</v>
      </c>
      <c r="B20723" s="2" t="str">
        <f>IFERROR(__xludf.DUMMYFUNCTION("GOOGLETRANSLATE(A20723, ""en"", ""mt"")"),"permezz ta ’politiki")</f>
        <v>permezz ta ’politiki</v>
      </c>
    </row>
    <row r="20724" ht="15.75" customHeight="1">
      <c r="A20724" s="2" t="s">
        <v>20724</v>
      </c>
      <c r="B20724" s="2" t="str">
        <f>IFERROR(__xludf.DUMMYFUNCTION("GOOGLETRANSLATE(A20724, ""en"", ""mt"")"),"Matul ix-xitwa tal-1973–74")</f>
        <v>Matul ix-xitwa tal-1973–74</v>
      </c>
    </row>
    <row r="20725" ht="15.75" customHeight="1">
      <c r="A20725" s="2" t="s">
        <v>20725</v>
      </c>
      <c r="B20725" s="2" t="str">
        <f>IFERROR(__xludf.DUMMYFUNCTION("GOOGLETRANSLATE(A20725, ""en"", ""mt"")"),"Liema parti mill-istruttura ġeoloġika tad-Dinja hija akbar mill-qoxra?")</f>
        <v>Liema parti mill-istruttura ġeoloġika tad-Dinja hija akbar mill-qoxra?</v>
      </c>
    </row>
    <row r="20726" ht="15.75" customHeight="1">
      <c r="A20726" s="2" t="s">
        <v>20726</v>
      </c>
      <c r="B20726" s="2" t="str">
        <f>IFERROR(__xludf.DUMMYFUNCTION("GOOGLETRANSLATE(A20726, ""en"", ""mt"")"),"Iċ-Ċittadella ta ’Varsavja")</f>
        <v>Iċ-Ċittadella ta ’Varsavja</v>
      </c>
    </row>
    <row r="20727" ht="15.75" customHeight="1">
      <c r="A20727" s="2" t="s">
        <v>20727</v>
      </c>
      <c r="B20727" s="2" t="str">
        <f>IFERROR(__xludf.DUMMYFUNCTION("GOOGLETRANSLATE(A20727, ""en"", ""mt"")"),"Residenti lesti li jħallsu rata ogħla tas-suq għall-akkomodazzjoni")</f>
        <v>Residenti lesti li jħallsu rata ogħla tas-suq għall-akkomodazzjoni</v>
      </c>
    </row>
    <row r="20728" ht="15.75" customHeight="1">
      <c r="A20728" s="2" t="s">
        <v>20728</v>
      </c>
      <c r="B20728" s="2" t="str">
        <f>IFERROR(__xludf.DUMMYFUNCTION("GOOGLETRANSLATE(A20728, ""en"", ""mt"")"),"It-tieni grad ta 'baċellerat bħal Baċellerat fl-Edukazzjoni")</f>
        <v>It-tieni grad ta 'baċellerat bħal Baċellerat fl-Edukazzjoni</v>
      </c>
    </row>
    <row r="20729" ht="15.75" customHeight="1">
      <c r="A20729" s="2" t="s">
        <v>20729</v>
      </c>
      <c r="B20729" s="2" t="str">
        <f>IFERROR(__xludf.DUMMYFUNCTION("GOOGLETRANSLATE(A20729, ""en"", ""mt"")"),"Kemm suldati ħadu Genghis Khan miegħu lil Khwarezmia?")</f>
        <v>Kemm suldati ħadu Genghis Khan miegħu lil Khwarezmia?</v>
      </c>
    </row>
    <row r="20730" ht="15.75" customHeight="1">
      <c r="A20730" s="2" t="s">
        <v>20730</v>
      </c>
      <c r="B20730" s="2" t="str">
        <f>IFERROR(__xludf.DUMMYFUNCTION("GOOGLETRANSLATE(A20730, ""en"", ""mt"")"),"Min qabel kellu r-rekord talli kien l-eqdem quarterback li lagħab fis-Super Bowl?")</f>
        <v>Min qabel kellu r-rekord talli kien l-eqdem quarterback li lagħab fis-Super Bowl?</v>
      </c>
    </row>
    <row r="20731" ht="15.75" customHeight="1">
      <c r="A20731" s="2" t="s">
        <v>20731</v>
      </c>
      <c r="B20731" s="2" t="str">
        <f>IFERROR(__xludf.DUMMYFUNCTION("GOOGLETRANSLATE(A20731, ""en"", ""mt"")"),"Netwerk tad-Dejta Qalba Pubblika")</f>
        <v>Netwerk tad-Dejta Qalba Pubblika</v>
      </c>
    </row>
    <row r="20732" ht="15.75" customHeight="1">
      <c r="A20732" s="2" t="s">
        <v>20732</v>
      </c>
      <c r="B20732" s="2" t="str">
        <f>IFERROR(__xludf.DUMMYFUNCTION("GOOGLETRANSLATE(A20732, ""en"", ""mt"")"),"unjoni doganali")</f>
        <v>unjoni doganali</v>
      </c>
    </row>
    <row r="20733" ht="15.75" customHeight="1">
      <c r="A20733" s="2" t="s">
        <v>20733</v>
      </c>
      <c r="B20733" s="2" t="str">
        <f>IFERROR(__xludf.DUMMYFUNCTION("GOOGLETRANSLATE(A20733, ""en"", ""mt"")"),"Kif kienet tissejjaħ id-dgħajsa?")</f>
        <v>Kif kienet tissejjaħ id-dgħajsa?</v>
      </c>
    </row>
    <row r="20734" ht="15.75" customHeight="1">
      <c r="A20734" s="2" t="s">
        <v>20734</v>
      </c>
      <c r="B20734" s="2" t="str">
        <f>IFERROR(__xludf.DUMMYFUNCTION("GOOGLETRANSLATE(A20734, ""en"", ""mt"")"),"X'kien l-isem tal-Kastell Norman?")</f>
        <v>X'kien l-isem tal-Kastell Norman?</v>
      </c>
    </row>
    <row r="20735" ht="15.75" customHeight="1">
      <c r="A20735" s="2" t="s">
        <v>20735</v>
      </c>
      <c r="B20735" s="2" t="str">
        <f>IFERROR(__xludf.DUMMYFUNCTION("GOOGLETRANSLATE(A20735, ""en"", ""mt"")"),"X'inhu l-Wied Alpin li jgħaddi r-Rhine?")</f>
        <v>X'inhu l-Wied Alpin li jgħaddi r-Rhine?</v>
      </c>
    </row>
    <row r="20736" ht="15.75" customHeight="1">
      <c r="A20736" s="2" t="s">
        <v>20736</v>
      </c>
      <c r="B20736" s="2" t="str">
        <f>IFERROR(__xludf.DUMMYFUNCTION("GOOGLETRANSLATE(A20736, ""en"", ""mt"")"),"X'taħseb li tagħmel ix-xejra 9 +3 ta 'cilia?")</f>
        <v>X'taħseb li tagħmel ix-xejra 9 +3 ta 'cilia?</v>
      </c>
    </row>
    <row r="20737" ht="15.75" customHeight="1">
      <c r="A20737" s="2" t="s">
        <v>20737</v>
      </c>
      <c r="B20737" s="2" t="str">
        <f>IFERROR(__xludf.DUMMYFUNCTION("GOOGLETRANSLATE(A20737, ""en"", ""mt"")"),"L-idea li l-Islam jista 'jkun apolitiku ma jistax jiġi mħaddem minn min?")</f>
        <v>L-idea li l-Islam jista 'jkun apolitiku ma jistax jiġi mħaddem minn min?</v>
      </c>
    </row>
    <row r="20738" ht="15.75" customHeight="1">
      <c r="A20738" s="2" t="s">
        <v>20738</v>
      </c>
      <c r="B20738" s="2" t="str">
        <f>IFERROR(__xludf.DUMMYFUNCTION("GOOGLETRANSLATE(A20738, ""en"", ""mt"")"),"Għaliex inħolqot din l-organizzazzjoni msejħa qasira?")</f>
        <v>Għaliex inħolqot din l-organizzazzjoni msejħa qasira?</v>
      </c>
    </row>
    <row r="20739" ht="15.75" customHeight="1">
      <c r="A20739" s="2" t="s">
        <v>20739</v>
      </c>
      <c r="B20739" s="2" t="str">
        <f>IFERROR(__xludf.DUMMYFUNCTION("GOOGLETRANSLATE(A20739, ""en"", ""mt"")"),"żviluppa f'parti ewlenija tas-sinsla tal-internet")</f>
        <v>żviluppa f'parti ewlenija tas-sinsla tal-internet</v>
      </c>
    </row>
    <row r="20740" ht="15.75" customHeight="1">
      <c r="A20740" s="2" t="s">
        <v>20740</v>
      </c>
      <c r="B20740" s="2" t="str">
        <f>IFERROR(__xludf.DUMMYFUNCTION("GOOGLETRANSLATE(A20740, ""en"", ""mt"")"),"mekkaniżmu ta 'stoking katina jew kamin")</f>
        <v>mekkaniżmu ta 'stoking katina jew kamin</v>
      </c>
    </row>
    <row r="20741" ht="15.75" customHeight="1">
      <c r="A20741" s="2" t="s">
        <v>20741</v>
      </c>
      <c r="B20741" s="2" t="str">
        <f>IFERROR(__xludf.DUMMYFUNCTION("GOOGLETRANSLATE(A20741, ""en"", ""mt"")"),"indulġenzi għall-mejtin,")</f>
        <v>indulġenzi għall-mejtin,</v>
      </c>
    </row>
    <row r="20742" ht="15.75" customHeight="1">
      <c r="A20742" s="2" t="s">
        <v>20742</v>
      </c>
      <c r="B20742" s="2" t="str">
        <f>IFERROR(__xludf.DUMMYFUNCTION("GOOGLETRANSLATE(A20742, ""en"", ""mt"")"),"Korati tal-kor")</f>
        <v>Korati tal-kor</v>
      </c>
    </row>
    <row r="20743" ht="15.75" customHeight="1">
      <c r="A20743" s="2" t="s">
        <v>20743</v>
      </c>
      <c r="B20743" s="2" t="str">
        <f>IFERROR(__xludf.DUMMYFUNCTION("GOOGLETRANSLATE(A20743, ""en"", ""mt"")"),"Liema sena ahoa daħlet fis-seħħ?")</f>
        <v>Liema sena ahoa daħlet fis-seħħ?</v>
      </c>
    </row>
    <row r="20744" ht="15.75" customHeight="1">
      <c r="A20744" s="2" t="s">
        <v>20744</v>
      </c>
      <c r="B20744" s="2" t="str">
        <f>IFERROR(__xludf.DUMMYFUNCTION("GOOGLETRANSLATE(A20744, ""en"", ""mt"")"),"Eżerċizzju aerobiku")</f>
        <v>Eżerċizzju aerobiku</v>
      </c>
    </row>
    <row r="20745" ht="15.75" customHeight="1">
      <c r="A20745" s="2" t="s">
        <v>20745</v>
      </c>
      <c r="B20745" s="2" t="str">
        <f>IFERROR(__xludf.DUMMYFUNCTION("GOOGLETRANSLATE(A20745, ""en"", ""mt"")"),"1895")</f>
        <v>1895</v>
      </c>
    </row>
    <row r="20746" ht="15.75" customHeight="1">
      <c r="A20746" s="2" t="s">
        <v>20746</v>
      </c>
      <c r="B20746" s="2" t="str">
        <f>IFERROR(__xludf.DUMMYFUNCTION("GOOGLETRANSLATE(A20746, ""en"", ""mt"")"),"Mudell standard")</f>
        <v>Mudell standard</v>
      </c>
    </row>
    <row r="20747" ht="15.75" customHeight="1">
      <c r="A20747" s="2" t="s">
        <v>20747</v>
      </c>
      <c r="B20747" s="2" t="str">
        <f>IFERROR(__xludf.DUMMYFUNCTION("GOOGLETRANSLATE(A20747, ""en"", ""mt"")"),"Donald Tusk")</f>
        <v>Donald Tusk</v>
      </c>
    </row>
    <row r="20748" ht="15.75" customHeight="1">
      <c r="A20748" s="2" t="s">
        <v>20748</v>
      </c>
      <c r="B20748" s="2" t="str">
        <f>IFERROR(__xludf.DUMMYFUNCTION("GOOGLETRANSLATE(A20748, ""en"", ""mt"")"),"Yassa")</f>
        <v>Yassa</v>
      </c>
    </row>
    <row r="20749" ht="15.75" customHeight="1">
      <c r="A20749" s="2" t="s">
        <v>20749</v>
      </c>
      <c r="B20749" s="2" t="str">
        <f>IFERROR(__xludf.DUMMYFUNCTION("GOOGLETRANSLATE(A20749, ""en"", ""mt"")"),"Liema kumpanija organizzat konkors u allura l-kontestanti jistgħu jidħlu għal ċans li jintwerew il-kummerċ tagħhom stess matul is-Super Bowl 50?")</f>
        <v>Liema kumpanija organizzat konkors u allura l-kontestanti jistgħu jidħlu għal ċans li jintwerew il-kummerċ tagħhom stess matul is-Super Bowl 50?</v>
      </c>
    </row>
    <row r="20750" ht="15.75" customHeight="1">
      <c r="A20750" s="2" t="s">
        <v>20750</v>
      </c>
      <c r="B20750" s="2" t="str">
        <f>IFERROR(__xludf.DUMMYFUNCTION("GOOGLETRANSLATE(A20750, ""en"", ""mt"")"),"Lagos u Quiberon Bay.")</f>
        <v>Lagos u Quiberon Bay.</v>
      </c>
    </row>
    <row r="20751" ht="15.75" customHeight="1">
      <c r="A20751" s="2" t="s">
        <v>20751</v>
      </c>
      <c r="B20751" s="2" t="str">
        <f>IFERROR(__xludf.DUMMYFUNCTION("GOOGLETRANSLATE(A20751, ""en"", ""mt"")"),"NE1FM tnediet fit-8 ta 'Ġunju 2007, l-ewwel stazzjon tar-radju tal-komunità full-time fiż-żona. Newcastle Student Radio hija mmexxija minn studenti miż-żewġ universitajiet tal-belt, li jxandru mill-bini tal-unjoni tal-istudenti tal-Università ta ’Newcastl"&amp;"e matul iż-żmien. Radio Tyneside kien is-servizz tar-radju volontarju għall-isptarijiet għall-biċċa l-kbira tal-isptarijiet madwar Newcastle u Gateshead mill-1951, ixandar fuq Hospedia u online. Il-belt għandha wkoll stazzjon tal-lollipop tar-radju bbażat"&amp;" fl-Isptar tat-Tfal tal-Gran North fin-Newcastle Royal Victoria Infirmary.")</f>
        <v>NE1FM tnediet fit-8 ta 'Ġunju 2007, l-ewwel stazzjon tar-radju tal-komunità full-time fiż-żona. Newcastle Student Radio hija mmexxija minn studenti miż-żewġ universitajiet tal-belt, li jxandru mill-bini tal-unjoni tal-istudenti tal-Università ta ’Newcastle matul iż-żmien. Radio Tyneside kien is-servizz tar-radju volontarju għall-isptarijiet għall-biċċa l-kbira tal-isptarijiet madwar Newcastle u Gateshead mill-1951, ixandar fuq Hospedia u online. Il-belt għandha wkoll stazzjon tal-lollipop tar-radju bbażat fl-Isptar tat-Tfal tal-Gran North fin-Newcastle Royal Victoria Infirmary.</v>
      </c>
    </row>
    <row r="20752" ht="15.75" customHeight="1">
      <c r="A20752" s="2" t="s">
        <v>20752</v>
      </c>
      <c r="B20752" s="2" t="str">
        <f>IFERROR(__xludf.DUMMYFUNCTION("GOOGLETRANSLATE(A20752, ""en"", ""mt"")"),"Kemm punti skorjaw il-Broncos fl-aħħar tliet minuti tal-logħba kontra Pittsburgh?")</f>
        <v>Kemm punti skorjaw il-Broncos fl-aħħar tliet minuti tal-logħba kontra Pittsburgh?</v>
      </c>
    </row>
    <row r="20753" ht="15.75" customHeight="1">
      <c r="A20753" s="2" t="s">
        <v>20753</v>
      </c>
      <c r="B20753" s="2" t="str">
        <f>IFERROR(__xludf.DUMMYFUNCTION("GOOGLETRANSLATE(A20753, ""en"", ""mt"")"),"Auckland")</f>
        <v>Auckland</v>
      </c>
    </row>
    <row r="20754" ht="15.75" customHeight="1">
      <c r="A20754" s="2" t="s">
        <v>20754</v>
      </c>
      <c r="B20754" s="2" t="str">
        <f>IFERROR(__xludf.DUMMYFUNCTION("GOOGLETRANSLATE(A20754, ""en"", ""mt"")"),"Kemm-il btieħi totali kellhom il-Panthers fil-Kampjonat NFC?")</f>
        <v>Kemm-il btieħi totali kellhom il-Panthers fil-Kampjonat NFC?</v>
      </c>
    </row>
    <row r="20755" ht="15.75" customHeight="1">
      <c r="A20755" s="2" t="s">
        <v>20755</v>
      </c>
      <c r="B20755" s="2" t="str">
        <f>IFERROR(__xludf.DUMMYFUNCTION("GOOGLETRANSLATE(A20755, ""en"", ""mt"")"),"Huwa daħal fil-poter billi jgħaqqad ħafna mit-tribujiet nomadi tal-Grigal tal-Asja. Wara li waqqaf l-imperu Mongoljan u ġie proklamat ""Genghis Khan"", huwa beda l-invażjonijiet tal-Mongolja li rriżultaw fil-konkwista tal-biċċa l-kbira tal-Eurasja. Dawn k"&amp;"ienu jinkludu rejds jew invażjonijiet tal-Qara Khitai, Kawkasu, Imperu Khwarezmid, XIA tal-Punent u Dynasties Jin. Dawn il-kampanji spiss kienu akkumpanjati minn massakri bl-ingrossa tal-popolazzjonijiet ċivili - speċjalment fl-artijiet ikkontrollati ta '"&amp;"Khwarezmian u Xia. Sa tmiem ħajtu, l-imperu Mongoljan okkupa porzjon sostanzjali tal-Asja Ċentrali u ċ-Ċina.")</f>
        <v>Huwa daħal fil-poter billi jgħaqqad ħafna mit-tribujiet nomadi tal-Grigal tal-Asja. Wara li waqqaf l-imperu Mongoljan u ġie proklamat "Genghis Khan", huwa beda l-invażjonijiet tal-Mongolja li rriżultaw fil-konkwista tal-biċċa l-kbira tal-Eurasja. Dawn kienu jinkludu rejds jew invażjonijiet tal-Qara Khitai, Kawkasu, Imperu Khwarezmid, XIA tal-Punent u Dynasties Jin. Dawn il-kampanji spiss kienu akkumpanjati minn massakri bl-ingrossa tal-popolazzjonijiet ċivili - speċjalment fl-artijiet ikkontrollati ta 'Khwarezmian u Xia. Sa tmiem ħajtu, l-imperu Mongoljan okkupa porzjon sostanzjali tal-Asja Ċentrali u ċ-Ċina.</v>
      </c>
    </row>
    <row r="20756" ht="15.75" customHeight="1">
      <c r="A20756" s="2" t="s">
        <v>20756</v>
      </c>
      <c r="B20756" s="2" t="str">
        <f>IFERROR(__xludf.DUMMYFUNCTION("GOOGLETRANSLATE(A20756, ""en"", ""mt"")"),"£ 41,004")</f>
        <v>£ 41,004</v>
      </c>
    </row>
    <row r="20757" ht="15.75" customHeight="1">
      <c r="A20757" s="2" t="s">
        <v>20757</v>
      </c>
      <c r="B20757" s="2" t="str">
        <f>IFERROR(__xludf.DUMMYFUNCTION("GOOGLETRANSLATE(A20757, ""en"", ""mt"")"),"Ir-Renju Unit")</f>
        <v>Ir-Renju Unit</v>
      </c>
    </row>
    <row r="20758" ht="15.75" customHeight="1">
      <c r="A20758" s="2" t="s">
        <v>20758</v>
      </c>
      <c r="B20758" s="2" t="str">
        <f>IFERROR(__xludf.DUMMYFUNCTION("GOOGLETRANSLATE(A20758, ""en"", ""mt"")"),"X'inhu l-proċess li jitneħħew siġar minn foresta magħrufa bħala?")</f>
        <v>X'inhu l-proċess li jitneħħew siġar minn foresta magħrufa bħala?</v>
      </c>
    </row>
    <row r="20759" ht="15.75" customHeight="1">
      <c r="A20759" s="2" t="s">
        <v>20759</v>
      </c>
      <c r="B20759" s="2" t="str">
        <f>IFERROR(__xludf.DUMMYFUNCTION("GOOGLETRANSLATE(A20759, ""en"", ""mt"")"),"Għal xiex tispikka ""TGIF""?")</f>
        <v>Għal xiex tispikka "TGIF"?</v>
      </c>
    </row>
    <row r="20760" ht="15.75" customHeight="1">
      <c r="A20760" s="2" t="s">
        <v>20760</v>
      </c>
      <c r="B20760" s="2" t="str">
        <f>IFERROR(__xludf.DUMMYFUNCTION("GOOGLETRANSLATE(A20760, ""en"", ""mt"")"),"Kleru Protestant biex jiżżewweġ")</f>
        <v>Kleru Protestant biex jiżżewweġ</v>
      </c>
    </row>
    <row r="20761" ht="15.75" customHeight="1">
      <c r="A20761" s="2" t="s">
        <v>20761</v>
      </c>
      <c r="B20761" s="2" t="str">
        <f>IFERROR(__xludf.DUMMYFUNCTION("GOOGLETRANSLATE(A20761, ""en"", ""mt"")"),"sistema b'żewġ fażijiet")</f>
        <v>sistema b'żewġ fażijiet</v>
      </c>
    </row>
    <row r="20762" ht="15.75" customHeight="1">
      <c r="A20762" s="2" t="s">
        <v>20762</v>
      </c>
      <c r="B20762" s="2" t="str">
        <f>IFERROR(__xludf.DUMMYFUNCTION("GOOGLETRANSLATE(A20762, ""en"", ""mt"")"),"Khitan kien ġie mwaqqa 'minn liema dinastija li Genghis Khan aktar tard għelbet?")</f>
        <v>Khitan kien ġie mwaqqa 'minn liema dinastija li Genghis Khan aktar tard għelbet?</v>
      </c>
    </row>
    <row r="20763" ht="15.75" customHeight="1">
      <c r="A20763" s="2" t="s">
        <v>20763</v>
      </c>
      <c r="B20763" s="2" t="str">
        <f>IFERROR(__xludf.DUMMYFUNCTION("GOOGLETRANSLATE(A20763, ""en"", ""mt"")"),"Żvilupp skoraġġut ta 'enerġiji alternattivi")</f>
        <v>Żvilupp skoraġġut ta 'enerġiji alternattivi</v>
      </c>
    </row>
    <row r="20764" ht="15.75" customHeight="1">
      <c r="A20764" s="2" t="s">
        <v>20764</v>
      </c>
      <c r="B20764" s="2" t="str">
        <f>IFERROR(__xludf.DUMMYFUNCTION("GOOGLETRANSLATE(A20764, ""en"", ""mt"")"),"X'inhi t-traduzzjoni bl-Ingliż ta 'het scheur?")</f>
        <v>X'inhi t-traduzzjoni bl-Ingliż ta 'het scheur?</v>
      </c>
    </row>
    <row r="20765" ht="15.75" customHeight="1">
      <c r="A20765" s="2" t="s">
        <v>20765</v>
      </c>
      <c r="B20765" s="2" t="str">
        <f>IFERROR(__xludf.DUMMYFUNCTION("GOOGLETRANSLATE(A20765, ""en"", ""mt"")"),"Devin Funchess")</f>
        <v>Devin Funchess</v>
      </c>
    </row>
    <row r="20766" ht="15.75" customHeight="1">
      <c r="A20766" s="2" t="s">
        <v>20766</v>
      </c>
      <c r="B20766" s="2" t="str">
        <f>IFERROR(__xludf.DUMMYFUNCTION("GOOGLETRANSLATE(A20766, ""en"", ""mt"")"),"il-mewt ta 'heretic")</f>
        <v>il-mewt ta 'heretic</v>
      </c>
    </row>
    <row r="20767" ht="15.75" customHeight="1">
      <c r="A20767" s="2" t="s">
        <v>20767</v>
      </c>
      <c r="B20767" s="2" t="str">
        <f>IFERROR(__xludf.DUMMYFUNCTION("GOOGLETRANSLATE(A20767, ""en"", ""mt"")"),"Batterjologu Brittaniku J. F. D. Shrewsbury")</f>
        <v>Batterjologu Brittaniku J. F. D. Shrewsbury</v>
      </c>
    </row>
    <row r="20768" ht="15.75" customHeight="1">
      <c r="A20768" s="2" t="s">
        <v>20768</v>
      </c>
      <c r="B20768" s="2" t="str">
        <f>IFERROR(__xludf.DUMMYFUNCTION("GOOGLETRANSLATE(A20768, ""en"", ""mt"")"),"X'għamel l-NIF biex tgħaqqad l-oppożizzjoni Iżlamista?")</f>
        <v>X'għamel l-NIF biex tgħaqqad l-oppożizzjoni Iżlamista?</v>
      </c>
    </row>
    <row r="20769" ht="15.75" customHeight="1">
      <c r="A20769" s="2" t="s">
        <v>20769</v>
      </c>
      <c r="B20769" s="2" t="str">
        <f>IFERROR(__xludf.DUMMYFUNCTION("GOOGLETRANSLATE(A20769, ""en"", ""mt"")"),"Suleiman il-magnífico")</f>
        <v>Suleiman il-magnífico</v>
      </c>
    </row>
    <row r="20770" ht="15.75" customHeight="1">
      <c r="A20770" s="2" t="s">
        <v>20770</v>
      </c>
      <c r="B20770" s="2" t="str">
        <f>IFERROR(__xludf.DUMMYFUNCTION("GOOGLETRANSLATE(A20770, ""en"", ""mt"")"),"1986")</f>
        <v>1986</v>
      </c>
    </row>
    <row r="20771" ht="15.75" customHeight="1">
      <c r="A20771" s="2" t="s">
        <v>20771</v>
      </c>
      <c r="B20771" s="2" t="str">
        <f>IFERROR(__xludf.DUMMYFUNCTION("GOOGLETRANSLATE(A20771, ""en"", ""mt"")"),"Il-forzi armati tal-Kenja, bħal ħafna istituzzjonijiet tal-gvern fil-pajjiż, ġew imċappas minn allegazzjonijiet ta 'korruzzjoni. Minħabba li l-operazzjonijiet tal-forzi armati kienu tradizzjonalment miksijin mill-kutra kullimkien ta '""sigurtà tal-istat"""&amp;", il-korruzzjoni kienet inqas fil-fehma pubblika, u għalhekk inqas soġġetta għal skrutinju pubbliku u notorjetà. Dan inbidel reċentement. F'dak li huma mill-istandards tal-Kenja rivelazzjonijiet mingħajr preċedent, fl-2010, saru talbiet kredibbli ta 'korr"&amp;"uzzjoni fir-rigward tar-reklutaġġ u l-akkwist ta' trasportaturi tal-persunal armati. Barra minn hekk, l-għerf u l-prudenza ta 'ċerti deċiżjonijiet ta' akkwist ġew interrogati pubblikament.")</f>
        <v>Il-forzi armati tal-Kenja, bħal ħafna istituzzjonijiet tal-gvern fil-pajjiż, ġew imċappas minn allegazzjonijiet ta 'korruzzjoni. Minħabba li l-operazzjonijiet tal-forzi armati kienu tradizzjonalment miksijin mill-kutra kullimkien ta '"sigurtà tal-istat", il-korruzzjoni kienet inqas fil-fehma pubblika, u għalhekk inqas soġġetta għal skrutinju pubbliku u notorjetà. Dan inbidel reċentement. F'dak li huma mill-istandards tal-Kenja rivelazzjonijiet mingħajr preċedent, fl-2010, saru talbiet kredibbli ta 'korruzzjoni fir-rigward tar-reklutaġġ u l-akkwist ta' trasportaturi tal-persunal armati. Barra minn hekk, l-għerf u l-prudenza ta 'ċerti deċiżjonijiet ta' akkwist ġew interrogati pubblikament.</v>
      </c>
    </row>
    <row r="20772" ht="15.75" customHeight="1">
      <c r="A20772" s="2" t="s">
        <v>20772</v>
      </c>
      <c r="B20772" s="2" t="str">
        <f>IFERROR(__xludf.DUMMYFUNCTION("GOOGLETRANSLATE(A20772, ""en"", ""mt"")"),"biplan li kapaċi jneħħi vertikalment")</f>
        <v>biplan li kapaċi jneħħi vertikalment</v>
      </c>
    </row>
    <row r="20773" ht="15.75" customHeight="1">
      <c r="A20773" s="2" t="s">
        <v>20773</v>
      </c>
      <c r="B20773" s="2" t="str">
        <f>IFERROR(__xludf.DUMMYFUNCTION("GOOGLETRANSLATE(A20773, ""en"", ""mt"")"),"F'liema sena ABC reġgħet bdiet ir-relazzjoni televiżiva tagħha ma 'Disney?")</f>
        <v>F'liema sena ABC reġgħet bdiet ir-relazzjoni televiżiva tagħha ma 'Disney?</v>
      </c>
    </row>
    <row r="20774" ht="15.75" customHeight="1">
      <c r="A20774" s="2" t="s">
        <v>20774</v>
      </c>
      <c r="B20774" s="2" t="str">
        <f>IFERROR(__xludf.DUMMYFUNCTION("GOOGLETRANSLATE(A20774, ""en"", ""mt"")"),"Ġenitur sostitut")</f>
        <v>Ġenitur sostitut</v>
      </c>
    </row>
    <row r="20775" ht="15.75" customHeight="1">
      <c r="A20775" s="2" t="s">
        <v>20775</v>
      </c>
      <c r="B20775" s="2" t="str">
        <f>IFERROR(__xludf.DUMMYFUNCTION("GOOGLETRANSLATE(A20775, ""en"", ""mt"")"),"Xi drabi r-rappreżentanti tas-saċerdozju jiddifferixxu, xi drabi?")</f>
        <v>Xi drabi r-rappreżentanti tas-saċerdozju jiddifferixxu, xi drabi?</v>
      </c>
    </row>
    <row r="20776" ht="15.75" customHeight="1">
      <c r="A20776" s="2" t="s">
        <v>20776</v>
      </c>
      <c r="B20776" s="2" t="str">
        <f>IFERROR(__xludf.DUMMYFUNCTION("GOOGLETRANSLATE(A20776, ""en"", ""mt"")"),"Kemm ilu meta l-ilma għadda mill-arkata Purus?")</f>
        <v>Kemm ilu meta l-ilma għadda mill-arkata Purus?</v>
      </c>
    </row>
    <row r="20777" ht="15.75" customHeight="1">
      <c r="A20777" s="2" t="s">
        <v>20777</v>
      </c>
      <c r="B20777" s="2" t="str">
        <f>IFERROR(__xludf.DUMMYFUNCTION("GOOGLETRANSLATE(A20777, ""en"", ""mt"")"),"Fejn kienet il-kapitali Mongoljana qabel ma Kublai ressaqha?")</f>
        <v>Fejn kienet il-kapitali Mongoljana qabel ma Kublai ressaqha?</v>
      </c>
    </row>
    <row r="20778" ht="15.75" customHeight="1">
      <c r="A20778" s="2" t="s">
        <v>20778</v>
      </c>
      <c r="B20778" s="2" t="str">
        <f>IFERROR(__xludf.DUMMYFUNCTION("GOOGLETRANSLATE(A20778, ""en"", ""mt"")"),"X'tip / ġeneru tal-ispettaklu tat-TV huwa Doctor Who?")</f>
        <v>X'tip / ġeneru tal-ispettaklu tat-TV huwa Doctor Who?</v>
      </c>
    </row>
    <row r="20779" ht="15.75" customHeight="1">
      <c r="A20779" s="2" t="s">
        <v>20779</v>
      </c>
      <c r="B20779" s="2" t="str">
        <f>IFERROR(__xludf.DUMMYFUNCTION("GOOGLETRANSLATE(A20779, ""en"", ""mt"")"),"Min jattendi Loreto Normanhurst?")</f>
        <v>Min jattendi Loreto Normanhurst?</v>
      </c>
    </row>
    <row r="20780" ht="15.75" customHeight="1">
      <c r="A20780" s="2" t="s">
        <v>20780</v>
      </c>
      <c r="B20780" s="2" t="str">
        <f>IFERROR(__xludf.DUMMYFUNCTION("GOOGLETRANSLATE(A20780, ""en"", ""mt"")"),"Ajruplani VTOL")</f>
        <v>Ajruplani VTOL</v>
      </c>
    </row>
    <row r="20781" ht="15.75" customHeight="1">
      <c r="A20781" s="2" t="s">
        <v>20781</v>
      </c>
      <c r="B20781" s="2" t="str">
        <f>IFERROR(__xludf.DUMMYFUNCTION("GOOGLETRANSLATE(A20781, ""en"", ""mt"")"),"Il-Programm tal-Ambjent tan-Nazzjonijiet Uniti (UNEP) u l-Organizzazzjoni Meteoroloġika Dinjija (WMO),")</f>
        <v>Il-Programm tal-Ambjent tan-Nazzjonijiet Uniti (UNEP) u l-Organizzazzjoni Meteoroloġika Dinjija (WMO),</v>
      </c>
    </row>
    <row r="20782" ht="15.75" customHeight="1">
      <c r="A20782" s="2" t="s">
        <v>20782</v>
      </c>
      <c r="B20782" s="2" t="str">
        <f>IFERROR(__xludf.DUMMYFUNCTION("GOOGLETRANSLATE(A20782, ""en"", ""mt"")"),"il-lamprey u l-hagfish")</f>
        <v>il-lamprey u l-hagfish</v>
      </c>
    </row>
    <row r="20783" ht="15.75" customHeight="1">
      <c r="A20783" s="2" t="s">
        <v>20783</v>
      </c>
      <c r="B20783" s="2" t="str">
        <f>IFERROR(__xludf.DUMMYFUNCTION("GOOGLETRANSLATE(A20783, ""en"", ""mt"")"),"elfejn")</f>
        <v>elfejn</v>
      </c>
    </row>
    <row r="20784" ht="15.75" customHeight="1">
      <c r="A20784" s="2" t="s">
        <v>20784</v>
      </c>
      <c r="B20784" s="2" t="str">
        <f>IFERROR(__xludf.DUMMYFUNCTION("GOOGLETRANSLATE(A20784, ""en"", ""mt"")"),"Il-President tal-Kummissjoni")</f>
        <v>Il-President tal-Kummissjoni</v>
      </c>
    </row>
    <row r="20785" ht="15.75" customHeight="1">
      <c r="A20785" s="2" t="s">
        <v>20785</v>
      </c>
      <c r="B20785" s="2" t="str">
        <f>IFERROR(__xludf.DUMMYFUNCTION("GOOGLETRANSLATE(A20785, ""en"", ""mt"")"),"Għalhekk, 6 mhix primarja. L-immaġni fuq il-lemin turi li 12 mhuwiex prim: 12 = 3 · 4. L-ebda numru uniformi akbar minn 2 huwa prim għaliex bid-definizzjoni, kwalunkwe numru n-Numru N għandu mill-inqas tliet diviżuri distinti, jiġifieri 1, 2, u n. Dan jim"&amp;"plika li n mhix primarja. Għaldaqstant, it-terminu fard prim jirreferi għal kwalunkwe numru ewlieni akbar minn 2. Bl-istess mod, meta miktub fis-sistema deċimali tas-soltu, in-numri ewlenin kollha akbar minn 5 jispiċċaw f'1, 3, 7, jew 9, peress li n-numri"&amp;" uniformi huma multipli ta '2 u In-numri li jispiċċaw f'0 jew 5 huma multipli ta '5.")</f>
        <v>Għalhekk, 6 mhix primarja. L-immaġni fuq il-lemin turi li 12 mhuwiex prim: 12 = 3 · 4. L-ebda numru uniformi akbar minn 2 huwa prim għaliex bid-definizzjoni, kwalunkwe numru n-Numru N għandu mill-inqas tliet diviżuri distinti, jiġifieri 1, 2, u n. Dan jimplika li n mhix primarja. Għaldaqstant, it-terminu fard prim jirreferi għal kwalunkwe numru ewlieni akbar minn 2. Bl-istess mod, meta miktub fis-sistema deċimali tas-soltu, in-numri ewlenin kollha akbar minn 5 jispiċċaw f'1, 3, 7, jew 9, peress li n-numri uniformi huma multipli ta '2 u In-numri li jispiċċaw f'0 jew 5 huma multipli ta '5.</v>
      </c>
    </row>
    <row r="20786" ht="15.75" customHeight="1">
      <c r="A20786" s="2" t="s">
        <v>20786</v>
      </c>
      <c r="B20786" s="2" t="str">
        <f>IFERROR(__xludf.DUMMYFUNCTION("GOOGLETRANSLATE(A20786, ""en"", ""mt"")"),"Taħt liema kundizzjoni huwa element irreducibbli?")</f>
        <v>Taħt liema kundizzjoni huwa element irreducibbli?</v>
      </c>
    </row>
    <row r="20787" ht="15.75" customHeight="1">
      <c r="A20787" s="2" t="s">
        <v>20787</v>
      </c>
      <c r="B20787" s="2" t="str">
        <f>IFERROR(__xludf.DUMMYFUNCTION("GOOGLETRANSLATE(A20787, ""en"", ""mt"")"),"31 ta 'Diċembru, 1999")</f>
        <v>31 ta 'Diċembru, 1999</v>
      </c>
    </row>
    <row r="20788" ht="15.75" customHeight="1">
      <c r="A20788" s="2" t="s">
        <v>20788</v>
      </c>
      <c r="B20788" s="2" t="str">
        <f>IFERROR(__xludf.DUMMYFUNCTION("GOOGLETRANSLATE(A20788, ""en"", ""mt"")"),"eżerċizzju")</f>
        <v>eżerċizzju</v>
      </c>
    </row>
    <row r="20789" ht="15.75" customHeight="1">
      <c r="A20789" s="2" t="s">
        <v>20789</v>
      </c>
      <c r="B20789" s="2" t="str">
        <f>IFERROR(__xludf.DUMMYFUNCTION("GOOGLETRANSLATE(A20789, ""en"", ""mt"")"),"Xmara onon")</f>
        <v>Xmara onon</v>
      </c>
    </row>
    <row r="20790" ht="15.75" customHeight="1">
      <c r="A20790" s="2" t="s">
        <v>20790</v>
      </c>
      <c r="B20790" s="2" t="str">
        <f>IFERROR(__xludf.DUMMYFUNCTION("GOOGLETRANSLATE(A20790, ""en"", ""mt"")"),"Liema entità tesla emmnet ma tkunx tista 'ssolvi l-problemi tal-ħin?")</f>
        <v>Liema entità tesla emmnet ma tkunx tista 'ssolvi l-problemi tal-ħin?</v>
      </c>
    </row>
    <row r="20791" ht="15.75" customHeight="1">
      <c r="A20791" s="2" t="s">
        <v>20791</v>
      </c>
      <c r="B20791" s="2" t="str">
        <f>IFERROR(__xludf.DUMMYFUNCTION("GOOGLETRANSLATE(A20791, ""en"", ""mt"")"),"Rhine mgħawweġ")</f>
        <v>Rhine mgħawweġ</v>
      </c>
    </row>
    <row r="20792" ht="15.75" customHeight="1">
      <c r="A20792" s="2" t="s">
        <v>20792</v>
      </c>
      <c r="B20792" s="2" t="str">
        <f>IFERROR(__xludf.DUMMYFUNCTION("GOOGLETRANSLATE(A20792, ""en"", ""mt"")"),"Liema Ġeneral Brittaniku nnegozja f'Montreal?")</f>
        <v>Liema Ġeneral Brittaniku nnegozja f'Montreal?</v>
      </c>
    </row>
    <row r="20793" ht="15.75" customHeight="1">
      <c r="A20793" s="2" t="s">
        <v>20793</v>
      </c>
      <c r="B20793" s="2" t="str">
        <f>IFERROR(__xludf.DUMMYFUNCTION("GOOGLETRANSLATE(A20793, ""en"", ""mt"")"),"267")</f>
        <v>267</v>
      </c>
    </row>
    <row r="20794" ht="15.75" customHeight="1">
      <c r="A20794" s="2" t="s">
        <v>20794</v>
      </c>
      <c r="B20794" s="2" t="str">
        <f>IFERROR(__xludf.DUMMYFUNCTION("GOOGLETRANSLATE(A20794, ""en"", ""mt"")"),"Louis de Condé")</f>
        <v>Louis de Condé</v>
      </c>
    </row>
    <row r="20795" ht="15.75" customHeight="1">
      <c r="A20795" s="2" t="s">
        <v>20795</v>
      </c>
      <c r="B20795" s="2" t="str">
        <f>IFERROR(__xludf.DUMMYFUNCTION("GOOGLETRANSLATE(A20795, ""en"", ""mt"")"),"1859")</f>
        <v>1859</v>
      </c>
    </row>
    <row r="20796" ht="15.75" customHeight="1">
      <c r="A20796" s="2" t="s">
        <v>20796</v>
      </c>
      <c r="B20796" s="2" t="str">
        <f>IFERROR(__xludf.DUMMYFUNCTION("GOOGLETRANSLATE(A20796, ""en"", ""mt"")"),"Te, kafè, sisal, piretru, qamħ, u qamħ")</f>
        <v>Te, kafè, sisal, piretru, qamħ, u qamħ</v>
      </c>
    </row>
    <row r="20797" ht="15.75" customHeight="1">
      <c r="A20797" s="2" t="s">
        <v>20797</v>
      </c>
      <c r="B20797" s="2" t="str">
        <f>IFERROR(__xludf.DUMMYFUNCTION("GOOGLETRANSLATE(A20797, ""en"", ""mt"")"),"Min jista 'wkoll jissottometti kontijiet privati ​​fil-Parlament?")</f>
        <v>Min jista 'wkoll jissottometti kontijiet privati ​​fil-Parlament?</v>
      </c>
    </row>
    <row r="20798" ht="15.75" customHeight="1">
      <c r="A20798" s="2" t="s">
        <v>20798</v>
      </c>
      <c r="B20798" s="2" t="str">
        <f>IFERROR(__xludf.DUMMYFUNCTION("GOOGLETRANSLATE(A20798, ""en"", ""mt"")"),"Liema tim fis-Super Bowl 50 kellu rekord ta '15 -1?")</f>
        <v>Liema tim fis-Super Bowl 50 kellu rekord ta '15 -1?</v>
      </c>
    </row>
    <row r="20799" ht="15.75" customHeight="1">
      <c r="A20799" s="2" t="s">
        <v>20799</v>
      </c>
      <c r="B20799" s="2" t="str">
        <f>IFERROR(__xludf.DUMMYFUNCTION("GOOGLETRANSLATE(A20799, ""en"", ""mt"")"),"Fid-determinazzjoni ta 'klassijiet ta' kumplessità, x'inhuma żewġ eżempji ta 'tipi ta' magni tat-Turing?")</f>
        <v>Fid-determinazzjoni ta 'klassijiet ta' kumplessità, x'inhuma żewġ eżempji ta 'tipi ta' magni tat-Turing?</v>
      </c>
    </row>
    <row r="20800" ht="15.75" customHeight="1">
      <c r="A20800" s="2" t="s">
        <v>20800</v>
      </c>
      <c r="B20800" s="2" t="str">
        <f>IFERROR(__xludf.DUMMYFUNCTION("GOOGLETRANSLATE(A20800, ""en"", ""mt"")"),"Il-kollezzjoni Talbot Hughes kienet rigal minn liema kumpanija?")</f>
        <v>Il-kollezzjoni Talbot Hughes kienet rigal minn liema kumpanija?</v>
      </c>
    </row>
    <row r="20801" ht="15.75" customHeight="1">
      <c r="A20801" s="2" t="s">
        <v>20801</v>
      </c>
      <c r="B20801" s="2" t="str">
        <f>IFERROR(__xludf.DUMMYFUNCTION("GOOGLETRANSLATE(A20801, ""en"", ""mt"")"),"il-WMO")</f>
        <v>il-WMO</v>
      </c>
    </row>
    <row r="20802" ht="15.75" customHeight="1">
      <c r="A20802" s="2" t="s">
        <v>20802</v>
      </c>
      <c r="B20802" s="2" t="str">
        <f>IFERROR(__xludf.DUMMYFUNCTION("GOOGLETRANSLATE(A20802, ""en"", ""mt"")"),"Morgan kif irreaġixxa għat-talba?")</f>
        <v>Morgan kif irreaġixxa għat-talba?</v>
      </c>
    </row>
    <row r="20803" ht="15.75" customHeight="1">
      <c r="A20803" s="2" t="s">
        <v>20803</v>
      </c>
      <c r="B20803" s="2" t="str">
        <f>IFERROR(__xludf.DUMMYFUNCTION("GOOGLETRANSLATE(A20803, ""en"", ""mt"")"),"Barra mill-użu tagħha tal-karozzi, x'iktar huwa famuż fin-Nofsinhar ta 'California?")</f>
        <v>Barra mill-użu tagħha tal-karozzi, x'iktar huwa famuż fin-Nofsinhar ta 'California?</v>
      </c>
    </row>
    <row r="20804" ht="15.75" customHeight="1">
      <c r="A20804" s="2" t="s">
        <v>20804</v>
      </c>
      <c r="B20804" s="2" t="str">
        <f>IFERROR(__xludf.DUMMYFUNCTION("GOOGLETRANSLATE(A20804, ""en"", ""mt"")"),"X'inhu ddominat is-settur tas-servizzi?")</f>
        <v>X'inhu ddominat is-settur tas-servizzi?</v>
      </c>
    </row>
    <row r="20805" ht="15.75" customHeight="1">
      <c r="A20805" s="2" t="s">
        <v>20805</v>
      </c>
      <c r="B20805" s="2" t="str">
        <f>IFERROR(__xludf.DUMMYFUNCTION("GOOGLETRANSLATE(A20805, ""en"", ""mt"")"),"torqod fil-paċi")</f>
        <v>torqod fil-paċi</v>
      </c>
    </row>
    <row r="20806" ht="15.75" customHeight="1">
      <c r="A20806" s="2" t="s">
        <v>20806</v>
      </c>
      <c r="B20806" s="2" t="str">
        <f>IFERROR(__xludf.DUMMYFUNCTION("GOOGLETRANSLATE(A20806, ""en"", ""mt"")"),"kostruttiv")</f>
        <v>kostruttiv</v>
      </c>
    </row>
    <row r="20807" ht="15.75" customHeight="1">
      <c r="A20807" s="2" t="s">
        <v>20807</v>
      </c>
      <c r="B20807" s="2" t="str">
        <f>IFERROR(__xludf.DUMMYFUNCTION("GOOGLETRANSLATE(A20807, ""en"", ""mt"")"),"Meta beda l-programm ta 'ritratt tar-Rhine?")</f>
        <v>Meta beda l-programm ta 'ritratt tar-Rhine?</v>
      </c>
    </row>
    <row r="20808" ht="15.75" customHeight="1">
      <c r="A20808" s="2" t="s">
        <v>20808</v>
      </c>
      <c r="B20808" s="2" t="str">
        <f>IFERROR(__xludf.DUMMYFUNCTION("GOOGLETRANSLATE(A20808, ""en"", ""mt"")"),"Min kien l-iktar riċerkatur influwenti fost dawk it-tlugħ bid-defiċit ta 'xogħol li jdawwar il-kumplessità maħluqa minn problemi algoritmiċi?")</f>
        <v>Min kien l-iktar riċerkatur influwenti fost dawk it-tlugħ bid-defiċit ta 'xogħol li jdawwar il-kumplessità maħluqa minn problemi algoritmiċi?</v>
      </c>
    </row>
    <row r="20809" ht="15.75" customHeight="1">
      <c r="A20809" s="2" t="s">
        <v>20809</v>
      </c>
      <c r="B20809" s="2" t="str">
        <f>IFERROR(__xludf.DUMMYFUNCTION("GOOGLETRANSLATE(A20809, ""en"", ""mt"")"),"It-tabib għandu interess awto finanzjarju fid- ""dijanjosi"" kemm jista 'jkun kundizzjonijiet")</f>
        <v>It-tabib għandu interess awto finanzjarju fid- "dijanjosi" kemm jista 'jkun kundizzjonijiet</v>
      </c>
    </row>
    <row r="20810" ht="15.75" customHeight="1">
      <c r="A20810" s="2" t="s">
        <v>20810</v>
      </c>
      <c r="B20810" s="2" t="str">
        <f>IFERROR(__xludf.DUMMYFUNCTION("GOOGLETRANSLATE(A20810, ""en"", ""mt"")"),"Fuq liema kienet il-Mewt l-Iswed oriġinarjament akkużat?")</f>
        <v>Fuq liema kienet il-Mewt l-Iswed oriġinarjament akkużat?</v>
      </c>
    </row>
    <row r="20811" ht="15.75" customHeight="1">
      <c r="A20811" s="2" t="s">
        <v>20811</v>
      </c>
      <c r="B20811" s="2" t="str">
        <f>IFERROR(__xludf.DUMMYFUNCTION("GOOGLETRANSLATE(A20811, ""en"", ""mt"")"),"inkonklussivament, biż-żewġ naħat jirtiraw mill-grawnd")</f>
        <v>inkonklussivament, biż-żewġ naħat jirtiraw mill-grawnd</v>
      </c>
    </row>
    <row r="20812" ht="15.75" customHeight="1">
      <c r="A20812" s="2" t="s">
        <v>20812</v>
      </c>
      <c r="B20812" s="2" t="str">
        <f>IFERROR(__xludf.DUMMYFUNCTION("GOOGLETRANSLATE(A20812, ""en"", ""mt"")"),"1,000 m3 / s (35,000 cu ft / s),")</f>
        <v>1,000 m3 / s (35,000 cu ft / s),</v>
      </c>
    </row>
    <row r="20813" ht="15.75" customHeight="1">
      <c r="A20813" s="2" t="s">
        <v>20813</v>
      </c>
      <c r="B20813" s="2" t="str">
        <f>IFERROR(__xludf.DUMMYFUNCTION("GOOGLETRANSLATE(A20813, ""en"", ""mt"")"),"L-Imperu Etjopjan")</f>
        <v>L-Imperu Etjopjan</v>
      </c>
    </row>
    <row r="20814" ht="15.75" customHeight="1">
      <c r="A20814" s="2" t="s">
        <v>20814</v>
      </c>
      <c r="B20814" s="2" t="str">
        <f>IFERROR(__xludf.DUMMYFUNCTION("GOOGLETRANSLATE(A20814, ""en"", ""mt"")"),"Min ħabbew il-Panthers fil-logħba tal-kampjonat NFC?")</f>
        <v>Min ħabbew il-Panthers fil-logħba tal-kampjonat NFC?</v>
      </c>
    </row>
    <row r="20815" ht="15.75" customHeight="1">
      <c r="A20815" s="2" t="s">
        <v>20815</v>
      </c>
      <c r="B20815" s="2" t="str">
        <f>IFERROR(__xludf.DUMMYFUNCTION("GOOGLETRANSLATE(A20815, ""en"", ""mt"")"),"il-magna tat-Turing")</f>
        <v>il-magna tat-Turing</v>
      </c>
    </row>
    <row r="20816" ht="15.75" customHeight="1">
      <c r="A20816" s="2" t="s">
        <v>20816</v>
      </c>
      <c r="B20816" s="2" t="str">
        <f>IFERROR(__xludf.DUMMYFUNCTION("GOOGLETRANSLATE(A20816, ""en"", ""mt"")"),"$ 5 miljun")</f>
        <v>$ 5 miljun</v>
      </c>
    </row>
    <row r="20817" ht="15.75" customHeight="1">
      <c r="A20817" s="2" t="s">
        <v>20817</v>
      </c>
      <c r="B20817" s="2" t="str">
        <f>IFERROR(__xludf.DUMMYFUNCTION("GOOGLETRANSLATE(A20817, ""en"", ""mt"")"),"ilma")</f>
        <v>ilma</v>
      </c>
    </row>
    <row r="20818" ht="15.75" customHeight="1">
      <c r="A20818" s="2" t="s">
        <v>20818</v>
      </c>
      <c r="B20818" s="2" t="str">
        <f>IFERROR(__xludf.DUMMYFUNCTION("GOOGLETRANSLATE(A20818, ""en"", ""mt"")"),"il-Qorti Suprema")</f>
        <v>il-Qorti Suprema</v>
      </c>
    </row>
    <row r="20819" ht="15.75" customHeight="1">
      <c r="A20819" s="2" t="s">
        <v>20819</v>
      </c>
      <c r="B20819" s="2" t="str">
        <f>IFERROR(__xludf.DUMMYFUNCTION("GOOGLETRANSLATE(A20819, ""en"", ""mt"")"),"derivat mill-alka ħamra")</f>
        <v>derivat mill-alka ħamra</v>
      </c>
    </row>
    <row r="20820" ht="15.75" customHeight="1">
      <c r="A20820" s="2" t="s">
        <v>20820</v>
      </c>
      <c r="B20820" s="2" t="str">
        <f>IFERROR(__xludf.DUMMYFUNCTION("GOOGLETRANSLATE(A20820, ""en"", ""mt"")"),"Mhux Kattoliċi")</f>
        <v>Mhux Kattoliċi</v>
      </c>
    </row>
    <row r="20821" ht="15.75" customHeight="1">
      <c r="A20821" s="2" t="s">
        <v>20821</v>
      </c>
      <c r="B20821" s="2" t="str">
        <f>IFERROR(__xludf.DUMMYFUNCTION("GOOGLETRANSLATE(A20821, ""en"", ""mt"")"),"bi ħlas għal kull unità ta 'ħin ta' konnessjoni, anke meta ma tiġi trasferita l-ebda dejta")</f>
        <v>bi ħlas għal kull unità ta 'ħin ta' konnessjoni, anke meta ma tiġi trasferita l-ebda dejta</v>
      </c>
    </row>
    <row r="20822" ht="15.75" customHeight="1">
      <c r="A20822" s="2" t="s">
        <v>20822</v>
      </c>
      <c r="B20822" s="2" t="str">
        <f>IFERROR(__xludf.DUMMYFUNCTION("GOOGLETRANSLATE(A20822, ""en"", ""mt"")"),"imnebbaħ")</f>
        <v>imnebbaħ</v>
      </c>
    </row>
    <row r="20823" ht="15.75" customHeight="1">
      <c r="A20823" s="2" t="s">
        <v>20823</v>
      </c>
      <c r="B20823" s="2" t="str">
        <f>IFERROR(__xludf.DUMMYFUNCTION("GOOGLETRANSLATE(A20823, ""en"", ""mt"")"),"Fejn f'Dundee se tinsab il-gallerija?")</f>
        <v>Fejn f'Dundee se tinsab il-gallerija?</v>
      </c>
    </row>
    <row r="20824" ht="15.75" customHeight="1">
      <c r="A20824" s="2" t="s">
        <v>20824</v>
      </c>
      <c r="B20824" s="2" t="str">
        <f>IFERROR(__xludf.DUMMYFUNCTION("GOOGLETRANSLATE(A20824, ""en"", ""mt"")"),"meqrud")</f>
        <v>meqrud</v>
      </c>
    </row>
    <row r="20825" ht="15.75" customHeight="1">
      <c r="A20825" s="2" t="s">
        <v>20825</v>
      </c>
      <c r="B20825" s="2" t="str">
        <f>IFERROR(__xludf.DUMMYFUNCTION("GOOGLETRANSLATE(A20825, ""en"", ""mt"")"),"George Mueller")</f>
        <v>George Mueller</v>
      </c>
    </row>
    <row r="20826" ht="15.75" customHeight="1">
      <c r="A20826" s="2" t="s">
        <v>20826</v>
      </c>
      <c r="B20826" s="2" t="str">
        <f>IFERROR(__xludf.DUMMYFUNCTION("GOOGLETRANSLATE(A20826, ""en"", ""mt"")"),"tattiċi ta 'solidarjetà")</f>
        <v>tattiċi ta 'solidarjetà</v>
      </c>
    </row>
    <row r="20827" ht="15.75" customHeight="1">
      <c r="A20827" s="2" t="s">
        <v>20827</v>
      </c>
      <c r="B20827" s="2" t="str">
        <f>IFERROR(__xludf.DUMMYFUNCTION("GOOGLETRANSLATE(A20827, ""en"", ""mt"")"),"Qabel is-Super Bowl 50, meta l-Broncos kienu jdumu hemm?")</f>
        <v>Qabel is-Super Bowl 50, meta l-Broncos kienu jdumu hemm?</v>
      </c>
    </row>
    <row r="20828" ht="15.75" customHeight="1">
      <c r="A20828" s="2" t="s">
        <v>20828</v>
      </c>
      <c r="B20828" s="2" t="str">
        <f>IFERROR(__xludf.DUMMYFUNCTION("GOOGLETRANSLATE(A20828, ""en"", ""mt"")"),"1881")</f>
        <v>1881</v>
      </c>
    </row>
    <row r="20829" ht="15.75" customHeight="1">
      <c r="A20829" s="2" t="s">
        <v>20829</v>
      </c>
      <c r="B20829" s="2" t="str">
        <f>IFERROR(__xludf.DUMMYFUNCTION("GOOGLETRANSLATE(A20829, ""en"", ""mt"")"),"X'inhu l-isem tas-sistema ferrovjarja tal-vjaġġatur?")</f>
        <v>X'inhu l-isem tas-sistema ferrovjarja tal-vjaġġatur?</v>
      </c>
    </row>
    <row r="20830" ht="15.75" customHeight="1">
      <c r="A20830" s="2" t="s">
        <v>20830</v>
      </c>
      <c r="B20830" s="2" t="str">
        <f>IFERROR(__xludf.DUMMYFUNCTION("GOOGLETRANSLATE(A20830, ""en"", ""mt"")"),"Studju fl-Ingilterra wera prevalenza ta ’0.3% ta’ abbuż sesswali minn kwalunkwe professjonist, grupp li kien jinkludi saċerdoti, mexxejja reliġjużi, u ħaddiema tal-każijiet kif ukoll għalliema. Huwa importanti li wieħed jinnota, madankollu, li l-istudju B"&amp;"rittaniku msemmi hawn fuq huwa l-uniku wieħed tat-tip tiegħu u kien jikkonsisti minn ""kampjun ta 'probabbiltà bl-addoċċ ... ta' 2,869 żgħażagħ ta 'bejn it-18 u l-24 sena fi studju assistit mill-kompjuter"" u li l-mistoqsijiet imsemmija għal ""abbuż sessw"&amp;"ali ma 'professjonist,"" mhux neċessarjament għalliem. Huwa għalhekk loġiku li tikkonkludi li l-informazzjoni dwar il-persentaġġ ta 'abbużi mill-għalliema fir-Renju Unit mhix disponibbli espliċitament u għalhekk mhux neċessarjament affidabbli. L-istudju A"&amp;"AUW, madankollu, għamel mistoqsijiet dwar erbatax-il tip ta 'fastidju sesswali u diversi gradi ta' frekwenza u inkluda biss abbużi mill-għalliema. ""Il-kampjun ġie meħud minn lista ta '80, 000 skola biex tinħoloq disinn ta 'kampjun f'żewġ stadji stratifik"&amp;"ati ta' 2,065 student tat-8 sal-11-il grad"" L-affidabbiltà tagħha ġiet imkejla f'95% b'marġni ta '4% ta' żball.")</f>
        <v>Studju fl-Ingilterra wera prevalenza ta ’0.3% ta’ abbuż sesswali minn kwalunkwe professjonist, grupp li kien jinkludi saċerdoti, mexxejja reliġjużi, u ħaddiema tal-każijiet kif ukoll għalliema. Huwa importanti li wieħed jinnota, madankollu, li l-istudju Brittaniku msemmi hawn fuq huwa l-uniku wieħed tat-tip tiegħu u kien jikkonsisti minn "kampjun ta 'probabbiltà bl-addoċċ ... ta' 2,869 żgħażagħ ta 'bejn it-18 u l-24 sena fi studju assistit mill-kompjuter" u li l-mistoqsijiet imsemmija għal "abbuż sesswali ma 'professjonist," mhux neċessarjament għalliem. Huwa għalhekk loġiku li tikkonkludi li l-informazzjoni dwar il-persentaġġ ta 'abbużi mill-għalliema fir-Renju Unit mhix disponibbli espliċitament u għalhekk mhux neċessarjament affidabbli. L-istudju AAUW, madankollu, għamel mistoqsijiet dwar erbatax-il tip ta 'fastidju sesswali u diversi gradi ta' frekwenza u inkluda biss abbużi mill-għalliema. "Il-kampjun ġie meħud minn lista ta '80, 000 skola biex tinħoloq disinn ta 'kampjun f'żewġ stadji stratifikati ta' 2,065 student tat-8 sal-11-il grad" L-affidabbiltà tagħha ġiet imkejla f'95% b'marġni ta '4% ta' żball.</v>
      </c>
    </row>
    <row r="20831" ht="15.75" customHeight="1">
      <c r="A20831" s="2" t="s">
        <v>20831</v>
      </c>
      <c r="B20831" s="2" t="str">
        <f>IFERROR(__xludf.DUMMYFUNCTION("GOOGLETRANSLATE(A20831, ""en"", ""mt"")"),"Regola ta 'Elton")</f>
        <v>Regola ta 'Elton</v>
      </c>
    </row>
    <row r="20832" ht="15.75" customHeight="1">
      <c r="A20832" s="2" t="s">
        <v>20832</v>
      </c>
      <c r="B20832" s="2" t="str">
        <f>IFERROR(__xludf.DUMMYFUNCTION("GOOGLETRANSLATE(A20832, ""en"", ""mt"")"),"Ferenc Deák")</f>
        <v>Ferenc Deák</v>
      </c>
    </row>
    <row r="20833" ht="15.75" customHeight="1">
      <c r="A20833" s="2" t="s">
        <v>20833</v>
      </c>
      <c r="B20833" s="2" t="str">
        <f>IFERROR(__xludf.DUMMYFUNCTION("GOOGLETRANSLATE(A20833, ""en"", ""mt"")"),"anke numri")</f>
        <v>anke numri</v>
      </c>
    </row>
    <row r="20834" ht="15.75" customHeight="1">
      <c r="A20834" s="2" t="s">
        <v>20834</v>
      </c>
      <c r="B20834" s="2" t="str">
        <f>IFERROR(__xludf.DUMMYFUNCTION("GOOGLETRANSLATE(A20834, ""en"", ""mt"")"),"tiżżewweġ waħda mill-onorevoli ta 'martu fl-istennija")</f>
        <v>tiżżewweġ waħda mill-onorevoli ta 'martu fl-istennija</v>
      </c>
    </row>
    <row r="20835" ht="15.75" customHeight="1">
      <c r="A20835" s="2" t="s">
        <v>20835</v>
      </c>
      <c r="B20835" s="2" t="str">
        <f>IFERROR(__xludf.DUMMYFUNCTION("GOOGLETRANSLATE(A20835, ""en"", ""mt"")"),"Trade Unions")</f>
        <v>Trade Unions</v>
      </c>
    </row>
    <row r="20836" ht="15.75" customHeight="1">
      <c r="A20836" s="2" t="s">
        <v>20836</v>
      </c>
      <c r="B20836" s="2" t="str">
        <f>IFERROR(__xludf.DUMMYFUNCTION("GOOGLETRANSLATE(A20836, ""en"", ""mt"")"),"Webb")</f>
        <v>Webb</v>
      </c>
    </row>
    <row r="20837" ht="15.75" customHeight="1">
      <c r="A20837" s="2" t="s">
        <v>20837</v>
      </c>
      <c r="B20837" s="2" t="str">
        <f>IFERROR(__xludf.DUMMYFUNCTION("GOOGLETRANSLATE(A20837, ""en"", ""mt"")"),"300–600 nanometru")</f>
        <v>300–600 nanometru</v>
      </c>
    </row>
    <row r="20838" ht="15.75" customHeight="1">
      <c r="A20838" s="2" t="s">
        <v>20838</v>
      </c>
      <c r="B20838" s="2" t="str">
        <f>IFERROR(__xludf.DUMMYFUNCTION("GOOGLETRANSLATE(A20838, ""en"", ""mt"")"),"interface ospitanti għal x.25 u l-interface terminali għal x.29")</f>
        <v>interface ospitanti għal x.25 u l-interface terminali għal x.29</v>
      </c>
    </row>
    <row r="20839" ht="15.75" customHeight="1">
      <c r="A20839" s="2" t="s">
        <v>20839</v>
      </c>
      <c r="B20839" s="2" t="str">
        <f>IFERROR(__xludf.DUMMYFUNCTION("GOOGLETRANSLATE(A20839, ""en"", ""mt"")"),"Min kiteb l-elulogija?")</f>
        <v>Min kiteb l-elulogija?</v>
      </c>
    </row>
    <row r="20840" ht="15.75" customHeight="1">
      <c r="A20840" s="2" t="s">
        <v>20840</v>
      </c>
      <c r="B20840" s="2" t="str">
        <f>IFERROR(__xludf.DUMMYFUNCTION("GOOGLETRANSLATE(A20840, ""en"", ""mt"")"),"X'jibżaw l-inġiniera jkunu diffiċli fl-ispazju minħabba li qatt ma jkunu attentati fl-orbita tad-dinja?")</f>
        <v>X'jibżaw l-inġiniera jkunu diffiċli fl-ispazju minħabba li qatt ma jkunu attentati fl-orbita tad-dinja?</v>
      </c>
    </row>
    <row r="20841" ht="15.75" customHeight="1">
      <c r="A20841" s="2" t="s">
        <v>20841</v>
      </c>
      <c r="B20841" s="2" t="str">
        <f>IFERROR(__xludf.DUMMYFUNCTION("GOOGLETRANSLATE(A20841, ""en"", ""mt"")"),"Id-dinastija Norman kellha impatt politiku, kulturali u militari maġġuri fuq l-Ewropa medjevali u anke l-Lvant Qarib. In-Normanni kienu famużi għall-ispirtu marzjali tagħhom u eventwalment għall-piety Christian tagħhom, u saru esponenti tal-ortodossija Ka"&amp;"ttolika li fihom assimilaw. Huma adottaw il-lingwa gallo-rumanz ta 'l-art Franki li huma stabbilixxew, id-djalett tagħhom isir magħruf bħala Norman, Normaund jew Norman Franċiż, lingwa letterarja importanti. Id-Dukat tan-Normandija, li huma ffurmaw bit-tr"&amp;"attat mal-kuruna Franċiża, kien fief kbir ta ’Franza medjevali, u taħt Richard I tan-Normandija ġie ffalsifikat ġo prinċipat koeżiv u formidabbli fil-kariga feudali. In-Normanni huma nnotati kemm għall-kultura tagħhom, bħall-arkitettura Rumanika unika tag"&amp;"ħhom u t-tradizzjonijiet mużikali, kif ukoll għall-kisbiet u l-innovazzjonijiet militari sinifikanti tagħhom. Norman Adventurers waqqfu r-Renju ta ’Sqallija taħt Roger II wara li rbħu l-Italja tan-Nofsinhar fuq is-Saraċens u l-Biżantini, u expedition f’is"&amp;"em id-Duka tagħhom, William the Conqueror, wasslet għall-konkwista Norman tal-Ingilterra fil-Battalja ta’ Hastings fl-1066. Norman Cultural u influwenza militari mifruxa minn dawn iċ-ċentri Ewropej ġodda għall-istati tal-Kruċjati tal-Lvant Qarib, fejn il-"&amp;"Prinċep Bohemond tagħhom waqqaf il-Prinċipat ta 'Antijokja fil-Levant, lejn l-Iskozja u Wales fil-Gran Brittanja, lejn l-Irlanda, u lejn il-kosti ta' l-Afrika ta 'Fuq u l-Gżejjer Kanarji.")</f>
        <v>Id-dinastija Norman kellha impatt politiku, kulturali u militari maġġuri fuq l-Ewropa medjevali u anke l-Lvant Qarib. In-Normanni kienu famużi għall-ispirtu marzjali tagħhom u eventwalment għall-piety Christian tagħhom, u saru esponenti tal-ortodossija Kattolika li fihom assimilaw. Huma adottaw il-lingwa gallo-rumanz ta 'l-art Franki li huma stabbilixxew, id-djalett tagħhom isir magħruf bħala Norman, Normaund jew Norman Franċiż, lingwa letterarja importanti. Id-Dukat tan-Normandija, li huma ffurmaw bit-trattat mal-kuruna Franċiża, kien fief kbir ta ’Franza medjevali, u taħt Richard I tan-Normandija ġie ffalsifikat ġo prinċipat koeżiv u formidabbli fil-kariga feudali. In-Normanni huma nnotati kemm għall-kultura tagħhom, bħall-arkitettura Rumanika unika tagħhom u t-tradizzjonijiet mużikali, kif ukoll għall-kisbiet u l-innovazzjonijiet militari sinifikanti tagħhom. Norman Adventurers waqqfu r-Renju ta ’Sqallija taħt Roger II wara li rbħu l-Italja tan-Nofsinhar fuq is-Saraċens u l-Biżantini, u expedition f’isem id-Duka tagħhom, William the Conqueror, wasslet għall-konkwista Norman tal-Ingilterra fil-Battalja ta’ Hastings fl-1066. Norman Cultural u influwenza militari mifruxa minn dawn iċ-ċentri Ewropej ġodda għall-istati tal-Kruċjati tal-Lvant Qarib, fejn il-Prinċep Bohemond tagħhom waqqaf il-Prinċipat ta 'Antijokja fil-Levant, lejn l-Iskozja u Wales fil-Gran Brittanja, lejn l-Irlanda, u lejn il-kosti ta' l-Afrika ta 'Fuq u l-Gżejjer Kanarji.</v>
      </c>
    </row>
    <row r="20842" ht="15.75" customHeight="1">
      <c r="A20842" s="2" t="s">
        <v>20842</v>
      </c>
      <c r="B20842" s="2" t="str">
        <f>IFERROR(__xludf.DUMMYFUNCTION("GOOGLETRANSLATE(A20842, ""en"", ""mt"")"),"X'inhu n-numru atomiku għall-ossiġnu?")</f>
        <v>X'inhu n-numru atomiku għall-ossiġnu?</v>
      </c>
    </row>
    <row r="20843" ht="15.75" customHeight="1">
      <c r="A20843" s="2" t="s">
        <v>20843</v>
      </c>
      <c r="B20843" s="2" t="str">
        <f>IFERROR(__xludf.DUMMYFUNCTION("GOOGLETRANSLATE(A20843, ""en"", ""mt"")"),"X'kien ir-Rapport P-2626")</f>
        <v>X'kien ir-Rapport P-2626</v>
      </c>
    </row>
    <row r="20844" ht="15.75" customHeight="1">
      <c r="A20844" s="2" t="s">
        <v>20844</v>
      </c>
      <c r="B20844" s="2" t="str">
        <f>IFERROR(__xludf.DUMMYFUNCTION("GOOGLETRANSLATE(A20844, ""en"", ""mt"")"),"Art")</f>
        <v>Art</v>
      </c>
    </row>
    <row r="20845" ht="15.75" customHeight="1">
      <c r="A20845" s="2" t="s">
        <v>20845</v>
      </c>
      <c r="B20845" s="2" t="str">
        <f>IFERROR(__xludf.DUMMYFUNCTION("GOOGLETRANSLATE(A20845, ""en"", ""mt"")"),"Newcastle kienet waħda mill-ewwel bliet fid-dinja li kellha liema innovazzjoni?")</f>
        <v>Newcastle kienet waħda mill-ewwel bliet fid-dinja li kellha liema innovazzjoni?</v>
      </c>
    </row>
    <row r="20846" ht="15.75" customHeight="1">
      <c r="A20846" s="2" t="s">
        <v>20846</v>
      </c>
      <c r="B20846" s="2" t="str">
        <f>IFERROR(__xludf.DUMMYFUNCTION("GOOGLETRANSLATE(A20846, ""en"", ""mt"")"),"28 ta 'Diċembru, 2015,")</f>
        <v>28 ta 'Diċembru, 2015,</v>
      </c>
    </row>
    <row r="20847" ht="15.75" customHeight="1">
      <c r="A20847" s="2" t="s">
        <v>20847</v>
      </c>
      <c r="B20847" s="2" t="str">
        <f>IFERROR(__xludf.DUMMYFUNCTION("GOOGLETRANSLATE(A20847, ""en"", ""mt"")"),"Ismailiyah, l-Eġittu")</f>
        <v>Ismailiyah, l-Eġittu</v>
      </c>
    </row>
    <row r="20848" ht="15.75" customHeight="1">
      <c r="A20848" s="2" t="s">
        <v>20848</v>
      </c>
      <c r="B20848" s="2" t="str">
        <f>IFERROR(__xludf.DUMMYFUNCTION("GOOGLETRANSLATE(A20848, ""en"", ""mt"")"),"Fit-triq inbniet is-sostituzzjoni tat-Teatru Royal?")</f>
        <v>Fit-triq inbniet is-sostituzzjoni tat-Teatru Royal?</v>
      </c>
    </row>
    <row r="20849" ht="15.75" customHeight="1">
      <c r="A20849" s="2" t="s">
        <v>20849</v>
      </c>
      <c r="B20849" s="2" t="str">
        <f>IFERROR(__xludf.DUMMYFUNCTION("GOOGLETRANSLATE(A20849, ""en"", ""mt"")"),"Min organizza l-Gran Brittanja jista 'jagħmilha wirja?")</f>
        <v>Min organizza l-Gran Brittanja jista 'jagħmilha wirja?</v>
      </c>
    </row>
    <row r="20850" ht="15.75" customHeight="1">
      <c r="A20850" s="2" t="s">
        <v>20850</v>
      </c>
      <c r="B20850" s="2" t="str">
        <f>IFERROR(__xludf.DUMMYFUNCTION("GOOGLETRANSLATE(A20850, ""en"", ""mt"")"),"M'hemm l-ebda soluzzjoni magħrufa fil-ħin polinomjali")</f>
        <v>M'hemm l-ebda soluzzjoni magħrufa fil-ħin polinomjali</v>
      </c>
    </row>
    <row r="20851" ht="15.75" customHeight="1">
      <c r="A20851" s="2" t="s">
        <v>20851</v>
      </c>
      <c r="B20851" s="2" t="str">
        <f>IFERROR(__xludf.DUMMYFUNCTION("GOOGLETRANSLATE(A20851, ""en"", ""mt"")"),"Madwar seba 'u tmienja")</f>
        <v>Madwar seba 'u tmienja</v>
      </c>
    </row>
    <row r="20852" ht="15.75" customHeight="1">
      <c r="A20852" s="2" t="s">
        <v>20852</v>
      </c>
      <c r="B20852" s="2" t="str">
        <f>IFERROR(__xludf.DUMMYFUNCTION("GOOGLETRANSLATE(A20852, ""en"", ""mt"")"),"Kemm korrimenti ta 'ACL kellu Thomas Davis matul il-karriera tiegħu?")</f>
        <v>Kemm korrimenti ta 'ACL kellu Thomas Davis matul il-karriera tiegħu?</v>
      </c>
    </row>
    <row r="20853" ht="15.75" customHeight="1">
      <c r="A20853" s="2" t="s">
        <v>20853</v>
      </c>
      <c r="B20853" s="2" t="str">
        <f>IFERROR(__xludf.DUMMYFUNCTION("GOOGLETRANSLATE(A20853, ""en"", ""mt"")"),"Il-problema ta 'fatturizzazzjoni sħiħa essenzjalment tfittex li tiddetermina jekk il-valur ta' input hu inqas minn liema varjabbli?")</f>
        <v>Il-problema ta 'fatturizzazzjoni sħiħa essenzjalment tfittex li tiddetermina jekk il-valur ta' input hu inqas minn liema varjabbli?</v>
      </c>
    </row>
    <row r="20854" ht="15.75" customHeight="1">
      <c r="A20854" s="2" t="s">
        <v>20854</v>
      </c>
      <c r="B20854" s="2" t="str">
        <f>IFERROR(__xludf.DUMMYFUNCTION("GOOGLETRANSLATE(A20854, ""en"", ""mt"")"),"Il-mekkaniżmu li bih Y. pestis ġeneralment kien trasmess")</f>
        <v>Il-mekkaniżmu li bih Y. pestis ġeneralment kien trasmess</v>
      </c>
    </row>
    <row r="20855" ht="15.75" customHeight="1">
      <c r="A20855" s="2" t="s">
        <v>20855</v>
      </c>
      <c r="B20855" s="2" t="str">
        <f>IFERROR(__xludf.DUMMYFUNCTION("GOOGLETRANSLATE(A20855, ""en"", ""mt"")"),"Il-prinċipji ta 'l-imperjalizmu huma ta' spiss ġeneralizzati għall-politiki u l-prattiki ta 'l-Imperu Brittaniku ""matul l-aħħar ġenerazzjoni, u jipproċedu pjuttost b'dijanjosi milli b'deskrizzjoni storika"". L-imperjalizmu Brittaniku spiss uża l-kunċett "&amp;"ta 'terra nullius (espressjoni Latina li toħroġ mil-liġi Rumana li tfisser ""art vojta""). Il-pajjiż ta 'l-Awstralja jservi bħala studju ta' każ b'relazzjoni mal-ftehim Brittaniku u l-ħakma kolonjali tal-kontinent fis-seklu tmintax, kif kien ippremjat fuq"&amp;" Terra Nullius, u l-kolonizzaturi tiegħu qiesu li ma ntużawx mill-abitanti aboriġini skarsa tagħha.")</f>
        <v>Il-prinċipji ta 'l-imperjalizmu huma ta' spiss ġeneralizzati għall-politiki u l-prattiki ta 'l-Imperu Brittaniku "matul l-aħħar ġenerazzjoni, u jipproċedu pjuttost b'dijanjosi milli b'deskrizzjoni storika". L-imperjalizmu Brittaniku spiss uża l-kunċett ta 'terra nullius (espressjoni Latina li toħroġ mil-liġi Rumana li tfisser "art vojta"). Il-pajjiż ta 'l-Awstralja jservi bħala studju ta' każ b'relazzjoni mal-ftehim Brittaniku u l-ħakma kolonjali tal-kontinent fis-seklu tmintax, kif kien ippremjat fuq Terra Nullius, u l-kolonizzaturi tiegħu qiesu li ma ntużawx mill-abitanti aboriġini skarsa tagħha.</v>
      </c>
    </row>
    <row r="20856" ht="15.75" customHeight="1">
      <c r="A20856" s="2" t="s">
        <v>20856</v>
      </c>
      <c r="B20856" s="2" t="str">
        <f>IFERROR(__xludf.DUMMYFUNCTION("GOOGLETRANSLATE(A20856, ""en"", ""mt"")"),"komponenti ortogonali")</f>
        <v>komponenti ortogonali</v>
      </c>
    </row>
    <row r="20857" ht="15.75" customHeight="1">
      <c r="A20857" s="2" t="s">
        <v>20857</v>
      </c>
      <c r="B20857" s="2" t="str">
        <f>IFERROR(__xludf.DUMMYFUNCTION("GOOGLETRANSLATE(A20857, ""en"", ""mt"")"),"Jaqbad tliet negozjanti u joqtol 14-il persuna tan-Nazzjon Miami")</f>
        <v>Jaqbad tliet negozjanti u joqtol 14-il persuna tan-Nazzjon Miami</v>
      </c>
    </row>
    <row r="20858" ht="15.75" customHeight="1">
      <c r="A20858" s="2" t="s">
        <v>20858</v>
      </c>
      <c r="B20858" s="2" t="str">
        <f>IFERROR(__xludf.DUMMYFUNCTION("GOOGLETRANSLATE(A20858, ""en"", ""mt"")"),"Kodiċi taihō (701) u ddikjarat mill-ġdid fil-kodiċi yōrō")</f>
        <v>Kodiċi taihō (701) u ddikjarat mill-ġdid fil-kodiċi yōrō</v>
      </c>
    </row>
    <row r="20859" ht="15.75" customHeight="1">
      <c r="A20859" s="2" t="s">
        <v>20859</v>
      </c>
      <c r="B20859" s="2" t="str">
        <f>IFERROR(__xludf.DUMMYFUNCTION("GOOGLETRANSLATE(A20859, ""en"", ""mt"")"),"żviluppat")</f>
        <v>żviluppat</v>
      </c>
    </row>
    <row r="20860" ht="15.75" customHeight="1">
      <c r="A20860" s="2" t="s">
        <v>20860</v>
      </c>
      <c r="B20860" s="2" t="str">
        <f>IFERROR(__xludf.DUMMYFUNCTION("GOOGLETRANSLATE(A20860, ""en"", ""mt"")"),"Meraq tal-għeneb mhux iffermentat")</f>
        <v>Meraq tal-għeneb mhux iffermentat</v>
      </c>
    </row>
    <row r="20861" ht="15.75" customHeight="1">
      <c r="A20861" s="2" t="s">
        <v>20861</v>
      </c>
      <c r="B20861" s="2" t="str">
        <f>IFERROR(__xludf.DUMMYFUNCTION("GOOGLETRANSLATE(A20861, ""en"", ""mt"")"),"1487")</f>
        <v>1487</v>
      </c>
    </row>
    <row r="20862" ht="15.75" customHeight="1">
      <c r="A20862" s="2" t="s">
        <v>20862</v>
      </c>
      <c r="B20862" s="2" t="str">
        <f>IFERROR(__xludf.DUMMYFUNCTION("GOOGLETRANSLATE(A20862, ""en"", ""mt"")"),"Meta l-NFL bdew is-16-il staġun tal-logħob tagħhom?")</f>
        <v>Meta l-NFL bdew is-16-il staġun tal-logħob tagħhom?</v>
      </c>
    </row>
    <row r="20863" ht="15.75" customHeight="1">
      <c r="A20863" s="2" t="s">
        <v>20863</v>
      </c>
      <c r="B20863" s="2" t="str">
        <f>IFERROR(__xludf.DUMMYFUNCTION("GOOGLETRANSLATE(A20863, ""en"", ""mt"")"),"Fejn l-ilma lejn il-lvant tal-Baċin tad-Drenaġġ tal-Amażonja ħareġ?")</f>
        <v>Fejn l-ilma lejn il-lvant tal-Baċin tad-Drenaġġ tal-Amażonja ħareġ?</v>
      </c>
    </row>
    <row r="20864" ht="15.75" customHeight="1">
      <c r="A20864" s="2" t="s">
        <v>20864</v>
      </c>
      <c r="B20864" s="2" t="str">
        <f>IFERROR(__xludf.DUMMYFUNCTION("GOOGLETRANSLATE(A20864, ""en"", ""mt"")"),"kollha fi ftit mijiet ta 'piedi minn xulxin")</f>
        <v>kollha fi ftit mijiet ta 'piedi minn xulxin</v>
      </c>
    </row>
    <row r="20865" ht="15.75" customHeight="1">
      <c r="A20865" s="2" t="s">
        <v>20865</v>
      </c>
      <c r="B20865" s="2" t="str">
        <f>IFERROR(__xludf.DUMMYFUNCTION("GOOGLETRANSLATE(A20865, ""en"", ""mt"")"),"Yuan_dynasty")</f>
        <v>Yuan_dynasty</v>
      </c>
    </row>
    <row r="20866" ht="15.75" customHeight="1">
      <c r="A20866" s="2" t="s">
        <v>20866</v>
      </c>
      <c r="B20866" s="2" t="str">
        <f>IFERROR(__xludf.DUMMYFUNCTION("GOOGLETRANSLATE(A20866, ""en"", ""mt"")"),"Fuq liema riżorsa hija l-ekonomija tan-Nofsinhar tal-Kalifornja?")</f>
        <v>Fuq liema riżorsa hija l-ekonomija tan-Nofsinhar tal-Kalifornja?</v>
      </c>
    </row>
    <row r="20867" ht="15.75" customHeight="1">
      <c r="A20867" s="2" t="s">
        <v>20867</v>
      </c>
      <c r="B20867" s="2" t="str">
        <f>IFERROR(__xludf.DUMMYFUNCTION("GOOGLETRANSLATE(A20867, ""en"", ""mt"")"),"Il-Prinċipju ta ’Esklużjoni ta’ Pauli")</f>
        <v>Il-Prinċipju ta ’Esklużjoni ta’ Pauli</v>
      </c>
    </row>
    <row r="20868" ht="15.75" customHeight="1">
      <c r="A20868" s="2" t="s">
        <v>20868</v>
      </c>
      <c r="B20868" s="2" t="str">
        <f>IFERROR(__xludf.DUMMYFUNCTION("GOOGLETRANSLATE(A20868, ""en"", ""mt"")"),"Il-liġi konswetudinarja tan-Normandija ġiet żviluppata bejn is-sekli 10 u 13 u tibqa 'ħajja llum permezz tas-sistemi legali ta' Jersey u Guernsey fil-Channel Islands. Il-liġi konswetudinarja Norman ġiet traskritta f'żewġ drawwa bil-Latin minn żewġ imħallf"&amp;"in għall-użu minnhom u l-kollegi tagħhom: dawn huma t-Très Ancien Coumier (konswetudinarja antika ħafna), miktuba bejn l-1200 u l-1245; u l-Grand Coumier de Normandie (konswetudinarju kbir tan-Normandija, oriġinarjament Summa de Legibus Normanniae fil-Cur"&amp;"ia Laïcali), awturi bejn l-1235 u l-1245.")</f>
        <v>Il-liġi konswetudinarja tan-Normandija ġiet żviluppata bejn is-sekli 10 u 13 u tibqa 'ħajja llum permezz tas-sistemi legali ta' Jersey u Guernsey fil-Channel Islands. Il-liġi konswetudinarja Norman ġiet traskritta f'żewġ drawwa bil-Latin minn żewġ imħallfin għall-użu minnhom u l-kollegi tagħhom: dawn huma t-Très Ancien Coumier (konswetudinarja antika ħafna), miktuba bejn l-1200 u l-1245; u l-Grand Coumier de Normandie (konswetudinarju kbir tan-Normandija, oriġinarjament Summa de Legibus Normanniae fil-Curia Laïcali), awturi bejn l-1235 u l-1245.</v>
      </c>
    </row>
    <row r="20869" ht="15.75" customHeight="1">
      <c r="A20869" s="2" t="s">
        <v>20869</v>
      </c>
      <c r="B20869" s="2" t="str">
        <f>IFERROR(__xludf.DUMMYFUNCTION("GOOGLETRANSLATE(A20869, ""en"", ""mt"")"),"Sofokli")</f>
        <v>Sofokli</v>
      </c>
    </row>
    <row r="20870" ht="15.75" customHeight="1">
      <c r="A20870" s="2" t="s">
        <v>20870</v>
      </c>
      <c r="B20870" s="2" t="str">
        <f>IFERROR(__xludf.DUMMYFUNCTION("GOOGLETRANSLATE(A20870, ""en"", ""mt"")"),"Ġeneral Samuel C. Phillips")</f>
        <v>Ġeneral Samuel C. Phillips</v>
      </c>
    </row>
    <row r="20871" ht="15.75" customHeight="1">
      <c r="A20871" s="2" t="s">
        <v>20871</v>
      </c>
      <c r="B20871" s="2" t="str">
        <f>IFERROR(__xludf.DUMMYFUNCTION("GOOGLETRANSLATE(A20871, ""en"", ""mt"")"),"F'liema sena miet il-President ta 'Harvard Joseph Willard?")</f>
        <v>F'liema sena miet il-President ta 'Harvard Joseph Willard?</v>
      </c>
    </row>
    <row r="20872" ht="15.75" customHeight="1">
      <c r="A20872" s="2" t="s">
        <v>20872</v>
      </c>
      <c r="B20872" s="2" t="str">
        <f>IFERROR(__xludf.DUMMYFUNCTION("GOOGLETRANSLATE(A20872, ""en"", ""mt"")"),"għerqu fix-xmara Mur")</f>
        <v>għerqu fix-xmara Mur</v>
      </c>
    </row>
    <row r="20873" ht="15.75" customHeight="1">
      <c r="A20873" s="2" t="s">
        <v>20873</v>
      </c>
      <c r="B20873" s="2" t="str">
        <f>IFERROR(__xludf.DUMMYFUNCTION("GOOGLETRANSLATE(A20873, ""en"", ""mt"")"),"Ir-Reġistru tal-Kunsill Farmaċewtiku Ġenerali (GPHC)")</f>
        <v>Ir-Reġistru tal-Kunsill Farmaċewtiku Ġenerali (GPHC)</v>
      </c>
    </row>
    <row r="20874" ht="15.75" customHeight="1">
      <c r="A20874" s="2" t="s">
        <v>20874</v>
      </c>
      <c r="B20874" s="2" t="str">
        <f>IFERROR(__xludf.DUMMYFUNCTION("GOOGLETRANSLATE(A20874, ""en"", ""mt"")"),"X'inhu Nexus?")</f>
        <v>X'inhu Nexus?</v>
      </c>
    </row>
    <row r="20875" ht="15.75" customHeight="1">
      <c r="A20875" s="2" t="s">
        <v>20875</v>
      </c>
      <c r="B20875" s="2" t="str">
        <f>IFERROR(__xludf.DUMMYFUNCTION("GOOGLETRANSLATE(A20875, ""en"", ""mt"")"),"Bejn wieħed u ieħor kemm huwa l-baġit tal-gvern tal-istudenti?")</f>
        <v>Bejn wieħed u ieħor kemm huwa l-baġit tal-gvern tal-istudenti?</v>
      </c>
    </row>
    <row r="20876" ht="15.75" customHeight="1">
      <c r="A20876" s="2" t="s">
        <v>20876</v>
      </c>
      <c r="B20876" s="2" t="str">
        <f>IFERROR(__xludf.DUMMYFUNCTION("GOOGLETRANSLATE(A20876, ""en"", ""mt"")"),"Il-Mallee u l-Upper Wimmera huma r-reġjuni l-aktar sħan tar-Rabat bl-irjieħ sħan li jonfħu minn semi-deżerti fil-qrib. It-temperaturi medji jaqbżu t-32 ° C (90 ° F) matul is-sajf u 15 ° C (59 ° F) fix-xitwa. Ħlief f'elevazzjonijiet tal-muntanji friski, it"&amp;"-temperaturi ta 'kull xahar interni huma 2-7 ° C (4-13 ° F) aktar sħan minn madwar Melbourne (ara ċ-ċart). L-ogħla temperatura massima tar-Rabat mit-Tieni Gwerra Dinjija, ta '48 .8 ° C (119.8 ° F) ġiet irreġistrata f'Hopetoun fis-7 ta 'Frar 2009, matul il"&amp;"-mewġa tas-sħana tal-2009 tax-Xlokk tal-Awstralja.")</f>
        <v>Il-Mallee u l-Upper Wimmera huma r-reġjuni l-aktar sħan tar-Rabat bl-irjieħ sħan li jonfħu minn semi-deżerti fil-qrib. It-temperaturi medji jaqbżu t-32 ° C (90 ° F) matul is-sajf u 15 ° C (59 ° F) fix-xitwa. Ħlief f'elevazzjonijiet tal-muntanji friski, it-temperaturi ta 'kull xahar interni huma 2-7 ° C (4-13 ° F) aktar sħan minn madwar Melbourne (ara ċ-ċart). L-ogħla temperatura massima tar-Rabat mit-Tieni Gwerra Dinjija, ta '48 .8 ° C (119.8 ° F) ġiet irreġistrata f'Hopetoun fis-7 ta 'Frar 2009, matul il-mewġa tas-sħana tal-2009 tax-Xlokk tal-Awstralja.</v>
      </c>
    </row>
    <row r="20877" ht="15.75" customHeight="1">
      <c r="A20877" s="2" t="s">
        <v>20877</v>
      </c>
      <c r="B20877" s="2" t="str">
        <f>IFERROR(__xludf.DUMMYFUNCTION("GOOGLETRANSLATE(A20877, ""en"", ""mt"")"),"Liema organiżmu antik ieħor ifforma mekkaniżmi immuni bażiċi?")</f>
        <v>Liema organiżmu antik ieħor ifforma mekkaniżmi immuni bażiċi?</v>
      </c>
    </row>
    <row r="20878" ht="15.75" customHeight="1">
      <c r="A20878" s="2" t="s">
        <v>20878</v>
      </c>
      <c r="B20878" s="2" t="str">
        <f>IFERROR(__xludf.DUMMYFUNCTION("GOOGLETRANSLATE(A20878, ""en"", ""mt"")"),"Esperimenti analogi u numeriċi")</f>
        <v>Esperimenti analogi u numeriċi</v>
      </c>
    </row>
    <row r="20879" ht="15.75" customHeight="1">
      <c r="A20879" s="2" t="s">
        <v>20879</v>
      </c>
      <c r="B20879" s="2" t="str">
        <f>IFERROR(__xludf.DUMMYFUNCTION("GOOGLETRANSLATE(A20879, ""en"", ""mt"")"),"Meta Varsavja ġiet kompletament imrażżna mal-art billi bombi r-rejds?")</f>
        <v>Meta Varsavja ġiet kompletament imrażżna mal-art billi bombi r-rejds?</v>
      </c>
    </row>
    <row r="20880" ht="15.75" customHeight="1">
      <c r="A20880" s="2" t="s">
        <v>20880</v>
      </c>
      <c r="B20880" s="2" t="str">
        <f>IFERROR(__xludf.DUMMYFUNCTION("GOOGLETRANSLATE(A20880, ""en"", ""mt"")"),"Liema aspett ieħor tal-ħajja ta 'Luther kien affettwat minn saħħtu?")</f>
        <v>Liema aspett ieħor tal-ħajja ta 'Luther kien affettwat minn saħħtu?</v>
      </c>
    </row>
    <row r="20881" ht="15.75" customHeight="1">
      <c r="A20881" s="2" t="s">
        <v>20881</v>
      </c>
      <c r="B20881" s="2" t="str">
        <f>IFERROR(__xludf.DUMMYFUNCTION("GOOGLETRANSLATE(A20881, ""en"", ""mt"")"),"X'inhuma s-sorsi ewlenin tal-liġi primarja?")</f>
        <v>X'inhuma s-sorsi ewlenin tal-liġi primarja?</v>
      </c>
    </row>
    <row r="20882" ht="15.75" customHeight="1">
      <c r="A20882" s="2" t="s">
        <v>20882</v>
      </c>
      <c r="B20882" s="2" t="str">
        <f>IFERROR(__xludf.DUMMYFUNCTION("GOOGLETRANSLATE(A20882, ""en"", ""mt"")"),"Liema ko-riċettur jirrekluta molekuli ġewwa ċ-ċellula T li huma responsabbli għall-attivazzjoni taċ-ċellula?")</f>
        <v>Liema ko-riċettur jirrekluta molekuli ġewwa ċ-ċellula T li huma responsabbli għall-attivazzjoni taċ-ċellula?</v>
      </c>
    </row>
    <row r="20883" ht="15.75" customHeight="1">
      <c r="A20883" s="2" t="s">
        <v>20883</v>
      </c>
      <c r="B20883" s="2" t="str">
        <f>IFERROR(__xludf.DUMMYFUNCTION("GOOGLETRANSLATE(A20883, ""en"", ""mt"")"),"Orkestra Nazzjonali tal-BBC ta 'Wales")</f>
        <v>Orkestra Nazzjonali tal-BBC ta 'Wales</v>
      </c>
    </row>
    <row r="20884" ht="15.75" customHeight="1">
      <c r="A20884" s="2" t="s">
        <v>20884</v>
      </c>
      <c r="B20884" s="2" t="str">
        <f>IFERROR(__xludf.DUMMYFUNCTION("GOOGLETRANSLATE(A20884, ""en"", ""mt"")"),"Il-Ministeru tal-Gwerra")</f>
        <v>Il-Ministeru tal-Gwerra</v>
      </c>
    </row>
    <row r="20885" ht="15.75" customHeight="1">
      <c r="A20885" s="2" t="s">
        <v>20885</v>
      </c>
      <c r="B20885" s="2" t="str">
        <f>IFERROR(__xludf.DUMMYFUNCTION("GOOGLETRANSLATE(A20885, ""en"", ""mt"")"),"X'inhu l-isem ta 'kwistjonijiet barra l-abilità leġiżlattiva tal-Parlament Skoċċiż?")</f>
        <v>X'inhu l-isem ta 'kwistjonijiet barra l-abilità leġiżlattiva tal-Parlament Skoċċiż?</v>
      </c>
    </row>
    <row r="20886" ht="15.75" customHeight="1">
      <c r="A20886" s="2" t="s">
        <v>20886</v>
      </c>
      <c r="B20886" s="2" t="str">
        <f>IFERROR(__xludf.DUMMYFUNCTION("GOOGLETRANSLATE(A20886, ""en"", ""mt"")"),"X'titlu jaqsmu kemm it-tabib min kif ukoll il-kaptan?")</f>
        <v>X'titlu jaqsmu kemm it-tabib min kif ukoll il-kaptan?</v>
      </c>
    </row>
    <row r="20887" ht="15.75" customHeight="1">
      <c r="A20887" s="2" t="s">
        <v>20887</v>
      </c>
      <c r="B20887" s="2" t="str">
        <f>IFERROR(__xludf.DUMMYFUNCTION("GOOGLETRANSLATE(A20887, ""en"", ""mt"")"),"mibgħuta sitt reġimenti lil Franza Ġdida taħt il-kmand ta 'Baruni Dieskau fl-1755")</f>
        <v>mibgħuta sitt reġimenti lil Franza Ġdida taħt il-kmand ta 'Baruni Dieskau fl-1755</v>
      </c>
    </row>
    <row r="20888" ht="15.75" customHeight="1">
      <c r="A20888" s="2" t="s">
        <v>20888</v>
      </c>
      <c r="B20888" s="2" t="str">
        <f>IFERROR(__xludf.DUMMYFUNCTION("GOOGLETRANSLATE(A20888, ""en"", ""mt"")"),"X'kien l-isem tal-vettura tat-tnedija għan-NASA, li l-avjazzjoni tal-Amerika ta 'Fuq iddisinjat it-tieni stadju ta'?")</f>
        <v>X'kien l-isem tal-vettura tat-tnedija għan-NASA, li l-avjazzjoni tal-Amerika ta 'Fuq iddisinjat it-tieni stadju ta'?</v>
      </c>
    </row>
    <row r="20889" ht="15.75" customHeight="1">
      <c r="A20889" s="2" t="s">
        <v>20889</v>
      </c>
      <c r="B20889" s="2" t="str">
        <f>IFERROR(__xludf.DUMMYFUNCTION("GOOGLETRANSLATE(A20889, ""en"", ""mt"")"),"Fit-tarf dojoq")</f>
        <v>Fit-tarf dojoq</v>
      </c>
    </row>
    <row r="20890" ht="15.75" customHeight="1">
      <c r="A20890" s="2" t="s">
        <v>20890</v>
      </c>
      <c r="B20890" s="2" t="str">
        <f>IFERROR(__xludf.DUMMYFUNCTION("GOOGLETRANSLATE(A20890, ""en"", ""mt"")"),"Biex ""widen [en] l-għażliet tan-nies u l-livell tal-benesseri miksub tagħhom""")</f>
        <v>Biex "widen [en] l-għażliet tan-nies u l-livell tal-benesseri miksub tagħhom"</v>
      </c>
    </row>
    <row r="20891" ht="15.75" customHeight="1">
      <c r="A20891" s="2" t="s">
        <v>20891</v>
      </c>
      <c r="B20891" s="2" t="str">
        <f>IFERROR(__xludf.DUMMYFUNCTION("GOOGLETRANSLATE(A20891, ""en"", ""mt"")"),"Getty Oil")</f>
        <v>Getty Oil</v>
      </c>
    </row>
    <row r="20892" ht="15.75" customHeight="1">
      <c r="A20892" s="2" t="s">
        <v>20892</v>
      </c>
      <c r="B20892" s="2" t="str">
        <f>IFERROR(__xludf.DUMMYFUNCTION("GOOGLETRANSLATE(A20892, ""en"", ""mt"")"),"Liema tipi ta 'għalliema qed jirtiraw l-iktar?")</f>
        <v>Liema tipi ta 'għalliema qed jirtiraw l-iktar?</v>
      </c>
    </row>
    <row r="20893" ht="15.75" customHeight="1">
      <c r="A20893" s="2" t="s">
        <v>20893</v>
      </c>
      <c r="B20893" s="2" t="str">
        <f>IFERROR(__xludf.DUMMYFUNCTION("GOOGLETRANSLATE(A20893, ""en"", ""mt"")"),"Photosystem i")</f>
        <v>Photosystem i</v>
      </c>
    </row>
    <row r="20894" ht="15.75" customHeight="1">
      <c r="A20894" s="2" t="s">
        <v>20894</v>
      </c>
      <c r="B20894" s="2" t="str">
        <f>IFERROR(__xludf.DUMMYFUNCTION("GOOGLETRANSLATE(A20894, ""en"", ""mt"")"),"X'tip ta 'swieq huwa t-tip ta' abitazzjoni hawn taħt?")</f>
        <v>X'tip ta 'swieq huwa t-tip ta' abitazzjoni hawn taħt?</v>
      </c>
    </row>
    <row r="20895" ht="15.75" customHeight="1">
      <c r="A20895" s="2" t="s">
        <v>20895</v>
      </c>
      <c r="B20895" s="2" t="str">
        <f>IFERROR(__xludf.DUMMYFUNCTION("GOOGLETRANSLATE(A20895, ""en"", ""mt"")"),"id-dinastija Ming")</f>
        <v>id-dinastija Ming</v>
      </c>
    </row>
    <row r="20896" ht="15.75" customHeight="1">
      <c r="A20896" s="2" t="s">
        <v>20896</v>
      </c>
      <c r="B20896" s="2" t="str">
        <f>IFERROR(__xludf.DUMMYFUNCTION("GOOGLETRANSLATE(A20896, ""en"", ""mt"")"),"X'jista 'jipproduċi l-ossiġnu kkonċentrat?")</f>
        <v>X'jista 'jipproduċi l-ossiġnu kkonċentrat?</v>
      </c>
    </row>
    <row r="20897" ht="15.75" customHeight="1">
      <c r="A20897" s="2" t="s">
        <v>20897</v>
      </c>
      <c r="B20897" s="2" t="str">
        <f>IFERROR(__xludf.DUMMYFUNCTION("GOOGLETRANSLATE(A20897, ""en"", ""mt"")"),"L-Iskambju Ewlenin Diffie - Hellman")</f>
        <v>L-Iskambju Ewlenin Diffie - Hellman</v>
      </c>
    </row>
    <row r="20898" ht="15.75" customHeight="1">
      <c r="A20898" s="2" t="s">
        <v>20898</v>
      </c>
      <c r="B20898" s="2" t="str">
        <f>IFERROR(__xludf.DUMMYFUNCTION("GOOGLETRANSLATE(A20898, ""en"", ""mt"")"),"Sa liema sena Chrysler temm il-mudell ta 'lussu sħiħ tiegħu?")</f>
        <v>Sa liema sena Chrysler temm il-mudell ta 'lussu sħiħ tiegħu?</v>
      </c>
    </row>
    <row r="20899" ht="15.75" customHeight="1">
      <c r="A20899" s="2" t="s">
        <v>20899</v>
      </c>
      <c r="B20899" s="2" t="str">
        <f>IFERROR(__xludf.DUMMYFUNCTION("GOOGLETRANSLATE(A20899, ""en"", ""mt"")"),"Richard Harbison")</f>
        <v>Richard Harbison</v>
      </c>
    </row>
    <row r="20900" ht="15.75" customHeight="1">
      <c r="A20900" s="2" t="s">
        <v>20900</v>
      </c>
      <c r="B20900" s="2" t="str">
        <f>IFERROR(__xludf.DUMMYFUNCTION("GOOGLETRANSLATE(A20900, ""en"", ""mt"")"),"il-konvenzjoni")</f>
        <v>il-konvenzjoni</v>
      </c>
    </row>
    <row r="20901" ht="15.75" customHeight="1">
      <c r="A20901" s="2" t="s">
        <v>20901</v>
      </c>
      <c r="B20901" s="2" t="str">
        <f>IFERROR(__xludf.DUMMYFUNCTION("GOOGLETRANSLATE(A20901, ""en"", ""mt"")"),"X'inhu karatteristika ta 'ermafroditi sekwenzjali?")</f>
        <v>X'inhu karatteristika ta 'ermafroditi sekwenzjali?</v>
      </c>
    </row>
    <row r="20902" ht="15.75" customHeight="1">
      <c r="A20902" s="2" t="s">
        <v>20902</v>
      </c>
      <c r="B20902" s="2" t="str">
        <f>IFERROR(__xludf.DUMMYFUNCTION("GOOGLETRANSLATE(A20902, ""en"", ""mt"")"),"rally pep")</f>
        <v>rally pep</v>
      </c>
    </row>
    <row r="20903" ht="15.75" customHeight="1">
      <c r="A20903" s="2" t="s">
        <v>20903</v>
      </c>
      <c r="B20903" s="2" t="str">
        <f>IFERROR(__xludf.DUMMYFUNCTION("GOOGLETRANSLATE(A20903, ""en"", ""mt"")"),"Fluttwazzjonijiet fil-klima matul l-aħħar 34 miljun sena")</f>
        <v>Fluttwazzjonijiet fil-klima matul l-aħħar 34 miljun sena</v>
      </c>
    </row>
    <row r="20904" ht="15.75" customHeight="1">
      <c r="A20904" s="2" t="s">
        <v>20904</v>
      </c>
      <c r="B20904" s="2" t="str">
        <f>IFERROR(__xludf.DUMMYFUNCTION("GOOGLETRANSLATE(A20904, ""en"", ""mt"")"),"Min kien fil-kmand tal-forzi militari Ġermaniżi?")</f>
        <v>Min kien fil-kmand tal-forzi militari Ġermaniżi?</v>
      </c>
    </row>
    <row r="20905" ht="15.75" customHeight="1">
      <c r="A20905" s="2" t="s">
        <v>20905</v>
      </c>
      <c r="B20905" s="2" t="str">
        <f>IFERROR(__xludf.DUMMYFUNCTION("GOOGLETRANSLATE(A20905, ""en"", ""mt"")"),"Liema belt hija l-kapitali ta 'Victoria?")</f>
        <v>Liema belt hija l-kapitali ta 'Victoria?</v>
      </c>
    </row>
    <row r="20906" ht="15.75" customHeight="1">
      <c r="A20906" s="2" t="s">
        <v>20906</v>
      </c>
      <c r="B20906" s="2" t="str">
        <f>IFERROR(__xludf.DUMMYFUNCTION("GOOGLETRANSLATE(A20906, ""en"", ""mt"")"),"il-Paċifiku")</f>
        <v>il-Paċifiku</v>
      </c>
    </row>
    <row r="20907" ht="15.75" customHeight="1">
      <c r="A20907" s="2" t="s">
        <v>20907</v>
      </c>
      <c r="B20907" s="2" t="str">
        <f>IFERROR(__xludf.DUMMYFUNCTION("GOOGLETRANSLATE(A20907, ""en"", ""mt"")"),"Bħala forza strutturali")</f>
        <v>Bħala forza strutturali</v>
      </c>
    </row>
    <row r="20908" ht="15.75" customHeight="1">
      <c r="A20908" s="2" t="s">
        <v>20908</v>
      </c>
      <c r="B20908" s="2" t="str">
        <f>IFERROR(__xludf.DUMMYFUNCTION("GOOGLETRANSLATE(A20908, ""en"", ""mt"")"),"Ġenna Eterna")</f>
        <v>Ġenna Eterna</v>
      </c>
    </row>
    <row r="20909" ht="15.75" customHeight="1">
      <c r="A20909" s="2" t="s">
        <v>20909</v>
      </c>
      <c r="B20909" s="2" t="str">
        <f>IFERROR(__xludf.DUMMYFUNCTION("GOOGLETRANSLATE(A20909, ""en"", ""mt"")"),"X'inhu maħsub b'mod żbaljat dwar il-membrana tal-kloroplast ta 'barra?")</f>
        <v>X'inhu maħsub b'mod żbaljat dwar il-membrana tal-kloroplast ta 'barra?</v>
      </c>
    </row>
    <row r="20910" ht="15.75" customHeight="1">
      <c r="A20910" s="2" t="s">
        <v>20910</v>
      </c>
      <c r="B20910" s="2" t="str">
        <f>IFERROR(__xludf.DUMMYFUNCTION("GOOGLETRANSLATE(A20910, ""en"", ""mt"")"),"Atra Mors")</f>
        <v>Atra Mors</v>
      </c>
    </row>
    <row r="20911" ht="15.75" customHeight="1">
      <c r="A20911" s="2" t="s">
        <v>20911</v>
      </c>
      <c r="B20911" s="2" t="str">
        <f>IFERROR(__xludf.DUMMYFUNCTION("GOOGLETRANSLATE(A20911, ""en"", ""mt"")"),"Liema teorema tiddefinixxi r-rwol ewlieni tal-primes fit-teorija tan-numri?")</f>
        <v>Liema teorema tiddefinixxi r-rwol ewlieni tal-primes fit-teorija tan-numri?</v>
      </c>
    </row>
    <row r="20912" ht="15.75" customHeight="1">
      <c r="A20912" s="2" t="s">
        <v>20912</v>
      </c>
      <c r="B20912" s="2" t="str">
        <f>IFERROR(__xludf.DUMMYFUNCTION("GOOGLETRANSLATE(A20912, ""en"", ""mt"")"),"X'għan għandhom ħafna minn dawn il-protesti?")</f>
        <v>X'għan għandhom ħafna minn dawn il-protesti?</v>
      </c>
    </row>
    <row r="20913" ht="15.75" customHeight="1">
      <c r="A20913" s="2" t="s">
        <v>20913</v>
      </c>
      <c r="B20913" s="2" t="str">
        <f>IFERROR(__xludf.DUMMYFUNCTION("GOOGLETRANSLATE(A20913, ""en"", ""mt"")"),"kriptofita")</f>
        <v>kriptofita</v>
      </c>
    </row>
    <row r="20914" ht="15.75" customHeight="1">
      <c r="A20914" s="2" t="s">
        <v>20914</v>
      </c>
      <c r="B20914" s="2" t="str">
        <f>IFERROR(__xludf.DUMMYFUNCTION("GOOGLETRANSLATE(A20914, ""en"", ""mt"")"),"Liema kreaturi kienu l-aktar monsters popolari fis-serje?")</f>
        <v>Liema kreaturi kienu l-aktar monsters popolari fis-serje?</v>
      </c>
    </row>
    <row r="20915" ht="15.75" customHeight="1">
      <c r="A20915" s="2" t="s">
        <v>20915</v>
      </c>
      <c r="B20915" s="2" t="str">
        <f>IFERROR(__xludf.DUMMYFUNCTION("GOOGLETRANSLATE(A20915, ""en"", ""mt"")"),"Liema skola kienet Walter Camp kaptan għat-tim tal-futbol?")</f>
        <v>Liema skola kienet Walter Camp kaptan għat-tim tal-futbol?</v>
      </c>
    </row>
    <row r="20916" ht="15.75" customHeight="1">
      <c r="A20916" s="2" t="s">
        <v>20916</v>
      </c>
      <c r="B20916" s="2" t="str">
        <f>IFERROR(__xludf.DUMMYFUNCTION("GOOGLETRANSLATE(A20916, ""en"", ""mt"")"),"bi ħlas għal kull unità ta 'informazzjoni trażmessa")</f>
        <v>bi ħlas għal kull unità ta 'informazzjoni trażmessa</v>
      </c>
    </row>
    <row r="20917" ht="15.75" customHeight="1">
      <c r="A20917" s="2" t="s">
        <v>20917</v>
      </c>
      <c r="B20917" s="2" t="str">
        <f>IFERROR(__xludf.DUMMYFUNCTION("GOOGLETRANSLATE(A20917, ""en"", ""mt"")"),"Spiżjara biss")</f>
        <v>Spiżjara biss</v>
      </c>
    </row>
    <row r="20918" ht="15.75" customHeight="1">
      <c r="A20918" s="2" t="s">
        <v>20918</v>
      </c>
      <c r="B20918" s="2" t="str">
        <f>IFERROR(__xludf.DUMMYFUNCTION("GOOGLETRANSLATE(A20918, ""en"", ""mt"")"),"Il-livell sekondarju jinkludi skejjel li joffru snin 7 sa 12 (is-sena tnax huwa magħruf bħala s-sitt inqas) u s-sena 13 (is-sitta ta ’fuq). Din il-kategorija tinkludi skejjel preparatorji universitarji jew ""skejjel ta 'prep"", skejjel ta' l-imbark u skej"&amp;"jel ta 'kuljum. It-tagħlim fi skejjel sekondarji privati ​​jvarja minn skola għal skola u jiddependi fuq ħafna fatturi, inkluż il-post tal-iskola, ir-rieda tal-ġenituri li jħallsu, tagħlim bejn il-pari u d-dotazzjoni finanzjarja tal-iskola. Tagħlim għoli,"&amp;" pretensjoni tal-iskejjel, jintuża biex iħallas salarji ogħla għall-aħjar għalliema u jintuża wkoll biex jipprovdi ambjenti ta 'tagħlim arrikkiti, inkluż proporzjon baxx ta' student għal għalliem, daqsijiet u servizzi ta 'klassi żgħira, bħal libreriji, la"&amp;"boratorji tax-xjenza u kompjuters. Uħud mill-iskejjel privati ​​huma skejjel imbarkati u ħafna akkademji militari huma proprjetà jew operati privati ​​wkoll.")</f>
        <v>Il-livell sekondarju jinkludi skejjel li joffru snin 7 sa 12 (is-sena tnax huwa magħruf bħala s-sitt inqas) u s-sena 13 (is-sitta ta ’fuq). Din il-kategorija tinkludi skejjel preparatorji universitarji jew "skejjel ta 'prep", skejjel ta' l-imbark u skejjel ta 'kuljum. It-tagħlim fi skejjel sekondarji privati ​​jvarja minn skola għal skola u jiddependi fuq ħafna fatturi, inkluż il-post tal-iskola, ir-rieda tal-ġenituri li jħallsu, tagħlim bejn il-pari u d-dotazzjoni finanzjarja tal-iskola. Tagħlim għoli, pretensjoni tal-iskejjel, jintuża biex iħallas salarji ogħla għall-aħjar għalliema u jintuża wkoll biex jipprovdi ambjenti ta 'tagħlim arrikkiti, inkluż proporzjon baxx ta' student għal għalliem, daqsijiet u servizzi ta 'klassi żgħira, bħal libreriji, laboratorji tax-xjenza u kompjuters. Uħud mill-iskejjel privati ​​huma skejjel imbarkati u ħafna akkademji militari huma proprjetà jew operati privati ​​wkoll.</v>
      </c>
    </row>
    <row r="20919" ht="15.75" customHeight="1">
      <c r="A20919" s="2" t="s">
        <v>20919</v>
      </c>
      <c r="B20919" s="2" t="str">
        <f>IFERROR(__xludf.DUMMYFUNCTION("GOOGLETRANSLATE(A20919, ""en"", ""mt"")"),"Immunosoppressivi")</f>
        <v>Immunosoppressivi</v>
      </c>
    </row>
    <row r="20920" ht="15.75" customHeight="1">
      <c r="A20920" s="2" t="s">
        <v>20920</v>
      </c>
      <c r="B20920" s="2" t="str">
        <f>IFERROR(__xludf.DUMMYFUNCTION("GOOGLETRANSLATE(A20920, ""en"", ""mt"")"),"Han Ċiniż u Khitans")</f>
        <v>Han Ċiniż u Khitans</v>
      </c>
    </row>
    <row r="20921" ht="15.75" customHeight="1">
      <c r="A20921" s="2" t="s">
        <v>20921</v>
      </c>
      <c r="B20921" s="2" t="str">
        <f>IFERROR(__xludf.DUMMYFUNCTION("GOOGLETRANSLATE(A20921, ""en"", ""mt"")"),"X'kien iċ-Ċentru tal-Assemblea Pinedale?")</f>
        <v>X'kien iċ-Ċentru tal-Assemblea Pinedale?</v>
      </c>
    </row>
    <row r="20922" ht="15.75" customHeight="1">
      <c r="A20922" s="2" t="s">
        <v>20922</v>
      </c>
      <c r="B20922" s="2" t="str">
        <f>IFERROR(__xludf.DUMMYFUNCTION("GOOGLETRANSLATE(A20922, ""en"", ""mt"")"),"X'kien l-isem tal-ewwel Doctor Who Radio Drama?")</f>
        <v>X'kien l-isem tal-ewwel Doctor Who Radio Drama?</v>
      </c>
    </row>
    <row r="20923" ht="15.75" customHeight="1">
      <c r="A20923" s="2" t="s">
        <v>20923</v>
      </c>
      <c r="B20923" s="2" t="str">
        <f>IFERROR(__xludf.DUMMYFUNCTION("GOOGLETRANSLATE(A20923, ""en"", ""mt"")"),"Problema tal-komputazzjoni tista 'titqies bħala ġabra infinita ta' każijiet flimkien ma 'soluzzjoni għal kull istanza. Is-sekwenza tal-input għal problema tal-komputazzjoni hija msejħa bħala problema ta 'problema, u m'għandhiex titħawwad mal-problema nnif"&amp;"isha. Fit-teorija tal-kumplessità tal-komputazzjoni, problema tirreferi għall-kwistjoni astratta li trid tissolva. B'kuntrast, eżempju ta 'din il-problema huwa kelma pjuttost konkreta, li tista' sservi bħala l-kontribut għal problema ta 'deċiżjoni. Pereże"&amp;"mpju, ikkunsidra l-problema tal-ittestjar tal-primalità. L-istanza hija numru (eż. 15) u s-soluzzjoni hija ""iva"" jekk in-numru huwa prim u ""le"" mod ieħor (f'dan il-każ ""le""). Iddikjarat mod ieħor, l-istanza hija input partikolari għall-problema, u s"&amp;"-soluzzjoni hija l-output li jikkorrispondi għall-input mogħti.")</f>
        <v>Problema tal-komputazzjoni tista 'titqies bħala ġabra infinita ta' każijiet flimkien ma 'soluzzjoni għal kull istanza. Is-sekwenza tal-input għal problema tal-komputazzjoni hija msejħa bħala problema ta 'problema, u m'għandhiex titħawwad mal-problema nnifisha. Fit-teorija tal-kumplessità tal-komputazzjoni, problema tirreferi għall-kwistjoni astratta li trid tissolva. B'kuntrast, eżempju ta 'din il-problema huwa kelma pjuttost konkreta, li tista' sservi bħala l-kontribut għal problema ta 'deċiżjoni. Pereżempju, ikkunsidra l-problema tal-ittestjar tal-primalità. L-istanza hija numru (eż. 15) u s-soluzzjoni hija "iva" jekk in-numru huwa prim u "le" mod ieħor (f'dan il-każ "le"). Iddikjarat mod ieħor, l-istanza hija input partikolari għall-problema, u s-soluzzjoni hija l-output li jikkorrispondi għall-input mogħti.</v>
      </c>
    </row>
    <row r="20924" ht="15.75" customHeight="1">
      <c r="A20924" s="2" t="s">
        <v>20924</v>
      </c>
      <c r="B20924" s="2" t="str">
        <f>IFERROR(__xludf.DUMMYFUNCTION("GOOGLETRANSLATE(A20924, ""en"", ""mt"")"),"Liema belt fil-fatt ingħatat lill-Huguenots mal-wasla?")</f>
        <v>Liema belt fil-fatt ingħatat lill-Huguenots mal-wasla?</v>
      </c>
    </row>
    <row r="20925" ht="15.75" customHeight="1">
      <c r="A20925" s="2" t="s">
        <v>20925</v>
      </c>
      <c r="B20925" s="2" t="str">
        <f>IFERROR(__xludf.DUMMYFUNCTION("GOOGLETRANSLATE(A20925, ""en"", ""mt"")"),"l-aristokrazija tradizzjonali Mongoljana")</f>
        <v>l-aristokrazija tradizzjonali Mongoljana</v>
      </c>
    </row>
    <row r="20926" ht="15.75" customHeight="1">
      <c r="A20926" s="2" t="s">
        <v>20926</v>
      </c>
      <c r="B20926" s="2" t="str">
        <f>IFERROR(__xludf.DUMMYFUNCTION("GOOGLETRANSLATE(A20926, ""en"", ""mt"")"),"Meta l-BBC irċeviet sentenza favorevoli fuq it-talba tat-trade mark?")</f>
        <v>Meta l-BBC irċeviet sentenza favorevoli fuq it-talba tat-trade mark?</v>
      </c>
    </row>
    <row r="20927" ht="15.75" customHeight="1">
      <c r="A20927" s="2" t="s">
        <v>20927</v>
      </c>
      <c r="B20927" s="2" t="str">
        <f>IFERROR(__xludf.DUMMYFUNCTION("GOOGLETRANSLATE(A20927, ""en"", ""mt"")"),"Tate Brittanja")</f>
        <v>Tate Brittanja</v>
      </c>
    </row>
    <row r="20928" ht="15.75" customHeight="1">
      <c r="A20928" s="2" t="s">
        <v>20928</v>
      </c>
      <c r="B20928" s="2" t="str">
        <f>IFERROR(__xludf.DUMMYFUNCTION("GOOGLETRANSLATE(A20928, ""en"", ""mt"")"),"Kif huma kklassifikati l-forzi fir-rigward ta 'Push u Pull Strengt?")</f>
        <v>Kif huma kklassifikati l-forzi fir-rigward ta 'Push u Pull Strengt?</v>
      </c>
    </row>
    <row r="20929" ht="15.75" customHeight="1">
      <c r="A20929" s="2" t="s">
        <v>20929</v>
      </c>
      <c r="B20929" s="2" t="str">
        <f>IFERROR(__xludf.DUMMYFUNCTION("GOOGLETRANSLATE(A20929, ""en"", ""mt"")"),"Christchurch")</f>
        <v>Christchurch</v>
      </c>
    </row>
    <row r="20930" ht="15.75" customHeight="1">
      <c r="A20930" s="2" t="s">
        <v>20930</v>
      </c>
      <c r="B20930" s="2" t="str">
        <f>IFERROR(__xludf.DUMMYFUNCTION("GOOGLETRANSLATE(A20930, ""en"", ""mt"")"),"X'għandu l-evitar tal-irġiel biex isiru għalliema kkawżati, f'xi oqsma?")</f>
        <v>X'għandu l-evitar tal-irġiel biex isiru għalliema kkawżati, f'xi oqsma?</v>
      </c>
    </row>
    <row r="20931" ht="15.75" customHeight="1">
      <c r="A20931" s="2" t="s">
        <v>20931</v>
      </c>
      <c r="B20931" s="2" t="str">
        <f>IFERROR(__xludf.DUMMYFUNCTION("GOOGLETRANSLATE(A20931, ""en"", ""mt"")"),"2,869")</f>
        <v>2,869</v>
      </c>
    </row>
    <row r="20932" ht="15.75" customHeight="1">
      <c r="A20932" s="2" t="s">
        <v>20932</v>
      </c>
      <c r="B20932" s="2" t="str">
        <f>IFERROR(__xludf.DUMMYFUNCTION("GOOGLETRANSLATE(A20932, ""en"", ""mt"")"),"Liema netwerk avviċina lil Walt Disney dwar il-produzzjoni ta 'xandiriet bil-kulur tas-serje tal-antoloġija tiegħu?")</f>
        <v>Liema netwerk avviċina lil Walt Disney dwar il-produzzjoni ta 'xandiriet bil-kulur tas-serje tal-antoloġija tiegħu?</v>
      </c>
    </row>
    <row r="20933" ht="15.75" customHeight="1">
      <c r="A20933" s="2" t="s">
        <v>20933</v>
      </c>
      <c r="B20933" s="2" t="str">
        <f>IFERROR(__xludf.DUMMYFUNCTION("GOOGLETRANSLATE(A20933, ""en"", ""mt"")"),"Mudelli ta 'unifikazzjoni awto-konsistenti li jgħaqqdu l-erba' interazzjonijiet fundamentali kollha")</f>
        <v>Mudelli ta 'unifikazzjoni awto-konsistenti li jgħaqqdu l-erba' interazzjonijiet fundamentali kollha</v>
      </c>
    </row>
    <row r="20934" ht="15.75" customHeight="1">
      <c r="A20934" s="2" t="s">
        <v>20934</v>
      </c>
      <c r="B20934" s="2" t="str">
        <f>IFERROR(__xludf.DUMMYFUNCTION("GOOGLETRANSLATE(A20934, ""en"", ""mt"")"),"B'mod ġenerali, filwaqt li l-istati membri kollha jirrikonoxxu li l-liġi tal-UE tieħu l-preminenza fuq il-liġi nazzjonali fejn din qablu fit-trattati, huma ma jaċċettawx li l-Qorti tal-Ġustizzja għandha l-aħħar kelma dwar mistoqsijiet kostituzzjonali fund"&amp;"amentali li jaffettwaw id-demokrazija u d-drittijiet tal-bniedem. Fir-Renju Unit, il-prinċipju bażiku huwa li l-Parlament, bħala l-espressjoni sovrana tal-leġittimità demokratika, jista 'jiddeċiedi jekk jixtieqx jilleġiżla espressament kontra l-liġi tal-U"&amp;"E. Dan, madankollu, iseħħ biss fil-każ ta 'xewqa espressa tan-nies li jirtiraw mill-UE. Inżamm f'R (Factortame Ltd) v Segretarju ta 'l-Istat għat-Trasport li ""tkun xi tkun il-limitazzjoni tal-Parlament tas-Sovranità tagħha aċċettata meta ppromulgat l-Att"&amp;" dwar il-Komunitajiet Ewropej tal-1972 kien kompletament volontarju"" u għalhekk ""dejjem kien ċar"" li l-qrati tar-Renju Unit għandhom dmir ""li twarrab kwalunkwe regola tad-dritt nazzjonali li tinstab f'kunflitt ma 'kwalunkwe regola direttament infurzab"&amp;"bli tal-liġi tal-komunità."" Aktar reċentement il-Qorti Suprema tar-Renju Unit innotat li f'R (HS2 Action Alliance Ltd) v Segretarju ta 'l-Istat għat-Trasport, għalkemm il-Kostituzzjoni tar-Renju Unit mhix ikkodifikata, jista' jkun hemm ""prinċipji fundam"&amp;"entali"" tal-liġi komuni, u l-Parlament ""ma kkontemplax jew jawtorizza L-abrogazzjoni ""ta 'dawk il-prinċipji meta ppromulgat l-Att dwar il-Komunitajiet Ewropej 1972. Il-fehma tal-Qorti Kostituzzjonali Ġermaniża mid-deċiżjonijiet ta' Solange I u Solange "&amp;"II hija li jekk l-UE ma tikkonformax mad-drittijiet u l-prinċipji kostituzzjonali bażiċi tagħha (partikolarment id-demokrazija, l-istat tad-dritt u l-prinċipji tal-istat soċjali) allura ma jistax jwarrab il-liġi Ġermaniża. Madankollu, hekk kif imorru l-la"&amp;"qmijiet tas-sentenzi, ""sakemm"" l-UE taħdem lejn id-demokratizzazzjoni tal-istituzzjonijiet tagħha, u għandha qafas li jipproteġi d-drittijiet fundamentali tal-bniedem, ma jirrevedix il-leġislazzjoni tal-UE għall-kompatibilità mal-prinċipji kostituzzjona"&amp;"li Ġermaniżi. Ħafna mill-Istati Membri l-oħra esprimew riservi simili. Dan jissuġġerixxi li l-leġittimità tal-UE tistrieħ fuq l-awtorità aħħarija tal-istati membri, l-impenn fattwali tagħha għad-drittijiet tal-bniedem, u r-rieda demokratika tal-poplu.")</f>
        <v>B'mod ġenerali, filwaqt li l-istati membri kollha jirrikonoxxu li l-liġi tal-UE tieħu l-preminenza fuq il-liġi nazzjonali fejn din qablu fit-trattati, huma ma jaċċettawx li l-Qorti tal-Ġustizzja għandha l-aħħar kelma dwar mistoqsijiet kostituzzjonali fundamentali li jaffettwaw id-demokrazija u d-drittijiet tal-bniedem. Fir-Renju Unit, il-prinċipju bażiku huwa li l-Parlament, bħala l-espressjoni sovrana tal-leġittimità demokratika, jista 'jiddeċiedi jekk jixtieqx jilleġiżla espressament kontra l-liġi tal-UE. Dan, madankollu, iseħħ biss fil-każ ta 'xewqa espressa tan-nies li jirtiraw mill-UE. Inżamm f'R (Factortame Ltd) v Segretarju ta 'l-Istat għat-Trasport li "tkun xi tkun il-limitazzjoni tal-Parlament tas-Sovranità tagħha aċċettata meta ppromulgat l-Att dwar il-Komunitajiet Ewropej tal-1972 kien kompletament volontarju" u għalhekk "dejjem kien ċar" li l-qrati tar-Renju Unit għandhom dmir "li twarrab kwalunkwe regola tad-dritt nazzjonali li tinstab f'kunflitt ma 'kwalunkwe regola direttament infurzabbli tal-liġi tal-komunità." Aktar reċentement il-Qorti Suprema tar-Renju Unit innotat li f'R (HS2 Action Alliance Ltd) v Segretarju ta 'l-Istat għat-Trasport, għalkemm il-Kostituzzjoni tar-Renju Unit mhix ikkodifikata, jista' jkun hemm "prinċipji fundamentali" tal-liġi komuni, u l-Parlament "ma kkontemplax jew jawtorizza L-abrogazzjoni "ta 'dawk il-prinċipji meta ppromulgat l-Att dwar il-Komunitajiet Ewropej 1972. Il-fehma tal-Qorti Kostituzzjonali Ġermaniża mid-deċiżjonijiet ta' Solange I u Solange II hija li jekk l-UE ma tikkonformax mad-drittijiet u l-prinċipji kostituzzjonali bażiċi tagħha (partikolarment id-demokrazija, l-istat tad-dritt u l-prinċipji tal-istat soċjali) allura ma jistax jwarrab il-liġi Ġermaniża. Madankollu, hekk kif imorru l-laqmijiet tas-sentenzi, "sakemm" l-UE taħdem lejn id-demokratizzazzjoni tal-istituzzjonijiet tagħha, u għandha qafas li jipproteġi d-drittijiet fundamentali tal-bniedem, ma jirrevedix il-leġislazzjoni tal-UE għall-kompatibilità mal-prinċipji kostituzzjonali Ġermaniżi. Ħafna mill-Istati Membri l-oħra esprimew riservi simili. Dan jissuġġerixxi li l-leġittimità tal-UE tistrieħ fuq l-awtorità aħħarija tal-istati membri, l-impenn fattwali tagħha għad-drittijiet tal-bniedem, u r-rieda demokratika tal-poplu.</v>
      </c>
    </row>
    <row r="20935" ht="15.75" customHeight="1">
      <c r="A20935" s="2" t="s">
        <v>20935</v>
      </c>
      <c r="B20935" s="2" t="str">
        <f>IFERROR(__xludf.DUMMYFUNCTION("GOOGLETRANSLATE(A20935, ""en"", ""mt"")"),"Università ta ’Wittenberg.")</f>
        <v>Università ta ’Wittenberg.</v>
      </c>
    </row>
    <row r="20936" ht="15.75" customHeight="1">
      <c r="A20936" s="2" t="s">
        <v>20936</v>
      </c>
      <c r="B20936" s="2" t="str">
        <f>IFERROR(__xludf.DUMMYFUNCTION("GOOGLETRANSLATE(A20936, ""en"", ""mt"")"),"Ara ABC")</f>
        <v>Ara ABC</v>
      </c>
    </row>
    <row r="20937" ht="15.75" customHeight="1">
      <c r="A20937" s="2" t="s">
        <v>20937</v>
      </c>
      <c r="B20937" s="2" t="str">
        <f>IFERROR(__xludf.DUMMYFUNCTION("GOOGLETRANSLATE(A20937, ""en"", ""mt"")"),"Tumuri li kapaċi jevadu r-rispons immuni tal-ġisem jistgħu jsiru xiex?")</f>
        <v>Tumuri li kapaċi jevadu r-rispons immuni tal-ġisem jistgħu jsiru xiex?</v>
      </c>
    </row>
    <row r="20938" ht="15.75" customHeight="1">
      <c r="A20938" s="2" t="s">
        <v>20938</v>
      </c>
      <c r="B20938" s="2" t="str">
        <f>IFERROR(__xludf.DUMMYFUNCTION("GOOGLETRANSLATE(A20938, ""en"", ""mt"")"),"Erba 'rġiel li jattendu l-Kulleġġ ta' Harvard għal kull mara li tistudja f'Radcliffe")</f>
        <v>Erba 'rġiel li jattendu l-Kulleġġ ta' Harvard għal kull mara li tistudja f'Radcliffe</v>
      </c>
    </row>
    <row r="20939" ht="15.75" customHeight="1">
      <c r="A20939" s="2" t="s">
        <v>20939</v>
      </c>
      <c r="B20939" s="2" t="str">
        <f>IFERROR(__xludf.DUMMYFUNCTION("GOOGLETRANSLATE(A20939, ""en"", ""mt"")"),"Il-lott kuntrattat ta '15 -il Saturn Vs kienu biżżejjed għall-missjonijiet tal-inżul Lunar permezz ta 'Apollo 20. In-NASA rreklamat lista preliminari ta' tmien siti ta 'ħatt l-oħra ppjanati, bi pjanijiet biex tiżdied il-massa tas-CSM u l-LM għall-aħħar ħa"&amp;"mes missjonijiet, flimkien mal-piż Kapaċità tas-Saturnu V. Dawn il-missjonijiet finali jgħaqqdu t-tipi I u J fil-lista tal-1967, li tippermetti lis-CMP tħaddem pakkett ta 'sensuri orbitali lunari u kameras waqt li l-kumpanji tiegħu kienu fuq il-wiċċ, u ji"&amp;"ppermettulhom jibqgħu fuq il-qamar għal aktar minn tlett ijiem. Dawn il-missjonijiet iġorru wkoll il-Vettura Lunar Roving (LRV) iżżid iż-żona ta 'esplorazzjoni u tippermetti t-tneħħija televiżiva tal-LM. Ukoll, l-ispazjar tal-Blokk II ġie rivedut għall-mi"&amp;"ssjonijiet estiżi biex jippermettu flessibilità u viżibilità akbar għas-sewqan tal-LRV.")</f>
        <v>Il-lott kuntrattat ta '15 -il Saturn Vs kienu biżżejjed għall-missjonijiet tal-inżul Lunar permezz ta 'Apollo 20. In-NASA rreklamat lista preliminari ta' tmien siti ta 'ħatt l-oħra ppjanati, bi pjanijiet biex tiżdied il-massa tas-CSM u l-LM għall-aħħar ħames missjonijiet, flimkien mal-piż Kapaċità tas-Saturnu V. Dawn il-missjonijiet finali jgħaqqdu t-tipi I u J fil-lista tal-1967, li tippermetti lis-CMP tħaddem pakkett ta 'sensuri orbitali lunari u kameras waqt li l-kumpanji tiegħu kienu fuq il-wiċċ, u jippermettulhom jibqgħu fuq il-qamar għal aktar minn tlett ijiem. Dawn il-missjonijiet iġorru wkoll il-Vettura Lunar Roving (LRV) iżżid iż-żona ta 'esplorazzjoni u tippermetti t-tneħħija televiżiva tal-LM. Ukoll, l-ispazjar tal-Blokk II ġie rivedut għall-missjonijiet estiżi biex jippermettu flessibilità u viżibilità akbar għas-sewqan tal-LRV.</v>
      </c>
    </row>
    <row r="20940" ht="15.75" customHeight="1">
      <c r="A20940" s="2" t="s">
        <v>20940</v>
      </c>
      <c r="B20940" s="2" t="str">
        <f>IFERROR(__xludf.DUMMYFUNCTION("GOOGLETRANSLATE(A20940, ""en"", ""mt"")"),"Min hu l-President ta 'Tumas?")</f>
        <v>Min hu l-President ta 'Tumas?</v>
      </c>
    </row>
    <row r="20941" ht="15.75" customHeight="1">
      <c r="A20941" s="2" t="s">
        <v>20941</v>
      </c>
      <c r="B20941" s="2" t="str">
        <f>IFERROR(__xludf.DUMMYFUNCTION("GOOGLETRANSLATE(A20941, ""en"", ""mt"")"),"Perjodu ta ’nofs il-Kambrian")</f>
        <v>Perjodu ta ’nofs il-Kambrian</v>
      </c>
    </row>
    <row r="20942" ht="15.75" customHeight="1">
      <c r="A20942" s="2" t="s">
        <v>20942</v>
      </c>
      <c r="B20942" s="2" t="str">
        <f>IFERROR(__xludf.DUMMYFUNCTION("GOOGLETRANSLATE(A20942, ""en"", ""mt"")"),"sekwenza")</f>
        <v>sekwenza</v>
      </c>
    </row>
    <row r="20943" ht="15.75" customHeight="1">
      <c r="A20943" s="2" t="s">
        <v>20943</v>
      </c>
      <c r="B20943" s="2" t="str">
        <f>IFERROR(__xludf.DUMMYFUNCTION("GOOGLETRANSLATE(A20943, ""en"", ""mt"")"),"X'kienet is-sinifikat tar-rebħa fil-Forth Niagara għall-Ingliżi?")</f>
        <v>X'kienet is-sinifikat tar-rebħa fil-Forth Niagara għall-Ingliżi?</v>
      </c>
    </row>
    <row r="20944" ht="15.75" customHeight="1">
      <c r="A20944" s="2" t="s">
        <v>20944</v>
      </c>
      <c r="B20944" s="2" t="str">
        <f>IFERROR(__xludf.DUMMYFUNCTION("GOOGLETRANSLATE(A20944, ""en"", ""mt"")"),"Tmiem il-vjaġġ")</f>
        <v>Tmiem il-vjaġġ</v>
      </c>
    </row>
    <row r="20945" ht="15.75" customHeight="1">
      <c r="A20945" s="2" t="s">
        <v>20945</v>
      </c>
      <c r="B20945" s="2" t="str">
        <f>IFERROR(__xludf.DUMMYFUNCTION("GOOGLETRANSLATE(A20945, ""en"", ""mt"")"),"Johann Sebastian Bach")</f>
        <v>Johann Sebastian Bach</v>
      </c>
    </row>
    <row r="20946" ht="15.75" customHeight="1">
      <c r="A20946" s="2" t="s">
        <v>20946</v>
      </c>
      <c r="B20946" s="2" t="str">
        <f>IFERROR(__xludf.DUMMYFUNCTION("GOOGLETRANSLATE(A20946, ""en"", ""mt"")"),"CA. 2 miljun")</f>
        <v>CA. 2 miljun</v>
      </c>
    </row>
    <row r="20947" ht="15.75" customHeight="1">
      <c r="A20947" s="2" t="s">
        <v>20947</v>
      </c>
      <c r="B20947" s="2" t="str">
        <f>IFERROR(__xludf.DUMMYFUNCTION("GOOGLETRANSLATE(A20947, ""en"", ""mt"")"),"miżata għal kull unità ta 'informazzjoni trażmessa")</f>
        <v>miżata għal kull unità ta 'informazzjoni trażmessa</v>
      </c>
    </row>
    <row r="20948" ht="15.75" customHeight="1">
      <c r="A20948" s="2" t="s">
        <v>20948</v>
      </c>
      <c r="B20948" s="2" t="str">
        <f>IFERROR(__xludf.DUMMYFUNCTION("GOOGLETRANSLATE(A20948, ""en"", ""mt"")"),"Liema kosta tmiss in-Nofsinhar ta 'California?")</f>
        <v>Liema kosta tmiss in-Nofsinhar ta 'California?</v>
      </c>
    </row>
    <row r="20949" ht="15.75" customHeight="1">
      <c r="A20949" s="2" t="s">
        <v>20949</v>
      </c>
      <c r="B20949" s="2" t="str">
        <f>IFERROR(__xludf.DUMMYFUNCTION("GOOGLETRANSLATE(A20949, ""en"", ""mt"")"),"X'kien l-ewwel apparat li jaħdem bil-fwar użat kummerċjalment?")</f>
        <v>X'kien l-ewwel apparat li jaħdem bil-fwar użat kummerċjalment?</v>
      </c>
    </row>
    <row r="20950" ht="15.75" customHeight="1">
      <c r="A20950" s="2" t="s">
        <v>20950</v>
      </c>
      <c r="B20950" s="2" t="str">
        <f>IFERROR(__xludf.DUMMYFUNCTION("GOOGLETRANSLATE(A20950, ""en"", ""mt"")"),"Missier")</f>
        <v>Missier</v>
      </c>
    </row>
    <row r="20951" ht="15.75" customHeight="1">
      <c r="A20951" s="2" t="s">
        <v>20951</v>
      </c>
      <c r="B20951" s="2" t="str">
        <f>IFERROR(__xludf.DUMMYFUNCTION("GOOGLETRANSLATE(A20951, ""en"", ""mt"")"),"Liema poeta Ġermaniż kien imnissel minn Huguenots?")</f>
        <v>Liema poeta Ġermaniż kien imnissel minn Huguenots?</v>
      </c>
    </row>
    <row r="20952" ht="15.75" customHeight="1">
      <c r="A20952" s="2" t="s">
        <v>20952</v>
      </c>
      <c r="B20952" s="2" t="str">
        <f>IFERROR(__xludf.DUMMYFUNCTION("GOOGLETRANSLATE(A20952, ""en"", ""mt"")"),"Dak li jopponi direttament il-forza applikata biex tiċċaqlaq oġġett minn wiċċ?")</f>
        <v>Dak li jopponi direttament il-forza applikata biex tiċċaqlaq oġġett minn wiċċ?</v>
      </c>
    </row>
    <row r="20953" ht="15.75" customHeight="1">
      <c r="A20953" s="2" t="s">
        <v>20953</v>
      </c>
      <c r="B20953" s="2" t="str">
        <f>IFERROR(__xludf.DUMMYFUNCTION("GOOGLETRANSLATE(A20953, ""en"", ""mt"")"),"miżura ta 'kumplessità")</f>
        <v>miżura ta 'kumplessità</v>
      </c>
    </row>
    <row r="20954" ht="15.75" customHeight="1">
      <c r="A20954" s="2" t="s">
        <v>20954</v>
      </c>
      <c r="B20954" s="2" t="str">
        <f>IFERROR(__xludf.DUMMYFUNCTION("GOOGLETRANSLATE(A20954, ""en"", ""mt"")"),"Imnissel minn Italo-Norman jismu Raoul")</f>
        <v>Imnissel minn Italo-Norman jismu Raoul</v>
      </c>
    </row>
    <row r="20955" ht="15.75" customHeight="1">
      <c r="A20955" s="2" t="s">
        <v>20955</v>
      </c>
      <c r="B20955" s="2" t="str">
        <f>IFERROR(__xludf.DUMMYFUNCTION("GOOGLETRANSLATE(A20955, ""en"", ""mt"")"),"It-2 seklu BCE")</f>
        <v>It-2 seklu BCE</v>
      </c>
    </row>
    <row r="20956" ht="15.75" customHeight="1">
      <c r="A20956" s="2" t="s">
        <v>20956</v>
      </c>
      <c r="B20956" s="2" t="str">
        <f>IFERROR(__xludf.DUMMYFUNCTION("GOOGLETRANSLATE(A20956, ""en"", ""mt"")"),"Dinosawri")</f>
        <v>Dinosawri</v>
      </c>
    </row>
    <row r="20957" ht="15.75" customHeight="1">
      <c r="A20957" s="2" t="s">
        <v>20957</v>
      </c>
      <c r="B20957" s="2" t="str">
        <f>IFERROR(__xludf.DUMMYFUNCTION("GOOGLETRANSLATE(A20957, ""en"", ""mt"")"),"Metodi ta 'ħażna ta' ossiġnu jinkludu tankijiet ta 'ossiġenu bi pressjoni għolja, krijoġeniċi u komposti kimiċi. Għal raġunijiet ta 'ekonomija, l-ossiġenu spiss jiġi ttrasportat bl-ingrossa bħala likwidu fit-tankers iżolati apposta, peress li litru ta' os"&amp;"siġnu likwifikat huwa ekwivalenti għal 840 litru ta 'ossiġenu gassuż bi pressjoni atmosferika u 20 ° C (68 ° F). Dawn it-tankers jintużaw biex jerġgħu jimlew il-kontenituri tal-ħażna tal-ossiġnu likwidu bl-ingrossa, li joqogħdu barra l-isptarijiet u istit"&amp;"uzzjonijiet oħra li għandhom bżonn volumi kbar ta 'gass tal-ossiġnu pur. L-ossiġnu likwidu jgħaddi minn skambjaturi tas-sħana, li jikkonvertu l-likwidu krijoġeniku f'gass qabel ma jidħol fil-bini. L-ossiġnu jinħażen ukoll u jintbagħat f'ċilindri iżgħar li"&amp;" fihom il-gass ikkompressat; Formola li hija utli f'ċerti applikazzjonijiet mediċi portabbli u wweldjar u qtugħ ta 'fjuwil bl-ossidabbli.")</f>
        <v>Metodi ta 'ħażna ta' ossiġnu jinkludu tankijiet ta 'ossiġenu bi pressjoni għolja, krijoġeniċi u komposti kimiċi. Għal raġunijiet ta 'ekonomija, l-ossiġenu spiss jiġi ttrasportat bl-ingrossa bħala likwidu fit-tankers iżolati apposta, peress li litru ta' ossiġnu likwifikat huwa ekwivalenti għal 840 litru ta 'ossiġenu gassuż bi pressjoni atmosferika u 20 ° C (68 ° F). Dawn it-tankers jintużaw biex jerġgħu jimlew il-kontenituri tal-ħażna tal-ossiġnu likwidu bl-ingrossa, li joqogħdu barra l-isptarijiet u istituzzjonijiet oħra li għandhom bżonn volumi kbar ta 'gass tal-ossiġnu pur. L-ossiġnu likwidu jgħaddi minn skambjaturi tas-sħana, li jikkonvertu l-likwidu krijoġeniku f'gass qabel ma jidħol fil-bini. L-ossiġnu jinħażen ukoll u jintbagħat f'ċilindri iżgħar li fihom il-gass ikkompressat; Formola li hija utli f'ċerti applikazzjonijiet mediċi portabbli u wweldjar u qtugħ ta 'fjuwil bl-ossidabbli.</v>
      </c>
    </row>
    <row r="20958" ht="15.75" customHeight="1">
      <c r="A20958" s="2" t="s">
        <v>20958</v>
      </c>
      <c r="B20958" s="2" t="str">
        <f>IFERROR(__xludf.DUMMYFUNCTION("GOOGLETRANSLATE(A20958, ""en"", ""mt"")"),"Paul Revere kien imnissel mir-refuġjati Huguenot, kif kien Henry Laurens, li ffirma l-Artikoli tal-Konfederazzjoni għal South Carolina; Jack Jouett, li għamel ir-rikba minn Cuckoo Tavern biex iwissi lil Thomas Jefferson u oħrajn li Tarleton u l-irġiel tie"&amp;"għu kienu fi triqthom biex jarrestawh għal reati kontra r-re; Francis Marion, u numru ta ’mexxejja oħra tar-Rivoluzzjoni Amerikana u statisti aktar tard. L-aħħar kongregazzjoni attiva Huguenot fl-Amerika ta ’Fuq qima f’Charleston, South Carolina, fi knisj"&amp;"a li tmur għall-1844. Is-Soċjetà Huguenot tal-Amerika żżomm il-Knisja Episkopali Manakin f’V Virginia bħala santwarju storiku b’servizzi okkażjonali. Is-soċjetà għandha kapitoli f’bosta stati, b’dak f’Texas huwa l-akbar.")</f>
        <v>Paul Revere kien imnissel mir-refuġjati Huguenot, kif kien Henry Laurens, li ffirma l-Artikoli tal-Konfederazzjoni għal South Carolina; Jack Jouett, li għamel ir-rikba minn Cuckoo Tavern biex iwissi lil Thomas Jefferson u oħrajn li Tarleton u l-irġiel tiegħu kienu fi triqthom biex jarrestawh għal reati kontra r-re; Francis Marion, u numru ta ’mexxejja oħra tar-Rivoluzzjoni Amerikana u statisti aktar tard. L-aħħar kongregazzjoni attiva Huguenot fl-Amerika ta ’Fuq qima f’Charleston, South Carolina, fi knisja li tmur għall-1844. Is-Soċjetà Huguenot tal-Amerika żżomm il-Knisja Episkopali Manakin f’V Virginia bħala santwarju storiku b’servizzi okkażjonali. Is-soċjetà għandha kapitoli f’bosta stati, b’dak f’Texas huwa l-akbar.</v>
      </c>
    </row>
    <row r="20959" ht="15.75" customHeight="1">
      <c r="A20959" s="2" t="s">
        <v>20959</v>
      </c>
      <c r="B20959" s="2" t="str">
        <f>IFERROR(__xludf.DUMMYFUNCTION("GOOGLETRANSLATE(A20959, ""en"", ""mt"")"),"Il-horniman")</f>
        <v>Il-horniman</v>
      </c>
    </row>
    <row r="20960" ht="15.75" customHeight="1">
      <c r="A20960" s="2" t="s">
        <v>20960</v>
      </c>
      <c r="B20960" s="2" t="str">
        <f>IFERROR(__xludf.DUMMYFUNCTION("GOOGLETRANSLATE(A20960, ""en"", ""mt"")"),"Knisja Metodista ta ’San Ġorġ, Magħquda,")</f>
        <v>Knisja Metodista ta ’San Ġorġ, Magħquda,</v>
      </c>
    </row>
    <row r="20961" ht="15.75" customHeight="1">
      <c r="A20961" s="2" t="s">
        <v>20961</v>
      </c>
      <c r="B20961" s="2" t="str">
        <f>IFERROR(__xludf.DUMMYFUNCTION("GOOGLETRANSLATE(A20961, ""en"", ""mt"")"),"inugwaljanza bejn is-sessi kontinwa fl-edukazzjoni")</f>
        <v>inugwaljanza bejn is-sessi kontinwa fl-edukazzjoni</v>
      </c>
    </row>
    <row r="20962" ht="15.75" customHeight="1">
      <c r="A20962" s="2" t="s">
        <v>20962</v>
      </c>
      <c r="B20962" s="2" t="str">
        <f>IFERROR(__xludf.DUMMYFUNCTION("GOOGLETRANSLATE(A20962, ""en"", ""mt"")"),"Plastoglobuli (plastoglobulus singulari, xi kultant plastoglobula (i)), huma bżieżaq sferiċi ta 'lipidi u proteini madwar 45-60 nanometri madwar. Huma mdawra minn monostrata tal-lipidi. Il-plastoglobuli jinstabu fil-kloroplasti kollha, iżda jsiru aktar ko"&amp;"muni meta l-kloroplast ikun taħt stress ossidattiv, jew meta tixjieħ u tranżizzjonijiet f'ġerontoplast. Plastoglobuli juru wkoll varjazzjoni ta 'daqs akbar taħt dawn il-kundizzjonijiet. Huma wkoll komuni fl-etioplasti, iżda jonqsu fin-numru hekk kif l-eti"&amp;"oplasti jimmaturaw fil-kloroplasti.")</f>
        <v>Plastoglobuli (plastoglobulus singulari, xi kultant plastoglobula (i)), huma bżieżaq sferiċi ta 'lipidi u proteini madwar 45-60 nanometri madwar. Huma mdawra minn monostrata tal-lipidi. Il-plastoglobuli jinstabu fil-kloroplasti kollha, iżda jsiru aktar komuni meta l-kloroplast ikun taħt stress ossidattiv, jew meta tixjieħ u tranżizzjonijiet f'ġerontoplast. Plastoglobuli juru wkoll varjazzjoni ta 'daqs akbar taħt dawn il-kundizzjonijiet. Huma wkoll komuni fl-etioplasti, iżda jonqsu fin-numru hekk kif l-etioplasti jimmaturaw fil-kloroplasti.</v>
      </c>
    </row>
    <row r="20963" ht="15.75" customHeight="1">
      <c r="A20963" s="2" t="s">
        <v>20963</v>
      </c>
      <c r="B20963" s="2" t="str">
        <f>IFERROR(__xludf.DUMMYFUNCTION("GOOGLETRANSLATE(A20963, ""en"", ""mt"")"),"ħames fażijiet")</f>
        <v>ħames fażijiet</v>
      </c>
    </row>
    <row r="20964" ht="15.75" customHeight="1">
      <c r="A20964" s="2" t="s">
        <v>20964</v>
      </c>
      <c r="B20964" s="2" t="str">
        <f>IFERROR(__xludf.DUMMYFUNCTION("GOOGLETRANSLATE(A20964, ""en"", ""mt"")"),"Pjanċi tal-għawm")</f>
        <v>Pjanċi tal-għawm</v>
      </c>
    </row>
    <row r="20965" ht="15.75" customHeight="1">
      <c r="A20965" s="2" t="s">
        <v>20965</v>
      </c>
      <c r="B20965" s="2" t="str">
        <f>IFERROR(__xludf.DUMMYFUNCTION("GOOGLETRANSLATE(A20965, ""en"", ""mt"")"),"Ruma")</f>
        <v>Ruma</v>
      </c>
    </row>
    <row r="20966" ht="15.75" customHeight="1">
      <c r="A20966" s="2" t="s">
        <v>20966</v>
      </c>
      <c r="B20966" s="2" t="str">
        <f>IFERROR(__xludf.DUMMYFUNCTION("GOOGLETRANSLATE(A20966, ""en"", ""mt"")"),"X'tip ta 'sistema rappreżentattiva għandu l-Kunsill Leġiżlattiv Vittorjan?")</f>
        <v>X'tip ta 'sistema rappreżentattiva għandu l-Kunsill Leġiżlattiv Vittorjan?</v>
      </c>
    </row>
    <row r="20967" ht="15.75" customHeight="1">
      <c r="A20967" s="2" t="s">
        <v>20967</v>
      </c>
      <c r="B20967" s="2" t="str">
        <f>IFERROR(__xludf.DUMMYFUNCTION("GOOGLETRANSLATE(A20967, ""en"", ""mt"")"),"Billi tissepara l-fidi u r-raġuni, x’jagħmel Luther?")</f>
        <v>Billi tissepara l-fidi u r-raġuni, x’jagħmel Luther?</v>
      </c>
    </row>
    <row r="20968" ht="15.75" customHeight="1">
      <c r="A20968" s="2" t="s">
        <v>20968</v>
      </c>
      <c r="B20968" s="2" t="str">
        <f>IFERROR(__xludf.DUMMYFUNCTION("GOOGLETRANSLATE(A20968, ""en"", ""mt"")"),"Ma tifhimx l-umoriżmu Amerikan tagħna")</f>
        <v>Ma tifhimx l-umoriżmu Amerikan tagħna</v>
      </c>
    </row>
    <row r="20969" ht="15.75" customHeight="1">
      <c r="A20969" s="2" t="s">
        <v>20969</v>
      </c>
      <c r="B20969" s="2" t="str">
        <f>IFERROR(__xludf.DUMMYFUNCTION("GOOGLETRANSLATE(A20969, ""en"", ""mt"")"),"Għal liema kampjonat ixandar il-logħob ABC f'Jum il-Milied?")</f>
        <v>Għal liema kampjonat ixandar il-logħob ABC f'Jum il-Milied?</v>
      </c>
    </row>
    <row r="20970" ht="15.75" customHeight="1">
      <c r="A20970" s="2" t="s">
        <v>20970</v>
      </c>
      <c r="B20970" s="2" t="str">
        <f>IFERROR(__xludf.DUMMYFUNCTION("GOOGLETRANSLATE(A20970, ""en"", ""mt"")"),"Meta Tesla waqfet isservi bħala l-Viċi President tal-Istitut Amerikan tal-Inġiniera Elettriċi?")</f>
        <v>Meta Tesla waqfet isservi bħala l-Viċi President tal-Istitut Amerikan tal-Inġiniera Elettriċi?</v>
      </c>
    </row>
    <row r="20971" ht="15.75" customHeight="1">
      <c r="A20971" s="2" t="s">
        <v>20971</v>
      </c>
      <c r="B20971" s="2" t="str">
        <f>IFERROR(__xludf.DUMMYFUNCTION("GOOGLETRANSLATE(A20971, ""en"", ""mt"")"),"Meta ċ-ċelloli B u ċ-ċelloli T jibdew jirreplikaw, x'sar uħud miċ-ċelloli tal-frieħ tagħhom?")</f>
        <v>Meta ċ-ċelloli B u ċ-ċelloli T jibdew jirreplikaw, x'sar uħud miċ-ċelloli tal-frieħ tagħhom?</v>
      </c>
    </row>
    <row r="20972" ht="15.75" customHeight="1">
      <c r="A20972" s="2" t="s">
        <v>20972</v>
      </c>
      <c r="B20972" s="2" t="str">
        <f>IFERROR(__xludf.DUMMYFUNCTION("GOOGLETRANSLATE(A20972, ""en"", ""mt"")"),"Indikatur tal-magna bil-fwar")</f>
        <v>Indikatur tal-magna bil-fwar</v>
      </c>
    </row>
    <row r="20973" ht="15.75" customHeight="1">
      <c r="A20973" s="2" t="s">
        <v>20973</v>
      </c>
      <c r="B20973" s="2" t="str">
        <f>IFERROR(__xludf.DUMMYFUNCTION("GOOGLETRANSLATE(A20973, ""en"", ""mt"")"),"X'kien il-persentaġġ ta 'abjad mhux Spanjoli fl-2010?")</f>
        <v>X'kien il-persentaġġ ta 'abjad mhux Spanjoli fl-2010?</v>
      </c>
    </row>
    <row r="20974" ht="15.75" customHeight="1">
      <c r="A20974" s="2" t="s">
        <v>20974</v>
      </c>
      <c r="B20974" s="2" t="str">
        <f>IFERROR(__xludf.DUMMYFUNCTION("GOOGLETRANSLATE(A20974, ""en"", ""mt"")"),"il-ħalq u l-farinġi")</f>
        <v>il-ħalq u l-farinġi</v>
      </c>
    </row>
    <row r="20975" ht="15.75" customHeight="1">
      <c r="A20975" s="2" t="s">
        <v>20975</v>
      </c>
      <c r="B20975" s="2" t="str">
        <f>IFERROR(__xludf.DUMMYFUNCTION("GOOGLETRANSLATE(A20975, ""en"", ""mt"")"),"Diffie - Hellman Skambju Ewlenin")</f>
        <v>Diffie - Hellman Skambju Ewlenin</v>
      </c>
    </row>
    <row r="20976" ht="15.75" customHeight="1">
      <c r="A20976" s="2" t="s">
        <v>20976</v>
      </c>
      <c r="B20976" s="2" t="str">
        <f>IFERROR(__xludf.DUMMYFUNCTION("GOOGLETRANSLATE(A20976, ""en"", ""mt"")"),"Min ġab flimkien l-ex rivali fiċ-ċerimonja tal-iffirmar?")</f>
        <v>Min ġab flimkien l-ex rivali fiċ-ċerimonja tal-iffirmar?</v>
      </c>
    </row>
    <row r="20977" ht="15.75" customHeight="1">
      <c r="A20977" s="2" t="s">
        <v>20977</v>
      </c>
      <c r="B20977" s="2" t="str">
        <f>IFERROR(__xludf.DUMMYFUNCTION("GOOGLETRANSLATE(A20977, ""en"", ""mt"")"),"Numri Għarbi")</f>
        <v>Numri Għarbi</v>
      </c>
    </row>
    <row r="20978" ht="15.75" customHeight="1">
      <c r="A20978" s="2" t="s">
        <v>20978</v>
      </c>
      <c r="B20978" s="2" t="str">
        <f>IFERROR(__xludf.DUMMYFUNCTION("GOOGLETRANSLATE(A20978, ""en"", ""mt"")"),"ċikliżmu")</f>
        <v>ċikliżmu</v>
      </c>
    </row>
    <row r="20979" ht="15.75" customHeight="1">
      <c r="A20979" s="2" t="s">
        <v>20979</v>
      </c>
      <c r="B20979" s="2" t="str">
        <f>IFERROR(__xludf.DUMMYFUNCTION("GOOGLETRANSLATE(A20979, ""en"", ""mt"")"),"Liema strutturi tal-proġett jgħinu lis-sid fl-integrazzjoni?")</f>
        <v>Liema strutturi tal-proġett jgħinu lis-sid fl-integrazzjoni?</v>
      </c>
    </row>
    <row r="20980" ht="15.75" customHeight="1">
      <c r="A20980" s="2" t="s">
        <v>20980</v>
      </c>
      <c r="B20980" s="2" t="str">
        <f>IFERROR(__xludf.DUMMYFUNCTION("GOOGLETRANSLATE(A20980, ""en"", ""mt"")"),"Kotba stampati u x-xogħol ta ’artisti Ewropej u nies tas-sengħa impjegati fil-Gran Brittanja")</f>
        <v>Kotba stampati u x-xogħol ta ’artisti Ewropej u nies tas-sengħa impjegati fil-Gran Brittanja</v>
      </c>
    </row>
    <row r="20981" ht="15.75" customHeight="1">
      <c r="A20981" s="2" t="s">
        <v>20981</v>
      </c>
      <c r="B20981" s="2" t="str">
        <f>IFERROR(__xludf.DUMMYFUNCTION("GOOGLETRANSLATE(A20981, ""en"", ""mt"")"),"Liema data kienu mħabbra l-aqwa żewġ għażliet tal-istadium għas-Super Bowl 50?")</f>
        <v>Liema data kienu mħabbra l-aqwa żewġ għażliet tal-istadium għas-Super Bowl 50?</v>
      </c>
    </row>
    <row r="20982" ht="15.75" customHeight="1">
      <c r="A20982" s="2" t="s">
        <v>20982</v>
      </c>
      <c r="B20982" s="2" t="str">
        <f>IFERROR(__xludf.DUMMYFUNCTION("GOOGLETRANSLATE(A20982, ""en"", ""mt"")"),"adattament tal-massa Latina")</f>
        <v>adattament tal-massa Latina</v>
      </c>
    </row>
    <row r="20983" ht="15.75" customHeight="1">
      <c r="A20983" s="2" t="s">
        <v>20983</v>
      </c>
      <c r="B20983" s="2" t="str">
        <f>IFERROR(__xludf.DUMMYFUNCTION("GOOGLETRANSLATE(A20983, ""en"", ""mt"")"),"Sistemi tax-Xmara")</f>
        <v>Sistemi tax-Xmara</v>
      </c>
    </row>
    <row r="20984" ht="15.75" customHeight="1">
      <c r="A20984" s="2" t="s">
        <v>20984</v>
      </c>
      <c r="B20984" s="2" t="str">
        <f>IFERROR(__xludf.DUMMYFUNCTION("GOOGLETRANSLATE(A20984, ""en"", ""mt"")"),"Dejjem fit-tfittxija ta 'programmi ġodda li jistgħu jgħinuh jikkompeti ma' NBC u CBS, il-ġestjoni ta 'ABC ħaseb li l-isport jista' jkun katalist ewlieni fit-titjib tas-sehem tas-suq tan-netwerk. Fid-29 ta 'April, 1961, ABC iddebutta Wide World of Sports, "&amp;"serje ta' antoloġija maħluqa minn Edgar Scherick permezz tal-kumpanija tiegħu Sports Programmi, Inc. u prodotta minn żagħżugħ Roone Arledge li deher avveniment sportiv differenti kull xandira. ABC xtrat Sports Programmi, Inc. bi skambju għal ishma fil-kum"&amp;"panija, u wasslitha biex issir il-qalba futura ta 'ABC Sports, b'Arledge bħala l-produttur eżekuttiv tal-wirjiet ta' dik id-diviżjoni. Dinja wiesgħa ta 'l-isports, b'mod partikolari, ma kinitx sempliċement iddedikata għal sport wieħed, iżda ġeneralment għ"&amp;"al avvenimenti sportivi kollha.")</f>
        <v>Dejjem fit-tfittxija ta 'programmi ġodda li jistgħu jgħinuh jikkompeti ma' NBC u CBS, il-ġestjoni ta 'ABC ħaseb li l-isport jista' jkun katalist ewlieni fit-titjib tas-sehem tas-suq tan-netwerk. Fid-29 ta 'April, 1961, ABC iddebutta Wide World of Sports, serje ta' antoloġija maħluqa minn Edgar Scherick permezz tal-kumpanija tiegħu Sports Programmi, Inc. u prodotta minn żagħżugħ Roone Arledge li deher avveniment sportiv differenti kull xandira. ABC xtrat Sports Programmi, Inc. bi skambju għal ishma fil-kumpanija, u wasslitha biex issir il-qalba futura ta 'ABC Sports, b'Arledge bħala l-produttur eżekuttiv tal-wirjiet ta' dik id-diviżjoni. Dinja wiesgħa ta 'l-isports, b'mod partikolari, ma kinitx sempliċement iddedikata għal sport wieħed, iżda ġeneralment għal avvenimenti sportivi kollha.</v>
      </c>
    </row>
    <row r="20985" ht="15.75" customHeight="1">
      <c r="A20985" s="2" t="s">
        <v>20985</v>
      </c>
      <c r="B20985" s="2" t="str">
        <f>IFERROR(__xludf.DUMMYFUNCTION("GOOGLETRANSLATE(A20985, ""en"", ""mt"")"),"Jenggis hija l-forma aġġettiva ta 'liema kelma?")</f>
        <v>Jenggis hija l-forma aġġettiva ta 'liema kelma?</v>
      </c>
    </row>
    <row r="20986" ht="15.75" customHeight="1">
      <c r="A20986" s="2" t="s">
        <v>20986</v>
      </c>
      <c r="B20986" s="2" t="str">
        <f>IFERROR(__xludf.DUMMYFUNCTION("GOOGLETRANSLATE(A20986, ""en"", ""mt"")"),"Hemm diversi mekkaniżmi li bihom l-entużjażmu tal-għalliem jista 'jiffaċilita livelli ogħla ta' motivazzjoni intrinsika. L-entużjażmu tal-għalliema jista 'jikkontribwixxi għal atmosfera fil-klassi mimlija enerġija u entużjażmu li jitimgħu l-interess tal-i"&amp;"studenti u l-eċċitament fit-tagħlim tas-suġġett. Għalliema entużjasti jistgħu jwasslu wkoll biex l-istudenti jsiru aktar determinati fihom infushom fil-proċess ta 'tagħlim tagħhom stess. Il-kunċett ta 'esponiment sempliċi jindika li l-entużjażmu tal-għall"&amp;"iem jista' jikkontribwixxi għall-aspettattivi tal-istudent dwar motivazzjoni intrinsika fil-kuntest tat-tagħlim. Ukoll, l-entużjażmu jista 'jaġixxi bħala ""tisbieħ motivazzjonali""; iżżid l-interess ta 'student mill-varjetà, in-novità, u s-sorpriża tal-pr"&amp;"eżentazzjoni tal-materjal entużjasti tal-għalliem. Fl-aħħarnett, il-kunċett ta 'kontaġju emozzjonali, jista' japplika wkoll. L-istudenti jistgħu jsiru aktar intrinsikament motivati ​​billi jaqbdu l-entużjażmu u l-enerġija tal-għalliem. [Ċitazzjoni meħtieġ"&amp;"a]")</f>
        <v>Hemm diversi mekkaniżmi li bihom l-entużjażmu tal-għalliem jista 'jiffaċilita livelli ogħla ta' motivazzjoni intrinsika. L-entużjażmu tal-għalliema jista 'jikkontribwixxi għal atmosfera fil-klassi mimlija enerġija u entużjażmu li jitimgħu l-interess tal-istudenti u l-eċċitament fit-tagħlim tas-suġġett. Għalliema entużjasti jistgħu jwasslu wkoll biex l-istudenti jsiru aktar determinati fihom infushom fil-proċess ta 'tagħlim tagħhom stess. Il-kunċett ta 'esponiment sempliċi jindika li l-entużjażmu tal-għalliem jista' jikkontribwixxi għall-aspettattivi tal-istudent dwar motivazzjoni intrinsika fil-kuntest tat-tagħlim. Ukoll, l-entużjażmu jista 'jaġixxi bħala "tisbieħ motivazzjonali"; iżżid l-interess ta 'student mill-varjetà, in-novità, u s-sorpriża tal-preżentazzjoni tal-materjal entużjasti tal-għalliem. Fl-aħħarnett, il-kunċett ta 'kontaġju emozzjonali, jista' japplika wkoll. L-istudenti jistgħu jsiru aktar intrinsikament motivati ​​billi jaqbdu l-entużjażmu u l-enerġija tal-għalliem. [Ċitazzjoni meħtieġa]</v>
      </c>
    </row>
    <row r="20987" ht="15.75" customHeight="1">
      <c r="A20987" s="2" t="s">
        <v>20987</v>
      </c>
      <c r="B20987" s="2" t="str">
        <f>IFERROR(__xludf.DUMMYFUNCTION("GOOGLETRANSLATE(A20987, ""en"", ""mt"")"),"Id-dixxendenti tal-Vikingi ta ’Rollo u n-nisa Franki tagħhom jissostitwixxu r-reliġjon Norveġja u l-lingwa Norveġja l-qadima mal-Kattoliċiżmu (il-Kristjaneżmu) u l-lingwa gallo-rumanz tal-poplu lokali, li jħalltu l-wirt francish matern tagħhom ma’ tradizz"&amp;"jonijiet u drawwiet qodma biex jissintetizzaw uniku "" Norman ""Kultura fit-Tramuntana ta 'Franza. Il-lingwa Norman ġiet iffalsifikata bl-adozzjoni tal-fergħa ta 'rumanz tal-Langue d'oïl indiġena minn klassi dominanti li titkellem minn Norveġja, u żvilupp"&amp;"at fil-lingwa reġjonali li tibqa' ħajja llum.")</f>
        <v>Id-dixxendenti tal-Vikingi ta ’Rollo u n-nisa Franki tagħhom jissostitwixxu r-reliġjon Norveġja u l-lingwa Norveġja l-qadima mal-Kattoliċiżmu (il-Kristjaneżmu) u l-lingwa gallo-rumanz tal-poplu lokali, li jħalltu l-wirt francish matern tagħhom ma’ tradizzjonijiet u drawwiet qodma biex jissintetizzaw uniku " Norman "Kultura fit-Tramuntana ta 'Franza. Il-lingwa Norman ġiet iffalsifikata bl-adozzjoni tal-fergħa ta 'rumanz tal-Langue d'oïl indiġena minn klassi dominanti li titkellem minn Norveġja, u żviluppat fil-lingwa reġjonali li tibqa' ħajja llum.</v>
      </c>
    </row>
    <row r="20988" ht="15.75" customHeight="1">
      <c r="A20988" s="2" t="s">
        <v>20988</v>
      </c>
      <c r="B20988" s="2" t="str">
        <f>IFERROR(__xludf.DUMMYFUNCTION("GOOGLETRANSLATE(A20988, ""en"", ""mt"")"),"valur tal-ispin,")</f>
        <v>valur tal-ispin,</v>
      </c>
    </row>
    <row r="20989" ht="15.75" customHeight="1">
      <c r="A20989" s="2" t="s">
        <v>20989</v>
      </c>
      <c r="B20989" s="2" t="str">
        <f>IFERROR(__xludf.DUMMYFUNCTION("GOOGLETRANSLATE(A20989, ""en"", ""mt"")"),"Fejn fl-Awstralja tinsab ir-Rabat?")</f>
        <v>Fejn fl-Awstralja tinsab ir-Rabat?</v>
      </c>
    </row>
    <row r="20990" ht="15.75" customHeight="1">
      <c r="A20990" s="2" t="s">
        <v>20990</v>
      </c>
      <c r="B20990" s="2" t="str">
        <f>IFERROR(__xludf.DUMMYFUNCTION("GOOGLETRANSLATE(A20990, ""en"", ""mt"")"),"in-nofsinhar")</f>
        <v>in-nofsinhar</v>
      </c>
    </row>
    <row r="20991" ht="15.75" customHeight="1">
      <c r="A20991" s="2" t="s">
        <v>20991</v>
      </c>
      <c r="B20991" s="2" t="str">
        <f>IFERROR(__xludf.DUMMYFUNCTION("GOOGLETRANSLATE(A20991, ""en"", ""mt"")"),"X'inhu l-aħħar isem tal-plejer li ħabat il-ballun 'il bogħod minn Manning fir-raba' kwart tas-Super Bowl 50?")</f>
        <v>X'inhu l-aħħar isem tal-plejer li ħabat il-ballun 'il bogħod minn Manning fir-raba' kwart tas-Super Bowl 50?</v>
      </c>
    </row>
    <row r="20992" ht="15.75" customHeight="1">
      <c r="A20992" s="2" t="s">
        <v>20992</v>
      </c>
      <c r="B20992" s="2" t="str">
        <f>IFERROR(__xludf.DUMMYFUNCTION("GOOGLETRANSLATE(A20992, ""en"", ""mt"")"),"Goldbach's")</f>
        <v>Goldbach's</v>
      </c>
    </row>
    <row r="20993" ht="15.75" customHeight="1">
      <c r="A20993" s="2" t="s">
        <v>20993</v>
      </c>
      <c r="B20993" s="2" t="str">
        <f>IFERROR(__xludf.DUMMYFUNCTION("GOOGLETRANSLATE(A20993, ""en"", ""mt"")"),"Min qabad lil Fort Beausejour?")</f>
        <v>Min qabad lil Fort Beausejour?</v>
      </c>
    </row>
    <row r="20994" ht="15.75" customHeight="1">
      <c r="A20994" s="2" t="s">
        <v>20994</v>
      </c>
      <c r="B20994" s="2" t="str">
        <f>IFERROR(__xludf.DUMMYFUNCTION("GOOGLETRANSLATE(A20994, ""en"", ""mt"")"),"Makeover estrem: Edizzjoni tad-Dar")</f>
        <v>Makeover estrem: Edizzjoni tad-Dar</v>
      </c>
    </row>
    <row r="20995" ht="15.75" customHeight="1">
      <c r="A20995" s="2" t="s">
        <v>20995</v>
      </c>
      <c r="B20995" s="2" t="str">
        <f>IFERROR(__xludf.DUMMYFUNCTION("GOOGLETRANSLATE(A20995, ""en"", ""mt"")"),"Fejn twaqqaf laboratorju għal Tesla?")</f>
        <v>Fejn twaqqaf laboratorju għal Tesla?</v>
      </c>
    </row>
    <row r="20996" ht="15.75" customHeight="1">
      <c r="A20996" s="2" t="s">
        <v>20996</v>
      </c>
      <c r="B20996" s="2" t="str">
        <f>IFERROR(__xludf.DUMMYFUNCTION("GOOGLETRANSLATE(A20996, ""en"", ""mt"")"),"Żieda fil-funzjonazzjonijiet (l-affarijiet li persuna tagħmel valuri), kapaċitajiet (il-libertà li tgawdi l-funzjonazzjonijiet) u l-aġenzija (il-kapaċità li ssegwi għanijiet stmati)")</f>
        <v>Żieda fil-funzjonazzjonijiet (l-affarijiet li persuna tagħmel valuri), kapaċitajiet (il-libertà li tgawdi l-funzjonazzjonijiet) u l-aġenzija (il-kapaċità li ssegwi għanijiet stmati)</v>
      </c>
    </row>
    <row r="20997" ht="15.75" customHeight="1">
      <c r="A20997" s="2" t="s">
        <v>20997</v>
      </c>
      <c r="B20997" s="2" t="str">
        <f>IFERROR(__xludf.DUMMYFUNCTION("GOOGLETRANSLATE(A20997, ""en"", ""mt"")"),"Kummerċ ma 'Kostantinopli")</f>
        <v>Kummerċ ma 'Kostantinopli</v>
      </c>
    </row>
    <row r="20998" ht="15.75" customHeight="1">
      <c r="A20998" s="2" t="s">
        <v>20998</v>
      </c>
      <c r="B20998" s="2" t="str">
        <f>IFERROR(__xludf.DUMMYFUNCTION("GOOGLETRANSLATE(A20998, ""en"", ""mt"")"),"mhux ugwali")</f>
        <v>mhux ugwali</v>
      </c>
    </row>
    <row r="20999" ht="15.75" customHeight="1">
      <c r="A20999" s="2" t="s">
        <v>20999</v>
      </c>
      <c r="B20999" s="2" t="str">
        <f>IFERROR(__xludf.DUMMYFUNCTION("GOOGLETRANSLATE(A20999, ""en"", ""mt"")"),"Butchery")</f>
        <v>Butchery</v>
      </c>
    </row>
    <row r="21000" ht="15.75" customHeight="1">
      <c r="A21000" s="2" t="s">
        <v>21000</v>
      </c>
      <c r="B21000" s="2" t="str">
        <f>IFERROR(__xludf.DUMMYFUNCTION("GOOGLETRANSLATE(A21000, ""en"", ""mt"")"),"Fit-tramuntana")</f>
        <v>Fit-tramuntana</v>
      </c>
    </row>
    <row r="21001" ht="15.75" customHeight="1">
      <c r="A21001" s="2" t="s">
        <v>21001</v>
      </c>
      <c r="B21001" s="2" t="str">
        <f>IFERROR(__xludf.DUMMYFUNCTION("GOOGLETRANSLATE(A21001, ""en"", ""mt"")"),"kwantifikat")</f>
        <v>kwantifikat</v>
      </c>
    </row>
    <row r="21002" ht="15.75" customHeight="1">
      <c r="A21002" s="2" t="s">
        <v>21002</v>
      </c>
      <c r="B21002" s="2" t="str">
        <f>IFERROR(__xludf.DUMMYFUNCTION("GOOGLETRANSLATE(A21002, ""en"", ""mt"")"),"Liema skejjel tal-pajjiż għandhom kodiċi ta 'mġieba li huma stretti ħafna?")</f>
        <v>Liema skejjel tal-pajjiż għandhom kodiċi ta 'mġieba li huma stretti ħafna?</v>
      </c>
    </row>
    <row r="21003" ht="15.75" customHeight="1">
      <c r="A21003" s="2" t="s">
        <v>21003</v>
      </c>
      <c r="B21003" s="2" t="str">
        <f>IFERROR(__xludf.DUMMYFUNCTION("GOOGLETRANSLATE(A21003, ""en"", ""mt"")"),"187 pied")</f>
        <v>187 pied</v>
      </c>
    </row>
    <row r="21004" ht="15.75" customHeight="1">
      <c r="A21004" s="2" t="s">
        <v>21004</v>
      </c>
      <c r="B21004" s="2" t="str">
        <f>IFERROR(__xludf.DUMMYFUNCTION("GOOGLETRANSLATE(A21004, ""en"", ""mt"")"),"Fielding H. Garrison jemmen li x-xjenza tal-ġeoloġija tista 'tiġi rintraċċata għal fejn?")</f>
        <v>Fielding H. Garrison jemmen li x-xjenza tal-ġeoloġija tista 'tiġi rintraċċata għal fejn?</v>
      </c>
    </row>
    <row r="21005" ht="15.75" customHeight="1">
      <c r="A21005" s="2" t="s">
        <v>21005</v>
      </c>
      <c r="B21005" s="2" t="str">
        <f>IFERROR(__xludf.DUMMYFUNCTION("GOOGLETRANSLATE(A21005, ""en"", ""mt"")"),"fehim aħjar tal-istruttura tal-kmand mau mau")</f>
        <v>fehim aħjar tal-istruttura tal-kmand mau mau</v>
      </c>
    </row>
    <row r="21006" ht="15.75" customHeight="1">
      <c r="A21006" s="2" t="s">
        <v>21006</v>
      </c>
      <c r="B21006" s="2" t="str">
        <f>IFERROR(__xludf.DUMMYFUNCTION("GOOGLETRANSLATE(A21006, ""en"", ""mt"")"),"radjatur tal-karozzi")</f>
        <v>radjatur tal-karozzi</v>
      </c>
    </row>
    <row r="21007" ht="15.75" customHeight="1">
      <c r="A21007" s="2" t="s">
        <v>21007</v>
      </c>
      <c r="B21007" s="2" t="str">
        <f>IFERROR(__xludf.DUMMYFUNCTION("GOOGLETRANSLATE(A21007, ""en"", ""mt"")"),"Börte")</f>
        <v>Börte</v>
      </c>
    </row>
    <row r="21008" ht="15.75" customHeight="1">
      <c r="A21008" s="2" t="s">
        <v>21008</v>
      </c>
      <c r="B21008" s="2" t="str">
        <f>IFERROR(__xludf.DUMMYFUNCTION("GOOGLETRANSLATE(A21008, ""en"", ""mt"")"),"L-Università ta ’Varsavja ġiet stabbilita fl-1816, meta l-qasmiet tal-Polonja separaw lil Varsavja miċ-Ċentru Akkademiku Pollakk l-aktar eqdem u l-iktar influwenti, fi Kraków. L-Università tat-Teknoloġija ta 'Varsavja hija t-tieni skola akkademika tat-tek"&amp;"noloġija fil-pajjiż, u waħda mill-ikbar fl-Ewropa ċentrali tal-lvant, li timpjega 2,000 professuri. Istituzzjonijiet oħra għall-edukazzjoni għolja jinkludu l-Università Medika ta 'Varsav Il-Polonja, u waħda mill-ikbar fl-Ewropa, l-Iskola ta 'l-Ekonomija t"&amp;"a' Varsavja, l-eqdem u l-iktar università ekonomika magħrufa fil-pajjiż, u l-Università tax-Xjenzi tal-Ħajja ta 'Varsavja l-akbar università agrikola mwaqqfa fl-1818.")</f>
        <v>L-Università ta ’Varsavja ġiet stabbilita fl-1816, meta l-qasmiet tal-Polonja separaw lil Varsavja miċ-Ċentru Akkademiku Pollakk l-aktar eqdem u l-iktar influwenti, fi Kraków. L-Università tat-Teknoloġija ta 'Varsavja hija t-tieni skola akkademika tat-teknoloġija fil-pajjiż, u waħda mill-ikbar fl-Ewropa ċentrali tal-lvant, li timpjega 2,000 professuri. Istituzzjonijiet oħra għall-edukazzjoni għolja jinkludu l-Università Medika ta 'Varsav Il-Polonja, u waħda mill-ikbar fl-Ewropa, l-Iskola ta 'l-Ekonomija ta' Varsavja, l-eqdem u l-iktar università ekonomika magħrufa fil-pajjiż, u l-Università tax-Xjenzi tal-Ħajja ta 'Varsavja l-akbar università agrikola mwaqqfa fl-1818.</v>
      </c>
    </row>
    <row r="21009" ht="15.75" customHeight="1">
      <c r="A21009" s="2" t="s">
        <v>21009</v>
      </c>
      <c r="B21009" s="2" t="str">
        <f>IFERROR(__xludf.DUMMYFUNCTION("GOOGLETRANSLATE(A21009, ""en"", ""mt"")"),"Liema perċentwali tirrappreżenta l-Amazon fil-foresti tropikali fuq il-pjaneta?")</f>
        <v>Liema perċentwali tirrappreżenta l-Amazon fil-foresti tropikali fuq il-pjaneta?</v>
      </c>
    </row>
    <row r="21010" ht="15.75" customHeight="1">
      <c r="A21010" s="2" t="s">
        <v>21010</v>
      </c>
      <c r="B21010" s="2" t="str">
        <f>IFERROR(__xludf.DUMMYFUNCTION("GOOGLETRANSLATE(A21010, ""en"", ""mt"")"),"X'kien l-isem tal-50 Anniversarju Show?")</f>
        <v>X'kien l-isem tal-50 Anniversarju Show?</v>
      </c>
    </row>
    <row r="21011" ht="15.75" customHeight="1">
      <c r="A21011" s="2" t="s">
        <v>21011</v>
      </c>
      <c r="B21011" s="2" t="str">
        <f>IFERROR(__xludf.DUMMYFUNCTION("GOOGLETRANSLATE(A21011, ""en"", ""mt"")"),"ir-Reġina")</f>
        <v>ir-Reġina</v>
      </c>
    </row>
    <row r="21012" ht="15.75" customHeight="1">
      <c r="A21012" s="2" t="s">
        <v>21012</v>
      </c>
      <c r="B21012" s="2" t="str">
        <f>IFERROR(__xludf.DUMMYFUNCTION("GOOGLETRANSLATE(A21012, ""en"", ""mt"")"),"Fl-2004, dokumenti deklassifikati żvelaw li l-Istati Uniti kienet tant distraught miż-żieda fil-prezzijiet taż-żejt u li ġiet ikkontestata minn pajjiżi mhux żviluppati li huma kkunsidraw fil-qosor azzjoni militari biex jaħtfu bil-forza l-kampijiet taż-żej"&amp;"t tal-Lvant Nofsani fl-aħħar tal-1973. Għalkemm ma ġie msemmi l-ebda pjan espliċitu, a Il-konversazzjoni bejn is-Segretarju tad-Difiża tal-Istati Uniti James Schlesinger u l-Ambaxxatur Brittaniku għall-Istati Uniti Lord Cromer żvelat li Schlesinger kien q"&amp;"allu li ""ma kienx għadu ovvju għalih li l-Istati Uniti ma setgħux jużaw il-forza."" Il-Prim Ministru Ingliż Edward Heath kien tant inkwetat minn din il-prospett li ordna stima tal-intelliġenza Ingliża tal-intenzjonijiet tal-Istati Uniti, li kkonkluda li "&amp;"l-Amerika ""tista 'tikkunsidra li ma setgħetx tittollera sitwazzjoni li fiha l-Istati Uniti u l-alleati tagħha kienu fil-ħniena ta' grupp żgħir ta ' Pajjiżi mhux raġonevoli, ""u li jippreferu operazzjoni rapida biex jaħtfu l-kampijiet taż-żejt fl-Arabja S"&amp;"awdija u l-Kuwajt, u possibbilment ġie deċiż Abu Dhabi fl-azzjoni militari. Għalkemm ir-rispons Sovjetiku għal att bħal dan x'aktarx ma jinvolvix forza, l-intelliġenza wissiet ""l-okkupazzjoni Amerikana teħtieġ li ddum 10 snin hekk kif il-Punent żviluppa "&amp;"sorsi ta 'enerġija alternattivi, u jirriżulta fl-"" aljenazzjoni totali ""tal-Għarab u ħafna mill- Bqija tat-Tielet Dinja. """)</f>
        <v>Fl-2004, dokumenti deklassifikati żvelaw li l-Istati Uniti kienet tant distraught miż-żieda fil-prezzijiet taż-żejt u li ġiet ikkontestata minn pajjiżi mhux żviluppati li huma kkunsidraw fil-qosor azzjoni militari biex jaħtfu bil-forza l-kampijiet taż-żejt tal-Lvant Nofsani fl-aħħar tal-1973. Għalkemm ma ġie msemmi l-ebda pjan espliċitu, a Il-konversazzjoni bejn is-Segretarju tad-Difiża tal-Istati Uniti James Schlesinger u l-Ambaxxatur Brittaniku għall-Istati Uniti Lord Cromer żvelat li Schlesinger kien qallu li "ma kienx għadu ovvju għalih li l-Istati Uniti ma setgħux jużaw il-forza." Il-Prim Ministru Ingliż Edward Heath kien tant inkwetat minn din il-prospett li ordna stima tal-intelliġenza Ingliża tal-intenzjonijiet tal-Istati Uniti, li kkonkluda li l-Amerika "tista 'tikkunsidra li ma setgħetx tittollera sitwazzjoni li fiha l-Istati Uniti u l-alleati tagħha kienu fil-ħniena ta' grupp żgħir ta ' Pajjiżi mhux raġonevoli, "u li jippreferu operazzjoni rapida biex jaħtfu l-kampijiet taż-żejt fl-Arabja Sawdija u l-Kuwajt, u possibbilment ġie deċiż Abu Dhabi fl-azzjoni militari. Għalkemm ir-rispons Sovjetiku għal att bħal dan x'aktarx ma jinvolvix forza, l-intelliġenza wissiet "l-okkupazzjoni Amerikana teħtieġ li ddum 10 snin hekk kif il-Punent żviluppa sorsi ta 'enerġija alternattivi, u jirriżulta fl-" aljenazzjoni totali "tal-Għarab u ħafna mill- Bqija tat-Tielet Dinja. "</v>
      </c>
    </row>
    <row r="21013" ht="15.75" customHeight="1">
      <c r="A21013" s="2" t="s">
        <v>21013</v>
      </c>
      <c r="B21013" s="2" t="str">
        <f>IFERROR(__xludf.DUMMYFUNCTION("GOOGLETRANSLATE(A21013, ""en"", ""mt"")"),"Kemm gowls fil-grawnd McManus kick fil-logħba?")</f>
        <v>Kemm gowls fil-grawnd McManus kick fil-logħba?</v>
      </c>
    </row>
    <row r="21014" ht="15.75" customHeight="1">
      <c r="A21014" s="2" t="s">
        <v>21014</v>
      </c>
      <c r="B21014" s="2" t="str">
        <f>IFERROR(__xludf.DUMMYFUNCTION("GOOGLETRANSLATE(A21014, ""en"", ""mt"")"),"X'tipet Luther bħala kontorn tal-fidi l-ġdida?")</f>
        <v>X'tipet Luther bħala kontorn tal-fidi l-ġdida?</v>
      </c>
    </row>
    <row r="21015" ht="15.75" customHeight="1">
      <c r="A21015" s="2" t="s">
        <v>21015</v>
      </c>
      <c r="B21015" s="2" t="str">
        <f>IFERROR(__xludf.DUMMYFUNCTION("GOOGLETRANSLATE(A21015, ""en"", ""mt"")"),"William Tyndale")</f>
        <v>William Tyndale</v>
      </c>
    </row>
    <row r="21016" ht="15.75" customHeight="1">
      <c r="A21016" s="2" t="s">
        <v>21016</v>
      </c>
      <c r="B21016" s="2" t="str">
        <f>IFERROR(__xludf.DUMMYFUNCTION("GOOGLETRANSLATE(A21016, ""en"", ""mt"")"),"Minbarra dawk l-atturi li intitolati s-serje, oħrajn ippreżentaw verżjonijiet tat-tabib fir-rwoli tal-mistiedna. Notevolment, fl-2013, John weġġa 'mistieden-starred bħala inkarnazzjoni s'issa mhux magħrufa tat-tabib magħruf bħala t-tabib tal-gwerra fit-tl"&amp;"ugħ għall-50 anniversarju speċjali tal-ispettaklu ""The Day of the Doctor"". Huwa muri fil-mini-episodju ""Il-Lejl tat-Tabib"" li ġie mdaħħal b'mod retroattiv fil-kronoloġija fittizja tal-ispettaklu bejn it-tobba ta 'McGann u Eccleston, għalkemm l-introdu"&amp;"zzjoni tiegħu nkitbet sabiex ma tfixkilx l-ismijiet numeriċi stabbiliti tat-tobba. Eżempju ieħor huwa mis-serje tal-1986 Il-prova ta 'Time Lord, fejn Michael Jayston iddisinja l-Valeyard, li huwa deskritt bħala amalgamazzjoni tal-ġnub iktar skuri tan-natu"&amp;"ra tat-tabib, x'imkien bejn it-tnax-il u l-inkarnazzjoni finali tiegħu.")</f>
        <v>Minbarra dawk l-atturi li intitolati s-serje, oħrajn ippreżentaw verżjonijiet tat-tabib fir-rwoli tal-mistiedna. Notevolment, fl-2013, John weġġa 'mistieden-starred bħala inkarnazzjoni s'issa mhux magħrufa tat-tabib magħruf bħala t-tabib tal-gwerra fit-tlugħ għall-50 anniversarju speċjali tal-ispettaklu "The Day of the Doctor". Huwa muri fil-mini-episodju "Il-Lejl tat-Tabib" li ġie mdaħħal b'mod retroattiv fil-kronoloġija fittizja tal-ispettaklu bejn it-tobba ta 'McGann u Eccleston, għalkemm l-introduzzjoni tiegħu nkitbet sabiex ma tfixkilx l-ismijiet numeriċi stabbiliti tat-tobba. Eżempju ieħor huwa mis-serje tal-1986 Il-prova ta 'Time Lord, fejn Michael Jayston iddisinja l-Valeyard, li huwa deskritt bħala amalgamazzjoni tal-ġnub iktar skuri tan-natura tat-tabib, x'imkien bejn it-tnax-il u l-inkarnazzjoni finali tiegħu.</v>
      </c>
    </row>
    <row r="21017" ht="15.75" customHeight="1">
      <c r="A21017" s="2" t="s">
        <v>21017</v>
      </c>
      <c r="B21017" s="2" t="str">
        <f>IFERROR(__xludf.DUMMYFUNCTION("GOOGLETRANSLATE(A21017, ""en"", ""mt"")"),"Kif irreaġixxa r-re l-ġdid għall-Huguenots?")</f>
        <v>Kif irreaġixxa r-re l-ġdid għall-Huguenots?</v>
      </c>
    </row>
    <row r="21018" ht="15.75" customHeight="1">
      <c r="A21018" s="2" t="s">
        <v>21018</v>
      </c>
      <c r="B21018" s="2" t="str">
        <f>IFERROR(__xludf.DUMMYFUNCTION("GOOGLETRANSLATE(A21018, ""en"", ""mt"")"),"X'tip ta 'armi kien jikkonċerna t-trattat ta' Tesla?")</f>
        <v>X'tip ta 'armi kien jikkonċerna t-trattat ta' Tesla?</v>
      </c>
    </row>
    <row r="21019" ht="15.75" customHeight="1">
      <c r="A21019" s="2" t="s">
        <v>21019</v>
      </c>
      <c r="B21019" s="2" t="str">
        <f>IFERROR(__xludf.DUMMYFUNCTION("GOOGLETRANSLATE(A21019, ""en"", ""mt"")"),"244 huma elenkati,")</f>
        <v>244 huma elenkati,</v>
      </c>
    </row>
    <row r="21020" ht="15.75" customHeight="1">
      <c r="A21020" s="2" t="s">
        <v>21020</v>
      </c>
      <c r="B21020" s="2" t="str">
        <f>IFERROR(__xludf.DUMMYFUNCTION("GOOGLETRANSLATE(A21020, ""en"", ""mt"")"),"1967")</f>
        <v>1967</v>
      </c>
    </row>
    <row r="21021" ht="15.75" customHeight="1">
      <c r="A21021" s="2" t="s">
        <v>21021</v>
      </c>
      <c r="B21021" s="2" t="str">
        <f>IFERROR(__xludf.DUMMYFUNCTION("GOOGLETRANSLATE(A21021, ""en"", ""mt"")"),"differenza fil-qligħ")</f>
        <v>differenza fil-qligħ</v>
      </c>
    </row>
    <row r="21022" ht="15.75" customHeight="1">
      <c r="A21022" s="2" t="s">
        <v>21022</v>
      </c>
      <c r="B21022" s="2" t="str">
        <f>IFERROR(__xludf.DUMMYFUNCTION("GOOGLETRANSLATE(A21022, ""en"", ""mt"")"),"1512")</f>
        <v>1512</v>
      </c>
    </row>
    <row r="21023" ht="15.75" customHeight="1">
      <c r="A21023" s="2" t="s">
        <v>21023</v>
      </c>
      <c r="B21023" s="2" t="str">
        <f>IFERROR(__xludf.DUMMYFUNCTION("GOOGLETRANSLATE(A21023, ""en"", ""mt"")"),"Tesla kitbet numru ta ’kotba u artikli għal rivisti u ġurnali. Fost il-kotba tiegħu hemm l-invenzjonijiet tiegħi: l-awtobijografija ta 'Nikola Tesla, miġbura u editjata minn Ben Johnston; L-invenzjonijiet meraviljużi ta 'Nikola Tesla, miġbura u editjati m"&amp;"inn David Hatcher Childress; u l-karti Tesla.")</f>
        <v>Tesla kitbet numru ta ’kotba u artikli għal rivisti u ġurnali. Fost il-kotba tiegħu hemm l-invenzjonijiet tiegħi: l-awtobijografija ta 'Nikola Tesla, miġbura u editjata minn Ben Johnston; L-invenzjonijiet meraviljużi ta 'Nikola Tesla, miġbura u editjati minn David Hatcher Childress; u l-karti Tesla.</v>
      </c>
    </row>
    <row r="21024" ht="15.75" customHeight="1">
      <c r="A21024" s="2" t="s">
        <v>21024</v>
      </c>
      <c r="B21024" s="2" t="str">
        <f>IFERROR(__xludf.DUMMYFUNCTION("GOOGLETRANSLATE(A21024, ""en"", ""mt"")"),"Sainte Foy")</f>
        <v>Sainte Foy</v>
      </c>
    </row>
    <row r="21025" ht="15.75" customHeight="1">
      <c r="A21025" s="2" t="s">
        <v>21025</v>
      </c>
      <c r="B21025" s="2" t="str">
        <f>IFERROR(__xludf.DUMMYFUNCTION("GOOGLETRANSLATE(A21025, ""en"", ""mt"")"),"Min għelbu l-Carolina Panthers fil-logħba tal-Kampjonat NFC 2015?")</f>
        <v>Min għelbu l-Carolina Panthers fil-logħba tal-Kampjonat NFC 2015?</v>
      </c>
    </row>
    <row r="21026" ht="15.75" customHeight="1">
      <c r="A21026" s="2" t="s">
        <v>21026</v>
      </c>
      <c r="B21026" s="2" t="str">
        <f>IFERROR(__xludf.DUMMYFUNCTION("GOOGLETRANSLATE(A21026, ""en"", ""mt"")"),"Hemm aktar minn 10,000 oġġett magħmul mill-fidda jew deheb fil-kollezzjoni, il-wiri (madwar 15% tal-kollezzjoni) huwa maqsum fi sekulari kif ukoll sagru li jkopri kemm Kristjani (Kattoliċi Rumani, Ortodossi Anglikani u Griegi) u bastimenti liturġiċi Lhudi"&amp;"ja u oġġetti. Il-gallerija tal-fidda ewlenija hija maqsuma f'dawn iż-żoni: il-fidda Ingliża qabel l-1800; Silver Brittaniku mill-1800 sal-1900; modernist għall-fidda kontemporanja; Fidda Ewropea. Il-kollezzjoni tinkludi l-ewwel biċċa magħrufa tal-fidda In"&amp;"gliża bil-qofol tad-data, beaker tal-fidda tal-fidda datata 1496–97. Silversmiths ""li x-xogħol tiegħu huwa rrappreżentat fil-kollezzjoni jinkludu Paul de Lamerie u Paul Storr li l-Castlereagh Inkstand datat 1817–19 huwa wieħed mill-ifjen xogħlijiet tiegħ"&amp;"u. Il-gallerija ewlenija tax-xogħol tal-ħadid tkopri ħadid maħdum u mitfugħ Ewropew mill-perjodu medjevali sal-bidu tas-seklu 20. Il-kaptan tax-xogħol tal-ħadid maħdum Jean Tijou huwa rrappreżentat kemm minn eżempji tax-xogħol tiegħu kif ukoll tad-disinji"&amp;" fuq il-karta. Wieħed mill-ikbar oġġetti huwa l-iskrin Hereford, li jiżen kważi 8 tunnellati, 10.5 metri għolja u 11-il metru wiesa ', iddisinjat minn Sir George Gilbert Scott fl-1862 għall-kanċell fil-Katidral ta' Hereford, li minnu tneħħa fl-1967. Kien "&amp;"magħmul minn Skidmore &amp; Company. L-istruttura tal-injam u l-ħadid fondut tagħha hija msebbħa bil-ħadid maħdum, ram maħruq u ram. Ħafna mir-ram u xogħol tal-ħadid huwa miżbugħ f'firxa wiesgħa ta 'kuluri. L-arkati u l-kolonni huma mżejna bi kwarz illustrat "&amp;"u pannelli tal-mużajk.")</f>
        <v>Hemm aktar minn 10,000 oġġett magħmul mill-fidda jew deheb fil-kollezzjoni, il-wiri (madwar 15% tal-kollezzjoni) huwa maqsum fi sekulari kif ukoll sagru li jkopri kemm Kristjani (Kattoliċi Rumani, Ortodossi Anglikani u Griegi) u bastimenti liturġiċi Lhudija u oġġetti. Il-gallerija tal-fidda ewlenija hija maqsuma f'dawn iż-żoni: il-fidda Ingliża qabel l-1800; Silver Brittaniku mill-1800 sal-1900; modernist għall-fidda kontemporanja; Fidda Ewropea. Il-kollezzjoni tinkludi l-ewwel biċċa magħrufa tal-fidda Ingliża bil-qofol tad-data, beaker tal-fidda tal-fidda datata 1496–97. Silversmiths "li x-xogħol tiegħu huwa rrappreżentat fil-kollezzjoni jinkludu Paul de Lamerie u Paul Storr li l-Castlereagh Inkstand datat 1817–19 huwa wieħed mill-ifjen xogħlijiet tiegħu. Il-gallerija ewlenija tax-xogħol tal-ħadid tkopri ħadid maħdum u mitfugħ Ewropew mill-perjodu medjevali sal-bidu tas-seklu 20. Il-kaptan tax-xogħol tal-ħadid maħdum Jean Tijou huwa rrappreżentat kemm minn eżempji tax-xogħol tiegħu kif ukoll tad-disinji fuq il-karta. Wieħed mill-ikbar oġġetti huwa l-iskrin Hereford, li jiżen kważi 8 tunnellati, 10.5 metri għolja u 11-il metru wiesa ', iddisinjat minn Sir George Gilbert Scott fl-1862 għall-kanċell fil-Katidral ta' Hereford, li minnu tneħħa fl-1967. Kien magħmul minn Skidmore &amp; Company. L-istruttura tal-injam u l-ħadid fondut tagħha hija msebbħa bil-ħadid maħdum, ram maħruq u ram. Ħafna mir-ram u xogħol tal-ħadid huwa miżbugħ f'firxa wiesgħa ta 'kuluri. L-arkati u l-kolonni huma mżejna bi kwarz illustrat u pannelli tal-mużajk.</v>
      </c>
    </row>
    <row r="21027" ht="15.75" customHeight="1">
      <c r="A21027" s="2" t="s">
        <v>21027</v>
      </c>
      <c r="B21027" s="2" t="str">
        <f>IFERROR(__xludf.DUMMYFUNCTION("GOOGLETRANSLATE(A21027, ""en"", ""mt"")"),"Telepatija")</f>
        <v>Telepatija</v>
      </c>
    </row>
    <row r="21028" ht="15.75" customHeight="1">
      <c r="A21028" s="2" t="s">
        <v>21028</v>
      </c>
      <c r="B21028" s="2" t="str">
        <f>IFERROR(__xludf.DUMMYFUNCTION("GOOGLETRANSLATE(A21028, ""en"", ""mt"")"),"Politifact")</f>
        <v>Politifact</v>
      </c>
    </row>
    <row r="21029" ht="15.75" customHeight="1">
      <c r="A21029" s="2" t="s">
        <v>21029</v>
      </c>
      <c r="B21029" s="2" t="str">
        <f>IFERROR(__xludf.DUMMYFUNCTION("GOOGLETRANSLATE(A21029, ""en"", ""mt"")"),"Storja turbulenti tal-belt")</f>
        <v>Storja turbulenti tal-belt</v>
      </c>
    </row>
    <row r="21030" ht="15.75" customHeight="1">
      <c r="A21030" s="2" t="s">
        <v>21030</v>
      </c>
      <c r="B21030" s="2" t="str">
        <f>IFERROR(__xludf.DUMMYFUNCTION("GOOGLETRANSLATE(A21030, ""en"", ""mt"")"),"Min iġġieled fil-Gwerra Franċiża u Indjana?")</f>
        <v>Min iġġieled fil-Gwerra Franċiża u Indjana?</v>
      </c>
    </row>
    <row r="21031" ht="15.75" customHeight="1">
      <c r="A21031" s="2" t="s">
        <v>21031</v>
      </c>
      <c r="B21031" s="2" t="str">
        <f>IFERROR(__xludf.DUMMYFUNCTION("GOOGLETRANSLATE(A21031, ""en"", ""mt"")"),"O")</f>
        <v>O</v>
      </c>
    </row>
    <row r="21032" ht="15.75" customHeight="1">
      <c r="A21032" s="2" t="s">
        <v>21032</v>
      </c>
      <c r="B21032" s="2" t="str">
        <f>IFERROR(__xludf.DUMMYFUNCTION("GOOGLETRANSLATE(A21032, ""en"", ""mt"")"),"metodu li bih il-mediċini huma mitluba u riċevuti")</f>
        <v>metodu li bih il-mediċini huma mitluba u riċevuti</v>
      </c>
    </row>
    <row r="21033" ht="15.75" customHeight="1">
      <c r="A21033" s="2" t="s">
        <v>21033</v>
      </c>
      <c r="B21033" s="2" t="str">
        <f>IFERROR(__xludf.DUMMYFUNCTION("GOOGLETRANSLATE(A21033, ""en"", ""mt"")"),"It-tielet invażjoni twaqqfet bir-rebħa Franċiża improbabbli fil-Battalja ta ’Carillon, li fiha 3,600 Franċiż famuż u b’mod deċiżiv għelbu l-forza ta’ Abercrombie ta ’18,000 regolari, milizja u alleati Amerikani Nattivi barra l-forti li l-Franċiżi jissejħu"&amp;" Carillon u l-Ingliżi msejħa Ticonderoga. Abercrombie salva xi ħaġa mid-diżastru meta bagħat lil John Bradstreet fuq spedizzjoni li qered b'suċċess Fort Frontenac, inklużi cache ta 'provvisti destinati għall-fortizzi tal-Punent u l-pil tal-Punent ta' Fran"&amp;"za ġodda destinati għall-Ewropa. Abercrombie ġie mfakkar u mibdul minn Jeffery Amherst, Victor fi Louisbourg.")</f>
        <v>It-tielet invażjoni twaqqfet bir-rebħa Franċiża improbabbli fil-Battalja ta ’Carillon, li fiha 3,600 Franċiż famuż u b’mod deċiżiv għelbu l-forza ta’ Abercrombie ta ’18,000 regolari, milizja u alleati Amerikani Nattivi barra l-forti li l-Franċiżi jissejħu Carillon u l-Ingliżi msejħa Ticonderoga. Abercrombie salva xi ħaġa mid-diżastru meta bagħat lil John Bradstreet fuq spedizzjoni li qered b'suċċess Fort Frontenac, inklużi cache ta 'provvisti destinati għall-fortizzi tal-Punent u l-pil tal-Punent ta' Franza ġodda destinati għall-Ewropa. Abercrombie ġie mfakkar u mibdul minn Jeffery Amherst, Victor fi Louisbourg.</v>
      </c>
    </row>
    <row r="21034" ht="15.75" customHeight="1">
      <c r="A21034" s="2" t="s">
        <v>21034</v>
      </c>
      <c r="B21034" s="2" t="str">
        <f>IFERROR(__xludf.DUMMYFUNCTION("GOOGLETRANSLATE(A21034, ""en"", ""mt"")"),"subborgi")</f>
        <v>subborgi</v>
      </c>
    </row>
    <row r="21035" ht="15.75" customHeight="1">
      <c r="A21035" s="2" t="s">
        <v>21035</v>
      </c>
      <c r="B21035" s="2" t="str">
        <f>IFERROR(__xludf.DUMMYFUNCTION("GOOGLETRANSLATE(A21035, ""en"", ""mt"")"),"Meta se jkunu disponibbli l-prodotti l-ġodda Sky Q?")</f>
        <v>Meta se jkunu disponibbli l-prodotti l-ġodda Sky Q?</v>
      </c>
    </row>
    <row r="21036" ht="15.75" customHeight="1">
      <c r="A21036" s="2" t="s">
        <v>21036</v>
      </c>
      <c r="B21036" s="2" t="str">
        <f>IFERROR(__xludf.DUMMYFUNCTION("GOOGLETRANSLATE(A21036, ""en"", ""mt"")"),"Defensins")</f>
        <v>Defensins</v>
      </c>
    </row>
    <row r="21037" ht="15.75" customHeight="1">
      <c r="A21037" s="2" t="s">
        <v>21037</v>
      </c>
      <c r="B21037" s="2" t="str">
        <f>IFERROR(__xludf.DUMMYFUNCTION("GOOGLETRANSLATE(A21037, ""en"", ""mt"")"),"Għal liema belt tappartjeni d-distrett ta 'Hollywood?")</f>
        <v>Għal liema belt tappartjeni d-distrett ta 'Hollywood?</v>
      </c>
    </row>
    <row r="21038" ht="15.75" customHeight="1">
      <c r="A21038" s="2" t="s">
        <v>21038</v>
      </c>
      <c r="B21038" s="2" t="str">
        <f>IFERROR(__xludf.DUMMYFUNCTION("GOOGLETRANSLATE(A21038, ""en"", ""mt"")"),"L-Applikazzjonijiet tal-Isport CBS")</f>
        <v>L-Applikazzjonijiet tal-Isport CBS</v>
      </c>
    </row>
    <row r="21039" ht="15.75" customHeight="1">
      <c r="A21039" s="2" t="s">
        <v>21039</v>
      </c>
      <c r="B21039" s="2" t="str">
        <f>IFERROR(__xludf.DUMMYFUNCTION("GOOGLETRANSLATE(A21039, ""en"", ""mt"")"),"wieħed mill-aktar sinjuri")</f>
        <v>wieħed mill-aktar sinjuri</v>
      </c>
    </row>
    <row r="21040" ht="15.75" customHeight="1">
      <c r="A21040" s="2" t="s">
        <v>21040</v>
      </c>
      <c r="B21040" s="2" t="str">
        <f>IFERROR(__xludf.DUMMYFUNCTION("GOOGLETRANSLATE(A21040, ""en"", ""mt"")"),"Pożizzjonijiet ikklassifikati")</f>
        <v>Pożizzjonijiet ikklassifikati</v>
      </c>
    </row>
    <row r="21041" ht="15.75" customHeight="1">
      <c r="A21041" s="2" t="s">
        <v>21041</v>
      </c>
      <c r="B21041" s="2" t="str">
        <f>IFERROR(__xludf.DUMMYFUNCTION("GOOGLETRANSLATE(A21041, ""en"", ""mt"")"),"it-tielet")</f>
        <v>it-tielet</v>
      </c>
    </row>
    <row r="21042" ht="15.75" customHeight="1">
      <c r="A21042" s="2" t="s">
        <v>21042</v>
      </c>
      <c r="B21042" s="2" t="str">
        <f>IFERROR(__xludf.DUMMYFUNCTION("GOOGLETRANSLATE(A21042, ""en"", ""mt"")"),"Meta ġiet ivvintata l-iskritt Phags-Pa?")</f>
        <v>Meta ġiet ivvintata l-iskritt Phags-Pa?</v>
      </c>
    </row>
    <row r="21043" ht="15.75" customHeight="1">
      <c r="A21043" s="2" t="s">
        <v>21043</v>
      </c>
      <c r="B21043" s="2" t="str">
        <f>IFERROR(__xludf.DUMMYFUNCTION("GOOGLETRANSLATE(A21043, ""en"", ""mt"")"),"Fejn hi d-dar tal-klabb tal-pajjiż Sunnyside?")</f>
        <v>Fejn hi d-dar tal-klabb tal-pajjiż Sunnyside?</v>
      </c>
    </row>
    <row r="21044" ht="15.75" customHeight="1">
      <c r="A21044" s="2" t="s">
        <v>21044</v>
      </c>
      <c r="B21044" s="2" t="str">
        <f>IFERROR(__xludf.DUMMYFUNCTION("GOOGLETRANSLATE(A21044, ""en"", ""mt"")"),"Biex tmexxi pompi tal-protoni")</f>
        <v>Biex tmexxi pompi tal-protoni</v>
      </c>
    </row>
    <row r="21045" ht="15.75" customHeight="1">
      <c r="A21045" s="2" t="s">
        <v>21045</v>
      </c>
      <c r="B21045" s="2" t="str">
        <f>IFERROR(__xludf.DUMMYFUNCTION("GOOGLETRANSLATE(A21045, ""en"", ""mt"")"),"Kemm idumu l-Astronawti biex ikunu jistgħu jibqgħu fuq il-qamar għal dawn l-aħħar missjonijiet?")</f>
        <v>Kemm idumu l-Astronawti biex ikunu jistgħu jibqgħu fuq il-qamar għal dawn l-aħħar missjonijiet?</v>
      </c>
    </row>
    <row r="21046" ht="15.75" customHeight="1">
      <c r="A21046" s="2" t="s">
        <v>21046</v>
      </c>
      <c r="B21046" s="2" t="str">
        <f>IFERROR(__xludf.DUMMYFUNCTION("GOOGLETRANSLATE(A21046, ""en"", ""mt"")"),"Kemm 'il bogħod mid-dar tal-istat fiċ-ċentru ta' Boston huwa Harvard Yard?")</f>
        <v>Kemm 'il bogħod mid-dar tal-istat fiċ-ċentru ta' Boston huwa Harvard Yard?</v>
      </c>
    </row>
    <row r="21047" ht="15.75" customHeight="1">
      <c r="A21047" s="2" t="s">
        <v>21047</v>
      </c>
      <c r="B21047" s="2" t="str">
        <f>IFERROR(__xludf.DUMMYFUNCTION("GOOGLETRANSLATE(A21047, ""en"", ""mt"")"),"Il-Knisja Protestanta Franċiża ta ’Londra")</f>
        <v>Il-Knisja Protestanta Franċiża ta ’Londra</v>
      </c>
    </row>
    <row r="21048" ht="15.75" customHeight="1">
      <c r="A21048" s="2" t="s">
        <v>21048</v>
      </c>
      <c r="B21048" s="2" t="str">
        <f>IFERROR(__xludf.DUMMYFUNCTION("GOOGLETRANSLATE(A21048, ""en"", ""mt"")"),"California")</f>
        <v>California</v>
      </c>
    </row>
    <row r="21049" ht="15.75" customHeight="1">
      <c r="A21049" s="2" t="s">
        <v>21049</v>
      </c>
      <c r="B21049" s="2" t="str">
        <f>IFERROR(__xludf.DUMMYFUNCTION("GOOGLETRANSLATE(A21049, ""en"", ""mt"")"),"515 miljun sena ilu")</f>
        <v>515 miljun sena ilu</v>
      </c>
    </row>
    <row r="21050" ht="15.75" customHeight="1">
      <c r="A21050" s="2" t="s">
        <v>21050</v>
      </c>
      <c r="B21050" s="2" t="str">
        <f>IFERROR(__xludf.DUMMYFUNCTION("GOOGLETRANSLATE(A21050, ""en"", ""mt"")"),"BBC Wales")</f>
        <v>BBC Wales</v>
      </c>
    </row>
    <row r="21051" ht="15.75" customHeight="1">
      <c r="A21051" s="2" t="s">
        <v>21051</v>
      </c>
      <c r="B21051" s="2" t="str">
        <f>IFERROR(__xludf.DUMMYFUNCTION("GOOGLETRANSLATE(A21051, ""en"", ""mt"")"),"Lek")</f>
        <v>Lek</v>
      </c>
    </row>
    <row r="21052" ht="15.75" customHeight="1">
      <c r="A21052" s="2" t="s">
        <v>21052</v>
      </c>
      <c r="B21052" s="2" t="str">
        <f>IFERROR(__xludf.DUMMYFUNCTION("GOOGLETRANSLATE(A21052, ""en"", ""mt"")"),"Fejn iltaqa 'l-kongregazzjoni ta' San Ġorġ inizjalment fl-1767?")</f>
        <v>Fejn iltaqa 'l-kongregazzjoni ta' San Ġorġ inizjalment fl-1767?</v>
      </c>
    </row>
    <row r="21053" ht="15.75" customHeight="1">
      <c r="A21053" s="2" t="s">
        <v>21053</v>
      </c>
      <c r="B21053" s="2" t="str">
        <f>IFERROR(__xludf.DUMMYFUNCTION("GOOGLETRANSLATE(A21053, ""en"", ""mt"")"),"Destiny of the Doctor")</f>
        <v>Destiny of the Doctor</v>
      </c>
    </row>
    <row r="21054" ht="15.75" customHeight="1">
      <c r="A21054" s="2" t="s">
        <v>21054</v>
      </c>
      <c r="B21054" s="2" t="str">
        <f>IFERROR(__xludf.DUMMYFUNCTION("GOOGLETRANSLATE(A21054, ""en"", ""mt"")"),"nofs")</f>
        <v>nofs</v>
      </c>
    </row>
    <row r="21055" ht="15.75" customHeight="1">
      <c r="A21055" s="2" t="s">
        <v>21055</v>
      </c>
      <c r="B21055" s="2" t="str">
        <f>IFERROR(__xludf.DUMMYFUNCTION("GOOGLETRANSLATE(A21055, ""en"", ""mt"")"),"Il-kollezzjoni ta 'skultura Taljana, Medjevali, Rinaxximent, Barokka u Neoklasika (kemm oriġinali kif ukoll f'forma mitfugħa) mhix ugwali barra mill-Italja. Dan jinkludi t-Tliet Grazzji ta 'Canova, li l-mużew għandu b'mod konġunt ma' Galleriji Nazzjonali "&amp;"tal-Iskozja. Skulturi Taljani li x-xogħol tagħhom huwa miżmum mill-mużew jinkludu: Bartolomeo Bon, Bartolomeo Bellano, Luca della Robbia, Giovanni Pisano, Donatello, Agostino di Duccio, Andrea Riccio, Antonio Rossellino, Andrea del Verrocchio, Antonio Lom"&amp;"bardo, Pier Jacopo Robbia, Michelozzo di Bartolomeo, Michelangelo (irrappreżentat minn mudell ta 'xama' freehand u kast tal-aktar skulturi famużi tiegħu), Jacopo Sansovino, Alessandro Algardi, Antonio Calcagni, Benvenuto cellini (il-kap ta 'Medusa datat c"&amp;". 1547), Agostino Busti, Bartolomeo Amannati. Della Porta, Giambologna (Samson Slaying Philistine (Giambologna) c. 1562, ix-xogħol ifjen tiegħu barra l-Italja), Bernini (Neptune u Triton c. 1622–3), Giovanni Battista Foggini, Vincenzo Foggini (Samson u l-"&amp;"Filistin Benzi, Antonio Corradini, Andrea Brustolon, Giovanni Battista Piranesi, Innovazzi Innovazzi, Canova, Carlo Marochetti u Raffaelle Monti. Skultura mhux tas-soltu hija l-istatwa Rumana tal-qedem ta 'Narcissus restawrata minn Valerio Cioli C1564 bil"&amp;"-ġibs. Hemm diversi bronż fuq skala żgħira minn Donatello, Alessandro Vittoria, Tiziano Aspetti u Francesco Fanelli fil-kollezzjoni. L-akbar oġġett mill-Italja huwa l-Kappella tal-Kanċell minn Santa Chiara Firenze datata 1493-1500, iddisinjata minn Giulia"&amp;"no da Sangallo Huwa 11.1 metri fl-għoli minn 5.4 metri kwadru, dan jinkludi tabernaklu grandjuż minn Antonio Rossellino u dekorazzjoni tat-terracotta kkulurita.")</f>
        <v>Il-kollezzjoni ta 'skultura Taljana, Medjevali, Rinaxximent, Barokka u Neoklasika (kemm oriġinali kif ukoll f'forma mitfugħa) mhix ugwali barra mill-Italja. Dan jinkludi t-Tliet Grazzji ta 'Canova, li l-mużew għandu b'mod konġunt ma' Galleriji Nazzjonali tal-Iskozja. Skulturi Taljani li x-xogħol tagħhom huwa miżmum mill-mużew jinkludu: Bartolomeo Bon, Bartolomeo Bellano, Luca della Robbia, Giovanni Pisano, Donatello, Agostino di Duccio, Andrea Riccio, Antonio Rossellino, Andrea del Verrocchio, Antonio Lombardo, Pier Jacopo Robbia, Michelozzo di Bartolomeo, Michelangelo (irrappreżentat minn mudell ta 'xama' freehand u kast tal-aktar skulturi famużi tiegħu), Jacopo Sansovino, Alessandro Algardi, Antonio Calcagni, Benvenuto cellini (il-kap ta 'Medusa datat c. 1547), Agostino Busti, Bartolomeo Amannati. Della Porta, Giambologna (Samson Slaying Philistine (Giambologna) c. 1562, ix-xogħol ifjen tiegħu barra l-Italja), Bernini (Neptune u Triton c. 1622–3), Giovanni Battista Foggini, Vincenzo Foggini (Samson u l-Filistin Benzi, Antonio Corradini, Andrea Brustolon, Giovanni Battista Piranesi, Innovazzi Innovazzi, Canova, Carlo Marochetti u Raffaelle Monti. Skultura mhux tas-soltu hija l-istatwa Rumana tal-qedem ta 'Narcissus restawrata minn Valerio Cioli C1564 bil-ġibs. Hemm diversi bronż fuq skala żgħira minn Donatello, Alessandro Vittoria, Tiziano Aspetti u Francesco Fanelli fil-kollezzjoni. L-akbar oġġett mill-Italja huwa l-Kappella tal-Kanċell minn Santa Chiara Firenze datata 1493-1500, iddisinjata minn Giuliano da Sangallo Huwa 11.1 metri fl-għoli minn 5.4 metri kwadru, dan jinkludi tabernaklu grandjuż minn Antonio Rossellino u dekorazzjoni tat-terracotta kkulurita.</v>
      </c>
    </row>
    <row r="21056" ht="15.75" customHeight="1">
      <c r="A21056" s="2" t="s">
        <v>21056</v>
      </c>
      <c r="B21056" s="2" t="str">
        <f>IFERROR(__xludf.DUMMYFUNCTION("GOOGLETRANSLATE(A21056, ""en"", ""mt"")"),"Chen's")</f>
        <v>Chen's</v>
      </c>
    </row>
    <row r="21057" ht="15.75" customHeight="1">
      <c r="A21057" s="2" t="s">
        <v>21057</v>
      </c>
      <c r="B21057" s="2" t="str">
        <f>IFERROR(__xludf.DUMMYFUNCTION("GOOGLETRANSLATE(A21057, ""en"", ""mt"")"),"Liema pjaneta ġiet imsemmija għal missjoni fly-by minn S-IVB vojta?")</f>
        <v>Liema pjaneta ġiet imsemmija għal missjoni fly-by minn S-IVB vojta?</v>
      </c>
    </row>
    <row r="21058" ht="15.75" customHeight="1">
      <c r="A21058" s="2" t="s">
        <v>21058</v>
      </c>
      <c r="B21058" s="2" t="str">
        <f>IFERROR(__xludf.DUMMYFUNCTION("GOOGLETRANSLATE(A21058, ""en"", ""mt"")"),"Min hu meqjus bħala l-awtorità aħħarija dwar it-tibdil fil-klima?")</f>
        <v>Min hu meqjus bħala l-awtorità aħħarija dwar it-tibdil fil-klima?</v>
      </c>
    </row>
    <row r="21059" ht="15.75" customHeight="1">
      <c r="A21059" s="2" t="s">
        <v>21059</v>
      </c>
      <c r="B21059" s="2" t="str">
        <f>IFERROR(__xludf.DUMMYFUNCTION("GOOGLETRANSLATE(A21059, ""en"", ""mt"")"),"Mill-4 ta ’Awwissu 1915 sa Novembru 1918")</f>
        <v>Mill-4 ta ’Awwissu 1915 sa Novembru 1918</v>
      </c>
    </row>
    <row r="21060" ht="15.75" customHeight="1">
      <c r="A21060" s="2" t="s">
        <v>21060</v>
      </c>
      <c r="B21060" s="2" t="str">
        <f>IFERROR(__xludf.DUMMYFUNCTION("GOOGLETRANSLATE(A21060, ""en"", ""mt"")"),"Kemm aktar siti tal-inżul għall-missjonijiet Apollo ppjanaw in-NASA?")</f>
        <v>Kemm aktar siti tal-inżul għall-missjonijiet Apollo ppjanaw in-NASA?</v>
      </c>
    </row>
    <row r="21061" ht="15.75" customHeight="1">
      <c r="A21061" s="2" t="s">
        <v>21061</v>
      </c>
      <c r="B21061" s="2" t="str">
        <f>IFERROR(__xludf.DUMMYFUNCTION("GOOGLETRANSLATE(A21061, ""en"", ""mt"")"),"Meta ġiet stabbilita l-Kumpanija Brittanika tal-Indja tal-Lvant?")</f>
        <v>Meta ġiet stabbilita l-Kumpanija Brittanika tal-Indja tal-Lvant?</v>
      </c>
    </row>
    <row r="21062" ht="15.75" customHeight="1">
      <c r="A21062" s="2" t="s">
        <v>21062</v>
      </c>
      <c r="B21062" s="2" t="str">
        <f>IFERROR(__xludf.DUMMYFUNCTION("GOOGLETRANSLATE(A21062, ""en"", ""mt"")"),"Liema kunflitti naqset il-mitigazzjoni tal-ożonu?")</f>
        <v>Liema kunflitti naqset il-mitigazzjoni tal-ożonu?</v>
      </c>
    </row>
    <row r="21063" ht="15.75" customHeight="1">
      <c r="A21063" s="2" t="s">
        <v>21063</v>
      </c>
      <c r="B21063" s="2" t="str">
        <f>IFERROR(__xludf.DUMMYFUNCTION("GOOGLETRANSLATE(A21063, ""en"", ""mt"")"),"X'inhuma d-differenzi kbar fil-ġid attribwiti mis-soċjalisti?")</f>
        <v>X'inhuma d-differenzi kbar fil-ġid attribwiti mis-soċjalisti?</v>
      </c>
    </row>
    <row r="21064" ht="15.75" customHeight="1">
      <c r="A21064" s="2" t="s">
        <v>21064</v>
      </c>
      <c r="B21064" s="2" t="str">
        <f>IFERROR(__xludf.DUMMYFUNCTION("GOOGLETRANSLATE(A21064, ""en"", ""mt"")"),"X’kien jemmen Luther li r-ruħ tagħmel wara l-mewt?")</f>
        <v>X’kien jemmen Luther li r-ruħ tagħmel wara l-mewt?</v>
      </c>
    </row>
    <row r="21065" ht="15.75" customHeight="1">
      <c r="A21065" s="2" t="s">
        <v>21065</v>
      </c>
      <c r="B21065" s="2" t="str">
        <f>IFERROR(__xludf.DUMMYFUNCTION("GOOGLETRANSLATE(A21065, ""en"", ""mt"")"),"Mikroskopju petrografiku")</f>
        <v>Mikroskopju petrografiku</v>
      </c>
    </row>
    <row r="21066" ht="15.75" customHeight="1">
      <c r="A21066" s="2" t="s">
        <v>21066</v>
      </c>
      <c r="B21066" s="2" t="str">
        <f>IFERROR(__xludf.DUMMYFUNCTION("GOOGLETRANSLATE(A21066, ""en"", ""mt"")"),"Victoria_and_albert_museum")</f>
        <v>Victoria_and_albert_museum</v>
      </c>
    </row>
    <row r="21067" ht="15.75" customHeight="1">
      <c r="A21067" s="2" t="s">
        <v>21067</v>
      </c>
      <c r="B21067" s="2" t="str">
        <f>IFERROR(__xludf.DUMMYFUNCTION("GOOGLETRANSLATE(A21067, ""en"", ""mt"")"),"Min kowċja lil kull parteċipant tas-Super Bowl 50 fl-iktar dehra reċenti tagħhom tas-Super Bowl qabel Super Bowl 50?")</f>
        <v>Min kowċja lil kull parteċipant tas-Super Bowl 50 fl-iktar dehra reċenti tagħhom tas-Super Bowl qabel Super Bowl 50?</v>
      </c>
    </row>
    <row r="21068" ht="15.75" customHeight="1">
      <c r="A21068" s="2" t="s">
        <v>21068</v>
      </c>
      <c r="B21068" s="2" t="str">
        <f>IFERROR(__xludf.DUMMYFUNCTION("GOOGLETRANSLATE(A21068, ""en"", ""mt"")"),"Studs Terkel")</f>
        <v>Studs Terkel</v>
      </c>
    </row>
    <row r="21069" ht="15.75" customHeight="1">
      <c r="A21069" s="2" t="s">
        <v>21069</v>
      </c>
      <c r="B21069" s="2" t="str">
        <f>IFERROR(__xludf.DUMMYFUNCTION("GOOGLETRANSLATE(A21069, ""en"", ""mt"")"),"kowċ")</f>
        <v>kowċ</v>
      </c>
    </row>
    <row r="21070" ht="15.75" customHeight="1">
      <c r="A21070" s="2" t="s">
        <v>21070</v>
      </c>
      <c r="B21070" s="2" t="str">
        <f>IFERROR(__xludf.DUMMYFUNCTION("GOOGLETRANSLATE(A21070, ""en"", ""mt"")"),"X'kien l-iskor finali tal-logħba tal-kampjonat AFC?")</f>
        <v>X'kien l-iskor finali tal-logħba tal-kampjonat AFC?</v>
      </c>
    </row>
    <row r="21071" ht="15.75" customHeight="1">
      <c r="A21071" s="2" t="s">
        <v>21071</v>
      </c>
      <c r="B21071" s="2" t="str">
        <f>IFERROR(__xludf.DUMMYFUNCTION("GOOGLETRANSLATE(A21071, ""en"", ""mt"")"),"Interferenza RNA")</f>
        <v>Interferenza RNA</v>
      </c>
    </row>
    <row r="21072" ht="15.75" customHeight="1">
      <c r="A21072" s="2" t="s">
        <v>21072</v>
      </c>
      <c r="B21072" s="2" t="str">
        <f>IFERROR(__xludf.DUMMYFUNCTION("GOOGLETRANSLATE(A21072, ""en"", ""mt"")"),"Alġerija")</f>
        <v>Alġerija</v>
      </c>
    </row>
    <row r="21073" ht="15.75" customHeight="1">
      <c r="A21073" s="2" t="s">
        <v>21073</v>
      </c>
      <c r="B21073" s="2" t="str">
        <f>IFERROR(__xludf.DUMMYFUNCTION("GOOGLETRANSLATE(A21073, ""en"", ""mt"")"),"30–60% tal-popolazzjoni totali tal-Ewropa")</f>
        <v>30–60% tal-popolazzjoni totali tal-Ewropa</v>
      </c>
    </row>
    <row r="21074" ht="15.75" customHeight="1">
      <c r="A21074" s="2" t="s">
        <v>21074</v>
      </c>
      <c r="B21074" s="2" t="str">
        <f>IFERROR(__xludf.DUMMYFUNCTION("GOOGLETRANSLATE(A21074, ""en"", ""mt"")"),"Ir-rati ta 'mortalità f'żoni rurali matul il-pandemija tas-seklu 14 kienu inkonsistenti mal-pesta bubonika moderna")</f>
        <v>Ir-rati ta 'mortalità f'żoni rurali matul il-pandemija tas-seklu 14 kienu inkonsistenti mal-pesta bubonika moderna</v>
      </c>
    </row>
    <row r="21075" ht="15.75" customHeight="1">
      <c r="A21075" s="2" t="s">
        <v>21075</v>
      </c>
      <c r="B21075" s="2" t="str">
        <f>IFERROR(__xludf.DUMMYFUNCTION("GOOGLETRANSLATE(A21075, ""en"", ""mt"")"),"Fit-18 ta ’Novembru 2015, Sky ħabbret Sky Q, firxa ta’ prodotti u servizzi li għandhom ikunu disponibbli fl-2016. Il-firxa Sky Q tikkonsisti fi tliet kaxex tal-aqwa sett (Sky Q, Sky Q Silver u Sky Q Mini), router tal-broadband (Sky Q Hub) u applikazzjonij"&amp;"iet mobbli. Il-kaxex ta 'fuq tas-Sky Q jintroduċu interface tal-utent ġdid, funzjonalità Wi-Fi Hotspot, power-line u konnettività Bluetooth u kontroll mill-bogħod ġdid sensittiv għall-mess. Is-Sema Q Mini Set Top Boxes jaqbdu mal-kaxex ta 'fuq tas-Silda S"&amp;"ett tal-Fidda b'konnessjoni Wi-Fi jew Power-Line minflok ma jirċievu l-għalf tas-satellita tagħhom stess. Dan jippermetti l-kaxxi ta 'fuq kollha stabbiliti f'familja biex jaqsmu reġistrazzjonijiet u midja oħra. Il-kaxxa ta 'fuq tas-Silda Sy Silver hija ka"&amp;"paċi tirċievi u turi xandiriet UHD, li Sky se tintroduċi aktar tard fl-2016.")</f>
        <v>Fit-18 ta ’Novembru 2015, Sky ħabbret Sky Q, firxa ta’ prodotti u servizzi li għandhom ikunu disponibbli fl-2016. Il-firxa Sky Q tikkonsisti fi tliet kaxex tal-aqwa sett (Sky Q, Sky Q Silver u Sky Q Mini), router tal-broadband (Sky Q Hub) u applikazzjonijiet mobbli. Il-kaxex ta 'fuq tas-Sky Q jintroduċu interface tal-utent ġdid, funzjonalità Wi-Fi Hotspot, power-line u konnettività Bluetooth u kontroll mill-bogħod ġdid sensittiv għall-mess. Is-Sema Q Mini Set Top Boxes jaqbdu mal-kaxex ta 'fuq tas-Silda Sett tal-Fidda b'konnessjoni Wi-Fi jew Power-Line minflok ma jirċievu l-għalf tas-satellita tagħhom stess. Dan jippermetti l-kaxxi ta 'fuq kollha stabbiliti f'familja biex jaqsmu reġistrazzjonijiet u midja oħra. Il-kaxxa ta 'fuq tas-Silda Sy Silver hija kapaċi tirċievi u turi xandiriet UHD, li Sky se tintroduċi aktar tard fl-2016.</v>
      </c>
    </row>
    <row r="21076" ht="15.75" customHeight="1">
      <c r="A21076" s="2" t="s">
        <v>21076</v>
      </c>
      <c r="B21076" s="2" t="str">
        <f>IFERROR(__xludf.DUMMYFUNCTION("GOOGLETRANSLATE(A21076, ""en"", ""mt"")"),"Apostat")</f>
        <v>Apostat</v>
      </c>
    </row>
    <row r="21077" ht="15.75" customHeight="1">
      <c r="A21077" s="2" t="s">
        <v>21077</v>
      </c>
      <c r="B21077" s="2" t="str">
        <f>IFERROR(__xludf.DUMMYFUNCTION("GOOGLETRANSLATE(A21077, ""en"", ""mt"")"),"F'liema Borough f'Londra tinsab il-Victoria and Albert Museum?")</f>
        <v>F'liema Borough f'Londra tinsab il-Victoria and Albert Museum?</v>
      </c>
    </row>
    <row r="21078" ht="15.75" customHeight="1">
      <c r="A21078" s="2" t="s">
        <v>21078</v>
      </c>
      <c r="B21078" s="2" t="str">
        <f>IFERROR(__xludf.DUMMYFUNCTION("GOOGLETRANSLATE(A21078, ""en"", ""mt"")"),"Liema mużika kellha r-raba 'karatteristika ta' soundtrack?")</f>
        <v>Liema mużika kellha r-raba 'karatteristika ta' soundtrack?</v>
      </c>
    </row>
    <row r="21079" ht="15.75" customHeight="1">
      <c r="A21079" s="2" t="s">
        <v>21079</v>
      </c>
      <c r="B21079" s="2" t="str">
        <f>IFERROR(__xludf.DUMMYFUNCTION("GOOGLETRANSLATE(A21079, ""en"", ""mt"")"),"2011–12")</f>
        <v>2011–12</v>
      </c>
    </row>
    <row r="21080" ht="15.75" customHeight="1">
      <c r="A21080" s="2" t="s">
        <v>21080</v>
      </c>
      <c r="B21080" s="2" t="str">
        <f>IFERROR(__xludf.DUMMYFUNCTION("GOOGLETRANSLATE(A21080, ""en"", ""mt"")"),"Il-kostruzzjoni tal-awtostradi")</f>
        <v>Il-kostruzzjoni tal-awtostradi</v>
      </c>
    </row>
    <row r="21081" ht="15.75" customHeight="1">
      <c r="A21081" s="2" t="s">
        <v>21081</v>
      </c>
      <c r="B21081" s="2" t="str">
        <f>IFERROR(__xludf.DUMMYFUNCTION("GOOGLETRANSLATE(A21081, ""en"", ""mt"")"),"Il-partijiet Vittorjani tal-bini għandhom storja kumplessa, b'żieda biċċa biċċa minn periti differenti. Imwaqqfa f'Mejju 1852, ma kienx sal-1857 li l-mużew mar fis-sit preżenti. Din iż-żona ta ’Londra kienet magħrufa bħala Brompton iżda kienet ġiet imsemm"&amp;"ija mill-ġdid South Kensington. L-art kienet okkupata minn Brompton Park House, li ġiet estiża, l-aktar mill- ""Boilers Brompton"", li kienu galleriji tal-ħadid utilitarji bil-kbir b'ħarsa temporanja u aktar tard ġew żarmati u użati biex jibnu l-V &amp; A Mus"&amp;"eum tat-Tfulija. L-ewwel bini li nbena li għadu jifforma parti mill-mużew kien il-gallerija tan-nagħaġ fl-1857 fuq in-naħa tal-Lvant tal-ġnien. Il-perit tiegħu kien il-kaptan tal-inġinier ċivili Francis Fowke, inġiniera rjali, li nħatar minn Cole. L-espan"&amp;"sjonijiet ewlenin li jmiss ġew iddisinjati mill-istess perit, il-galleriji Turner u Vernon mibnija 1858-9 biex jospitaw il-kollezzjonijiet eponimi (aktar tard trasferiti għall-Gallerija Tate) u issa ntużaw bħala l-istampi tal-galleriji u l-gallerija tat-t"&amp;"apizzerija rispettivament. Il-Qrati tat-Tramuntana u tan-Nofsinhar, imbagħad inbnew, it-tnejn li nfetħu sa Ġunju 1862. Issa jiffurmaw il-galleriji għal esibizzjonijiet temporanji u huma direttament wara l-gallerija tan-nagħaġ. Fit-tarf tat-tramuntana stes"&amp;"s tas-sit jinsab fil-ġwienaħ tas-Segretarjat, mibni wkoll fl-1862 dan fih l-uffiċċji u l-kamra tal-bord eċċ. U mhux miftuħ għall-pubbliku.")</f>
        <v>Il-partijiet Vittorjani tal-bini għandhom storja kumplessa, b'żieda biċċa biċċa minn periti differenti. Imwaqqfa f'Mejju 1852, ma kienx sal-1857 li l-mużew mar fis-sit preżenti. Din iż-żona ta ’Londra kienet magħrufa bħala Brompton iżda kienet ġiet imsemmija mill-ġdid South Kensington. L-art kienet okkupata minn Brompton Park House, li ġiet estiża, l-aktar mill- "Boilers Brompton", li kienu galleriji tal-ħadid utilitarji bil-kbir b'ħarsa temporanja u aktar tard ġew żarmati u użati biex jibnu l-V &amp; A Museum tat-Tfulija. L-ewwel bini li nbena li għadu jifforma parti mill-mużew kien il-gallerija tan-nagħaġ fl-1857 fuq in-naħa tal-Lvant tal-ġnien. Il-perit tiegħu kien il-kaptan tal-inġinier ċivili Francis Fowke, inġiniera rjali, li nħatar minn Cole. L-espansjonijiet ewlenin li jmiss ġew iddisinjati mill-istess perit, il-galleriji Turner u Vernon mibnija 1858-9 biex jospitaw il-kollezzjonijiet eponimi (aktar tard trasferiti għall-Gallerija Tate) u issa ntużaw bħala l-istampi tal-galleriji u l-gallerija tat-tapizzerija rispettivament. Il-Qrati tat-Tramuntana u tan-Nofsinhar, imbagħad inbnew, it-tnejn li nfetħu sa Ġunju 1862. Issa jiffurmaw il-galleriji għal esibizzjonijiet temporanji u huma direttament wara l-gallerija tan-nagħaġ. Fit-tarf tat-tramuntana stess tas-sit jinsab fil-ġwienaħ tas-Segretarjat, mibni wkoll fl-1862 dan fih l-uffiċċji u l-kamra tal-bord eċċ. U mhux miftuħ għall-pubbliku.</v>
      </c>
    </row>
    <row r="21082" ht="15.75" customHeight="1">
      <c r="A21082" s="2" t="s">
        <v>21082</v>
      </c>
      <c r="B21082" s="2" t="str">
        <f>IFERROR(__xludf.DUMMYFUNCTION("GOOGLETRANSLATE(A21082, ""en"", ""mt"")"),"Fl-Iżvezja, l-istudenti huma liberi li jagħżlu skola privata u l-iskola privata titħallas l-istess ammont bħall-iskejjel muniċipali. Aktar minn 10% tal-istudenti Żvediżi ġew irreġistrati fi skejjel privati ​​fl-2008. L-Iżvezja hija magħrufa internazzjonal"&amp;"ment għal dan il-mudell innovattiv tal-vawċer tal-iskola li jipprovdi lill-istudenti Żvediżi l-opportunità li jagħżlu l-iskola li jippreferu. Pereżempju, l-akbar katina tal-iskejjel, Kunskapskolan (“The Glowaning School”), toffri 30 skola u ambjent ibbaża"&amp;"t fuq il-web, għandha 700 impjegat u tgħallem kważi 10,000 student. Is-sistema Żvediża ġiet irrakkomandata lil Barack Obama.")</f>
        <v>Fl-Iżvezja, l-istudenti huma liberi li jagħżlu skola privata u l-iskola privata titħallas l-istess ammont bħall-iskejjel muniċipali. Aktar minn 10% tal-istudenti Żvediżi ġew irreġistrati fi skejjel privati ​​fl-2008. L-Iżvezja hija magħrufa internazzjonalment għal dan il-mudell innovattiv tal-vawċer tal-iskola li jipprovdi lill-istudenti Żvediżi l-opportunità li jagħżlu l-iskola li jippreferu. Pereżempju, l-akbar katina tal-iskejjel, Kunskapskolan (“The Glowaning School”), toffri 30 skola u ambjent ibbażat fuq il-web, għandha 700 impjegat u tgħallem kważi 10,000 student. Is-sistema Żvediża ġiet irrakkomandata lil Barack Obama.</v>
      </c>
    </row>
    <row r="21083" ht="15.75" customHeight="1">
      <c r="A21083" s="2" t="s">
        <v>21083</v>
      </c>
      <c r="B21083" s="2" t="str">
        <f>IFERROR(__xludf.DUMMYFUNCTION("GOOGLETRANSLATE(A21083, ""en"", ""mt"")"),"Pjazza tal-Parlament")</f>
        <v>Pjazza tal-Parlament</v>
      </c>
    </row>
    <row r="21084" ht="15.75" customHeight="1">
      <c r="A21084" s="2" t="s">
        <v>21084</v>
      </c>
      <c r="B21084" s="2" t="str">
        <f>IFERROR(__xludf.DUMMYFUNCTION("GOOGLETRANSLATE(A21084, ""en"", ""mt"")"),"Siegfried")</f>
        <v>Siegfried</v>
      </c>
    </row>
    <row r="21085" ht="15.75" customHeight="1">
      <c r="A21085" s="2" t="s">
        <v>21085</v>
      </c>
      <c r="B21085" s="2" t="str">
        <f>IFERROR(__xludf.DUMMYFUNCTION("GOOGLETRANSLATE(A21085, ""en"", ""mt"")"),"$ 5,000,000")</f>
        <v>$ 5,000,000</v>
      </c>
    </row>
    <row r="21086" ht="15.75" customHeight="1">
      <c r="A21086" s="2" t="s">
        <v>21086</v>
      </c>
      <c r="B21086" s="2" t="str">
        <f>IFERROR(__xludf.DUMMYFUNCTION("GOOGLETRANSLATE(A21086, ""en"", ""mt"")"),"Pons fi Franza")</f>
        <v>Pons fi Franza</v>
      </c>
    </row>
    <row r="21087" ht="15.75" customHeight="1">
      <c r="A21087" s="2" t="s">
        <v>21087</v>
      </c>
      <c r="B21087" s="2" t="str">
        <f>IFERROR(__xludf.DUMMYFUNCTION("GOOGLETRANSLATE(A21087, ""en"", ""mt"")"),"li jikkonsisti f'miljuni ta 'volts u sa 135 pied twil")</f>
        <v>li jikkonsisti f'miljuni ta 'volts u sa 135 pied twil</v>
      </c>
    </row>
    <row r="21088" ht="15.75" customHeight="1">
      <c r="A21088" s="2" t="s">
        <v>21088</v>
      </c>
      <c r="B21088" s="2" t="str">
        <f>IFERROR(__xludf.DUMMYFUNCTION("GOOGLETRANSLATE(A21088, ""en"", ""mt"")"),"Liema strument sar strument nazzjonali fil-Ġermanja?")</f>
        <v>Liema strument sar strument nazzjonali fil-Ġermanja?</v>
      </c>
    </row>
    <row r="21089" ht="15.75" customHeight="1">
      <c r="A21089" s="2" t="s">
        <v>21089</v>
      </c>
      <c r="B21089" s="2" t="str">
        <f>IFERROR(__xludf.DUMMYFUNCTION("GOOGLETRANSLATE(A21089, ""en"", ""mt"")"),"It-Torok Seljuk")</f>
        <v>It-Torok Seljuk</v>
      </c>
    </row>
    <row r="21090" ht="15.75" customHeight="1">
      <c r="A21090" s="2" t="s">
        <v>21090</v>
      </c>
      <c r="B21090" s="2" t="str">
        <f>IFERROR(__xludf.DUMMYFUNCTION("GOOGLETRANSLATE(A21090, ""en"", ""mt"")"),"Liema sena Tesla avża l-abbozz?")</f>
        <v>Liema sena Tesla avża l-abbozz?</v>
      </c>
    </row>
    <row r="21091" ht="15.75" customHeight="1">
      <c r="A21091" s="2" t="s">
        <v>21091</v>
      </c>
      <c r="B21091" s="2" t="str">
        <f>IFERROR(__xludf.DUMMYFUNCTION("GOOGLETRANSLATE(A21091, ""en"", ""mt"")"),"X'inhu grupp interdenominazzjonali magħmul minn diversi knejjes biex jippromwovi l-evanġelju madwar id-dinja?")</f>
        <v>X'inhu grupp interdenominazzjonali magħmul minn diversi knejjes biex jippromwovi l-evanġelju madwar id-dinja?</v>
      </c>
    </row>
    <row r="21092" ht="15.75" customHeight="1">
      <c r="A21092" s="2" t="s">
        <v>21092</v>
      </c>
      <c r="B21092" s="2" t="str">
        <f>IFERROR(__xludf.DUMMYFUNCTION("GOOGLETRANSLATE(A21092, ""en"", ""mt"")"),"Liema artikolu għamel dispożizzjonijiet għal konċentrazzjonijiet jew għaqdiet u l-abbuż ta 'pożizzjoni dominanti mill-kumpaniji?")</f>
        <v>Liema artikolu għamel dispożizzjonijiet għal konċentrazzjonijiet jew għaqdiet u l-abbuż ta 'pożizzjoni dominanti mill-kumpaniji?</v>
      </c>
    </row>
    <row r="21093" ht="15.75" customHeight="1">
      <c r="A21093" s="2" t="s">
        <v>21093</v>
      </c>
      <c r="B21093" s="2" t="str">
        <f>IFERROR(__xludf.DUMMYFUNCTION("GOOGLETRANSLATE(A21093, ""en"", ""mt"")"),"X'inhu l-eqdem blat magħruf fid-dinja?")</f>
        <v>X'inhu l-eqdem blat magħruf fid-dinja?</v>
      </c>
    </row>
    <row r="21094" ht="15.75" customHeight="1">
      <c r="A21094" s="2" t="s">
        <v>21094</v>
      </c>
      <c r="B21094" s="2" t="str">
        <f>IFERROR(__xludf.DUMMYFUNCTION("GOOGLETRANSLATE(A21094, ""en"", ""mt"")"),"1930")</f>
        <v>1930</v>
      </c>
    </row>
    <row r="21095" ht="15.75" customHeight="1">
      <c r="A21095" s="2" t="s">
        <v>21095</v>
      </c>
      <c r="B21095" s="2" t="str">
        <f>IFERROR(__xludf.DUMMYFUNCTION("GOOGLETRANSLATE(A21095, ""en"", ""mt"")"),"It-teologi, inklużi Zwingli, Melanchthon, Martin Bucer, u Johannes Oecolampadius, kienu differenti fuq is-sinifikat tal-kliem mitkellma minn Ġesù fl-Aħħar Ċena: ""Dan huwa l-ġisem tiegħi li huwa għalik"" u ""din it-tazza hija l-patt il-ġdid demm ""(1 Kori"&amp;"ntin 11: 23–26). Luther insista fuq il-preżenza reali tal-ġisem u d-demm ta ’Kristu fil-ħobż u l-inbid ikkonsagrati, li hu sejjaħ l-unjoni sagramentali, filwaqt li l-avversarji tiegħu jemmnu lil Alla li hu biss spiritwalment jew simbolikament preżenti. Zw"&amp;"ingli, pereżempju, ċaħad il-ħila ta 'Ġesù li jkun f'aktar minn post wieħed kull darba iżda Luther enfasizza l-omnipresenza tan-natura umana tiegħu. Skond it-traskrizzjonijiet, id-dibattitu xi kultant sar konfrontazzjoni. Waqt li kkwota l-kliem ta ’Ġesù"" "&amp;"il-laħam ma jħares xejn ”(Ġwanni 6.63), qal Zwingli,"" Din is-silta tkisser għonqek "". ""M'għandekx tkun kburi wisq,"" wieġeb Luther, ""l-għonq Ġermaniżi ma jkissrux faċilment. Dan huwa Hesse, mhux l-Isvizzera."" Fuq il-mejda tiegħu Luther kiteb il-kliem"&amp;" ""hoc est corpus meum"" (""dan ​​huwa ġismi"") fil-ġibs, biex jindika kontinwament il-pożizzjoni soda tiegħu.")</f>
        <v>It-teologi, inklużi Zwingli, Melanchthon, Martin Bucer, u Johannes Oecolampadius, kienu differenti fuq is-sinifikat tal-kliem mitkellma minn Ġesù fl-Aħħar Ċena: "Dan huwa l-ġisem tiegħi li huwa għalik" u "din it-tazza hija l-patt il-ġdid demm "(1 Korintin 11: 23–26). Luther insista fuq il-preżenza reali tal-ġisem u d-demm ta ’Kristu fil-ħobż u l-inbid ikkonsagrati, li hu sejjaħ l-unjoni sagramentali, filwaqt li l-avversarji tiegħu jemmnu lil Alla li hu biss spiritwalment jew simbolikament preżenti. Zwingli, pereżempju, ċaħad il-ħila ta 'Ġesù li jkun f'aktar minn post wieħed kull darba iżda Luther enfasizza l-omnipresenza tan-natura umana tiegħu. Skond it-traskrizzjonijiet, id-dibattitu xi kultant sar konfrontazzjoni. Waqt li kkwota l-kliem ta ’Ġesù" il-laħam ma jħares xejn ”(Ġwanni 6.63), qal Zwingli," Din is-silta tkisser għonqek ". "M'għandekx tkun kburi wisq," wieġeb Luther, "l-għonq Ġermaniżi ma jkissrux faċilment. Dan huwa Hesse, mhux l-Isvizzera." Fuq il-mejda tiegħu Luther kiteb il-kliem "hoc est corpus meum" ("dan ​​huwa ġismi") fil-ġibs, biex jindika kontinwament il-pożizzjoni soda tiegħu.</v>
      </c>
    </row>
    <row r="21096" ht="15.75" customHeight="1">
      <c r="A21096" s="2" t="s">
        <v>21096</v>
      </c>
      <c r="B21096" s="2" t="str">
        <f>IFERROR(__xludf.DUMMYFUNCTION("GOOGLETRANSLATE(A21096, ""en"", ""mt"")"),"Pinedale")</f>
        <v>Pinedale</v>
      </c>
    </row>
    <row r="21097" ht="15.75" customHeight="1">
      <c r="A21097" s="2" t="s">
        <v>21097</v>
      </c>
      <c r="B21097" s="2" t="str">
        <f>IFERROR(__xludf.DUMMYFUNCTION("GOOGLETRANSLATE(A21097, ""en"", ""mt"")"),"Deformazzjonali")</f>
        <v>Deformazzjonali</v>
      </c>
    </row>
    <row r="21098" ht="15.75" customHeight="1">
      <c r="A21098" s="2" t="s">
        <v>21098</v>
      </c>
      <c r="B21098" s="2" t="str">
        <f>IFERROR(__xludf.DUMMYFUNCTION("GOOGLETRANSLATE(A21098, ""en"", ""mt"")"),"James Dewar")</f>
        <v>James Dewar</v>
      </c>
    </row>
    <row r="21099" ht="15.75" customHeight="1">
      <c r="A21099" s="2" t="s">
        <v>21099</v>
      </c>
      <c r="B21099" s="2" t="str">
        <f>IFERROR(__xludf.DUMMYFUNCTION("GOOGLETRANSLATE(A21099, ""en"", ""mt"")"),"Trio")</f>
        <v>Trio</v>
      </c>
    </row>
    <row r="21100" ht="15.75" customHeight="1">
      <c r="A21100" s="2" t="s">
        <v>21100</v>
      </c>
      <c r="B21100" s="2" t="str">
        <f>IFERROR(__xludf.DUMMYFUNCTION("GOOGLETRANSLATE(A21100, ""en"", ""mt"")"),"Meta twaqqaf l-Uffiċċju tal-Mediċina tal-Punent?")</f>
        <v>Meta twaqqaf l-Uffiċċju tal-Mediċina tal-Punent?</v>
      </c>
    </row>
    <row r="21101" ht="15.75" customHeight="1">
      <c r="A21101" s="2" t="s">
        <v>21101</v>
      </c>
      <c r="B21101" s="2" t="str">
        <f>IFERROR(__xludf.DUMMYFUNCTION("GOOGLETRANSLATE(A21101, ""en"", ""mt"")"),"L’glise du Saint-Esprit")</f>
        <v>L’glise du Saint-Esprit</v>
      </c>
    </row>
    <row r="21102" ht="15.75" customHeight="1">
      <c r="A21102" s="2" t="s">
        <v>21102</v>
      </c>
      <c r="B21102" s="2" t="str">
        <f>IFERROR(__xludf.DUMMYFUNCTION("GOOGLETRANSLATE(A21102, ""en"", ""mt"")"),"Liema azzjonijiet aktar tard min-Nazi jistgħu jiġu rintraċċati għar-retorika ta 'Luther?")</f>
        <v>Liema azzjonijiet aktar tard min-Nazi jistgħu jiġu rintraċċati għar-retorika ta 'Luther?</v>
      </c>
    </row>
    <row r="21103" ht="15.75" customHeight="1">
      <c r="A21103" s="2" t="s">
        <v>21103</v>
      </c>
      <c r="B21103" s="2" t="str">
        <f>IFERROR(__xludf.DUMMYFUNCTION("GOOGLETRANSLATE(A21103, ""en"", ""mt"")"),"Chevrolet Aveo")</f>
        <v>Chevrolet Aveo</v>
      </c>
    </row>
    <row r="21104" ht="15.75" customHeight="1">
      <c r="A21104" s="2" t="s">
        <v>21104</v>
      </c>
      <c r="B21104" s="2" t="str">
        <f>IFERROR(__xludf.DUMMYFUNCTION("GOOGLETRANSLATE(A21104, ""en"", ""mt"")"),"Singapor, Londra, u l-viċinat taċ-ċentru ta ’Streeterville f’Chicago")</f>
        <v>Singapor, Londra, u l-viċinat taċ-ċentru ta ’Streeterville f’Chicago</v>
      </c>
    </row>
    <row r="21105" ht="15.75" customHeight="1">
      <c r="A21105" s="2" t="s">
        <v>21105</v>
      </c>
      <c r="B21105" s="2" t="str">
        <f>IFERROR(__xludf.DUMMYFUNCTION("GOOGLETRANSLATE(A21105, ""en"", ""mt"")"),"Studju ta '2000 sab li 42% tal-għalliema tar-Renju Unit esperjenzaw stress fuq ix-xogħol, darbtejn iċ-ċifra għall-professjoni medja. Studju tal-2012 sab li l-għalliema esperjenzaw id-doppju tar-rata ta ’ansjetà, depressjoni u stress mill-ħaddiema medji.")</f>
        <v>Studju ta '2000 sab li 42% tal-għalliema tar-Renju Unit esperjenzaw stress fuq ix-xogħol, darbtejn iċ-ċifra għall-professjoni medja. Studju tal-2012 sab li l-għalliema esperjenzaw id-doppju tar-rata ta ’ansjetà, depressjoni u stress mill-ħaddiema medji.</v>
      </c>
    </row>
    <row r="21106" ht="15.75" customHeight="1">
      <c r="A21106" s="2" t="s">
        <v>21106</v>
      </c>
      <c r="B21106" s="2" t="str">
        <f>IFERROR(__xludf.DUMMYFUNCTION("GOOGLETRANSLATE(A21106, ""en"", ""mt"")"),"−11.7 ° C (10.9 ° F)")</f>
        <v>−11.7 ° C (10.9 ° F)</v>
      </c>
    </row>
    <row r="21107" ht="15.75" customHeight="1">
      <c r="A21107" s="2" t="s">
        <v>21107</v>
      </c>
      <c r="B21107" s="2" t="str">
        <f>IFERROR(__xludf.DUMMYFUNCTION("GOOGLETRANSLATE(A21107, ""en"", ""mt"")"),"Ġie ddikjarat li t-trasmissjoni tal-ewwel episodju ġiet ittardjata b'għaxar minuti minħabba kopertura estiża tal-aħbarijiet tal-qtil tal-President Amerikan John F. Kennedy il-ġurnata ta 'qabel; Billi fil-fatt ħareġ wara dewmien ta 'tmenin sekonda. Il-BBC "&amp;"jemmnu li ħafna telespettaturi falla din l-introduzzjoni għal serje ġdida minħabba l-kopertura tal-qtil, kif ukoll serje ta 'blackouts tal-enerġija madwar il-pajjiż, u jerġgħu jxandruha fit-30 ta' Novembru 1963, eżatt qabel l-episodju tnejn.")</f>
        <v>Ġie ddikjarat li t-trasmissjoni tal-ewwel episodju ġiet ittardjata b'għaxar minuti minħabba kopertura estiża tal-aħbarijiet tal-qtil tal-President Amerikan John F. Kennedy il-ġurnata ta 'qabel; Billi fil-fatt ħareġ wara dewmien ta 'tmenin sekonda. Il-BBC jemmnu li ħafna telespettaturi falla din l-introduzzjoni għal serje ġdida minħabba l-kopertura tal-qtil, kif ukoll serje ta 'blackouts tal-enerġija madwar il-pajjiż, u jerġgħu jxandruha fit-30 ta' Novembru 1963, eżatt qabel l-episodju tnejn.</v>
      </c>
    </row>
    <row r="21108" ht="15.75" customHeight="1">
      <c r="A21108" s="2" t="s">
        <v>21108</v>
      </c>
      <c r="B21108" s="2" t="str">
        <f>IFERROR(__xludf.DUMMYFUNCTION("GOOGLETRANSLATE(A21108, ""en"", ""mt"")"),"Meta sseħħ l-immunodefiċjenza?")</f>
        <v>Meta sseħħ l-immunodefiċjenza?</v>
      </c>
    </row>
    <row r="21109" ht="15.75" customHeight="1">
      <c r="A21109" s="2" t="s">
        <v>21109</v>
      </c>
      <c r="B21109" s="2" t="str">
        <f>IFERROR(__xludf.DUMMYFUNCTION("GOOGLETRANSLATE(A21109, ""en"", ""mt"")"),"Ma 'liema pajjiżi jikkompetu l-Kenja għal ġiri fuq distanza twila?")</f>
        <v>Ma 'liema pajjiżi jikkompetu l-Kenja għal ġiri fuq distanza twila?</v>
      </c>
    </row>
    <row r="21110" ht="15.75" customHeight="1">
      <c r="A21110" s="2" t="s">
        <v>21110</v>
      </c>
      <c r="B21110" s="2" t="str">
        <f>IFERROR(__xludf.DUMMYFUNCTION("GOOGLETRANSLATE(A21110, ""en"", ""mt"")"),"il-Musulman")</f>
        <v>il-Musulman</v>
      </c>
    </row>
    <row r="21111" ht="15.75" customHeight="1">
      <c r="A21111" s="2" t="s">
        <v>21111</v>
      </c>
      <c r="B21111" s="2" t="str">
        <f>IFERROR(__xludf.DUMMYFUNCTION("GOOGLETRANSLATE(A21111, ""en"", ""mt"")"),"tista 'tipproduċi kemm bajd kif ukoll sperma, fis-sens li tista' fertilize l-bajda tagħha stess")</f>
        <v>tista 'tipproduċi kemm bajd kif ukoll sperma, fis-sens li tista' fertilize l-bajda tagħha stess</v>
      </c>
    </row>
    <row r="21112" ht="15.75" customHeight="1">
      <c r="A21112" s="2" t="s">
        <v>21112</v>
      </c>
      <c r="B21112" s="2" t="str">
        <f>IFERROR(__xludf.DUMMYFUNCTION("GOOGLETRANSLATE(A21112, ""en"", ""mt"")"),"Muturi elettriċi")</f>
        <v>Muturi elettriċi</v>
      </c>
    </row>
    <row r="21113" ht="15.75" customHeight="1">
      <c r="A21113" s="2" t="s">
        <v>21113</v>
      </c>
      <c r="B21113" s="2" t="str">
        <f>IFERROR(__xludf.DUMMYFUNCTION("GOOGLETRANSLATE(A21113, ""en"", ""mt"")"),"Fattur ieħor fil-bidu tas-snin disgħin li ħadem biex jirradikalizza l-moviment Iżlamista kien il-Gwerra tal-Golf, li ġabet diversi mijiet ta 'eluf ta' l-Istati Uniti u alleat persunal militari mhux Musulman lejn il-ħamrija Għarab Sawdita biex itemmu l-okk"&amp;"upazzjoni ta 'Saddam Hussein fil-Kuwajt. Qabel l-1990 l-Arabja Sawdita kellha rwol importanti fit-trażżin tal-ħafna gruppi Iżlamisti li rċevew l-għajnuna tiegħu. Imma meta Saddam, sekularist u dittatur Ba'athist tal-Iraq ġirien, attakkaw l-Arabja Sawdija "&amp;"(l-għadu tiegħu fil-gwerra), it-truppi tal-Punent ġew biex jipproteġu l-monarkija Sawdita. L-Iżlamisti akkużaw lir-reġim Sawdi li kien pupazz tal-Punent.")</f>
        <v>Fattur ieħor fil-bidu tas-snin disgħin li ħadem biex jirradikalizza l-moviment Iżlamista kien il-Gwerra tal-Golf, li ġabet diversi mijiet ta 'eluf ta' l-Istati Uniti u alleat persunal militari mhux Musulman lejn il-ħamrija Għarab Sawdita biex itemmu l-okkupazzjoni ta 'Saddam Hussein fil-Kuwajt. Qabel l-1990 l-Arabja Sawdita kellha rwol importanti fit-trażżin tal-ħafna gruppi Iżlamisti li rċevew l-għajnuna tiegħu. Imma meta Saddam, sekularist u dittatur Ba'athist tal-Iraq ġirien, attakkaw l-Arabja Sawdija (l-għadu tiegħu fil-gwerra), it-truppi tal-Punent ġew biex jipproteġu l-monarkija Sawdita. L-Iżlamisti akkużaw lir-reġim Sawdi li kien pupazz tal-Punent.</v>
      </c>
    </row>
    <row r="21114" ht="15.75" customHeight="1">
      <c r="A21114" s="2" t="s">
        <v>21114</v>
      </c>
      <c r="B21114" s="2" t="str">
        <f>IFERROR(__xludf.DUMMYFUNCTION("GOOGLETRANSLATE(A21114, ""en"", ""mt"")"),"Dejta bis-satellita")</f>
        <v>Dejta bis-satellita</v>
      </c>
    </row>
    <row r="21115" ht="15.75" customHeight="1">
      <c r="A21115" s="2" t="s">
        <v>21115</v>
      </c>
      <c r="B21115" s="2" t="str">
        <f>IFERROR(__xludf.DUMMYFUNCTION("GOOGLETRANSLATE(A21115, ""en"", ""mt"")"),"Fruntieri sodi u ċari")</f>
        <v>Fruntieri sodi u ċari</v>
      </c>
    </row>
    <row r="21116" ht="15.75" customHeight="1">
      <c r="A21116" s="2" t="s">
        <v>21116</v>
      </c>
      <c r="B21116" s="2" t="str">
        <f>IFERROR(__xludf.DUMMYFUNCTION("GOOGLETRANSLATE(A21116, ""en"", ""mt"")"),"Min imexxi l-ipprogrammar speċjali tal-1968 għall-istazzjonijiet FM tar-Radju ABC?")</f>
        <v>Min imexxi l-ipprogrammar speċjali tal-1968 għall-istazzjonijiet FM tar-Radju ABC?</v>
      </c>
    </row>
    <row r="21117" ht="15.75" customHeight="1">
      <c r="A21117" s="2" t="s">
        <v>21117</v>
      </c>
      <c r="B21117" s="2" t="str">
        <f>IFERROR(__xludf.DUMMYFUNCTION("GOOGLETRANSLATE(A21117, ""en"", ""mt"")"),"Pons")</f>
        <v>Pons</v>
      </c>
    </row>
    <row r="21118" ht="15.75" customHeight="1">
      <c r="A21118" s="2" t="s">
        <v>21118</v>
      </c>
      <c r="B21118" s="2" t="str">
        <f>IFERROR(__xludf.DUMMYFUNCTION("GOOGLETRANSLATE(A21118, ""en"", ""mt"")"),"Għaliex xi tribujiet jużaw teknoloġija ta 'telerilevament?")</f>
        <v>Għaliex xi tribujiet jużaw teknoloġija ta 'telerilevament?</v>
      </c>
    </row>
    <row r="21119" ht="15.75" customHeight="1">
      <c r="A21119" s="2" t="s">
        <v>21119</v>
      </c>
      <c r="B21119" s="2" t="str">
        <f>IFERROR(__xludf.DUMMYFUNCTION("GOOGLETRANSLATE(A21119, ""en"", ""mt"")"),"X'taħseb li Luther ir-raġuni ma setgħetx tintuża biex tittestja?")</f>
        <v>X'taħseb li Luther ir-raġuni ma setgħetx tintuża biex tittestja?</v>
      </c>
    </row>
    <row r="21120" ht="15.75" customHeight="1">
      <c r="A21120" s="2" t="s">
        <v>21120</v>
      </c>
      <c r="B21120" s="2" t="str">
        <f>IFERROR(__xludf.DUMMYFUNCTION("GOOGLETRANSLATE(A21120, ""en"", ""mt"")"),"aktar minn 5,100")</f>
        <v>aktar minn 5,100</v>
      </c>
    </row>
    <row r="21121" ht="15.75" customHeight="1">
      <c r="A21121" s="2" t="s">
        <v>21121</v>
      </c>
      <c r="B21121" s="2" t="str">
        <f>IFERROR(__xludf.DUMMYFUNCTION("GOOGLETRANSLATE(A21121, ""en"", ""mt"")"),"Knisja tal-qedem")</f>
        <v>Knisja tal-qedem</v>
      </c>
    </row>
    <row r="21122" ht="15.75" customHeight="1">
      <c r="A21122" s="2" t="s">
        <v>21122</v>
      </c>
      <c r="B21122" s="2" t="str">
        <f>IFERROR(__xludf.DUMMYFUNCTION("GOOGLETRANSLATE(A21122, ""en"", ""mt"")"),"Euler")</f>
        <v>Euler</v>
      </c>
    </row>
    <row r="21123" ht="15.75" customHeight="1">
      <c r="A21123" s="2" t="s">
        <v>21123</v>
      </c>
      <c r="B21123" s="2" t="str">
        <f>IFERROR(__xludf.DUMMYFUNCTION("GOOGLETRANSLATE(A21123, ""en"", ""mt"")"),"propulsjoni")</f>
        <v>propulsjoni</v>
      </c>
    </row>
    <row r="21124" ht="15.75" customHeight="1">
      <c r="A21124" s="2" t="s">
        <v>21124</v>
      </c>
      <c r="B21124" s="2" t="str">
        <f>IFERROR(__xludf.DUMMYFUNCTION("GOOGLETRANSLATE(A21124, ""en"", ""mt"")"),"Biża 'ta' Ħajjithom")</f>
        <v>Biża 'ta' Ħajjithom</v>
      </c>
    </row>
    <row r="21125" ht="15.75" customHeight="1">
      <c r="A21125" s="2" t="s">
        <v>21125</v>
      </c>
      <c r="B21125" s="2" t="str">
        <f>IFERROR(__xludf.DUMMYFUNCTION("GOOGLETRANSLATE(A21125, ""en"", ""mt"")"),"It-tieni skala turi l-aktar eon reċenti bi skala estiża")</f>
        <v>It-tieni skala turi l-aktar eon reċenti bi skala estiża</v>
      </c>
    </row>
    <row r="21126" ht="15.75" customHeight="1">
      <c r="A21126" s="2" t="s">
        <v>21126</v>
      </c>
      <c r="B21126" s="2" t="str">
        <f>IFERROR(__xludf.DUMMYFUNCTION("GOOGLETRANSLATE(A21126, ""en"", ""mt"")"),"Dan id-dibattitu wera diffiċli")</f>
        <v>Dan id-dibattitu wera diffiċli</v>
      </c>
    </row>
    <row r="21127" ht="15.75" customHeight="1">
      <c r="A21127" s="2" t="s">
        <v>21127</v>
      </c>
      <c r="B21127" s="2" t="str">
        <f>IFERROR(__xludf.DUMMYFUNCTION("GOOGLETRANSLATE(A21127, ""en"", ""mt"")"),"Daleks")</f>
        <v>Daleks</v>
      </c>
    </row>
    <row r="21128" ht="15.75" customHeight="1">
      <c r="A21128" s="2" t="s">
        <v>21128</v>
      </c>
      <c r="B21128" s="2" t="str">
        <f>IFERROR(__xludf.DUMMYFUNCTION("GOOGLETRANSLATE(A21128, ""en"", ""mt"")"),"X'tip ta 'difiża xi kultant jintuża fil-qorti minn dimostranti?")</f>
        <v>X'tip ta 'difiża xi kultant jintuża fil-qorti minn dimostranti?</v>
      </c>
    </row>
    <row r="21129" ht="15.75" customHeight="1">
      <c r="A21129" s="2" t="s">
        <v>21129</v>
      </c>
      <c r="B21129" s="2" t="str">
        <f>IFERROR(__xludf.DUMMYFUNCTION("GOOGLETRANSLATE(A21129, ""en"", ""mt"")"),"Rinaxximent Taljan")</f>
        <v>Rinaxximent Taljan</v>
      </c>
    </row>
    <row r="21130" ht="15.75" customHeight="1">
      <c r="A21130" s="2" t="s">
        <v>21130</v>
      </c>
      <c r="B21130" s="2" t="str">
        <f>IFERROR(__xludf.DUMMYFUNCTION("GOOGLETRANSLATE(A21130, ""en"", ""mt"")"),"Filippin")</f>
        <v>Filippin</v>
      </c>
    </row>
    <row r="21131" ht="15.75" customHeight="1">
      <c r="A21131" s="2" t="s">
        <v>21131</v>
      </c>
      <c r="B21131" s="2" t="str">
        <f>IFERROR(__xludf.DUMMYFUNCTION("GOOGLETRANSLATE(A21131, ""en"", ""mt"")"),"Kull oġġett jista 'jkun, essenzjalment b'mod uniku, dekompost fil-komponenti ewlenin tiegħu")</f>
        <v>Kull oġġett jista 'jkun, essenzjalment b'mod uniku, dekompost fil-komponenti ewlenin tiegħu</v>
      </c>
    </row>
    <row r="21132" ht="15.75" customHeight="1">
      <c r="A21132" s="2" t="s">
        <v>21132</v>
      </c>
      <c r="B21132" s="2" t="str">
        <f>IFERROR(__xludf.DUMMYFUNCTION("GOOGLETRANSLATE(A21132, ""en"", ""mt"")"),"Fejn xi ħaddiema għamlu aktar minn $ 100,000?")</f>
        <v>Fejn xi ħaddiema għamlu aktar minn $ 100,000?</v>
      </c>
    </row>
    <row r="21133" ht="15.75" customHeight="1">
      <c r="A21133" s="2" t="s">
        <v>21133</v>
      </c>
      <c r="B21133" s="2" t="str">
        <f>IFERROR(__xludf.DUMMYFUNCTION("GOOGLETRANSLATE(A21133, ""en"", ""mt"")"),"Kif jidhru l-Pyrenoids?")</f>
        <v>Kif jidhru l-Pyrenoids?</v>
      </c>
    </row>
    <row r="21134" ht="15.75" customHeight="1">
      <c r="A21134" s="2" t="s">
        <v>21134</v>
      </c>
      <c r="B21134" s="2" t="str">
        <f>IFERROR(__xludf.DUMMYFUNCTION("GOOGLETRANSLATE(A21134, ""en"", ""mt"")"),"James Lafayette's")</f>
        <v>James Lafayette's</v>
      </c>
    </row>
    <row r="21135" ht="15.75" customHeight="1">
      <c r="A21135" s="2" t="s">
        <v>21135</v>
      </c>
      <c r="B21135" s="2" t="str">
        <f>IFERROR(__xludf.DUMMYFUNCTION("GOOGLETRANSLATE(A21135, ""en"", ""mt"")"),"Il-kumplessitajiet tal-każijiet jipprovdu tliet probabbiltà ta 'liema varjabbli differenti li tibqa' l-istess daqs?")</f>
        <v>Il-kumplessitajiet tal-każijiet jipprovdu tliet probabbiltà ta 'liema varjabbli differenti li tibqa' l-istess daqs?</v>
      </c>
    </row>
    <row r="21136" ht="15.75" customHeight="1">
      <c r="A21136" s="2" t="s">
        <v>21136</v>
      </c>
      <c r="B21136" s="2" t="str">
        <f>IFERROR(__xludf.DUMMYFUNCTION("GOOGLETRANSLATE(A21136, ""en"", ""mt"")"),"Problema ta 'fatturizzazzjoni sħiħa")</f>
        <v>Problema ta 'fatturizzazzjoni sħiħa</v>
      </c>
    </row>
    <row r="21137" ht="15.75" customHeight="1">
      <c r="A21137" s="2" t="s">
        <v>21137</v>
      </c>
      <c r="B21137" s="2" t="str">
        <f>IFERROR(__xludf.DUMMYFUNCTION("GOOGLETRANSLATE(A21137, ""en"", ""mt"")"),"Liema persentaġġ ta 'studenti Ġermaniżi attendew skejjel privati ​​fl-2008?")</f>
        <v>Liema persentaġġ ta 'studenti Ġermaniżi attendew skejjel privati ​​fl-2008?</v>
      </c>
    </row>
    <row r="21138" ht="15.75" customHeight="1">
      <c r="A21138" s="2" t="s">
        <v>21138</v>
      </c>
      <c r="B21138" s="2" t="str">
        <f>IFERROR(__xludf.DUMMYFUNCTION("GOOGLETRANSLATE(A21138, ""en"", ""mt"")"),"Ma 'liema innovazzjoni teknoloġika u awtomazzjoni ssostitwiet impjiegi b'ħiliet baxxi?")</f>
        <v>Ma 'liema innovazzjoni teknoloġika u awtomazzjoni ssostitwiet impjiegi b'ħiliet baxxi?</v>
      </c>
    </row>
    <row r="21139" ht="15.75" customHeight="1">
      <c r="A21139" s="2" t="s">
        <v>21139</v>
      </c>
      <c r="B21139" s="2" t="str">
        <f>IFERROR(__xludf.DUMMYFUNCTION("GOOGLETRANSLATE(A21139, ""en"", ""mt"")"),"Seklu 19")</f>
        <v>Seklu 19</v>
      </c>
    </row>
    <row r="21140" ht="15.75" customHeight="1">
      <c r="A21140" s="2" t="s">
        <v>21140</v>
      </c>
      <c r="B21140" s="2" t="str">
        <f>IFERROR(__xludf.DUMMYFUNCTION("GOOGLETRANSLATE(A21140, ""en"", ""mt"")"),"Meta bdiet l-età tal-imperjalizmu?")</f>
        <v>Meta bdiet l-età tal-imperjalizmu?</v>
      </c>
    </row>
    <row r="21141" ht="15.75" customHeight="1">
      <c r="A21141" s="2" t="s">
        <v>21141</v>
      </c>
      <c r="B21141" s="2" t="str">
        <f>IFERROR(__xludf.DUMMYFUNCTION("GOOGLETRANSLATE(A21141, ""en"", ""mt"")"),"X'inhu Hermaphrodite?")</f>
        <v>X'inhu Hermaphrodite?</v>
      </c>
    </row>
    <row r="21142" ht="15.75" customHeight="1">
      <c r="A21142" s="2" t="s">
        <v>21142</v>
      </c>
      <c r="B21142" s="2" t="str">
        <f>IFERROR(__xludf.DUMMYFUNCTION("GOOGLETRANSLATE(A21142, ""en"", ""mt"")"),"Bħala somma konnessa ta 'għoqiedi ewlenin")</f>
        <v>Bħala somma konnessa ta 'għoqiedi ewlenin</v>
      </c>
    </row>
    <row r="21143" ht="15.75" customHeight="1">
      <c r="A21143" s="2" t="s">
        <v>21143</v>
      </c>
      <c r="B21143" s="2" t="str">
        <f>IFERROR(__xludf.DUMMYFUNCTION("GOOGLETRANSLATE(A21143, ""en"", ""mt"")"),"Popolazzjonijiet Anglo-Sassoni")</f>
        <v>Popolazzjonijiet Anglo-Sassoni</v>
      </c>
    </row>
    <row r="21144" ht="15.75" customHeight="1">
      <c r="A21144" s="2" t="s">
        <v>21144</v>
      </c>
      <c r="B21144" s="2" t="str">
        <f>IFERROR(__xludf.DUMMYFUNCTION("GOOGLETRANSLATE(A21144, ""en"", ""mt"")"),"Ambjent ta 'Traslibunar billi tkejjel il-frekwenza u s-severità ta' l-impatti ta 'mikrometeoriti.")</f>
        <v>Ambjent ta 'Traslibunar billi tkejjel il-frekwenza u s-severità ta' l-impatti ta 'mikrometeoriti.</v>
      </c>
    </row>
    <row r="21145" ht="15.75" customHeight="1">
      <c r="A21145" s="2" t="s">
        <v>21145</v>
      </c>
      <c r="B21145" s="2" t="str">
        <f>IFERROR(__xludf.DUMMYFUNCTION("GOOGLETRANSLATE(A21145, ""en"", ""mt"")"),"Kemm residenti ġew irreġistrati fiċ-ċensiment tal-2010 ta 'Jacksonville?")</f>
        <v>Kemm residenti ġew irreġistrati fiċ-ċensiment tal-2010 ta 'Jacksonville?</v>
      </c>
    </row>
    <row r="21146" ht="15.75" customHeight="1">
      <c r="A21146" s="2" t="s">
        <v>21146</v>
      </c>
      <c r="B21146" s="2" t="str">
        <f>IFERROR(__xludf.DUMMYFUNCTION("GOOGLETRANSLATE(A21146, ""en"", ""mt"")"),"Meta ġie ppreżentat l-editt tad-dud?")</f>
        <v>Meta ġie ppreżentat l-editt tad-dud?</v>
      </c>
    </row>
    <row r="21147" ht="15.75" customHeight="1">
      <c r="A21147" s="2" t="s">
        <v>21147</v>
      </c>
      <c r="B21147" s="2" t="str">
        <f>IFERROR(__xludf.DUMMYFUNCTION("GOOGLETRANSLATE(A21147, ""en"", ""mt"")"),"Annabel Goldie")</f>
        <v>Annabel Goldie</v>
      </c>
    </row>
    <row r="21148" ht="15.75" customHeight="1">
      <c r="A21148" s="2" t="s">
        <v>21148</v>
      </c>
      <c r="B21148" s="2" t="str">
        <f>IFERROR(__xludf.DUMMYFUNCTION("GOOGLETRANSLATE(A21148, ""en"", ""mt"")"),"X'kien qiegħed jitpoġġa fuq il-pilastru għas-Super Bowl 50?")</f>
        <v>X'kien qiegħed jitpoġġa fuq il-pilastru għas-Super Bowl 50?</v>
      </c>
    </row>
    <row r="21149" ht="15.75" customHeight="1">
      <c r="A21149" s="2" t="s">
        <v>21149</v>
      </c>
      <c r="B21149" s="2" t="str">
        <f>IFERROR(__xludf.DUMMYFUNCTION("GOOGLETRANSLATE(A21149, ""en"", ""mt"")"),"juri d-ditektif")</f>
        <v>juri d-ditektif</v>
      </c>
    </row>
    <row r="21150" ht="15.75" customHeight="1">
      <c r="A21150" s="2" t="s">
        <v>21150</v>
      </c>
      <c r="B21150" s="2" t="str">
        <f>IFERROR(__xludf.DUMMYFUNCTION("GOOGLETRANSLATE(A21150, ""en"", ""mt"")"),"ripetitur jew amplifikatur tat-telefon")</f>
        <v>ripetitur jew amplifikatur tat-telefon</v>
      </c>
    </row>
    <row r="21151" ht="15.75" customHeight="1">
      <c r="A21151" s="2" t="s">
        <v>21151</v>
      </c>
      <c r="B21151" s="2" t="str">
        <f>IFERROR(__xludf.DUMMYFUNCTION("GOOGLETRANSLATE(A21151, ""en"", ""mt"")"),"Belgrad")</f>
        <v>Belgrad</v>
      </c>
    </row>
    <row r="21152" ht="15.75" customHeight="1">
      <c r="A21152" s="2" t="s">
        <v>21152</v>
      </c>
      <c r="B21152" s="2" t="str">
        <f>IFERROR(__xludf.DUMMYFUNCTION("GOOGLETRANSLATE(A21152, ""en"", ""mt"")"),"Liema logo jintuża għall-merkanzija kollha li għandha tobba tal-passat?")</f>
        <v>Liema logo jintuża għall-merkanzija kollha li għandha tobba tal-passat?</v>
      </c>
    </row>
    <row r="21153" ht="15.75" customHeight="1">
      <c r="A21153" s="2" t="s">
        <v>21153</v>
      </c>
      <c r="B21153" s="2" t="str">
        <f>IFERROR(__xludf.DUMMYFUNCTION("GOOGLETRANSLATE(A21153, ""en"", ""mt"")"),"l-ekwipaġġ ta 'Apollo 1")</f>
        <v>l-ekwipaġġ ta 'Apollo 1</v>
      </c>
    </row>
    <row r="21154" ht="15.75" customHeight="1">
      <c r="A21154" s="2" t="s">
        <v>21154</v>
      </c>
      <c r="B21154" s="2" t="str">
        <f>IFERROR(__xludf.DUMMYFUNCTION("GOOGLETRANSLATE(A21154, ""en"", ""mt"")"),"Henry IV")</f>
        <v>Henry IV</v>
      </c>
    </row>
    <row r="21155" ht="15.75" customHeight="1">
      <c r="A21155" s="2" t="s">
        <v>21155</v>
      </c>
      <c r="B21155" s="2" t="str">
        <f>IFERROR(__xludf.DUMMYFUNCTION("GOOGLETRANSLATE(A21155, ""en"", ""mt"")"),"xelters, assistenza edukattiva, kliniċi mediċi b’xejn jew bi prezz baxx, assistenza tad-djar")</f>
        <v>xelters, assistenza edukattiva, kliniċi mediċi b’xejn jew bi prezz baxx, assistenza tad-djar</v>
      </c>
    </row>
    <row r="21156" ht="15.75" customHeight="1">
      <c r="A21156" s="2" t="s">
        <v>21156</v>
      </c>
      <c r="B21156" s="2" t="str">
        <f>IFERROR(__xludf.DUMMYFUNCTION("GOOGLETRANSLATE(A21156, ""en"", ""mt"")"),"Meta Ribault stabbilixxa l-ewwel darba f'South Carolina?")</f>
        <v>Meta Ribault stabbilixxa l-ewwel darba f'South Carolina?</v>
      </c>
    </row>
    <row r="21157" ht="15.75" customHeight="1">
      <c r="A21157" s="2" t="s">
        <v>21157</v>
      </c>
      <c r="B21157" s="2" t="str">
        <f>IFERROR(__xludf.DUMMYFUNCTION("GOOGLETRANSLATE(A21157, ""en"", ""mt"")"),"kien diżastru")</f>
        <v>kien diżastru</v>
      </c>
    </row>
    <row r="21158" ht="15.75" customHeight="1">
      <c r="A21158" s="2" t="s">
        <v>21158</v>
      </c>
      <c r="B21158" s="2" t="str">
        <f>IFERROR(__xludf.DUMMYFUNCTION("GOOGLETRANSLATE(A21158, ""en"", ""mt"")"),"B'differenza mill-annimali, il-pjanti m'għandhomx ċelloli fagoċitiċi, iżda ħafna risponsi immuni tal-pjanti jinvolvu sinjali kimiċi sistemiċi li jintbagħtu minn pjanta. Iċ-ċelloli tal-pjanti individwali jirrispondu għal molekuli assoċjati ma 'patoġeni mag"&amp;"ħrufa bħala mudelli molekulari assoċjati ma' patoġeni jew PAMPs. Meta parti minn impjant tiġi infettata, l-impjant jipproduċi rispons ipersensittiv lokalizzat, li bih iċ-ċelloli fis-sit ta 'infezzjoni jgħaddu minn apoptożi rapida biex jipprevjenu t-tixrid"&amp;" tal-marda għal partijiet oħra tal-pjanta. Reżistenza Sistemika Akkwistata (SAR) hija tip ta 'rispons difensiv użat minn pjanti li jirrendi l-impjant kollu reżistenti għal aġent infettiv partikolari. Il-mekkaniżmi ta 'silenzjar ta' l-RNA huma partikolarme"&amp;"nt importanti f'dan ir-rispons sistemiku peress li jistgħu jimblokkaw ir-replikazzjoni tal-virus.")</f>
        <v>B'differenza mill-annimali, il-pjanti m'għandhomx ċelloli fagoċitiċi, iżda ħafna risponsi immuni tal-pjanti jinvolvu sinjali kimiċi sistemiċi li jintbagħtu minn pjanta. Iċ-ċelloli tal-pjanti individwali jirrispondu għal molekuli assoċjati ma 'patoġeni magħrufa bħala mudelli molekulari assoċjati ma' patoġeni jew PAMPs. Meta parti minn impjant tiġi infettata, l-impjant jipproduċi rispons ipersensittiv lokalizzat, li bih iċ-ċelloli fis-sit ta 'infezzjoni jgħaddu minn apoptożi rapida biex jipprevjenu t-tixrid tal-marda għal partijiet oħra tal-pjanta. Reżistenza Sistemika Akkwistata (SAR) hija tip ta 'rispons difensiv użat minn pjanti li jirrendi l-impjant kollu reżistenti għal aġent infettiv partikolari. Il-mekkaniżmi ta 'silenzjar ta' l-RNA huma partikolarment importanti f'dan ir-rispons sistemiku peress li jistgħu jimblokkaw ir-replikazzjoni tal-virus.</v>
      </c>
    </row>
    <row r="21159" ht="15.75" customHeight="1">
      <c r="A21159" s="2" t="s">
        <v>21159</v>
      </c>
      <c r="B21159" s="2" t="str">
        <f>IFERROR(__xludf.DUMMYFUNCTION("GOOGLETRANSLATE(A21159, ""en"", ""mt"")"),"$ 1.2 biljun")</f>
        <v>$ 1.2 biljun</v>
      </c>
    </row>
    <row r="21160" ht="15.75" customHeight="1">
      <c r="A21160" s="2" t="s">
        <v>21160</v>
      </c>
      <c r="B21160" s="2" t="str">
        <f>IFERROR(__xludf.DUMMYFUNCTION("GOOGLETRANSLATE(A21160, ""en"", ""mt"")"),"Għaliex il-korpi tal-ilma polari jappoġġjaw ammont ogħla ta 'ħajja?")</f>
        <v>Għaliex il-korpi tal-ilma polari jappoġġjaw ammont ogħla ta 'ħajja?</v>
      </c>
    </row>
    <row r="21161" ht="15.75" customHeight="1">
      <c r="A21161" s="2" t="s">
        <v>21161</v>
      </c>
      <c r="B21161" s="2" t="str">
        <f>IFERROR(__xludf.DUMMYFUNCTION("GOOGLETRANSLATE(A21161, ""en"", ""mt"")"),"Ubiorum")</f>
        <v>Ubiorum</v>
      </c>
    </row>
    <row r="21162" ht="15.75" customHeight="1">
      <c r="A21162" s="2" t="s">
        <v>21162</v>
      </c>
      <c r="B21162" s="2" t="str">
        <f>IFERROR(__xludf.DUMMYFUNCTION("GOOGLETRANSLATE(A21162, ""en"", ""mt"")"),"Min jieħu deċiżjonijiet bejn il-laqgħat ta 'erba' snin?")</f>
        <v>Min jieħu deċiżjonijiet bejn il-laqgħat ta 'erba' snin?</v>
      </c>
    </row>
    <row r="21163" ht="15.75" customHeight="1">
      <c r="A21163" s="2" t="s">
        <v>21163</v>
      </c>
      <c r="B21163" s="2" t="str">
        <f>IFERROR(__xludf.DUMMYFUNCTION("GOOGLETRANSLATE(A21163, ""en"", ""mt"")"),"Bejn l-1500 u l-1850")</f>
        <v>Bejn l-1500 u l-1850</v>
      </c>
    </row>
    <row r="21164" ht="15.75" customHeight="1">
      <c r="A21164" s="2" t="s">
        <v>21164</v>
      </c>
      <c r="B21164" s="2" t="str">
        <f>IFERROR(__xludf.DUMMYFUNCTION("GOOGLETRANSLATE(A21164, ""en"", ""mt"")"),"Liema żewġ nisa kienu qed jisfidaw il-Fargħun fl-istorja mill-Ktieb tal-Eżodu?")</f>
        <v>Liema żewġ nisa kienu qed jisfidaw il-Fargħun fl-istorja mill-Ktieb tal-Eżodu?</v>
      </c>
    </row>
    <row r="21165" ht="15.75" customHeight="1">
      <c r="A21165" s="2" t="s">
        <v>21165</v>
      </c>
      <c r="B21165" s="2" t="str">
        <f>IFERROR(__xludf.DUMMYFUNCTION("GOOGLETRANSLATE(A21165, ""en"", ""mt"")"),"Kif kienu l-familji tal-garnizon tal-Mongolja li jaqilgħu l-flus?")</f>
        <v>Kif kienu l-familji tal-garnizon tal-Mongolja li jaqilgħu l-flus?</v>
      </c>
    </row>
    <row r="21166" ht="15.75" customHeight="1">
      <c r="A21166" s="2" t="s">
        <v>21166</v>
      </c>
      <c r="B21166" s="2" t="str">
        <f>IFERROR(__xludf.DUMMYFUNCTION("GOOGLETRANSLATE(A21166, ""en"", ""mt"")"),"il-Komunità Ewropea")</f>
        <v>il-Komunità Ewropea</v>
      </c>
    </row>
    <row r="21167" ht="15.75" customHeight="1">
      <c r="A21167" s="2" t="s">
        <v>21167</v>
      </c>
      <c r="B21167" s="2" t="str">
        <f>IFERROR(__xludf.DUMMYFUNCTION("GOOGLETRANSLATE(A21167, ""en"", ""mt"")"),"Prospect Park")</f>
        <v>Prospect Park</v>
      </c>
    </row>
    <row r="21168" ht="15.75" customHeight="1">
      <c r="A21168" s="2" t="s">
        <v>21168</v>
      </c>
      <c r="B21168" s="2" t="str">
        <f>IFERROR(__xludf.DUMMYFUNCTION("GOOGLETRANSLATE(A21168, ""en"", ""mt"")"),"2001")</f>
        <v>2001</v>
      </c>
    </row>
    <row r="21169" ht="15.75" customHeight="1">
      <c r="A21169" s="2" t="s">
        <v>21169</v>
      </c>
      <c r="B21169" s="2" t="str">
        <f>IFERROR(__xludf.DUMMYFUNCTION("GOOGLETRANSLATE(A21169, ""en"", ""mt"")"),"Is-Soċjetà Letterarja u Filosofika ta ’Newcastle")</f>
        <v>Is-Soċjetà Letterarja u Filosofika ta ’Newcastle</v>
      </c>
    </row>
    <row r="21170" ht="15.75" customHeight="1">
      <c r="A21170" s="2" t="s">
        <v>21170</v>
      </c>
      <c r="B21170" s="2" t="str">
        <f>IFERROR(__xludf.DUMMYFUNCTION("GOOGLETRANSLATE(A21170, ""en"", ""mt"")"),"X'tip ta 'għalliem huwa meħtieġ fil-mudell tad-dixxiplina tal-Ewropa tal-Punent?")</f>
        <v>X'tip ta 'għalliem huwa meħtieġ fil-mudell tad-dixxiplina tal-Ewropa tal-Punent?</v>
      </c>
    </row>
    <row r="21171" ht="15.75" customHeight="1">
      <c r="A21171" s="2" t="s">
        <v>21171</v>
      </c>
      <c r="B21171" s="2" t="str">
        <f>IFERROR(__xludf.DUMMYFUNCTION("GOOGLETRANSLATE(A21171, ""en"", ""mt"")"),"G")</f>
        <v>G</v>
      </c>
    </row>
    <row r="21172" ht="15.75" customHeight="1">
      <c r="A21172" s="2" t="s">
        <v>21172</v>
      </c>
      <c r="B21172" s="2" t="str">
        <f>IFERROR(__xludf.DUMMYFUNCTION("GOOGLETRANSLATE(A21172, ""en"", ""mt"")"),"Teorema ta 'tħaffif")</f>
        <v>Teorema ta 'tħaffif</v>
      </c>
    </row>
    <row r="21173" ht="15.75" customHeight="1">
      <c r="A21173" s="2" t="s">
        <v>21173</v>
      </c>
      <c r="B21173" s="2" t="str">
        <f>IFERROR(__xludf.DUMMYFUNCTION("GOOGLETRANSLATE(A21173, ""en"", ""mt"")"),"kmieni fl-2012")</f>
        <v>kmieni fl-2012</v>
      </c>
    </row>
    <row r="21174" ht="15.75" customHeight="1">
      <c r="A21174" s="2" t="s">
        <v>21174</v>
      </c>
      <c r="B21174" s="2" t="str">
        <f>IFERROR(__xludf.DUMMYFUNCTION("GOOGLETRANSLATE(A21174, ""en"", ""mt"")"),"spiss")</f>
        <v>spiss</v>
      </c>
    </row>
    <row r="21175" ht="15.75" customHeight="1">
      <c r="A21175" s="2" t="s">
        <v>21175</v>
      </c>
      <c r="B21175" s="2" t="str">
        <f>IFERROR(__xludf.DUMMYFUNCTION("GOOGLETRANSLATE(A21175, ""en"", ""mt"")"),"X'qed ikkunsidra Luther fidi?")</f>
        <v>X'qed ikkunsidra Luther fidi?</v>
      </c>
    </row>
    <row r="21176" ht="15.75" customHeight="1">
      <c r="A21176" s="2" t="s">
        <v>21176</v>
      </c>
      <c r="B21176" s="2" t="str">
        <f>IFERROR(__xludf.DUMMYFUNCTION("GOOGLETRANSLATE(A21176, ""en"", ""mt"")"),"Eicosanoids")</f>
        <v>Eicosanoids</v>
      </c>
    </row>
    <row r="21177" ht="15.75" customHeight="1">
      <c r="A21177" s="2" t="s">
        <v>21177</v>
      </c>
      <c r="B21177" s="2" t="str">
        <f>IFERROR(__xludf.DUMMYFUNCTION("GOOGLETRANSLATE(A21177, ""en"", ""mt"")"),"Diviżjoni tal-funzjonijiet u kompiti bejn l-ospiti fit-tarf tan-netwerk u l-qalba tan-netwerk")</f>
        <v>Diviżjoni tal-funzjonijiet u kompiti bejn l-ospiti fit-tarf tan-netwerk u l-qalba tan-netwerk</v>
      </c>
    </row>
    <row r="21178" ht="15.75" customHeight="1">
      <c r="A21178" s="2" t="s">
        <v>21178</v>
      </c>
      <c r="B21178" s="2" t="str">
        <f>IFERROR(__xludf.DUMMYFUNCTION("GOOGLETRANSLATE(A21178, ""en"", ""mt"")"),"Min ġab il-Mongoli liċ-Ċina bħala amministraturi?")</f>
        <v>Min ġab il-Mongoli liċ-Ċina bħala amministraturi?</v>
      </c>
    </row>
    <row r="21179" ht="15.75" customHeight="1">
      <c r="A21179" s="2" t="s">
        <v>21179</v>
      </c>
      <c r="B21179" s="2" t="str">
        <f>IFERROR(__xludf.DUMMYFUNCTION("GOOGLETRANSLATE(A21179, ""en"", ""mt"")"),"Funzjoni ħażina fiċ-ċirkwit tal-kamaleont")</f>
        <v>Funzjoni ħażina fiċ-ċirkwit tal-kamaleont</v>
      </c>
    </row>
    <row r="21180" ht="15.75" customHeight="1">
      <c r="A21180" s="2" t="s">
        <v>21180</v>
      </c>
      <c r="B21180" s="2" t="str">
        <f>IFERROR(__xludf.DUMMYFUNCTION("GOOGLETRANSLATE(A21180, ""en"", ""mt"")"),"rari")</f>
        <v>rari</v>
      </c>
    </row>
    <row r="21181" ht="15.75" customHeight="1">
      <c r="A21181" s="2" t="s">
        <v>21181</v>
      </c>
      <c r="B21181" s="2" t="str">
        <f>IFERROR(__xludf.DUMMYFUNCTION("GOOGLETRANSLATE(A21181, ""en"", ""mt"")"),"Liema żewġ importaturi ddikjaraw li taħt liġi tal-kompetizzjoni Franċiża, ma tħallewx ibigħu birra picon taħt prezz bl-ingrossa?")</f>
        <v>Liema żewġ importaturi ddikjaraw li taħt liġi tal-kompetizzjoni Franċiża, ma tħallewx ibigħu birra picon taħt prezz bl-ingrossa?</v>
      </c>
    </row>
    <row r="21182" ht="15.75" customHeight="1">
      <c r="A21182" s="2" t="s">
        <v>21182</v>
      </c>
      <c r="B21182" s="2" t="str">
        <f>IFERROR(__xludf.DUMMYFUNCTION("GOOGLETRANSLATE(A21182, ""en"", ""mt"")"),"Fl-1898, Tesla wriet dgħajsa kkontrollata bir-radju - li hu msejjaħ ""teleautomaton"" - għall-pubbliku waqt wirja elettrika fil-Madison Square Garden. Il-folla li rat id-dimostrazzjoni għamlet talbiet outrageous dwar il-ħidma tad-dgħajsa, bħal maġija, tel"&amp;"epatija, u li tkun pilota minn xadina mħarrġa moħbija ġewwa. Tesla ppruvat tbiegħ l-idea tiegħu lill-militar tal-Istati Uniti bħala tip ta 'torpedo kkontrollat ​​bir-radju, iżda wrew ftit interess. Il-kontroll tar-radju mill-bogħod baqa 'novità sal-Ewwel "&amp;"Gwerra Dinjija u wara, meta numru ta' pajjiżi użawha fi programmi militari. Tesla ħadet l-opportunità li tkompli turi ""teleautomatics"" f'indirizz għal-laqgħa tal-klabb kummerċjali f'Chicago, waqt li kien qed jivvjaġġa lejn Colorado Springs, fit-13 ta 'M"&amp;"ejju 1899.")</f>
        <v>Fl-1898, Tesla wriet dgħajsa kkontrollata bir-radju - li hu msejjaħ "teleautomaton" - għall-pubbliku waqt wirja elettrika fil-Madison Square Garden. Il-folla li rat id-dimostrazzjoni għamlet talbiet outrageous dwar il-ħidma tad-dgħajsa, bħal maġija, telepatija, u li tkun pilota minn xadina mħarrġa moħbija ġewwa. Tesla ppruvat tbiegħ l-idea tiegħu lill-militar tal-Istati Uniti bħala tip ta 'torpedo kkontrollat ​​bir-radju, iżda wrew ftit interess. Il-kontroll tar-radju mill-bogħod baqa 'novità sal-Ewwel Gwerra Dinjija u wara, meta numru ta' pajjiżi użawha fi programmi militari. Tesla ħadet l-opportunità li tkompli turi "teleautomatics" f'indirizz għal-laqgħa tal-klabb kummerċjali f'Chicago, waqt li kien qed jivvjaġġa lejn Colorado Springs, fit-13 ta 'Mejju 1899.</v>
      </c>
    </row>
    <row r="21183" ht="15.75" customHeight="1">
      <c r="A21183" s="2" t="s">
        <v>21183</v>
      </c>
      <c r="B21183" s="2" t="str">
        <f>IFERROR(__xludf.DUMMYFUNCTION("GOOGLETRANSLATE(A21183, ""en"", ""mt"")"),"Il-produzzjoni ta 'liema molekuli ta' sinjalazzjoni hija rregolata mis-sistema immunitarja?")</f>
        <v>Il-produzzjoni ta 'liema molekuli ta' sinjalazzjoni hija rregolata mis-sistema immunitarja?</v>
      </c>
    </row>
    <row r="21184" ht="15.75" customHeight="1">
      <c r="A21184" s="2" t="s">
        <v>21184</v>
      </c>
      <c r="B21184" s="2" t="str">
        <f>IFERROR(__xludf.DUMMYFUNCTION("GOOGLETRANSLATE(A21184, ""en"", ""mt"")"),"f'Mejju 2013")</f>
        <v>f'Mejju 2013</v>
      </c>
    </row>
    <row r="21185" ht="15.75" customHeight="1">
      <c r="A21185" s="2" t="s">
        <v>21185</v>
      </c>
      <c r="B21185" s="2" t="str">
        <f>IFERROR(__xludf.DUMMYFUNCTION("GOOGLETRANSLATE(A21185, ""en"", ""mt"")"),"Meta ivaün Temür miet f'Shangdu fl-1328, Tugh Temür ġie mfakkar lil Khanbaliq mill-kmandant tal-Qipchaq El Temür. Huwa ġie installat bħala l-Imperatur (l-Imperatur Wenzong) f'Khanbaliq, filwaqt li t-tifel ta 'Yesün Temür Ragibagh irnexxielu fit-tron f'Sha"&amp;"ngdu bl-appoġġ ta' Yesün Temür's Favorit Retainer Dawlat Shah. Meta kiseb appoġġ minn prinċpijiet u uffiċjali fit-tramuntana taċ-Ċina u xi partijiet oħra tad-dinastija, Tugh Temür ibbażat fuq Khanbaliq eventwalment rebaħ il-gwerra ċivili kontra Ragibagh m"&amp;"agħrufa bħala l-gwerra taż-żewġ kapitali. Wara, Tugh Temür abdika favur lil ħuh Kusala, li kien appoġġjat minn Chagatai Khan Eljigidey, u ħabbar l-intenzjoni ta 'Khanbaliq li jilqa'h. Madankollu, Kusala miet f'daqqa erbat ijiem biss wara banquet ma 'Tugh "&amp;"Temür. Huwa allegatament inqatel bil-velenu minn El Temür, u Tugh Temür imbagħad ressaq it-tron. Tugh Temür irnexxielu wkoll jibgħat delegati lill-Khanates tal-Mongolja tal-Punent bħal Golden Horde u Ilkhanate biex jiġu aċċettati bħala s-suzerain tad-dinj"&amp;"a tal-Mongolja. Madankollu, huwa kien prinċipalment pupazz tal-uffiċjal qawwi El Temür matul ir-renju tal-aħħar tliet snin tiegħu. El Temür xejjen uffiċjali pro-Kusala u ġabu l-poter lill-kmandanti tal-gwerra, li l-ħakma despotika tagħha mmarkat b'mod ċar"&amp;" it-tnaqqis tad-dinastija.")</f>
        <v>Meta ivaün Temür miet f'Shangdu fl-1328, Tugh Temür ġie mfakkar lil Khanbaliq mill-kmandant tal-Qipchaq El Temür. Huwa ġie installat bħala l-Imperatur (l-Imperatur Wenzong) f'Khanbaliq, filwaqt li t-tifel ta 'Yesün Temür Ragibagh irnexxielu fit-tron f'Shangdu bl-appoġġ ta' Yesün Temür's Favorit Retainer Dawlat Shah. Meta kiseb appoġġ minn prinċpijiet u uffiċjali fit-tramuntana taċ-Ċina u xi partijiet oħra tad-dinastija, Tugh Temür ibbażat fuq Khanbaliq eventwalment rebaħ il-gwerra ċivili kontra Ragibagh magħrufa bħala l-gwerra taż-żewġ kapitali. Wara, Tugh Temür abdika favur lil ħuh Kusala, li kien appoġġjat minn Chagatai Khan Eljigidey, u ħabbar l-intenzjoni ta 'Khanbaliq li jilqa'h. Madankollu, Kusala miet f'daqqa erbat ijiem biss wara banquet ma 'Tugh Temür. Huwa allegatament inqatel bil-velenu minn El Temür, u Tugh Temür imbagħad ressaq it-tron. Tugh Temür irnexxielu wkoll jibgħat delegati lill-Khanates tal-Mongolja tal-Punent bħal Golden Horde u Ilkhanate biex jiġu aċċettati bħala s-suzerain tad-dinja tal-Mongolja. Madankollu, huwa kien prinċipalment pupazz tal-uffiċjal qawwi El Temür matul ir-renju tal-aħħar tliet snin tiegħu. El Temür xejjen uffiċjali pro-Kusala u ġabu l-poter lill-kmandanti tal-gwerra, li l-ħakma despotika tagħha mmarkat b'mod ċar it-tnaqqis tad-dinastija.</v>
      </c>
    </row>
    <row r="21186" ht="15.75" customHeight="1">
      <c r="A21186" s="2" t="s">
        <v>21186</v>
      </c>
      <c r="B21186" s="2" t="str">
        <f>IFERROR(__xludf.DUMMYFUNCTION("GOOGLETRANSLATE(A21186, ""en"", ""mt"")"),"jimpjegaw sfurzar limitat")</f>
        <v>jimpjegaw sfurzar limitat</v>
      </c>
    </row>
    <row r="21187" ht="15.75" customHeight="1">
      <c r="A21187" s="2" t="s">
        <v>21187</v>
      </c>
      <c r="B21187" s="2" t="str">
        <f>IFERROR(__xludf.DUMMYFUNCTION("GOOGLETRANSLATE(A21187, ""en"", ""mt"")"),"Bitstrings")</f>
        <v>Bitstrings</v>
      </c>
    </row>
    <row r="21188" ht="15.75" customHeight="1">
      <c r="A21188" s="2" t="s">
        <v>21188</v>
      </c>
      <c r="B21188" s="2" t="str">
        <f>IFERROR(__xludf.DUMMYFUNCTION("GOOGLETRANSLATE(A21188, ""en"", ""mt"")"),"Litton's Weekend Aventure")</f>
        <v>Litton's Weekend Aventure</v>
      </c>
    </row>
    <row r="21189" ht="15.75" customHeight="1">
      <c r="A21189" s="2" t="s">
        <v>21189</v>
      </c>
      <c r="B21189" s="2" t="str">
        <f>IFERROR(__xludf.DUMMYFUNCTION("GOOGLETRANSLATE(A21189, ""en"", ""mt"")"),"Gvernatur Ċentrifugali")</f>
        <v>Gvernatur Ċentrifugali</v>
      </c>
    </row>
    <row r="21190" ht="15.75" customHeight="1">
      <c r="A21190" s="2" t="s">
        <v>21190</v>
      </c>
      <c r="B21190" s="2" t="str">
        <f>IFERROR(__xludf.DUMMYFUNCTION("GOOGLETRANSLATE(A21190, ""en"", ""mt"")"),"Il-Landgrave Brittanika Edmund Bellinger")</f>
        <v>Il-Landgrave Brittanika Edmund Bellinger</v>
      </c>
    </row>
    <row r="21191" ht="15.75" customHeight="1">
      <c r="A21191" s="2" t="s">
        <v>21191</v>
      </c>
      <c r="B21191" s="2" t="str">
        <f>IFERROR(__xludf.DUMMYFUNCTION("GOOGLETRANSLATE(A21191, ""en"", ""mt"")"),"Liema professjoni għandha Zbigniew Badowski?")</f>
        <v>Liema professjoni għandha Zbigniew Badowski?</v>
      </c>
    </row>
    <row r="21192" ht="15.75" customHeight="1">
      <c r="A21192" s="2" t="s">
        <v>21192</v>
      </c>
      <c r="B21192" s="2" t="str">
        <f>IFERROR(__xludf.DUMMYFUNCTION("GOOGLETRANSLATE(A21192, ""en"", ""mt"")"),"Xi jfisser is-sostituzzjoni tal-magni tal-biljetti u l-introduzzjoni ta 'kanċelli tal-biljetti li tħabbar it-tranżizzjoni għal?")</f>
        <v>Xi jfisser is-sostituzzjoni tal-magni tal-biljetti u l-introduzzjoni ta 'kanċelli tal-biljetti li tħabbar it-tranżizzjoni għal?</v>
      </c>
    </row>
    <row r="21193" ht="15.75" customHeight="1">
      <c r="A21193" s="2" t="s">
        <v>21193</v>
      </c>
      <c r="B21193" s="2" t="str">
        <f>IFERROR(__xludf.DUMMYFUNCTION("GOOGLETRANSLATE(A21193, ""en"", ""mt"")"),"L-isem ta 'Varsavja fil-lingwa Pollakka huwa Warszawa, bejn wieħed u ieħor / vɑːrˈʃɑːvə / (li qabel kien ukoll spelt Warszewa u Warszowa), li jfisser ""li jappartjeni għal Warsz"", Warsz hija forma mqassra ta' l-isem maskili ta 'oriġini Slava ta' oriġini "&amp;"Slavi Warcisław; Ara wkoll Etimoloġija ta ’Wrocław. L-etimoloġija folkloristika tattribwixxi l-isem tal-belt lil sajjied, gwerer, u martu, Sawa. Skond il-leġġenda, Sawa kienet sirena li tgħix fix-xmara Vistula li magħha l-gwerer inħobbu. Fil-verità, Warsz"&amp;" kien nobbli tas-seklu 12/13 li kellu raħal li jinsab fis-sit tal-ġurnata moderna tal-viċinat ta 'Mariensztat. Ara wkoll il-familja Vršovci li kienet ħarbet lejn il-Polonja. L-isem uffiċjali tal-belt kollu huwa Miasto Stołeczne Warszawa (Ingliż: ""Il-Belt"&amp;" Kapitali ta 'Varsavja""). Nattiv jew residenti ta 'Varsavja huwa magħruf bħala Varsovian - fil-Pollakk Warszawiak (raġel), Warszawianka (mara), Warszawiacy (plural).")</f>
        <v>L-isem ta 'Varsavja fil-lingwa Pollakka huwa Warszawa, bejn wieħed u ieħor / vɑːrˈʃɑːvə / (li qabel kien ukoll spelt Warszewa u Warszowa), li jfisser "li jappartjeni għal Warsz", Warsz hija forma mqassra ta' l-isem maskili ta 'oriġini Slava ta' oriġini Slavi Warcisław; Ara wkoll Etimoloġija ta ’Wrocław. L-etimoloġija folkloristika tattribwixxi l-isem tal-belt lil sajjied, gwerer, u martu, Sawa. Skond il-leġġenda, Sawa kienet sirena li tgħix fix-xmara Vistula li magħha l-gwerer inħobbu. Fil-verità, Warsz kien nobbli tas-seklu 12/13 li kellu raħal li jinsab fis-sit tal-ġurnata moderna tal-viċinat ta 'Mariensztat. Ara wkoll il-familja Vršovci li kienet ħarbet lejn il-Polonja. L-isem uffiċjali tal-belt kollu huwa Miasto Stołeczne Warszawa (Ingliż: "Il-Belt Kapitali ta 'Varsavja"). Nattiv jew residenti ta 'Varsavja huwa magħruf bħala Varsovian - fil-Pollakk Warszawiak (raġel), Warszawianka (mara), Warszawiacy (plural).</v>
      </c>
    </row>
    <row r="21194" ht="15.75" customHeight="1">
      <c r="A21194" s="2" t="s">
        <v>21194</v>
      </c>
      <c r="B21194" s="2" t="str">
        <f>IFERROR(__xludf.DUMMYFUNCTION("GOOGLETRANSLATE(A21194, ""en"", ""mt"")"),"X'inhu xi kultant imma mhux dejjem jingħaddu rigward il-membrani tal-kloroplast ta 'Durinskia?")</f>
        <v>X'inhu xi kultant imma mhux dejjem jingħaddu rigward il-membrani tal-kloroplast ta 'Durinskia?</v>
      </c>
    </row>
    <row r="21195" ht="15.75" customHeight="1">
      <c r="A21195" s="2" t="s">
        <v>21195</v>
      </c>
      <c r="B21195" s="2" t="str">
        <f>IFERROR(__xludf.DUMMYFUNCTION("GOOGLETRANSLATE(A21195, ""en"", ""mt"")"),"Ekonomisti bl-aġenzija tal-klassifikazzjoni Standard &amp; Poor")</f>
        <v>Ekonomisti bl-aġenzija tal-klassifikazzjoni Standard &amp; Poor</v>
      </c>
    </row>
    <row r="21196" ht="15.75" customHeight="1">
      <c r="A21196" s="2" t="s">
        <v>21196</v>
      </c>
      <c r="B21196" s="2" t="str">
        <f>IFERROR(__xludf.DUMMYFUNCTION("GOOGLETRANSLATE(A21196, ""en"", ""mt"")"),"Xogħol")</f>
        <v>Xogħol</v>
      </c>
    </row>
    <row r="21197" ht="15.75" customHeight="1">
      <c r="A21197" s="2" t="s">
        <v>21197</v>
      </c>
      <c r="B21197" s="2" t="str">
        <f>IFERROR(__xludf.DUMMYFUNCTION("GOOGLETRANSLATE(A21197, ""en"", ""mt"")"),"It-temperaturi u l-livelli tal-baħar kienu qed jiżdiedu fuq jew 'il fuq mir-rati massimi")</f>
        <v>It-temperaturi u l-livelli tal-baħar kienu qed jiżdiedu fuq jew 'il fuq mir-rati massimi</v>
      </c>
    </row>
    <row r="21198" ht="15.75" customHeight="1">
      <c r="A21198" s="2" t="s">
        <v>21198</v>
      </c>
      <c r="B21198" s="2" t="str">
        <f>IFERROR(__xludf.DUMMYFUNCTION("GOOGLETRANSLATE(A21198, ""en"", ""mt"")"),"Indja ħielsa")</f>
        <v>Indja ħielsa</v>
      </c>
    </row>
    <row r="21199" ht="15.75" customHeight="1">
      <c r="A21199" s="2" t="s">
        <v>21199</v>
      </c>
      <c r="B21199" s="2" t="str">
        <f>IFERROR(__xludf.DUMMYFUNCTION("GOOGLETRANSLATE(A21199, ""en"", ""mt"")"),"Dynasty Yuan")</f>
        <v>Dynasty Yuan</v>
      </c>
    </row>
    <row r="21200" ht="15.75" customHeight="1">
      <c r="A21200" s="2" t="s">
        <v>21200</v>
      </c>
      <c r="B21200" s="2" t="str">
        <f>IFERROR(__xludf.DUMMYFUNCTION("GOOGLETRANSLATE(A21200, ""en"", ""mt"")"),"Town Hall il-Qadim")</f>
        <v>Town Hall il-Qadim</v>
      </c>
    </row>
    <row r="21201" ht="15.75" customHeight="1">
      <c r="A21201" s="2" t="s">
        <v>21201</v>
      </c>
      <c r="B21201" s="2" t="str">
        <f>IFERROR(__xludf.DUMMYFUNCTION("GOOGLETRANSLATE(A21201, ""en"", ""mt"")"),"William Stranahan")</f>
        <v>William Stranahan</v>
      </c>
    </row>
    <row r="21202" ht="15.75" customHeight="1">
      <c r="A21202" s="2" t="s">
        <v>21202</v>
      </c>
      <c r="B21202" s="2" t="str">
        <f>IFERROR(__xludf.DUMMYFUNCTION("GOOGLETRANSLATE(A21202, ""en"", ""mt"")"),"Min ħabbat Carolina fil-logħba tal-Kampjonat NFC?")</f>
        <v>Min ħabbat Carolina fil-logħba tal-Kampjonat NFC?</v>
      </c>
    </row>
    <row r="21203" ht="15.75" customHeight="1">
      <c r="A21203" s="2" t="s">
        <v>21203</v>
      </c>
      <c r="B21203" s="2" t="str">
        <f>IFERROR(__xludf.DUMMYFUNCTION("GOOGLETRANSLATE(A21203, ""en"", ""mt"")"),"rifjut li tħallas")</f>
        <v>rifjut li tħallas</v>
      </c>
    </row>
    <row r="21204" ht="15.75" customHeight="1">
      <c r="A21204" s="2" t="s">
        <v>21204</v>
      </c>
      <c r="B21204" s="2" t="str">
        <f>IFERROR(__xludf.DUMMYFUNCTION("GOOGLETRANSLATE(A21204, ""en"", ""mt"")"),"L-ebda armata regolari Franċiża")</f>
        <v>L-ebda armata regolari Franċiża</v>
      </c>
    </row>
    <row r="21205" ht="15.75" customHeight="1">
      <c r="A21205" s="2" t="s">
        <v>21205</v>
      </c>
      <c r="B21205" s="2" t="str">
        <f>IFERROR(__xludf.DUMMYFUNCTION("GOOGLETRANSLATE(A21205, ""en"", ""mt"")"),"Dubbidjenza ċivili vjolenti")</f>
        <v>Dubbidjenza ċivili vjolenti</v>
      </c>
    </row>
    <row r="21206" ht="15.75" customHeight="1">
      <c r="A21206" s="2" t="s">
        <v>21206</v>
      </c>
      <c r="B21206" s="2" t="str">
        <f>IFERROR(__xludf.DUMMYFUNCTION("GOOGLETRANSLATE(A21206, ""en"", ""mt"")"),"kimika")</f>
        <v>kimika</v>
      </c>
    </row>
    <row r="21207" ht="15.75" customHeight="1">
      <c r="A21207" s="2" t="s">
        <v>21207</v>
      </c>
      <c r="B21207" s="2" t="str">
        <f>IFERROR(__xludf.DUMMYFUNCTION("GOOGLETRANSLATE(A21207, ""en"", ""mt"")"),"Tesla meta tat dimostrazzjoni tad-dgħajsa tal-kontroll mill-bogħod tiegħu?")</f>
        <v>Tesla meta tat dimostrazzjoni tad-dgħajsa tal-kontroll mill-bogħod tiegħu?</v>
      </c>
    </row>
    <row r="21208" ht="15.75" customHeight="1">
      <c r="A21208" s="2" t="s">
        <v>21208</v>
      </c>
      <c r="B21208" s="2" t="str">
        <f>IFERROR(__xludf.DUMMYFUNCTION("GOOGLETRANSLATE(A21208, ""en"", ""mt"")"),"Nuqqas ta 'Parlament tal-Iskozja")</f>
        <v>Nuqqas ta 'Parlament tal-Iskozja</v>
      </c>
    </row>
    <row r="21209" ht="15.75" customHeight="1">
      <c r="A21209" s="2" t="s">
        <v>21209</v>
      </c>
      <c r="B21209" s="2" t="str">
        <f>IFERROR(__xludf.DUMMYFUNCTION("GOOGLETRANSLATE(A21209, ""en"", ""mt"")"),"L-iktar episodji reċenti tal-ispettakli tan-netwerk ġeneralment isiru disponibbli fuq Watch ABC, Hulu u ABC on Demand il-jum wara x-xandira oriġinali tagħhom. Barra minn hekk, ABC On Demand (bħas-servizzi tat-televiżjoni video-on-demand ipprovduti min-net"&amp;"werks tax-xandir l-oħra tal-Istati Uniti) ma jħallix it-tibdil mgħaġġel ta 'kontenut aċċessat. Restrizzjonijiet implimentati minn Disney-ABC Television Group fis-7 ta 'Jannar, 2014 jirrestrinġu l-istriming tal-episodju l-iktar reċenti ta' kwalunkwe progra"&amp;"mm ABC fuq Hulu u Watch ABC sa tmint ijiem wara x-xandira inizjali tagħhom, sabiex jinkoraġġixxu ħajjin jew l-istess ġimgħa (permezz tat-tnejn DVR u Cable on Demand) Wiri, bi streaming ta 'jum wara l-ajru fuq is-servizz limitat għal abbonati ta' fornituri"&amp;" tat-televiżjoni bi ħlas parteċipanti (bħal Comcast, Verizon FIOS u Time Warner Cable) bl-użu ta 'kont ISP permezz ta' login ta 'utent awtentikat.")</f>
        <v>L-iktar episodji reċenti tal-ispettakli tan-netwerk ġeneralment isiru disponibbli fuq Watch ABC, Hulu u ABC on Demand il-jum wara x-xandira oriġinali tagħhom. Barra minn hekk, ABC On Demand (bħas-servizzi tat-televiżjoni video-on-demand ipprovduti min-netwerks tax-xandir l-oħra tal-Istati Uniti) ma jħallix it-tibdil mgħaġġel ta 'kontenut aċċessat. Restrizzjonijiet implimentati minn Disney-ABC Television Group fis-7 ta 'Jannar, 2014 jirrestrinġu l-istriming tal-episodju l-iktar reċenti ta' kwalunkwe programm ABC fuq Hulu u Watch ABC sa tmint ijiem wara x-xandira inizjali tagħhom, sabiex jinkoraġġixxu ħajjin jew l-istess ġimgħa (permezz tat-tnejn DVR u Cable on Demand) Wiri, bi streaming ta 'jum wara l-ajru fuq is-servizz limitat għal abbonati ta' fornituri tat-televiżjoni bi ħlas parteċipanti (bħal Comcast, Verizon FIOS u Time Warner Cable) bl-użu ta 'kont ISP permezz ta' login ta 'utent awtentikat.</v>
      </c>
    </row>
    <row r="21210" ht="15.75" customHeight="1">
      <c r="A21210" s="2" t="s">
        <v>21210</v>
      </c>
      <c r="B21210" s="2" t="str">
        <f>IFERROR(__xludf.DUMMYFUNCTION("GOOGLETRANSLATE(A21210, ""en"", ""mt"")"),"Warner Bros")</f>
        <v>Warner Bros</v>
      </c>
    </row>
    <row r="21211" ht="15.75" customHeight="1">
      <c r="A21211" s="2" t="s">
        <v>21211</v>
      </c>
      <c r="B21211" s="2" t="str">
        <f>IFERROR(__xludf.DUMMYFUNCTION("GOOGLETRANSLATE(A21211, ""en"", ""mt"")"),"F'liema sessjoni tinsab il-Parlament Skoċċiż?")</f>
        <v>F'liema sessjoni tinsab il-Parlament Skoċċiż?</v>
      </c>
    </row>
    <row r="21212" ht="15.75" customHeight="1">
      <c r="A21212" s="2" t="s">
        <v>21212</v>
      </c>
      <c r="B21212" s="2" t="str">
        <f>IFERROR(__xludf.DUMMYFUNCTION("GOOGLETRANSLATE(A21212, ""en"", ""mt"")"),"New Zealand")</f>
        <v>New Zealand</v>
      </c>
    </row>
    <row r="21213" ht="15.75" customHeight="1">
      <c r="A21213" s="2" t="s">
        <v>21213</v>
      </c>
      <c r="B21213" s="2" t="str">
        <f>IFERROR(__xludf.DUMMYFUNCTION("GOOGLETRANSLATE(A21213, ""en"", ""mt"")"),"Jack Swigert, u Fred Haise")</f>
        <v>Jack Swigert, u Fred Haise</v>
      </c>
    </row>
    <row r="21214" ht="15.75" customHeight="1">
      <c r="A21214" s="2" t="s">
        <v>21214</v>
      </c>
      <c r="B21214" s="2" t="str">
        <f>IFERROR(__xludf.DUMMYFUNCTION("GOOGLETRANSLATE(A21214, ""en"", ""mt"")"),"Min jegħleb lil General Electric biex jipprovdi dawl lill-Espożizzjoni Kolumbjana tad-dinja?")</f>
        <v>Min jegħleb lil General Electric biex jipprovdi dawl lill-Espożizzjoni Kolumbjana tad-dinja?</v>
      </c>
    </row>
    <row r="21215" ht="15.75" customHeight="1">
      <c r="A21215" s="2" t="s">
        <v>21215</v>
      </c>
      <c r="B21215" s="2" t="str">
        <f>IFERROR(__xludf.DUMMYFUNCTION("GOOGLETRANSLATE(A21215, ""en"", ""mt"")"),"da Vinci")</f>
        <v>da Vinci</v>
      </c>
    </row>
    <row r="21216" ht="15.75" customHeight="1">
      <c r="A21216" s="2" t="s">
        <v>21216</v>
      </c>
      <c r="B21216" s="2" t="str">
        <f>IFERROR(__xludf.DUMMYFUNCTION("GOOGLETRANSLATE(A21216, ""en"", ""mt"")"),"Fejn intuża l-innu tal-magħmudija biex jintroduċi r-Riforma?")</f>
        <v>Fejn intuża l-innu tal-magħmudija biex jintroduċi r-Riforma?</v>
      </c>
    </row>
    <row r="21217" ht="15.75" customHeight="1">
      <c r="A21217" s="2" t="s">
        <v>21217</v>
      </c>
      <c r="B21217" s="2" t="str">
        <f>IFERROR(__xludf.DUMMYFUNCTION("GOOGLETRANSLATE(A21217, ""en"", ""mt"")"),"Il-probabbiltà tal-kumplessità tal-każijiet tipprovdi probabbiltajiet varjabbli ta 'liema miżura ġenerali?")</f>
        <v>Il-probabbiltà tal-kumplessità tal-każijiet tipprovdi probabbiltajiet varjabbli ta 'liema miżura ġenerali?</v>
      </c>
    </row>
    <row r="21218" ht="15.75" customHeight="1">
      <c r="A21218" s="2" t="s">
        <v>21218</v>
      </c>
      <c r="B21218" s="2" t="str">
        <f>IFERROR(__xludf.DUMMYFUNCTION("GOOGLETRANSLATE(A21218, ""en"", ""mt"")"),"X'kienu l-karatteristiċi ta 'Apple Talk")</f>
        <v>X'kienu l-karatteristiċi ta 'Apple Talk</v>
      </c>
    </row>
    <row r="21219" ht="15.75" customHeight="1">
      <c r="A21219" s="2" t="s">
        <v>21219</v>
      </c>
      <c r="B21219" s="2" t="str">
        <f>IFERROR(__xludf.DUMMYFUNCTION("GOOGLETRANSLATE(A21219, ""en"", ""mt"")"),"Il-Ġappun u l-Amerika Latina")</f>
        <v>Il-Ġappun u l-Amerika Latina</v>
      </c>
    </row>
    <row r="21220" ht="15.75" customHeight="1">
      <c r="A21220" s="2" t="s">
        <v>21220</v>
      </c>
      <c r="B21220" s="2" t="str">
        <f>IFERROR(__xludf.DUMMYFUNCTION("GOOGLETRANSLATE(A21220, ""en"", ""mt"")"),"Sistema tal-ferrovija ħafifa tal-metro")</f>
        <v>Sistema tal-ferrovija ħafifa tal-metro</v>
      </c>
    </row>
    <row r="21221" ht="15.75" customHeight="1">
      <c r="A21221" s="2" t="s">
        <v>21221</v>
      </c>
      <c r="B21221" s="2" t="str">
        <f>IFERROR(__xludf.DUMMYFUNCTION("GOOGLETRANSLATE(A21221, ""en"", ""mt"")"),"10 ta ’Frar 1763")</f>
        <v>10 ta ’Frar 1763</v>
      </c>
    </row>
    <row r="21222" ht="15.75" customHeight="1">
      <c r="A21222" s="2" t="s">
        <v>21222</v>
      </c>
      <c r="B21222" s="2" t="str">
        <f>IFERROR(__xludf.DUMMYFUNCTION("GOOGLETRANSLATE(A21222, ""en"", ""mt"")"),"Kien hemm każijiet ta 'atturi li jirritornaw fid-dati aktar tard biex jerġgħu jġibu r-rwol tat-tabib speċifiku tagħhom. Fl-1973's The Three Tobba, William Hartnell u Patrick Troughton irritornaw flimkien ma 'Jon Pertwee. Għall-Ħames Tobba tal-1983, Trough"&amp;"ton u Pertwee rritornaw għall-istilla ma 'Peter Davison, u Tom Baker deher f'filmati li qabel ma nstabux mill-episodju ta' Shada mhux komplut. Għal dan l-episodju, Richard Hurndall ħa post William Hartnell. Patrick Troughton reġa 'rritorna fl-1985 iż-żewġ"&amp;" tobba ma' Colin Baker. Fl-2007, Peter Davison irritorna fit-tfal fil-qosor ""time crash"" flimkien ma 'David Tennant, u l-iktar reċentement fl-episodju speċjali tal-50 anniversarju tal-2013, ""The Day of the Doctor"", l-għaxar tabib ta' David Tennant deh"&amp;"er flimkien ma 'Matt Smith bħala l-Ħdax-il Tabib u John Hurt bħala t-tabib tal-gwerra, kif ukoll filmati fil-qosor mill-atturi kollha ta ’qabel. Barra minn hekk, it-tabib kultant iltaqa 'lilu nnifsu fil-forma ta' l-inkarnazzjoni tiegħu stess, mill-futur q"&amp;"arib jew mill-passat. L-ewwel tabib jiltaqa 'ma' l-istorja fil-mużew spazjali (għalkemm iffriżat u bħala esibizzjoni), it-tielet tabib jiltaqa 'u jinteraġixxi miegħu nnifsu fil-jum tal-istorja ta' Daleks, ir-raba 'tabib jiltaqa' u jinteraġixxi mal-inkarna"&amp;"zzjoni futura ta 'lilu nnifsu ( ""Watcher"") Fil-Logopolis tal-Istorja, id-Disa 'Tabib josserva verżjoni preċedenti tal-Inkarnazzjoni attwali tiegħu f' ""Jum il-Missier"", u l-Ħdax-il Tabib jiġi fil-qosor wiċċu wiċċ imb wiċċ miegħu f '""The Big Bang"". F "&amp;"'""Il-Kważi In-Nies"" it-tabib jiġi wiċċ imb wiċċ miegħu nnifsu għalkemm huwa nstab li din l-inkarnazzjoni hija fil-fatt biss replika tal-laħam. F '""L-Isem tat-Tabib"", il-ħdax-il tabib jiltaqa' ma 'inkarnazzjoni mhux magħrufa ta' lilu nnifsu, li huwa ji"&amp;"rreferi għalih bħala ""sigriet tiegħu"" u li sussegwentement huwa żvelat li huwa t-tabib tal-gwerra.")</f>
        <v>Kien hemm każijiet ta 'atturi li jirritornaw fid-dati aktar tard biex jerġgħu jġibu r-rwol tat-tabib speċifiku tagħhom. Fl-1973's The Three Tobba, William Hartnell u Patrick Troughton irritornaw flimkien ma 'Jon Pertwee. Għall-Ħames Tobba tal-1983, Troughton u Pertwee rritornaw għall-istilla ma 'Peter Davison, u Tom Baker deher f'filmati li qabel ma nstabux mill-episodju ta' Shada mhux komplut. Għal dan l-episodju, Richard Hurndall ħa post William Hartnell. Patrick Troughton reġa 'rritorna fl-1985 iż-żewġ tobba ma' Colin Baker. Fl-2007, Peter Davison irritorna fit-tfal fil-qosor "time crash" flimkien ma 'David Tennant, u l-iktar reċentement fl-episodju speċjali tal-50 anniversarju tal-2013, "The Day of the Doctor", l-għaxar tabib ta' David Tennant deher flimkien ma 'Matt Smith bħala l-Ħdax-il Tabib u John Hurt bħala t-tabib tal-gwerra, kif ukoll filmati fil-qosor mill-atturi kollha ta ’qabel. Barra minn hekk, it-tabib kultant iltaqa 'lilu nnifsu fil-forma ta' l-inkarnazzjoni tiegħu stess, mill-futur qarib jew mill-passat. L-ewwel tabib jiltaqa 'ma' l-istorja fil-mużew spazjali (għalkemm iffriżat u bħala esibizzjoni), it-tielet tabib jiltaqa 'u jinteraġixxi miegħu nnifsu fil-jum tal-istorja ta' Daleks, ir-raba 'tabib jiltaqa' u jinteraġixxi mal-inkarnazzjoni futura ta 'lilu nnifsu ( "Watcher") Fil-Logopolis tal-Istorja, id-Disa 'Tabib josserva verżjoni preċedenti tal-Inkarnazzjoni attwali tiegħu f' "Jum il-Missier", u l-Ħdax-il Tabib jiġi fil-qosor wiċċu wiċċ imb wiċċ miegħu f '"The Big Bang". F '"Il-Kważi In-Nies" it-tabib jiġi wiċċ imb wiċċ miegħu nnifsu għalkemm huwa nstab li din l-inkarnazzjoni hija fil-fatt biss replika tal-laħam. F '"L-Isem tat-Tabib", il-ħdax-il tabib jiltaqa' ma 'inkarnazzjoni mhux magħrufa ta' lilu nnifsu, li huwa jirreferi għalih bħala "sigriet tiegħu" u li sussegwentement huwa żvelat li huwa t-tabib tal-gwerra.</v>
      </c>
    </row>
    <row r="21223" ht="15.75" customHeight="1">
      <c r="A21223" s="2" t="s">
        <v>21223</v>
      </c>
      <c r="B21223" s="2" t="str">
        <f>IFERROR(__xludf.DUMMYFUNCTION("GOOGLETRANSLATE(A21223, ""en"", ""mt"")"),"X'kien id-dijametru tas-Saturn V fis-saqajn?")</f>
        <v>X'kien id-dijametru tas-Saturn V fis-saqajn?</v>
      </c>
    </row>
    <row r="21224" ht="15.75" customHeight="1">
      <c r="A21224" s="2" t="s">
        <v>21224</v>
      </c>
      <c r="B21224" s="2" t="str">
        <f>IFERROR(__xludf.DUMMYFUNCTION("GOOGLETRANSLATE(A21224, ""en"", ""mt"")"),"Liema stazzjon tar-radju tal-BBC se jġorr il-logħba fir-Renju Unit?")</f>
        <v>Liema stazzjon tar-radju tal-BBC se jġorr il-logħba fir-Renju Unit?</v>
      </c>
    </row>
    <row r="21225" ht="15.75" customHeight="1">
      <c r="A21225" s="2" t="s">
        <v>21225</v>
      </c>
      <c r="B21225" s="2" t="str">
        <f>IFERROR(__xludf.DUMMYFUNCTION("GOOGLETRANSLATE(A21225, ""en"", ""mt"")"),"Liema manifattur tal-karozzi tal-Korea t'Isfel xtara l-fattur fl-1995?")</f>
        <v>Liema manifattur tal-karozzi tal-Korea t'Isfel xtara l-fattur fl-1995?</v>
      </c>
    </row>
    <row r="21226" ht="15.75" customHeight="1">
      <c r="A21226" s="2" t="s">
        <v>21226</v>
      </c>
      <c r="B21226" s="2" t="str">
        <f>IFERROR(__xludf.DUMMYFUNCTION("GOOGLETRANSLATE(A21226, ""en"", ""mt"")"),"is-sid tal-propjetà")</f>
        <v>is-sid tal-propjetà</v>
      </c>
    </row>
    <row r="21227" ht="15.75" customHeight="1">
      <c r="A21227" s="2" t="s">
        <v>21227</v>
      </c>
      <c r="B21227" s="2" t="str">
        <f>IFERROR(__xludf.DUMMYFUNCTION("GOOGLETRANSLATE(A21227, ""en"", ""mt"")"),"Diski ċirkulari b'forma ta 'pancake")</f>
        <v>Diski ċirkulari b'forma ta 'pancake</v>
      </c>
    </row>
    <row r="21228" ht="15.75" customHeight="1">
      <c r="A21228" s="2" t="s">
        <v>21228</v>
      </c>
      <c r="B21228" s="2" t="str">
        <f>IFERROR(__xludf.DUMMYFUNCTION("GOOGLETRANSLATE(A21228, ""en"", ""mt"")"),"4 ġimgħat imħallsa vaganzi kull sena")</f>
        <v>4 ġimgħat imħallsa vaganzi kull sena</v>
      </c>
    </row>
    <row r="21229" ht="15.75" customHeight="1">
      <c r="A21229" s="2" t="s">
        <v>21229</v>
      </c>
      <c r="B21229" s="2" t="str">
        <f>IFERROR(__xludf.DUMMYFUNCTION("GOOGLETRANSLATE(A21229, ""en"", ""mt"")"),"Madwar 1294")</f>
        <v>Madwar 1294</v>
      </c>
    </row>
    <row r="21230" ht="15.75" customHeight="1">
      <c r="A21230" s="2" t="s">
        <v>21230</v>
      </c>
      <c r="B21230" s="2" t="str">
        <f>IFERROR(__xludf.DUMMYFUNCTION("GOOGLETRANSLATE(A21230, ""en"", ""mt"")"),"Id-difiża tal-Panthers ċediet biss 308 punt, ikklassifikat is-sitt post fil-kampjonat, filwaqt li wasslet ukoll lill-NFL fl-interċezzjonijiet ma '24 u tiftaħar erba 'selezzjonijiet ta' Pro Bowl. L-indirizz difensiv ta 'Pro Bowl Kawann Short mexxa lit-tim "&amp;"f'boroż bi 11, filwaqt li ġiegħel ukoll tliet fumbles u rkupra tnejn. Sieħbu lineman Mario Addison żied 6½ xkejjer. Il-Panthers Line kienet tidher ukoll it-tmiem difensiv veteran Jared Allen, 5-time Pro Bowler li kien il-mexxej tal-karriera attiva tal-NFL"&amp;" bi 136, flimkien mat-tmiem difensiv ta ’Kony Ealy, li kellu 5 xkejjer f’9 li jibda biss. Warajhom, tnejn mill-Panthers ġew magħżula wkoll tliet linebackers tal-bidu biex jilagħbu fil-Pro Bowl: Thomas Davis u Luke Kuechly. Davis ġabru 5½ xkejjer, erba 'fu"&amp;"mbles sfurzati, u erba' interċezzjonijiet, filwaqt li Kuechly mexxa lit-tim f'attakk (118) ġiegħel żewġ fumbles, u interċetta erba 'passes tiegħu stess. Is-sekondarja ta ’Carolina kienet tidher Pro Bowl Safety Kurt Coleman, li mexxa lit-tim b’seba’ interċ"&amp;"ezzjonijiet tal-karriera għolja, filwaqt li wkoll racking 88 indirizz u l-kantuniera ta ’Pro Bowl Josh Norman, li żviluppa f’kantuniera ta’ għeluq matul l-istaġun u kellu erba ’interċezzjonijiet, tnejn ġew mibgħuta lura għall-illandjar.")</f>
        <v>Id-difiża tal-Panthers ċediet biss 308 punt, ikklassifikat is-sitt post fil-kampjonat, filwaqt li wasslet ukoll lill-NFL fl-interċezzjonijiet ma '24 u tiftaħar erba 'selezzjonijiet ta' Pro Bowl. L-indirizz difensiv ta 'Pro Bowl Kawann Short mexxa lit-tim f'boroż bi 11, filwaqt li ġiegħel ukoll tliet fumbles u rkupra tnejn. Sieħbu lineman Mario Addison żied 6½ xkejjer. Il-Panthers Line kienet tidher ukoll it-tmiem difensiv veteran Jared Allen, 5-time Pro Bowler li kien il-mexxej tal-karriera attiva tal-NFL bi 136, flimkien mat-tmiem difensiv ta ’Kony Ealy, li kellu 5 xkejjer f’9 li jibda biss. Warajhom, tnejn mill-Panthers ġew magħżula wkoll tliet linebackers tal-bidu biex jilagħbu fil-Pro Bowl: Thomas Davis u Luke Kuechly. Davis ġabru 5½ xkejjer, erba 'fumbles sfurzati, u erba' interċezzjonijiet, filwaqt li Kuechly mexxa lit-tim f'attakk (118) ġiegħel żewġ fumbles, u interċetta erba 'passes tiegħu stess. Is-sekondarja ta ’Carolina kienet tidher Pro Bowl Safety Kurt Coleman, li mexxa lit-tim b’seba’ interċezzjonijiet tal-karriera għolja, filwaqt li wkoll racking 88 indirizz u l-kantuniera ta ’Pro Bowl Josh Norman, li żviluppa f’kantuniera ta’ għeluq matul l-istaġun u kellu erba ’interċezzjonijiet, tnejn ġew mibgħuta lura għall-illandjar.</v>
      </c>
    </row>
    <row r="21231" ht="15.75" customHeight="1">
      <c r="A21231" s="2" t="s">
        <v>21231</v>
      </c>
      <c r="B21231" s="2" t="str">
        <f>IFERROR(__xludf.DUMMYFUNCTION("GOOGLETRANSLATE(A21231, ""en"", ""mt"")"),"Att dwar il-Kolonja tar-Rabat")</f>
        <v>Att dwar il-Kolonja tar-Rabat</v>
      </c>
    </row>
    <row r="21232" ht="15.75" customHeight="1">
      <c r="A21232" s="2" t="s">
        <v>21232</v>
      </c>
      <c r="B21232" s="2" t="str">
        <f>IFERROR(__xludf.DUMMYFUNCTION("GOOGLETRANSLATE(A21232, ""en"", ""mt"")"),"speċjalitajiet separati qabel")</f>
        <v>speċjalitajiet separati qabel</v>
      </c>
    </row>
    <row r="21233" ht="15.75" customHeight="1">
      <c r="A21233" s="2" t="s">
        <v>21233</v>
      </c>
      <c r="B21233" s="2" t="str">
        <f>IFERROR(__xludf.DUMMYFUNCTION("GOOGLETRANSLATE(A21233, ""en"", ""mt"")"),"reinvenzjoni bħala konservattiv")</f>
        <v>reinvenzjoni bħala konservattiv</v>
      </c>
    </row>
    <row r="21234" ht="15.75" customHeight="1">
      <c r="A21234" s="2" t="s">
        <v>21234</v>
      </c>
      <c r="B21234" s="2" t="str">
        <f>IFERROR(__xludf.DUMMYFUNCTION("GOOGLETRANSLATE(A21234, ""en"", ""mt"")"),"Bejn liema żminijiet l-Amerika ta 'Good Morning Air fuq ABC?")</f>
        <v>Bejn liema żminijiet l-Amerika ta 'Good Morning Air fuq ABC?</v>
      </c>
    </row>
    <row r="21235" ht="15.75" customHeight="1">
      <c r="A21235" s="2" t="s">
        <v>21235</v>
      </c>
      <c r="B21235" s="2" t="str">
        <f>IFERROR(__xludf.DUMMYFUNCTION("GOOGLETRANSLATE(A21235, ""en"", ""mt"")"),"bidla estrema.")</f>
        <v>bidla estrema.</v>
      </c>
    </row>
    <row r="21236" ht="15.75" customHeight="1">
      <c r="A21236" s="2" t="s">
        <v>21236</v>
      </c>
      <c r="B21236" s="2" t="str">
        <f>IFERROR(__xludf.DUMMYFUNCTION("GOOGLETRANSLATE(A21236, ""en"", ""mt"")"),"3000 yr bp")</f>
        <v>3000 yr bp</v>
      </c>
    </row>
    <row r="21237" ht="15.75" customHeight="1">
      <c r="A21237" s="2" t="s">
        <v>21237</v>
      </c>
      <c r="B21237" s="2" t="str">
        <f>IFERROR(__xludf.DUMMYFUNCTION("GOOGLETRANSLATE(A21237, ""en"", ""mt"")"),"Liema xogħol minn madwar 300 QK għandu teoremi sinifikanti dwar in-numri ewlenin?")</f>
        <v>Liema xogħol minn madwar 300 QK għandu teoremi sinifikanti dwar in-numri ewlenin?</v>
      </c>
    </row>
    <row r="21238" ht="15.75" customHeight="1">
      <c r="A21238" s="2" t="s">
        <v>21238</v>
      </c>
      <c r="B21238" s="2" t="str">
        <f>IFERROR(__xludf.DUMMYFUNCTION("GOOGLETRANSLATE(A21238, ""en"", ""mt"")"),"bitħa")</f>
        <v>bitħa</v>
      </c>
    </row>
    <row r="21239" ht="15.75" customHeight="1">
      <c r="A21239" s="2" t="s">
        <v>21239</v>
      </c>
      <c r="B21239" s="2" t="str">
        <f>IFERROR(__xludf.DUMMYFUNCTION("GOOGLETRANSLATE(A21239, ""en"", ""mt"")"),"Liema sena ħabbar Roger Goodell li Super Bowl 50 kienet tkun ""importanti""?")</f>
        <v>Liema sena ħabbar Roger Goodell li Super Bowl 50 kienet tkun "importanti"?</v>
      </c>
    </row>
    <row r="21240" ht="15.75" customHeight="1">
      <c r="A21240" s="2" t="s">
        <v>21240</v>
      </c>
      <c r="B21240" s="2" t="str">
        <f>IFERROR(__xludf.DUMMYFUNCTION("GOOGLETRANSLATE(A21240, ""en"", ""mt"")"),"3.55 pulzier (90.2 mm)")</f>
        <v>3.55 pulzier (90.2 mm)</v>
      </c>
    </row>
    <row r="21241" ht="15.75" customHeight="1">
      <c r="A21241" s="2" t="s">
        <v>21241</v>
      </c>
      <c r="B21241" s="2" t="str">
        <f>IFERROR(__xludf.DUMMYFUNCTION("GOOGLETRANSLATE(A21241, ""en"", ""mt"")"),"Ir-raġuni għar-regola tal-maġġoranza hija r-riskju għoli ta 'kunflitt ta' interess u / jew l-evitar ta 'poteri assoluti. Inkella, it-tabib ikollu interess finanzjarju fl-awto fid- ""dijanjosi"" kemm jista 'jkun kundizzjonijiet, u biex jesaġera s-serjetà t"&amp;"agħhom, għax hu jew hi jistgħu mbagħad ibigħu aktar mediċini lill-pazjent. Tali interess innifsu f'kunflitti direttament ma 'l-interess tal-pazjent biex jikseb medikazzjoni kosteffikaċi u jevita l-użu bla bżonn ta' medikazzjoni li jista 'jkollha effetti s"&amp;"ekondarji. Din is-sistema tirrifletti ħafna xebh mas-sistema tal-kontrolli u l-bilanċi tal-Istati Uniti u ta 'ħafna gvernijiet oħra. [Ċitazzjoni meħtieġa]")</f>
        <v>Ir-raġuni għar-regola tal-maġġoranza hija r-riskju għoli ta 'kunflitt ta' interess u / jew l-evitar ta 'poteri assoluti. Inkella, it-tabib ikollu interess finanzjarju fl-awto fid- "dijanjosi" kemm jista 'jkun kundizzjonijiet, u biex jesaġera s-serjetà tagħhom, għax hu jew hi jistgħu mbagħad ibigħu aktar mediċini lill-pazjent. Tali interess innifsu f'kunflitti direttament ma 'l-interess tal-pazjent biex jikseb medikazzjoni kosteffikaċi u jevita l-użu bla bżonn ta' medikazzjoni li jista 'jkollha effetti sekondarji. Din is-sistema tirrifletti ħafna xebh mas-sistema tal-kontrolli u l-bilanċi tal-Istati Uniti u ta 'ħafna gvernijiet oħra. [Ċitazzjoni meħtieġa]</v>
      </c>
    </row>
    <row r="21242" ht="15.75" customHeight="1">
      <c r="A21242" s="2" t="s">
        <v>21242</v>
      </c>
      <c r="B21242" s="2" t="str">
        <f>IFERROR(__xludf.DUMMYFUNCTION("GOOGLETRANSLATE(A21242, ""en"", ""mt"")"),"Il-blat sedimentarju jista 'jinbidel f'liema mit-tliet tipi ta' blat?")</f>
        <v>Il-blat sedimentarju jista 'jinbidel f'liema mit-tliet tipi ta' blat?</v>
      </c>
    </row>
    <row r="21243" ht="15.75" customHeight="1">
      <c r="A21243" s="2" t="s">
        <v>21243</v>
      </c>
      <c r="B21243" s="2" t="str">
        <f>IFERROR(__xludf.DUMMYFUNCTION("GOOGLETRANSLATE(A21243, ""en"", ""mt"")"),"Meta ġie ffirmat ftehim ta 'qsim ta' privattivi bejn Westinghouse Electric u General Electric?")</f>
        <v>Meta ġie ffirmat ftehim ta 'qsim ta' privattivi bejn Westinghouse Electric u General Electric?</v>
      </c>
    </row>
    <row r="21244" ht="15.75" customHeight="1">
      <c r="A21244" s="2" t="s">
        <v>21244</v>
      </c>
      <c r="B21244" s="2" t="str">
        <f>IFERROR(__xludf.DUMMYFUNCTION("GOOGLETRANSLATE(A21244, ""en"", ""mt"")"),"Kif qed jinbidel iċ-ċirkwit charecterized")</f>
        <v>Kif qed jinbidel iċ-ċirkwit charecterized</v>
      </c>
    </row>
    <row r="21245" ht="15.75" customHeight="1">
      <c r="A21245" s="2" t="s">
        <v>21245</v>
      </c>
      <c r="B21245" s="2" t="str">
        <f>IFERROR(__xludf.DUMMYFUNCTION("GOOGLETRANSLATE(A21245, ""en"", ""mt"")"),"X'jistgħu joħolqu l-impjanti tal-enerġija nukleari biex joħolqu l-elettriku?")</f>
        <v>X'jistgħu joħolqu l-impjanti tal-enerġija nukleari biex joħolqu l-elettriku?</v>
      </c>
    </row>
    <row r="21246" ht="15.75" customHeight="1">
      <c r="A21246" s="2" t="s">
        <v>21246</v>
      </c>
      <c r="B21246" s="2" t="str">
        <f>IFERROR(__xludf.DUMMYFUNCTION("GOOGLETRANSLATE(A21246, ""en"", ""mt"")"),"Liema sena bdiet il-kampjonat li jkollu skedi b'16-il logħba fihom?")</f>
        <v>Liema sena bdiet il-kampjonat li jkollu skedi b'16-il logħba fihom?</v>
      </c>
    </row>
    <row r="21247" ht="15.75" customHeight="1">
      <c r="A21247" s="2" t="s">
        <v>21247</v>
      </c>
      <c r="B21247" s="2" t="str">
        <f>IFERROR(__xludf.DUMMYFUNCTION("GOOGLETRANSLATE(A21247, ""en"", ""mt"")"),"Vantaġġi fi trasmissjoni ta 'vultaġġ għoli fuq distanzi twal")</f>
        <v>Vantaġġi fi trasmissjoni ta 'vultaġġ għoli fuq distanzi twal</v>
      </c>
    </row>
    <row r="21248" ht="15.75" customHeight="1">
      <c r="A21248" s="2" t="s">
        <v>21248</v>
      </c>
      <c r="B21248" s="2" t="str">
        <f>IFERROR(__xludf.DUMMYFUNCTION("GOOGLETRANSLATE(A21248, ""en"", ""mt"")"),"9 ta 'Marzu 1508,")</f>
        <v>9 ta 'Marzu 1508,</v>
      </c>
    </row>
    <row r="21249" ht="15.75" customHeight="1">
      <c r="A21249" s="2" t="s">
        <v>21249</v>
      </c>
      <c r="B21249" s="2" t="str">
        <f>IFERROR(__xludf.DUMMYFUNCTION("GOOGLETRANSLATE(A21249, ""en"", ""mt"")"),"Tkabbir ekonomiku sussegwenti fit-tul")</f>
        <v>Tkabbir ekonomiku sussegwenti fit-tul</v>
      </c>
    </row>
    <row r="21250" ht="15.75" customHeight="1">
      <c r="A21250" s="2" t="s">
        <v>21250</v>
      </c>
      <c r="B21250" s="2" t="str">
        <f>IFERROR(__xludf.DUMMYFUNCTION("GOOGLETRANSLATE(A21250, ""en"", ""mt"")"),"X'sejjaħ John Wesley oriġinarjament l-esperjenza tal-konverżjoni?")</f>
        <v>X'sejjaħ John Wesley oriġinarjament l-esperjenza tal-konverżjoni?</v>
      </c>
    </row>
    <row r="21251" ht="15.75" customHeight="1">
      <c r="A21251" s="2" t="s">
        <v>21251</v>
      </c>
      <c r="B21251" s="2" t="str">
        <f>IFERROR(__xludf.DUMMYFUNCTION("GOOGLETRANSLATE(A21251, ""en"", ""mt"")"),"Awwissu 1992")</f>
        <v>Awwissu 1992</v>
      </c>
    </row>
    <row r="21252" ht="15.75" customHeight="1">
      <c r="A21252" s="2" t="s">
        <v>21252</v>
      </c>
      <c r="B21252" s="2" t="str">
        <f>IFERROR(__xludf.DUMMYFUNCTION("GOOGLETRANSLATE(A21252, ""en"", ""mt"")"),"Roy Strong")</f>
        <v>Roy Strong</v>
      </c>
    </row>
    <row r="21253" ht="15.75" customHeight="1">
      <c r="A21253" s="2" t="s">
        <v>21253</v>
      </c>
      <c r="B21253" s="2" t="str">
        <f>IFERROR(__xludf.DUMMYFUNCTION("GOOGLETRANSLATE(A21253, ""en"", ""mt"")"),"bram")</f>
        <v>bram</v>
      </c>
    </row>
    <row r="21254" ht="15.75" customHeight="1">
      <c r="A21254" s="2" t="s">
        <v>21254</v>
      </c>
      <c r="B21254" s="2" t="str">
        <f>IFERROR(__xludf.DUMMYFUNCTION("GOOGLETRANSLATE(A21254, ""en"", ""mt"")"),"fin-Nofsinhar taċ-Ċina")</f>
        <v>fin-Nofsinhar taċ-Ċina</v>
      </c>
    </row>
    <row r="21255" ht="15.75" customHeight="1">
      <c r="A21255" s="2" t="s">
        <v>21255</v>
      </c>
      <c r="B21255" s="2" t="str">
        <f>IFERROR(__xludf.DUMMYFUNCTION("GOOGLETRANSLATE(A21255, ""en"", ""mt"")"),"Fl-Artikolu 5")</f>
        <v>Fl-Artikolu 5</v>
      </c>
    </row>
    <row r="21256" ht="15.75" customHeight="1">
      <c r="A21256" s="2" t="s">
        <v>21256</v>
      </c>
      <c r="B21256" s="2" t="str">
        <f>IFERROR(__xludf.DUMMYFUNCTION("GOOGLETRANSLATE(A21256, ""en"", ""mt"")"),"X'kien l-isem tal-leġiżlazzjoni mgħoddija fl-1850?")</f>
        <v>X'kien l-isem tal-leġiżlazzjoni mgħoddija fl-1850?</v>
      </c>
    </row>
    <row r="21257" ht="15.75" customHeight="1">
      <c r="A21257" s="2" t="s">
        <v>21257</v>
      </c>
      <c r="B21257" s="2" t="str">
        <f>IFERROR(__xludf.DUMMYFUNCTION("GOOGLETRANSLATE(A21257, ""en"", ""mt"")"),"X'tip ta 'interpretazzjoni tal-Iżlam jippromwovi s-Salafiżmu?")</f>
        <v>X'tip ta 'interpretazzjoni tal-Iżlam jippromwovi s-Salafiżmu?</v>
      </c>
    </row>
    <row r="21258" ht="15.75" customHeight="1">
      <c r="A21258" s="2" t="s">
        <v>21258</v>
      </c>
      <c r="B21258" s="2" t="str">
        <f>IFERROR(__xludf.DUMMYFUNCTION("GOOGLETRANSLATE(A21258, ""en"", ""mt"")"),"Alex Seropjan")</f>
        <v>Alex Seropjan</v>
      </c>
    </row>
    <row r="21259" ht="15.75" customHeight="1">
      <c r="A21259" s="2" t="s">
        <v>21259</v>
      </c>
      <c r="B21259" s="2" t="str">
        <f>IFERROR(__xludf.DUMMYFUNCTION("GOOGLETRANSLATE(A21259, ""en"", ""mt"")"),"Era pre-Kolumbjana")</f>
        <v>Era pre-Kolumbjana</v>
      </c>
    </row>
    <row r="21260" ht="15.75" customHeight="1">
      <c r="A21260" s="2" t="s">
        <v>21260</v>
      </c>
      <c r="B21260" s="2" t="str">
        <f>IFERROR(__xludf.DUMMYFUNCTION("GOOGLETRANSLATE(A21260, ""en"", ""mt"")"),"pagi mnaqqsa")</f>
        <v>pagi mnaqqsa</v>
      </c>
    </row>
    <row r="21261" ht="15.75" customHeight="1">
      <c r="A21261" s="2" t="s">
        <v>21261</v>
      </c>
      <c r="B21261" s="2" t="str">
        <f>IFERROR(__xludf.DUMMYFUNCTION("GOOGLETRANSLATE(A21261, ""en"", ""mt"")"),"trade unions, banek, u universitajiet privati")</f>
        <v>trade unions, banek, u universitajiet privati</v>
      </c>
    </row>
    <row r="21262" ht="15.75" customHeight="1">
      <c r="A21262" s="2" t="s">
        <v>21262</v>
      </c>
      <c r="B21262" s="2" t="str">
        <f>IFERROR(__xludf.DUMMYFUNCTION("GOOGLETRANSLATE(A21262, ""en"", ""mt"")"),"Innu Ġermaniż tal-Krederali")</f>
        <v>Innu Ġermaniż tal-Krederali</v>
      </c>
    </row>
    <row r="21263" ht="15.75" customHeight="1">
      <c r="A21263" s="2" t="s">
        <v>21263</v>
      </c>
      <c r="B21263" s="2" t="str">
        <f>IFERROR(__xludf.DUMMYFUNCTION("GOOGLETRANSLATE(A21263, ""en"", ""mt"")"),"Phylum ta 'annimali li jgħixu fl-ilmijiet tal-baħar")</f>
        <v>Phylum ta 'annimali li jgħixu fl-ilmijiet tal-baħar</v>
      </c>
    </row>
    <row r="21264" ht="15.75" customHeight="1">
      <c r="A21264" s="2" t="s">
        <v>21264</v>
      </c>
      <c r="B21264" s="2" t="str">
        <f>IFERROR(__xludf.DUMMYFUNCTION("GOOGLETRANSLATE(A21264, ""en"", ""mt"")"),"Kif tissejjaħ iż-żona fejn pjanċa waħda tissottometti taħt ieħor?")</f>
        <v>Kif tissejjaħ iż-żona fejn pjanċa waħda tissottometti taħt ieħor?</v>
      </c>
    </row>
    <row r="21265" ht="15.75" customHeight="1">
      <c r="A21265" s="2" t="s">
        <v>21265</v>
      </c>
      <c r="B21265" s="2" t="str">
        <f>IFERROR(__xludf.DUMMYFUNCTION("GOOGLETRANSLATE(A21265, ""en"", ""mt"")"),"Dak li ġeneralment jiddetta l-materjali tal-kostruzzjoni użati?")</f>
        <v>Dak li ġeneralment jiddetta l-materjali tal-kostruzzjoni użati?</v>
      </c>
    </row>
    <row r="21266" ht="15.75" customHeight="1">
      <c r="A21266" s="2" t="s">
        <v>21266</v>
      </c>
      <c r="B21266" s="2" t="str">
        <f>IFERROR(__xludf.DUMMYFUNCTION("GOOGLETRANSLATE(A21266, ""en"", ""mt"")"),"Liema servizz mobbli kienu l-klijenti Verizon kapaċi jaraw Super Bowl 50 fuq it-telefowns tagħhom?")</f>
        <v>Liema servizz mobbli kienu l-klijenti Verizon kapaċi jaraw Super Bowl 50 fuq it-telefowns tagħhom?</v>
      </c>
    </row>
    <row r="21267" ht="15.75" customHeight="1">
      <c r="A21267" s="2" t="s">
        <v>21267</v>
      </c>
      <c r="B21267" s="2" t="str">
        <f>IFERROR(__xludf.DUMMYFUNCTION("GOOGLETRANSLATE(A21267, ""en"", ""mt"")"),"tistrieħ fuq pressjoni osmotika")</f>
        <v>tistrieħ fuq pressjoni osmotika</v>
      </c>
    </row>
    <row r="21268" ht="15.75" customHeight="1">
      <c r="A21268" s="2" t="s">
        <v>21268</v>
      </c>
      <c r="B21268" s="2" t="str">
        <f>IFERROR(__xludf.DUMMYFUNCTION("GOOGLETRANSLATE(A21268, ""en"", ""mt"")"),"Liema serje ABC oriġina bħala segment qasir fuq l-imħabba, l-istil Amerikan?")</f>
        <v>Liema serje ABC oriġina bħala segment qasir fuq l-imħabba, l-istil Amerikan?</v>
      </c>
    </row>
    <row r="21269" ht="15.75" customHeight="1">
      <c r="A21269" s="2" t="s">
        <v>21269</v>
      </c>
      <c r="B21269" s="2" t="str">
        <f>IFERROR(__xludf.DUMMYFUNCTION("GOOGLETRANSLATE(A21269, ""en"", ""mt"")"),"Jekk id-dispożizzjonijiet tat-trattati għandhom effett dirett u huma ċari biżżejjed, preċiżi u inkondizzjonati")</f>
        <v>Jekk id-dispożizzjonijiet tat-trattati għandhom effett dirett u huma ċari biżżejjed, preċiżi u inkondizzjonati</v>
      </c>
    </row>
    <row r="21270" ht="15.75" customHeight="1">
      <c r="A21270" s="2" t="s">
        <v>21270</v>
      </c>
      <c r="B21270" s="2" t="str">
        <f>IFERROR(__xludf.DUMMYFUNCTION("GOOGLETRANSLATE(A21270, ""en"", ""mt"")"),"xellug")</f>
        <v>xellug</v>
      </c>
    </row>
    <row r="21271" ht="15.75" customHeight="1">
      <c r="A21271" s="2" t="s">
        <v>21271</v>
      </c>
      <c r="B21271" s="2" t="str">
        <f>IFERROR(__xludf.DUMMYFUNCTION("GOOGLETRANSLATE(A21271, ""en"", ""mt"")"),"L-analiżi ta 'algoritmu speċifiku hija tipikament assenjata għal liema qasam tax-xjenza tal-komputazzjoni?")</f>
        <v>L-analiżi ta 'algoritmu speċifiku hija tipikament assenjata għal liema qasam tax-xjenza tal-komputazzjoni?</v>
      </c>
    </row>
    <row r="21272" ht="15.75" customHeight="1">
      <c r="A21272" s="2" t="s">
        <v>21272</v>
      </c>
      <c r="B21272" s="2" t="str">
        <f>IFERROR(__xludf.DUMMYFUNCTION("GOOGLETRANSLATE(A21272, ""en"", ""mt"")"),"Piłsudski")</f>
        <v>Piłsudski</v>
      </c>
    </row>
    <row r="21273" ht="15.75" customHeight="1">
      <c r="A21273" s="2" t="s">
        <v>21273</v>
      </c>
      <c r="B21273" s="2" t="str">
        <f>IFERROR(__xludf.DUMMYFUNCTION("GOOGLETRANSLATE(A21273, ""en"", ""mt"")"),"membru tal-ordni tal-konferenza annwali tagħhom tal-anzjani.")</f>
        <v>membru tal-ordni tal-konferenza annwali tagħhom tal-anzjani.</v>
      </c>
    </row>
    <row r="21274" ht="15.75" customHeight="1">
      <c r="A21274" s="2" t="s">
        <v>21274</v>
      </c>
      <c r="B21274" s="2" t="str">
        <f>IFERROR(__xludf.DUMMYFUNCTION("GOOGLETRANSLATE(A21274, ""en"", ""mt"")"),"Il-viċinat jinkludi Kearney Boulevard, imsemmi wara intraprenditur kmieni tas-seklu 20 u miljunarju M. Theo Kearney, li jestendi minn Triq Fresno fil-Lbiċ ta 'Fresno madwar 20 mi (32 km) fil-punent għal Kerman għal Kerman, Kerman, California. Triq rurali "&amp;"żgħira b'żewġ karreġġjati għall-biċċa l-kbira tat-tul tagħha, Kearney Boulevard hija miksija bis-siġar tal-palm tall. Il-medda ta 'bejn wieħed u ieħor nofs mili ta' Kearney Boulevard bejn Triq Fresno u Thorne Ave kienet f'ħin minnhom il-viċinat preferut g"&amp;"ħall-familji Afrikani Elite-Amerikani ta 'Fresno. Sezzjoni oħra, Brookhaven, fit-tarf tan-nofsinhar tan-naħa tal-punent fin-nofsinhar ta 'Jensen u fil-punent ta' Elm, ingħatat l-isem mill-Kunsill tal-Belt ta 'Fresno fi sforz biex terġa' tqajjem l-immaġni "&amp;"tal-viċinat. Is-suddiviżjoni iżolata kienet għal snin magħrufa bħala l- ""Dogg Lira"" b'referenza għal gang lokali, u mill-aħħar tal-2008 kienet għadha magħrufa għal livelli għoljin ta 'kriminalità vjolenti.")</f>
        <v>Il-viċinat jinkludi Kearney Boulevard, imsemmi wara intraprenditur kmieni tas-seklu 20 u miljunarju M. Theo Kearney, li jestendi minn Triq Fresno fil-Lbiċ ta 'Fresno madwar 20 mi (32 km) fil-punent għal Kerman għal Kerman, Kerman, California. Triq rurali żgħira b'żewġ karreġġjati għall-biċċa l-kbira tat-tul tagħha, Kearney Boulevard hija miksija bis-siġar tal-palm tall. Il-medda ta 'bejn wieħed u ieħor nofs mili ta' Kearney Boulevard bejn Triq Fresno u Thorne Ave kienet f'ħin minnhom il-viċinat preferut għall-familji Afrikani Elite-Amerikani ta 'Fresno. Sezzjoni oħra, Brookhaven, fit-tarf tan-nofsinhar tan-naħa tal-punent fin-nofsinhar ta 'Jensen u fil-punent ta' Elm, ingħatat l-isem mill-Kunsill tal-Belt ta 'Fresno fi sforz biex terġa' tqajjem l-immaġni tal-viċinat. Is-suddiviżjoni iżolata kienet għal snin magħrufa bħala l- "Dogg Lira" b'referenza għal gang lokali, u mill-aħħar tal-2008 kienet għadha magħrufa għal livelli għoljin ta 'kriminalità vjolenti.</v>
      </c>
    </row>
    <row r="21275" ht="15.75" customHeight="1">
      <c r="A21275" s="2" t="s">
        <v>21275</v>
      </c>
      <c r="B21275" s="2" t="str">
        <f>IFERROR(__xludf.DUMMYFUNCTION("GOOGLETRANSLATE(A21275, ""en"", ""mt"")"),"X'inhi l-ikbar fiera tal-ivvjaġġar fl-Ewropa?")</f>
        <v>X'inhi l-ikbar fiera tal-ivvjaġġar fl-Ewropa?</v>
      </c>
    </row>
    <row r="21276" ht="15.75" customHeight="1">
      <c r="A21276" s="2" t="s">
        <v>21276</v>
      </c>
      <c r="B21276" s="2" t="str">
        <f>IFERROR(__xludf.DUMMYFUNCTION("GOOGLETRANSLATE(A21276, ""en"", ""mt"")"),"F'liema sena nbidel il-format tas-serje għas-serje Doctor Who?")</f>
        <v>F'liema sena nbidel il-format tas-serje għas-serje Doctor Who?</v>
      </c>
    </row>
    <row r="21277" ht="15.75" customHeight="1">
      <c r="A21277" s="2" t="s">
        <v>21277</v>
      </c>
      <c r="B21277" s="2" t="str">
        <f>IFERROR(__xludf.DUMMYFUNCTION("GOOGLETRANSLATE(A21277, ""en"", ""mt"")"),"Il-politekniċi saru universitajiet ġodda")</f>
        <v>Il-politekniċi saru universitajiet ġodda</v>
      </c>
    </row>
    <row r="21278" ht="15.75" customHeight="1">
      <c r="A21278" s="2" t="s">
        <v>21278</v>
      </c>
      <c r="B21278" s="2" t="str">
        <f>IFERROR(__xludf.DUMMYFUNCTION("GOOGLETRANSLATE(A21278, ""en"", ""mt"")"),"tħeġġeġ it-tkabbir")</f>
        <v>tħeġġeġ it-tkabbir</v>
      </c>
    </row>
    <row r="21279" ht="15.75" customHeight="1">
      <c r="A21279" s="2" t="s">
        <v>21279</v>
      </c>
      <c r="B21279" s="2" t="str">
        <f>IFERROR(__xludf.DUMMYFUNCTION("GOOGLETRANSLATE(A21279, ""en"", ""mt"")"),"it-toroq")</f>
        <v>it-toroq</v>
      </c>
    </row>
    <row r="21280" ht="15.75" customHeight="1">
      <c r="A21280" s="2" t="s">
        <v>21280</v>
      </c>
      <c r="B21280" s="2" t="str">
        <f>IFERROR(__xludf.DUMMYFUNCTION("GOOGLETRANSLATE(A21280, ""en"", ""mt"")"),"Chalcogen")</f>
        <v>Chalcogen</v>
      </c>
    </row>
    <row r="21281" ht="15.75" customHeight="1">
      <c r="A21281" s="2" t="s">
        <v>21281</v>
      </c>
      <c r="B21281" s="2" t="str">
        <f>IFERROR(__xludf.DUMMYFUNCTION("GOOGLETRANSLATE(A21281, ""en"", ""mt"")"),"Skond l-UMC, persuni li huma dipendenti fuq il-pornografija biddlu l-perċezzjonijiet ta 'min?")</f>
        <v>Skond l-UMC, persuni li huma dipendenti fuq il-pornografija biddlu l-perċezzjonijiet ta 'min?</v>
      </c>
    </row>
    <row r="21282" ht="15.75" customHeight="1">
      <c r="A21282" s="2" t="s">
        <v>21282</v>
      </c>
      <c r="B21282" s="2" t="str">
        <f>IFERROR(__xludf.DUMMYFUNCTION("GOOGLETRANSLATE(A21282, ""en"", ""mt"")"),"Ċentru tal-Quddiesa")</f>
        <v>Ċentru tal-Quddiesa</v>
      </c>
    </row>
    <row r="21283" ht="15.75" customHeight="1">
      <c r="A21283" s="2" t="s">
        <v>21283</v>
      </c>
      <c r="B21283" s="2" t="str">
        <f>IFERROR(__xludf.DUMMYFUNCTION("GOOGLETRANSLATE(A21283, ""en"", ""mt"")"),"Gasquet (1908) sostna li l-isem Latin Atra Mors (Black Death) għall-epidemija tas-seklu 14 deher l-ewwel darba fiż-żminijiet moderni fl-1631 fi ktieb dwar l-istorja Daniża minn J.I. Pontanus: ""Vocatibant Mortem Vulgo &amp; Ab Effectu Atram. Isem. Fl-Ingilter"&amp;"ra, ma kienx sal-1823 li l-epidemija medjevali kienet l-ewwel imsejħa l-Black Death.")</f>
        <v>Gasquet (1908) sostna li l-isem Latin Atra Mors (Black Death) għall-epidemija tas-seklu 14 deher l-ewwel darba fiż-żminijiet moderni fl-1631 fi ktieb dwar l-istorja Daniża minn J.I. Pontanus: "Vocatibant Mortem Vulgo &amp; Ab Effectu Atram. Isem. Fl-Ingilterra, ma kienx sal-1823 li l-epidemija medjevali kienet l-ewwel imsejħa l-Black Death.</v>
      </c>
    </row>
    <row r="21284" ht="15.75" customHeight="1">
      <c r="A21284" s="2" t="s">
        <v>21284</v>
      </c>
      <c r="B21284" s="2" t="str">
        <f>IFERROR(__xludf.DUMMYFUNCTION("GOOGLETRANSLATE(A21284, ""en"", ""mt"")"),"Il-Watersheds ta ’San Lawrenz u Mississippi")</f>
        <v>Il-Watersheds ta ’San Lawrenz u Mississippi</v>
      </c>
    </row>
    <row r="21285" ht="15.75" customHeight="1">
      <c r="A21285" s="2" t="s">
        <v>21285</v>
      </c>
      <c r="B21285" s="2" t="str">
        <f>IFERROR(__xludf.DUMMYFUNCTION("GOOGLETRANSLATE(A21285, ""en"", ""mt"")"),"X'inhu eżempju ta 'virus li juża varjazzjoni antiġenika?")</f>
        <v>X'inhu eżempju ta 'virus li juża varjazzjoni antiġenika?</v>
      </c>
    </row>
    <row r="21286" ht="15.75" customHeight="1">
      <c r="A21286" s="2" t="s">
        <v>21286</v>
      </c>
      <c r="B21286" s="2" t="str">
        <f>IFERROR(__xludf.DUMMYFUNCTION("GOOGLETRANSLATE(A21286, ""en"", ""mt"")"),"Ikkontrollat, sperimentali")</f>
        <v>Ikkontrollat, sperimentali</v>
      </c>
    </row>
    <row r="21287" ht="15.75" customHeight="1">
      <c r="A21287" s="2" t="s">
        <v>21287</v>
      </c>
      <c r="B21287" s="2" t="str">
        <f>IFERROR(__xludf.DUMMYFUNCTION("GOOGLETRANSLATE(A21287, ""en"", ""mt"")"),"1748 bl-iffirmar tat-Trattat ta 'Aix-La-Chapelle")</f>
        <v>1748 bl-iffirmar tat-Trattat ta 'Aix-La-Chapelle</v>
      </c>
    </row>
    <row r="21288" ht="15.75" customHeight="1">
      <c r="A21288" s="2" t="s">
        <v>21288</v>
      </c>
      <c r="B21288" s="2" t="str">
        <f>IFERROR(__xludf.DUMMYFUNCTION("GOOGLETRANSLATE(A21288, ""en"", ""mt"")"),"Fejn tnejn mill-bniet ta 'Triton waqqfu vjaġġ?")</f>
        <v>Fejn tnejn mill-bniet ta 'Triton waqqfu vjaġġ?</v>
      </c>
    </row>
    <row r="21289" ht="15.75" customHeight="1">
      <c r="A21289" s="2" t="s">
        <v>21289</v>
      </c>
      <c r="B21289" s="2" t="str">
        <f>IFERROR(__xludf.DUMMYFUNCTION("GOOGLETRANSLATE(A21289, ""en"", ""mt"")"),"X'kien l-isem tad-dominju tas-sit li streamew il-logħba Super Bowl 50?")</f>
        <v>X'kien l-isem tad-dominju tas-sit li streamew il-logħba Super Bowl 50?</v>
      </c>
    </row>
    <row r="21290" ht="15.75" customHeight="1">
      <c r="A21290" s="2" t="s">
        <v>21290</v>
      </c>
      <c r="B21290" s="2" t="str">
        <f>IFERROR(__xludf.DUMMYFUNCTION("GOOGLETRANSLATE(A21290, ""en"", ""mt"")"),"Sistema 8–4–4")</f>
        <v>Sistema 8–4–4</v>
      </c>
    </row>
    <row r="21291" ht="15.75" customHeight="1">
      <c r="A21291" s="2" t="s">
        <v>21291</v>
      </c>
      <c r="B21291" s="2" t="str">
        <f>IFERROR(__xludf.DUMMYFUNCTION("GOOGLETRANSLATE(A21291, ""en"", ""mt"")"),"Liema forma għandhom in-numri interi Gaussjani kumplessi?")</f>
        <v>Liema forma għandhom in-numri interi Gaussjani kumplessi?</v>
      </c>
    </row>
    <row r="21292" ht="15.75" customHeight="1">
      <c r="A21292" s="2" t="s">
        <v>21292</v>
      </c>
      <c r="B21292" s="2" t="str">
        <f>IFERROR(__xludf.DUMMYFUNCTION("GOOGLETRANSLATE(A21292, ""en"", ""mt"")"),"pjanijiet nixxew lejn Franza sew qabel it-tluq ta 'Braddock")</f>
        <v>pjanijiet nixxew lejn Franza sew qabel it-tluq ta 'Braddock</v>
      </c>
    </row>
    <row r="21293" ht="15.75" customHeight="1">
      <c r="A21293" s="2" t="s">
        <v>21293</v>
      </c>
      <c r="B21293" s="2" t="str">
        <f>IFERROR(__xludf.DUMMYFUNCTION("GOOGLETRANSLATE(A21293, ""en"", ""mt"")"),"Għal xiex intużat is-sistema AC ta 'Tesla f'Pittsburgh?")</f>
        <v>Għal xiex intużat is-sistema AC ta 'Tesla f'Pittsburgh?</v>
      </c>
    </row>
    <row r="21294" ht="15.75" customHeight="1">
      <c r="A21294" s="2" t="s">
        <v>21294</v>
      </c>
      <c r="B21294" s="2" t="str">
        <f>IFERROR(__xludf.DUMMYFUNCTION("GOOGLETRANSLATE(A21294, ""en"", ""mt"")"),"Sky Movies u Sky Box Office jinkludu wkoll liema soundtracks fakultattivi?")</f>
        <v>Sky Movies u Sky Box Office jinkludu wkoll liema soundtracks fakultattivi?</v>
      </c>
    </row>
    <row r="21295" ht="15.75" customHeight="1">
      <c r="A21295" s="2" t="s">
        <v>21295</v>
      </c>
      <c r="B21295" s="2" t="str">
        <f>IFERROR(__xludf.DUMMYFUNCTION("GOOGLETRANSLATE(A21295, ""en"", ""mt"")"),"X'tip ta 'mġieba reliġjuża kienet kontra Tesla?")</f>
        <v>X'tip ta 'mġieba reliġjuża kienet kontra Tesla?</v>
      </c>
    </row>
    <row r="21296" ht="15.75" customHeight="1">
      <c r="A21296" s="2" t="s">
        <v>21296</v>
      </c>
      <c r="B21296" s="2" t="str">
        <f>IFERROR(__xludf.DUMMYFUNCTION("GOOGLETRANSLATE(A21296, ""en"", ""mt"")"),"Protokoll ta 'datagramma ta' l-utent")</f>
        <v>Protokoll ta 'datagramma ta' l-utent</v>
      </c>
    </row>
    <row r="21297" ht="15.75" customHeight="1">
      <c r="A21297" s="2" t="s">
        <v>21297</v>
      </c>
      <c r="B21297" s="2" t="str">
        <f>IFERROR(__xludf.DUMMYFUNCTION("GOOGLETRANSLATE(A21297, ""en"", ""mt"")"),"X'inhuma ż-żewġ faċilitajiet ta 'proċessar fil-viċinat?")</f>
        <v>X'inhuma ż-żewġ faċilitajiet ta 'proċessar fil-viċinat?</v>
      </c>
    </row>
    <row r="21298" ht="15.75" customHeight="1">
      <c r="A21298" s="2" t="s">
        <v>21298</v>
      </c>
      <c r="B21298" s="2" t="str">
        <f>IFERROR(__xludf.DUMMYFUNCTION("GOOGLETRANSLATE(A21298, ""en"", ""mt"")"),"Fi problema tal-komputazzjoni, x'jista 'jiġi deskritt bħala sekwenza fuq alfabett?")</f>
        <v>Fi problema tal-komputazzjoni, x'jista 'jiġi deskritt bħala sekwenza fuq alfabett?</v>
      </c>
    </row>
    <row r="21299" ht="15.75" customHeight="1">
      <c r="A21299" s="2" t="s">
        <v>21299</v>
      </c>
      <c r="B21299" s="2" t="str">
        <f>IFERROR(__xludf.DUMMYFUNCTION("GOOGLETRANSLATE(A21299, ""en"", ""mt"")"),"Is-Seminarju Teoloġiku ta ’Chicago")</f>
        <v>Is-Seminarju Teoloġiku ta ’Chicago</v>
      </c>
    </row>
    <row r="21300" ht="15.75" customHeight="1">
      <c r="A21300" s="2" t="s">
        <v>21300</v>
      </c>
      <c r="B21300" s="2" t="str">
        <f>IFERROR(__xludf.DUMMYFUNCTION("GOOGLETRANSLATE(A21300, ""en"", ""mt"")"),"X'jikkawża razza fl-istrutturi?")</f>
        <v>X'jikkawża razza fl-istrutturi?</v>
      </c>
    </row>
    <row r="21301" ht="15.75" customHeight="1">
      <c r="A21301" s="2" t="s">
        <v>21301</v>
      </c>
      <c r="B21301" s="2" t="str">
        <f>IFERROR(__xludf.DUMMYFUNCTION("GOOGLETRANSLATE(A21301, ""en"", ""mt"")"),"ftit appoġġ")</f>
        <v>ftit appoġġ</v>
      </c>
    </row>
    <row r="21302" ht="15.75" customHeight="1">
      <c r="A21302" s="2" t="s">
        <v>21302</v>
      </c>
      <c r="B21302" s="2" t="str">
        <f>IFERROR(__xludf.DUMMYFUNCTION("GOOGLETRANSLATE(A21302, ""en"", ""mt"")"),"Liema plejer waqqaf it-turf waqt logħba fil-Levi's Stadium?")</f>
        <v>Liema plejer waqqaf it-turf waqt logħba fil-Levi's Stadium?</v>
      </c>
    </row>
    <row r="21303" ht="15.75" customHeight="1">
      <c r="A21303" s="2" t="s">
        <v>21303</v>
      </c>
      <c r="B21303" s="2" t="str">
        <f>IFERROR(__xludf.DUMMYFUNCTION("GOOGLETRANSLATE(A21303, ""en"", ""mt"")"),"Xi tfisser Ctenophore bil-Grieg?")</f>
        <v>Xi tfisser Ctenophore bil-Grieg?</v>
      </c>
    </row>
    <row r="21304" ht="15.75" customHeight="1">
      <c r="A21304" s="2" t="s">
        <v>21304</v>
      </c>
      <c r="B21304" s="2" t="str">
        <f>IFERROR(__xludf.DUMMYFUNCTION("GOOGLETRANSLATE(A21304, ""en"", ""mt"")"),"Olsen")</f>
        <v>Olsen</v>
      </c>
    </row>
    <row r="21305" ht="15.75" customHeight="1">
      <c r="A21305" s="2" t="s">
        <v>21305</v>
      </c>
      <c r="B21305" s="2" t="str">
        <f>IFERROR(__xludf.DUMMYFUNCTION("GOOGLETRANSLATE(A21305, ""en"", ""mt"")"),"X'kien l-isem tal-mexxej imħassar minn Henry III")</f>
        <v>X'kien l-isem tal-mexxej imħassar minn Henry III</v>
      </c>
    </row>
    <row r="21306" ht="15.75" customHeight="1">
      <c r="A21306" s="2" t="s">
        <v>21306</v>
      </c>
      <c r="B21306" s="2" t="str">
        <f>IFERROR(__xludf.DUMMYFUNCTION("GOOGLETRANSLATE(A21306, ""en"", ""mt"")"),"Il-Verġni u t-Tifel ta 'Carlo Crivelli")</f>
        <v>Il-Verġni u t-Tifel ta 'Carlo Crivelli</v>
      </c>
    </row>
    <row r="21307" ht="15.75" customHeight="1">
      <c r="A21307" s="2" t="s">
        <v>21307</v>
      </c>
      <c r="B21307" s="2" t="str">
        <f>IFERROR(__xludf.DUMMYFUNCTION("GOOGLETRANSLATE(A21307, ""en"", ""mt"")"),"headwaiter")</f>
        <v>headwaiter</v>
      </c>
    </row>
    <row r="21308" ht="15.75" customHeight="1">
      <c r="A21308" s="2" t="s">
        <v>21308</v>
      </c>
      <c r="B21308" s="2" t="str">
        <f>IFERROR(__xludf.DUMMYFUNCTION("GOOGLETRANSLATE(A21308, ""en"", ""mt"")"),"in-netwerk tat-tilakoid")</f>
        <v>in-netwerk tat-tilakoid</v>
      </c>
    </row>
    <row r="21309" ht="15.75" customHeight="1">
      <c r="A21309" s="2" t="s">
        <v>21309</v>
      </c>
      <c r="B21309" s="2" t="str">
        <f>IFERROR(__xludf.DUMMYFUNCTION("GOOGLETRANSLATE(A21309, ""en"", ""mt"")"),"il-moviment tal-Pakistan")</f>
        <v>il-moviment tal-Pakistan</v>
      </c>
    </row>
    <row r="21310" ht="15.75" customHeight="1">
      <c r="A21310" s="2" t="s">
        <v>21310</v>
      </c>
      <c r="B21310" s="2" t="str">
        <f>IFERROR(__xludf.DUMMYFUNCTION("GOOGLETRANSLATE(A21310, ""en"", ""mt"")"),"Liema lingwi użaw l-iskrittura Phags-PA?")</f>
        <v>Liema lingwi użaw l-iskrittura Phags-PA?</v>
      </c>
    </row>
    <row r="21311" ht="15.75" customHeight="1">
      <c r="A21311" s="2" t="s">
        <v>21311</v>
      </c>
      <c r="B21311" s="2" t="str">
        <f>IFERROR(__xludf.DUMMYFUNCTION("GOOGLETRANSLATE(A21311, ""en"", ""mt"")"),"5,560 kg")</f>
        <v>5,560 kg</v>
      </c>
    </row>
    <row r="21312" ht="15.75" customHeight="1">
      <c r="A21312" s="2" t="s">
        <v>21312</v>
      </c>
      <c r="B21312" s="2" t="str">
        <f>IFERROR(__xludf.DUMMYFUNCTION("GOOGLETRANSLATE(A21312, ""en"", ""mt"")"),"Min hu l-gvernatur attwali tar-Rabat?")</f>
        <v>Min hu l-gvernatur attwali tar-Rabat?</v>
      </c>
    </row>
    <row r="21313" ht="15.75" customHeight="1">
      <c r="A21313" s="2" t="s">
        <v>21313</v>
      </c>
      <c r="B21313" s="2" t="str">
        <f>IFERROR(__xludf.DUMMYFUNCTION("GOOGLETRANSLATE(A21313, ""en"", ""mt"")"),"riħa")</f>
        <v>riħa</v>
      </c>
    </row>
    <row r="21314" ht="15.75" customHeight="1">
      <c r="A21314" s="2" t="s">
        <v>21314</v>
      </c>
      <c r="B21314" s="2" t="str">
        <f>IFERROR(__xludf.DUMMYFUNCTION("GOOGLETRANSLATE(A21314, ""en"", ""mt"")"),"teatru")</f>
        <v>teatru</v>
      </c>
    </row>
    <row r="21315" ht="15.75" customHeight="1">
      <c r="A21315" s="2" t="s">
        <v>21315</v>
      </c>
      <c r="B21315" s="2" t="str">
        <f>IFERROR(__xludf.DUMMYFUNCTION("GOOGLETRANSLATE(A21315, ""en"", ""mt"")"),"Struttura u forzi estiżi li jaġixxu fuq parti waħda ta 'oġġett jistgħu jaffettwaw partijiet oħra ta' oġġett")</f>
        <v>Struttura u forzi estiżi li jaġixxu fuq parti waħda ta 'oġġett jistgħu jaffettwaw partijiet oħra ta' oġġett</v>
      </c>
    </row>
    <row r="21316" ht="15.75" customHeight="1">
      <c r="A21316" s="2" t="s">
        <v>21316</v>
      </c>
      <c r="B21316" s="2" t="str">
        <f>IFERROR(__xludf.DUMMYFUNCTION("GOOGLETRANSLATE(A21316, ""en"", ""mt"")"),"F'liema tip ta 'molekuli jinstabu l-ossiġnu?")</f>
        <v>F'liema tip ta 'molekuli jinstabu l-ossiġnu?</v>
      </c>
    </row>
    <row r="21317" ht="15.75" customHeight="1">
      <c r="A21317" s="2" t="s">
        <v>21317</v>
      </c>
      <c r="B21317" s="2" t="str">
        <f>IFERROR(__xludf.DUMMYFUNCTION("GOOGLETRANSLATE(A21317, ""en"", ""mt"")"),"X'kien il-persentaġġ ta 'nies li vvutaw favur l-Att Pico tal-1859?")</f>
        <v>X'kien il-persentaġġ ta 'nies li vvutaw favur l-Att Pico tal-1859?</v>
      </c>
    </row>
    <row r="21318" ht="15.75" customHeight="1">
      <c r="A21318" s="2" t="s">
        <v>21318</v>
      </c>
      <c r="B21318" s="2" t="str">
        <f>IFERROR(__xludf.DUMMYFUNCTION("GOOGLETRANSLATE(A21318, ""en"", ""mt"")"),"Fejn l-ilma lejn il-punent tal-Baċin tad-Drenaġġ tal-Amażonja ħareġ?")</f>
        <v>Fejn l-ilma lejn il-punent tal-Baċin tad-Drenaġġ tal-Amażonja ħareġ?</v>
      </c>
    </row>
    <row r="21319" ht="15.75" customHeight="1">
      <c r="A21319" s="2" t="s">
        <v>21319</v>
      </c>
      <c r="B21319" s="2" t="str">
        <f>IFERROR(__xludf.DUMMYFUNCTION("GOOGLETRANSLATE(A21319, ""en"", ""mt"")"),"Min imexxi l-gvern tal-istudenti?")</f>
        <v>Min imexxi l-gvern tal-istudenti?</v>
      </c>
    </row>
    <row r="21320" ht="15.75" customHeight="1">
      <c r="A21320" s="2" t="s">
        <v>21320</v>
      </c>
      <c r="B21320" s="2" t="str">
        <f>IFERROR(__xludf.DUMMYFUNCTION("GOOGLETRANSLATE(A21320, ""en"", ""mt"")"),"Minflok it-tassazzjoni, x'inhuma l-iskejjel privati ​​fil-biċċa l-kbira ffinanzjati?")</f>
        <v>Minflok it-tassazzjoni, x'inhuma l-iskejjel privati ​​fil-biċċa l-kbira ffinanzjati?</v>
      </c>
    </row>
    <row r="21321" ht="15.75" customHeight="1">
      <c r="A21321" s="2" t="s">
        <v>21321</v>
      </c>
      <c r="B21321" s="2" t="str">
        <f>IFERROR(__xludf.DUMMYFUNCTION("GOOGLETRANSLATE(A21321, ""en"", ""mt"")"),"Tkabbir ekonomiku baxx")</f>
        <v>Tkabbir ekonomiku baxx</v>
      </c>
    </row>
    <row r="21322" ht="15.75" customHeight="1">
      <c r="A21322" s="2" t="s">
        <v>21322</v>
      </c>
      <c r="B21322" s="2" t="str">
        <f>IFERROR(__xludf.DUMMYFUNCTION("GOOGLETRANSLATE(A21322, ""en"", ""mt"")"),"Għerf u prudenza ta 'ċerti deċiżjonijiet")</f>
        <v>Għerf u prudenza ta 'ċerti deċiżjonijiet</v>
      </c>
    </row>
    <row r="21323" ht="15.75" customHeight="1">
      <c r="A21323" s="2" t="s">
        <v>21323</v>
      </c>
      <c r="B21323" s="2" t="str">
        <f>IFERROR(__xludf.DUMMYFUNCTION("GOOGLETRANSLATE(A21323, ""en"", ""mt"")"),"żoni muntanjużi")</f>
        <v>żoni muntanjużi</v>
      </c>
    </row>
    <row r="21324" ht="15.75" customHeight="1">
      <c r="A21324" s="2" t="s">
        <v>21324</v>
      </c>
      <c r="B21324" s="2" t="str">
        <f>IFERROR(__xludf.DUMMYFUNCTION("GOOGLETRANSLATE(A21324, ""en"", ""mt"")"),"Ma riedx irġiel żleali fl-armata tiegħu")</f>
        <v>Ma riedx irġiel żleali fl-armata tiegħu</v>
      </c>
    </row>
    <row r="21325" ht="15.75" customHeight="1">
      <c r="A21325" s="2" t="s">
        <v>21325</v>
      </c>
      <c r="B21325" s="2" t="str">
        <f>IFERROR(__xludf.DUMMYFUNCTION("GOOGLETRANSLATE(A21325, ""en"", ""mt"")"),"Min kien raġel wieħed li ngħaqad f'idejh u qal ""Mulej tal-Knisja, aħna magħqudin fik ...?""")</f>
        <v>Min kien raġel wieħed li ngħaqad f'idejh u qal "Mulej tal-Knisja, aħna magħqudin fik ...?"</v>
      </c>
    </row>
    <row r="21326" ht="15.75" customHeight="1">
      <c r="A21326" s="2" t="s">
        <v>21326</v>
      </c>
      <c r="B21326" s="2" t="str">
        <f>IFERROR(__xludf.DUMMYFUNCTION("GOOGLETRANSLATE(A21326, ""en"", ""mt"")"),"Abu al-Rayhan al-Biruni")</f>
        <v>Abu al-Rayhan al-Biruni</v>
      </c>
    </row>
    <row r="21327" ht="15.75" customHeight="1">
      <c r="A21327" s="2" t="s">
        <v>21327</v>
      </c>
      <c r="B21327" s="2" t="str">
        <f>IFERROR(__xludf.DUMMYFUNCTION("GOOGLETRANSLATE(A21327, ""en"", ""mt"")"),"l-ossidant")</f>
        <v>l-ossidant</v>
      </c>
    </row>
    <row r="21328" ht="15.75" customHeight="1">
      <c r="A21328" s="2" t="s">
        <v>21328</v>
      </c>
      <c r="B21328" s="2" t="str">
        <f>IFERROR(__xludf.DUMMYFUNCTION("GOOGLETRANSLATE(A21328, ""en"", ""mt"")"),"Min ħareġ bit-teorija tal-mikrobi?")</f>
        <v>Min ħareġ bit-teorija tal-mikrobi?</v>
      </c>
    </row>
    <row r="21329" ht="15.75" customHeight="1">
      <c r="A21329" s="2" t="s">
        <v>21329</v>
      </c>
      <c r="B21329" s="2" t="str">
        <f>IFERROR(__xludf.DUMMYFUNCTION("GOOGLETRANSLATE(A21329, ""en"", ""mt"")"),"Fil-Konferenza Ġenerali tal-1996 l-Ordni ta 'l-Ordinazzjoni ta' Djaknu Tranżitorju ġie abolit. Dan ħoloq ordnijiet ġodda magħrufa bħala ""anzjani proviżorji"" jew ""djaknu proviżorju"" għal dawk li jfittxu li jiġu ordnati fl-ordnijiet rispettivi. L-anzjan"&amp;" / djaknu proviżorju huwa gradwat fis-seminarju li jservi mandat ta 'sentejn f'ħatra full-time wara li jkun ġie kkummissjonat. Matul dan il-perjodu ta 'sentejn jew tliet snin, l-anzjan proviżorju jingħata ministeru sagramentali fil-ħatra lokali tagħhom. G"&amp;"ħall-ewwel darba fl-istorja tagħha r-ragħajja mhux ordnati saru aspettattiva normali, aktar milli dispożizzjoni straordinarja għall-ministeru.")</f>
        <v>Fil-Konferenza Ġenerali tal-1996 l-Ordni ta 'l-Ordinazzjoni ta' Djaknu Tranżitorju ġie abolit. Dan ħoloq ordnijiet ġodda magħrufa bħala "anzjani proviżorji" jew "djaknu proviżorju" għal dawk li jfittxu li jiġu ordnati fl-ordnijiet rispettivi. L-anzjan / djaknu proviżorju huwa gradwat fis-seminarju li jservi mandat ta 'sentejn f'ħatra full-time wara li jkun ġie kkummissjonat. Matul dan il-perjodu ta 'sentejn jew tliet snin, l-anzjan proviżorju jingħata ministeru sagramentali fil-ħatra lokali tagħhom. Għall-ewwel darba fl-istorja tagħha r-ragħajja mhux ordnati saru aspettattiva normali, aktar milli dispożizzjoni straordinarja għall-ministeru.</v>
      </c>
    </row>
    <row r="21330" ht="15.75" customHeight="1">
      <c r="A21330" s="2" t="s">
        <v>21330</v>
      </c>
      <c r="B21330" s="2" t="str">
        <f>IFERROR(__xludf.DUMMYFUNCTION("GOOGLETRANSLATE(A21330, ""en"", ""mt"")"),"100-150 speċi ġew ivvalidati")</f>
        <v>100-150 speċi ġew ivvalidati</v>
      </c>
    </row>
    <row r="21331" ht="15.75" customHeight="1">
      <c r="A21331" s="2" t="s">
        <v>21331</v>
      </c>
      <c r="B21331" s="2" t="str">
        <f>IFERROR(__xludf.DUMMYFUNCTION("GOOGLETRANSLATE(A21331, ""en"", ""mt"")"),"Problemi tekniċi u dewmien fit-titjira")</f>
        <v>Problemi tekniċi u dewmien fit-titjira</v>
      </c>
    </row>
    <row r="21332" ht="15.75" customHeight="1">
      <c r="A21332" s="2" t="s">
        <v>21332</v>
      </c>
      <c r="B21332" s="2" t="str">
        <f>IFERROR(__xludf.DUMMYFUNCTION("GOOGLETRANSLATE(A21332, ""en"", ""mt"")"),"Madwar l-1712")</f>
        <v>Madwar l-1712</v>
      </c>
    </row>
    <row r="21333" ht="15.75" customHeight="1">
      <c r="A21333" s="2" t="s">
        <v>21333</v>
      </c>
      <c r="B21333" s="2" t="str">
        <f>IFERROR(__xludf.DUMMYFUNCTION("GOOGLETRANSLATE(A21333, ""en"", ""mt"")"),"A1")</f>
        <v>A1</v>
      </c>
    </row>
    <row r="21334" ht="15.75" customHeight="1">
      <c r="A21334" s="2" t="s">
        <v>21334</v>
      </c>
      <c r="B21334" s="2" t="str">
        <f>IFERROR(__xludf.DUMMYFUNCTION("GOOGLETRANSLATE(A21334, ""en"", ""mt"")"),"F'liema għandha d-duttrina ta 'l-aspettattivi leġittimi?")</f>
        <v>F'liema għandha d-duttrina ta 'l-aspettattivi leġittimi?</v>
      </c>
    </row>
    <row r="21335" ht="15.75" customHeight="1">
      <c r="A21335" s="2" t="s">
        <v>21335</v>
      </c>
      <c r="B21335" s="2" t="str">
        <f>IFERROR(__xludf.DUMMYFUNCTION("GOOGLETRANSLATE(A21335, ""en"", ""mt"")"),"2.7%")</f>
        <v>2.7%</v>
      </c>
    </row>
    <row r="21336" ht="15.75" customHeight="1">
      <c r="A21336" s="2" t="s">
        <v>21336</v>
      </c>
      <c r="B21336" s="2" t="str">
        <f>IFERROR(__xludf.DUMMYFUNCTION("GOOGLETRANSLATE(A21336, ""en"", ""mt"")"),"Fl-1060s")</f>
        <v>Fl-1060s</v>
      </c>
    </row>
    <row r="21337" ht="15.75" customHeight="1">
      <c r="A21337" s="2" t="s">
        <v>21337</v>
      </c>
      <c r="B21337" s="2" t="str">
        <f>IFERROR(__xludf.DUMMYFUNCTION("GOOGLETRANSLATE(A21337, ""en"", ""mt"")"),"Liema ankra femminili mil-lum ingħaqdet ma 'Hugh Downs fuq 20/20?")</f>
        <v>Liema ankra femminili mil-lum ingħaqdet ma 'Hugh Downs fuq 20/20?</v>
      </c>
    </row>
    <row r="21338" ht="15.75" customHeight="1">
      <c r="A21338" s="2" t="s">
        <v>21338</v>
      </c>
      <c r="B21338" s="2" t="str">
        <f>IFERROR(__xludf.DUMMYFUNCTION("GOOGLETRANSLATE(A21338, ""en"", ""mt"")"),"Johannes Bugenhagen")</f>
        <v>Johannes Bugenhagen</v>
      </c>
    </row>
    <row r="21339" ht="15.75" customHeight="1">
      <c r="A21339" s="2" t="s">
        <v>21339</v>
      </c>
      <c r="B21339" s="2" t="str">
        <f>IFERROR(__xludf.DUMMYFUNCTION("GOOGLETRANSLATE(A21339, ""en"", ""mt"")"),"Tank tal-ossiġnu likwidu sploda,")</f>
        <v>Tank tal-ossiġnu likwidu sploda,</v>
      </c>
    </row>
    <row r="21340" ht="15.75" customHeight="1">
      <c r="A21340" s="2" t="s">
        <v>21340</v>
      </c>
      <c r="B21340" s="2" t="str">
        <f>IFERROR(__xludf.DUMMYFUNCTION("GOOGLETRANSLATE(A21340, ""en"", ""mt"")"),"Ir-Repubblika Iżlamika żammet ukoll il-poter tagħha fl-Iran minkejja s-sanzjonijiet ekonomiċi tal-Istati Uniti, u ħolqot jew assistiet gruppi terroristiċi Shia li jaħsbuha l-istess fl-Iraq, l-Eġittu, is-Sirja, il-Ġordan (Sciri) u l-Libanu (Hezbollah) (żew"&amp;"ġ pajjiżi Musulmani (żewġ pajjiżi Musulmani (żewġ li għandhom ukoll popolazzjonijiet tax-Xiti kbar). Matul il-kunflitt Iżrael-Libanon tal-2006, il-gvern Iranjan gawda xi ħaġa ta 'qawmien mill-ġdid fil-popolarità fost il-predominantement Sunni ""Triq Għarb"&amp;"ija"", minħabba l-appoġġ tagħha għall-Hezbollah u għall-oppożizzjoni vehement tal-President Mahmoud Ahmadinejad għall-Istati Uniti u s-sejħa tiegħu li l-Iżrael għandu jisparixxi.")</f>
        <v>Ir-Repubblika Iżlamika żammet ukoll il-poter tagħha fl-Iran minkejja s-sanzjonijiet ekonomiċi tal-Istati Uniti, u ħolqot jew assistiet gruppi terroristiċi Shia li jaħsbuha l-istess fl-Iraq, l-Eġittu, is-Sirja, il-Ġordan (Sciri) u l-Libanu (Hezbollah) (żewġ pajjiżi Musulmani (żewġ pajjiżi Musulmani (żewġ li għandhom ukoll popolazzjonijiet tax-Xiti kbar). Matul il-kunflitt Iżrael-Libanon tal-2006, il-gvern Iranjan gawda xi ħaġa ta 'qawmien mill-ġdid fil-popolarità fost il-predominantement Sunni "Triq Għarbija", minħabba l-appoġġ tagħha għall-Hezbollah u għall-oppożizzjoni vehement tal-President Mahmoud Ahmadinejad għall-Istati Uniti u s-sejħa tiegħu li l-Iżrael għandu jisparixxi.</v>
      </c>
    </row>
    <row r="21341" ht="15.75" customHeight="1">
      <c r="A21341" s="2" t="s">
        <v>21341</v>
      </c>
      <c r="B21341" s="2" t="str">
        <f>IFERROR(__xludf.DUMMYFUNCTION("GOOGLETRANSLATE(A21341, ""en"", ""mt"")"),"Min jista 'ma jirrikjedix li l-għalliema tiegħu jiġu ċċertifikati?")</f>
        <v>Min jista 'ma jirrikjedix li l-għalliema tiegħu jiġu ċċertifikati?</v>
      </c>
    </row>
    <row r="21342" ht="15.75" customHeight="1">
      <c r="A21342" s="2" t="s">
        <v>21342</v>
      </c>
      <c r="B21342" s="2" t="str">
        <f>IFERROR(__xludf.DUMMYFUNCTION("GOOGLETRANSLATE(A21342, ""en"", ""mt"")"),"X'kienet ir-rata bażi għal reklam ta '30 sekonda matul Super Bowl 50?")</f>
        <v>X'kienet ir-rata bażi għal reklam ta '30 sekonda matul Super Bowl 50?</v>
      </c>
    </row>
    <row r="21343" ht="15.75" customHeight="1">
      <c r="A21343" s="2" t="s">
        <v>21343</v>
      </c>
      <c r="B21343" s="2" t="str">
        <f>IFERROR(__xludf.DUMMYFUNCTION("GOOGLETRANSLATE(A21343, ""en"", ""mt"")"),"X'inhi l-ordni tal-bond tal-molekuli tad-dijossiġnu?")</f>
        <v>X'inhi l-ordni tal-bond tal-molekuli tad-dijossiġnu?</v>
      </c>
    </row>
    <row r="21344" ht="15.75" customHeight="1">
      <c r="A21344" s="2" t="s">
        <v>21344</v>
      </c>
      <c r="B21344" s="2" t="str">
        <f>IFERROR(__xludf.DUMMYFUNCTION("GOOGLETRANSLATE(A21344, ""en"", ""mt"")"),"Il-mutur ta 'induzzjoni u t-transformer ta' Tesla kien liċenzjat minn min?")</f>
        <v>Il-mutur ta 'induzzjoni u t-transformer ta' Tesla kien liċenzjat minn min?</v>
      </c>
    </row>
    <row r="21345" ht="15.75" customHeight="1">
      <c r="A21345" s="2" t="s">
        <v>21345</v>
      </c>
      <c r="B21345" s="2" t="str">
        <f>IFERROR(__xludf.DUMMYFUNCTION("GOOGLETRANSLATE(A21345, ""en"", ""mt"")"),"X'tip ta 'sistema tesla ssuġġeriet lil Adams?")</f>
        <v>X'tip ta 'sistema tesla ssuġġeriet lil Adams?</v>
      </c>
    </row>
    <row r="21346" ht="15.75" customHeight="1">
      <c r="A21346" s="2" t="s">
        <v>21346</v>
      </c>
      <c r="B21346" s="2" t="str">
        <f>IFERROR(__xludf.DUMMYFUNCTION("GOOGLETRANSLATE(A21346, ""en"", ""mt"")"),"Ikkastiga lill-poplu Miami ta 'Pickawillany")</f>
        <v>Ikkastiga lill-poplu Miami ta 'Pickawillany</v>
      </c>
    </row>
    <row r="21347" ht="15.75" customHeight="1">
      <c r="A21347" s="2" t="s">
        <v>21347</v>
      </c>
      <c r="B21347" s="2" t="str">
        <f>IFERROR(__xludf.DUMMYFUNCTION("GOOGLETRANSLATE(A21347, ""en"", ""mt"")"),"BBC")</f>
        <v>BBC</v>
      </c>
    </row>
    <row r="21348" ht="15.75" customHeight="1">
      <c r="A21348" s="2" t="s">
        <v>21348</v>
      </c>
      <c r="B21348" s="2" t="str">
        <f>IFERROR(__xludf.DUMMYFUNCTION("GOOGLETRANSLATE(A21348, ""en"", ""mt"")"),"Deskrizzjoni tal-arkivju kodifikata (EAD")</f>
        <v>Deskrizzjoni tal-arkivju kodifikata (EAD</v>
      </c>
    </row>
    <row r="21349" ht="15.75" customHeight="1">
      <c r="A21349" s="2" t="s">
        <v>21349</v>
      </c>
      <c r="B21349" s="2" t="str">
        <f>IFERROR(__xludf.DUMMYFUNCTION("GOOGLETRANSLATE(A21349, ""en"", ""mt"")"),"Bejn l-2005 u l-2010")</f>
        <v>Bejn l-2005 u l-2010</v>
      </c>
    </row>
    <row r="21350" ht="15.75" customHeight="1">
      <c r="A21350" s="2" t="s">
        <v>21350</v>
      </c>
      <c r="B21350" s="2" t="str">
        <f>IFERROR(__xludf.DUMMYFUNCTION("GOOGLETRANSLATE(A21350, ""en"", ""mt"")"),"Matul l-età ta '18")</f>
        <v>Matul l-età ta '18</v>
      </c>
    </row>
    <row r="21351" ht="15.75" customHeight="1">
      <c r="A21351" s="2" t="s">
        <v>21351</v>
      </c>
      <c r="B21351" s="2" t="str">
        <f>IFERROR(__xludf.DUMMYFUNCTION("GOOGLETRANSLATE(A21351, ""en"", ""mt"")"),"Mewt ta 'eretiku")</f>
        <v>Mewt ta 'eretiku</v>
      </c>
    </row>
    <row r="21352" ht="15.75" customHeight="1">
      <c r="A21352" s="2" t="s">
        <v>21352</v>
      </c>
      <c r="B21352" s="2" t="str">
        <f>IFERROR(__xludf.DUMMYFUNCTION("GOOGLETRANSLATE(A21352, ""en"", ""mt"")"),"Fejn għamlet il-kampanja tal-Armata ta 'Genghis Khan ta' Jebe f'Khwarezmia?")</f>
        <v>Fejn għamlet il-kampanja tal-Armata ta 'Genghis Khan ta' Jebe f'Khwarezmia?</v>
      </c>
    </row>
    <row r="21353" ht="15.75" customHeight="1">
      <c r="A21353" s="2" t="s">
        <v>21353</v>
      </c>
      <c r="B21353" s="2" t="str">
        <f>IFERROR(__xludf.DUMMYFUNCTION("GOOGLETRANSLATE(A21353, ""en"", ""mt"")"),"1695–1696")</f>
        <v>1695–1696</v>
      </c>
    </row>
    <row r="21354" ht="15.75" customHeight="1">
      <c r="A21354" s="2" t="s">
        <v>21354</v>
      </c>
      <c r="B21354" s="2" t="str">
        <f>IFERROR(__xludf.DUMMYFUNCTION("GOOGLETRANSLATE(A21354, ""en"", ""mt"")"),"X’sejjaħ Martin Brecht f’Luther fuq il-Lhud?")</f>
        <v>X’sejjaħ Martin Brecht f’Luther fuq il-Lhud?</v>
      </c>
    </row>
    <row r="21355" ht="15.75" customHeight="1">
      <c r="A21355" s="2" t="s">
        <v>21355</v>
      </c>
      <c r="B21355" s="2" t="str">
        <f>IFERROR(__xludf.DUMMYFUNCTION("GOOGLETRANSLATE(A21355, ""en"", ""mt"")"),"Spearhead mill-ispazju")</f>
        <v>Spearhead mill-ispazju</v>
      </c>
    </row>
    <row r="21356" ht="15.75" customHeight="1">
      <c r="A21356" s="2" t="s">
        <v>21356</v>
      </c>
      <c r="B21356" s="2" t="str">
        <f>IFERROR(__xludf.DUMMYFUNCTION("GOOGLETRANSLATE(A21356, ""en"", ""mt"")"),"Il-Ġermanja u l-Isvizzera")</f>
        <v>Il-Ġermanja u l-Isvizzera</v>
      </c>
    </row>
    <row r="21357" ht="15.75" customHeight="1">
      <c r="A21357" s="2" t="s">
        <v>21357</v>
      </c>
      <c r="B21357" s="2" t="str">
        <f>IFERROR(__xludf.DUMMYFUNCTION("GOOGLETRANSLATE(A21357, ""en"", ""mt"")"),"Pont")</f>
        <v>Pont</v>
      </c>
    </row>
    <row r="21358" ht="15.75" customHeight="1">
      <c r="A21358" s="2" t="s">
        <v>21358</v>
      </c>
      <c r="B21358" s="2" t="str">
        <f>IFERROR(__xludf.DUMMYFUNCTION("GOOGLETRANSLATE(A21358, ""en"", ""mt"")"),"Suġġetti vokazzjonali")</f>
        <v>Suġġetti vokazzjonali</v>
      </c>
    </row>
    <row r="21359" ht="15.75" customHeight="1">
      <c r="A21359" s="2" t="s">
        <v>21359</v>
      </c>
      <c r="B21359" s="2" t="str">
        <f>IFERROR(__xludf.DUMMYFUNCTION("GOOGLETRANSLATE(A21359, ""en"", ""mt"")"),"X'inhi waħda mill-aktar okkupazzjonijiet perikolużi fid-dinja?")</f>
        <v>X'inhi waħda mill-aktar okkupazzjonijiet perikolużi fid-dinja?</v>
      </c>
    </row>
    <row r="21360" ht="15.75" customHeight="1">
      <c r="A21360" s="2" t="s">
        <v>21360</v>
      </c>
      <c r="B21360" s="2" t="str">
        <f>IFERROR(__xludf.DUMMYFUNCTION("GOOGLETRANSLATE(A21360, ""en"", ""mt"")"),"Charles Dickens")</f>
        <v>Charles Dickens</v>
      </c>
    </row>
    <row r="21361" ht="15.75" customHeight="1">
      <c r="A21361" s="2" t="s">
        <v>21361</v>
      </c>
      <c r="B21361" s="2" t="str">
        <f>IFERROR(__xludf.DUMMYFUNCTION("GOOGLETRANSLATE(A21361, ""en"", ""mt"")"),"Ħafna drabi r-regoli japplikaw għall-oġġetti kollha newtralment, iżda jista 'jkollhom effett prattiku akbar fuq l-importazzjonijiet minn prodotti domestiċi. Għal dawn il-Qorti tal-Ġustizzja ""indiretti"" (jew ""indistindament applikabbli"", il-Qorti tal-Ġ"&amp;"ustizzja żviluppat aktar ġustifikazzjonijiet: jew dawk fl-Artikolu 36, jew ħtiġijiet addizzjonali ""obbligatorji"" jew ""importanti"" bħall-protezzjoni tal-konsumatur, itejbu l-istandards tax-xogħol, il-ħarsien tal-istandards tax-xogħol Ambjent, diversità"&amp;" tal-istampa, ġustizzja fil-kummerċ, u aktar: il-kategoriji mhumiex magħluqa. Fil-każ l-iktar famuż Rewe-Zentral Ag V Bundesmonopol für Branntwein, il-Qorti tal-Ġustizzja sabet li liġi Ġermaniża li teħtieġ li l-ispirti u l-likuri kollha (mhux biss dawk im"&amp;"portati) ikollhom kontenut minimu ta 'alkoħol ta '25 fil-mija kien kuntrarju għall-Artikolu 34 tat-TFEU 34 , minħabba li kellha effett negattiv akbar fuq l-importazzjonijiet. Il-likuri Ġermaniżi kellhom aktar minn 25 fil-mija ta 'alkoħol, iżda Cassis de D"&amp;"ijon, li Rew-Zentrale Ag xtaq jimporta minn Franza, kellu biss 15 sa 20 fil-mija ta' alkoħol. Il-Qorti tal-Ġustizzja ċaħdet l-argumenti tal-gvern Ġermaniż li l-miżura protetta proporzjonalment is-saħħa pubblika taħt l-Artikolu 36 tat-TFEU, minħabba li x-x"&amp;"orb aktar qawwi kien disponibbli u t-tikkettar adegwat ikun biżżejjed biex il-konsumaturi jifhmu dak li xtraw. Din ir-regola tapplika primarjament għal rekwiżiti dwar il-kontenut jew l-imballaġġ ta 'prodott. Fil-Walter Rau Lebensmittelke v De Smedt Pvba, "&amp;"il-Qorti tal-Ġustizzja sabet li liġi Belġjana li teħtieġ li l-marġerina kollha tkun fil-pakketti tal-forma ta ’kubu li kisret l-Artikolu 34, u ma kinitx iġġustifikata mill-insegwiment tal-protezzjoni tal-konsumatur. L-argument li l-Belġjani kienu jemmnu l"&amp;"i kien butir kieku ma kienx iffurmat kubu kien sproporzjonat: ""jaqbeż konsiderevolment ir-rekwiżiti tal-oġġett fil-vista"" u l-ittikkettjar jipproteġi lill-konsumaturi ""daqstant effettivament"". F'każ ta 'l-2003, il-liġi Taljana tal-Kummissjoni v Italja"&amp;" kienet teħtieġ li l-prodotti tal-kawkaw li kienu jinkludu xaħmijiet veġetali oħra ma jistgħux jiġu ttikkettjati bħala ""ċikkulata"". Kellu jkun ""sostitut taċ-ċikkulata"". Iċ-ċikkulata kollha Taljana kienet magħmula mill-butir tal-kawkaw waħedha, iżda l-"&amp;"manifatturi Ingliżi, Daniżi u Irlandiżi użaw xaħmijiet veġetali oħra. Huma ddikjaraw li l-liġi kisret l-Artikolu 34. Il-Qorti tal-Ġustizzja ddeċidiet li kontenut baxx ta 'xaħam tal-ħaxix ma jiġġustifikax tikketta ""sostitut taċ-ċikkulata"". Dan kien derog"&amp;"atorju f'għajnejn il-konsumaturi. ""Dikjarazzjoni newtrali u oġġettiva"" kienet biżżejjed biex tipproteġi lill-konsumaturi. Jekk l-istati membri jpoġġu ostakli konsiderevoli dwar l-użu ta 'prodott, dan jista' jikser ukoll l-Artikolu 34. Allura, f'każ tal-"&amp;"2009, il-Kummissjoni v l-Italja, il-Qorti tal-Ġustizzja ddeċidiet li liġi Taljana li tipprojbixxi muturi jew mopeds li tiġbed karrijiet li kisret l-Artikolu 34. Għal darb'oħra, il-liġi applikat newtralment għal kulħadd, iżda affettwat b'mod sproporzjonat "&amp;"l-importaturi, minħabba li l-kumpaniji Taljani ma għamlux karrijiet. Din ma kinitx rekwiżit tal-prodott, iżda l-qorti rraġunaw li l-projbizzjoni tiskoraġġixxi lin-nies milli jixtruha: ikollha ""influwenza konsiderevoli fuq l-imġieba tal-konsumaturi"" li "&amp;"""taffettwa l-aċċess ta 'dak il-prodott għas-suq"". Teħtieġ ġustifikazzjoni skont l-Artikolu 36, jew bħala ħtieġa obbligatorja.")</f>
        <v>Ħafna drabi r-regoli japplikaw għall-oġġetti kollha newtralment, iżda jista 'jkollhom effett prattiku akbar fuq l-importazzjonijiet minn prodotti domestiċi. Għal dawn il-Qorti tal-Ġustizzja "indiretti" (jew "indistindament applikabbli", il-Qorti tal-Ġustizzja żviluppat aktar ġustifikazzjonijiet: jew dawk fl-Artikolu 36, jew ħtiġijiet addizzjonali "obbligatorji" jew "importanti" bħall-protezzjoni tal-konsumatur, itejbu l-istandards tax-xogħol, il-ħarsien tal-istandards tax-xogħol Ambjent, diversità tal-istampa, ġustizzja fil-kummerċ, u aktar: il-kategoriji mhumiex magħluqa. Fil-każ l-iktar famuż Rewe-Zentral Ag V Bundesmonopol für Branntwein, il-Qorti tal-Ġustizzja sabet li liġi Ġermaniża li teħtieġ li l-ispirti u l-likuri kollha (mhux biss dawk importati) ikollhom kontenut minimu ta 'alkoħol ta '25 fil-mija kien kuntrarju għall-Artikolu 34 tat-TFEU 34 , minħabba li kellha effett negattiv akbar fuq l-importazzjonijiet. Il-likuri Ġermaniżi kellhom aktar minn 25 fil-mija ta 'alkoħol, iżda Cassis de Dijon, li Rew-Zentrale Ag xtaq jimporta minn Franza, kellu biss 15 sa 20 fil-mija ta' alkoħol. Il-Qorti tal-Ġustizzja ċaħdet l-argumenti tal-gvern Ġermaniż li l-miżura protetta proporzjonalment is-saħħa pubblika taħt l-Artikolu 36 tat-TFEU, minħabba li x-xorb aktar qawwi kien disponibbli u t-tikkettar adegwat ikun biżżejjed biex il-konsumaturi jifhmu dak li xtraw. Din ir-regola tapplika primarjament għal rekwiżiti dwar il-kontenut jew l-imballaġġ ta 'prodott. Fil-Walter Rau Lebensmittelke v De Smedt Pvba, il-Qorti tal-Ġustizzja sabet li liġi Belġjana li teħtieġ li l-marġerina kollha tkun fil-pakketti tal-forma ta ’kubu li kisret l-Artikolu 34, u ma kinitx iġġustifikata mill-insegwiment tal-protezzjoni tal-konsumatur. L-argument li l-Belġjani kienu jemmnu li kien butir kieku ma kienx iffurmat kubu kien sproporzjonat: "jaqbeż konsiderevolment ir-rekwiżiti tal-oġġett fil-vista" u l-ittikkettjar jipproteġi lill-konsumaturi "daqstant effettivament". F'każ ta 'l-2003, il-liġi Taljana tal-Kummissjoni v Italja kienet teħtieġ li l-prodotti tal-kawkaw li kienu jinkludu xaħmijiet veġetali oħra ma jistgħux jiġu ttikkettjati bħala "ċikkulata". Kellu jkun "sostitut taċ-ċikkulata". Iċ-ċikkulata kollha Taljana kienet magħmula mill-butir tal-kawkaw waħedha, iżda l-manifatturi Ingliżi, Daniżi u Irlandiżi użaw xaħmijiet veġetali oħra. Huma ddikjaraw li l-liġi kisret l-Artikolu 34. Il-Qorti tal-Ġustizzja ddeċidiet li kontenut baxx ta 'xaħam tal-ħaxix ma jiġġustifikax tikketta "sostitut taċ-ċikkulata". Dan kien derogatorju f'għajnejn il-konsumaturi. "Dikjarazzjoni newtrali u oġġettiva" kienet biżżejjed biex tipproteġi lill-konsumaturi. Jekk l-istati membri jpoġġu ostakli konsiderevoli dwar l-użu ta 'prodott, dan jista' jikser ukoll l-Artikolu 34. Allura, f'każ tal-2009, il-Kummissjoni v l-Italja, il-Qorti tal-Ġustizzja ddeċidiet li liġi Taljana li tipprojbixxi muturi jew mopeds li tiġbed karrijiet li kisret l-Artikolu 34. Għal darb'oħra, il-liġi applikat newtralment għal kulħadd, iżda affettwat b'mod sproporzjonat l-importaturi, minħabba li l-kumpaniji Taljani ma għamlux karrijiet. Din ma kinitx rekwiżit tal-prodott, iżda l-qorti rraġunaw li l-projbizzjoni tiskoraġġixxi lin-nies milli jixtruha: ikollha "influwenza konsiderevoli fuq l-imġieba tal-konsumaturi" li "taffettwa l-aċċess ta 'dak il-prodott għas-suq". Teħtieġ ġustifikazzjoni skont l-Artikolu 36, jew bħala ħtieġa obbligatorja.</v>
      </c>
    </row>
    <row r="21362" ht="15.75" customHeight="1">
      <c r="A21362" s="2" t="s">
        <v>21362</v>
      </c>
      <c r="B21362" s="2" t="str">
        <f>IFERROR(__xludf.DUMMYFUNCTION("GOOGLETRANSLATE(A21362, ""en"", ""mt"")"),"jgħaddu s-sinjal tagħhom għal molekula tat-tieni messaġġier mhux magħrufa")</f>
        <v>jgħaddu s-sinjal tagħhom għal molekula tat-tieni messaġġier mhux magħrufa</v>
      </c>
    </row>
    <row r="21363" ht="15.75" customHeight="1">
      <c r="A21363" s="2" t="s">
        <v>21363</v>
      </c>
      <c r="B21363" s="2" t="str">
        <f>IFERROR(__xludf.DUMMYFUNCTION("GOOGLETRANSLATE(A21363, ""en"", ""mt"")"),"Kikuyu, Embu u Kamba")</f>
        <v>Kikuyu, Embu u Kamba</v>
      </c>
    </row>
    <row r="21364" ht="15.75" customHeight="1">
      <c r="A21364" s="2" t="s">
        <v>21364</v>
      </c>
      <c r="B21364" s="2" t="str">
        <f>IFERROR(__xludf.DUMMYFUNCTION("GOOGLETRANSLATE(A21364, ""en"", ""mt"")"),"X'kien l-isem mogħti lill-kurrikulu liberali tal-kulleġġ li għadhom ma ggradwawx?")</f>
        <v>X'kien l-isem mogħti lill-kurrikulu liberali tal-kulleġġ li għadhom ma ggradwawx?</v>
      </c>
    </row>
    <row r="21365" ht="15.75" customHeight="1">
      <c r="A21365" s="2" t="s">
        <v>21365</v>
      </c>
      <c r="B21365" s="2" t="str">
        <f>IFERROR(__xludf.DUMMYFUNCTION("GOOGLETRANSLATE(A21365, ""en"", ""mt"")"),"ommu")</f>
        <v>ommu</v>
      </c>
    </row>
    <row r="21366" ht="15.75" customHeight="1">
      <c r="A21366" s="2" t="s">
        <v>21366</v>
      </c>
      <c r="B21366" s="2" t="str">
        <f>IFERROR(__xludf.DUMMYFUNCTION("GOOGLETRANSLATE(A21366, ""en"", ""mt"")"),"Magni ta 'kombustjoni interna")</f>
        <v>Magni ta 'kombustjoni interna</v>
      </c>
    </row>
    <row r="21367" ht="15.75" customHeight="1">
      <c r="A21367" s="2" t="s">
        <v>21367</v>
      </c>
      <c r="B21367" s="2" t="str">
        <f>IFERROR(__xludf.DUMMYFUNCTION("GOOGLETRANSLATE(A21367, ""en"", ""mt"")"),"Fil-bidu tas-snin 1950, l-applikazzjonijiet tal-istudenti naqsu bħala riżultat taż-żieda fil-kriminalità u l-faqar fil-viċinat tal-Hyde Park. Bi tweġiba, l-università saret sponsor ewlieni ta 'proġett ta' tiġdid urban kontroversjali għal Hyde Park, li aff"&amp;"ettwa profondament kemm l-arkitettura tal-viċinat kif ukoll il-pjan tat-triq. Matul dan il-perjodu l-università, bħal Shimer College u 10 oħrajn, adottaw programm ta 'parteċipant bikri li ppermetta studenti żgħar ħafna biex jattendu l-kulleġġ; Barra minn "&amp;"hekk, l-istudenti rreġistrati f'Shimer ingħataw it-trasferiment awtomatikament fl-Università ta 'Chicago wara t-tieni sena tagħhom, wara li ħadu eżamijiet u korsijiet komparabbli jew identiċi.")</f>
        <v>Fil-bidu tas-snin 1950, l-applikazzjonijiet tal-istudenti naqsu bħala riżultat taż-żieda fil-kriminalità u l-faqar fil-viċinat tal-Hyde Park. Bi tweġiba, l-università saret sponsor ewlieni ta 'proġett ta' tiġdid urban kontroversjali għal Hyde Park, li affettwa profondament kemm l-arkitettura tal-viċinat kif ukoll il-pjan tat-triq. Matul dan il-perjodu l-università, bħal Shimer College u 10 oħrajn, adottaw programm ta 'parteċipant bikri li ppermetta studenti żgħar ħafna biex jattendu l-kulleġġ; Barra minn hekk, l-istudenti rreġistrati f'Shimer ingħataw it-trasferiment awtomatikament fl-Università ta 'Chicago wara t-tieni sena tagħhom, wara li ħadu eżamijiet u korsijiet komparabbli jew identiċi.</v>
      </c>
    </row>
    <row r="21368" ht="15.75" customHeight="1">
      <c r="A21368" s="2" t="s">
        <v>21368</v>
      </c>
      <c r="B21368" s="2" t="str">
        <f>IFERROR(__xludf.DUMMYFUNCTION("GOOGLETRANSLATE(A21368, ""en"", ""mt"")"),"X'kien maħsub li jistabbilixxi l-kollokazzjoni Marburg?")</f>
        <v>X'kien maħsub li jistabbilixxi l-kollokazzjoni Marburg?</v>
      </c>
    </row>
    <row r="21369" ht="15.75" customHeight="1">
      <c r="A21369" s="2" t="s">
        <v>21369</v>
      </c>
      <c r="B21369" s="2" t="str">
        <f>IFERROR(__xludf.DUMMYFUNCTION("GOOGLETRANSLATE(A21369, ""en"", ""mt"")"),"Minn fejn beda l-moviment li sar il-Knisja Metodista Magħquda?")</f>
        <v>Minn fejn beda l-moviment li sar il-Knisja Metodista Magħquda?</v>
      </c>
    </row>
    <row r="21370" ht="15.75" customHeight="1">
      <c r="A21370" s="2" t="s">
        <v>21370</v>
      </c>
      <c r="B21370" s="2" t="str">
        <f>IFERROR(__xludf.DUMMYFUNCTION("GOOGLETRANSLATE(A21370, ""en"", ""mt"")"),"Stati ta 'mard kroniku u kumpless")</f>
        <v>Stati ta 'mard kroniku u kumpless</v>
      </c>
    </row>
    <row r="21371" ht="15.75" customHeight="1">
      <c r="A21371" s="2" t="s">
        <v>21371</v>
      </c>
      <c r="B21371" s="2" t="str">
        <f>IFERROR(__xludf.DUMMYFUNCTION("GOOGLETRANSLATE(A21371, ""en"", ""mt"")"),"Mainstream Indian Nationalst and Sekularist Indian Congress Nazzjonali")</f>
        <v>Mainstream Indian Nationalst and Sekularist Indian Congress Nazzjonali</v>
      </c>
    </row>
    <row r="21372" ht="15.75" customHeight="1">
      <c r="A21372" s="2" t="s">
        <v>21372</v>
      </c>
      <c r="B21372" s="2" t="str">
        <f>IFERROR(__xludf.DUMMYFUNCTION("GOOGLETRANSLATE(A21372, ""en"", ""mt"")"),"Meta kien iċ-ċessjoni mill-moviment tal-Afrika t'Isfel?")</f>
        <v>Meta kien iċ-ċessjoni mill-moviment tal-Afrika t'Isfel?</v>
      </c>
    </row>
    <row r="21373" ht="15.75" customHeight="1">
      <c r="A21373" s="2" t="s">
        <v>21373</v>
      </c>
      <c r="B21373" s="2" t="str">
        <f>IFERROR(__xludf.DUMMYFUNCTION("GOOGLETRANSLATE(A21373, ""en"", ""mt"")"),"X'inhu l-akbar operatur tal-istazzjon ABC f'termini ta 'firxa tas-suq?")</f>
        <v>X'inhu l-akbar operatur tal-istazzjon ABC f'termini ta 'firxa tas-suq?</v>
      </c>
    </row>
    <row r="21374" ht="15.75" customHeight="1">
      <c r="A21374" s="2" t="s">
        <v>21374</v>
      </c>
      <c r="B21374" s="2" t="str">
        <f>IFERROR(__xludf.DUMMYFUNCTION("GOOGLETRANSLATE(A21374, ""en"", ""mt"")"),"Luther segretament irritorna lejn Wittenberg fis-6 ta 'Marzu 1522. Huwa kiteb lill-Elettur: ""Matul l-assenza tiegħi, Satana daħal fil-ġnub tiegħi, u impenjat ravages li ma nistax isewwi bil-kitba, iżda biss bil-preżenza personali tiegħi u l-kelma ħajja."&amp;""" Għal tmint ijiem fir-Randan, li jibda fil-Ħadd Invocavit, 9 ta 'Marzu, Luther ippriedka tmien priedki, li saru magħrufa bħala l- ""priedki Invocavit"". F’dawn il-priedki, huwa msaffar id-dar il-preminenza tal-valuri Kristjani ewlenin bħall-imħabba, il-"&amp;"paċenzja, il-karità, u l-libertà, u fakkar liċ-ċittadini biex jafdaw il-Kelma ta ’Alla minflok il-vjolenza biex iġġib il-bidla meħtieġa.")</f>
        <v>Luther segretament irritorna lejn Wittenberg fis-6 ta 'Marzu 1522. Huwa kiteb lill-Elettur: "Matul l-assenza tiegħi, Satana daħal fil-ġnub tiegħi, u impenjat ravages li ma nistax isewwi bil-kitba, iżda biss bil-preżenza personali tiegħi u l-kelma ħajja." Għal tmint ijiem fir-Randan, li jibda fil-Ħadd Invocavit, 9 ta 'Marzu, Luther ippriedka tmien priedki, li saru magħrufa bħala l- "priedki Invocavit". F’dawn il-priedki, huwa msaffar id-dar il-preminenza tal-valuri Kristjani ewlenin bħall-imħabba, il-paċenzja, il-karità, u l-libertà, u fakkar liċ-ċittadini biex jafdaw il-Kelma ta ’Alla minflok il-vjolenza biex iġġib il-bidla meħtieġa.</v>
      </c>
    </row>
    <row r="21375" ht="15.75" customHeight="1">
      <c r="A21375" s="2" t="s">
        <v>21375</v>
      </c>
      <c r="B21375" s="2" t="str">
        <f>IFERROR(__xludf.DUMMYFUNCTION("GOOGLETRANSLATE(A21375, ""en"", ""mt"")"),"X'inhi l-unità bażika ta 'organizzazzjoni fi ħdan l-UMC?")</f>
        <v>X'inhi l-unità bażika ta 'organizzazzjoni fi ħdan l-UMC?</v>
      </c>
    </row>
    <row r="21376" ht="15.75" customHeight="1">
      <c r="A21376" s="2" t="s">
        <v>21376</v>
      </c>
      <c r="B21376" s="2" t="str">
        <f>IFERROR(__xludf.DUMMYFUNCTION("GOOGLETRANSLATE(A21376, ""en"", ""mt"")"),"Matematiċi")</f>
        <v>Matematiċi</v>
      </c>
    </row>
    <row r="21377" ht="15.75" customHeight="1">
      <c r="A21377" s="2" t="s">
        <v>21377</v>
      </c>
      <c r="B21377" s="2" t="str">
        <f>IFERROR(__xludf.DUMMYFUNCTION("GOOGLETRANSLATE(A21377, ""en"", ""mt"")"),"Għaliex Luther ikkundanna l-voti ta 'ċelibat?")</f>
        <v>Għaliex Luther ikkundanna l-voti ta 'ċelibat?</v>
      </c>
    </row>
    <row r="21378" ht="15.75" customHeight="1">
      <c r="A21378" s="2" t="s">
        <v>21378</v>
      </c>
      <c r="B21378" s="2" t="str">
        <f>IFERROR(__xludf.DUMMYFUNCTION("GOOGLETRANSLATE(A21378, ""en"", ""mt"")"),"l-iktar wirja popolari dak iż-żmien")</f>
        <v>l-iktar wirja popolari dak iż-żmien</v>
      </c>
    </row>
    <row r="21379" ht="15.75" customHeight="1">
      <c r="A21379" s="2" t="s">
        <v>21379</v>
      </c>
      <c r="B21379" s="2" t="str">
        <f>IFERROR(__xludf.DUMMYFUNCTION("GOOGLETRANSLATE(A21379, ""en"", ""mt"")"),"Mill-1979")</f>
        <v>Mill-1979</v>
      </c>
    </row>
    <row r="21380" ht="15.75" customHeight="1">
      <c r="A21380" s="2" t="s">
        <v>21380</v>
      </c>
      <c r="B21380" s="2" t="str">
        <f>IFERROR(__xludf.DUMMYFUNCTION("GOOGLETRANSLATE(A21380, ""en"", ""mt"")"),"X'inhu l-kloroplast ta 'Durinskia?")</f>
        <v>X'inhu l-kloroplast ta 'Durinskia?</v>
      </c>
    </row>
    <row r="21381" ht="15.75" customHeight="1">
      <c r="A21381" s="2" t="s">
        <v>21381</v>
      </c>
      <c r="B21381" s="2" t="str">
        <f>IFERROR(__xludf.DUMMYFUNCTION("GOOGLETRANSLATE(A21381, ""en"", ""mt"")"),"Is-sekli 16 u 17")</f>
        <v>Is-sekli 16 u 17</v>
      </c>
    </row>
    <row r="21382" ht="15.75" customHeight="1">
      <c r="A21382" s="2" t="s">
        <v>21382</v>
      </c>
      <c r="B21382" s="2" t="str">
        <f>IFERROR(__xludf.DUMMYFUNCTION("GOOGLETRANSLATE(A21382, ""en"", ""mt"")"),"Il-Clippers ta ’Los Angeles huma tim li jappartjeni għal liema sport?")</f>
        <v>Il-Clippers ta ’Los Angeles huma tim li jappartjeni għal liema sport?</v>
      </c>
    </row>
    <row r="21383" ht="15.75" customHeight="1">
      <c r="A21383" s="2" t="s">
        <v>21383</v>
      </c>
      <c r="B21383" s="2" t="str">
        <f>IFERROR(__xludf.DUMMYFUNCTION("GOOGLETRANSLATE(A21383, ""en"", ""mt"")"),"X'kien l-isem tal-wirja Doctor Who tal-1991?")</f>
        <v>X'kien l-isem tal-wirja Doctor Who tal-1991?</v>
      </c>
    </row>
    <row r="21384" ht="15.75" customHeight="1">
      <c r="A21384" s="2" t="s">
        <v>21384</v>
      </c>
      <c r="B21384" s="2" t="str">
        <f>IFERROR(__xludf.DUMMYFUNCTION("GOOGLETRANSLATE(A21384, ""en"", ""mt"")"),"Kibaki għalaq id-distakk u mbagħad għadda lill-avversarju tiegħu")</f>
        <v>Kibaki għalaq id-distakk u mbagħad għadda lill-avversarju tiegħu</v>
      </c>
    </row>
    <row r="21385" ht="15.75" customHeight="1">
      <c r="A21385" s="2" t="s">
        <v>21385</v>
      </c>
      <c r="B21385" s="2" t="str">
        <f>IFERROR(__xludf.DUMMYFUNCTION("GOOGLETRANSLATE(A21385, ""en"", ""mt"")"),"Truf difensivi")</f>
        <v>Truf difensivi</v>
      </c>
    </row>
    <row r="21386" ht="15.75" customHeight="1">
      <c r="A21386" s="2" t="s">
        <v>21386</v>
      </c>
      <c r="B21386" s="2" t="str">
        <f>IFERROR(__xludf.DUMMYFUNCTION("GOOGLETRANSLATE(A21386, ""en"", ""mt"")"),"mekkanika statistika")</f>
        <v>mekkanika statistika</v>
      </c>
    </row>
    <row r="21387" ht="15.75" customHeight="1">
      <c r="A21387" s="2" t="s">
        <v>21387</v>
      </c>
      <c r="B21387" s="2" t="str">
        <f>IFERROR(__xludf.DUMMYFUNCTION("GOOGLETRANSLATE(A21387, ""en"", ""mt"")"),"17.")</f>
        <v>17.</v>
      </c>
    </row>
    <row r="21388" ht="15.75" customHeight="1">
      <c r="A21388" s="2" t="s">
        <v>21388</v>
      </c>
      <c r="B21388" s="2" t="str">
        <f>IFERROR(__xludf.DUMMYFUNCTION("GOOGLETRANSLATE(A21388, ""en"", ""mt"")"),"Fuq xiex it-tort tal-ktieb ta ’Gasquet fuq il-pesta?")</f>
        <v>Fuq xiex it-tort tal-ktieb ta ’Gasquet fuq il-pesta?</v>
      </c>
    </row>
    <row r="21389" ht="15.75" customHeight="1">
      <c r="A21389" s="2" t="s">
        <v>21389</v>
      </c>
      <c r="B21389" s="2" t="str">
        <f>IFERROR(__xludf.DUMMYFUNCTION("GOOGLETRANSLATE(A21389, ""en"", ""mt"")"),"Kif il-proġett ħeġġeġ il-kummerċjalizzazzjoni tal-legumi?")</f>
        <v>Kif il-proġett ħeġġeġ il-kummerċjalizzazzjoni tal-legumi?</v>
      </c>
    </row>
    <row r="21390" ht="15.75" customHeight="1">
      <c r="A21390" s="2" t="s">
        <v>21390</v>
      </c>
      <c r="B21390" s="2" t="str">
        <f>IFERROR(__xludf.DUMMYFUNCTION("GOOGLETRANSLATE(A21390, ""en"", ""mt"")"),"b'tema tad-deheb")</f>
        <v>b'tema tad-deheb</v>
      </c>
    </row>
    <row r="21391" ht="15.75" customHeight="1">
      <c r="A21391" s="2" t="s">
        <v>21391</v>
      </c>
      <c r="B21391" s="2" t="str">
        <f>IFERROR(__xludf.DUMMYFUNCTION("GOOGLETRANSLATE(A21391, ""en"", ""mt"")"),"L’Eglise Française à la Nouvelle-Amsterdam (il-Knisja Franċiża fi New Amsterdam)")</f>
        <v>L’Eglise Française à la Nouvelle-Amsterdam (il-Knisja Franċiża fi New Amsterdam)</v>
      </c>
    </row>
    <row r="21392" ht="15.75" customHeight="1">
      <c r="A21392" s="2" t="s">
        <v>21392</v>
      </c>
      <c r="B21392" s="2" t="str">
        <f>IFERROR(__xludf.DUMMYFUNCTION("GOOGLETRANSLATE(A21392, ""en"", ""mt"")"),"Ir-Renju Unit tat-Tramuntana")</f>
        <v>Ir-Renju Unit tat-Tramuntana</v>
      </c>
    </row>
    <row r="21393" ht="15.75" customHeight="1">
      <c r="A21393" s="2" t="s">
        <v>21393</v>
      </c>
      <c r="B21393" s="2" t="str">
        <f>IFERROR(__xludf.DUMMYFUNCTION("GOOGLETRANSLATE(A21393, ""en"", ""mt"")"),"bejn l-1621 u l-1629")</f>
        <v>bejn l-1621 u l-1629</v>
      </c>
    </row>
    <row r="21394" ht="15.75" customHeight="1">
      <c r="A21394" s="2" t="s">
        <v>21394</v>
      </c>
      <c r="B21394" s="2" t="str">
        <f>IFERROR(__xludf.DUMMYFUNCTION("GOOGLETRANSLATE(A21394, ""en"", ""mt"")"),"Bħal larva vera")</f>
        <v>Bħal larva vera</v>
      </c>
    </row>
    <row r="21395" ht="15.75" customHeight="1">
      <c r="A21395" s="2" t="s">
        <v>21395</v>
      </c>
      <c r="B21395" s="2" t="str">
        <f>IFERROR(__xludf.DUMMYFUNCTION("GOOGLETRANSLATE(A21395, ""en"", ""mt"")"),"Battalja tar-Restigouche")</f>
        <v>Battalja tar-Restigouche</v>
      </c>
    </row>
    <row r="21396" ht="15.75" customHeight="1">
      <c r="A21396" s="2" t="s">
        <v>21396</v>
      </c>
      <c r="B21396" s="2" t="str">
        <f>IFERROR(__xludf.DUMMYFUNCTION("GOOGLETRANSLATE(A21396, ""en"", ""mt"")"),"X'għandhom dak il-Beroids kostali li m'għandhomx dak l-ieħor Ctenophora?")</f>
        <v>X'għandhom dak il-Beroids kostali li m'għandhomx dak l-ieħor Ctenophora?</v>
      </c>
    </row>
    <row r="21397" ht="15.75" customHeight="1">
      <c r="A21397" s="2" t="s">
        <v>21397</v>
      </c>
      <c r="B21397" s="2" t="str">
        <f>IFERROR(__xludf.DUMMYFUNCTION("GOOGLETRANSLATE(A21397, ""en"", ""mt"")"),"Is-salarji tal-għalliema jitħallsu mill-istat")</f>
        <v>Is-salarji tal-għalliema jitħallsu mill-istat</v>
      </c>
    </row>
    <row r="21398" ht="15.75" customHeight="1">
      <c r="A21398" s="2" t="s">
        <v>21398</v>
      </c>
      <c r="B21398" s="2" t="str">
        <f>IFERROR(__xludf.DUMMYFUNCTION("GOOGLETRANSLATE(A21398, ""en"", ""mt"")"),"5 nanometri madwar")</f>
        <v>5 nanometri madwar</v>
      </c>
    </row>
    <row r="21399" ht="15.75" customHeight="1">
      <c r="A21399" s="2" t="s">
        <v>21399</v>
      </c>
      <c r="B21399" s="2" t="str">
        <f>IFERROR(__xludf.DUMMYFUNCTION("GOOGLETRANSLATE(A21399, ""en"", ""mt"")"),"Min iddiskuta l-istudju ta 'Twigg fl-2002?")</f>
        <v>Min iddiskuta l-istudju ta 'Twigg fl-2002?</v>
      </c>
    </row>
    <row r="21400" ht="15.75" customHeight="1">
      <c r="A21400" s="2" t="s">
        <v>21400</v>
      </c>
      <c r="B21400" s="2" t="str">
        <f>IFERROR(__xludf.DUMMYFUNCTION("GOOGLETRANSLATE(A21400, ""en"", ""mt"")"),"Kull pakkett jinkludi informazzjoni sħiħa dwar l-indirizzar")</f>
        <v>Kull pakkett jinkludi informazzjoni sħiħa dwar l-indirizzar</v>
      </c>
    </row>
    <row r="21401" ht="15.75" customHeight="1">
      <c r="A21401" s="2" t="s">
        <v>21401</v>
      </c>
      <c r="B21401" s="2" t="str">
        <f>IFERROR(__xludf.DUMMYFUNCTION("GOOGLETRANSLATE(A21401, ""en"", ""mt"")"),"gradi ta 'privileġġ")</f>
        <v>gradi ta 'privileġġ</v>
      </c>
    </row>
    <row r="21402" ht="15.75" customHeight="1">
      <c r="A21402" s="2" t="s">
        <v>21402</v>
      </c>
      <c r="B21402" s="2" t="str">
        <f>IFERROR(__xludf.DUMMYFUNCTION("GOOGLETRANSLATE(A21402, ""en"", ""mt"")"),"Tatiana Kuplich")</f>
        <v>Tatiana Kuplich</v>
      </c>
    </row>
    <row r="21403" ht="15.75" customHeight="1">
      <c r="A21403" s="2" t="s">
        <v>21403</v>
      </c>
      <c r="B21403" s="2" t="str">
        <f>IFERROR(__xludf.DUMMYFUNCTION("GOOGLETRANSLATE(A21403, ""en"", ""mt"")"),"pjanti u fabbriki")</f>
        <v>pjanti u fabbriki</v>
      </c>
    </row>
    <row r="21404" ht="15.75" customHeight="1">
      <c r="A21404" s="2" t="s">
        <v>21404</v>
      </c>
      <c r="B21404" s="2" t="str">
        <f>IFERROR(__xludf.DUMMYFUNCTION("GOOGLETRANSLATE(A21404, ""en"", ""mt"")"),"New York u l-Ohio")</f>
        <v>New York u l-Ohio</v>
      </c>
    </row>
    <row r="21405" ht="15.75" customHeight="1">
      <c r="A21405" s="2" t="s">
        <v>21405</v>
      </c>
      <c r="B21405" s="2" t="str">
        <f>IFERROR(__xludf.DUMMYFUNCTION("GOOGLETRANSLATE(A21405, ""en"", ""mt"")"),"Il-Qorti Ewropea tal-Ġustizzja ma tistax iżżomm miżuri li huma inkompatibbli ma 'xiex?")</f>
        <v>Il-Qorti Ewropea tal-Ġustizzja ma tistax iżżomm miżuri li huma inkompatibbli ma 'xiex?</v>
      </c>
    </row>
    <row r="21406" ht="15.75" customHeight="1">
      <c r="A21406" s="2" t="s">
        <v>21406</v>
      </c>
      <c r="B21406" s="2" t="str">
        <f>IFERROR(__xludf.DUMMYFUNCTION("GOOGLETRANSLATE(A21406, ""en"", ""mt"")"),"Wara li r-Renu joħroġ mill-Lag Constance, liema direzzjoni joħroġ?")</f>
        <v>Wara li r-Renu joħroġ mill-Lag Constance, liema direzzjoni joħroġ?</v>
      </c>
    </row>
    <row r="21407" ht="15.75" customHeight="1">
      <c r="A21407" s="2" t="s">
        <v>21407</v>
      </c>
      <c r="B21407" s="2" t="str">
        <f>IFERROR(__xludf.DUMMYFUNCTION("GOOGLETRANSLATE(A21407, ""en"", ""mt"")"),"bagħat numru żgħir ta 'kolonizzaturi lill-kolonji tiegħu")</f>
        <v>bagħat numru żgħir ta 'kolonizzaturi lill-kolonji tiegħu</v>
      </c>
    </row>
    <row r="21408" ht="15.75" customHeight="1">
      <c r="A21408" s="2" t="s">
        <v>21408</v>
      </c>
      <c r="B21408" s="2" t="str">
        <f>IFERROR(__xludf.DUMMYFUNCTION("GOOGLETRANSLATE(A21408, ""en"", ""mt"")"),"Liema trattat ħa l-post tat-trattat kostituzzjonali?")</f>
        <v>Liema trattat ħa l-post tat-trattat kostituzzjonali?</v>
      </c>
    </row>
    <row r="21409" ht="15.75" customHeight="1">
      <c r="A21409" s="2" t="s">
        <v>21409</v>
      </c>
      <c r="B21409" s="2" t="str">
        <f>IFERROR(__xludf.DUMMYFUNCTION("GOOGLETRANSLATE(A21409, ""en"", ""mt"")"),"Twaqqif ta '""Fruntieri Naturali"" fuq ir-Renu")</f>
        <v>Twaqqif ta '"Fruntieri Naturali" fuq ir-Renu</v>
      </c>
    </row>
    <row r="21410" ht="15.75" customHeight="1">
      <c r="A21410" s="2" t="s">
        <v>21410</v>
      </c>
      <c r="B21410" s="2" t="str">
        <f>IFERROR(__xludf.DUMMYFUNCTION("GOOGLETRANSLATE(A21410, ""en"", ""mt"")"),"Meta huma ġġustifikati l-inugwaljanzi fil-ġid, skond John Rawls?")</f>
        <v>Meta huma ġġustifikati l-inugwaljanzi fil-ġid, skond John Rawls?</v>
      </c>
    </row>
    <row r="21411" ht="15.75" customHeight="1">
      <c r="A21411" s="2" t="s">
        <v>21411</v>
      </c>
      <c r="B21411" s="2" t="str">
        <f>IFERROR(__xludf.DUMMYFUNCTION("GOOGLETRANSLATE(A21411, ""en"", ""mt"")"),"Landau meta ppropona l-erba 'problemi konġetturali tiegħu?")</f>
        <v>Landau meta ppropona l-erba 'problemi konġetturali tiegħu?</v>
      </c>
    </row>
    <row r="21412" ht="15.75" customHeight="1">
      <c r="A21412" s="2" t="s">
        <v>21412</v>
      </c>
      <c r="B21412" s="2" t="str">
        <f>IFERROR(__xludf.DUMMYFUNCTION("GOOGLETRANSLATE(A21412, ""en"", ""mt"")"),"Ir-raġunijiet biex il-Las Two Counties jiġu miżjuda huma bbażati fuq xiex?")</f>
        <v>Ir-raġunijiet biex il-Las Two Counties jiġu miżjuda huma bbażati fuq xiex?</v>
      </c>
    </row>
    <row r="21413" ht="15.75" customHeight="1">
      <c r="A21413" s="2" t="s">
        <v>21413</v>
      </c>
      <c r="B21413" s="2" t="str">
        <f>IFERROR(__xludf.DUMMYFUNCTION("GOOGLETRANSLATE(A21413, ""en"", ""mt"")"),"Rally safari")</f>
        <v>Rally safari</v>
      </c>
    </row>
    <row r="21414" ht="15.75" customHeight="1">
      <c r="A21414" s="2" t="s">
        <v>21414</v>
      </c>
      <c r="B21414" s="2" t="str">
        <f>IFERROR(__xludf.DUMMYFUNCTION("GOOGLETRANSLATE(A21414, ""en"", ""mt"")"),"Trasformazzjoni Galiljana")</f>
        <v>Trasformazzjoni Galiljana</v>
      </c>
    </row>
    <row r="21415" ht="15.75" customHeight="1">
      <c r="A21415" s="2" t="s">
        <v>21415</v>
      </c>
      <c r="B21415" s="2" t="str">
        <f>IFERROR(__xludf.DUMMYFUNCTION("GOOGLETRANSLATE(A21415, ""en"", ""mt"")"),"Fuq liema spettaklu għamel Bill Aiken huwa d-debutt tat-televiżjoni?")</f>
        <v>Fuq liema spettaklu għamel Bill Aiken huwa d-debutt tat-televiżjoni?</v>
      </c>
    </row>
    <row r="21416" ht="15.75" customHeight="1">
      <c r="A21416" s="2" t="s">
        <v>21416</v>
      </c>
      <c r="B21416" s="2" t="str">
        <f>IFERROR(__xludf.DUMMYFUNCTION("GOOGLETRANSLATE(A21416, ""en"", ""mt"")"),"Il-messaġġ u t-tagħlim ta ’Kristu")</f>
        <v>Il-messaġġ u t-tagħlim ta ’Kristu</v>
      </c>
    </row>
    <row r="21417" ht="15.75" customHeight="1">
      <c r="A21417" s="2" t="s">
        <v>21417</v>
      </c>
      <c r="B21417" s="2" t="str">
        <f>IFERROR(__xludf.DUMMYFUNCTION("GOOGLETRANSLATE(A21417, ""en"", ""mt"")"),"Min għandu r-rekord għall-ikbar simulcast ta 'drama televiżiv?")</f>
        <v>Min għandu r-rekord għall-ikbar simulcast ta 'drama televiżiv?</v>
      </c>
    </row>
    <row r="21418" ht="15.75" customHeight="1">
      <c r="A21418" s="2" t="s">
        <v>21418</v>
      </c>
      <c r="B21418" s="2" t="str">
        <f>IFERROR(__xludf.DUMMYFUNCTION("GOOGLETRANSLATE(A21418, ""en"", ""mt"")"),"Min kien responsabbli għall-proġetti l-ġodda tal-bini f'Jacksonville?")</f>
        <v>Min kien responsabbli għall-proġetti l-ġodda tal-bini f'Jacksonville?</v>
      </c>
    </row>
    <row r="21419" ht="15.75" customHeight="1">
      <c r="A21419" s="2" t="s">
        <v>21419</v>
      </c>
      <c r="B21419" s="2" t="str">
        <f>IFERROR(__xludf.DUMMYFUNCTION("GOOGLETRANSLATE(A21419, ""en"", ""mt"")"),"golf")</f>
        <v>golf</v>
      </c>
    </row>
    <row r="21420" ht="15.75" customHeight="1">
      <c r="A21420" s="2" t="s">
        <v>21420</v>
      </c>
      <c r="B21420" s="2" t="str">
        <f>IFERROR(__xludf.DUMMYFUNCTION("GOOGLETRANSLATE(A21420, ""en"", ""mt"")"),"It-tnaqqis ulterjuri tal-istat tal-affarijiet Biżantini witta t-triq għat-tielet attakk fl-1185, meta armata Norman kbira invadiet Dyrrachium, minħabba t-tradiment ta 'uffiċjali għoljin Biżantini. Xi żmien wara, id-Dyrrachium - waħda mill-aktar bażijiet n"&amp;"avali importanti tal-Adrijatiku - jerġa 'jġib l-idejn Biżantini.")</f>
        <v>It-tnaqqis ulterjuri tal-istat tal-affarijiet Biżantini witta t-triq għat-tielet attakk fl-1185, meta armata Norman kbira invadiet Dyrrachium, minħabba t-tradiment ta 'uffiċjali għoljin Biżantini. Xi żmien wara, id-Dyrrachium - waħda mill-aktar bażijiet navali importanti tal-Adrijatiku - jerġa 'jġib l-idejn Biżantini.</v>
      </c>
    </row>
    <row r="21421" ht="15.75" customHeight="1">
      <c r="A21421" s="2" t="s">
        <v>21421</v>
      </c>
      <c r="B21421" s="2" t="str">
        <f>IFERROR(__xludf.DUMMYFUNCTION("GOOGLETRANSLATE(A21421, ""en"", ""mt"")"),"27 ta ’Settembru 2001")</f>
        <v>27 ta ’Settembru 2001</v>
      </c>
    </row>
    <row r="21422" ht="15.75" customHeight="1">
      <c r="A21422" s="2" t="s">
        <v>21422</v>
      </c>
      <c r="B21422" s="2" t="str">
        <f>IFERROR(__xludf.DUMMYFUNCTION("GOOGLETRANSLATE(A21422, ""en"", ""mt"")"),"Min iddisinja l-akbar oġġett mill-Italja li huwa parti mill-kollezzjoni ta 'skultura V&amp;A?")</f>
        <v>Min iddisinja l-akbar oġġett mill-Italja li huwa parti mill-kollezzjoni ta 'skultura V&amp;A?</v>
      </c>
    </row>
    <row r="21423" ht="15.75" customHeight="1">
      <c r="A21423" s="2" t="s">
        <v>21423</v>
      </c>
      <c r="B21423" s="2" t="str">
        <f>IFERROR(__xludf.DUMMYFUNCTION("GOOGLETRANSLATE(A21423, ""en"", ""mt"")"),"Il-fehmiet ta 'Ali Shariati, ideologu tar-Rivoluzzjoni Iranjana, kellhom xebh ma' Mohammad Iqbal, missier ideoloġiku ta 'l-istat tal-Pakistan, iżda t-twemmin ta' Khomeini huwa meqjus li jitqiegħed x'imkien bejn it-twemmin ta 'ħassieba Iżlamiċi Sunni bħal "&amp;"Mawdudi u Qutb. Huwa emmen li imitazzjoni sħiħa tal-Profeta Mohammad u s-suċċessuri tiegħu bħal Ali għar-restawr tal-liġi tax-Sharia kienet essenzjali għall-Iżlam, li ħafna Musulmani sekulari, tal-punent kienu attwalment aġenti tal-Punent li jservu l-inte"&amp;"ressi tal-Punent, u li l-atti bħal ""jisirqu"" L-artijiet Musulmani kienet parti minn konspirazzjoni fit-tul kontra l-Iżlam mill-gvernijiet tal-Punent.")</f>
        <v>Il-fehmiet ta 'Ali Shariati, ideologu tar-Rivoluzzjoni Iranjana, kellhom xebh ma' Mohammad Iqbal, missier ideoloġiku ta 'l-istat tal-Pakistan, iżda t-twemmin ta' Khomeini huwa meqjus li jitqiegħed x'imkien bejn it-twemmin ta 'ħassieba Iżlamiċi Sunni bħal Mawdudi u Qutb. Huwa emmen li imitazzjoni sħiħa tal-Profeta Mohammad u s-suċċessuri tiegħu bħal Ali għar-restawr tal-liġi tax-Sharia kienet essenzjali għall-Iżlam, li ħafna Musulmani sekulari, tal-punent kienu attwalment aġenti tal-Punent li jservu l-interessi tal-Punent, u li l-atti bħal "jisirqu" L-artijiet Musulmani kienet parti minn konspirazzjoni fit-tul kontra l-Iżlam mill-gvernijiet tal-Punent.</v>
      </c>
    </row>
    <row r="21424" ht="15.75" customHeight="1">
      <c r="A21424" s="2" t="s">
        <v>21424</v>
      </c>
      <c r="B21424" s="2" t="str">
        <f>IFERROR(__xludf.DUMMYFUNCTION("GOOGLETRANSLATE(A21424, ""en"", ""mt"")"),"Liema reġjun muntanjuż huwa Lake Constance minn?")</f>
        <v>Liema reġjun muntanjuż huwa Lake Constance minn?</v>
      </c>
    </row>
    <row r="21425" ht="15.75" customHeight="1">
      <c r="A21425" s="2" t="s">
        <v>21425</v>
      </c>
      <c r="B21425" s="2" t="str">
        <f>IFERROR(__xludf.DUMMYFUNCTION("GOOGLETRANSLATE(A21425, ""en"", ""mt"")"),"Min hu d-disinjatur tal- ""50?""")</f>
        <v>Min hu d-disinjatur tal- "50?"</v>
      </c>
    </row>
    <row r="21426" ht="15.75" customHeight="1">
      <c r="A21426" s="2" t="s">
        <v>21426</v>
      </c>
      <c r="B21426" s="2" t="str">
        <f>IFERROR(__xludf.DUMMYFUNCTION("GOOGLETRANSLATE(A21426, ""en"", ""mt"")"),"Samuel Reshevsky")</f>
        <v>Samuel Reshevsky</v>
      </c>
    </row>
    <row r="21427" ht="15.75" customHeight="1">
      <c r="A21427" s="2" t="s">
        <v>21427</v>
      </c>
      <c r="B21427" s="2" t="str">
        <f>IFERROR(__xludf.DUMMYFUNCTION("GOOGLETRANSLATE(A21427, ""en"", ""mt"")"),"L-ispettaklu globu")</f>
        <v>L-ispettaklu globu</v>
      </c>
    </row>
    <row r="21428" ht="15.75" customHeight="1">
      <c r="A21428" s="2" t="s">
        <v>21428</v>
      </c>
      <c r="B21428" s="2" t="str">
        <f>IFERROR(__xludf.DUMMYFUNCTION("GOOGLETRANSLATE(A21428, ""en"", ""mt"")"),"X'kien l-isem tat-Tabib Min Speċjali maħluq għall-eżenzjoni tal-komiks?")</f>
        <v>X'kien l-isem tat-Tabib Min Speċjali maħluq għall-eżenzjoni tal-komiks?</v>
      </c>
    </row>
    <row r="21429" ht="15.75" customHeight="1">
      <c r="A21429" s="2" t="s">
        <v>21429</v>
      </c>
      <c r="B21429" s="2" t="str">
        <f>IFERROR(__xludf.DUMMYFUNCTION("GOOGLETRANSLATE(A21429, ""en"", ""mt"")"),"Relazzjonijiet ta 'qtugħ")</f>
        <v>Relazzjonijiet ta 'qtugħ</v>
      </c>
    </row>
    <row r="21430" ht="15.75" customHeight="1">
      <c r="A21430" s="2" t="s">
        <v>21430</v>
      </c>
      <c r="B21430" s="2" t="str">
        <f>IFERROR(__xludf.DUMMYFUNCTION("GOOGLETRANSLATE(A21430, ""en"", ""mt"")"),"Min għeleb lil Montcalm fil-Quebec?")</f>
        <v>Min għeleb lil Montcalm fil-Quebec?</v>
      </c>
    </row>
    <row r="21431" ht="15.75" customHeight="1">
      <c r="A21431" s="2" t="s">
        <v>21431</v>
      </c>
      <c r="B21431" s="2" t="str">
        <f>IFERROR(__xludf.DUMMYFUNCTION("GOOGLETRANSLATE(A21431, ""en"", ""mt"")"),"Qorti Ewropea tad-Drittijiet tal-Bniedem.")</f>
        <v>Qorti Ewropea tad-Drittijiet tal-Bniedem.</v>
      </c>
    </row>
    <row r="21432" ht="15.75" customHeight="1">
      <c r="A21432" s="2" t="s">
        <v>21432</v>
      </c>
      <c r="B21432" s="2" t="str">
        <f>IFERROR(__xludf.DUMMYFUNCTION("GOOGLETRANSLATE(A21432, ""en"", ""mt"")"),"Min kellu sehem fl-iżvilupp tar-radar fi Franza?")</f>
        <v>Min kellu sehem fl-iżvilupp tar-radar fi Franza?</v>
      </c>
    </row>
    <row r="21433" ht="15.75" customHeight="1">
      <c r="A21433" s="2" t="s">
        <v>21433</v>
      </c>
      <c r="B21433" s="2" t="str">
        <f>IFERROR(__xludf.DUMMYFUNCTION("GOOGLETRANSLATE(A21433, ""en"", ""mt"")"),"In-Netwerk tal-Fondazzjoni Nazzjonali tax-Xjenza")</f>
        <v>In-Netwerk tal-Fondazzjoni Nazzjonali tax-Xjenza</v>
      </c>
    </row>
    <row r="21434" ht="15.75" customHeight="1">
      <c r="A21434" s="2" t="s">
        <v>21434</v>
      </c>
      <c r="B21434" s="2" t="str">
        <f>IFERROR(__xludf.DUMMYFUNCTION("GOOGLETRANSLATE(A21434, ""en"", ""mt"")"),"li tikkonferma l-pożizzjoni tal-Gran Brittanja bħala l-poter kolonjali dominanti fil-Lvant ta ’l-Amerika")</f>
        <v>li tikkonferma l-pożizzjoni tal-Gran Brittanja bħala l-poter kolonjali dominanti fil-Lvant ta ’l-Amerika</v>
      </c>
    </row>
    <row r="21435" ht="15.75" customHeight="1">
      <c r="A21435" s="2" t="s">
        <v>21435</v>
      </c>
      <c r="B21435" s="2" t="str">
        <f>IFERROR(__xludf.DUMMYFUNCTION("GOOGLETRANSLATE(A21435, ""en"", ""mt"")"),"It-tielet l-akbar preżenza militari")</f>
        <v>It-tielet l-akbar preżenza militari</v>
      </c>
    </row>
    <row r="21436" ht="15.75" customHeight="1">
      <c r="A21436" s="2" t="s">
        <v>21436</v>
      </c>
      <c r="B21436" s="2" t="str">
        <f>IFERROR(__xludf.DUMMYFUNCTION("GOOGLETRANSLATE(A21436, ""en"", ""mt"")"),"stampat")</f>
        <v>stampat</v>
      </c>
    </row>
    <row r="21437" ht="15.75" customHeight="1">
      <c r="A21437" s="2" t="s">
        <v>21437</v>
      </c>
      <c r="B21437" s="2" t="str">
        <f>IFERROR(__xludf.DUMMYFUNCTION("GOOGLETRANSLATE(A21437, ""en"", ""mt"")"),"Liema dinastija għen lil Zhang Rhou?")</f>
        <v>Liema dinastija għen lil Zhang Rhou?</v>
      </c>
    </row>
    <row r="21438" ht="15.75" customHeight="1">
      <c r="A21438" s="2" t="s">
        <v>21438</v>
      </c>
      <c r="B21438" s="2" t="str">
        <f>IFERROR(__xludf.DUMMYFUNCTION("GOOGLETRANSLATE(A21438, ""en"", ""mt"")"),"Movimenti Iżlamisti anti-demokratiċi")</f>
        <v>Movimenti Iżlamisti anti-demokratiċi</v>
      </c>
    </row>
    <row r="21439" ht="15.75" customHeight="1">
      <c r="A21439" s="2" t="s">
        <v>21439</v>
      </c>
      <c r="B21439" s="2" t="str">
        <f>IFERROR(__xludf.DUMMYFUNCTION("GOOGLETRANSLATE(A21439, ""en"", ""mt"")"),"Premier tar-Rabat")</f>
        <v>Premier tar-Rabat</v>
      </c>
    </row>
    <row r="21440" ht="15.75" customHeight="1">
      <c r="A21440" s="2" t="s">
        <v>21440</v>
      </c>
      <c r="B21440" s="2" t="str">
        <f>IFERROR(__xludf.DUMMYFUNCTION("GOOGLETRANSLATE(A21440, ""en"", ""mt"")"),"Liema sistema ta 'qasma żviluppat fl-orogenija Alpina?")</f>
        <v>Liema sistema ta 'qasma żviluppat fl-orogenija Alpina?</v>
      </c>
    </row>
    <row r="21441" ht="15.75" customHeight="1">
      <c r="A21441" s="2" t="s">
        <v>21441</v>
      </c>
      <c r="B21441" s="2" t="str">
        <f>IFERROR(__xludf.DUMMYFUNCTION("GOOGLETRANSLATE(A21441, ""en"", ""mt"")"),"il-11")</f>
        <v>il-11</v>
      </c>
    </row>
    <row r="21442" ht="15.75" customHeight="1">
      <c r="A21442" s="2" t="s">
        <v>21442</v>
      </c>
      <c r="B21442" s="2" t="str">
        <f>IFERROR(__xludf.DUMMYFUNCTION("GOOGLETRANSLATE(A21442, ""en"", ""mt"")"),"Franza, l-Italja, il-Belġju, l-Olanda, il-Lussemburgu u l-Ġermanja")</f>
        <v>Franza, l-Italja, il-Belġju, l-Olanda, il-Lussemburgu u l-Ġermanja</v>
      </c>
    </row>
    <row r="21443" ht="15.75" customHeight="1">
      <c r="A21443" s="2" t="s">
        <v>21443</v>
      </c>
      <c r="B21443" s="2" t="str">
        <f>IFERROR(__xludf.DUMMYFUNCTION("GOOGLETRANSLATE(A21443, ""en"", ""mt"")"),"Tnejn")</f>
        <v>Tnejn</v>
      </c>
    </row>
    <row r="21444" ht="15.75" customHeight="1">
      <c r="A21444" s="2" t="s">
        <v>21444</v>
      </c>
      <c r="B21444" s="2" t="str">
        <f>IFERROR(__xludf.DUMMYFUNCTION("GOOGLETRANSLATE(A21444, ""en"", ""mt"")"),"Boston")</f>
        <v>Boston</v>
      </c>
    </row>
    <row r="21445" ht="15.75" customHeight="1">
      <c r="A21445" s="2" t="s">
        <v>21445</v>
      </c>
      <c r="B21445" s="2" t="str">
        <f>IFERROR(__xludf.DUMMYFUNCTION("GOOGLETRANSLATE(A21445, ""en"", ""mt"")"),"Tekniki kartografiċi tas-seklu dsatax")</f>
        <v>Tekniki kartografiċi tas-seklu dsatax</v>
      </c>
    </row>
    <row r="21446" ht="15.75" customHeight="1">
      <c r="A21446" s="2" t="s">
        <v>21446</v>
      </c>
      <c r="B21446" s="2" t="str">
        <f>IFERROR(__xludf.DUMMYFUNCTION("GOOGLETRANSLATE(A21446, ""en"", ""mt"")"),"iddur bilanċ")</f>
        <v>iddur bilanċ</v>
      </c>
    </row>
    <row r="21447" ht="15.75" customHeight="1">
      <c r="A21447" s="2" t="s">
        <v>21447</v>
      </c>
      <c r="B21447" s="2" t="str">
        <f>IFERROR(__xludf.DUMMYFUNCTION("GOOGLETRANSLATE(A21447, ""en"", ""mt"")"),"George E. Mueller")</f>
        <v>George E. Mueller</v>
      </c>
    </row>
    <row r="21448" ht="15.75" customHeight="1">
      <c r="A21448" s="2" t="s">
        <v>21448</v>
      </c>
      <c r="B21448" s="2" t="str">
        <f>IFERROR(__xludf.DUMMYFUNCTION("GOOGLETRANSLATE(A21448, ""en"", ""mt"")"),"Ċentru SAP")</f>
        <v>Ċentru SAP</v>
      </c>
    </row>
    <row r="21449" ht="15.75" customHeight="1">
      <c r="A21449" s="2" t="s">
        <v>21449</v>
      </c>
      <c r="B21449" s="2" t="str">
        <f>IFERROR(__xludf.DUMMYFUNCTION("GOOGLETRANSLATE(A21449, ""en"", ""mt"")"),"X'inhi l-iktar xita rreġistrata f'perjodu ta '24 siegħa fi Fresno?")</f>
        <v>X'inhi l-iktar xita rreġistrata f'perjodu ta '24 siegħa fi Fresno?</v>
      </c>
    </row>
    <row r="21450" ht="15.75" customHeight="1">
      <c r="A21450" s="2" t="s">
        <v>21450</v>
      </c>
      <c r="B21450" s="2" t="str">
        <f>IFERROR(__xludf.DUMMYFUNCTION("GOOGLETRANSLATE(A21450, ""en"", ""mt"")"),"X'tip ta 'vot għandu jkollu l-Parlament biex jimblokka jew jissuġġerixxi bidliet fil-proposti tal-Kummissjoni?")</f>
        <v>X'tip ta 'vot għandu jkollu l-Parlament biex jimblokka jew jissuġġerixxi bidliet fil-proposti tal-Kummissjoni?</v>
      </c>
    </row>
    <row r="21451" ht="15.75" customHeight="1">
      <c r="A21451" s="2" t="s">
        <v>21451</v>
      </c>
      <c r="B21451" s="2" t="str">
        <f>IFERROR(__xludf.DUMMYFUNCTION("GOOGLETRANSLATE(A21451, ""en"", ""mt"")"),"Min kien wieħed mill-manifattur prominenti ta 'Arms-Descended Huguenot?")</f>
        <v>Min kien wieħed mill-manifattur prominenti ta 'Arms-Descended Huguenot?</v>
      </c>
    </row>
    <row r="21452" ht="15.75" customHeight="1">
      <c r="A21452" s="2" t="s">
        <v>21452</v>
      </c>
      <c r="B21452" s="2" t="str">
        <f>IFERROR(__xludf.DUMMYFUNCTION("GOOGLETRANSLATE(A21452, ""en"", ""mt"")"),"Liema programm għen biex jiżviluppa tekniki ta 'vjaġġar spazjali li l-proġett uża Apollo?")</f>
        <v>Liema programm għen biex jiżviluppa tekniki ta 'vjaġġar spazjali li l-proġett uża Apollo?</v>
      </c>
    </row>
    <row r="21453" ht="15.75" customHeight="1">
      <c r="A21453" s="2" t="s">
        <v>21453</v>
      </c>
      <c r="B21453" s="2" t="str">
        <f>IFERROR(__xludf.DUMMYFUNCTION("GOOGLETRANSLATE(A21453, ""en"", ""mt"")"),"Liema forom ta 'arti uża Luther biex jgħaqqad l-innijiet tiegħu?")</f>
        <v>Liema forom ta 'arti uża Luther biex jgħaqqad l-innijiet tiegħu?</v>
      </c>
    </row>
    <row r="21454" ht="15.75" customHeight="1">
      <c r="A21454" s="2" t="s">
        <v>21454</v>
      </c>
      <c r="B21454" s="2" t="str">
        <f>IFERROR(__xludf.DUMMYFUNCTION("GOOGLETRANSLATE(A21454, ""en"", ""mt"")"),"Il-fabbrika tal-karozzi FSO ġiet stabbilita fl-1951. Numru ta 'vetturi ġew immuntati hemm matul l-għexieren ta' snin, inkluż il-Warszawa, Syrena, Fiat 125p (taħt liċenzja minn Fiat, aktar tard imsejħa FSO 125p meta skadiet il-liċenzja) u l-Polonez. L-aħħa"&amp;"r żewġ mudelli elenkati ntbagħtu wkoll barra mill-pajjiż u mmuntati f'numru ta 'pajjiżi oħra, inklużi l-Eġittu u l-Kolombja. Fl-1995 il-fabbrika nxtrat mill-manifattur tal-karozzi tal-Korea ta ’Isfel Daewoo, li ġabru t-Tico, Espero, Nubia, Tacuma, Leganza"&amp;", Lanos u Matiz hemm għas-suq Ewropew. Fl-2005 il-fabbrika nbiegħet lil Avtozaz, manifattur tal-karozzi Ukrajni li ġabar hemm il-Chevrolet Aveo. Il-liċenzja għall-produzzjoni tal-AVEO skadiet fi Frar 2011 u minn dakinhar ma ġietx imġedda. Bħalissa l-kumpa"&amp;"nija hija bla waqfien.")</f>
        <v>Il-fabbrika tal-karozzi FSO ġiet stabbilita fl-1951. Numru ta 'vetturi ġew immuntati hemm matul l-għexieren ta' snin, inkluż il-Warszawa, Syrena, Fiat 125p (taħt liċenzja minn Fiat, aktar tard imsejħa FSO 125p meta skadiet il-liċenzja) u l-Polonez. L-aħħar żewġ mudelli elenkati ntbagħtu wkoll barra mill-pajjiż u mmuntati f'numru ta 'pajjiżi oħra, inklużi l-Eġittu u l-Kolombja. Fl-1995 il-fabbrika nxtrat mill-manifattur tal-karozzi tal-Korea ta ’Isfel Daewoo, li ġabru t-Tico, Espero, Nubia, Tacuma, Leganza, Lanos u Matiz hemm għas-suq Ewropew. Fl-2005 il-fabbrika nbiegħet lil Avtozaz, manifattur tal-karozzi Ukrajni li ġabar hemm il-Chevrolet Aveo. Il-liċenzja għall-produzzjoni tal-AVEO skadiet fi Frar 2011 u minn dakinhar ma ġietx imġedda. Bħalissa l-kumpanija hija bla waqfien.</v>
      </c>
    </row>
    <row r="21455" ht="15.75" customHeight="1">
      <c r="A21455" s="2" t="s">
        <v>21455</v>
      </c>
      <c r="B21455" s="2" t="str">
        <f>IFERROR(__xludf.DUMMYFUNCTION("GOOGLETRANSLATE(A21455, ""en"", ""mt"")"),"Għal xiex inhu magħruf il-pajjiż?")</f>
        <v>Għal xiex inhu magħruf il-pajjiż?</v>
      </c>
    </row>
    <row r="21456" ht="15.75" customHeight="1">
      <c r="A21456" s="2" t="s">
        <v>21456</v>
      </c>
      <c r="B21456" s="2" t="str">
        <f>IFERROR(__xludf.DUMMYFUNCTION("GOOGLETRANSLATE(A21456, ""en"", ""mt"")"),"X'iktar rebħet Pamela Jelimo wara l-Olimpjadi?")</f>
        <v>X'iktar rebħet Pamela Jelimo wara l-Olimpjadi?</v>
      </c>
    </row>
    <row r="21457" ht="15.75" customHeight="1">
      <c r="A21457" s="2" t="s">
        <v>21457</v>
      </c>
      <c r="B21457" s="2" t="str">
        <f>IFERROR(__xludf.DUMMYFUNCTION("GOOGLETRANSLATE(A21457, ""en"", ""mt"")"),"Paramount Building")</f>
        <v>Paramount Building</v>
      </c>
    </row>
    <row r="21458" ht="15.75" customHeight="1">
      <c r="A21458" s="2" t="s">
        <v>21458</v>
      </c>
      <c r="B21458" s="2" t="str">
        <f>IFERROR(__xludf.DUMMYFUNCTION("GOOGLETRANSLATE(A21458, ""en"", ""mt"")"),"Minħabba li ż-żejt kien ipprezzat f'dollari, id-dħul reali tal-produtturi taż-żejt naqas")</f>
        <v>Minħabba li ż-żejt kien ipprezzat f'dollari, id-dħul reali tal-produtturi taż-żejt naqas</v>
      </c>
    </row>
    <row r="21459" ht="15.75" customHeight="1">
      <c r="A21459" s="2" t="s">
        <v>21459</v>
      </c>
      <c r="B21459" s="2" t="str">
        <f>IFERROR(__xludf.DUMMYFUNCTION("GOOGLETRANSLATE(A21459, ""en"", ""mt"")"),"Doctor Who deher l-ewwel fuq BBC TV fis-17: 16: 20 GMT, tmenin sekonda wara l-ħin skedat tal-programm, 5:15 pm, nhar is-Sibt, 23 ta 'Novembru 1963. Kellu jkun programm regolari ta' kull ġimgħa, kull episodju 25 minuta ta 'trasmissjoni tul. Diskussjonijiet"&amp;" u pjanijiet għall-programm kienu ilhom għaddejjin għal sena. Il-Kap tad-Drama, il-Kanadiż Sydney Newman, kien prinċipalment responsabbli għall-iżvilupp tal-programm, bl-ewwel dokument tal-format għas-serje qed miktub minn Newman flimkien mal-kap tad-dipa"&amp;"rtiment tal-iskritt (aktar tard Kap tas-Serje) Donald Wilson u l-kittieb tal-persunal C. E. Webber - Il-kittieb Anthony Coburn, l-editur tal-istorja David Whitaker u l-produttur inizjali Verity Lambert ikkontribwew ukoll ħafna għall-iżvilupp tas-serje. [N"&amp;"ota 1] Il-programm kien oriġinarjament maħsub biex jappella lil udjenza tal-familja, bħala programm edukattiv li juża l-ivvjaġġar tal-ħin bħala mezz Esplora ideat xjentifiċi u mumenti famużi fl-istorja. Fil-31 ta 'Lulju 1963 Whitaker ikkummissjona lil Ter"&amp;"ry Nation biex jikteb storja taħt it-titlu The Mutants. Kif miktub oriġinarjament, id-Daleks u t-Thals kienu vittmi ta 'attakk ta' bomba ta 'newtroni aljeni iżda Nazzjon aktar tard waqqa' l-aljeni u għamlu lill-Aggressuri Daleks. Meta l-iskritt ġie ppreże"&amp;"ntat lil Newman u Wilson ġie rifjutat immedjatament peress li l-programm ma kienx permess li jkun fih l-ebda ""monsters b'għajn tal-bug"". L-ewwel serje kienet tlestiet u l-BBC kien jemmen li kien kruċjali li dak li jmiss ikun suċċess, iżda l-mutanti kien"&amp;" l-uniku skript lest biex imur, u għalhekk l-ispettaklu kellu ftit għażla ħlief li tużah. Skond il-produttur Verity Lambert; ""Ma kellniex ħafna għażla - kellna biss is-serje Dalek biex immorru ... kellna ftit kriżi ta 'kunfidenza minħabba li Donald [Wils"&amp;"on] kien daqshekk sod li m'għandniex nagħmluha. Kieku kellna Kull ħaġa oħra lesta li għamilna dan. "" L-iskrittura tan-Nazzjon saret it-tieni Tabib Who Serial - The Daleks (a.k.a. The Mutants). Is-serje introduċiet l-aljeni eponimi li kienu jsiru l-iktar "&amp;"monsters tas-serje, u kienet responsabbli għall-ewwel boom tal-merchandising tal-BBC.")</f>
        <v>Doctor Who deher l-ewwel fuq BBC TV fis-17: 16: 20 GMT, tmenin sekonda wara l-ħin skedat tal-programm, 5:15 pm, nhar is-Sibt, 23 ta 'Novembru 1963. Kellu jkun programm regolari ta' kull ġimgħa, kull episodju 25 minuta ta 'trasmissjoni tul. Diskussjonijiet u pjanijiet għall-programm kienu ilhom għaddejjin għal sena. Il-Kap tad-Drama, il-Kanadiż Sydney Newman, kien prinċipalment responsabbli għall-iżvilupp tal-programm, bl-ewwel dokument tal-format għas-serje qed miktub minn Newman flimkien mal-kap tad-dipartiment tal-iskritt (aktar tard Kap tas-Serje) Donald Wilson u l-kittieb tal-persunal C. E. Webber - Il-kittieb Anthony Coburn, l-editur tal-istorja David Whitaker u l-produttur inizjali Verity Lambert ikkontribwew ukoll ħafna għall-iżvilupp tas-serje. [Nota 1] Il-programm kien oriġinarjament maħsub biex jappella lil udjenza tal-familja, bħala programm edukattiv li juża l-ivvjaġġar tal-ħin bħala mezz Esplora ideat xjentifiċi u mumenti famużi fl-istorja. Fil-31 ta 'Lulju 1963 Whitaker ikkummissjona lil Terry Nation biex jikteb storja taħt it-titlu The Mutants. Kif miktub oriġinarjament, id-Daleks u t-Thals kienu vittmi ta 'attakk ta' bomba ta 'newtroni aljeni iżda Nazzjon aktar tard waqqa' l-aljeni u għamlu lill-Aggressuri Daleks. Meta l-iskritt ġie ppreżentat lil Newman u Wilson ġie rifjutat immedjatament peress li l-programm ma kienx permess li jkun fih l-ebda "monsters b'għajn tal-bug". L-ewwel serje kienet tlestiet u l-BBC kien jemmen li kien kruċjali li dak li jmiss ikun suċċess, iżda l-mutanti kien l-uniku skript lest biex imur, u għalhekk l-ispettaklu kellu ftit għażla ħlief li tużah. Skond il-produttur Verity Lambert; "Ma kellniex ħafna għażla - kellna biss is-serje Dalek biex immorru ... kellna ftit kriżi ta 'kunfidenza minħabba li Donald [Wilson] kien daqshekk sod li m'għandniex nagħmluha. Kieku kellna Kull ħaġa oħra lesta li għamilna dan. " L-iskrittura tan-Nazzjon saret it-tieni Tabib Who Serial - The Daleks (a.k.a. The Mutants). Is-serje introduċiet l-aljeni eponimi li kienu jsiru l-iktar monsters tas-serje, u kienet responsabbli għall-ewwel boom tal-merchandising tal-BBC.</v>
      </c>
    </row>
    <row r="21460" ht="15.75" customHeight="1">
      <c r="A21460" s="2" t="s">
        <v>21460</v>
      </c>
      <c r="B21460" s="2" t="str">
        <f>IFERROR(__xludf.DUMMYFUNCTION("GOOGLETRANSLATE(A21460, ""en"", ""mt"")"),"Liema territorju ġie ċedut lill-Gran Brittanja?")</f>
        <v>Liema territorju ġie ċedut lill-Gran Brittanja?</v>
      </c>
    </row>
    <row r="21461" ht="15.75" customHeight="1">
      <c r="A21461" s="2" t="s">
        <v>21461</v>
      </c>
      <c r="B21461" s="2" t="str">
        <f>IFERROR(__xludf.DUMMYFUNCTION("GOOGLETRANSLATE(A21461, ""en"", ""mt"")"),"X'inhu importanti daqs l-identifikazzjoni tas-sintomi tal-pesta?")</f>
        <v>X'inhu importanti daqs l-identifikazzjoni tas-sintomi tal-pesta?</v>
      </c>
    </row>
    <row r="21462" ht="15.75" customHeight="1">
      <c r="A21462" s="2" t="s">
        <v>21462</v>
      </c>
      <c r="B21462" s="2" t="str">
        <f>IFERROR(__xludf.DUMMYFUNCTION("GOOGLETRANSLATE(A21462, ""en"", ""mt"")"),"X'irrakkomanda r-rapport ta 'Kllbrandon fl-1973?")</f>
        <v>X'irrakkomanda r-rapport ta 'Kllbrandon fl-1973?</v>
      </c>
    </row>
    <row r="21463" ht="15.75" customHeight="1">
      <c r="A21463" s="2" t="s">
        <v>21463</v>
      </c>
      <c r="B21463" s="2" t="str">
        <f>IFERROR(__xludf.DUMMYFUNCTION("GOOGLETRANSLATE(A21463, ""en"", ""mt"")"),"Mużew Nikola Tesla")</f>
        <v>Mużew Nikola Tesla</v>
      </c>
    </row>
    <row r="21464" ht="15.75" customHeight="1">
      <c r="A21464" s="2" t="s">
        <v>21464</v>
      </c>
      <c r="B21464" s="2" t="str">
        <f>IFERROR(__xludf.DUMMYFUNCTION("GOOGLETRANSLATE(A21464, ""en"", ""mt"")"),"Rivoluzzjoni tal-kant")</f>
        <v>Rivoluzzjoni tal-kant</v>
      </c>
    </row>
    <row r="21465" ht="15.75" customHeight="1">
      <c r="A21465" s="2" t="s">
        <v>21465</v>
      </c>
      <c r="B21465" s="2" t="str">
        <f>IFERROR(__xludf.DUMMYFUNCTION("GOOGLETRANSLATE(A21465, ""en"", ""mt"")"),"T (n)")</f>
        <v>T (n)</v>
      </c>
    </row>
    <row r="21466" ht="15.75" customHeight="1">
      <c r="A21466" s="2" t="s">
        <v>21466</v>
      </c>
      <c r="B21466" s="2" t="str">
        <f>IFERROR(__xludf.DUMMYFUNCTION("GOOGLETRANSLATE(A21466, ""en"", ""mt"")"),"Liema tabib kien it-tabib attwali matul il-50 anniversarju speċjali?")</f>
        <v>Liema tabib kien it-tabib attwali matul il-50 anniversarju speċjali?</v>
      </c>
    </row>
    <row r="21467" ht="15.75" customHeight="1">
      <c r="A21467" s="2" t="s">
        <v>21467</v>
      </c>
      <c r="B21467" s="2" t="str">
        <f>IFERROR(__xludf.DUMMYFUNCTION("GOOGLETRANSLATE(A21467, ""en"", ""mt"")"),"Teorija tar-Relatività Ġenerali")</f>
        <v>Teorija tar-Relatività Ġenerali</v>
      </c>
    </row>
    <row r="21468" ht="15.75" customHeight="1">
      <c r="A21468" s="2" t="s">
        <v>21468</v>
      </c>
      <c r="B21468" s="2" t="str">
        <f>IFERROR(__xludf.DUMMYFUNCTION("GOOGLETRANSLATE(A21468, ""en"", ""mt"")"),"X'inhu l-isem tas-sistema skolastika tal-gvern ta 'wara l-indipendenza fil-Malasja?")</f>
        <v>X'inhu l-isem tas-sistema skolastika tal-gvern ta 'wara l-indipendenza fil-Malasja?</v>
      </c>
    </row>
    <row r="21469" ht="15.75" customHeight="1">
      <c r="A21469" s="2" t="s">
        <v>21469</v>
      </c>
      <c r="B21469" s="2" t="str">
        <f>IFERROR(__xludf.DUMMYFUNCTION("GOOGLETRANSLATE(A21469, ""en"", ""mt"")"),"sarcasm u tentattivi biex jimmilitaw lill-istudenti")</f>
        <v>sarcasm u tentattivi biex jimmilitaw lill-istudenti</v>
      </c>
    </row>
    <row r="21470" ht="15.75" customHeight="1">
      <c r="A21470" s="2" t="s">
        <v>21470</v>
      </c>
      <c r="B21470" s="2" t="str">
        <f>IFERROR(__xludf.DUMMYFUNCTION("GOOGLETRANSLATE(A21470, ""en"", ""mt"")"),"Xi jeħtieġu biex jaraw xi xandiriet kriptati?")</f>
        <v>Xi jeħtieġu biex jaraw xi xandiriet kriptati?</v>
      </c>
    </row>
    <row r="21471" ht="15.75" customHeight="1">
      <c r="A21471" s="2" t="s">
        <v>21471</v>
      </c>
      <c r="B21471" s="2" t="str">
        <f>IFERROR(__xludf.DUMMYFUNCTION("GOOGLETRANSLATE(A21471, ""en"", ""mt"")"),"bniedem")</f>
        <v>bniedem</v>
      </c>
    </row>
    <row r="21472" ht="15.75" customHeight="1">
      <c r="A21472" s="2" t="s">
        <v>21472</v>
      </c>
      <c r="B21472" s="2" t="str">
        <f>IFERROR(__xludf.DUMMYFUNCTION("GOOGLETRANSLATE(A21472, ""en"", ""mt"")"),"3 f'1,000,000")</f>
        <v>3 f'1,000,000</v>
      </c>
    </row>
    <row r="21473" ht="15.75" customHeight="1">
      <c r="A21473" s="2" t="s">
        <v>21473</v>
      </c>
      <c r="B21473" s="2" t="str">
        <f>IFERROR(__xludf.DUMMYFUNCTION("GOOGLETRANSLATE(A21473, ""en"", ""mt"")"),"Jekk P = NP ma jkunx solvut, u t-tnaqqis huwa applikat għal problema magħrufa NP-kompluta vis a vis π2 sa π1, liema konklużjoni tista 'tinġibed għal π1?")</f>
        <v>Jekk P = NP ma jkunx solvut, u t-tnaqqis huwa applikat għal problema magħrufa NP-kompluta vis a vis π2 sa π1, liema konklużjoni tista 'tinġibed għal π1?</v>
      </c>
    </row>
    <row r="21474" ht="15.75" customHeight="1">
      <c r="A21474" s="2" t="s">
        <v>21474</v>
      </c>
      <c r="B21474" s="2" t="str">
        <f>IFERROR(__xludf.DUMMYFUNCTION("GOOGLETRANSLATE(A21474, ""en"", ""mt"")"),"Zhongshu Sheng")</f>
        <v>Zhongshu Sheng</v>
      </c>
    </row>
    <row r="21475" ht="15.75" customHeight="1">
      <c r="A21475" s="2" t="s">
        <v>21475</v>
      </c>
      <c r="B21475" s="2" t="str">
        <f>IFERROR(__xludf.DUMMYFUNCTION("GOOGLETRANSLATE(A21475, ""en"", ""mt"")"),"tkissir id-dahar")</f>
        <v>tkissir id-dahar</v>
      </c>
    </row>
    <row r="21476" ht="15.75" customHeight="1">
      <c r="A21476" s="2" t="s">
        <v>21476</v>
      </c>
      <c r="B21476" s="2" t="str">
        <f>IFERROR(__xludf.DUMMYFUNCTION("GOOGLETRANSLATE(A21476, ""en"", ""mt"")"),"Liema serje hija l-itwal programm li għaddej fl-istorja tal-ABC?")</f>
        <v>Liema serje hija l-itwal programm li għaddej fl-istorja tal-ABC?</v>
      </c>
    </row>
    <row r="21477" ht="15.75" customHeight="1">
      <c r="A21477" s="2" t="s">
        <v>21477</v>
      </c>
      <c r="B21477" s="2" t="str">
        <f>IFERROR(__xludf.DUMMYFUNCTION("GOOGLETRANSLATE(A21477, ""en"", ""mt"")"),"X'kien l-ewwel bini li nbena li għadu jifforma parti mill-mużew?")</f>
        <v>X'kien l-ewwel bini li nbena li għadu jifforma parti mill-mużew?</v>
      </c>
    </row>
    <row r="21478" ht="15.75" customHeight="1">
      <c r="A21478" s="2" t="s">
        <v>21478</v>
      </c>
      <c r="B21478" s="2" t="str">
        <f>IFERROR(__xludf.DUMMYFUNCTION("GOOGLETRANSLATE(A21478, ""en"", ""mt"")"),"xi forma tal-pesta ordinarja tal-Lvant jew Buboniku")</f>
        <v>xi forma tal-pesta ordinarja tal-Lvant jew Buboniku</v>
      </c>
    </row>
    <row r="21479" ht="15.75" customHeight="1">
      <c r="A21479" s="2" t="s">
        <v>21479</v>
      </c>
      <c r="B21479" s="2" t="str">
        <f>IFERROR(__xludf.DUMMYFUNCTION("GOOGLETRANSLATE(A21479, ""en"", ""mt"")"),"Liema attur ta 'Doctor Who rebaħ Premju tal-Aħjar Attur fl-2012?")</f>
        <v>Liema attur ta 'Doctor Who rebaħ Premju tal-Aħjar Attur fl-2012?</v>
      </c>
    </row>
    <row r="21480" ht="15.75" customHeight="1">
      <c r="A21480" s="2" t="s">
        <v>21480</v>
      </c>
      <c r="B21480" s="2" t="str">
        <f>IFERROR(__xludf.DUMMYFUNCTION("GOOGLETRANSLATE(A21480, ""en"", ""mt"")"),"Meta mqabbel mat-titjib ta 'Smeaton fuq il-magna ta' Newcomen, kemm il-faħam uża l-magna ta 'Watt?")</f>
        <v>Meta mqabbel mat-titjib ta 'Smeaton fuq il-magna ta' Newcomen, kemm il-faħam uża l-magna ta 'Watt?</v>
      </c>
    </row>
    <row r="21481" ht="15.75" customHeight="1">
      <c r="A21481" s="2" t="s">
        <v>21481</v>
      </c>
      <c r="B21481" s="2" t="str">
        <f>IFERROR(__xludf.DUMMYFUNCTION("GOOGLETRANSLATE(A21481, ""en"", ""mt"")"),"Mid-Eoken")</f>
        <v>Mid-Eoken</v>
      </c>
    </row>
    <row r="21482" ht="15.75" customHeight="1">
      <c r="A21482" s="2" t="s">
        <v>21482</v>
      </c>
      <c r="B21482" s="2" t="str">
        <f>IFERROR(__xludf.DUMMYFUNCTION("GOOGLETRANSLATE(A21482, ""en"", ""mt"")"),"Il-ftehim il-ġdid jinkludi vidjow fuq talba u definizzjoni għolja?")</f>
        <v>Il-ftehim il-ġdid jinkludi vidjow fuq talba u definizzjoni għolja?</v>
      </c>
    </row>
    <row r="21483" ht="15.75" customHeight="1">
      <c r="A21483" s="2" t="s">
        <v>21483</v>
      </c>
      <c r="B21483" s="2" t="str">
        <f>IFERROR(__xludf.DUMMYFUNCTION("GOOGLETRANSLATE(A21483, ""en"", ""mt"")"),"Liema xmara hija akbar mir-Rhine?")</f>
        <v>Liema xmara hija akbar mir-Rhine?</v>
      </c>
    </row>
    <row r="21484" ht="15.75" customHeight="1">
      <c r="A21484" s="2" t="s">
        <v>21484</v>
      </c>
      <c r="B21484" s="2" t="str">
        <f>IFERROR(__xludf.DUMMYFUNCTION("GOOGLETRANSLATE(A21484, ""en"", ""mt"")"),"Unità duttrinali")</f>
        <v>Unità duttrinali</v>
      </c>
    </row>
    <row r="21485" ht="15.75" customHeight="1">
      <c r="A21485" s="2" t="s">
        <v>21485</v>
      </c>
      <c r="B21485" s="2" t="str">
        <f>IFERROR(__xludf.DUMMYFUNCTION("GOOGLETRANSLATE(A21485, ""en"", ""mt"")"),"bejn 1.4 u 5.8 ° C")</f>
        <v>bejn 1.4 u 5.8 ° C</v>
      </c>
    </row>
    <row r="21486" ht="15.75" customHeight="1">
      <c r="A21486" s="2" t="s">
        <v>21486</v>
      </c>
      <c r="B21486" s="2" t="str">
        <f>IFERROR(__xludf.DUMMYFUNCTION("GOOGLETRANSLATE(A21486, ""en"", ""mt"")"),"Malnutrizzjoni")</f>
        <v>Malnutrizzjoni</v>
      </c>
    </row>
    <row r="21487" ht="15.75" customHeight="1">
      <c r="A21487" s="2" t="s">
        <v>21487</v>
      </c>
      <c r="B21487" s="2" t="str">
        <f>IFERROR(__xludf.DUMMYFUNCTION("GOOGLETRANSLATE(A21487, ""en"", ""mt"")"),"Atti illegali")</f>
        <v>Atti illegali</v>
      </c>
    </row>
    <row r="21488" ht="15.75" customHeight="1">
      <c r="A21488" s="2" t="s">
        <v>21488</v>
      </c>
      <c r="B21488" s="2" t="str">
        <f>IFERROR(__xludf.DUMMYFUNCTION("GOOGLETRANSLATE(A21488, ""en"", ""mt"")"),"Minn liema oqsma rreklutaw il-Franċiżi?")</f>
        <v>Minn liema oqsma rreklutaw il-Franċiżi?</v>
      </c>
    </row>
    <row r="21489" ht="15.75" customHeight="1">
      <c r="A21489" s="2" t="s">
        <v>21489</v>
      </c>
      <c r="B21489" s="2" t="str">
        <f>IFERROR(__xludf.DUMMYFUNCTION("GOOGLETRANSLATE(A21489, ""en"", ""mt"")"),"Il-liġi tal-UE għandha l-primat")</f>
        <v>Il-liġi tal-UE għandha l-primat</v>
      </c>
    </row>
    <row r="21490" ht="15.75" customHeight="1">
      <c r="A21490" s="2" t="s">
        <v>21490</v>
      </c>
      <c r="B21490" s="2" t="str">
        <f>IFERROR(__xludf.DUMMYFUNCTION("GOOGLETRANSLATE(A21490, ""en"", ""mt"")"),"F'liema sena Richard Trevithick brevett l-apparat tiegħu?")</f>
        <v>F'liema sena Richard Trevithick brevett l-apparat tiegħu?</v>
      </c>
    </row>
    <row r="21491" ht="15.75" customHeight="1">
      <c r="A21491" s="2" t="s">
        <v>21491</v>
      </c>
      <c r="B21491" s="2" t="str">
        <f>IFERROR(__xludf.DUMMYFUNCTION("GOOGLETRANSLATE(A21491, ""en"", ""mt"")"),"[Data]")</f>
        <v>[Data]</v>
      </c>
    </row>
    <row r="21492" ht="15.75" customHeight="1">
      <c r="A21492" s="2" t="s">
        <v>21492</v>
      </c>
      <c r="B21492" s="2" t="str">
        <f>IFERROR(__xludf.DUMMYFUNCTION("GOOGLETRANSLATE(A21492, ""en"", ""mt"")"),"1596")</f>
        <v>1596</v>
      </c>
    </row>
    <row r="21493" ht="15.75" customHeight="1">
      <c r="A21493" s="2" t="s">
        <v>21493</v>
      </c>
      <c r="B21493" s="2" t="str">
        <f>IFERROR(__xludf.DUMMYFUNCTION("GOOGLETRANSLATE(A21493, ""en"", ""mt"")"),"Huwa rikonoxxut li rendikont epidemjoloġiku tal-pesta huwa importanti daqs identifikazzjoni tas-sintomi, iżda r-riċerkaturi huma mxekkla min-nuqqas ta 'statistika affidabbli minn dan il-perjodu. Il-biċċa l-kbira tax-xogħol sar fuq it-tixrid tal-pesta fl-I"&amp;"ngilterra, u anke stimi tal-popolazzjoni ġenerali fil-bidu jvarjaw b'aktar minn 100% peress li ma sar l-ebda ċensiment bejn iż-żmien tal-pubblikazzjoni tal-ktieb Domesday u s-sena 1377. Stimi tal-pesta Il-vittmi ġeneralment jiġu estrapolati minn figuri mi"&amp;"ll-kleru.")</f>
        <v>Huwa rikonoxxut li rendikont epidemjoloġiku tal-pesta huwa importanti daqs identifikazzjoni tas-sintomi, iżda r-riċerkaturi huma mxekkla min-nuqqas ta 'statistika affidabbli minn dan il-perjodu. Il-biċċa l-kbira tax-xogħol sar fuq it-tixrid tal-pesta fl-Ingilterra, u anke stimi tal-popolazzjoni ġenerali fil-bidu jvarjaw b'aktar minn 100% peress li ma sar l-ebda ċensiment bejn iż-żmien tal-pubblikazzjoni tal-ktieb Domesday u s-sena 1377. Stimi tal-pesta Il-vittmi ġeneralment jiġu estrapolati minn figuri mill-kleru.</v>
      </c>
    </row>
    <row r="21494" ht="15.75" customHeight="1">
      <c r="A21494" s="2" t="s">
        <v>21494</v>
      </c>
      <c r="B21494" s="2" t="str">
        <f>IFERROR(__xludf.DUMMYFUNCTION("GOOGLETRANSLATE(A21494, ""en"", ""mt"")"),"Oneida Carry")</f>
        <v>Oneida Carry</v>
      </c>
    </row>
    <row r="21495" ht="15.75" customHeight="1">
      <c r="A21495" s="2" t="s">
        <v>21495</v>
      </c>
      <c r="B21495" s="2" t="str">
        <f>IFERROR(__xludf.DUMMYFUNCTION("GOOGLETRANSLATE(A21495, ""en"", ""mt"")"),"Il-voti mill-fortizza tiegħu waslu aktar tard")</f>
        <v>Il-voti mill-fortizza tiegħu waslu aktar tard</v>
      </c>
    </row>
    <row r="21496" ht="15.75" customHeight="1">
      <c r="A21496" s="2" t="s">
        <v>21496</v>
      </c>
      <c r="B21496" s="2" t="str">
        <f>IFERROR(__xludf.DUMMYFUNCTION("GOOGLETRANSLATE(A21496, ""en"", ""mt"")"),"X’sar il-pedament tar-Riforma?")</f>
        <v>X’sar il-pedament tar-Riforma?</v>
      </c>
    </row>
    <row r="21497" ht="15.75" customHeight="1">
      <c r="A21497" s="2" t="s">
        <v>21497</v>
      </c>
      <c r="B21497" s="2" t="str">
        <f>IFERROR(__xludf.DUMMYFUNCTION("GOOGLETRANSLATE(A21497, ""en"", ""mt"")"),"Dick Clark")</f>
        <v>Dick Clark</v>
      </c>
    </row>
    <row r="21498" ht="15.75" customHeight="1">
      <c r="A21498" s="2" t="s">
        <v>21498</v>
      </c>
      <c r="B21498" s="2" t="str">
        <f>IFERROR(__xludf.DUMMYFUNCTION("GOOGLETRANSLATE(A21498, ""en"", ""mt"")"),"1522")</f>
        <v>1522</v>
      </c>
    </row>
    <row r="21499" ht="15.75" customHeight="1">
      <c r="A21499" s="2" t="s">
        <v>21499</v>
      </c>
      <c r="B21499" s="2" t="str">
        <f>IFERROR(__xludf.DUMMYFUNCTION("GOOGLETRANSLATE(A21499, ""en"", ""mt"")"),"It-telf ta 'Edinburgh Pentlands tassew diżappuntat min l-iktar?")</f>
        <v>It-telf ta 'Edinburgh Pentlands tassew diżappuntat min l-iktar?</v>
      </c>
    </row>
    <row r="21500" ht="15.75" customHeight="1">
      <c r="A21500" s="2" t="s">
        <v>21500</v>
      </c>
      <c r="B21500" s="2" t="str">
        <f>IFERROR(__xludf.DUMMYFUNCTION("GOOGLETRANSLATE(A21500, ""en"", ""mt"")"),"Liema partijiet ta 'magna tal-fwar reċiprokanti konvenzjonali jistgħu jiġu sostitwiti b'magna li jdur mingħajr piston?")</f>
        <v>Liema partijiet ta 'magna tal-fwar reċiprokanti konvenzjonali jistgħu jiġu sostitwiti b'magna li jdur mingħajr piston?</v>
      </c>
    </row>
    <row r="21501" ht="15.75" customHeight="1">
      <c r="A21501" s="2" t="s">
        <v>21501</v>
      </c>
      <c r="B21501" s="2" t="str">
        <f>IFERROR(__xludf.DUMMYFUNCTION("GOOGLETRANSLATE(A21501, ""en"", ""mt"")"),"Liema teorema tista 'tiġi ssimplifikata mat-teorema ta' Lasker-Noether?")</f>
        <v>Liema teorema tista 'tiġi ssimplifikata mat-teorema ta' Lasker-Noether?</v>
      </c>
    </row>
    <row r="21502" ht="15.75" customHeight="1">
      <c r="A21502" s="2" t="s">
        <v>21502</v>
      </c>
      <c r="B21502" s="2" t="str">
        <f>IFERROR(__xludf.DUMMYFUNCTION("GOOGLETRANSLATE(A21502, ""en"", ""mt"")"),"Madwar 9.81 metri kull sekonda kwadru")</f>
        <v>Madwar 9.81 metri kull sekonda kwadru</v>
      </c>
    </row>
    <row r="21503" ht="15.75" customHeight="1">
      <c r="A21503" s="2" t="s">
        <v>21503</v>
      </c>
      <c r="B21503" s="2" t="str">
        <f>IFERROR(__xludf.DUMMYFUNCTION("GOOGLETRANSLATE(A21503, ""en"", ""mt"")"),"Kemm kien twil kull episodju ta 'Doctor Who?")</f>
        <v>Kemm kien twil kull episodju ta 'Doctor Who?</v>
      </c>
    </row>
    <row r="21504" ht="15.75" customHeight="1">
      <c r="A21504" s="2" t="s">
        <v>21504</v>
      </c>
      <c r="B21504" s="2" t="str">
        <f>IFERROR(__xludf.DUMMYFUNCTION("GOOGLETRANSLATE(A21504, ""en"", ""mt"")"),"Downtown San Diego")</f>
        <v>Downtown San Diego</v>
      </c>
    </row>
    <row r="21505" ht="15.75" customHeight="1">
      <c r="A21505" s="2" t="s">
        <v>21505</v>
      </c>
      <c r="B21505" s="2" t="str">
        <f>IFERROR(__xludf.DUMMYFUNCTION("GOOGLETRANSLATE(A21505, ""en"", ""mt"")"),"Qorti tal-Ġustizzja tal-Unjoni Ewropea (CJEU)")</f>
        <v>Qorti tal-Ġustizzja tal-Unjoni Ewropea (CJEU)</v>
      </c>
    </row>
    <row r="21506" ht="15.75" customHeight="1">
      <c r="A21506" s="2" t="s">
        <v>21506</v>
      </c>
      <c r="B21506" s="2" t="str">
        <f>IFERROR(__xludf.DUMMYFUNCTION("GOOGLETRANSLATE(A21506, ""en"", ""mt"")"),"X'inhu s-simbolu ta 'Varsavja?")</f>
        <v>X'inhu s-simbolu ta 'Varsavja?</v>
      </c>
    </row>
    <row r="21507" ht="15.75" customHeight="1">
      <c r="A21507" s="2" t="s">
        <v>21507</v>
      </c>
      <c r="B21507" s="2" t="str">
        <f>IFERROR(__xludf.DUMMYFUNCTION("GOOGLETRANSLATE(A21507, ""en"", ""mt"")"),"ħin u memorja")</f>
        <v>ħin u memorja</v>
      </c>
    </row>
    <row r="21508" ht="15.75" customHeight="1">
      <c r="A21508" s="2" t="s">
        <v>21508</v>
      </c>
      <c r="B21508" s="2" t="str">
        <f>IFERROR(__xludf.DUMMYFUNCTION("GOOGLETRANSLATE(A21508, ""en"", ""mt"")"),"l-abbuż tal-pożizzjoni dominanti")</f>
        <v>l-abbuż tal-pożizzjoni dominanti</v>
      </c>
    </row>
    <row r="21509" ht="15.75" customHeight="1">
      <c r="A21509" s="2" t="s">
        <v>21509</v>
      </c>
      <c r="B21509" s="2" t="str">
        <f>IFERROR(__xludf.DUMMYFUNCTION("GOOGLETRANSLATE(A21509, ""en"", ""mt"")"),"Diffikultà biex tistabbilixxi qafas għal klassijiet ta 'kumplessità tista' tkun ikkawżata minn liema varjabbli?")</f>
        <v>Diffikultà biex tistabbilixxi qafas għal klassijiet ta 'kumplessità tista' tkun ikkawżata minn liema varjabbli?</v>
      </c>
    </row>
    <row r="21510" ht="15.75" customHeight="1">
      <c r="A21510" s="2" t="s">
        <v>21510</v>
      </c>
      <c r="B21510" s="2" t="str">
        <f>IFERROR(__xludf.DUMMYFUNCTION("GOOGLETRANSLATE(A21510, ""en"", ""mt"")"),"f'konformità")</f>
        <v>f'konformità</v>
      </c>
    </row>
    <row r="21511" ht="15.75" customHeight="1">
      <c r="A21511" s="2" t="s">
        <v>21511</v>
      </c>
      <c r="B21511" s="2" t="str">
        <f>IFERROR(__xludf.DUMMYFUNCTION("GOOGLETRANSLATE(A21511, ""en"", ""mt"")"),"Kanali 2 sa 6")</f>
        <v>Kanali 2 sa 6</v>
      </c>
    </row>
    <row r="21512" ht="15.75" customHeight="1">
      <c r="A21512" s="2" t="s">
        <v>21512</v>
      </c>
      <c r="B21512" s="2" t="str">
        <f>IFERROR(__xludf.DUMMYFUNCTION("GOOGLETRANSLATE(A21512, ""en"", ""mt"")"),"inqas minn 200,000")</f>
        <v>inqas minn 200,000</v>
      </c>
    </row>
    <row r="21513" ht="15.75" customHeight="1">
      <c r="A21513" s="2" t="s">
        <v>21513</v>
      </c>
      <c r="B21513" s="2" t="str">
        <f>IFERROR(__xludf.DUMMYFUNCTION("GOOGLETRANSLATE(A21513, ""en"", ""mt"")"),"Tlieta l-kumpanija")</f>
        <v>Tlieta l-kumpanija</v>
      </c>
    </row>
    <row r="21514" ht="15.75" customHeight="1">
      <c r="A21514" s="2" t="s">
        <v>21514</v>
      </c>
      <c r="B21514" s="2" t="str">
        <f>IFERROR(__xludf.DUMMYFUNCTION("GOOGLETRANSLATE(A21514, ""en"", ""mt"")"),"Ħames darbiet aktar baxxa")</f>
        <v>Ħames darbiet aktar baxxa</v>
      </c>
    </row>
    <row r="21515" ht="15.75" customHeight="1">
      <c r="A21515" s="2" t="s">
        <v>21515</v>
      </c>
      <c r="B21515" s="2" t="str">
        <f>IFERROR(__xludf.DUMMYFUNCTION("GOOGLETRANSLATE(A21515, ""en"", ""mt"")"),"Taxxa fuq il-bejgħ nofs-penny")</f>
        <v>Taxxa fuq il-bejgħ nofs-penny</v>
      </c>
    </row>
    <row r="21516" ht="15.75" customHeight="1">
      <c r="A21516" s="2" t="s">
        <v>21516</v>
      </c>
      <c r="B21516" s="2" t="str">
        <f>IFERROR(__xludf.DUMMYFUNCTION("GOOGLETRANSLATE(A21516, ""en"", ""mt"")"),"Fred Pierce")</f>
        <v>Fred Pierce</v>
      </c>
    </row>
    <row r="21517" ht="15.75" customHeight="1">
      <c r="A21517" s="2" t="s">
        <v>21517</v>
      </c>
      <c r="B21517" s="2" t="str">
        <f>IFERROR(__xludf.DUMMYFUNCTION("GOOGLETRANSLATE(A21517, ""en"", ""mt"")"),"11:28")</f>
        <v>11:28</v>
      </c>
    </row>
    <row r="21518" ht="15.75" customHeight="1">
      <c r="A21518" s="2" t="s">
        <v>21518</v>
      </c>
      <c r="B21518" s="2" t="str">
        <f>IFERROR(__xludf.DUMMYFUNCTION("GOOGLETRANSLATE(A21518, ""en"", ""mt"")"),"Kemm ġellieda Toghrul ipprovdew Temüjin meta nqabdet martu?")</f>
        <v>Kemm ġellieda Toghrul ipprovdew Temüjin meta nqabdet martu?</v>
      </c>
    </row>
    <row r="21519" ht="15.75" customHeight="1">
      <c r="A21519" s="2" t="s">
        <v>21519</v>
      </c>
      <c r="B21519" s="2" t="str">
        <f>IFERROR(__xludf.DUMMYFUNCTION("GOOGLETRANSLATE(A21519, ""en"", ""mt"")"),"Apollo 1 ekwipaġġ")</f>
        <v>Apollo 1 ekwipaġġ</v>
      </c>
    </row>
    <row r="21520" ht="15.75" customHeight="1">
      <c r="A21520" s="2" t="s">
        <v>21520</v>
      </c>
      <c r="B21520" s="2" t="str">
        <f>IFERROR(__xludf.DUMMYFUNCTION("GOOGLETRANSLATE(A21520, ""en"", ""mt"")"),"Atleti Kenjani (partikolarment Kalenjin)")</f>
        <v>Atleti Kenjani (partikolarment Kalenjin)</v>
      </c>
    </row>
    <row r="21521" ht="15.75" customHeight="1">
      <c r="A21521" s="2" t="s">
        <v>21521</v>
      </c>
      <c r="B21521" s="2" t="str">
        <f>IFERROR(__xludf.DUMMYFUNCTION("GOOGLETRANSLATE(A21521, ""en"", ""mt"")"),"differenza")</f>
        <v>differenza</v>
      </c>
    </row>
    <row r="21522" ht="15.75" customHeight="1">
      <c r="A21522" s="2" t="s">
        <v>21522</v>
      </c>
      <c r="B21522" s="2" t="str">
        <f>IFERROR(__xludf.DUMMYFUNCTION("GOOGLETRANSLATE(A21522, ""en"", ""mt"")"),"Għaliex kien hemm deprezzament tad-dollari tan-nazzjonijiet industrijalizzati?")</f>
        <v>Għaliex kien hemm deprezzament tad-dollari tan-nazzjonijiet industrijalizzati?</v>
      </c>
    </row>
    <row r="21523" ht="15.75" customHeight="1">
      <c r="A21523" s="2" t="s">
        <v>21523</v>
      </c>
      <c r="B21523" s="2" t="str">
        <f>IFERROR(__xludf.DUMMYFUNCTION("GOOGLETRANSLATE(A21523, ""en"", ""mt"")"),"Miocene Nofsani")</f>
        <v>Miocene Nofsani</v>
      </c>
    </row>
    <row r="21524" ht="15.75" customHeight="1">
      <c r="A21524" s="2" t="s">
        <v>21524</v>
      </c>
      <c r="B21524" s="2" t="str">
        <f>IFERROR(__xludf.DUMMYFUNCTION("GOOGLETRANSLATE(A21524, ""en"", ""mt"")"),"Meta kien ir-Renu kompletament fl-Imperu Ruman Qaddis?")</f>
        <v>Meta kien ir-Renu kompletament fl-Imperu Ruman Qaddis?</v>
      </c>
    </row>
    <row r="21525" ht="15.75" customHeight="1">
      <c r="A21525" s="2" t="s">
        <v>21525</v>
      </c>
      <c r="B21525" s="2" t="str">
        <f>IFERROR(__xludf.DUMMYFUNCTION("GOOGLETRANSLATE(A21525, ""en"", ""mt"")"),"Kemm qal Tesla li Edison offrietlu biex jiddisinja mill-ġdid il-mutur u l-ġeneraturi tiegħu?")</f>
        <v>Kemm qal Tesla li Edison offrietlu biex jiddisinja mill-ġdid il-mutur u l-ġeneraturi tiegħu?</v>
      </c>
    </row>
    <row r="21526" ht="15.75" customHeight="1">
      <c r="A21526" s="2" t="s">
        <v>21526</v>
      </c>
      <c r="B21526" s="2" t="str">
        <f>IFERROR(__xludf.DUMMYFUNCTION("GOOGLETRANSLATE(A21526, ""en"", ""mt"")"),"1496–97")</f>
        <v>1496–97</v>
      </c>
    </row>
    <row r="21527" ht="15.75" customHeight="1">
      <c r="A21527" s="2" t="s">
        <v>21527</v>
      </c>
      <c r="B21527" s="2" t="str">
        <f>IFERROR(__xludf.DUMMYFUNCTION("GOOGLETRANSLATE(A21527, ""en"", ""mt"")"),"Dokumenti li jakkumpanjawhom")</f>
        <v>Dokumenti li jakkumpanjawhom</v>
      </c>
    </row>
    <row r="21528" ht="15.75" customHeight="1">
      <c r="A21528" s="2" t="s">
        <v>21528</v>
      </c>
      <c r="B21528" s="2" t="str">
        <f>IFERROR(__xludf.DUMMYFUNCTION("GOOGLETRANSLATE(A21528, ""en"", ""mt"")"),"Jacksonville hija l-akbar belt skont il-popolazzjoni fl-Istat ta ’Florida tal-Istati Uniti, u l-akbar belt b’żona fl-Istati Uniti kontigwi. Hija s-sede tal-kontea tal-Kontea ta 'Duval, li magħha l-gvern tal-belt ikkonsolida fl-1968. Il-konsolidazzjoni tat"&amp;" lil Jacksonville id-daqs kbir tagħha u poġġiet il-biċċa l-kbira tal-popolazzjoni metropolitana tagħha fil-limiti tal-belt; B'popolazzjoni stmata ta '853,382 fl-2014, hija l-iktar belt popolata xierqa fi Florida u fix-Xlokk, u t-12-il l-iktar popolata fl-"&amp;"Istati Uniti. Jacksonville hija l-belt prinċipali fiż-żona metropolitana ta 'Jacksonville, b'popolazzjoni ta' 1,345,596 fl-2010.")</f>
        <v>Jacksonville hija l-akbar belt skont il-popolazzjoni fl-Istat ta ’Florida tal-Istati Uniti, u l-akbar belt b’żona fl-Istati Uniti kontigwi. Hija s-sede tal-kontea tal-Kontea ta 'Duval, li magħha l-gvern tal-belt ikkonsolida fl-1968. Il-konsolidazzjoni tat lil Jacksonville id-daqs kbir tagħha u poġġiet il-biċċa l-kbira tal-popolazzjoni metropolitana tagħha fil-limiti tal-belt; B'popolazzjoni stmata ta '853,382 fl-2014, hija l-iktar belt popolata xierqa fi Florida u fix-Xlokk, u t-12-il l-iktar popolata fl-Istati Uniti. Jacksonville hija l-belt prinċipali fiż-żona metropolitana ta 'Jacksonville, b'popolazzjoni ta' 1,345,596 fl-2010.</v>
      </c>
    </row>
    <row r="21529" ht="15.75" customHeight="1">
      <c r="A21529" s="2" t="s">
        <v>21529</v>
      </c>
      <c r="B21529" s="2" t="str">
        <f>IFERROR(__xludf.DUMMYFUNCTION("GOOGLETRANSLATE(A21529, ""en"", ""mt"")"),"X'tippreżenta Stiglitz fl-2009 rigward l-inugwaljanza globali?")</f>
        <v>X'tippreżenta Stiglitz fl-2009 rigward l-inugwaljanza globali?</v>
      </c>
    </row>
    <row r="21530" ht="15.75" customHeight="1">
      <c r="A21530" s="2" t="s">
        <v>21530</v>
      </c>
      <c r="B21530" s="2" t="str">
        <f>IFERROR(__xludf.DUMMYFUNCTION("GOOGLETRANSLATE(A21530, ""en"", ""mt"")"),"amiloplasti")</f>
        <v>amiloplasti</v>
      </c>
    </row>
    <row r="21531" ht="15.75" customHeight="1">
      <c r="A21531" s="2" t="s">
        <v>21531</v>
      </c>
      <c r="B21531" s="2" t="str">
        <f>IFERROR(__xludf.DUMMYFUNCTION("GOOGLETRANSLATE(A21531, ""en"", ""mt"")"),"Kemm kilometri kwadri tal-foresta tal-Amażonja ntilfet sal-1991?")</f>
        <v>Kemm kilometri kwadri tal-foresta tal-Amażonja ntilfet sal-1991?</v>
      </c>
    </row>
    <row r="21532" ht="15.75" customHeight="1">
      <c r="A21532" s="2" t="s">
        <v>21532</v>
      </c>
      <c r="B21532" s="2" t="str">
        <f>IFERROR(__xludf.DUMMYFUNCTION("GOOGLETRANSLATE(A21532, ""en"", ""mt"")"),"Asintotiku")</f>
        <v>Asintotiku</v>
      </c>
    </row>
    <row r="21533" ht="15.75" customHeight="1">
      <c r="A21533" s="2" t="s">
        <v>21533</v>
      </c>
      <c r="B21533" s="2" t="str">
        <f>IFERROR(__xludf.DUMMYFUNCTION("GOOGLETRANSLATE(A21533, ""en"", ""mt"")"),"Liema parti ta 'manutenzjoni għolja ma teħtieġx il-mutur AC ta' Tesla?")</f>
        <v>Liema parti ta 'manutenzjoni għolja ma teħtieġx il-mutur AC ta' Tesla?</v>
      </c>
    </row>
    <row r="21534" ht="15.75" customHeight="1">
      <c r="A21534" s="2" t="s">
        <v>21534</v>
      </c>
      <c r="B21534" s="2" t="str">
        <f>IFERROR(__xludf.DUMMYFUNCTION("GOOGLETRANSLATE(A21534, ""en"", ""mt"")"),"X’kienet il-fergħa ta ’Rhine biex tifforma fl-Awstrija?")</f>
        <v>X’kienet il-fergħa ta ’Rhine biex tifforma fl-Awstrija?</v>
      </c>
    </row>
    <row r="21535" ht="15.75" customHeight="1">
      <c r="A21535" s="2" t="s">
        <v>21535</v>
      </c>
      <c r="B21535" s="2" t="str">
        <f>IFERROR(__xludf.DUMMYFUNCTION("GOOGLETRANSLATE(A21535, ""en"", ""mt"")"),"Spazji tal-Blokk II")</f>
        <v>Spazji tal-Blokk II</v>
      </c>
    </row>
    <row r="21536" ht="15.75" customHeight="1">
      <c r="A21536" s="2" t="s">
        <v>21536</v>
      </c>
      <c r="B21536" s="2" t="str">
        <f>IFERROR(__xludf.DUMMYFUNCTION("GOOGLETRANSLATE(A21536, ""en"", ""mt"")"),"tlieta, aktar tard erbgħa")</f>
        <v>tlieta, aktar tard erbgħa</v>
      </c>
    </row>
    <row r="21537" ht="15.75" customHeight="1">
      <c r="A21537" s="2" t="s">
        <v>21537</v>
      </c>
      <c r="B21537" s="2" t="str">
        <f>IFERROR(__xludf.DUMMYFUNCTION("GOOGLETRANSLATE(A21537, ""en"", ""mt"")"),"X'tip ta 'tekniki ntużaw biex tinħoloq it-tema?")</f>
        <v>X'tip ta 'tekniki ntużaw biex tinħoloq it-tema?</v>
      </c>
    </row>
    <row r="21538" ht="15.75" customHeight="1">
      <c r="A21538" s="2" t="s">
        <v>21538</v>
      </c>
      <c r="B21538" s="2" t="str">
        <f>IFERROR(__xludf.DUMMYFUNCTION("GOOGLETRANSLATE(A21538, ""en"", ""mt"")"),"X'inhi r-rata tal-litteriżmu tal-Kenja?")</f>
        <v>X'inhi r-rata tal-litteriżmu tal-Kenja?</v>
      </c>
    </row>
    <row r="21539" ht="15.75" customHeight="1">
      <c r="A21539" s="2" t="s">
        <v>21539</v>
      </c>
      <c r="B21539" s="2" t="str">
        <f>IFERROR(__xludf.DUMMYFUNCTION("GOOGLETRANSLATE(A21539, ""en"", ""mt"")"),"Kemm it-trab tal-windblown iħalli s-Saħara kull sena?")</f>
        <v>Kemm it-trab tal-windblown iħalli s-Saħara kull sena?</v>
      </c>
    </row>
    <row r="21540" ht="15.75" customHeight="1">
      <c r="A21540" s="2" t="s">
        <v>21540</v>
      </c>
      <c r="B21540" s="2" t="str">
        <f>IFERROR(__xludf.DUMMYFUNCTION("GOOGLETRANSLATE(A21540, ""en"", ""mt"")"),"Liema inġinier għamel il-mutur tal-induzzjoni aktar effiċjenti?")</f>
        <v>Liema inġinier għamel il-mutur tal-induzzjoni aktar effiċjenti?</v>
      </c>
    </row>
    <row r="21541" ht="15.75" customHeight="1">
      <c r="A21541" s="2" t="s">
        <v>21541</v>
      </c>
      <c r="B21541" s="2" t="str">
        <f>IFERROR(__xludf.DUMMYFUNCTION("GOOGLETRANSLATE(A21541, ""en"", ""mt"")"),"Inizjalment mibnija bi tliet saffi, aktar tard (1982) evolviet fi protokoll ta 'netwerking konformi ma' seba 'saffi")</f>
        <v>Inizjalment mibnija bi tliet saffi, aktar tard (1982) evolviet fi protokoll ta 'netwerking konformi ma' seba 'saffi</v>
      </c>
    </row>
    <row r="21542" ht="15.75" customHeight="1">
      <c r="A21542" s="2" t="s">
        <v>21542</v>
      </c>
      <c r="B21542" s="2" t="str">
        <f>IFERROR(__xludf.DUMMYFUNCTION("GOOGLETRANSLATE(A21542, ""en"", ""mt"")"),"Liema pjanti joħolqu ħafna enerġija elettrika?")</f>
        <v>Liema pjanti joħolqu ħafna enerġija elettrika?</v>
      </c>
    </row>
    <row r="21543" ht="15.75" customHeight="1">
      <c r="A21543" s="2" t="s">
        <v>21543</v>
      </c>
      <c r="B21543" s="2" t="str">
        <f>IFERROR(__xludf.DUMMYFUNCTION("GOOGLETRANSLATE(A21543, ""en"", ""mt"")"),"Engineering News-Record (ENR) hija rivista kummerċjali għall-industrija tal-kostruzzjoni. Kull sena, ENR tikkompila u tirrapporta dwar dejta dwar id-daqs tal-kumpaniji tad-disinn u tal-kostruzzjoni. Huma jippubblikaw lista tal-ikbar kumpaniji fl-Istati Un"&amp;"iti (top-40) u wkoll lista tal-akbar ditti globali (l-aqwa 250, skont l-ammont ta ’xogħol li qed jagħmlu barra minn pajjiżhom). Fl-2014, ENR ġabret id-dejta f'disa 'segmenti tas-suq. Kien maqsum bħala trasport, pitrolju, bini, enerġija, industrijali, ilma"&amp;", manifattura, drenaġġ / skart, telekomunikazzjoni, skart perikoluż flimkien ma 'għaxar kategorija għal proġetti oħra. Fir-rappurtar tagħhom fuq l-aqwa 400, huma użaw dejta dwar it-trasport, id-drenaġġ, l-iskart perikoluż u l-ilma biex jikklassifikaw ditt"&amp;"i bħala kuntratturi tqal.")</f>
        <v>Engineering News-Record (ENR) hija rivista kummerċjali għall-industrija tal-kostruzzjoni. Kull sena, ENR tikkompila u tirrapporta dwar dejta dwar id-daqs tal-kumpaniji tad-disinn u tal-kostruzzjoni. Huma jippubblikaw lista tal-ikbar kumpaniji fl-Istati Uniti (top-40) u wkoll lista tal-akbar ditti globali (l-aqwa 250, skont l-ammont ta ’xogħol li qed jagħmlu barra minn pajjiżhom). Fl-2014, ENR ġabret id-dejta f'disa 'segmenti tas-suq. Kien maqsum bħala trasport, pitrolju, bini, enerġija, industrijali, ilma, manifattura, drenaġġ / skart, telekomunikazzjoni, skart perikoluż flimkien ma 'għaxar kategorija għal proġetti oħra. Fir-rappurtar tagħhom fuq l-aqwa 400, huma użaw dejta dwar it-trasport, id-drenaġġ, l-iskart perikoluż u l-ilma biex jikklassifikaw ditti bħala kuntratturi tqal.</v>
      </c>
    </row>
    <row r="21544" ht="15.75" customHeight="1">
      <c r="A21544" s="2" t="s">
        <v>21544</v>
      </c>
      <c r="B21544" s="2" t="str">
        <f>IFERROR(__xludf.DUMMYFUNCTION("GOOGLETRANSLATE(A21544, ""en"", ""mt"")"),"Tesla qatt ma żżewweġ; Huwa qal li l-kastità tiegħu kienet ta 'għajnuna kbira għall-abbiltajiet xjentifiċi tiegħu.: 33 Madankollu, lejn it-tmiem ta' ħajtu, huwa qal lil reporter, ""Kultant inħoss li billi ma jiżżewweġx, għamilt sagrifiċċju kbir wisq għax-"&amp;"xogħol tiegħi ..."" Kien hemm bosta kontijiet ta 'nisa li jaqbdu għall-affezzjoni ta' Tesla, anke xi wħud mill-ġenn fl-imħabba miegħu. [Ċitazzjoni meħtieġa] Tesla, għalkemm edukata u mitkellma, ma kellhiex relazzjonijiet magħrufa.")</f>
        <v>Tesla qatt ma żżewweġ; Huwa qal li l-kastità tiegħu kienet ta 'għajnuna kbira għall-abbiltajiet xjentifiċi tiegħu.: 33 Madankollu, lejn it-tmiem ta' ħajtu, huwa qal lil reporter, "Kultant inħoss li billi ma jiżżewweġx, għamilt sagrifiċċju kbir wisq għax-xogħol tiegħi ..." Kien hemm bosta kontijiet ta 'nisa li jaqbdu għall-affezzjoni ta' Tesla, anke xi wħud mill-ġenn fl-imħabba miegħu. [Ċitazzjoni meħtieġa] Tesla, għalkemm edukata u mitkellma, ma kellhiex relazzjonijiet magħrufa.</v>
      </c>
    </row>
    <row r="21545" ht="15.75" customHeight="1">
      <c r="A21545" s="2" t="s">
        <v>21545</v>
      </c>
      <c r="B21545" s="2" t="str">
        <f>IFERROR(__xludf.DUMMYFUNCTION("GOOGLETRANSLATE(A21545, ""en"", ""mt"")"),"Liema kulur huwa phycoerytherin?")</f>
        <v>Liema kulur huwa phycoerytherin?</v>
      </c>
    </row>
    <row r="21546" ht="15.75" customHeight="1">
      <c r="A21546" s="2" t="s">
        <v>21546</v>
      </c>
      <c r="B21546" s="2" t="str">
        <f>IFERROR(__xludf.DUMMYFUNCTION("GOOGLETRANSLATE(A21546, ""en"", ""mt"")"),"Fi ħdan l-istoma tal-kloroplast")</f>
        <v>Fi ħdan l-istoma tal-kloroplast</v>
      </c>
    </row>
    <row r="21547" ht="15.75" customHeight="1">
      <c r="A21547" s="2" t="s">
        <v>21547</v>
      </c>
      <c r="B21547" s="2" t="str">
        <f>IFERROR(__xludf.DUMMYFUNCTION("GOOGLETRANSLATE(A21547, ""en"", ""mt"")"),"Mill-inqas xi ippjanar minn qabel u dfin Kristjan")</f>
        <v>Mill-inqas xi ippjanar minn qabel u dfin Kristjan</v>
      </c>
    </row>
    <row r="21548" ht="15.75" customHeight="1">
      <c r="A21548" s="2" t="s">
        <v>21548</v>
      </c>
      <c r="B21548" s="2" t="str">
        <f>IFERROR(__xludf.DUMMYFUNCTION("GOOGLETRANSLATE(A21548, ""en"", ""mt"")"),"Għaliex il-kont finali jiġi mgħoddi lill-monarka?")</f>
        <v>Għaliex il-kont finali jiġi mgħoddi lill-monarka?</v>
      </c>
    </row>
    <row r="21549" ht="15.75" customHeight="1">
      <c r="A21549" s="2" t="s">
        <v>21549</v>
      </c>
      <c r="B21549" s="2" t="str">
        <f>IFERROR(__xludf.DUMMYFUNCTION("GOOGLETRANSLATE(A21549, ""en"", ""mt"")"),"X'inhi unità ta 'massa użata rarament ħafna fis-sistema metrika?")</f>
        <v>X'inhi unità ta 'massa użata rarament ħafna fis-sistema metrika?</v>
      </c>
    </row>
    <row r="21550" ht="15.75" customHeight="1">
      <c r="A21550" s="2" t="s">
        <v>21550</v>
      </c>
      <c r="B21550" s="2" t="str">
        <f>IFERROR(__xludf.DUMMYFUNCTION("GOOGLETRANSLATE(A21550, ""en"", ""mt"")"),"X'inhi l-kwittanza medja tal-Moselle għar-Renu?")</f>
        <v>X'inhi l-kwittanza medja tal-Moselle għar-Renu?</v>
      </c>
    </row>
    <row r="21551" ht="15.75" customHeight="1">
      <c r="A21551" s="2" t="s">
        <v>21551</v>
      </c>
      <c r="B21551" s="2" t="str">
        <f>IFERROR(__xludf.DUMMYFUNCTION("GOOGLETRANSLATE(A21551, ""en"", ""mt"")"),"Kemm nies jistmaw l-istoriċi li Genghis Khan inqatel fil-plateau Iranjan?")</f>
        <v>Kemm nies jistmaw l-istoriċi li Genghis Khan inqatel fil-plateau Iranjan?</v>
      </c>
    </row>
    <row r="21552" ht="15.75" customHeight="1">
      <c r="A21552" s="2" t="s">
        <v>21552</v>
      </c>
      <c r="B21552" s="2" t="str">
        <f>IFERROR(__xludf.DUMMYFUNCTION("GOOGLETRANSLATE(A21552, ""en"", ""mt"")"),"Teorija moderna tan-numru alġebrin")</f>
        <v>Teorija moderna tan-numru alġebrin</v>
      </c>
    </row>
    <row r="21553" ht="15.75" customHeight="1">
      <c r="A21553" s="2" t="s">
        <v>21553</v>
      </c>
      <c r="B21553" s="2" t="str">
        <f>IFERROR(__xludf.DUMMYFUNCTION("GOOGLETRANSLATE(A21553, ""en"", ""mt"")"),"galleriji ta 'arti kontinentali")</f>
        <v>galleriji ta 'arti kontinentali</v>
      </c>
    </row>
    <row r="21554" ht="15.75" customHeight="1">
      <c r="A21554" s="2" t="s">
        <v>21554</v>
      </c>
      <c r="B21554" s="2" t="str">
        <f>IFERROR(__xludf.DUMMYFUNCTION("GOOGLETRANSLATE(A21554, ""en"", ""mt"")"),"Il-ġenetika u l-influwenza ta 'ommu")</f>
        <v>Il-ġenetika u l-influwenza ta 'ommu</v>
      </c>
    </row>
    <row r="21555" ht="15.75" customHeight="1">
      <c r="A21555" s="2" t="s">
        <v>21555</v>
      </c>
      <c r="B21555" s="2" t="str">
        <f>IFERROR(__xludf.DUMMYFUNCTION("GOOGLETRANSLATE(A21555, ""en"", ""mt"")"),"Is-sistema ta 'modifika ta' restrizzjoni tintuża mill-batterja għall-protezzjoni minn liema patoġeni?")</f>
        <v>Is-sistema ta 'modifika ta' restrizzjoni tintuża mill-batterja għall-protezzjoni minn liema patoġeni?</v>
      </c>
    </row>
    <row r="21556" ht="15.75" customHeight="1">
      <c r="A21556" s="2" t="s">
        <v>21556</v>
      </c>
      <c r="B21556" s="2" t="str">
        <f>IFERROR(__xludf.DUMMYFUNCTION("GOOGLETRANSLATE(A21556, ""en"", ""mt"")"),"Għal min kien miktub ir-rapport mediku?")</f>
        <v>Għal min kien miktub ir-rapport mediku?</v>
      </c>
    </row>
    <row r="21557" ht="15.75" customHeight="1">
      <c r="A21557" s="2" t="s">
        <v>21557</v>
      </c>
      <c r="B21557" s="2" t="str">
        <f>IFERROR(__xludf.DUMMYFUNCTION("GOOGLETRANSLATE(A21557, ""en"", ""mt"")"),"Għalliema li juru entużjażmu jistgħu jwasslu għal studenti li huma aktar probabbli li jkunu impenjati, interessati, enerġetiċi u kurjużi dwar it-tagħlim tas-suġġett. Riċerka riċenti sabet korrelazzjoni bejn l-entużjażmu tal-għalliema u l-motivazzjoni intr"&amp;"insika tal-istudenti biex titgħallem u l-vitalità fil-klassi. Studji sperimentali kkontrollati u li jesploraw il-motivazzjoni intrinsika ta 'studenti tal-kulleġġ urew li espressjonijiet mhux verbali ta' entużjażmu, bħal ġesti dimostrattivi, movimenti dram"&amp;"matiċi li huma varjati, u espressjonijiet tal-wiċċ emozzjonali, jirriżultaw fi studenti tal-kulleġġ li jirrappurtaw livelli ogħla ta 'motivazzjoni intrinsika biex jitgħallmu. Studenti li esperjenzaw għalliem entużjastiku ħafna kienu aktar probabbli li jaq"&amp;"raw materjal ta ’taħdita barra mill-klassi.")</f>
        <v>Għalliema li juru entużjażmu jistgħu jwasslu għal studenti li huma aktar probabbli li jkunu impenjati, interessati, enerġetiċi u kurjużi dwar it-tagħlim tas-suġġett. Riċerka riċenti sabet korrelazzjoni bejn l-entużjażmu tal-għalliema u l-motivazzjoni intrinsika tal-istudenti biex titgħallem u l-vitalità fil-klassi. Studji sperimentali kkontrollati u li jesploraw il-motivazzjoni intrinsika ta 'studenti tal-kulleġġ urew li espressjonijiet mhux verbali ta' entużjażmu, bħal ġesti dimostrattivi, movimenti drammatiċi li huma varjati, u espressjonijiet tal-wiċċ emozzjonali, jirriżultaw fi studenti tal-kulleġġ li jirrappurtaw livelli ogħla ta 'motivazzjoni intrinsika biex jitgħallmu. Studenti li esperjenzaw għalliem entużjastiku ħafna kienu aktar probabbli li jaqraw materjal ta ’taħdita barra mill-klassi.</v>
      </c>
    </row>
    <row r="21558" ht="15.75" customHeight="1">
      <c r="A21558" s="2" t="s">
        <v>21558</v>
      </c>
      <c r="B21558" s="2" t="str">
        <f>IFERROR(__xludf.DUMMYFUNCTION("GOOGLETRANSLATE(A21558, ""en"", ""mt"")"),"Kif jissejħu t-tmien ringieli tal-moxt fuq il-wiċċ ta 'barra?")</f>
        <v>Kif jissejħu t-tmien ringieli tal-moxt fuq il-wiċċ ta 'barra?</v>
      </c>
    </row>
    <row r="21559" ht="15.75" customHeight="1">
      <c r="A21559" s="2" t="s">
        <v>21559</v>
      </c>
      <c r="B21559" s="2" t="str">
        <f>IFERROR(__xludf.DUMMYFUNCTION("GOOGLETRANSLATE(A21559, ""en"", ""mt"")"),"Liema raġuni oħra kkawżat provvista ħażina ta 'Franza ġdida minn xitwa diffiċli?")</f>
        <v>Liema raġuni oħra kkawżat provvista ħażina ta 'Franza ġdida minn xitwa diffiċli?</v>
      </c>
    </row>
    <row r="21560" ht="15.75" customHeight="1">
      <c r="A21560" s="2" t="s">
        <v>21560</v>
      </c>
      <c r="B21560" s="2" t="str">
        <f>IFERROR(__xludf.DUMMYFUNCTION("GOOGLETRANSLATE(A21560, ""en"", ""mt"")"),"Min huma l-amministraturi ewlenin tal-knisja?")</f>
        <v>Min huma l-amministraturi ewlenin tal-knisja?</v>
      </c>
    </row>
    <row r="21561" ht="15.75" customHeight="1">
      <c r="A21561" s="2" t="s">
        <v>21561</v>
      </c>
      <c r="B21561" s="2" t="str">
        <f>IFERROR(__xludf.DUMMYFUNCTION("GOOGLETRANSLATE(A21561, ""en"", ""mt"")"),"WFTS-TV u WWSB")</f>
        <v>WFTS-TV u WWSB</v>
      </c>
    </row>
    <row r="21562" ht="15.75" customHeight="1">
      <c r="A21562" s="2" t="s">
        <v>21562</v>
      </c>
      <c r="B21562" s="2" t="str">
        <f>IFERROR(__xludf.DUMMYFUNCTION("GOOGLETRANSLATE(A21562, ""en"", ""mt"")"),"Kemm hemm speċi ta 'għasafar u mammiferi fir-reġjun tal-Amażonja?")</f>
        <v>Kemm hemm speċi ta 'għasafar u mammiferi fir-reġjun tal-Amażonja?</v>
      </c>
    </row>
    <row r="21563" ht="15.75" customHeight="1">
      <c r="A21563" s="2" t="s">
        <v>21563</v>
      </c>
      <c r="B21563" s="2" t="str">
        <f>IFERROR(__xludf.DUMMYFUNCTION("GOOGLETRANSLATE(A21563, ""en"", ""mt"")"),"Modulu ta 'servizz ċilindriku (SM) appoġġa l-modulu ta' kmand, b'magna ta 'propulsjoni ta' servizz u RCs bi propellanti, u sistema ta 'ġenerazzjoni ta' enerġija taċ-ċellula tal-fjuwil b'idroġenu likwidu u reattanti ta 'ossiġnu likwidu. Antenna ta 'faxxa S"&amp;" ta' qligħ għoli ntużat għal komunikazzjonijiet fuq distanza twila fuq it-titjiriet Lunar. Fuq il-missjonijiet lunari estiżi, inġarr pakkett ta 'strumenti xjentifiċi orbitali. Il-modulu tas-servizz ġie mormi eżatt qabel id-dħul mill-ġdid. Il-modulu kien t"&amp;"wil 24.6 pied (7.5 m) u 12.83 pied (3.91 m) dijametru. Il-verżjoni inizjali tat-titjira Lunar kienet tiżen madwar 51,300 libbra (23,300 kg) kompletament imsawra, filwaqt li verżjoni aktar tard iddisinjata biex iġġorr pakkett ta 'strumenti xjentifiċi ta' o"&amp;"rbita lunari tiżen ftit aktar minn 54,000 lira (24,000 kg).")</f>
        <v>Modulu ta 'servizz ċilindriku (SM) appoġġa l-modulu ta' kmand, b'magna ta 'propulsjoni ta' servizz u RCs bi propellanti, u sistema ta 'ġenerazzjoni ta' enerġija taċ-ċellula tal-fjuwil b'idroġenu likwidu u reattanti ta 'ossiġnu likwidu. Antenna ta 'faxxa S ta' qligħ għoli ntużat għal komunikazzjonijiet fuq distanza twila fuq it-titjiriet Lunar. Fuq il-missjonijiet lunari estiżi, inġarr pakkett ta 'strumenti xjentifiċi orbitali. Il-modulu tas-servizz ġie mormi eżatt qabel id-dħul mill-ġdid. Il-modulu kien twil 24.6 pied (7.5 m) u 12.83 pied (3.91 m) dijametru. Il-verżjoni inizjali tat-titjira Lunar kienet tiżen madwar 51,300 libbra (23,300 kg) kompletament imsawra, filwaqt li verżjoni aktar tard iddisinjata biex iġġorr pakkett ta 'strumenti xjentifiċi ta' orbita lunari tiżen ftit aktar minn 54,000 lira (24,000 kg).</v>
      </c>
    </row>
    <row r="21564" ht="15.75" customHeight="1">
      <c r="A21564" s="2" t="s">
        <v>21564</v>
      </c>
      <c r="B21564" s="2" t="str">
        <f>IFERROR(__xludf.DUMMYFUNCTION("GOOGLETRANSLATE(A21564, ""en"", ""mt"")"),"Minbarra ċ-ċelloli T, liema ċelloli immuni oħra jesprimu CYP27B1?")</f>
        <v>Minbarra ċ-ċelloli T, liema ċelloli immuni oħra jesprimu CYP27B1?</v>
      </c>
    </row>
    <row r="21565" ht="15.75" customHeight="1">
      <c r="A21565" s="2" t="s">
        <v>21565</v>
      </c>
      <c r="B21565" s="2" t="str">
        <f>IFERROR(__xludf.DUMMYFUNCTION("GOOGLETRANSLATE(A21565, ""en"", ""mt"")"),"Bidu f'liema sena kien Harvard fuq il-klassifika tar-reputazzjoni dinjija?")</f>
        <v>Bidu f'liema sena kien Harvard fuq il-klassifika tar-reputazzjoni dinjija?</v>
      </c>
    </row>
    <row r="21566" ht="15.75" customHeight="1">
      <c r="A21566" s="2" t="s">
        <v>21566</v>
      </c>
      <c r="B21566" s="2" t="str">
        <f>IFERROR(__xludf.DUMMYFUNCTION("GOOGLETRANSLATE(A21566, ""en"", ""mt"")"),"Quadruple")</f>
        <v>Quadruple</v>
      </c>
    </row>
    <row r="21567" ht="15.75" customHeight="1">
      <c r="A21567" s="2" t="s">
        <v>21567</v>
      </c>
      <c r="B21567" s="2" t="str">
        <f>IFERROR(__xludf.DUMMYFUNCTION("GOOGLETRANSLATE(A21567, ""en"", ""mt"")"),"Omm Temüjin Hoelun")</f>
        <v>Omm Temüjin Hoelun</v>
      </c>
    </row>
    <row r="21568" ht="15.75" customHeight="1">
      <c r="A21568" s="2" t="s">
        <v>21568</v>
      </c>
      <c r="B21568" s="2" t="str">
        <f>IFERROR(__xludf.DUMMYFUNCTION("GOOGLETRANSLATE(A21568, ""en"", ""mt"")"),"Prinċipju Pauli")</f>
        <v>Prinċipju Pauli</v>
      </c>
    </row>
    <row r="21569" ht="15.75" customHeight="1">
      <c r="A21569" s="2" t="s">
        <v>21569</v>
      </c>
      <c r="B21569" s="2" t="str">
        <f>IFERROR(__xludf.DUMMYFUNCTION("GOOGLETRANSLATE(A21569, ""en"", ""mt"")"),"10 snin")</f>
        <v>10 snin</v>
      </c>
    </row>
    <row r="21570" ht="15.75" customHeight="1">
      <c r="A21570" s="2" t="s">
        <v>21570</v>
      </c>
      <c r="B21570" s="2" t="str">
        <f>IFERROR(__xludf.DUMMYFUNCTION("GOOGLETRANSLATE(A21570, ""en"", ""mt"")"),"Il-Ġermanja u l-Iskandinavja")</f>
        <v>Il-Ġermanja u l-Iskandinavja</v>
      </c>
    </row>
    <row r="21571" ht="15.75" customHeight="1">
      <c r="A21571" s="2" t="s">
        <v>21571</v>
      </c>
      <c r="B21571" s="2" t="str">
        <f>IFERROR(__xludf.DUMMYFUNCTION("GOOGLETRANSLATE(A21571, ""en"", ""mt"")"),"Proġett Apollo")</f>
        <v>Proġett Apollo</v>
      </c>
    </row>
    <row r="21572" ht="15.75" customHeight="1">
      <c r="A21572" s="2" t="s">
        <v>21572</v>
      </c>
      <c r="B21572" s="2" t="str">
        <f>IFERROR(__xludf.DUMMYFUNCTION("GOOGLETRANSLATE(A21572, ""en"", ""mt"")"),"Milutin Tesla")</f>
        <v>Milutin Tesla</v>
      </c>
    </row>
    <row r="21573" ht="15.75" customHeight="1">
      <c r="A21573" s="2" t="s">
        <v>21573</v>
      </c>
      <c r="B21573" s="2" t="str">
        <f>IFERROR(__xludf.DUMMYFUNCTION("GOOGLETRANSLATE(A21573, ""en"", ""mt"")"),"Mill-1530, Att Irjali illimita l-vjeġġi kollha tal-faħam minn Tyneside għal Newcastle Quayside, li ta monopolju fil-kummerċ tal-faħam lil kartell ta 'Newcastle Burgesses magħruf bħala l-hostmen. Dan il-monopolju, li dam għal żmien konsiderevoli, għen lil "&amp;"Newcastle jirnexxi u jiżviluppa f'belt maġġuri. Il-frażi li tieħu l-faħam lejn Newcastle ġiet irreġistrata l-ewwel fil-kuntest fl-1538. Il-frażi nnifisha tfisser insegwiment bla skop. Fis-seklu 18 Amerikan Timothy Dexter, intraprenditur, meqjus b'mod wies"&amp;"a 'bħala eċċentriku, sfida din l-idjoma. Huwa kien persważ biex ibaħħar vjeġġ ta 'faħam lejn Newcastle min-negozjanti li jpinġu biex jeqirduh; Madankollu l-vjeġġ tiegħu wasal fuq it-Tyne waqt strajk li kien iddgħajjef il-produzzjoni lokali; Mhux mistenni "&amp;"huwa għamel profitt konsiderevoli.")</f>
        <v>Mill-1530, Att Irjali illimita l-vjeġġi kollha tal-faħam minn Tyneside għal Newcastle Quayside, li ta monopolju fil-kummerċ tal-faħam lil kartell ta 'Newcastle Burgesses magħruf bħala l-hostmen. Dan il-monopolju, li dam għal żmien konsiderevoli, għen lil Newcastle jirnexxi u jiżviluppa f'belt maġġuri. Il-frażi li tieħu l-faħam lejn Newcastle ġiet irreġistrata l-ewwel fil-kuntest fl-1538. Il-frażi nnifisha tfisser insegwiment bla skop. Fis-seklu 18 Amerikan Timothy Dexter, intraprenditur, meqjus b'mod wiesa 'bħala eċċentriku, sfida din l-idjoma. Huwa kien persważ biex ibaħħar vjeġġ ta 'faħam lejn Newcastle min-negozjanti li jpinġu biex jeqirduh; Madankollu l-vjeġġ tiegħu wasal fuq it-Tyne waqt strajk li kien iddgħajjef il-produzzjoni lokali; Mhux mistenni huwa għamel profitt konsiderevoli.</v>
      </c>
    </row>
    <row r="21574" ht="15.75" customHeight="1">
      <c r="A21574" s="2" t="s">
        <v>21574</v>
      </c>
      <c r="B21574" s="2" t="str">
        <f>IFERROR(__xludf.DUMMYFUNCTION("GOOGLETRANSLATE(A21574, ""en"", ""mt"")"),"biex jibgħatlu l-aqwa skola tal-inġinerija")</f>
        <v>biex jibgħatlu l-aqwa skola tal-inġinerija</v>
      </c>
    </row>
    <row r="21575" ht="15.75" customHeight="1">
      <c r="A21575" s="2" t="s">
        <v>21575</v>
      </c>
      <c r="B21575" s="2" t="str">
        <f>IFERROR(__xludf.DUMMYFUNCTION("GOOGLETRANSLATE(A21575, ""en"", ""mt"")"),"Vettura Roving Lunar")</f>
        <v>Vettura Roving Lunar</v>
      </c>
    </row>
    <row r="21576" ht="15.75" customHeight="1">
      <c r="A21576" s="2" t="s">
        <v>21576</v>
      </c>
      <c r="B21576" s="2" t="str">
        <f>IFERROR(__xludf.DUMMYFUNCTION("GOOGLETRANSLATE(A21576, ""en"", ""mt"")"),"Dijagrammi Feynman")</f>
        <v>Dijagrammi Feynman</v>
      </c>
    </row>
    <row r="21577" ht="15.75" customHeight="1">
      <c r="A21577" s="2" t="s">
        <v>21577</v>
      </c>
      <c r="B21577" s="2" t="str">
        <f>IFERROR(__xludf.DUMMYFUNCTION("GOOGLETRANSLATE(A21577, ""en"", ""mt"")"),"Xandir tas-sema Brittaniku")</f>
        <v>Xandir tas-sema Brittaniku</v>
      </c>
    </row>
    <row r="21578" ht="15.75" customHeight="1">
      <c r="A21578" s="2" t="s">
        <v>21578</v>
      </c>
      <c r="B21578" s="2" t="str">
        <f>IFERROR(__xludf.DUMMYFUNCTION("GOOGLETRANSLATE(A21578, ""en"", ""mt"")"),"Uragan Dora")</f>
        <v>Uragan Dora</v>
      </c>
    </row>
    <row r="21579" ht="15.75" customHeight="1">
      <c r="A21579" s="2" t="s">
        <v>21579</v>
      </c>
      <c r="B21579" s="2" t="str">
        <f>IFERROR(__xludf.DUMMYFUNCTION("GOOGLETRANSLATE(A21579, ""en"", ""mt"")"),"Permezz tal-għaqda tad-definizzjoni ta 'kurrent elettriku bħala r-rata tal-ħin tal-bidla tal-ħlas elettriku, regola tal-multiplikazzjoni tal-vettur imsejħa l-liġi ta' Lorentz tiddeskrivi l-forza fuq ħlas li jiċċaqlaq f'qasam manjetiku. Il-konnessjoni bejn"&amp;" l-elettriku u l-manjetiżmu tippermetti d-deskrizzjoni ta 'forza elettromanjetika unifikata li taġixxi fuq ħlas. Din il-forza tista 'tinkiteb bħala somma tal-forza elettrostatika (minħabba l-kamp elettriku) u l-forza manjetika (minħabba l-kamp manjetiku)."&amp;" Iddikjarat bis-sħiħ, din hija l-liġi:")</f>
        <v>Permezz tal-għaqda tad-definizzjoni ta 'kurrent elettriku bħala r-rata tal-ħin tal-bidla tal-ħlas elettriku, regola tal-multiplikazzjoni tal-vettur imsejħa l-liġi ta' Lorentz tiddeskrivi l-forza fuq ħlas li jiċċaqlaq f'qasam manjetiku. Il-konnessjoni bejn l-elettriku u l-manjetiżmu tippermetti d-deskrizzjoni ta 'forza elettromanjetika unifikata li taġixxi fuq ħlas. Din il-forza tista 'tinkiteb bħala somma tal-forza elettrostatika (minħabba l-kamp elettriku) u l-forza manjetika (minħabba l-kamp manjetiku). Iddikjarat bis-sħiħ, din hija l-liġi:</v>
      </c>
    </row>
    <row r="21580" ht="15.75" customHeight="1">
      <c r="A21580" s="2" t="s">
        <v>21580</v>
      </c>
      <c r="B21580" s="2" t="str">
        <f>IFERROR(__xludf.DUMMYFUNCTION("GOOGLETRANSLATE(A21580, ""en"", ""mt"")"),"X'inhu l-iżgħar numru ta 'Bolivjani huwa stmat live fi Newcastle?")</f>
        <v>X'inhu l-iżgħar numru ta 'Bolivjani huwa stmat live fi Newcastle?</v>
      </c>
    </row>
    <row r="21581" ht="15.75" customHeight="1">
      <c r="A21581" s="2" t="s">
        <v>21581</v>
      </c>
      <c r="B21581" s="2" t="str">
        <f>IFERROR(__xludf.DUMMYFUNCTION("GOOGLETRANSLATE(A21581, ""en"", ""mt"")"),"1905")</f>
        <v>1905</v>
      </c>
    </row>
    <row r="21582" ht="15.75" customHeight="1">
      <c r="A21582" s="2" t="s">
        <v>21582</v>
      </c>
      <c r="B21582" s="2" t="str">
        <f>IFERROR(__xludf.DUMMYFUNCTION("GOOGLETRANSLATE(A21582, ""en"", ""mt"")"),"""Wid [en] l-għażliet tan-nies u l-livell tal-benesseri miksub tagħhom""")</f>
        <v>"Wid [en] l-għażliet tan-nies u l-livell tal-benesseri miksub tagħhom"</v>
      </c>
    </row>
    <row r="21583" ht="15.75" customHeight="1">
      <c r="A21583" s="2" t="s">
        <v>21583</v>
      </c>
      <c r="B21583" s="2" t="str">
        <f>IFERROR(__xludf.DUMMYFUNCTION("GOOGLETRANSLATE(A21583, ""en"", ""mt"")"),"Serje ta 'waqfien mill-enerġija madwar il-pajjiż")</f>
        <v>Serje ta 'waqfien mill-enerġija madwar il-pajjiż</v>
      </c>
    </row>
    <row r="21584" ht="15.75" customHeight="1">
      <c r="A21584" s="2" t="s">
        <v>21584</v>
      </c>
      <c r="B21584" s="2" t="str">
        <f>IFERROR(__xludf.DUMMYFUNCTION("GOOGLETRANSLATE(A21584, ""en"", ""mt"")"),"X'inhuma l-ambjentalisti mħassba dwar li jitilfu fil-foresta tal-Amażonja?")</f>
        <v>X'inhuma l-ambjentalisti mħassba dwar li jitilfu fil-foresta tal-Amażonja?</v>
      </c>
    </row>
    <row r="21585" ht="15.75" customHeight="1">
      <c r="A21585" s="2" t="s">
        <v>21585</v>
      </c>
      <c r="B21585" s="2" t="str">
        <f>IFERROR(__xludf.DUMMYFUNCTION("GOOGLETRANSLATE(A21585, ""en"", ""mt"")"),"Pons Aelius")</f>
        <v>Pons Aelius</v>
      </c>
    </row>
    <row r="21586" ht="15.75" customHeight="1">
      <c r="A21586" s="2" t="s">
        <v>21586</v>
      </c>
      <c r="B21586" s="2" t="str">
        <f>IFERROR(__xludf.DUMMYFUNCTION("GOOGLETRANSLATE(A21586, ""en"", ""mt"")"),"Fil-qiegħ tal-arblu")</f>
        <v>Fil-qiegħ tal-arblu</v>
      </c>
    </row>
    <row r="21587" ht="15.75" customHeight="1">
      <c r="A21587" s="2" t="s">
        <v>21587</v>
      </c>
      <c r="B21587" s="2" t="str">
        <f>IFERROR(__xludf.DUMMYFUNCTION("GOOGLETRANSLATE(A21587, ""en"", ""mt"")"),"Il-bini huwa lest biex jokkupa.")</f>
        <v>Il-bini huwa lest biex jokkupa.</v>
      </c>
    </row>
    <row r="21588" ht="15.75" customHeight="1">
      <c r="A21588" s="2" t="s">
        <v>21588</v>
      </c>
      <c r="B21588" s="2" t="str">
        <f>IFERROR(__xludf.DUMMYFUNCTION("GOOGLETRANSLATE(A21588, ""en"", ""mt"")"),"Qabel ir-ritorn tal-kollezzjonijiet ta 'wara l-gwerra, il-Gran Brittanja tista' tagħmel wirja bejn Settembru u Novembru 1946, tattira kważi miljun viżitaturi u nofs. Dan ġie organizzat mill-Kunsill tad-Disinn Industrijali stabbilit mill-Gvern Ingliż fl-19"&amp;"44 ""biex jippromwovi l-mezzi kollha prattikabbli t-titjib tad-disinn fil-prodotti tal-industrija Ingliża"". Is-suċċess ta ’din il-wirja wassal għall-ippjanar tal-Festival tal-Gran Brittanja (1951). Sal-1948 il-biċċa l-kbira tal-kollezzjonijiet ġew mibgħu"&amp;"ta lura lill-mużew.")</f>
        <v>Qabel ir-ritorn tal-kollezzjonijiet ta 'wara l-gwerra, il-Gran Brittanja tista' tagħmel wirja bejn Settembru u Novembru 1946, tattira kważi miljun viżitaturi u nofs. Dan ġie organizzat mill-Kunsill tad-Disinn Industrijali stabbilit mill-Gvern Ingliż fl-1944 "biex jippromwovi l-mezzi kollha prattikabbli t-titjib tad-disinn fil-prodotti tal-industrija Ingliża". Is-suċċess ta ’din il-wirja wassal għall-ippjanar tal-Festival tal-Gran Brittanja (1951). Sal-1948 il-biċċa l-kbira tal-kollezzjonijiet ġew mibgħuta lura lill-mużew.</v>
      </c>
    </row>
    <row r="21589" ht="15.75" customHeight="1">
      <c r="A21589" s="2" t="s">
        <v>21589</v>
      </c>
      <c r="B21589" s="2" t="str">
        <f>IFERROR(__xludf.DUMMYFUNCTION("GOOGLETRANSLATE(A21589, ""en"", ""mt"")"),"Għal min ħadmu l-istudjużi ġeografiċi?")</f>
        <v>Għal min ħadmu l-istudjużi ġeografiċi?</v>
      </c>
    </row>
    <row r="21590" ht="15.75" customHeight="1">
      <c r="A21590" s="2" t="s">
        <v>21590</v>
      </c>
      <c r="B21590" s="2" t="str">
        <f>IFERROR(__xludf.DUMMYFUNCTION("GOOGLETRANSLATE(A21590, ""en"", ""mt"")"),"darbtejn iċ-ċifra għall-professjoni medja")</f>
        <v>darbtejn iċ-ċifra għall-professjoni medja</v>
      </c>
    </row>
    <row r="21591" ht="15.75" customHeight="1">
      <c r="A21591" s="2" t="s">
        <v>21591</v>
      </c>
      <c r="B21591" s="2" t="str">
        <f>IFERROR(__xludf.DUMMYFUNCTION("GOOGLETRANSLATE(A21591, ""en"", ""mt"")"),"Tagħlim formali")</f>
        <v>Tagħlim formali</v>
      </c>
    </row>
    <row r="21592" ht="15.75" customHeight="1">
      <c r="A21592" s="2" t="s">
        <v>21592</v>
      </c>
      <c r="B21592" s="2" t="str">
        <f>IFERROR(__xludf.DUMMYFUNCTION("GOOGLETRANSLATE(A21592, ""en"", ""mt"")"),"ermafroditiżmu u riproduzzjoni bikrija")</f>
        <v>ermafroditiżmu u riproduzzjoni bikrija</v>
      </c>
    </row>
    <row r="21593" ht="15.75" customHeight="1">
      <c r="A21593" s="2" t="s">
        <v>21593</v>
      </c>
      <c r="B21593" s="2" t="str">
        <f>IFERROR(__xludf.DUMMYFUNCTION("GOOGLETRANSLATE(A21593, ""en"", ""mt"")"),"Boudins")</f>
        <v>Boudins</v>
      </c>
    </row>
    <row r="21594" ht="15.75" customHeight="1">
      <c r="A21594" s="2" t="s">
        <v>21594</v>
      </c>
      <c r="B21594" s="2" t="str">
        <f>IFERROR(__xludf.DUMMYFUNCTION("GOOGLETRANSLATE(A21594, ""en"", ""mt"")"),"Kemm Walt Disney riedet li ABC tinvesti f'Disneyland?")</f>
        <v>Kemm Walt Disney riedet li ABC tinvesti f'Disneyland?</v>
      </c>
    </row>
    <row r="21595" ht="15.75" customHeight="1">
      <c r="A21595" s="2" t="s">
        <v>21595</v>
      </c>
      <c r="B21595" s="2" t="str">
        <f>IFERROR(__xludf.DUMMYFUNCTION("GOOGLETRANSLATE(A21595, ""en"", ""mt"")"),"Kemm Kenja kif ukoll Kegnia")</f>
        <v>Kemm Kenja kif ukoll Kegnia</v>
      </c>
    </row>
    <row r="21596" ht="15.75" customHeight="1">
      <c r="A21596" s="2" t="s">
        <v>21596</v>
      </c>
      <c r="B21596" s="2" t="str">
        <f>IFERROR(__xludf.DUMMYFUNCTION("GOOGLETRANSLATE(A21596, ""en"", ""mt"")"),"X'kienet Maria Curie l-ewwel mara li tirċievi?")</f>
        <v>X'kienet Maria Curie l-ewwel mara li tirċievi?</v>
      </c>
    </row>
    <row r="21597" ht="15.75" customHeight="1">
      <c r="A21597" s="2" t="s">
        <v>21597</v>
      </c>
      <c r="B21597" s="2" t="str">
        <f>IFERROR(__xludf.DUMMYFUNCTION("GOOGLETRANSLATE(A21597, ""en"", ""mt"")"),"Il-Kenja hija rappreżentant presidenzjali Repubblika Demokratika. Il-president huwa kemm il-kap tal-istat kif ukoll il-kap tal-gvern, kif ukoll ta 'sistema b'ħafna partijiet. Il-poter eżekuttiv huwa eżerċitat mill-gvern. Il-poter leġiżlattiv huwa vestit k"&amp;"emm fil-gvern kif ukoll fl-Assemblea Nazzjonali kif ukoll fis-Senat. Il-ġudikatura hija indipendenti mill-eżekuttiv u l-leġiżlatura. Kien hemm tħassib dejjem jikber speċjalment matul il-mandat ta 'l-eks President Daniel Arap Moi li l-eżekuttiv kien dejjem"&amp;" aktar imdawwal mal-affarijiet tal-ġudikatura. [Ċitazzjoni meħtieġa]")</f>
        <v>Il-Kenja hija rappreżentant presidenzjali Repubblika Demokratika. Il-president huwa kemm il-kap tal-istat kif ukoll il-kap tal-gvern, kif ukoll ta 'sistema b'ħafna partijiet. Il-poter eżekuttiv huwa eżerċitat mill-gvern. Il-poter leġiżlattiv huwa vestit kemm fil-gvern kif ukoll fl-Assemblea Nazzjonali kif ukoll fis-Senat. Il-ġudikatura hija indipendenti mill-eżekuttiv u l-leġiżlatura. Kien hemm tħassib dejjem jikber speċjalment matul il-mandat ta 'l-eks President Daniel Arap Moi li l-eżekuttiv kien dejjem aktar imdawwal mal-affarijiet tal-ġudikatura. [Ċitazzjoni meħtieġa]</v>
      </c>
    </row>
    <row r="21598" ht="15.75" customHeight="1">
      <c r="A21598" s="2" t="s">
        <v>21598</v>
      </c>
      <c r="B21598" s="2" t="str">
        <f>IFERROR(__xludf.DUMMYFUNCTION("GOOGLETRANSLATE(A21598, ""en"", ""mt"")"),"X'inhu moħli mid-difett ta 'Rubisco?")</f>
        <v>X'inhu moħli mid-difett ta 'Rubisco?</v>
      </c>
    </row>
    <row r="21599" ht="15.75" customHeight="1">
      <c r="A21599" s="2" t="s">
        <v>21599</v>
      </c>
      <c r="B21599" s="2" t="str">
        <f>IFERROR(__xludf.DUMMYFUNCTION("GOOGLETRANSLATE(A21599, ""en"", ""mt"")"),"X'impatt għandhom il-produttività ogħla tal-ħaddiem u l-paga livellata fuq dawk li jaqilgħu ogħla?")</f>
        <v>X'impatt għandhom il-produttività ogħla tal-ħaddiem u l-paga livellata fuq dawk li jaqilgħu ogħla?</v>
      </c>
    </row>
    <row r="21600" ht="15.75" customHeight="1">
      <c r="A21600" s="2" t="s">
        <v>21600</v>
      </c>
      <c r="B21600" s="2" t="str">
        <f>IFERROR(__xludf.DUMMYFUNCTION("GOOGLETRANSLATE(A21600, ""en"", ""mt"")"),"X'inhu eżempju ta 'enzima li tista' tittrasforma ċ-ċelloli tal-ġilda f'tumuri meta espressa f'livelli għoljin?")</f>
        <v>X'inhu eżempju ta 'enzima li tista' tittrasforma ċ-ċelloli tal-ġilda f'tumuri meta espressa f'livelli għoljin?</v>
      </c>
    </row>
    <row r="21601" ht="15.75" customHeight="1">
      <c r="A21601" s="2" t="s">
        <v>21601</v>
      </c>
      <c r="B21601" s="2" t="str">
        <f>IFERROR(__xludf.DUMMYFUNCTION("GOOGLETRANSLATE(A21601, ""en"", ""mt"")"),"Kosher biċċier")</f>
        <v>Kosher biċċier</v>
      </c>
    </row>
    <row r="21602" ht="15.75" customHeight="1">
      <c r="A21602" s="2" t="s">
        <v>21602</v>
      </c>
      <c r="B21602" s="2" t="str">
        <f>IFERROR(__xludf.DUMMYFUNCTION("GOOGLETRANSLATE(A21602, ""en"", ""mt"")"),"Għaliex wieħed jista 'jinvoka ħati ta' reat li jinvolvi diżubbidjenza ċivili?")</f>
        <v>Għaliex wieħed jista 'jinvoka ħati ta' reat li jinvolvi diżubbidjenza ċivili?</v>
      </c>
    </row>
    <row r="21603" ht="15.75" customHeight="1">
      <c r="A21603" s="2" t="s">
        <v>21603</v>
      </c>
      <c r="B21603" s="2" t="str">
        <f>IFERROR(__xludf.DUMMYFUNCTION("GOOGLETRANSLATE(A21603, ""en"", ""mt"")"),"USGS")</f>
        <v>USGS</v>
      </c>
    </row>
    <row r="21604" ht="15.75" customHeight="1">
      <c r="A21604" s="2" t="s">
        <v>21604</v>
      </c>
      <c r="B21604" s="2" t="str">
        <f>IFERROR(__xludf.DUMMYFUNCTION("GOOGLETRANSLATE(A21604, ""en"", ""mt"")"),"fagoċiti")</f>
        <v>fagoċiti</v>
      </c>
    </row>
    <row r="21605" ht="15.75" customHeight="1">
      <c r="A21605" s="2" t="s">
        <v>21605</v>
      </c>
      <c r="B21605" s="2" t="str">
        <f>IFERROR(__xludf.DUMMYFUNCTION("GOOGLETRANSLATE(A21605, ""en"", ""mt"")"),"Meta rritorna Edward?")</f>
        <v>Meta rritorna Edward?</v>
      </c>
    </row>
    <row r="21606" ht="15.75" customHeight="1">
      <c r="A21606" s="2" t="s">
        <v>21606</v>
      </c>
      <c r="B21606" s="2" t="str">
        <f>IFERROR(__xludf.DUMMYFUNCTION("GOOGLETRANSLATE(A21606, ""en"", ""mt"")"),"Wara linji gwida stabbiliti fl-istrateġija nazzjonali taċ-ċikliżmu, Newcastle żviluppa l-ewwel strateġija taċ-ċikliżmu tagħha fl-1998. Mill-2012, l-għanijiet soċjali u l-għanijiet soċjali għall-kunsill lokali għaċ-ċikliżmu jinkludu: l-enfasi fuq l-użu taċ"&amp;"-ċikliżmu biex tnaqqas il-konġestjoni tal-belt; L-edukazzjoni li ċ-ċikliżmu jippromwovi ħajja b'saħħitha ... L-awtorità għandha wkoll għanijiet u għanijiet infrastrutturali li jinkludu: l-iżvilupp fuq netwerks taċ-ċiklu tat-toroq fi toroq aktar kwieti; ta"&amp;"għmel rotot aktar sikuri fi toroq aktar bieżel; jinnovaw u jimplimentaw il-kontraflows fi triq waħda; l-iżvilupp tan-netwerks eżistenti tar-rotta taċ-ċiklu tat-triq u jtejjeb is-sinjali; tgħaqqad rotot li huma parzjalment jew kompletament iżolati; Iżżid i"&amp;"n-numru ta 'faċilitajiet ta' parkeġġ taċ-ċiklu; taħdem ma 'min iħaddem biex tintegra ċ-ċikliżmu fil-pjanijiet tal-ivvjaġġar fuq il-post tax-xogħol; Rabta n-netwerks lokali ma 'netwerks nazzjonali.")</f>
        <v>Wara linji gwida stabbiliti fl-istrateġija nazzjonali taċ-ċikliżmu, Newcastle żviluppa l-ewwel strateġija taċ-ċikliżmu tagħha fl-1998. Mill-2012, l-għanijiet soċjali u l-għanijiet soċjali għall-kunsill lokali għaċ-ċikliżmu jinkludu: l-enfasi fuq l-użu taċ-ċikliżmu biex tnaqqas il-konġestjoni tal-belt; L-edukazzjoni li ċ-ċikliżmu jippromwovi ħajja b'saħħitha ... L-awtorità għandha wkoll għanijiet u għanijiet infrastrutturali li jinkludu: l-iżvilupp fuq netwerks taċ-ċiklu tat-toroq fi toroq aktar kwieti; tagħmel rotot aktar sikuri fi toroq aktar bieżel; jinnovaw u jimplimentaw il-kontraflows fi triq waħda; l-iżvilupp tan-netwerks eżistenti tar-rotta taċ-ċiklu tat-triq u jtejjeb is-sinjali; tgħaqqad rotot li huma parzjalment jew kompletament iżolati; Iżżid in-numru ta 'faċilitajiet ta' parkeġġ taċ-ċiklu; taħdem ma 'min iħaddem biex tintegra ċ-ċikliżmu fil-pjanijiet tal-ivvjaġġar fuq il-post tax-xogħol; Rabta n-netwerks lokali ma 'netwerks nazzjonali.</v>
      </c>
    </row>
    <row r="21607" ht="15.75" customHeight="1">
      <c r="A21607" s="2" t="s">
        <v>21607</v>
      </c>
      <c r="B21607" s="2" t="str">
        <f>IFERROR(__xludf.DUMMYFUNCTION("GOOGLETRANSLATE(A21607, ""en"", ""mt"")"),"Liema stil ta 'senser jixtieq juża x-xjentist biex ikejjel ir-radjazzjoni globali?")</f>
        <v>Liema stil ta 'senser jixtieq juża x-xjentist biex ikejjel ir-radjazzjoni globali?</v>
      </c>
    </row>
    <row r="21608" ht="15.75" customHeight="1">
      <c r="A21608" s="2" t="s">
        <v>21608</v>
      </c>
      <c r="B21608" s="2" t="str">
        <f>IFERROR(__xludf.DUMMYFUNCTION("GOOGLETRANSLATE(A21608, ""en"", ""mt"")"),"Biljun sena ilu")</f>
        <v>Biljun sena ilu</v>
      </c>
    </row>
    <row r="21609" ht="15.75" customHeight="1">
      <c r="A21609" s="2" t="s">
        <v>21609</v>
      </c>
      <c r="B21609" s="2" t="str">
        <f>IFERROR(__xludf.DUMMYFUNCTION("GOOGLETRANSLATE(A21609, ""en"", ""mt"")"),"Dak li ġie ssuġġerit fis-simpożju fl-1967")</f>
        <v>Dak li ġie ssuġġerit fis-simpożju fl-1967</v>
      </c>
    </row>
    <row r="21610" ht="15.75" customHeight="1">
      <c r="A21610" s="2" t="s">
        <v>21610</v>
      </c>
      <c r="B21610" s="2" t="str">
        <f>IFERROR(__xludf.DUMMYFUNCTION("GOOGLETRANSLATE(A21610, ""en"", ""mt"")"),"Hemm xi komunitajiet oħra ta 'l-avjazzjoni bħal Sierra Sky Park fl-Istati Uniti?")</f>
        <v>Hemm xi komunitajiet oħra ta 'l-avjazzjoni bħal Sierra Sky Park fl-Istati Uniti?</v>
      </c>
    </row>
    <row r="21611" ht="15.75" customHeight="1">
      <c r="A21611" s="2" t="s">
        <v>21611</v>
      </c>
      <c r="B21611" s="2" t="str">
        <f>IFERROR(__xludf.DUMMYFUNCTION("GOOGLETRANSLATE(A21611, ""en"", ""mt"")"),"Erba 'stejjer")</f>
        <v>Erba 'stejjer</v>
      </c>
    </row>
    <row r="21612" ht="15.75" customHeight="1">
      <c r="A21612" s="2" t="s">
        <v>21612</v>
      </c>
      <c r="B21612" s="2" t="str">
        <f>IFERROR(__xludf.DUMMYFUNCTION("GOOGLETRANSLATE(A21612, ""en"", ""mt"")"),"Mejju 1754")</f>
        <v>Mejju 1754</v>
      </c>
    </row>
    <row r="21613" ht="15.75" customHeight="1">
      <c r="A21613" s="2" t="s">
        <v>21613</v>
      </c>
      <c r="B21613" s="2" t="str">
        <f>IFERROR(__xludf.DUMMYFUNCTION("GOOGLETRANSLATE(A21613, ""en"", ""mt"")"),"Saħħa Mentali (Kura u Trattament) (l-Iskozja) Att 2003")</f>
        <v>Saħħa Mentali (Kura u Trattament) (l-Iskozja) Att 2003</v>
      </c>
    </row>
    <row r="21614" ht="15.75" customHeight="1">
      <c r="A21614" s="2" t="s">
        <v>21614</v>
      </c>
      <c r="B21614" s="2" t="str">
        <f>IFERROR(__xludf.DUMMYFUNCTION("GOOGLETRANSLATE(A21614, ""en"", ""mt"")"),"Madwar kemm ismijiet ġew iffirmati fuq petizzjoni online fuq il-websajt Parlamentari b'reazzjoni għall-għeluq tal-gallerija tal-istrumenti mużikali?")</f>
        <v>Madwar kemm ismijiet ġew iffirmati fuq petizzjoni online fuq il-websajt Parlamentari b'reazzjoni għall-għeluq tal-gallerija tal-istrumenti mużikali?</v>
      </c>
    </row>
    <row r="21615" ht="15.75" customHeight="1">
      <c r="A21615" s="2" t="s">
        <v>21615</v>
      </c>
      <c r="B21615" s="2" t="str">
        <f>IFERROR(__xludf.DUMMYFUNCTION("GOOGLETRANSLATE(A21615, ""en"", ""mt"")"),"Il-Knisja Metodista Magħquda topponi l-iskrizzjoni bħala inkompatibbli mat-tagħlim tal-Iskrittura. Għalhekk, il-knisja tappoġġja u testendi l-ministeru tagħha għal dawk il-persuni li kuxjenzjalment jopponu l-gwerra kollha, jew kwalunkwe gwerra partikolari"&amp;", u li għalhekk jirrifjutaw li jservu fil-forzi armati jew li jikkooperaw ma 'sistemi ta' konskrizzjoni militari. Madankollu, il-Knisja Metodista Magħquda tappoġġja wkoll u testendi l-ministeru tagħha għal dawk il-persuni li jagħżlu kuxjenzjuż li jservu f"&amp;"il-forzi armati jew li jaċċettaw servizz alternattiv. Il-knisja tiddikjara wkoll li ""bħala Kristjani huma konxji li la t-triq ta 'azzjoni militari, u lanqas il-mod ta' nuqqas ta 'azzjoni ma huma ġusti quddiem Alla.""")</f>
        <v>Il-Knisja Metodista Magħquda topponi l-iskrizzjoni bħala inkompatibbli mat-tagħlim tal-Iskrittura. Għalhekk, il-knisja tappoġġja u testendi l-ministeru tagħha għal dawk il-persuni li kuxjenzjalment jopponu l-gwerra kollha, jew kwalunkwe gwerra partikolari, u li għalhekk jirrifjutaw li jservu fil-forzi armati jew li jikkooperaw ma 'sistemi ta' konskrizzjoni militari. Madankollu, il-Knisja Metodista Magħquda tappoġġja wkoll u testendi l-ministeru tagħha għal dawk il-persuni li jagħżlu kuxjenzjuż li jservu fil-forzi armati jew li jaċċettaw servizz alternattiv. Il-knisja tiddikjara wkoll li "bħala Kristjani huma konxji li la t-triq ta 'azzjoni militari, u lanqas il-mod ta' nuqqas ta 'azzjoni ma huma ġusti quddiem Alla."</v>
      </c>
    </row>
    <row r="21616" ht="15.75" customHeight="1">
      <c r="A21616" s="2" t="s">
        <v>21616</v>
      </c>
      <c r="B21616" s="2" t="str">
        <f>IFERROR(__xludf.DUMMYFUNCTION("GOOGLETRANSLATE(A21616, ""en"", ""mt"")"),"Infrastruttura ta 'transitu msaħħa, shuttles possibbli miftuħa għall-pubbliku, u l-ispazju tal-park")</f>
        <v>Infrastruttura ta 'transitu msaħħa, shuttles possibbli miftuħa għall-pubbliku, u l-ispazju tal-park</v>
      </c>
    </row>
    <row r="21617" ht="15.75" customHeight="1">
      <c r="A21617" s="2" t="s">
        <v>21617</v>
      </c>
      <c r="B21617" s="2" t="str">
        <f>IFERROR(__xludf.DUMMYFUNCTION("GOOGLETRANSLATE(A21617, ""en"", ""mt"")"),"Ħaddem pompi tal-protoni u wettaq il-fosforilazzjoni ossidattiva")</f>
        <v>Ħaddem pompi tal-protoni u wettaq il-fosforilazzjoni ossidattiva</v>
      </c>
    </row>
    <row r="21618" ht="15.75" customHeight="1">
      <c r="A21618" s="2" t="s">
        <v>21618</v>
      </c>
      <c r="B21618" s="2" t="str">
        <f>IFERROR(__xludf.DUMMYFUNCTION("GOOGLETRANSLATE(A21618, ""en"", ""mt"")"),"Arti u artiġjanat")</f>
        <v>Arti u artiġjanat</v>
      </c>
    </row>
    <row r="21619" ht="15.75" customHeight="1">
      <c r="A21619" s="2" t="s">
        <v>21619</v>
      </c>
      <c r="B21619" s="2" t="str">
        <f>IFERROR(__xludf.DUMMYFUNCTION("GOOGLETRANSLATE(A21619, ""en"", ""mt"")"),"Koalizzjoni reliġjuża għall-għażla riproduttiva")</f>
        <v>Koalizzjoni reliġjuża għall-għażla riproduttiva</v>
      </c>
    </row>
    <row r="21620" ht="15.75" customHeight="1">
      <c r="A21620" s="2" t="s">
        <v>21620</v>
      </c>
      <c r="B21620" s="2" t="str">
        <f>IFERROR(__xludf.DUMMYFUNCTION("GOOGLETRANSLATE(A21620, ""en"", ""mt"")"),"sekwenzjali")</f>
        <v>sekwenzjali</v>
      </c>
    </row>
    <row r="21621" ht="15.75" customHeight="1">
      <c r="A21621" s="2" t="s">
        <v>21621</v>
      </c>
      <c r="B21621" s="2" t="str">
        <f>IFERROR(__xludf.DUMMYFUNCTION("GOOGLETRANSLATE(A21621, ""en"", ""mt"")"),"Sal-ftuħ tal-Konferenza Ġenerali tal-2008, x'kienet is-sħubija totali tal-UMC?")</f>
        <v>Sal-ftuħ tal-Konferenza Ġenerali tal-2008, x'kienet is-sħubija totali tal-UMC?</v>
      </c>
    </row>
    <row r="21622" ht="15.75" customHeight="1">
      <c r="A21622" s="2" t="s">
        <v>21622</v>
      </c>
      <c r="B21622" s="2" t="str">
        <f>IFERROR(__xludf.DUMMYFUNCTION("GOOGLETRANSLATE(A21622, ""en"", ""mt"")"),"Meta ż-żejt fl-aħħar irritorna għal-livelli ta 'Bretton Woods tiegħu?")</f>
        <v>Meta ż-żejt fl-aħħar irritorna għal-livelli ta 'Bretton Woods tiegħu?</v>
      </c>
    </row>
    <row r="21623" ht="15.75" customHeight="1">
      <c r="A21623" s="2" t="s">
        <v>21623</v>
      </c>
      <c r="B21623" s="2" t="str">
        <f>IFERROR(__xludf.DUMMYFUNCTION("GOOGLETRANSLATE(A21623, ""en"", ""mt"")"),"Il-votanti suppost kellhom jallinjaw wara l-kandidati favoriti tagħhom")</f>
        <v>Il-votanti suppost kellhom jallinjaw wara l-kandidati favoriti tagħhom</v>
      </c>
    </row>
    <row r="21624" ht="15.75" customHeight="1">
      <c r="A21624" s="2" t="s">
        <v>21624</v>
      </c>
      <c r="B21624" s="2" t="str">
        <f>IFERROR(__xludf.DUMMYFUNCTION("GOOGLETRANSLATE(A21624, ""en"", ""mt"")"),"Riżoluzzjoni 5K")</f>
        <v>Riżoluzzjoni 5K</v>
      </c>
    </row>
    <row r="21625" ht="15.75" customHeight="1">
      <c r="A21625" s="2" t="s">
        <v>21625</v>
      </c>
      <c r="B21625" s="2" t="str">
        <f>IFERROR(__xludf.DUMMYFUNCTION("GOOGLETRANSLATE(A21625, ""en"", ""mt"")"),"Liema parti tifforma l-Parlament Skoċċiż?")</f>
        <v>Liema parti tifforma l-Parlament Skoċċiż?</v>
      </c>
    </row>
    <row r="21626" ht="15.75" customHeight="1">
      <c r="A21626" s="2" t="s">
        <v>21626</v>
      </c>
      <c r="B21626" s="2" t="str">
        <f>IFERROR(__xludf.DUMMYFUNCTION("GOOGLETRANSLATE(A21626, ""en"", ""mt"")"),"1960")</f>
        <v>1960</v>
      </c>
    </row>
    <row r="21627" ht="15.75" customHeight="1">
      <c r="A21627" s="2" t="s">
        <v>21627</v>
      </c>
      <c r="B21627" s="2" t="str">
        <f>IFERROR(__xludf.DUMMYFUNCTION("GOOGLETRANSLATE(A21627, ""en"", ""mt"")"),"is-siġġijiet tal-grupp ta 'ħidma")</f>
        <v>is-siġġijiet tal-grupp ta 'ħidma</v>
      </c>
    </row>
    <row r="21628" ht="15.75" customHeight="1">
      <c r="A21628" s="2" t="s">
        <v>21628</v>
      </c>
      <c r="B21628" s="2" t="str">
        <f>IFERROR(__xludf.DUMMYFUNCTION("GOOGLETRANSLATE(A21628, ""en"", ""mt"")"),"Dikjarazzjoni lill-Awla li tistabbilixxi l-programm leġiżlattiv tal-gvern għas-sena li ġejja")</f>
        <v>Dikjarazzjoni lill-Awla li tistabbilixxi l-programm leġiżlattiv tal-gvern għas-sena li ġejja</v>
      </c>
    </row>
    <row r="21629" ht="15.75" customHeight="1">
      <c r="A21629" s="2" t="s">
        <v>21629</v>
      </c>
      <c r="B21629" s="2" t="str">
        <f>IFERROR(__xludf.DUMMYFUNCTION("GOOGLETRANSLATE(A21629, ""en"", ""mt"")"),"Min jiġbor il-kontribuzzjonijiet tal-awturi?")</f>
        <v>Min jiġbor il-kontribuzzjonijiet tal-awturi?</v>
      </c>
    </row>
    <row r="21630" ht="15.75" customHeight="1">
      <c r="A21630" s="2" t="s">
        <v>21630</v>
      </c>
      <c r="B21630" s="2" t="str">
        <f>IFERROR(__xludf.DUMMYFUNCTION("GOOGLETRANSLATE(A21630, ""en"", ""mt"")"),"X'inhi l-popolazzjoni tar-reġjun ta 'ġewwa tal-Mongolja taċ-Ċina?")</f>
        <v>X'inhi l-popolazzjoni tar-reġjun ta 'ġewwa tal-Mongolja taċ-Ċina?</v>
      </c>
    </row>
    <row r="21631" ht="15.75" customHeight="1">
      <c r="A21631" s="2" t="s">
        <v>21631</v>
      </c>
      <c r="B21631" s="2" t="str">
        <f>IFERROR(__xludf.DUMMYFUNCTION("GOOGLETRANSLATE(A21631, ""en"", ""mt"")"),"Residenti Franċiżi li għażlu li jibqgħu fil-kolonja jingħataw il-libertà")</f>
        <v>Residenti Franċiżi li għażlu li jibqgħu fil-kolonja jingħataw il-libertà</v>
      </c>
    </row>
    <row r="21632" ht="15.75" customHeight="1">
      <c r="A21632" s="2" t="s">
        <v>21632</v>
      </c>
      <c r="B21632" s="2" t="str">
        <f>IFERROR(__xludf.DUMMYFUNCTION("GOOGLETRANSLATE(A21632, ""en"", ""mt"")"),"X'inhu pajjiż wieħed li ġie ssuġġerit għall-importazzjoni ta 'mediċini?")</f>
        <v>X'inhu pajjiż wieħed li ġie ssuġġerit għall-importazzjoni ta 'mediċini?</v>
      </c>
    </row>
    <row r="21633" ht="15.75" customHeight="1">
      <c r="A21633" s="2" t="s">
        <v>21633</v>
      </c>
      <c r="B21633" s="2" t="str">
        <f>IFERROR(__xludf.DUMMYFUNCTION("GOOGLETRANSLATE(A21633, ""en"", ""mt"")"),"Kemm touchdowns Jonathan Stewart kellu fi 13-il logħba?")</f>
        <v>Kemm touchdowns Jonathan Stewart kellu fi 13-il logħba?</v>
      </c>
    </row>
    <row r="21634" ht="15.75" customHeight="1">
      <c r="A21634" s="2" t="s">
        <v>21634</v>
      </c>
      <c r="B21634" s="2" t="str">
        <f>IFERROR(__xludf.DUMMYFUNCTION("GOOGLETRANSLATE(A21634, ""en"", ""mt"")"),"Edgar")</f>
        <v>Edgar</v>
      </c>
    </row>
    <row r="21635" ht="15.75" customHeight="1">
      <c r="A21635" s="2" t="s">
        <v>21635</v>
      </c>
      <c r="B21635" s="2" t="str">
        <f>IFERROR(__xludf.DUMMYFUNCTION("GOOGLETRANSLATE(A21635, ""en"", ""mt"")"),"Hemm interess dejjem jikber f'liema grupp indiġenu fl-Amażonja?")</f>
        <v>Hemm interess dejjem jikber f'liema grupp indiġenu fl-Amażonja?</v>
      </c>
    </row>
    <row r="21636" ht="15.75" customHeight="1">
      <c r="A21636" s="2" t="s">
        <v>21636</v>
      </c>
      <c r="B21636" s="2" t="str">
        <f>IFERROR(__xludf.DUMMYFUNCTION("GOOGLETRANSLATE(A21636, ""en"", ""mt"")"),"Refrattiv ħafna")</f>
        <v>Refrattiv ħafna</v>
      </c>
    </row>
    <row r="21637" ht="15.75" customHeight="1">
      <c r="A21637" s="2" t="s">
        <v>21637</v>
      </c>
      <c r="B21637" s="2" t="str">
        <f>IFERROR(__xludf.DUMMYFUNCTION("GOOGLETRANSLATE(A21637, ""en"", ""mt"")"),"X'inhu l-iktar effett probabbli tan-nifs tal-ossiġnu?")</f>
        <v>X'inhu l-iktar effett probabbli tan-nifs tal-ossiġnu?</v>
      </c>
    </row>
    <row r="21638" ht="15.75" customHeight="1">
      <c r="A21638" s="2" t="s">
        <v>21638</v>
      </c>
      <c r="B21638" s="2" t="str">
        <f>IFERROR(__xludf.DUMMYFUNCTION("GOOGLETRANSLATE(A21638, ""en"", ""mt"")"),"Poġġi xarabank u ttieħdet fis-sede tal-Kontea ta ’Nye ta’ Tonopah, Nevada, u ppreżentat għall-proċess quddiem il-ġustizzja lokali tal-paċi")</f>
        <v>Poġġi xarabank u ttieħdet fis-sede tal-Kontea ta ’Nye ta’ Tonopah, Nevada, u ppreżentat għall-proċess quddiem il-ġustizzja lokali tal-paċi</v>
      </c>
    </row>
    <row r="21639" ht="15.75" customHeight="1">
      <c r="A21639" s="2" t="s">
        <v>21639</v>
      </c>
      <c r="B21639" s="2" t="str">
        <f>IFERROR(__xludf.DUMMYFUNCTION("GOOGLETRANSLATE(A21639, ""en"", ""mt"")"),"Bohemond")</f>
        <v>Bohemond</v>
      </c>
    </row>
    <row r="21640" ht="15.75" customHeight="1">
      <c r="A21640" s="2" t="s">
        <v>21640</v>
      </c>
      <c r="B21640" s="2" t="str">
        <f>IFERROR(__xludf.DUMMYFUNCTION("GOOGLETRANSLATE(A21640, ""en"", ""mt"")"),"Liema artijiet ġew riservati għan-nies tan-nies?")</f>
        <v>Liema artijiet ġew riservati għan-nies tan-nies?</v>
      </c>
    </row>
    <row r="21641" ht="15.75" customHeight="1">
      <c r="A21641" s="2" t="s">
        <v>21641</v>
      </c>
      <c r="B21641" s="2" t="str">
        <f>IFERROR(__xludf.DUMMYFUNCTION("GOOGLETRANSLATE(A21641, ""en"", ""mt"")"),"Thylakoids stromali helicoid")</f>
        <v>Thylakoids stromali helicoid</v>
      </c>
    </row>
    <row r="21642" ht="15.75" customHeight="1">
      <c r="A21642" s="2" t="s">
        <v>21642</v>
      </c>
      <c r="B21642" s="2" t="str">
        <f>IFERROR(__xludf.DUMMYFUNCTION("GOOGLETRANSLATE(A21642, ""en"", ""mt"")"),"BBC tlieta")</f>
        <v>BBC tlieta</v>
      </c>
    </row>
    <row r="21643" ht="15.75" customHeight="1">
      <c r="A21643" s="2" t="s">
        <v>21643</v>
      </c>
      <c r="B21643" s="2" t="str">
        <f>IFERROR(__xludf.DUMMYFUNCTION("GOOGLETRANSLATE(A21643, ""en"", ""mt"")"),"fis-seklu dsatax")</f>
        <v>fis-seklu dsatax</v>
      </c>
    </row>
    <row r="21644" ht="15.75" customHeight="1">
      <c r="A21644" s="2" t="s">
        <v>21644</v>
      </c>
      <c r="B21644" s="2" t="str">
        <f>IFERROR(__xludf.DUMMYFUNCTION("GOOGLETRANSLATE(A21644, ""en"", ""mt"")"),"ramel")</f>
        <v>ramel</v>
      </c>
    </row>
    <row r="21645" ht="15.75" customHeight="1">
      <c r="A21645" s="2" t="s">
        <v>21645</v>
      </c>
      <c r="B21645" s="2" t="str">
        <f>IFERROR(__xludf.DUMMYFUNCTION("GOOGLETRANSLATE(A21645, ""en"", ""mt"")"),"derivat formula ta 'interpolazzjoni kubika")</f>
        <v>derivat formula ta 'interpolazzjoni kubika</v>
      </c>
    </row>
    <row r="21646" ht="15.75" customHeight="1">
      <c r="A21646" s="2" t="s">
        <v>21646</v>
      </c>
      <c r="B21646" s="2" t="str">
        <f>IFERROR(__xludf.DUMMYFUNCTION("GOOGLETRANSLATE(A21646, ""en"", ""mt"")"),"1294 sa 1307")</f>
        <v>1294 sa 1307</v>
      </c>
    </row>
    <row r="21647" ht="15.75" customHeight="1">
      <c r="A21647" s="2" t="s">
        <v>21647</v>
      </c>
      <c r="B21647" s="2" t="str">
        <f>IFERROR(__xludf.DUMMYFUNCTION("GOOGLETRANSLATE(A21647, ""en"", ""mt"")"),"mill-inqas 90%")</f>
        <v>mill-inqas 90%</v>
      </c>
    </row>
    <row r="21648" ht="15.75" customHeight="1">
      <c r="A21648" s="2" t="s">
        <v>21648</v>
      </c>
      <c r="B21648" s="2" t="str">
        <f>IFERROR(__xludf.DUMMYFUNCTION("GOOGLETRANSLATE(A21648, ""en"", ""mt"")"),"Reazzjoni kontra l-industrijaliazzjoni kkontribwiet għall-iżvilupp ta 'dak il-moviment artistiku fl-aħħar tas-seklu 19")</f>
        <v>Reazzjoni kontra l-industrijaliazzjoni kkontribwiet għall-iżvilupp ta 'dak il-moviment artistiku fl-aħħar tas-seklu 19</v>
      </c>
    </row>
    <row r="21649" ht="15.75" customHeight="1">
      <c r="A21649" s="2" t="s">
        <v>21649</v>
      </c>
      <c r="B21649" s="2" t="str">
        <f>IFERROR(__xludf.DUMMYFUNCTION("GOOGLETRANSLATE(A21649, ""en"", ""mt"")"),"klima")</f>
        <v>klima</v>
      </c>
    </row>
    <row r="21650" ht="15.75" customHeight="1">
      <c r="A21650" s="2" t="s">
        <v>21650</v>
      </c>
      <c r="B21650" s="2" t="str">
        <f>IFERROR(__xludf.DUMMYFUNCTION("GOOGLETRANSLATE(A21650, ""en"", ""mt"")"),"Liema ċitokini huma responsabbli għall-komunikazzjoni bejn iċ-ċelloli bojod tad-demm?")</f>
        <v>Liema ċitokini huma responsabbli għall-komunikazzjoni bejn iċ-ċelloli bojod tad-demm?</v>
      </c>
    </row>
    <row r="21651" ht="15.75" customHeight="1">
      <c r="A21651" s="2" t="s">
        <v>21651</v>
      </c>
      <c r="B21651" s="2" t="str">
        <f>IFERROR(__xludf.DUMMYFUNCTION("GOOGLETRANSLATE(A21651, ""en"", ""mt"")"),"mill-ġdid sostnut")</f>
        <v>mill-ġdid sostnut</v>
      </c>
    </row>
    <row r="21652" ht="15.75" customHeight="1">
      <c r="A21652" s="2" t="s">
        <v>21652</v>
      </c>
      <c r="B21652" s="2" t="str">
        <f>IFERROR(__xludf.DUMMYFUNCTION("GOOGLETRANSLATE(A21652, ""en"", ""mt"")"),"Edukazzjoni mifruxa")</f>
        <v>Edukazzjoni mifruxa</v>
      </c>
    </row>
    <row r="21653" ht="15.75" customHeight="1">
      <c r="A21653" s="2" t="s">
        <v>21653</v>
      </c>
      <c r="B21653" s="2" t="str">
        <f>IFERROR(__xludf.DUMMYFUNCTION("GOOGLETRANSLATE(A21653, ""en"", ""mt"")"),"Westwood One se jġorr il-logħba madwar l-Amerika ta ’Fuq, bi Kevin Harlan bħala ħabbar play-by-play, Boomer Esiason u Dan Fouts bħala analisti tal-kulur, u James Lofton u Mark Malone bħala reporters tal-ġenb. Jim Gray se jankra l-kopertura ta 'qabel il-lo"&amp;"għba u l-mistrieħ.")</f>
        <v>Westwood One se jġorr il-logħba madwar l-Amerika ta ’Fuq, bi Kevin Harlan bħala ħabbar play-by-play, Boomer Esiason u Dan Fouts bħala analisti tal-kulur, u James Lofton u Mark Malone bħala reporters tal-ġenb. Jim Gray se jankra l-kopertura ta 'qabel il-logħba u l-mistrieħ.</v>
      </c>
    </row>
    <row r="21654" ht="15.75" customHeight="1">
      <c r="A21654" s="2" t="s">
        <v>21654</v>
      </c>
      <c r="B21654" s="2" t="str">
        <f>IFERROR(__xludf.DUMMYFUNCTION("GOOGLETRANSLATE(A21654, ""en"", ""mt"")"),"Rembrandt")</f>
        <v>Rembrandt</v>
      </c>
    </row>
    <row r="21655" ht="15.75" customHeight="1">
      <c r="A21655" s="2" t="s">
        <v>21655</v>
      </c>
      <c r="B21655" s="2" t="str">
        <f>IFERROR(__xludf.DUMMYFUNCTION("GOOGLETRANSLATE(A21655, ""en"", ""mt"")"),"X'kien il-kartell ta 'Newcastle Burgesses bħala?")</f>
        <v>X'kien il-kartell ta 'Newcastle Burgesses bħala?</v>
      </c>
    </row>
    <row r="21656" ht="15.75" customHeight="1">
      <c r="A21656" s="2" t="s">
        <v>21656</v>
      </c>
      <c r="B21656" s="2" t="str">
        <f>IFERROR(__xludf.DUMMYFUNCTION("GOOGLETRANSLATE(A21656, ""en"", ""mt"")"),"Fejn jinsab il-Metrocentre?")</f>
        <v>Fejn jinsab il-Metrocentre?</v>
      </c>
    </row>
    <row r="21657" ht="15.75" customHeight="1">
      <c r="A21657" s="2" t="s">
        <v>21657</v>
      </c>
      <c r="B21657" s="2" t="str">
        <f>IFERROR(__xludf.DUMMYFUNCTION("GOOGLETRANSLATE(A21657, ""en"", ""mt"")"),"Liema artist ipprovda l-injam għall-Bibbja ta 'Luther?")</f>
        <v>Liema artist ipprovda l-injam għall-Bibbja ta 'Luther?</v>
      </c>
    </row>
    <row r="21658" ht="15.75" customHeight="1">
      <c r="A21658" s="2" t="s">
        <v>21658</v>
      </c>
      <c r="B21658" s="2" t="str">
        <f>IFERROR(__xludf.DUMMYFUNCTION("GOOGLETRANSLATE(A21658, ""en"", ""mt"")"),"Il-Skylab kellu liema tip ta 'tagħmir abbord li suppost kien jintuża f'missjoni differenti?")</f>
        <v>Il-Skylab kellu liema tip ta 'tagħmir abbord li suppost kien jintuża f'missjoni differenti?</v>
      </c>
    </row>
    <row r="21659" ht="15.75" customHeight="1">
      <c r="A21659" s="2" t="s">
        <v>21659</v>
      </c>
      <c r="B21659" s="2" t="str">
        <f>IFERROR(__xludf.DUMMYFUNCTION("GOOGLETRANSLATE(A21659, ""en"", ""mt"")"),"12 ta 'Diċembru")</f>
        <v>12 ta 'Diċembru</v>
      </c>
    </row>
    <row r="21660" ht="15.75" customHeight="1">
      <c r="A21660" s="2" t="s">
        <v>21660</v>
      </c>
      <c r="B21660" s="2" t="str">
        <f>IFERROR(__xludf.DUMMYFUNCTION("GOOGLETRANSLATE(A21660, ""en"", ""mt"")"),"X'kien l-isem tal-episodju Marco Polo?")</f>
        <v>X'kien l-isem tal-episodju Marco Polo?</v>
      </c>
    </row>
    <row r="21661" ht="15.75" customHeight="1">
      <c r="A21661" s="2" t="s">
        <v>21661</v>
      </c>
      <c r="B21661" s="2" t="str">
        <f>IFERROR(__xludf.DUMMYFUNCTION("GOOGLETRANSLATE(A21661, ""en"", ""mt"")"),"Liema kumpanija tipprovdi servizz tal-ferrovija fi Fresno?")</f>
        <v>Liema kumpanija tipprovdi servizz tal-ferrovija fi Fresno?</v>
      </c>
    </row>
    <row r="21662" ht="15.75" customHeight="1">
      <c r="A21662" s="2" t="s">
        <v>21662</v>
      </c>
      <c r="B21662" s="2" t="str">
        <f>IFERROR(__xludf.DUMMYFUNCTION("GOOGLETRANSLATE(A21662, ""en"", ""mt"")"),"F'liema direzzjoni marret l-ewwel darba l-marda?")</f>
        <v>F'liema direzzjoni marret l-ewwel darba l-marda?</v>
      </c>
    </row>
    <row r="21663" ht="15.75" customHeight="1">
      <c r="A21663" s="2" t="s">
        <v>21663</v>
      </c>
      <c r="B21663" s="2" t="str">
        <f>IFERROR(__xludf.DUMMYFUNCTION("GOOGLETRANSLATE(A21663, ""en"", ""mt"")"),"Fejn marret Tesla biex titma 'l-ħamiem kuljum?")</f>
        <v>Fejn marret Tesla biex titma 'l-ħamiem kuljum?</v>
      </c>
    </row>
    <row r="21664" ht="15.75" customHeight="1">
      <c r="A21664" s="2" t="s">
        <v>21664</v>
      </c>
      <c r="B21664" s="2" t="str">
        <f>IFERROR(__xludf.DUMMYFUNCTION("GOOGLETRANSLATE(A21664, ""en"", ""mt"")"),"Liema pajjiż Ewropew Ċentrali kellu ħakkiem kalvinista?")</f>
        <v>Liema pajjiż Ewropew Ċentrali kellu ħakkiem kalvinista?</v>
      </c>
    </row>
    <row r="21665" ht="15.75" customHeight="1">
      <c r="A21665" s="2" t="s">
        <v>21665</v>
      </c>
      <c r="B21665" s="2" t="str">
        <f>IFERROR(__xludf.DUMMYFUNCTION("GOOGLETRANSLATE(A21665, ""en"", ""mt"")"),"Liema xmara oriġinarjament illimitat id-dukat")</f>
        <v>Liema xmara oriġinarjament illimitat id-dukat</v>
      </c>
    </row>
    <row r="21666" ht="15.75" customHeight="1">
      <c r="A21666" s="2" t="s">
        <v>21666</v>
      </c>
      <c r="B21666" s="2" t="str">
        <f>IFERROR(__xludf.DUMMYFUNCTION("GOOGLETRANSLATE(A21666, ""en"", ""mt"")"),"Is-Sindku Ed Lee")</f>
        <v>Is-Sindku Ed Lee</v>
      </c>
    </row>
    <row r="21667" ht="15.75" customHeight="1">
      <c r="A21667" s="2" t="s">
        <v>21667</v>
      </c>
      <c r="B21667" s="2" t="str">
        <f>IFERROR(__xludf.DUMMYFUNCTION("GOOGLETRANSLATE(A21667, ""en"", ""mt"")"),"Il-punt ewlieni tal-Islam tal-Islam kif iseħħ mhux mal-mewt ta 'Ali")</f>
        <v>Il-punt ewlieni tal-Islam tal-Islam kif iseħħ mhux mal-mewt ta 'Ali</v>
      </c>
    </row>
    <row r="21668" ht="15.75" customHeight="1">
      <c r="A21668" s="2" t="s">
        <v>21668</v>
      </c>
      <c r="B21668" s="2" t="str">
        <f>IFERROR(__xludf.DUMMYFUNCTION("GOOGLETRANSLATE(A21668, ""en"", ""mt"")"),"Peress li l-ctenofori moderni kollha ħlief il-beroids għandhom larva simili għal ċidippidi, ġie assunt ħafna li l-aħħar antenat komuni tagħhom kien jixbah ukoll cydippids, li għandhom korp b'forma ta 'bajd u par ta' tentakli li jistgħu jinġibdu lura. L-an"&amp;"aliżi purament morfoloġika ta 'Richard Harbison fl-1985 ikkonkludiet li ċ-ċidippidi mhumiex monofiletiċi, fi kliem ieħor ma fihomx id-dixxendenti kollha u biss ta' antenat komuni wieħed li kien innifsu ċidippid. Minflok huwa sab li diversi familji Cydippi"&amp;"d kienu aktar simili għal membri ta 'ordnijiet oħra ta' ctenophore milli għal cydippids oħra. Huwa ssuġġerixxa wkoll li l-aħħar antenat komuni ta 'ctenophores moderni kien jew simili ta' cydippid jew simili għal beroid. Analiżi molekulari tal-filoġenija f"&amp;"l-2001, bl-użu ta '26 speċi, inklużi 4 dawk skoperti riċentement, ikkonfermaw li ċ-ċidippids mhumiex monofiletiċi u kkonkludew li l-aħħar antenat komuni ta 'ctenophores moderni kien simili għal cydippid. Instab ukoll li d-differenzi ġenetiċi bejn dawn l-i"&amp;"speċi kienu żgħar ħafna - daqshekk żgħar li r-relazzjonijiet bejn il-lobata, cestida u thalassocalycida baqgħu inċerti. Dan jissuġġerixxi li l-aħħar antenat komuni ta 'ctenophores moderni kien relattivament reċenti, u forsi kien xortik tajba biżżejjed bie"&amp;"x jgħix l-avveniment ta' estinzjoni Kretaċeju-Paleogene 65.5 miljun sena ilu waqt li n-nisel ieħor jitħassar. Meta l-analiżi twessgħet biex tinkludi rappreżentanti ta 'phyla oħra, hija kkonkludiet li ċ-cnidarians huma probabbilment relatati aktar mill-qri"&amp;"b mal-bilaterjani milli kull grupp huwa ma' ctenophores iżda li din id-dijanjosi hija inċerta.")</f>
        <v>Peress li l-ctenofori moderni kollha ħlief il-beroids għandhom larva simili għal ċidippidi, ġie assunt ħafna li l-aħħar antenat komuni tagħhom kien jixbah ukoll cydippids, li għandhom korp b'forma ta 'bajd u par ta' tentakli li jistgħu jinġibdu lura. L-analiżi purament morfoloġika ta 'Richard Harbison fl-1985 ikkonkludiet li ċ-ċidippidi mhumiex monofiletiċi, fi kliem ieħor ma fihomx id-dixxendenti kollha u biss ta' antenat komuni wieħed li kien innifsu ċidippid. Minflok huwa sab li diversi familji Cydippid kienu aktar simili għal membri ta 'ordnijiet oħra ta' ctenophore milli għal cydippids oħra. Huwa ssuġġerixxa wkoll li l-aħħar antenat komuni ta 'ctenophores moderni kien jew simili ta' cydippid jew simili għal beroid. Analiżi molekulari tal-filoġenija fl-2001, bl-użu ta '26 speċi, inklużi 4 dawk skoperti riċentement, ikkonfermaw li ċ-ċidippids mhumiex monofiletiċi u kkonkludew li l-aħħar antenat komuni ta 'ctenophores moderni kien simili għal cydippid. Instab ukoll li d-differenzi ġenetiċi bejn dawn l-ispeċi kienu żgħar ħafna - daqshekk żgħar li r-relazzjonijiet bejn il-lobata, cestida u thalassocalycida baqgħu inċerti. Dan jissuġġerixxi li l-aħħar antenat komuni ta 'ctenophores moderni kien relattivament reċenti, u forsi kien xortik tajba biżżejjed biex jgħix l-avveniment ta' estinzjoni Kretaċeju-Paleogene 65.5 miljun sena ilu waqt li n-nisel ieħor jitħassar. Meta l-analiżi twessgħet biex tinkludi rappreżentanti ta 'phyla oħra, hija kkonkludiet li ċ-cnidarians huma probabbilment relatati aktar mill-qrib mal-bilaterjani milli kull grupp huwa ma' ctenophores iżda li din id-dijanjosi hija inċerta.</v>
      </c>
    </row>
    <row r="21669" ht="15.75" customHeight="1">
      <c r="A21669" s="2" t="s">
        <v>21669</v>
      </c>
      <c r="B21669" s="2" t="str">
        <f>IFERROR(__xludf.DUMMYFUNCTION("GOOGLETRANSLATE(A21669, ""en"", ""mt"")"),"Liema cidippid jintuża bħala deskrizzjoni fuq ctenophores fil-biċċa l-kbira tal-kotba?")</f>
        <v>Liema cidippid jintuża bħala deskrizzjoni fuq ctenophores fil-biċċa l-kbira tal-kotba?</v>
      </c>
    </row>
    <row r="21670" ht="15.75" customHeight="1">
      <c r="A21670" s="2" t="s">
        <v>21670</v>
      </c>
      <c r="B21670" s="2" t="str">
        <f>IFERROR(__xludf.DUMMYFUNCTION("GOOGLETRANSLATE(A21670, ""en"", ""mt"")"),"jiksru l-wegħdiet tagħhom")</f>
        <v>jiksru l-wegħdiet tagħhom</v>
      </c>
    </row>
    <row r="21671" ht="15.75" customHeight="1">
      <c r="A21671" s="2" t="s">
        <v>21671</v>
      </c>
      <c r="B21671" s="2" t="str">
        <f>IFERROR(__xludf.DUMMYFUNCTION("GOOGLETRANSLATE(A21671, ""en"", ""mt"")"),"b’mod aggressiv")</f>
        <v>b’mod aggressiv</v>
      </c>
    </row>
    <row r="21672" ht="15.75" customHeight="1">
      <c r="A21672" s="2" t="s">
        <v>21672</v>
      </c>
      <c r="B21672" s="2" t="str">
        <f>IFERROR(__xludf.DUMMYFUNCTION("GOOGLETRANSLATE(A21672, ""en"", ""mt"")"),"356 ± 47 tunnellata")</f>
        <v>356 ± 47 tunnellata</v>
      </c>
    </row>
    <row r="21673" ht="15.75" customHeight="1">
      <c r="A21673" s="2" t="s">
        <v>21673</v>
      </c>
      <c r="B21673" s="2" t="str">
        <f>IFERROR(__xludf.DUMMYFUNCTION("GOOGLETRANSLATE(A21673, ""en"", ""mt"")"),"Reġistrazzjoni tar-Residenza")</f>
        <v>Reġistrazzjoni tar-Residenza</v>
      </c>
    </row>
    <row r="21674" ht="15.75" customHeight="1">
      <c r="A21674" s="2" t="s">
        <v>21674</v>
      </c>
      <c r="B21674" s="2" t="str">
        <f>IFERROR(__xludf.DUMMYFUNCTION("GOOGLETRANSLATE(A21674, ""en"", ""mt"")"),"Ottubru 1518")</f>
        <v>Ottubru 1518</v>
      </c>
    </row>
    <row r="21675" ht="15.75" customHeight="1">
      <c r="A21675" s="2" t="s">
        <v>21675</v>
      </c>
      <c r="B21675" s="2" t="str">
        <f>IFERROR(__xludf.DUMMYFUNCTION("GOOGLETRANSLATE(A21675, ""en"", ""mt"")"),"idroġenu")</f>
        <v>idroġenu</v>
      </c>
    </row>
    <row r="21676" ht="15.75" customHeight="1">
      <c r="A21676" s="2" t="s">
        <v>21676</v>
      </c>
      <c r="B21676" s="2" t="str">
        <f>IFERROR(__xludf.DUMMYFUNCTION("GOOGLETRANSLATE(A21676, ""en"", ""mt"")"),"li tgħaddi nixxiegħa ta 'arja nadifa u niexfa minn sodda waħda ta' par ta 'passaġġi molekulari żeoliti identiċi, li jassorbi n-nitroġenu")</f>
        <v>li tgħaddi nixxiegħa ta 'arja nadifa u niexfa minn sodda waħda ta' par ta 'passaġġi molekulari żeoliti identiċi, li jassorbi n-nitroġenu</v>
      </c>
    </row>
    <row r="21677" ht="15.75" customHeight="1">
      <c r="A21677" s="2" t="s">
        <v>21677</v>
      </c>
      <c r="B21677" s="2" t="str">
        <f>IFERROR(__xludf.DUMMYFUNCTION("GOOGLETRANSLATE(A21677, ""en"", ""mt"")"),"ACL")</f>
        <v>ACL</v>
      </c>
    </row>
    <row r="21678" ht="15.75" customHeight="1">
      <c r="A21678" s="2" t="s">
        <v>21678</v>
      </c>
      <c r="B21678" s="2" t="str">
        <f>IFERROR(__xludf.DUMMYFUNCTION("GOOGLETRANSLATE(A21678, ""en"", ""mt"")"),"kmieni fl-1938")</f>
        <v>kmieni fl-1938</v>
      </c>
    </row>
    <row r="21679" ht="15.75" customHeight="1">
      <c r="A21679" s="2" t="s">
        <v>21679</v>
      </c>
      <c r="B21679" s="2" t="str">
        <f>IFERROR(__xludf.DUMMYFUNCTION("GOOGLETRANSLATE(A21679, ""en"", ""mt"")"),"Grazzi għal bosta postijiet mużikali, inkluż it-Teatr Wielki, l-Opra Nazzjonali Pollakka, l-Opera tal-Kamra, is-Sala Filarmonika Nazzjonali u t-Teatru Nazzjonali, kif ukoll it-Teatri tal-Mużika Roma u Buffo u s-Sala tal-Kungress fil-Palazz tal-Kultura u x"&amp;"-Xjenza, Varsavja tospita bosta avvenimenti u festivals. Fost l-avvenimenti li jiswew attenzjoni partikolari hemm: il-kompetizzjoni internazzjonali tal-pjanu Frédéric Chopin, il-Festival Internazzjonali tal-Mużika Kontemporanja Varsavja, il-Jazz Jamboree,"&amp;" il-jiem tal-jazz tas-sajf ta 'Varsavja, il-kompetizzjoni vokali internazzjonali Stanisław Moniuszko, il-Festival Mozart, il-Festival Mozart, u l-Festival tal-Mużika l-Qadima.")</f>
        <v>Grazzi għal bosta postijiet mużikali, inkluż it-Teatr Wielki, l-Opra Nazzjonali Pollakka, l-Opera tal-Kamra, is-Sala Filarmonika Nazzjonali u t-Teatru Nazzjonali, kif ukoll it-Teatri tal-Mużika Roma u Buffo u s-Sala tal-Kungress fil-Palazz tal-Kultura u x-Xjenza, Varsavja tospita bosta avvenimenti u festivals. Fost l-avvenimenti li jiswew attenzjoni partikolari hemm: il-kompetizzjoni internazzjonali tal-pjanu Frédéric Chopin, il-Festival Internazzjonali tal-Mużika Kontemporanja Varsavja, il-Jazz Jamboree, il-jiem tal-jazz tas-sajf ta 'Varsavja, il-kompetizzjoni vokali internazzjonali Stanisław Moniuszko, il-Festival Mozart, il-Festival Mozart, u l-Festival tal-Mużika l-Qadima.</v>
      </c>
    </row>
    <row r="21680" ht="15.75" customHeight="1">
      <c r="A21680" s="2" t="s">
        <v>21680</v>
      </c>
      <c r="B21680" s="2" t="str">
        <f>IFERROR(__xludf.DUMMYFUNCTION("GOOGLETRANSLATE(A21680, ""en"", ""mt"")"),"F’Settembru 1958, il-Bank of America nieda prodott ġdid imsejjaħ BankaMericard fi Fresno. Wara ġestazzjoni mnikkta li matulha rriżenja mill-kreatur tagħha, BankAmericard kompla jsir l-ewwel karta ta 'kreditu ta' suċċess; Jiġifieri, strument finanzjarju li"&amp;" jista 'jintuża minn numru kbir ta' negozjanti u wkoll ippermetta lid-detenturi tal-kard iduru bilanċ (prodotti finanzjarji preċedenti jistgħu jagħmlu wieħed jew l-ieħor iżda mhux it-tnejn). Fl-1976, BankAmericard ġie msejjaħ u nbidel f'kumpanija separata"&amp;" magħrufa llum bħala Visa Inc.")</f>
        <v>F’Settembru 1958, il-Bank of America nieda prodott ġdid imsejjaħ BankaMericard fi Fresno. Wara ġestazzjoni mnikkta li matulha rriżenja mill-kreatur tagħha, BankAmericard kompla jsir l-ewwel karta ta 'kreditu ta' suċċess; Jiġifieri, strument finanzjarju li jista 'jintuża minn numru kbir ta' negozjanti u wkoll ippermetta lid-detenturi tal-kard iduru bilanċ (prodotti finanzjarji preċedenti jistgħu jagħmlu wieħed jew l-ieħor iżda mhux it-tnejn). Fl-1976, BankAmericard ġie msejjaħ u nbidel f'kumpanija separata magħrufa llum bħala Visa Inc.</v>
      </c>
    </row>
    <row r="21681" ht="15.75" customHeight="1">
      <c r="A21681" s="2" t="s">
        <v>21681</v>
      </c>
      <c r="B21681" s="2" t="str">
        <f>IFERROR(__xludf.DUMMYFUNCTION("GOOGLETRANSLATE(A21681, ""en"", ""mt"")"),"Kemm suċċessuri ta 'Kublai kienu Toghun l-aħħar?")</f>
        <v>Kemm suċċessuri ta 'Kublai kienu Toghun l-aħħar?</v>
      </c>
    </row>
    <row r="21682" ht="15.75" customHeight="1">
      <c r="A21682" s="2" t="s">
        <v>21682</v>
      </c>
      <c r="B21682" s="2" t="str">
        <f>IFERROR(__xludf.DUMMYFUNCTION("GOOGLETRANSLATE(A21682, ""en"", ""mt"")"),"ċelloli tal-memorja b'ħajja twila")</f>
        <v>ċelloli tal-memorja b'ħajja twila</v>
      </c>
    </row>
    <row r="21683" ht="15.75" customHeight="1">
      <c r="A21683" s="2" t="s">
        <v>21683</v>
      </c>
      <c r="B21683" s="2" t="str">
        <f>IFERROR(__xludf.DUMMYFUNCTION("GOOGLETRANSLATE(A21683, ""en"", ""mt"")"),"Probabilistiku (jew ""Monte Carlo"")")</f>
        <v>Probabilistiku (jew "Monte Carlo")</v>
      </c>
    </row>
    <row r="21684" ht="15.75" customHeight="1">
      <c r="A21684" s="2" t="s">
        <v>21684</v>
      </c>
      <c r="B21684" s="2" t="str">
        <f>IFERROR(__xludf.DUMMYFUNCTION("GOOGLETRANSLATE(A21684, ""en"", ""mt"")"),"Filwaqt li n-netwerk tar-radju tiegħu kien għaddej minn rikostruzzjoni, ABC sabha diffiċli biex tevita li taqa 'lura fuq il-mezz il-ġdid tat-televiżjoni. Biex ikun żgurat spazju, fl-1947, ABC issottometta ħames applikazzjonijiet għal-liċenzji tal-istazzjo"&amp;"nijiet tat-televiżjoni, waħda għal kull suq fejn kienet proprjetà u operat stazzjon tar-radju (New York City, Los Angeles, Chicago, San Francisco u Detroit). Dawn l-applikazzjonijiet kollha mitluba biex l-istazzjonijiet jixxandru fuq VHF Channel 7, bħala "&amp;"Frank Marx, imbagħad il-Viċi President tal-Inġinerija ta 'ABC, ħasbu li l-frekwenzi VHF ta' faxxa baxxa (li jikkorrispondu għall-Kanali 2 sa 6 sa 6) ikunu rikjesti mill-użu tax-xandir u mill-ġdid għall-Armata ta 'l-Istati Uniti.")</f>
        <v>Filwaqt li n-netwerk tar-radju tiegħu kien għaddej minn rikostruzzjoni, ABC sabha diffiċli biex tevita li taqa 'lura fuq il-mezz il-ġdid tat-televiżjoni. Biex ikun żgurat spazju, fl-1947, ABC issottometta ħames applikazzjonijiet għal-liċenzji tal-istazzjonijiet tat-televiżjoni, waħda għal kull suq fejn kienet proprjetà u operat stazzjon tar-radju (New York City, Los Angeles, Chicago, San Francisco u Detroit). Dawn l-applikazzjonijiet kollha mitluba biex l-istazzjonijiet jixxandru fuq VHF Channel 7, bħala Frank Marx, imbagħad il-Viċi President tal-Inġinerija ta 'ABC, ħasbu li l-frekwenzi VHF ta' faxxa baxxa (li jikkorrispondu għall-Kanali 2 sa 6 sa 6) ikunu rikjesti mill-użu tax-xandir u mill-ġdid għall-Armata ta 'l-Istati Uniti.</v>
      </c>
    </row>
    <row r="21685" ht="15.75" customHeight="1">
      <c r="A21685" s="2" t="s">
        <v>21685</v>
      </c>
      <c r="B21685" s="2" t="str">
        <f>IFERROR(__xludf.DUMMYFUNCTION("GOOGLETRANSLATE(A21685, ""en"", ""mt"")"),"Il-Librerija Regenstein")</f>
        <v>Il-Librerija Regenstein</v>
      </c>
    </row>
    <row r="21686" ht="15.75" customHeight="1">
      <c r="A21686" s="2" t="s">
        <v>21686</v>
      </c>
      <c r="B21686" s="2" t="str">
        <f>IFERROR(__xludf.DUMMYFUNCTION("GOOGLETRANSLATE(A21686, ""en"", ""mt"")"),"600,000")</f>
        <v>600,000</v>
      </c>
    </row>
    <row r="21687" ht="15.75" customHeight="1">
      <c r="A21687" s="2" t="s">
        <v>21687</v>
      </c>
      <c r="B21687" s="2" t="str">
        <f>IFERROR(__xludf.DUMMYFUNCTION("GOOGLETRANSLATE(A21687, ""en"", ""mt"")"),"Knisja Episkopali Manakin")</f>
        <v>Knisja Episkopali Manakin</v>
      </c>
    </row>
    <row r="21688" ht="15.75" customHeight="1">
      <c r="A21688" s="2" t="s">
        <v>21688</v>
      </c>
      <c r="B21688" s="2" t="str">
        <f>IFERROR(__xludf.DUMMYFUNCTION("GOOGLETRANSLATE(A21688, ""en"", ""mt"")"),"pala")</f>
        <v>pala</v>
      </c>
    </row>
    <row r="21689" ht="15.75" customHeight="1">
      <c r="A21689" s="2" t="s">
        <v>21689</v>
      </c>
      <c r="B21689" s="2" t="str">
        <f>IFERROR(__xludf.DUMMYFUNCTION("GOOGLETRANSLATE(A21689, ""en"", ""mt"")"),"X'inhuma l-eżempji tad-diversi reliġjonijiet tat-tribujiet Mongoljani?")</f>
        <v>X'inhuma l-eżempji tad-diversi reliġjonijiet tat-tribujiet Mongoljani?</v>
      </c>
    </row>
    <row r="21690" ht="15.75" customHeight="1">
      <c r="A21690" s="2" t="s">
        <v>21690</v>
      </c>
      <c r="B21690" s="2" t="str">
        <f>IFERROR(__xludf.DUMMYFUNCTION("GOOGLETRANSLATE(A21690, ""en"", ""mt"")"),"żieda fil-fluss tad-demm fit-tessut")</f>
        <v>żieda fil-fluss tad-demm fit-tessut</v>
      </c>
    </row>
    <row r="21691" ht="15.75" customHeight="1">
      <c r="A21691" s="2" t="s">
        <v>21691</v>
      </c>
      <c r="B21691" s="2" t="str">
        <f>IFERROR(__xludf.DUMMYFUNCTION("GOOGLETRANSLATE(A21691, ""en"", ""mt"")"),"Liema żona ta 'Brookhaven għadha magħrufa għal-livelli għoljin ta' kriminalità tagħha?")</f>
        <v>Liema żona ta 'Brookhaven għadha magħrufa għal-livelli għoljin ta' kriminalità tagħha?</v>
      </c>
    </row>
    <row r="21692" ht="15.75" customHeight="1">
      <c r="A21692" s="2" t="s">
        <v>21692</v>
      </c>
      <c r="B21692" s="2" t="str">
        <f>IFERROR(__xludf.DUMMYFUNCTION("GOOGLETRANSLATE(A21692, ""en"", ""mt"")"),"Il-magni joperaw b'mod deterministiku")</f>
        <v>Il-magni joperaw b'mod deterministiku</v>
      </c>
    </row>
    <row r="21693" ht="15.75" customHeight="1">
      <c r="A21693" s="2" t="s">
        <v>21693</v>
      </c>
      <c r="B21693" s="2" t="str">
        <f>IFERROR(__xludf.DUMMYFUNCTION("GOOGLETRANSLATE(A21693, ""en"", ""mt"")"),"90,790")</f>
        <v>90,790</v>
      </c>
    </row>
    <row r="21694" ht="15.75" customHeight="1">
      <c r="A21694" s="2" t="s">
        <v>21694</v>
      </c>
      <c r="B21694" s="2" t="str">
        <f>IFERROR(__xludf.DUMMYFUNCTION("GOOGLETRANSLATE(A21694, ""en"", ""mt"")"),"tipprova twaqqafha milli tagħti lil ħuha Polynices dfin xieraq")</f>
        <v>tipprova twaqqafha milli tagħti lil ħuha Polynices dfin xieraq</v>
      </c>
    </row>
    <row r="21695" ht="15.75" customHeight="1">
      <c r="A21695" s="2" t="s">
        <v>21695</v>
      </c>
      <c r="B21695" s="2" t="str">
        <f>IFERROR(__xludf.DUMMYFUNCTION("GOOGLETRANSLATE(A21695, ""en"", ""mt"")"),"Teorija tan-numri alġebriċi")</f>
        <v>Teorija tan-numri alġebriċi</v>
      </c>
    </row>
    <row r="21696" ht="15.75" customHeight="1">
      <c r="A21696" s="2" t="s">
        <v>21696</v>
      </c>
      <c r="B21696" s="2" t="str">
        <f>IFERROR(__xludf.DUMMYFUNCTION("GOOGLETRANSLATE(A21696, ""en"", ""mt"")"),"Heterokontophyte")</f>
        <v>Heterokontophyte</v>
      </c>
    </row>
    <row r="21697" ht="15.75" customHeight="1">
      <c r="A21697" s="2" t="s">
        <v>21697</v>
      </c>
      <c r="B21697" s="2" t="str">
        <f>IFERROR(__xludf.DUMMYFUNCTION("GOOGLETRANSLATE(A21697, ""en"", ""mt"")"),"It-teorija tal-kumplessità tfittex li tiddefinixxi r-relazzjoni bejn l-iskala ta 'algoritmi fir-rigward ta' liema varjabbli oħra?")</f>
        <v>It-teorija tal-kumplessità tfittex li tiddefinixxi r-relazzjoni bejn l-iskala ta 'algoritmi fir-rigward ta' liema varjabbli oħra?</v>
      </c>
    </row>
    <row r="21698" ht="15.75" customHeight="1">
      <c r="A21698" s="2" t="s">
        <v>21698</v>
      </c>
      <c r="B21698" s="2" t="str">
        <f>IFERROR(__xludf.DUMMYFUNCTION("GOOGLETRANSLATE(A21698, ""en"", ""mt"")"),"Lira-Forza")</f>
        <v>Lira-Forza</v>
      </c>
    </row>
    <row r="21699" ht="15.75" customHeight="1">
      <c r="A21699" s="2" t="s">
        <v>21699</v>
      </c>
      <c r="B21699" s="2" t="str">
        <f>IFERROR(__xludf.DUMMYFUNCTION("GOOGLETRANSLATE(A21699, ""en"", ""mt"")"),"Il-Miniseries tal-Għeruq kienu bbażati fuq rumanz minn liema awtur?")</f>
        <v>Il-Miniseries tal-Għeruq kienu bbażati fuq rumanz minn liema awtur?</v>
      </c>
    </row>
    <row r="21700" ht="15.75" customHeight="1">
      <c r="A21700" s="2" t="s">
        <v>21700</v>
      </c>
      <c r="B21700" s="2" t="str">
        <f>IFERROR(__xludf.DUMMYFUNCTION("GOOGLETRANSLATE(A21700, ""en"", ""mt"")"),"Liema rwol ieħor għandhom ħafna spiżjara?")</f>
        <v>Liema rwol ieħor għandhom ħafna spiżjara?</v>
      </c>
    </row>
    <row r="21701" ht="15.75" customHeight="1">
      <c r="A21701" s="2" t="s">
        <v>21701</v>
      </c>
      <c r="B21701" s="2" t="str">
        <f>IFERROR(__xludf.DUMMYFUNCTION("GOOGLETRANSLATE(A21701, ""en"", ""mt"")"),"X'kien ivvota Newcastlegateshead fl-2006?")</f>
        <v>X'kien ivvota Newcastlegateshead fl-2006?</v>
      </c>
    </row>
    <row r="21702" ht="15.75" customHeight="1">
      <c r="A21702" s="2" t="s">
        <v>21702</v>
      </c>
      <c r="B21702" s="2" t="str">
        <f>IFERROR(__xludf.DUMMYFUNCTION("GOOGLETRANSLATE(A21702, ""en"", ""mt"")"),"Fejn kien il-laboratorju l-ġdid ta 'Tesla?")</f>
        <v>Fejn kien il-laboratorju l-ġdid ta 'Tesla?</v>
      </c>
    </row>
    <row r="21703" ht="15.75" customHeight="1">
      <c r="A21703" s="2" t="s">
        <v>21703</v>
      </c>
      <c r="B21703" s="2" t="str">
        <f>IFERROR(__xludf.DUMMYFUNCTION("GOOGLETRANSLATE(A21703, ""en"", ""mt"")"),"Għaliex Varsavja saret il-kapitali tal-Commonwealth?")</f>
        <v>Għaliex Varsavja saret il-kapitali tal-Commonwealth?</v>
      </c>
    </row>
    <row r="21704" ht="15.75" customHeight="1">
      <c r="A21704" s="2" t="s">
        <v>21704</v>
      </c>
      <c r="B21704" s="2" t="str">
        <f>IFERROR(__xludf.DUMMYFUNCTION("GOOGLETRANSLATE(A21704, ""en"", ""mt"")"),"Kemm Sports Intercollegiate Harvard jikkompeti fid-Diviżjoni I tal-NCAA")</f>
        <v>Kemm Sports Intercollegiate Harvard jikkompeti fid-Diviżjoni I tal-NCAA</v>
      </c>
    </row>
    <row r="21705" ht="15.75" customHeight="1">
      <c r="A21705" s="2" t="s">
        <v>21705</v>
      </c>
      <c r="B21705" s="2" t="str">
        <f>IFERROR(__xludf.DUMMYFUNCTION("GOOGLETRANSLATE(A21705, ""en"", ""mt"")"),"Kemm timijiet lagħbu Manning għal dak li laħaq is-Super Bowl, waqt li kien fit-tim tagħhom?")</f>
        <v>Kemm timijiet lagħbu Manning għal dak li laħaq is-Super Bowl, waqt li kien fit-tim tagħhom?</v>
      </c>
    </row>
    <row r="21706" ht="15.75" customHeight="1">
      <c r="A21706" s="2" t="s">
        <v>21706</v>
      </c>
      <c r="B21706" s="2" t="str">
        <f>IFERROR(__xludf.DUMMYFUNCTION("GOOGLETRANSLATE(A21706, ""en"", ""mt"")"),"In-negozju tagħhom huwa kronikament sottovalutat")</f>
        <v>In-negozju tagħhom huwa kronikament sottovalutat</v>
      </c>
    </row>
    <row r="21707" ht="15.75" customHeight="1">
      <c r="A21707" s="2" t="s">
        <v>21707</v>
      </c>
      <c r="B21707" s="2" t="str">
        <f>IFERROR(__xludf.DUMMYFUNCTION("GOOGLETRANSLATE(A21707, ""en"", ""mt"")"),"Anabaptisti")</f>
        <v>Anabaptisti</v>
      </c>
    </row>
    <row r="21708" ht="15.75" customHeight="1">
      <c r="A21708" s="2" t="s">
        <v>21708</v>
      </c>
      <c r="B21708" s="2" t="str">
        <f>IFERROR(__xludf.DUMMYFUNCTION("GOOGLETRANSLATE(A21708, ""en"", ""mt"")"),"2011.")</f>
        <v>2011.</v>
      </c>
    </row>
    <row r="21709" ht="15.75" customHeight="1">
      <c r="A21709" s="2" t="s">
        <v>21709</v>
      </c>
      <c r="B21709" s="2" t="str">
        <f>IFERROR(__xludf.DUMMYFUNCTION("GOOGLETRANSLATE(A21709, ""en"", ""mt"")"),"It-teoriji ta 'Tesla dwar il-possibbiltà li t-trasmissjoni minn Radio Waves imorru lura sa lectures u dimostrazzjonijiet fl-1893 f'San Louis, Missouri, l-Istitut Franklin fi Philadelphia, Pennsylvania, u l-Assoċjazzjoni Nazzjonali tad-Dawl Elettriku. Id-d"&amp;"imostrazzjonijiet u l-prinċipji ta 'Tesla nkitbu b'mod wiesa' permezz ta 'diversi mezzi tal-midja. Ħafna apparati bħall-kolja Tesla intużaw fl-iżvilupp ulterjuri tar-radju.")</f>
        <v>It-teoriji ta 'Tesla dwar il-possibbiltà li t-trasmissjoni minn Radio Waves imorru lura sa lectures u dimostrazzjonijiet fl-1893 f'San Louis, Missouri, l-Istitut Franklin fi Philadelphia, Pennsylvania, u l-Assoċjazzjoni Nazzjonali tad-Dawl Elettriku. Id-dimostrazzjonijiet u l-prinċipji ta 'Tesla nkitbu b'mod wiesa' permezz ta 'diversi mezzi tal-midja. Ħafna apparati bħall-kolja Tesla intużaw fl-iżvilupp ulterjuri tar-radju.</v>
      </c>
    </row>
    <row r="21710" ht="15.75" customHeight="1">
      <c r="A21710" s="2" t="s">
        <v>21710</v>
      </c>
      <c r="B21710" s="2" t="str">
        <f>IFERROR(__xludf.DUMMYFUNCTION("GOOGLETRANSLATE(A21710, ""en"", ""mt"")"),"X'inhi t-tkissir tas-snin f'livell differenti ta 'edukazzjoni?")</f>
        <v>X'inhi t-tkissir tas-snin f'livell differenti ta 'edukazzjoni?</v>
      </c>
    </row>
    <row r="21711" ht="15.75" customHeight="1">
      <c r="A21711" s="2" t="s">
        <v>21711</v>
      </c>
      <c r="B21711" s="2" t="str">
        <f>IFERROR(__xludf.DUMMYFUNCTION("GOOGLETRANSLATE(A21711, ""en"", ""mt"")"),"1960s")</f>
        <v>1960s</v>
      </c>
    </row>
    <row r="21712" ht="15.75" customHeight="1">
      <c r="A21712" s="2" t="s">
        <v>21712</v>
      </c>
      <c r="B21712" s="2" t="str">
        <f>IFERROR(__xludf.DUMMYFUNCTION("GOOGLETRANSLATE(A21712, ""en"", ""mt"")"),"tehmeż komunitajiet periferiċi")</f>
        <v>tehmeż komunitajiet periferiċi</v>
      </c>
    </row>
    <row r="21713" ht="15.75" customHeight="1">
      <c r="A21713" s="2" t="s">
        <v>21713</v>
      </c>
      <c r="B21713" s="2" t="str">
        <f>IFERROR(__xludf.DUMMYFUNCTION("GOOGLETRANSLATE(A21713, ""en"", ""mt"")"),"Problemi finanzjarji li jistgħu jiġu evitati")</f>
        <v>Problemi finanzjarji li jistgħu jiġu evitati</v>
      </c>
    </row>
    <row r="21714" ht="15.75" customHeight="1">
      <c r="A21714" s="2" t="s">
        <v>21714</v>
      </c>
      <c r="B21714" s="2" t="str">
        <f>IFERROR(__xludf.DUMMYFUNCTION("GOOGLETRANSLATE(A21714, ""en"", ""mt"")"),"Liema kumpanija tal-kandju Edward John Noble stess?")</f>
        <v>Liema kumpanija tal-kandju Edward John Noble stess?</v>
      </c>
    </row>
    <row r="21715" ht="15.75" customHeight="1">
      <c r="A21715" s="2" t="s">
        <v>21715</v>
      </c>
      <c r="B21715" s="2" t="str">
        <f>IFERROR(__xludf.DUMMYFUNCTION("GOOGLETRANSLATE(A21715, ""en"", ""mt"")"),"Mudelli ta 'prezz aktar baxxi bħal Chevrolet Bel Air, u Ford Galaxie 500")</f>
        <v>Mudelli ta 'prezz aktar baxxi bħal Chevrolet Bel Air, u Ford Galaxie 500</v>
      </c>
    </row>
    <row r="21716" ht="15.75" customHeight="1">
      <c r="A21716" s="2" t="s">
        <v>21716</v>
      </c>
      <c r="B21716" s="2" t="str">
        <f>IFERROR(__xludf.DUMMYFUNCTION("GOOGLETRANSLATE(A21716, ""en"", ""mt"")"),"L-Akkademja Premjijiet")</f>
        <v>L-Akkademja Premjijiet</v>
      </c>
    </row>
    <row r="21717" ht="15.75" customHeight="1">
      <c r="A21717" s="2" t="s">
        <v>21717</v>
      </c>
      <c r="B21717" s="2" t="str">
        <f>IFERROR(__xludf.DUMMYFUNCTION("GOOGLETRANSLATE(A21717, ""en"", ""mt"")"),"Liema istituzzjoni għenet lill-bdiewa jikbru varjetajiet ġodda tal-piżelli tal-ħamiem?")</f>
        <v>Liema istituzzjoni għenet lill-bdiewa jikbru varjetajiet ġodda tal-piżelli tal-ħamiem?</v>
      </c>
    </row>
    <row r="21718" ht="15.75" customHeight="1">
      <c r="A21718" s="2" t="s">
        <v>21718</v>
      </c>
      <c r="B21718" s="2" t="str">
        <f>IFERROR(__xludf.DUMMYFUNCTION("GOOGLETRANSLATE(A21718, ""en"", ""mt"")"),"1,100")</f>
        <v>1,100</v>
      </c>
    </row>
    <row r="21719" ht="15.75" customHeight="1">
      <c r="A21719" s="2" t="s">
        <v>21719</v>
      </c>
      <c r="B21719" s="2" t="str">
        <f>IFERROR(__xludf.DUMMYFUNCTION("GOOGLETRANSLATE(A21719, ""en"", ""mt"")"),"It-teorija tal-kumplessità tal-komputazzjoni hija fergħa tat-teorija tal-komputazzjoni fix-xjenza teoretika tal-kompjuter li tiffoka fuq il-klassifikazzjoni tal-problemi tal-komputazzjoni skont id-diffikultà inerenti tagħhom, u tirrelata dawk il-klassijie"&amp;"t ma 'xulxin. Problema tal-komputazzjoni hija mifhuma bħala kompitu li fil-prinċipju huwa li jista 'jiġi solvut minn kompjuter, li huwa ekwivalenti li jiddikjara li l-problema tista' tissolva bl-applikazzjoni mekkanika ta 'passi matematiċi, bħal algoritmu"&amp;".")</f>
        <v>It-teorija tal-kumplessità tal-komputazzjoni hija fergħa tat-teorija tal-komputazzjoni fix-xjenza teoretika tal-kompjuter li tiffoka fuq il-klassifikazzjoni tal-problemi tal-komputazzjoni skont id-diffikultà inerenti tagħhom, u tirrelata dawk il-klassijiet ma 'xulxin. Problema tal-komputazzjoni hija mifhuma bħala kompitu li fil-prinċipju huwa li jista 'jiġi solvut minn kompjuter, li huwa ekwivalenti li jiddikjara li l-problema tista' tissolva bl-applikazzjoni mekkanika ta 'passi matematiċi, bħal algoritmu.</v>
      </c>
    </row>
    <row r="21720" ht="15.75" customHeight="1">
      <c r="A21720" s="2" t="s">
        <v>21720</v>
      </c>
      <c r="B21720" s="2" t="str">
        <f>IFERROR(__xludf.DUMMYFUNCTION("GOOGLETRANSLATE(A21720, ""en"", ""mt"")"),"Dynasty Liao")</f>
        <v>Dynasty Liao</v>
      </c>
    </row>
    <row r="21721" ht="15.75" customHeight="1">
      <c r="A21721" s="2" t="s">
        <v>21721</v>
      </c>
      <c r="B21721" s="2" t="str">
        <f>IFERROR(__xludf.DUMMYFUNCTION("GOOGLETRANSLATE(A21721, ""en"", ""mt"")"),"Fuq liema kien ibbażat l-ewwel imperu Ingliż?")</f>
        <v>Fuq liema kien ibbażat l-ewwel imperu Ingliż?</v>
      </c>
    </row>
    <row r="21722" ht="15.75" customHeight="1">
      <c r="A21722" s="2" t="s">
        <v>21722</v>
      </c>
      <c r="B21722" s="2" t="str">
        <f>IFERROR(__xludf.DUMMYFUNCTION("GOOGLETRANSLATE(A21722, ""en"", ""mt"")"),"Film taċ-ċinema ta '8 mm u klipps li ntwerew fuq programmi oħra")</f>
        <v>Film taċ-ċinema ta '8 mm u klipps li ntwerew fuq programmi oħra</v>
      </c>
    </row>
    <row r="21723" ht="15.75" customHeight="1">
      <c r="A21723" s="2" t="s">
        <v>21723</v>
      </c>
      <c r="B21723" s="2" t="str">
        <f>IFERROR(__xludf.DUMMYFUNCTION("GOOGLETRANSLATE(A21723, ""en"", ""mt"")"),"Kundizzjonijiet tal-ħażna, testi obbligatorji, tagħmir")</f>
        <v>Kundizzjonijiet tal-ħażna, testi obbligatorji, tagħmir</v>
      </c>
    </row>
    <row r="21724" ht="15.75" customHeight="1">
      <c r="A21724" s="2" t="s">
        <v>21724</v>
      </c>
      <c r="B21724" s="2" t="str">
        <f>IFERROR(__xludf.DUMMYFUNCTION("GOOGLETRANSLATE(A21724, ""en"", ""mt"")"),"Il-logħba tad-dating")</f>
        <v>Il-logħba tad-dating</v>
      </c>
    </row>
    <row r="21725" ht="15.75" customHeight="1">
      <c r="A21725" s="2" t="s">
        <v>21725</v>
      </c>
      <c r="B21725" s="2" t="str">
        <f>IFERROR(__xludf.DUMMYFUNCTION("GOOGLETRANSLATE(A21725, ""en"", ""mt"")"),"Madankollu, il-fehmiet reliġjużi tiegħu jibqgħu inċerti minħabba dikjarazzjonijiet oħra li għamel. Pereżempju, fl-artiklu tiegħu, ""A Machine to End War"", ippubblikata fl-1937, Tesla ddikjarat:")</f>
        <v>Madankollu, il-fehmiet reliġjużi tiegħu jibqgħu inċerti minħabba dikjarazzjonijiet oħra li għamel. Pereżempju, fl-artiklu tiegħu, "A Machine to End War", ippubblikata fl-1937, Tesla ddikjarat:</v>
      </c>
    </row>
    <row r="21726" ht="15.75" customHeight="1">
      <c r="A21726" s="2" t="s">
        <v>21726</v>
      </c>
      <c r="B21726" s="2" t="str">
        <f>IFERROR(__xludf.DUMMYFUNCTION("GOOGLETRANSLATE(A21726, ""en"", ""mt"")"),"jibqgħu siekta jekk għamlu l-avversarji tiegħu")</f>
        <v>jibqgħu siekta jekk għamlu l-avversarji tiegħu</v>
      </c>
    </row>
    <row r="21727" ht="15.75" customHeight="1">
      <c r="A21727" s="2" t="s">
        <v>21727</v>
      </c>
      <c r="B21727" s="2" t="str">
        <f>IFERROR(__xludf.DUMMYFUNCTION("GOOGLETRANSLATE(A21727, ""en"", ""mt"")"),"Fuq xiex jiddependi l-fluss tar-Rhine li jkun viżibbli?")</f>
        <v>Fuq xiex jiddependi l-fluss tar-Rhine li jkun viżibbli?</v>
      </c>
    </row>
    <row r="21728" ht="15.75" customHeight="1">
      <c r="A21728" s="2" t="s">
        <v>21728</v>
      </c>
      <c r="B21728" s="2" t="str">
        <f>IFERROR(__xludf.DUMMYFUNCTION("GOOGLETRANSLATE(A21728, ""en"", ""mt"")"),"Robert Curthose")</f>
        <v>Robert Curthose</v>
      </c>
    </row>
    <row r="21729" ht="15.75" customHeight="1">
      <c r="A21729" s="2" t="s">
        <v>21729</v>
      </c>
      <c r="B21729" s="2" t="str">
        <f>IFERROR(__xludf.DUMMYFUNCTION("GOOGLETRANSLATE(A21729, ""en"", ""mt"")"),"Liema persuna għenet biex tistabbilixxi l-iskola b'donazzjoni?")</f>
        <v>Liema persuna għenet biex tistabbilixxi l-iskola b'donazzjoni?</v>
      </c>
    </row>
    <row r="21730" ht="15.75" customHeight="1">
      <c r="A21730" s="2" t="s">
        <v>21730</v>
      </c>
      <c r="B21730" s="2" t="str">
        <f>IFERROR(__xludf.DUMMYFUNCTION("GOOGLETRANSLATE(A21730, ""en"", ""mt"")"),"2p + 1")</f>
        <v>2p + 1</v>
      </c>
    </row>
    <row r="21731" ht="15.75" customHeight="1">
      <c r="A21731" s="2" t="s">
        <v>21731</v>
      </c>
      <c r="B21731" s="2" t="str">
        <f>IFERROR(__xludf.DUMMYFUNCTION("GOOGLETRANSLATE(A21731, ""en"", ""mt"")"),"Streptococcus (Proteina G)")</f>
        <v>Streptococcus (Proteina G)</v>
      </c>
    </row>
    <row r="21732" ht="15.75" customHeight="1">
      <c r="A21732" s="2" t="s">
        <v>21732</v>
      </c>
      <c r="B21732" s="2" t="str">
        <f>IFERROR(__xludf.DUMMYFUNCTION("GOOGLETRANSLATE(A21732, ""en"", ""mt"")"),"Modulu tas-Servizz (SM)")</f>
        <v>Modulu tas-Servizz (SM)</v>
      </c>
    </row>
    <row r="21733" ht="15.75" customHeight="1">
      <c r="A21733" s="2" t="s">
        <v>21733</v>
      </c>
      <c r="B21733" s="2" t="str">
        <f>IFERROR(__xludf.DUMMYFUNCTION("GOOGLETRANSLATE(A21733, ""en"", ""mt"")"),"Kemm kien komuni ta 'tip ta' kastig korporali fl-iskejjel?")</f>
        <v>Kemm kien komuni ta 'tip ta' kastig korporali fl-iskejjel?</v>
      </c>
    </row>
    <row r="21734" ht="15.75" customHeight="1">
      <c r="A21734" s="2" t="s">
        <v>21734</v>
      </c>
      <c r="B21734" s="2" t="str">
        <f>IFERROR(__xludf.DUMMYFUNCTION("GOOGLETRANSLATE(A21734, ""en"", ""mt"")"),"Semmi żewġ serje li ilhom jibdew mill-ġdid aktar milli kontinwi.")</f>
        <v>Semmi żewġ serje li ilhom jibdew mill-ġdid aktar milli kontinwi.</v>
      </c>
    </row>
    <row r="21735" ht="15.75" customHeight="1">
      <c r="A21735" s="2" t="s">
        <v>21735</v>
      </c>
      <c r="B21735" s="2" t="str">
        <f>IFERROR(__xludf.DUMMYFUNCTION("GOOGLETRANSLATE(A21735, ""en"", ""mt"")"),"Formalizza front unifikat fil-kummerċ u n-negozjati ma 'diversi Indjani, peress li l-lealtà tad-diversi tribujiet u nazzjonijiet kienet meqjusa bħala kruċjali")</f>
        <v>Formalizza front unifikat fil-kummerċ u n-negozjati ma 'diversi Indjani, peress li l-lealtà tad-diversi tribujiet u nazzjonijiet kienet meqjusa bħala kruċjali</v>
      </c>
    </row>
    <row r="21736" ht="15.75" customHeight="1">
      <c r="A21736" s="2" t="s">
        <v>21736</v>
      </c>
      <c r="B21736" s="2" t="str">
        <f>IFERROR(__xludf.DUMMYFUNCTION("GOOGLETRANSLATE(A21736, ""en"", ""mt"")"),"Qwest")</f>
        <v>Qwest</v>
      </c>
    </row>
    <row r="21737" ht="15.75" customHeight="1">
      <c r="A21737" s="2" t="s">
        <v>21737</v>
      </c>
      <c r="B21737" s="2" t="str">
        <f>IFERROR(__xludf.DUMMYFUNCTION("GOOGLETRANSLATE(A21737, ""en"", ""mt"")"),"X'inhuma x-xandiriet kriptati free-to-air magħrufa bħala?")</f>
        <v>X'inhuma x-xandiriet kriptati free-to-air magħrufa bħala?</v>
      </c>
    </row>
    <row r="21738" ht="15.75" customHeight="1">
      <c r="A21738" s="2" t="s">
        <v>21738</v>
      </c>
      <c r="B21738" s="2" t="str">
        <f>IFERROR(__xludf.DUMMYFUNCTION("GOOGLETRANSLATE(A21738, ""en"", ""mt"")"),"X'inhu r-riċettur li ċ-ċelloli T qattiel jużaw biex jorbtu ma 'antiġeni speċifiċi li huma kumplessi mar-riċettur tal-klassi 1 MHC ta' ċellula oħra?")</f>
        <v>X'inhu r-riċettur li ċ-ċelloli T qattiel jużaw biex jorbtu ma 'antiġeni speċifiċi li huma kumplessi mar-riċettur tal-klassi 1 MHC ta' ċellula oħra?</v>
      </c>
    </row>
    <row r="21739" ht="15.75" customHeight="1">
      <c r="A21739" s="2" t="s">
        <v>21739</v>
      </c>
      <c r="B21739" s="2" t="str">
        <f>IFERROR(__xludf.DUMMYFUNCTION("GOOGLETRANSLATE(A21739, ""en"", ""mt"")"),"Xingu")</f>
        <v>Xingu</v>
      </c>
    </row>
    <row r="21740" ht="15.75" customHeight="1">
      <c r="A21740" s="2" t="s">
        <v>21740</v>
      </c>
      <c r="B21740" s="2" t="str">
        <f>IFERROR(__xludf.DUMMYFUNCTION("GOOGLETRANSLATE(A21740, ""en"", ""mt"")"),"Kemm kienu jafu l-imperaturi Mongoljani?")</f>
        <v>Kemm kienu jafu l-imperaturi Mongoljani?</v>
      </c>
    </row>
    <row r="21741" ht="15.75" customHeight="1">
      <c r="A21741" s="2" t="s">
        <v>21741</v>
      </c>
      <c r="B21741" s="2" t="str">
        <f>IFERROR(__xludf.DUMMYFUNCTION("GOOGLETRANSLATE(A21741, ""en"", ""mt"")"),"Ċittadinanza")</f>
        <v>Ċittadinanza</v>
      </c>
    </row>
    <row r="21742" ht="15.75" customHeight="1">
      <c r="A21742" s="2" t="s">
        <v>21742</v>
      </c>
      <c r="B21742" s="2" t="str">
        <f>IFERROR(__xludf.DUMMYFUNCTION("GOOGLETRANSLATE(A21742, ""en"", ""mt"")"),"Istitut Amerikan tal-Inġiniera Elettriċi")</f>
        <v>Istitut Amerikan tal-Inġiniera Elettriċi</v>
      </c>
    </row>
    <row r="21743" ht="15.75" customHeight="1">
      <c r="A21743" s="2" t="s">
        <v>21743</v>
      </c>
      <c r="B21743" s="2" t="str">
        <f>IFERROR(__xludf.DUMMYFUNCTION("GOOGLETRANSLATE(A21743, ""en"", ""mt"")"),"Fejn huma n-nixxigħat li jinqabdu r-Renu?")</f>
        <v>Fejn huma n-nixxigħat li jinqabdu r-Renu?</v>
      </c>
    </row>
    <row r="21744" ht="15.75" customHeight="1">
      <c r="A21744" s="2" t="s">
        <v>21744</v>
      </c>
      <c r="B21744" s="2" t="str">
        <f>IFERROR(__xludf.DUMMYFUNCTION("GOOGLETRANSLATE(A21744, ""en"", ""mt"")"),"Wara l-għaqda tal-ABC u l-Bliet Kapitali, min kien il-president ta 'ABC News u ABC Sports?")</f>
        <v>Wara l-għaqda tal-ABC u l-Bliet Kapitali, min kien il-president ta 'ABC News u ABC Sports?</v>
      </c>
    </row>
    <row r="21745" ht="15.75" customHeight="1">
      <c r="A21745" s="2" t="s">
        <v>21745</v>
      </c>
      <c r="B21745" s="2" t="str">
        <f>IFERROR(__xludf.DUMMYFUNCTION("GOOGLETRANSLATE(A21745, ""en"", ""mt"")"),"Modulu tal-Kmand")</f>
        <v>Modulu tal-Kmand</v>
      </c>
    </row>
    <row r="21746" ht="15.75" customHeight="1">
      <c r="A21746" s="2" t="s">
        <v>21746</v>
      </c>
      <c r="B21746" s="2" t="str">
        <f>IFERROR(__xludf.DUMMYFUNCTION("GOOGLETRANSLATE(A21746, ""en"", ""mt"")"),"62,528")</f>
        <v>62,528</v>
      </c>
    </row>
    <row r="21747" ht="15.75" customHeight="1">
      <c r="A21747" s="2" t="s">
        <v>21747</v>
      </c>
      <c r="B21747" s="2" t="str">
        <f>IFERROR(__xludf.DUMMYFUNCTION("GOOGLETRANSLATE(A21747, ""en"", ""mt"")"),"Min inkluda 1 bħala l-ewwel numru ewlieni f'nofs is-seklu 18?")</f>
        <v>Min inkluda 1 bħala l-ewwel numru ewlieni f'nofs is-seklu 18?</v>
      </c>
    </row>
    <row r="21748" ht="15.75" customHeight="1">
      <c r="A21748" s="2" t="s">
        <v>21748</v>
      </c>
      <c r="B21748" s="2" t="str">
        <f>IFERROR(__xludf.DUMMYFUNCTION("GOOGLETRANSLATE(A21748, ""en"", ""mt"")"),"X'inhu jikkontrolla l-pagi fil-mod ta 'produzzjoni purament kapitalist?")</f>
        <v>X'inhu jikkontrolla l-pagi fil-mod ta 'produzzjoni purament kapitalist?</v>
      </c>
    </row>
    <row r="21749" ht="15.75" customHeight="1">
      <c r="A21749" s="2" t="s">
        <v>21749</v>
      </c>
      <c r="B21749" s="2" t="str">
        <f>IFERROR(__xludf.DUMMYFUNCTION("GOOGLETRANSLATE(A21749, ""en"", ""mt"")"),"Ma 'min iffirma Rollo t-Trattat ta' Saint-Clair-sur-Epte?")</f>
        <v>Ma 'min iffirma Rollo t-Trattat ta' Saint-Clair-sur-Epte?</v>
      </c>
    </row>
    <row r="21750" ht="15.75" customHeight="1">
      <c r="A21750" s="2" t="s">
        <v>21750</v>
      </c>
      <c r="B21750" s="2" t="str">
        <f>IFERROR(__xludf.DUMMYFUNCTION("GOOGLETRANSLATE(A21750, ""en"", ""mt"")"),"Id-dokumenti ta 'liema kittieb Ingliż famuż ta' kotba tat-tfal bħal The Tale of Peter Rabbit jinġabru fil-mużew?")</f>
        <v>Id-dokumenti ta 'liema kittieb Ingliż famuż ta' kotba tat-tfal bħal The Tale of Peter Rabbit jinġabru fil-mużew?</v>
      </c>
    </row>
    <row r="21751" ht="15.75" customHeight="1">
      <c r="A21751" s="2" t="s">
        <v>21751</v>
      </c>
      <c r="B21751" s="2" t="str">
        <f>IFERROR(__xludf.DUMMYFUNCTION("GOOGLETRANSLATE(A21751, ""en"", ""mt"")"),"jikteb ktieb ta ’ħames volum fil-Grieg nattiv tiegħu")</f>
        <v>jikteb ktieb ta ’ħames volum fil-Grieg nattiv tiegħu</v>
      </c>
    </row>
    <row r="21752" ht="15.75" customHeight="1">
      <c r="A21752" s="2" t="s">
        <v>21752</v>
      </c>
      <c r="B21752" s="2" t="str">
        <f>IFERROR(__xludf.DUMMYFUNCTION("GOOGLETRANSLATE(A21752, ""en"", ""mt"")"),"Min għamel Kreditu Tesla għall-abbiltajiet tiegħu?")</f>
        <v>Min għamel Kreditu Tesla għall-abbiltajiet tiegħu?</v>
      </c>
    </row>
    <row r="21753" ht="15.75" customHeight="1">
      <c r="A21753" s="2" t="s">
        <v>21753</v>
      </c>
      <c r="B21753" s="2" t="str">
        <f>IFERROR(__xludf.DUMMYFUNCTION("GOOGLETRANSLATE(A21753, ""en"", ""mt"")"),"Xi jfisser li l-MSP taqsam mal-House of Commons?")</f>
        <v>Xi jfisser li l-MSP taqsam mal-House of Commons?</v>
      </c>
    </row>
    <row r="21754" ht="15.75" customHeight="1">
      <c r="A21754" s="2" t="s">
        <v>21754</v>
      </c>
      <c r="B21754" s="2" t="str">
        <f>IFERROR(__xludf.DUMMYFUNCTION("GOOGLETRANSLATE(A21754, ""en"", ""mt"")"),"Iġġenera l-enerġija ATP")</f>
        <v>Iġġenera l-enerġija ATP</v>
      </c>
    </row>
    <row r="21755" ht="15.75" customHeight="1">
      <c r="A21755" s="2" t="s">
        <v>21755</v>
      </c>
      <c r="B21755" s="2" t="str">
        <f>IFERROR(__xludf.DUMMYFUNCTION("GOOGLETRANSLATE(A21755, ""en"", ""mt"")"),"Wara l-gwerra Franco-Ġermaniża")</f>
        <v>Wara l-gwerra Franco-Ġermaniża</v>
      </c>
    </row>
    <row r="21756" ht="15.75" customHeight="1">
      <c r="A21756" s="2" t="s">
        <v>21756</v>
      </c>
      <c r="B21756" s="2" t="str">
        <f>IFERROR(__xludf.DUMMYFUNCTION("GOOGLETRANSLATE(A21756, ""en"", ""mt"")"),"Qatt")</f>
        <v>Qatt</v>
      </c>
    </row>
    <row r="21757" ht="15.75" customHeight="1">
      <c r="A21757" s="2" t="s">
        <v>21757</v>
      </c>
      <c r="B21757" s="2" t="str">
        <f>IFERROR(__xludf.DUMMYFUNCTION("GOOGLETRANSLATE(A21757, ""en"", ""mt"")"),"Professjonisti tal-kura tas-saħħa")</f>
        <v>Professjonisti tal-kura tas-saħħa</v>
      </c>
    </row>
    <row r="21758" ht="15.75" customHeight="1">
      <c r="A21758" s="2" t="s">
        <v>21758</v>
      </c>
      <c r="B21758" s="2" t="str">
        <f>IFERROR(__xludf.DUMMYFUNCTION("GOOGLETRANSLATE(A21758, ""en"", ""mt"")"),"Aktar ugwaljanza fid-distribuzzjoni tad-dħul")</f>
        <v>Aktar ugwaljanza fid-distribuzzjoni tad-dħul</v>
      </c>
    </row>
    <row r="21759" ht="15.75" customHeight="1">
      <c r="A21759" s="2" t="s">
        <v>21759</v>
      </c>
      <c r="B21759" s="2" t="str">
        <f>IFERROR(__xludf.DUMMYFUNCTION("GOOGLETRANSLATE(A21759, ""en"", ""mt"")"),"tagħlim")</f>
        <v>tagħlim</v>
      </c>
    </row>
    <row r="21760" ht="15.75" customHeight="1">
      <c r="A21760" s="2" t="s">
        <v>21760</v>
      </c>
      <c r="B21760" s="2" t="str">
        <f>IFERROR(__xludf.DUMMYFUNCTION("GOOGLETRANSLATE(A21760, ""en"", ""mt"")"),"Kif hija msemmija l-molekula O2 fl-istat tal-art tagħha?")</f>
        <v>Kif hija msemmija l-molekula O2 fl-istat tal-art tagħha?</v>
      </c>
    </row>
    <row r="21761" ht="15.75" customHeight="1">
      <c r="A21761" s="2" t="s">
        <v>21761</v>
      </c>
      <c r="B21761" s="2" t="str">
        <f>IFERROR(__xludf.DUMMYFUNCTION("GOOGLETRANSLATE(A21761, ""en"", ""mt"")"),"F'liema sena ngħataw ix-xogħlijiet ta 'Rodin lill-V &amp; A?")</f>
        <v>F'liema sena ngħataw ix-xogħlijiet ta 'Rodin lill-V &amp; A?</v>
      </c>
    </row>
    <row r="21762" ht="15.75" customHeight="1">
      <c r="A21762" s="2" t="s">
        <v>21762</v>
      </c>
      <c r="B21762" s="2" t="str">
        <f>IFERROR(__xludf.DUMMYFUNCTION("GOOGLETRANSLATE(A21762, ""en"", ""mt"")"),"Deforestazzjoni")</f>
        <v>Deforestazzjoni</v>
      </c>
    </row>
    <row r="21763" ht="15.75" customHeight="1">
      <c r="A21763" s="2" t="s">
        <v>21763</v>
      </c>
      <c r="B21763" s="2" t="str">
        <f>IFERROR(__xludf.DUMMYFUNCTION("GOOGLETRANSLATE(A21763, ""en"", ""mt"")"),"Frank Marx")</f>
        <v>Frank Marx</v>
      </c>
    </row>
    <row r="21764" ht="15.75" customHeight="1">
      <c r="A21764" s="2" t="s">
        <v>21764</v>
      </c>
      <c r="B21764" s="2" t="str">
        <f>IFERROR(__xludf.DUMMYFUNCTION("GOOGLETRANSLATE(A21764, ""en"", ""mt"")"),"Kull tmien snin")</f>
        <v>Kull tmien snin</v>
      </c>
    </row>
    <row r="21765" ht="15.75" customHeight="1">
      <c r="A21765" s="2" t="s">
        <v>21765</v>
      </c>
      <c r="B21765" s="2" t="str">
        <f>IFERROR(__xludf.DUMMYFUNCTION("GOOGLETRANSLATE(A21765, ""en"", ""mt"")"),"Fuq min jistgħu l-għalliema jiffokaw fuq, sabiex jipprijoritizzaw l-attenzjoni?")</f>
        <v>Fuq min jistgħu l-għalliema jiffokaw fuq, sabiex jipprijoritizzaw l-attenzjoni?</v>
      </c>
    </row>
    <row r="21766" ht="15.75" customHeight="1">
      <c r="A21766" s="2" t="s">
        <v>21766</v>
      </c>
      <c r="B21766" s="2" t="str">
        <f>IFERROR(__xludf.DUMMYFUNCTION("GOOGLETRANSLATE(A21766, ""en"", ""mt"")"),"Min hi l-akbar kumpanija tat-televiżjoni diġitali tar-Renju Unit?")</f>
        <v>Min hi l-akbar kumpanija tat-televiżjoni diġitali tar-Renju Unit?</v>
      </c>
    </row>
    <row r="21767" ht="15.75" customHeight="1">
      <c r="A21767" s="2" t="s">
        <v>21767</v>
      </c>
      <c r="B21767" s="2" t="str">
        <f>IFERROR(__xludf.DUMMYFUNCTION("GOOGLETRANSLATE(A21767, ""en"", ""mt"")")," Liema entità għamlet il-fehma li l-għanijiet tal-kummerċ ħieles huma msejsa mill-għanijiet li jtejbu l-benesseri tan-nies?")</f>
        <v> Liema entità għamlet il-fehma li l-għanijiet tal-kummerċ ħieles huma msejsa mill-għanijiet li jtejbu l-benesseri tan-nies?</v>
      </c>
    </row>
    <row r="21768" ht="15.75" customHeight="1">
      <c r="A21768" s="2" t="s">
        <v>21768</v>
      </c>
      <c r="B21768" s="2" t="str">
        <f>IFERROR(__xludf.DUMMYFUNCTION("GOOGLETRANSLATE(A21768, ""en"", ""mt"")"),"Yo yo ma")</f>
        <v>Yo yo ma</v>
      </c>
    </row>
    <row r="21769" ht="15.75" customHeight="1">
      <c r="A21769" s="2" t="s">
        <v>21769</v>
      </c>
      <c r="B21769" s="2" t="str">
        <f>IFERROR(__xludf.DUMMYFUNCTION("GOOGLETRANSLATE(A21769, ""en"", ""mt"")"),"Xi kloroplasti fihom struttura msejħa r-retikolu periferali tal-kloroplast. Ħafna drabi jinstab fil-kloroplasti tal-pjanti C4, għalkemm instab ukoll f'xi anġjospermi C3, u anke f'xi ġinnasju. Ir-retikolu periferali tal-kloroplast jikkonsisti minn labirint"&amp;" ta 'tubi membranużi u vesikuli kontinwi bil-membrana ta' kloroplast ta 'ġewwa li testendi fil-fluwidu stromali intern tal-kloroplast. L-iskop tiegħu huwa maħsub li huwa li żżid l-erja tal-kloroplast għat-trasport tal-membrana bejn l-istoma u ċ-ċitoplasma"&amp;" taċ-ċellula. Il-vesikuli żgħar xi kultant osservati jistgħu jservu bħala vesikuli tat-trasport biex jegħlbu l-għalf bejn it-tilkoids u l-ispazju intermembrane.")</f>
        <v>Xi kloroplasti fihom struttura msejħa r-retikolu periferali tal-kloroplast. Ħafna drabi jinstab fil-kloroplasti tal-pjanti C4, għalkemm instab ukoll f'xi anġjospermi C3, u anke f'xi ġinnasju. Ir-retikolu periferali tal-kloroplast jikkonsisti minn labirint ta 'tubi membranużi u vesikuli kontinwi bil-membrana ta' kloroplast ta 'ġewwa li testendi fil-fluwidu stromali intern tal-kloroplast. L-iskop tiegħu huwa maħsub li huwa li żżid l-erja tal-kloroplast għat-trasport tal-membrana bejn l-istoma u ċ-ċitoplasma taċ-ċellula. Il-vesikuli żgħar xi kultant osservati jistgħu jservu bħala vesikuli tat-trasport biex jegħlbu l-għalf bejn it-tilkoids u l-ispazju intermembrane.</v>
      </c>
    </row>
    <row r="21770" ht="15.75" customHeight="1">
      <c r="A21770" s="2" t="s">
        <v>21770</v>
      </c>
      <c r="B21770" s="2" t="str">
        <f>IFERROR(__xludf.DUMMYFUNCTION("GOOGLETRANSLATE(A21770, ""en"", ""mt"")"),"Wara nofsinhar tat-2 ta 'Mejju")</f>
        <v>Wara nofsinhar tat-2 ta 'Mejju</v>
      </c>
    </row>
    <row r="21771" ht="15.75" customHeight="1">
      <c r="A21771" s="2" t="s">
        <v>21771</v>
      </c>
      <c r="B21771" s="2" t="str">
        <f>IFERROR(__xludf.DUMMYFUNCTION("GOOGLETRANSLATE(A21771, ""en"", ""mt"")"),"fond")</f>
        <v>fond</v>
      </c>
    </row>
    <row r="21772" ht="15.75" customHeight="1">
      <c r="A21772" s="2" t="s">
        <v>21772</v>
      </c>
      <c r="B21772" s="2" t="str">
        <f>IFERROR(__xludf.DUMMYFUNCTION("GOOGLETRANSLATE(A21772, ""en"", ""mt"")"),"Kopertura ta 'qabel il-logħba u f'ħin il-mistrieħ.")</f>
        <v>Kopertura ta 'qabel il-logħba u f'ħin il-mistrieħ.</v>
      </c>
    </row>
    <row r="21773" ht="15.75" customHeight="1">
      <c r="A21773" s="2" t="s">
        <v>21773</v>
      </c>
      <c r="B21773" s="2" t="str">
        <f>IFERROR(__xludf.DUMMYFUNCTION("GOOGLETRANSLATE(A21773, ""en"", ""mt"")"),"Fl-1886 Tesla ltaqgħet ma ’Alfred S. Brown, superintendent tal-Western Union, u l-avukat ta’ New York Charles F. Peck. Iż-żewġt irġiel kellhom esperjenza fit-twaqqif ta 'kumpaniji u jippromwovu invenzjonijiet u privattivi għal qligħ finanzjarju. Ibbażat f"&amp;"uq il-privattivi ta 'Tesla u ideat oħra huma qablu li jappoġġjawh finanzjarjament u jimmaniġġjaw il-privattivi tiegħu. Flimkien f'April 1887 huma ffurmaw it-Tesla Electric Company bi ftehim li l-profitti minn privattivi ġġenerati jmorru ⅓ għal Tesla, ⅓ għ"&amp;"al Peck u Brown, u ⅓ biex jiffinanzjaw l-iżvilupp. Huma waqqfu laboratorju għal Tesla fi 89 Liberty Street f'Manhattan fejn ħadem fuq it-titjib u l-iżvilupp ta 'tipi ġodda ta' muturi elettriċi, ġeneraturi u apparati oħra.")</f>
        <v>Fl-1886 Tesla ltaqgħet ma ’Alfred S. Brown, superintendent tal-Western Union, u l-avukat ta’ New York Charles F. Peck. Iż-żewġt irġiel kellhom esperjenza fit-twaqqif ta 'kumpaniji u jippromwovu invenzjonijiet u privattivi għal qligħ finanzjarju. Ibbażat fuq il-privattivi ta 'Tesla u ideat oħra huma qablu li jappoġġjawh finanzjarjament u jimmaniġġjaw il-privattivi tiegħu. Flimkien f'April 1887 huma ffurmaw it-Tesla Electric Company bi ftehim li l-profitti minn privattivi ġġenerati jmorru ⅓ għal Tesla, ⅓ għal Peck u Brown, u ⅓ biex jiffinanzjaw l-iżvilupp. Huma waqqfu laboratorju għal Tesla fi 89 Liberty Street f'Manhattan fejn ħadem fuq it-titjib u l-iżvilupp ta 'tipi ġodda ta' muturi elettriċi, ġeneraturi u apparati oħra.</v>
      </c>
    </row>
    <row r="21774" ht="15.75" customHeight="1">
      <c r="A21774" s="2" t="s">
        <v>21774</v>
      </c>
      <c r="B21774" s="2" t="str">
        <f>IFERROR(__xludf.DUMMYFUNCTION("GOOGLETRANSLATE(A21774, ""en"", ""mt"")"),"Michael Jayston")</f>
        <v>Michael Jayston</v>
      </c>
    </row>
    <row r="21775" ht="15.75" customHeight="1">
      <c r="A21775" s="2" t="s">
        <v>21775</v>
      </c>
      <c r="B21775" s="2" t="str">
        <f>IFERROR(__xludf.DUMMYFUNCTION("GOOGLETRANSLATE(A21775, ""en"", ""mt"")"),"Jekk kwistjoni ma tkunx riservata speċifikament, għal min hu devolut?")</f>
        <v>Jekk kwistjoni ma tkunx riservata speċifikament, għal min hu devolut?</v>
      </c>
    </row>
    <row r="21776" ht="15.75" customHeight="1">
      <c r="A21776" s="2" t="s">
        <v>21776</v>
      </c>
      <c r="B21776" s="2" t="str">
        <f>IFERROR(__xludf.DUMMYFUNCTION("GOOGLETRANSLATE(A21776, ""en"", ""mt"")"),"22,000")</f>
        <v>22,000</v>
      </c>
    </row>
    <row r="21777" ht="15.75" customHeight="1">
      <c r="A21777" s="2" t="s">
        <v>21777</v>
      </c>
      <c r="B21777" s="2" t="str">
        <f>IFERROR(__xludf.DUMMYFUNCTION("GOOGLETRANSLATE(A21777, ""en"", ""mt"")"),"ħamrija moderna")</f>
        <v>ħamrija moderna</v>
      </c>
    </row>
    <row r="21778" ht="15.75" customHeight="1">
      <c r="A21778" s="2" t="s">
        <v>21778</v>
      </c>
      <c r="B21778" s="2" t="str">
        <f>IFERROR(__xludf.DUMMYFUNCTION("GOOGLETRANSLATE(A21778, ""en"", ""mt"")"),"5 ta 'Settembru, 1985")</f>
        <v>5 ta 'Settembru, 1985</v>
      </c>
    </row>
    <row r="21779" ht="15.75" customHeight="1">
      <c r="A21779" s="2" t="s">
        <v>21779</v>
      </c>
      <c r="B21779" s="2" t="str">
        <f>IFERROR(__xludf.DUMMYFUNCTION("GOOGLETRANSLATE(A21779, ""en"", ""mt"")"),"Denominazzjoni Protestanti")</f>
        <v>Denominazzjoni Protestanti</v>
      </c>
    </row>
    <row r="21780" ht="15.75" customHeight="1">
      <c r="A21780" s="2" t="s">
        <v>21780</v>
      </c>
      <c r="B21780" s="2" t="str">
        <f>IFERROR(__xludf.DUMMYFUNCTION("GOOGLETRANSLATE(A21780, ""en"", ""mt"")"),"30 kPa")</f>
        <v>30 kPa</v>
      </c>
    </row>
    <row r="21781" ht="15.75" customHeight="1">
      <c r="A21781" s="2" t="s">
        <v>21781</v>
      </c>
      <c r="B21781" s="2" t="str">
        <f>IFERROR(__xludf.DUMMYFUNCTION("GOOGLETRANSLATE(A21781, ""en"", ""mt"")"),"17 ta ’Diċembru 1941")</f>
        <v>17 ta ’Diċembru 1941</v>
      </c>
    </row>
    <row r="21782" ht="15.75" customHeight="1">
      <c r="A21782" s="2" t="s">
        <v>21782</v>
      </c>
      <c r="B21782" s="2" t="str">
        <f>IFERROR(__xludf.DUMMYFUNCTION("GOOGLETRANSLATE(A21782, ""en"", ""mt"")"),"X'tip ta 'distribuzzjoni ewlenija tipproponi l-ipoteżi ta' Riemann hija vera wkoll għal intervalli qosra qrib X?")</f>
        <v>X'tip ta 'distribuzzjoni ewlenija tipproponi l-ipoteżi ta' Riemann hija vera wkoll għal intervalli qosra qrib X?</v>
      </c>
    </row>
    <row r="21783" ht="15.75" customHeight="1">
      <c r="A21783" s="2" t="s">
        <v>21783</v>
      </c>
      <c r="B21783" s="2" t="str">
        <f>IFERROR(__xludf.DUMMYFUNCTION("GOOGLETRANSLATE(A21783, ""en"", ""mt"")"),"Liema influwenza Al Banna xtaqet telimina mid-dinja Musulmana?")</f>
        <v>Liema influwenza Al Banna xtaqet telimina mid-dinja Musulmana?</v>
      </c>
    </row>
    <row r="21784" ht="15.75" customHeight="1">
      <c r="A21784" s="2" t="s">
        <v>21784</v>
      </c>
      <c r="B21784" s="2" t="str">
        <f>IFERROR(__xludf.DUMMYFUNCTION("GOOGLETRANSLATE(A21784, ""en"", ""mt"")"),"Min kien il-famuż teologu u kittieb Huguenot f'Londra?")</f>
        <v>Min kien il-famuż teologu u kittieb Huguenot f'Londra?</v>
      </c>
    </row>
    <row r="21785" ht="15.75" customHeight="1">
      <c r="A21785" s="2" t="s">
        <v>21785</v>
      </c>
      <c r="B21785" s="2" t="str">
        <f>IFERROR(__xludf.DUMMYFUNCTION("GOOGLETRANSLATE(A21785, ""en"", ""mt"")"),"innovazzjonijiet politiċi")</f>
        <v>innovazzjonijiet politiċi</v>
      </c>
    </row>
    <row r="21786" ht="15.75" customHeight="1">
      <c r="A21786" s="2" t="s">
        <v>21786</v>
      </c>
      <c r="B21786" s="2" t="str">
        <f>IFERROR(__xludf.DUMMYFUNCTION("GOOGLETRANSLATE(A21786, ""en"", ""mt"")"),"It-Trattat ta ’Ruma 1957 u t-Trattat ta’ Maastricht 1992 (issa: TFEU)")</f>
        <v>It-Trattat ta ’Ruma 1957 u t-Trattat ta’ Maastricht 1992 (issa: TFEU)</v>
      </c>
    </row>
    <row r="21787" ht="15.75" customHeight="1">
      <c r="A21787" s="2" t="s">
        <v>21787</v>
      </c>
      <c r="B21787" s="2" t="str">
        <f>IFERROR(__xludf.DUMMYFUNCTION("GOOGLETRANSLATE(A21787, ""en"", ""mt"")"),"Liema parir Thoreau ta lill-kollettur tat-taxxa meta ma setax iwettaq id-dmir tiegħu?")</f>
        <v>Liema parir Thoreau ta lill-kollettur tat-taxxa meta ma setax iwettaq id-dmir tiegħu?</v>
      </c>
    </row>
    <row r="21788" ht="15.75" customHeight="1">
      <c r="A21788" s="2" t="s">
        <v>21788</v>
      </c>
      <c r="B21788" s="2" t="str">
        <f>IFERROR(__xludf.DUMMYFUNCTION("GOOGLETRANSLATE(A21788, ""en"", ""mt"")"),"Huwa mistenni li l-input kontinwu tas-sediment fil-lag se joħroġ il-lag")</f>
        <v>Huwa mistenni li l-input kontinwu tas-sediment fil-lag se joħroġ il-lag</v>
      </c>
    </row>
    <row r="21789" ht="15.75" customHeight="1">
      <c r="A21789" s="2" t="s">
        <v>21789</v>
      </c>
      <c r="B21789" s="2" t="str">
        <f>IFERROR(__xludf.DUMMYFUNCTION("GOOGLETRANSLATE(A21789, ""en"", ""mt"")"),"Khorasan")</f>
        <v>Khorasan</v>
      </c>
    </row>
    <row r="21790" ht="15.75" customHeight="1">
      <c r="A21790" s="2" t="s">
        <v>21790</v>
      </c>
      <c r="B21790" s="2" t="str">
        <f>IFERROR(__xludf.DUMMYFUNCTION("GOOGLETRANSLATE(A21790, ""en"", ""mt"")"),"X'inhi l-espressjoni użata biex tidentifika kwalunkwe serje partikolari ta 'problemi li kapaċi tissolva fiż-żmien fuq magna tat-Turing deterministika?")</f>
        <v>X'inhi l-espressjoni użata biex tidentifika kwalunkwe serje partikolari ta 'problemi li kapaċi tissolva fiż-żmien fuq magna tat-Turing deterministika?</v>
      </c>
    </row>
    <row r="21791" ht="15.75" customHeight="1">
      <c r="A21791" s="2" t="s">
        <v>21791</v>
      </c>
      <c r="B21791" s="2" t="str">
        <f>IFERROR(__xludf.DUMMYFUNCTION("GOOGLETRANSLATE(A21791, ""en"", ""mt"")"),"Meta Ġappun ħareġ dikjarazzjoni li tgħid lill-Iżraeljani biex jirtiraw mill-Palestina?")</f>
        <v>Meta Ġappun ħareġ dikjarazzjoni li tgħid lill-Iżraeljani biex jirtiraw mill-Palestina?</v>
      </c>
    </row>
    <row r="21792" ht="15.75" customHeight="1">
      <c r="A21792" s="2" t="s">
        <v>21792</v>
      </c>
      <c r="B21792" s="2" t="str">
        <f>IFERROR(__xludf.DUMMYFUNCTION("GOOGLETRANSLATE(A21792, ""en"", ""mt"")"),"Chares """)</f>
        <v>Chares "</v>
      </c>
    </row>
    <row r="21793" ht="15.75" customHeight="1">
      <c r="A21793" s="2" t="s">
        <v>21793</v>
      </c>
      <c r="B21793" s="2" t="str">
        <f>IFERROR(__xludf.DUMMYFUNCTION("GOOGLETRANSLATE(A21793, ""en"", ""mt"")"),"Iddeċidejt li l-privattiva ta 'Tesla probabbilment tikkontrolla s-suq")</f>
        <v>Iddeċidejt li l-privattiva ta 'Tesla probabbilment tikkontrolla s-suq</v>
      </c>
    </row>
    <row r="21794" ht="15.75" customHeight="1">
      <c r="A21794" s="2" t="s">
        <v>21794</v>
      </c>
      <c r="B21794" s="2" t="str">
        <f>IFERROR(__xludf.DUMMYFUNCTION("GOOGLETRANSLATE(A21794, ""en"", ""mt"")"),"Liema avveniment għenu Storch u Muntzer?")</f>
        <v>Liema avveniment għenu Storch u Muntzer?</v>
      </c>
    </row>
    <row r="21795" ht="15.75" customHeight="1">
      <c r="A21795" s="2" t="s">
        <v>21795</v>
      </c>
      <c r="B21795" s="2" t="str">
        <f>IFERROR(__xludf.DUMMYFUNCTION("GOOGLETRANSLATE(A21795, ""en"", ""mt"")"),"Manifatturi u negozjanti Ċiniżi tan-Nofsinhar")</f>
        <v>Manifatturi u negozjanti Ċiniżi tan-Nofsinhar</v>
      </c>
    </row>
    <row r="21796" ht="15.75" customHeight="1">
      <c r="A21796" s="2" t="s">
        <v>21796</v>
      </c>
      <c r="B21796" s="2" t="str">
        <f>IFERROR(__xludf.DUMMYFUNCTION("GOOGLETRANSLATE(A21796, ""en"", ""mt"")"),"aktar minn terz")</f>
        <v>aktar minn terz</v>
      </c>
    </row>
    <row r="21797" ht="15.75" customHeight="1">
      <c r="A21797" s="2" t="s">
        <v>21797</v>
      </c>
      <c r="B21797" s="2" t="str">
        <f>IFERROR(__xludf.DUMMYFUNCTION("GOOGLETRANSLATE(A21797, ""en"", ""mt"")"),"Manhattan")</f>
        <v>Manhattan</v>
      </c>
    </row>
    <row r="21798" ht="15.75" customHeight="1">
      <c r="A21798" s="2" t="s">
        <v>21798</v>
      </c>
      <c r="B21798" s="2" t="str">
        <f>IFERROR(__xludf.DUMMYFUNCTION("GOOGLETRANSLATE(A21798, ""en"", ""mt"")"),"is-smewwiet")</f>
        <v>is-smewwiet</v>
      </c>
    </row>
    <row r="21799" ht="15.75" customHeight="1">
      <c r="A21799" s="2" t="s">
        <v>21799</v>
      </c>
      <c r="B21799" s="2" t="str">
        <f>IFERROR(__xludf.DUMMYFUNCTION("GOOGLETRANSLATE(A21799, ""en"", ""mt"")"),"Tiġdid ta 'ostilitajiet")</f>
        <v>Tiġdid ta 'ostilitajiet</v>
      </c>
    </row>
    <row r="21800" ht="15.75" customHeight="1">
      <c r="A21800" s="2" t="s">
        <v>21800</v>
      </c>
      <c r="B21800" s="2" t="str">
        <f>IFERROR(__xludf.DUMMYFUNCTION("GOOGLETRANSLATE(A21800, ""en"", ""mt"")"),"ħarifa")</f>
        <v>ħarifa</v>
      </c>
    </row>
    <row r="21801" ht="15.75" customHeight="1">
      <c r="A21801" s="2" t="s">
        <v>21801</v>
      </c>
      <c r="B21801" s="2" t="str">
        <f>IFERROR(__xludf.DUMMYFUNCTION("GOOGLETRANSLATE(A21801, ""en"", ""mt"")"),"Enerġija mekkanika netta")</f>
        <v>Enerġija mekkanika netta</v>
      </c>
    </row>
    <row r="21802" ht="15.75" customHeight="1">
      <c r="A21802" s="2" t="s">
        <v>21802</v>
      </c>
      <c r="B21802" s="2" t="str">
        <f>IFERROR(__xludf.DUMMYFUNCTION("GOOGLETRANSLATE(A21802, ""en"", ""mt"")"),"Kemm staġuni pproduċiet it-tabib tal-BBC min?")</f>
        <v>Kemm staġuni pproduċiet it-tabib tal-BBC min?</v>
      </c>
    </row>
    <row r="21803" ht="15.75" customHeight="1">
      <c r="A21803" s="2" t="s">
        <v>21803</v>
      </c>
      <c r="B21803" s="2" t="str">
        <f>IFERROR(__xludf.DUMMYFUNCTION("GOOGLETRANSLATE(A21803, ""en"", ""mt"")"),"Meta ġiet inkorporata d-Dukat Masovjan fil-kuruna Pollakka?")</f>
        <v>Meta ġiet inkorporata d-Dukat Masovjan fil-kuruna Pollakka?</v>
      </c>
    </row>
    <row r="21804" ht="15.75" customHeight="1">
      <c r="A21804" s="2" t="s">
        <v>21804</v>
      </c>
      <c r="B21804" s="2" t="str">
        <f>IFERROR(__xludf.DUMMYFUNCTION("GOOGLETRANSLATE(A21804, ""en"", ""mt"")"),"xogħol u kontroll tal-kwalità")</f>
        <v>xogħol u kontroll tal-kwalità</v>
      </c>
    </row>
    <row r="21805" ht="15.75" customHeight="1">
      <c r="A21805" s="2" t="s">
        <v>21805</v>
      </c>
      <c r="B21805" s="2" t="str">
        <f>IFERROR(__xludf.DUMMYFUNCTION("GOOGLETRANSLATE(A21805, ""en"", ""mt"")"),"Stadju 2")</f>
        <v>Stadju 2</v>
      </c>
    </row>
    <row r="21806" ht="15.75" customHeight="1">
      <c r="A21806" s="2" t="s">
        <v>21806</v>
      </c>
      <c r="B21806" s="2" t="str">
        <f>IFERROR(__xludf.DUMMYFUNCTION("GOOGLETRANSLATE(A21806, ""en"", ""mt"")"),"oġġetti tal-fidda")</f>
        <v>oġġetti tal-fidda</v>
      </c>
    </row>
    <row r="21807" ht="15.75" customHeight="1">
      <c r="A21807" s="2" t="s">
        <v>21807</v>
      </c>
      <c r="B21807" s="2" t="str">
        <f>IFERROR(__xludf.DUMMYFUNCTION("GOOGLETRANSLATE(A21807, ""en"", ""mt"")"),"pagi staġnati")</f>
        <v>pagi staġnati</v>
      </c>
    </row>
    <row r="21808" ht="15.75" customHeight="1">
      <c r="A21808" s="2" t="s">
        <v>21808</v>
      </c>
      <c r="B21808" s="2" t="str">
        <f>IFERROR(__xludf.DUMMYFUNCTION("GOOGLETRANSLATE(A21808, ""en"", ""mt"")"),"Wirt Ingliż.")</f>
        <v>Wirt Ingliż.</v>
      </c>
    </row>
    <row r="21809" ht="15.75" customHeight="1">
      <c r="A21809" s="2" t="s">
        <v>21809</v>
      </c>
      <c r="B21809" s="2" t="str">
        <f>IFERROR(__xludf.DUMMYFUNCTION("GOOGLETRANSLATE(A21809, ""en"", ""mt"")"),"Allat tal-Eġittu,")</f>
        <v>Allat tal-Eġittu,</v>
      </c>
    </row>
    <row r="21810" ht="15.75" customHeight="1">
      <c r="A21810" s="2" t="s">
        <v>21810</v>
      </c>
      <c r="B21810" s="2" t="str">
        <f>IFERROR(__xludf.DUMMYFUNCTION("GOOGLETRANSLATE(A21810, ""en"", ""mt"")"),"Liema viċinat jinsab fil-punent tal-41 Freeway?")</f>
        <v>Liema viċinat jinsab fil-punent tal-41 Freeway?</v>
      </c>
    </row>
    <row r="21811" ht="15.75" customHeight="1">
      <c r="A21811" s="2" t="s">
        <v>21811</v>
      </c>
      <c r="B21811" s="2" t="str">
        <f>IFERROR(__xludf.DUMMYFUNCTION("GOOGLETRANSLATE(A21811, ""en"", ""mt"")"),"kanali tad-drenaġġ")</f>
        <v>kanali tad-drenaġġ</v>
      </c>
    </row>
    <row r="21812" ht="15.75" customHeight="1">
      <c r="A21812" s="2" t="s">
        <v>21812</v>
      </c>
      <c r="B21812" s="2" t="str">
        <f>IFERROR(__xludf.DUMMYFUNCTION("GOOGLETRANSLATE(A21812, ""en"", ""mt"")"),"temperatura ta 'għeluq partikolari")</f>
        <v>temperatura ta 'għeluq partikolari</v>
      </c>
    </row>
    <row r="21813" ht="15.75" customHeight="1">
      <c r="A21813" s="2" t="s">
        <v>21813</v>
      </c>
      <c r="B21813" s="2" t="str">
        <f>IFERROR(__xludf.DUMMYFUNCTION("GOOGLETRANSLATE(A21813, ""en"", ""mt"")"),"X'tip ta 'magni sar popolari għall-ġenerazzjoni tal-enerġija wara magni tal-fwar tal-pistuni?")</f>
        <v>X'tip ta 'magni sar popolari għall-ġenerazzjoni tal-enerġija wara magni tal-fwar tal-pistuni?</v>
      </c>
    </row>
    <row r="21814" ht="15.75" customHeight="1">
      <c r="A21814" s="2" t="s">
        <v>21814</v>
      </c>
      <c r="B21814" s="2" t="str">
        <f>IFERROR(__xludf.DUMMYFUNCTION("GOOGLETRANSLATE(A21814, ""en"", ""mt"")"),"Liema serje Doctor Who Spin-off ġiet ikkummissjonata mill-BBC?")</f>
        <v>Liema serje Doctor Who Spin-off ġiet ikkummissjonata mill-BBC?</v>
      </c>
    </row>
    <row r="21815" ht="15.75" customHeight="1">
      <c r="A21815" s="2" t="s">
        <v>21815</v>
      </c>
      <c r="B21815" s="2" t="str">
        <f>IFERROR(__xludf.DUMMYFUNCTION("GOOGLETRANSLATE(A21815, ""en"", ""mt"")"),"X'kienet id-data tat-tieġ?")</f>
        <v>X'kienet id-data tat-tieġ?</v>
      </c>
    </row>
    <row r="21816" ht="15.75" customHeight="1">
      <c r="A21816" s="2" t="s">
        <v>21816</v>
      </c>
      <c r="B21816" s="2" t="str">
        <f>IFERROR(__xludf.DUMMYFUNCTION("GOOGLETRANSLATE(A21816, ""en"", ""mt"")"),"X'għandhom bżonn ħafna plejers biex jinbidlu matul is-Super Bowl 50 minħabba l-kundizzjoni tal-grawnd?")</f>
        <v>X'għandhom bżonn ħafna plejers biex jinbidlu matul is-Super Bowl 50 minħabba l-kundizzjoni tal-grawnd?</v>
      </c>
    </row>
    <row r="21817" ht="15.75" customHeight="1">
      <c r="A21817" s="2" t="s">
        <v>21817</v>
      </c>
      <c r="B21817" s="2" t="str">
        <f>IFERROR(__xludf.DUMMYFUNCTION("GOOGLETRANSLATE(A21817, ""en"", ""mt"")"),"Belt Manakin")</f>
        <v>Belt Manakin</v>
      </c>
    </row>
    <row r="21818" ht="15.75" customHeight="1">
      <c r="A21818" s="2" t="s">
        <v>21818</v>
      </c>
      <c r="B21818" s="2" t="str">
        <f>IFERROR(__xludf.DUMMYFUNCTION("GOOGLETRANSLATE(A21818, ""en"", ""mt"")"),"Liema forma hija l-karatteristika tal-ilma fil-Ġnien John Makejski?")</f>
        <v>Liema forma hija l-karatteristika tal-ilma fil-Ġnien John Makejski?</v>
      </c>
    </row>
    <row r="21819" ht="15.75" customHeight="1">
      <c r="A21819" s="2" t="s">
        <v>21819</v>
      </c>
      <c r="B21819" s="2" t="str">
        <f>IFERROR(__xludf.DUMMYFUNCTION("GOOGLETRANSLATE(A21819, ""en"", ""mt"")"),"Pressjoni 'l isfel fuq il-pagi")</f>
        <v>Pressjoni 'l isfel fuq il-pagi</v>
      </c>
    </row>
    <row r="21820" ht="15.75" customHeight="1">
      <c r="A21820" s="2" t="s">
        <v>21820</v>
      </c>
      <c r="B21820" s="2" t="str">
        <f>IFERROR(__xludf.DUMMYFUNCTION("GOOGLETRANSLATE(A21820, ""en"", ""mt"")"),"Il-Lega Musulmana kollha tal-Indja")</f>
        <v>Il-Lega Musulmana kollha tal-Indja</v>
      </c>
    </row>
    <row r="21821" ht="15.75" customHeight="1">
      <c r="A21821" s="2" t="s">
        <v>21821</v>
      </c>
      <c r="B21821" s="2" t="str">
        <f>IFERROR(__xludf.DUMMYFUNCTION("GOOGLETRANSLATE(A21821, ""en"", ""mt"")"),"bħala materjali tal-alimentazzjoni")</f>
        <v>bħala materjali tal-alimentazzjoni</v>
      </c>
    </row>
    <row r="21822" ht="15.75" customHeight="1">
      <c r="A21822" s="2" t="s">
        <v>21822</v>
      </c>
      <c r="B21822" s="2" t="str">
        <f>IFERROR(__xludf.DUMMYFUNCTION("GOOGLETRANSLATE(A21822, ""en"", ""mt"")"),"23 ta ’Novembru")</f>
        <v>23 ta ’Novembru</v>
      </c>
    </row>
    <row r="21823" ht="15.75" customHeight="1">
      <c r="A21823" s="2" t="s">
        <v>21823</v>
      </c>
      <c r="B21823" s="2" t="str">
        <f>IFERROR(__xludf.DUMMYFUNCTION("GOOGLETRANSLATE(A21823, ""en"", ""mt"")"),"ABC iġorr avvenimenti ta 'tmiem il-ġimgħa għal liema kompetizzjoni sportiva estrema?")</f>
        <v>ABC iġorr avvenimenti ta 'tmiem il-ġimgħa għal liema kompetizzjoni sportiva estrema?</v>
      </c>
    </row>
    <row r="21824" ht="15.75" customHeight="1">
      <c r="A21824" s="2" t="s">
        <v>21824</v>
      </c>
      <c r="B21824" s="2" t="str">
        <f>IFERROR(__xludf.DUMMYFUNCTION("GOOGLETRANSLATE(A21824, ""en"", ""mt"")"),"awto-determinat")</f>
        <v>awto-determinat</v>
      </c>
    </row>
    <row r="21825" ht="15.75" customHeight="1">
      <c r="A21825" s="2" t="s">
        <v>21825</v>
      </c>
      <c r="B21825" s="2" t="str">
        <f>IFERROR(__xludf.DUMMYFUNCTION("GOOGLETRANSLATE(A21825, ""en"", ""mt"")"),"Fin-negozju, alumni notevoli jinkludu l-Kap Eżekuttiv tal-Microsoft Satya Nadella, il-fundatur tal-Oracle Corporation u t-tielet raġel l-aktar sinjur fl-Amerika Larry Ellison, Goldman Sachs u MF Global CEO kif ukoll ex-gvernatur ta ’New Jersey Jon Jon Cor"&amp;"zine, McKinsey &amp; Company Fundatur u l-awtur tal-ewwel Il-ktieb tal-kontabilità tal-ġestjoni James O. McKinsey, Arley D. Cathey, il-Kap Eżekuttiv ta ’Bloomberg L.P. Daniel Doctoroff, il-Kap Eżekuttiv tal-Credit Suisse Brady Dougan, Morningstar, Inc. Fundat"&amp;"ur u CEO Joe Mansueto, sid ta’ Chicago Cubs u President Thomas S. Ricketts, u l-Kummissarju tal-NBA Adam Silver -")</f>
        <v>Fin-negozju, alumni notevoli jinkludu l-Kap Eżekuttiv tal-Microsoft Satya Nadella, il-fundatur tal-Oracle Corporation u t-tielet raġel l-aktar sinjur fl-Amerika Larry Ellison, Goldman Sachs u MF Global CEO kif ukoll ex-gvernatur ta ’New Jersey Jon Jon Corzine, McKinsey &amp; Company Fundatur u l-awtur tal-ewwel Il-ktieb tal-kontabilità tal-ġestjoni James O. McKinsey, Arley D. Cathey, il-Kap Eżekuttiv ta ’Bloomberg L.P. Daniel Doctoroff, il-Kap Eżekuttiv tal-Credit Suisse Brady Dougan, Morningstar, Inc. Fundatur u CEO Joe Mansueto, sid ta’ Chicago Cubs u President Thomas S. Ricketts, u l-Kummissarju tal-NBA Adam Silver -</v>
      </c>
    </row>
    <row r="21826" ht="15.75" customHeight="1">
      <c r="A21826" s="2" t="s">
        <v>21826</v>
      </c>
      <c r="B21826" s="2" t="str">
        <f>IFERROR(__xludf.DUMMYFUNCTION("GOOGLETRANSLATE(A21826, ""en"", ""mt"")"),"X'inhu isem ieħor biex twieled mill-ġdid?")</f>
        <v>X'inhu isem ieħor biex twieled mill-ġdid?</v>
      </c>
    </row>
    <row r="21827" ht="15.75" customHeight="1">
      <c r="A21827" s="2" t="s">
        <v>21827</v>
      </c>
      <c r="B21827" s="2" t="str">
        <f>IFERROR(__xludf.DUMMYFUNCTION("GOOGLETRANSLATE(A21827, ""en"", ""mt"")"),"Liema ġeneru m'għandux tentakli u għant?")</f>
        <v>Liema ġeneru m'għandux tentakli u għant?</v>
      </c>
    </row>
    <row r="21828" ht="15.75" customHeight="1">
      <c r="A21828" s="2" t="s">
        <v>21828</v>
      </c>
      <c r="B21828" s="2" t="str">
        <f>IFERROR(__xludf.DUMMYFUNCTION("GOOGLETRANSLATE(A21828, ""en"", ""mt"")"),"Liema mill-ambaxxaturi ta 'Genghis Khan il-Shah kellu l-kapsuma?")</f>
        <v>Liema mill-ambaxxaturi ta 'Genghis Khan il-Shah kellu l-kapsuma?</v>
      </c>
    </row>
    <row r="21829" ht="15.75" customHeight="1">
      <c r="A21829" s="2" t="s">
        <v>21829</v>
      </c>
      <c r="B21829" s="2" t="str">
        <f>IFERROR(__xludf.DUMMYFUNCTION("GOOGLETRANSLATE(A21829, ""en"", ""mt"")"),"Fl-aħħar tal-1886")</f>
        <v>Fl-aħħar tal-1886</v>
      </c>
    </row>
    <row r="21830" ht="15.75" customHeight="1">
      <c r="A21830" s="2" t="s">
        <v>21830</v>
      </c>
      <c r="B21830" s="2" t="str">
        <f>IFERROR(__xludf.DUMMYFUNCTION("GOOGLETRANSLATE(A21830, ""en"", ""mt"")"),"Fl-artijiet attribwiti għal liema tribù jinstabu fdalijiet ta 'insedjamenti kbar?")</f>
        <v>Fl-artijiet attribwiti għal liema tribù jinstabu fdalijiet ta 'insedjamenti kbar?</v>
      </c>
    </row>
    <row r="21831" ht="15.75" customHeight="1">
      <c r="A21831" s="2" t="s">
        <v>21831</v>
      </c>
      <c r="B21831" s="2" t="str">
        <f>IFERROR(__xludf.DUMMYFUNCTION("GOOGLETRANSLATE(A21831, ""en"", ""mt"")"),"Theta-Sigma")</f>
        <v>Theta-Sigma</v>
      </c>
    </row>
    <row r="21832" ht="15.75" customHeight="1">
      <c r="A21832" s="2" t="s">
        <v>21832</v>
      </c>
      <c r="B21832" s="2" t="str">
        <f>IFERROR(__xludf.DUMMYFUNCTION("GOOGLETRANSLATE(A21832, ""en"", ""mt"")"),"Għal xiex ġiet attribwita x-xita baxxa fl-Amażonja waqt l-LGM?")</f>
        <v>Għal xiex ġiet attribwita x-xita baxxa fl-Amażonja waqt l-LGM?</v>
      </c>
    </row>
    <row r="21833" ht="15.75" customHeight="1">
      <c r="A21833" s="2" t="s">
        <v>21833</v>
      </c>
      <c r="B21833" s="2" t="str">
        <f>IFERROR(__xludf.DUMMYFUNCTION("GOOGLETRANSLATE(A21833, ""en"", ""mt"")"),"biex tiċċivilja l-inferjuri")</f>
        <v>biex tiċċivilja l-inferjuri</v>
      </c>
    </row>
    <row r="21834" ht="15.75" customHeight="1">
      <c r="A21834" s="2" t="s">
        <v>21834</v>
      </c>
      <c r="B21834" s="2" t="str">
        <f>IFERROR(__xludf.DUMMYFUNCTION("GOOGLETRANSLATE(A21834, ""en"", ""mt"")"),"Siġġijiet tal-grupp ta 'ħidma")</f>
        <v>Siġġijiet tal-grupp ta 'ħidma</v>
      </c>
    </row>
    <row r="21835" ht="15.75" customHeight="1">
      <c r="A21835" s="2" t="s">
        <v>21835</v>
      </c>
      <c r="B21835" s="2" t="str">
        <f>IFERROR(__xludf.DUMMYFUNCTION("GOOGLETRANSLATE(A21835, ""en"", ""mt"")"),"Sistema b'żewġ fażijiet")</f>
        <v>Sistema b'żewġ fażijiet</v>
      </c>
    </row>
    <row r="21836" ht="15.75" customHeight="1">
      <c r="A21836" s="2" t="s">
        <v>21836</v>
      </c>
      <c r="B21836" s="2" t="str">
        <f>IFERROR(__xludf.DUMMYFUNCTION("GOOGLETRANSLATE(A21836, ""en"", ""mt"")"),"X'inhu stabbilit biex jifli l-kontijiet privati ​​sottomessi minn barranin tal-partit?")</f>
        <v>X'inhu stabbilit biex jifli l-kontijiet privati ​​sottomessi minn barranin tal-partit?</v>
      </c>
    </row>
    <row r="21837" ht="15.75" customHeight="1">
      <c r="A21837" s="2" t="s">
        <v>21837</v>
      </c>
      <c r="B21837" s="2" t="str">
        <f>IFERROR(__xludf.DUMMYFUNCTION("GOOGLETRANSLATE(A21837, ""en"", ""mt"")"),"Xi drabi l-prosekuzzjoni tipproponi motiv ta 'negozjar għal diżubbidjenti ċivili, bħal fil-każ ta' Camden 28, li fih l-imputati ġew offruti opportunità biex jinvokaw ħatja għal għadd ta 'delitt u ma jirċievu l-ebda ħin ta' ħabs. F’xi sitwazzjonijiet ta ’a"&amp;"rrest tal-massa, l-attivisti jiddeċiedu li jużaw tattiċi ta’ solidarjetà biex jassiguraw l-istess motiv ta ’negozju għal kulħadd. Iżda xi attivisti għażlu li jidħlu motiv għomja, u wieġbu ħatja mingħajr ebda ftehim ta 'motiv fis-seħħ. Mohandas Gandhi wieġ"&amp;"eb ħati u qal lill-qorti, ""Jiena hawn. . """)</f>
        <v>Xi drabi l-prosekuzzjoni tipproponi motiv ta 'negozjar għal diżubbidjenti ċivili, bħal fil-każ ta' Camden 28, li fih l-imputati ġew offruti opportunità biex jinvokaw ħatja għal għadd ta 'delitt u ma jirċievu l-ebda ħin ta' ħabs. F’xi sitwazzjonijiet ta ’arrest tal-massa, l-attivisti jiddeċiedu li jużaw tattiċi ta’ solidarjetà biex jassiguraw l-istess motiv ta ’negozju għal kulħadd. Iżda xi attivisti għażlu li jidħlu motiv għomja, u wieġbu ħatja mingħajr ebda ftehim ta 'motiv fis-seħħ. Mohandas Gandhi wieġeb ħati u qal lill-qorti, "Jiena hawn. . "</v>
      </c>
    </row>
    <row r="21838" ht="15.75" customHeight="1">
      <c r="A21838" s="2" t="s">
        <v>21838</v>
      </c>
      <c r="B21838" s="2" t="str">
        <f>IFERROR(__xludf.DUMMYFUNCTION("GOOGLETRANSLATE(A21838, ""en"", ""mt"")"),"Il-Kunsill Ġenerali tat-Tagħlim għall-Iskozja (GTCs)")</f>
        <v>Il-Kunsill Ġenerali tat-Tagħlim għall-Iskozja (GTCs)</v>
      </c>
    </row>
    <row r="21839" ht="15.75" customHeight="1">
      <c r="A21839" s="2" t="s">
        <v>21839</v>
      </c>
      <c r="B21839" s="2" t="str">
        <f>IFERROR(__xludf.DUMMYFUNCTION("GOOGLETRANSLATE(A21839, ""en"", ""mt"")"),"Trattat li jemenda")</f>
        <v>Trattat li jemenda</v>
      </c>
    </row>
    <row r="21840" ht="15.75" customHeight="1">
      <c r="A21840" s="2" t="s">
        <v>21840</v>
      </c>
      <c r="B21840" s="2" t="str">
        <f>IFERROR(__xludf.DUMMYFUNCTION("GOOGLETRANSLATE(A21840, ""en"", ""mt"")"),"X’kienu jagħmlu l-pajjiżi Ewropej matul is-1700?")</f>
        <v>X’kienu jagħmlu l-pajjiżi Ewropej matul is-1700?</v>
      </c>
    </row>
    <row r="21841" ht="15.75" customHeight="1">
      <c r="A21841" s="2" t="s">
        <v>21841</v>
      </c>
      <c r="B21841" s="2" t="str">
        <f>IFERROR(__xludf.DUMMYFUNCTION("GOOGLETRANSLATE(A21841, ""en"", ""mt"")"),"Liema ambjentalist popolari huwa wkoll membru tal-alumni tal-università?")</f>
        <v>Liema ambjentalist popolari huwa wkoll membru tal-alumni tal-università?</v>
      </c>
    </row>
    <row r="21842" ht="15.75" customHeight="1">
      <c r="A21842" s="2" t="s">
        <v>21842</v>
      </c>
      <c r="B21842" s="2" t="str">
        <f>IFERROR(__xludf.DUMMYFUNCTION("GOOGLETRANSLATE(A21842, ""en"", ""mt"")"),"Il-Knisja Metodista Magħquda hija organizzata f'konferenzi. L-ogħla livell jissejjaħ il-Konferenza Ġenerali u hija l-unika organizzazzjoni li tista 'titkellem uffiċjalment għall-knisja. Il-Konferenza Ġenerali tiltaqa 'kull erba' snin (Quadrennium). Bidlie"&amp;"t leġiżlattivi huma rreġistrati fil-Ktieb tad-Dixxiplina li huwa rivedut wara kull Konferenza Ġenerali. Riżoluzzjonijiet mhux leġislattivi huma rreġistrati fil-Ktieb tar-Riżoluzzjonijiet, li huwa ppubblikat wara kull konferenza ġenerali, u jiskadi wara tm"&amp;"ien snin sakemm ma jerġgħux jgħaddu minn sessjoni sussegwenti ta 'konferenza ġenerali. L-aħħar Konferenza Ġenerali saret f'Tampa, Florida, fl-2012. L-avveniment bħalissa huwa mdawwar bejn il-ġurisdizzjonijiet ta 'l-Istati Uniti tal-knisja. Il-Konferenza Ġ"&amp;"enerali tal-2016 se tkun f'Portland, Oregon. L-isqfijiet, il-kunsilli, il-kumitati, il-bordijiet, l-anzjani, eċċ., Mhumiex permessi jitkellmu f'isem il-Knisja Metodista Magħquda peress li din l-awtorità hija riservata biss għall-Konferenza Ġenerali skont "&amp;"il-Ktieb tad-Dixxiplina.")</f>
        <v>Il-Knisja Metodista Magħquda hija organizzata f'konferenzi. L-ogħla livell jissejjaħ il-Konferenza Ġenerali u hija l-unika organizzazzjoni li tista 'titkellem uffiċjalment għall-knisja. Il-Konferenza Ġenerali tiltaqa 'kull erba' snin (Quadrennium). Bidliet leġiżlattivi huma rreġistrati fil-Ktieb tad-Dixxiplina li huwa rivedut wara kull Konferenza Ġenerali. Riżoluzzjonijiet mhux leġislattivi huma rreġistrati fil-Ktieb tar-Riżoluzzjonijiet, li huwa ppubblikat wara kull konferenza ġenerali, u jiskadi wara tmien snin sakemm ma jerġgħux jgħaddu minn sessjoni sussegwenti ta 'konferenza ġenerali. L-aħħar Konferenza Ġenerali saret f'Tampa, Florida, fl-2012. L-avveniment bħalissa huwa mdawwar bejn il-ġurisdizzjonijiet ta 'l-Istati Uniti tal-knisja. Il-Konferenza Ġenerali tal-2016 se tkun f'Portland, Oregon. L-isqfijiet, il-kunsilli, il-kumitati, il-bordijiet, l-anzjani, eċċ., Mhumiex permessi jitkellmu f'isem il-Knisja Metodista Magħquda peress li din l-awtorità hija riservata biss għall-Konferenza Ġenerali skont il-Ktieb tad-Dixxiplina.</v>
      </c>
    </row>
    <row r="21843" ht="15.75" customHeight="1">
      <c r="A21843" s="2" t="s">
        <v>21843</v>
      </c>
      <c r="B21843" s="2" t="str">
        <f>IFERROR(__xludf.DUMMYFUNCTION("GOOGLETRANSLATE(A21843, ""en"", ""mt"")"),"Meta nħoloq l-Att dwar il-Komunitajiet Ewropej?")</f>
        <v>Meta nħoloq l-Att dwar il-Komunitajiet Ewropej?</v>
      </c>
    </row>
    <row r="21844" ht="15.75" customHeight="1">
      <c r="A21844" s="2" t="s">
        <v>21844</v>
      </c>
      <c r="B21844" s="2" t="str">
        <f>IFERROR(__xludf.DUMMYFUNCTION("GOOGLETRANSLATE(A21844, ""en"", ""mt"")"),"Valley Buckland")</f>
        <v>Valley Buckland</v>
      </c>
    </row>
    <row r="21845" ht="15.75" customHeight="1">
      <c r="A21845" s="2" t="s">
        <v>21845</v>
      </c>
      <c r="B21845" s="2" t="str">
        <f>IFERROR(__xludf.DUMMYFUNCTION("GOOGLETRANSLATE(A21845, ""en"", ""mt"")"),"Liema xjenzat qal lill-Akkademja tax-Xjenzi Franċiża li kien sab kif li likwifika l-ossiġnu?")</f>
        <v>Liema xjenzat qal lill-Akkademja tax-Xjenzi Franċiża li kien sab kif li likwifika l-ossiġnu?</v>
      </c>
    </row>
    <row r="21846" ht="15.75" customHeight="1">
      <c r="A21846" s="2" t="s">
        <v>21846</v>
      </c>
      <c r="B21846" s="2" t="str">
        <f>IFERROR(__xludf.DUMMYFUNCTION("GOOGLETRANSLATE(A21846, ""en"", ""mt"")"),"Liema dramm wera stampa bikrija ta 'diżubbidjenza ċivili?")</f>
        <v>Liema dramm wera stampa bikrija ta 'diżubbidjenza ċivili?</v>
      </c>
    </row>
    <row r="21847" ht="15.75" customHeight="1">
      <c r="A21847" s="2" t="s">
        <v>21847</v>
      </c>
      <c r="B21847" s="2" t="str">
        <f>IFERROR(__xludf.DUMMYFUNCTION("GOOGLETRANSLATE(A21847, ""en"", ""mt"")"),"It-tapit Ardabil")</f>
        <v>It-tapit Ardabil</v>
      </c>
    </row>
    <row r="21848" ht="15.75" customHeight="1">
      <c r="A21848" s="2" t="s">
        <v>21848</v>
      </c>
      <c r="B21848" s="2" t="str">
        <f>IFERROR(__xludf.DUMMYFUNCTION("GOOGLETRANSLATE(A21848, ""en"", ""mt"")"),"X'importat negattiv fuq is-swieq tax-xogħol fl-Istati Uniti?")</f>
        <v>X'importat negattiv fuq is-swieq tax-xogħol fl-Istati Uniti?</v>
      </c>
    </row>
    <row r="21849" ht="15.75" customHeight="1">
      <c r="A21849" s="2" t="s">
        <v>21849</v>
      </c>
      <c r="B21849" s="2" t="str">
        <f>IFERROR(__xludf.DUMMYFUNCTION("GOOGLETRANSLATE(A21849, ""en"", ""mt"")"),"Qabel Kublai fl-1285")</f>
        <v>Qabel Kublai fl-1285</v>
      </c>
    </row>
    <row r="21850" ht="15.75" customHeight="1">
      <c r="A21850" s="2" t="s">
        <v>21850</v>
      </c>
      <c r="B21850" s="2" t="str">
        <f>IFERROR(__xludf.DUMMYFUNCTION("GOOGLETRANSLATE(A21850, ""en"", ""mt"")"),"Proċessi ta 'kogenerazzjoni")</f>
        <v>Proċessi ta 'kogenerazzjoni</v>
      </c>
    </row>
    <row r="21851" ht="15.75" customHeight="1">
      <c r="A21851" s="2" t="s">
        <v>21851</v>
      </c>
      <c r="B21851" s="2" t="str">
        <f>IFERROR(__xludf.DUMMYFUNCTION("GOOGLETRANSLATE(A21851, ""en"", ""mt"")"),"Meta kienet il-mewġ tas-sħana li fih Hopetoun irreġistra l-ogħla temperatura tiegħu?")</f>
        <v>Meta kienet il-mewġ tas-sħana li fih Hopetoun irreġistra l-ogħla temperatura tiegħu?</v>
      </c>
    </row>
    <row r="21852" ht="15.75" customHeight="1">
      <c r="A21852" s="2" t="s">
        <v>21852</v>
      </c>
      <c r="B21852" s="2" t="str">
        <f>IFERROR(__xludf.DUMMYFUNCTION("GOOGLETRANSLATE(A21852, ""en"", ""mt"")"),"Inżul Lunar bl-ekwipaġġ")</f>
        <v>Inżul Lunar bl-ekwipaġġ</v>
      </c>
    </row>
    <row r="21853" ht="15.75" customHeight="1">
      <c r="A21853" s="2" t="s">
        <v>21853</v>
      </c>
      <c r="B21853" s="2" t="str">
        <f>IFERROR(__xludf.DUMMYFUNCTION("GOOGLETRANSLATE(A21853, ""en"", ""mt"")"),"Att dwar il-Kostituzzjoni tar-Rabat 185")</f>
        <v>Att dwar il-Kostituzzjoni tar-Rabat 185</v>
      </c>
    </row>
    <row r="21854" ht="15.75" customHeight="1">
      <c r="A21854" s="2" t="s">
        <v>21854</v>
      </c>
      <c r="B21854" s="2" t="str">
        <f>IFERROR(__xludf.DUMMYFUNCTION("GOOGLETRANSLATE(A21854, ""en"", ""mt"")"),"Westinghouse Electric &amp; Manufacturi")</f>
        <v>Westinghouse Electric &amp; Manufacturi</v>
      </c>
    </row>
    <row r="21855" ht="15.75" customHeight="1">
      <c r="A21855" s="2" t="s">
        <v>21855</v>
      </c>
      <c r="B21855" s="2" t="str">
        <f>IFERROR(__xludf.DUMMYFUNCTION("GOOGLETRANSLATE(A21855, ""en"", ""mt"")"),"Bini ta 'dħul ġdid")</f>
        <v>Bini ta 'dħul ġdid</v>
      </c>
    </row>
    <row r="21856" ht="15.75" customHeight="1">
      <c r="A21856" s="2" t="s">
        <v>21856</v>
      </c>
      <c r="B21856" s="2" t="str">
        <f>IFERROR(__xludf.DUMMYFUNCTION("GOOGLETRANSLATE(A21856, ""en"", ""mt"")"),"Liema nazzjon tal-Lvant Nofsani b'mod partikolari jqis lil Genghis Khan bħala awtur ta 'ġenoċidju disprezzabbli?")</f>
        <v>Liema nazzjon tal-Lvant Nofsani b'mod partikolari jqis lil Genghis Khan bħala awtur ta 'ġenoċidju disprezzabbli?</v>
      </c>
    </row>
    <row r="21857" ht="15.75" customHeight="1">
      <c r="A21857" s="2" t="s">
        <v>21857</v>
      </c>
      <c r="B21857" s="2" t="str">
        <f>IFERROR(__xludf.DUMMYFUNCTION("GOOGLETRANSLATE(A21857, ""en"", ""mt"")"),"B’dak li Luther kien jemmen li tgħix il-persuna ġusta?")</f>
        <v>B’dak li Luther kien jemmen li tgħix il-persuna ġusta?</v>
      </c>
    </row>
    <row r="21858" ht="15.75" customHeight="1">
      <c r="A21858" s="2" t="s">
        <v>21858</v>
      </c>
      <c r="B21858" s="2" t="str">
        <f>IFERROR(__xludf.DUMMYFUNCTION("GOOGLETRANSLATE(A21858, ""en"", ""mt"")"),"metamorfosed")</f>
        <v>metamorfosed</v>
      </c>
    </row>
    <row r="21859" ht="15.75" customHeight="1">
      <c r="A21859" s="2" t="s">
        <v>21859</v>
      </c>
      <c r="B21859" s="2" t="str">
        <f>IFERROR(__xludf.DUMMYFUNCTION("GOOGLETRANSLATE(A21859, ""en"", ""mt"")"),"X'għandhom l-esperjenza ta 'Astronaughts waqt li tkun free-waqgħa?")</f>
        <v>X'għandhom l-esperjenza ta 'Astronaughts waqt li tkun free-waqgħa?</v>
      </c>
    </row>
    <row r="21860" ht="15.75" customHeight="1">
      <c r="A21860" s="2" t="s">
        <v>21860</v>
      </c>
      <c r="B21860" s="2" t="str">
        <f>IFERROR(__xludf.DUMMYFUNCTION("GOOGLETRANSLATE(A21860, ""en"", ""mt"")"),"il-poteri sekulari")</f>
        <v>il-poteri sekulari</v>
      </c>
    </row>
    <row r="21861" ht="15.75" customHeight="1">
      <c r="A21861" s="2" t="s">
        <v>21861</v>
      </c>
      <c r="B21861" s="2" t="str">
        <f>IFERROR(__xludf.DUMMYFUNCTION("GOOGLETRANSLATE(A21861, ""en"", ""mt"")"),"Liema kotba tal-fantasija għandhom referenzi għal Doctor Who?")</f>
        <v>Liema kotba tal-fantasija għandhom referenzi għal Doctor Who?</v>
      </c>
    </row>
    <row r="21862" ht="15.75" customHeight="1">
      <c r="A21862" s="2" t="s">
        <v>21862</v>
      </c>
      <c r="B21862" s="2" t="str">
        <f>IFERROR(__xludf.DUMMYFUNCTION("GOOGLETRANSLATE(A21862, ""en"", ""mt"")"),"Liema tim żamm il-vantaġġ li skorja matul il-logħba kollha?")</f>
        <v>Liema tim żamm il-vantaġġ li skorja matul il-logħba kollha?</v>
      </c>
    </row>
    <row r="21863" ht="15.75" customHeight="1">
      <c r="A21863" s="2" t="s">
        <v>21863</v>
      </c>
      <c r="B21863" s="2" t="str">
        <f>IFERROR(__xludf.DUMMYFUNCTION("GOOGLETRANSLATE(A21863, ""en"", ""mt"")"),"Preżenza reali tal-ġisem u d-demm ta 'Kristu fil-ħobż u l-inbid ikkonsagrati")</f>
        <v>Preżenza reali tal-ġisem u d-demm ta 'Kristu fil-ħobż u l-inbid ikkonsagrati</v>
      </c>
    </row>
    <row r="21864" ht="15.75" customHeight="1">
      <c r="A21864" s="2" t="s">
        <v>21864</v>
      </c>
      <c r="B21864" s="2" t="str">
        <f>IFERROR(__xludf.DUMMYFUNCTION("GOOGLETRANSLATE(A21864, ""en"", ""mt"")"),"Saturn v")</f>
        <v>Saturn v</v>
      </c>
    </row>
    <row r="21865" ht="15.75" customHeight="1">
      <c r="A21865" s="2" t="s">
        <v>21865</v>
      </c>
      <c r="B21865" s="2" t="str">
        <f>IFERROR(__xludf.DUMMYFUNCTION("GOOGLETRANSLATE(A21865, ""en"", ""mt"")"),"Assoċjazzjoni Medika Amerikana")</f>
        <v>Assoċjazzjoni Medika Amerikana</v>
      </c>
    </row>
    <row r="21866" ht="15.75" customHeight="1">
      <c r="A21866" s="2" t="s">
        <v>21866</v>
      </c>
      <c r="B21866" s="2" t="str">
        <f>IFERROR(__xludf.DUMMYFUNCTION("GOOGLETRANSLATE(A21866, ""en"", ""mt"")"),"X'kienet id-densità massima teorizzata tal-popolazzjoni għal kull kilometru kwadru għall-foresta tropikali tal-Amażonja?")</f>
        <v>X'kienet id-densità massima teorizzata tal-popolazzjoni għal kull kilometru kwadru għall-foresta tropikali tal-Amażonja?</v>
      </c>
    </row>
    <row r="21867" ht="15.75" customHeight="1">
      <c r="A21867" s="2" t="s">
        <v>21867</v>
      </c>
      <c r="B21867" s="2" t="str">
        <f>IFERROR(__xludf.DUMMYFUNCTION("GOOGLETRANSLATE(A21867, ""en"", ""mt"")"),"X'inhu d-difett ta 'Rubisco?")</f>
        <v>X'inhu d-difett ta 'Rubisco?</v>
      </c>
    </row>
    <row r="21868" ht="15.75" customHeight="1">
      <c r="A21868" s="2" t="s">
        <v>21868</v>
      </c>
      <c r="B21868" s="2" t="str">
        <f>IFERROR(__xludf.DUMMYFUNCTION("GOOGLETRANSLATE(A21868, ""en"", ""mt"")"),"barriera tad-demm-moħħ, barriera ta 'fluwidu tad-demm - ċerikrospinali")</f>
        <v>barriera tad-demm-moħħ, barriera ta 'fluwidu tad-demm - ċerikrospinali</v>
      </c>
    </row>
    <row r="21869" ht="15.75" customHeight="1">
      <c r="A21869" s="2" t="s">
        <v>21869</v>
      </c>
      <c r="B21869" s="2" t="str">
        <f>IFERROR(__xludf.DUMMYFUNCTION("GOOGLETRANSLATE(A21869, ""en"", ""mt"")"),"Kemm mili, ladarba jitlestew, il-Lewis S. Eaton Trail Cover?")</f>
        <v>Kemm mili, ladarba jitlestew, il-Lewis S. Eaton Trail Cover?</v>
      </c>
    </row>
    <row r="21870" ht="15.75" customHeight="1">
      <c r="A21870" s="2" t="s">
        <v>21870</v>
      </c>
      <c r="B21870" s="2" t="str">
        <f>IFERROR(__xludf.DUMMYFUNCTION("GOOGLETRANSLATE(A21870, ""en"", ""mt"")"),"effikaċja ta 'reġimi ta' trattament")</f>
        <v>effikaċja ta 'reġimi ta' trattament</v>
      </c>
    </row>
    <row r="21871" ht="15.75" customHeight="1">
      <c r="A21871" s="2" t="s">
        <v>21871</v>
      </c>
      <c r="B21871" s="2" t="str">
        <f>IFERROR(__xludf.DUMMYFUNCTION("GOOGLETRANSLATE(A21871, ""en"", ""mt"")"),"Kunsill Gateshead")</f>
        <v>Kunsill Gateshead</v>
      </c>
    </row>
    <row r="21872" ht="15.75" customHeight="1">
      <c r="A21872" s="2" t="s">
        <v>21872</v>
      </c>
      <c r="B21872" s="2" t="str">
        <f>IFERROR(__xludf.DUMMYFUNCTION("GOOGLETRANSLATE(A21872, ""en"", ""mt"")"),"20")</f>
        <v>20</v>
      </c>
    </row>
    <row r="21873" ht="15.75" customHeight="1">
      <c r="A21873" s="2" t="s">
        <v>21873</v>
      </c>
      <c r="B21873" s="2" t="str">
        <f>IFERROR(__xludf.DUMMYFUNCTION("GOOGLETRANSLATE(A21873, ""en"", ""mt"")"),"Minoranzi mdaqqsa ta 'twemmin ieħor jeżistu (11.2% Musulman, twemmin indiġenu 1.7%), u 2.4% mhux reliġjużi. Sittin fil-mija tal-popolazzjoni Musulmana tgħix fir-reġjun kostali tal-Kenja, li tinkludi 50% tal-popolazzjoni totali hemmhekk. Bejn wieħed u ieħo"&amp;"r 4% tal-Musulmani huma Ahmadiyya, 8% Shia u 8% oħra huma Musulmani mhux denominazzjonali, filwaqt li 73% huma Sunni. Iż-żoni tal-Punent tar-reġjun tal-kosta huma l-aktar Kristjani. Il-parti ta 'fuq tar-reġjun tal-Lvant tal-Kenja hija dar għal 10% tal-Mus"&amp;"ulmani tal-pajjiż, fejn jikkostitwixxu l-grupp reliġjuż tal-maġġoranza. Barra minn hekk, hemm popolazzjoni hindu kbira fil-Kenja (madwar 300,000), li kellhom rwol ewlieni fl-ekonomija lokali; Huma l-aktar ta 'oriġini Indjana.")</f>
        <v>Minoranzi mdaqqsa ta 'twemmin ieħor jeżistu (11.2% Musulman, twemmin indiġenu 1.7%), u 2.4% mhux reliġjużi. Sittin fil-mija tal-popolazzjoni Musulmana tgħix fir-reġjun kostali tal-Kenja, li tinkludi 50% tal-popolazzjoni totali hemmhekk. Bejn wieħed u ieħor 4% tal-Musulmani huma Ahmadiyya, 8% Shia u 8% oħra huma Musulmani mhux denominazzjonali, filwaqt li 73% huma Sunni. Iż-żoni tal-Punent tar-reġjun tal-kosta huma l-aktar Kristjani. Il-parti ta 'fuq tar-reġjun tal-Lvant tal-Kenja hija dar għal 10% tal-Musulmani tal-pajjiż, fejn jikkostitwixxu l-grupp reliġjuż tal-maġġoranza. Barra minn hekk, hemm popolazzjoni hindu kbira fil-Kenja (madwar 300,000), li kellhom rwol ewlieni fl-ekonomija lokali; Huma l-aktar ta 'oriġini Indjana.</v>
      </c>
    </row>
    <row r="21874" ht="15.75" customHeight="1">
      <c r="A21874" s="2" t="s">
        <v>21874</v>
      </c>
      <c r="B21874" s="2" t="str">
        <f>IFERROR(__xludf.DUMMYFUNCTION("GOOGLETRANSLATE(A21874, ""en"", ""mt"")"),"Matul il-moviment tal-edukazzjoni tal-iskola sekondarja mill-1910–1940, kien hemm żieda fil-ħaddiema tas-sengħa, li wasslet għal tnaqqis fil-prezz tax-xogħol tas-sengħa. L-edukazzjoni tal-iskola għolja matul il-perjodu kienet iddisinjata biex tgħammar lil"&amp;"l-istudenti b'settijiet ta 'ħiliet meħtieġa biex ikunu jistgħu jwettqu fuq ix-xogħol. Fil-fatt, hija differenti mill-edukazzjoni preżenti tal-iskola sekondarja, li hija meqjusa bħala stepping-stone biex takkwista kulleġġ u gradi avvanzati. Dan it-tnaqqis "&amp;"fil-pagi kkawża perjodu ta 'kompressjoni u tnaqqis fl-inugwaljanza bejn ħaddiema tas-sengħa u dawk mhux kwalifikati. L-edukazzjoni hija importanti ħafna għat-tkabbir tal-ekonomija, madankollu l-inugwaljanza edukattiva fil-ġeneru tinfluwenza wkoll lejn l-e"&amp;"konomija. LagerLof u Galor iddikjaraw li l-inugwaljanza bejn is-sessi fl-edukazzjoni tista 'tirriżulta għal tkabbir ekonomiku baxx, u kontinwa l-inugwaljanza bejn is-sessi fl-edukazzjoni, u b'hekk toħloq nassa tal-faqar. Huwa ssuġġerit li vojt kbir fl-edu"&amp;"kazzjoni maskili u femminili jista 'jindika ritard u għalhekk jista' jkun assoċjat ma 'tkabbir ekonomiku aktar baxx, li jista' jispjega għaliex hemm inugwaljanza ekonomika bejn il-pajjiżi.")</f>
        <v>Matul il-moviment tal-edukazzjoni tal-iskola sekondarja mill-1910–1940, kien hemm żieda fil-ħaddiema tas-sengħa, li wasslet għal tnaqqis fil-prezz tax-xogħol tas-sengħa. L-edukazzjoni tal-iskola għolja matul il-perjodu kienet iddisinjata biex tgħammar lill-istudenti b'settijiet ta 'ħiliet meħtieġa biex ikunu jistgħu jwettqu fuq ix-xogħol. Fil-fatt, hija differenti mill-edukazzjoni preżenti tal-iskola sekondarja, li hija meqjusa bħala stepping-stone biex takkwista kulleġġ u gradi avvanzati. Dan it-tnaqqis fil-pagi kkawża perjodu ta 'kompressjoni u tnaqqis fl-inugwaljanza bejn ħaddiema tas-sengħa u dawk mhux kwalifikati. L-edukazzjoni hija importanti ħafna għat-tkabbir tal-ekonomija, madankollu l-inugwaljanza edukattiva fil-ġeneru tinfluwenza wkoll lejn l-ekonomija. LagerLof u Galor iddikjaraw li l-inugwaljanza bejn is-sessi fl-edukazzjoni tista 'tirriżulta għal tkabbir ekonomiku baxx, u kontinwa l-inugwaljanza bejn is-sessi fl-edukazzjoni, u b'hekk toħloq nassa tal-faqar. Huwa ssuġġerit li vojt kbir fl-edukazzjoni maskili u femminili jista 'jindika ritard u għalhekk jista' jkun assoċjat ma 'tkabbir ekonomiku aktar baxx, li jista' jispjega għaliex hemm inugwaljanza ekonomika bejn il-pajjiżi.</v>
      </c>
    </row>
    <row r="21875" ht="15.75" customHeight="1">
      <c r="A21875" s="2" t="s">
        <v>21875</v>
      </c>
      <c r="B21875" s="2" t="str">
        <f>IFERROR(__xludf.DUMMYFUNCTION("GOOGLETRANSLATE(A21875, ""en"", ""mt"")"),"Fejn ħadmet Tesla fl-1888?")</f>
        <v>Fejn ħadmet Tesla fl-1888?</v>
      </c>
    </row>
    <row r="21876" ht="15.75" customHeight="1">
      <c r="A21876" s="2" t="s">
        <v>21876</v>
      </c>
      <c r="B21876" s="2" t="str">
        <f>IFERROR(__xludf.DUMMYFUNCTION("GOOGLETRANSLATE(A21876, ""en"", ""mt"")"),"1,300,000")</f>
        <v>1,300,000</v>
      </c>
    </row>
    <row r="21877" ht="15.75" customHeight="1">
      <c r="A21877" s="2" t="s">
        <v>21877</v>
      </c>
      <c r="B21877" s="2" t="str">
        <f>IFERROR(__xludf.DUMMYFUNCTION("GOOGLETRANSLATE(A21877, ""en"", ""mt"")"),"F'liema porzjon ewlieni ta 'affarijiet ħajjin jinstab l-ossiġnu?")</f>
        <v>F'liema porzjon ewlieni ta 'affarijiet ħajjin jinstab l-ossiġnu?</v>
      </c>
    </row>
    <row r="21878" ht="15.75" customHeight="1">
      <c r="A21878" s="2" t="s">
        <v>21878</v>
      </c>
      <c r="B21878" s="2" t="str">
        <f>IFERROR(__xludf.DUMMYFUNCTION("GOOGLETRANSLATE(A21878, ""en"", ""mt"")"),"X'inhu meħtieġ biex il-kloroplasti jirreplikaw?")</f>
        <v>X'inhu meħtieġ biex il-kloroplasti jirreplikaw?</v>
      </c>
    </row>
    <row r="21879" ht="15.75" customHeight="1">
      <c r="A21879" s="2" t="s">
        <v>21879</v>
      </c>
      <c r="B21879" s="2" t="str">
        <f>IFERROR(__xludf.DUMMYFUNCTION("GOOGLETRANSLATE(A21879, ""en"", ""mt"")"),"Multi-kulturali")</f>
        <v>Multi-kulturali</v>
      </c>
    </row>
    <row r="21880" ht="15.75" customHeight="1">
      <c r="A21880" s="2" t="s">
        <v>21880</v>
      </c>
      <c r="B21880" s="2" t="str">
        <f>IFERROR(__xludf.DUMMYFUNCTION("GOOGLETRANSLATE(A21880, ""en"", ""mt"")"),"X'kienu l-bini tal-vapuri u l-inġinerija importanti għal Newcastle fis-seklu 19?")</f>
        <v>X'kienu l-bini tal-vapuri u l-inġinerija importanti għal Newcastle fis-seklu 19?</v>
      </c>
    </row>
    <row r="21881" ht="15.75" customHeight="1">
      <c r="A21881" s="2" t="s">
        <v>21881</v>
      </c>
      <c r="B21881" s="2" t="str">
        <f>IFERROR(__xludf.DUMMYFUNCTION("GOOGLETRANSLATE(A21881, ""en"", ""mt"")"),"Liema perk il-mexxejja reliġjużi, l-għalliema, u t-tobba daħlu fl-imperu Mongoljan?")</f>
        <v>Liema perk il-mexxejja reliġjużi, l-għalliema, u t-tobba daħlu fl-imperu Mongoljan?</v>
      </c>
    </row>
    <row r="21882" ht="15.75" customHeight="1">
      <c r="A21882" s="2" t="s">
        <v>21882</v>
      </c>
      <c r="B21882" s="2" t="str">
        <f>IFERROR(__xludf.DUMMYFUNCTION("GOOGLETRANSLATE(A21882, ""en"", ""mt"")"),"Influwenza tat-tisħin")</f>
        <v>Influwenza tat-tisħin</v>
      </c>
    </row>
    <row r="21883" ht="15.75" customHeight="1">
      <c r="A21883" s="2" t="s">
        <v>21883</v>
      </c>
      <c r="B21883" s="2" t="str">
        <f>IFERROR(__xludf.DUMMYFUNCTION("GOOGLETRANSLATE(A21883, ""en"", ""mt"")"),"Braddock (ma 'George Washington bħala wieħed mill-assistenti tiegħu) mexxa madwar 1,500 truppa tal-armata")</f>
        <v>Braddock (ma 'George Washington bħala wieħed mill-assistenti tiegħu) mexxa madwar 1,500 truppa tal-armata</v>
      </c>
    </row>
    <row r="21884" ht="15.75" customHeight="1">
      <c r="A21884" s="2" t="s">
        <v>21884</v>
      </c>
      <c r="B21884" s="2" t="str">
        <f>IFERROR(__xludf.DUMMYFUNCTION("GOOGLETRANSLATE(A21884, ""en"", ""mt"")"),"X’jagħmel il-film tal-ossidu fuq il-metalli?")</f>
        <v>X’jagħmel il-film tal-ossidu fuq il-metalli?</v>
      </c>
    </row>
    <row r="21885" ht="15.75" customHeight="1">
      <c r="A21885" s="2" t="s">
        <v>21885</v>
      </c>
      <c r="B21885" s="2" t="str">
        <f>IFERROR(__xludf.DUMMYFUNCTION("GOOGLETRANSLATE(A21885, ""en"", ""mt"")"),"Specials ta 'Jum il-Milied")</f>
        <v>Specials ta 'Jum il-Milied</v>
      </c>
    </row>
    <row r="21886" ht="15.75" customHeight="1">
      <c r="A21886" s="2" t="s">
        <v>21886</v>
      </c>
      <c r="B21886" s="2" t="str">
        <f>IFERROR(__xludf.DUMMYFUNCTION("GOOGLETRANSLATE(A21886, ""en"", ""mt"")"),"Liema kowċ ħalla l-Broncos wara l-istaġun qabel Super Bowl 50?")</f>
        <v>Liema kowċ ħalla l-Broncos wara l-istaġun qabel Super Bowl 50?</v>
      </c>
    </row>
    <row r="21887" ht="15.75" customHeight="1">
      <c r="A21887" s="2" t="s">
        <v>21887</v>
      </c>
      <c r="B21887" s="2" t="str">
        <f>IFERROR(__xludf.DUMMYFUNCTION("GOOGLETRANSLATE(A21887, ""en"", ""mt"")"),"Il-Kumpanija Elettrika Tesla")</f>
        <v>Il-Kumpanija Elettrika Tesla</v>
      </c>
    </row>
    <row r="21888" ht="15.75" customHeight="1">
      <c r="A21888" s="2" t="s">
        <v>21888</v>
      </c>
      <c r="B21888" s="2" t="str">
        <f>IFERROR(__xludf.DUMMYFUNCTION("GOOGLETRANSLATE(A21888, ""en"", ""mt"")"),"Cyanobacterium fotosintetiku li kien maħkum minn ċellola ewkarjotika bikrija")</f>
        <v>Cyanobacterium fotosintetiku li kien maħkum minn ċellola ewkarjotika bikrija</v>
      </c>
    </row>
    <row r="21889" ht="15.75" customHeight="1">
      <c r="A21889" s="2" t="s">
        <v>21889</v>
      </c>
      <c r="B21889" s="2" t="str">
        <f>IFERROR(__xludf.DUMMYFUNCTION("GOOGLETRANSLATE(A21889, ""en"", ""mt"")"),"Min kien l-ewwel Ewropew li jivvjaġġa x-Xmara Amazon?")</f>
        <v>Min kien l-ewwel Ewropew li jivvjaġġa x-Xmara Amazon?</v>
      </c>
    </row>
    <row r="21890" ht="15.75" customHeight="1">
      <c r="A21890" s="2" t="s">
        <v>21890</v>
      </c>
      <c r="B21890" s="2" t="str">
        <f>IFERROR(__xludf.DUMMYFUNCTION("GOOGLETRANSLATE(A21890, ""en"", ""mt"")"),"skejjel prep")</f>
        <v>skejjel prep</v>
      </c>
    </row>
    <row r="21891" ht="15.75" customHeight="1">
      <c r="A21891" s="2" t="s">
        <v>21891</v>
      </c>
      <c r="B21891" s="2" t="str">
        <f>IFERROR(__xludf.DUMMYFUNCTION("GOOGLETRANSLATE(A21891, ""en"", ""mt"")"),"Immunoloġija")</f>
        <v>Immunoloġija</v>
      </c>
    </row>
    <row r="21892" ht="15.75" customHeight="1">
      <c r="A21892" s="2" t="s">
        <v>21892</v>
      </c>
      <c r="B21892" s="2" t="str">
        <f>IFERROR(__xludf.DUMMYFUNCTION("GOOGLETRANSLATE(A21892, ""en"", ""mt"")"),"1185")</f>
        <v>1185</v>
      </c>
    </row>
    <row r="21893" ht="15.75" customHeight="1">
      <c r="A21893" s="2" t="s">
        <v>21893</v>
      </c>
      <c r="B21893" s="2" t="str">
        <f>IFERROR(__xludf.DUMMYFUNCTION("GOOGLETRANSLATE(A21893, ""en"", ""mt"")"),"maġġoranza")</f>
        <v>maġġoranza</v>
      </c>
    </row>
    <row r="21894" ht="15.75" customHeight="1">
      <c r="A21894" s="2" t="s">
        <v>21894</v>
      </c>
      <c r="B21894" s="2" t="str">
        <f>IFERROR(__xludf.DUMMYFUNCTION("GOOGLETRANSLATE(A21894, ""en"", ""mt"")"),"Dynasties Ċiniżi indiġeni")</f>
        <v>Dynasties Ċiniżi indiġeni</v>
      </c>
    </row>
    <row r="21895" ht="15.75" customHeight="1">
      <c r="A21895" s="2" t="s">
        <v>21895</v>
      </c>
      <c r="B21895" s="2" t="str">
        <f>IFERROR(__xludf.DUMMYFUNCTION("GOOGLETRANSLATE(A21895, ""en"", ""mt"")"),"Għal xiex huwa responsabbli l-KNLS?")</f>
        <v>Għal xiex huwa responsabbli l-KNLS?</v>
      </c>
    </row>
    <row r="21896" ht="15.75" customHeight="1">
      <c r="A21896" s="2" t="s">
        <v>21896</v>
      </c>
      <c r="B21896" s="2" t="str">
        <f>IFERROR(__xludf.DUMMYFUNCTION("GOOGLETRANSLATE(A21896, ""en"", ""mt"")"),"Il-Grupp ta 'Xandir Sinclair huwa l-akbar operatur ta' stazzjonijiet ABC permezz ta 'total numeriku, li jippossjedi jew jipprovdi servizzi lil 28 affiljat ABC u żewġ affiljati addizzjonali ta' subchannel biss; Sinclair tippossjedi l-ikbar affiljat tas-sub"&amp;"channel ABC skont id-daqs tas-suq, WABM-DT2 / WDBB-DT2 fis-suq ta 'Birmingham, li jservu bħala ripetituri ta' WBMA-LD (l-ikbar poter baxx ""Four Big Four"" affiljat skond id-daqs tas-suq, li fih innifsu huwa wkoll ukoll huwa wkoll simulcast fuq subchannel"&amp;" ta 'eks WBMA Satellite WGWW, proprjetà tal-kumpanija msieħba Sinclair Howard Stirk Holdings). Il-Kumpanija E. W. Scripps hija l-akbar operatur tal-istazzjonijiet ABC f'termini ta 'firxa ġenerali tas-suq, li għandha 15-il stazzjon affiljat mill-ABC (inklu"&amp;"żi affiljati fi swieq ikbar bħal Cleveland, Phoenix, Detroit u Denver), u permezz tal-pussess tagħha ta' Phoenix affiljat KNXV, L-affiljat ta 'Las Vegas KTNV-TV u l-affiljat ta' Tucson KGUN-TV, l-uniku fornitur ta 'programmazzjoni ABC għall-maġġoranza ta'"&amp;" Arizona (barra mis-suq Yuma-El Centro) u fin-Nofsinhar ta 'Nevada.")</f>
        <v>Il-Grupp ta 'Xandir Sinclair huwa l-akbar operatur ta' stazzjonijiet ABC permezz ta 'total numeriku, li jippossjedi jew jipprovdi servizzi lil 28 affiljat ABC u żewġ affiljati addizzjonali ta' subchannel biss; Sinclair tippossjedi l-ikbar affiljat tas-subchannel ABC skont id-daqs tas-suq, WABM-DT2 / WDBB-DT2 fis-suq ta 'Birmingham, li jservu bħala ripetituri ta' WBMA-LD (l-ikbar poter baxx "Four Big Four" affiljat skond id-daqs tas-suq, li fih innifsu huwa wkoll ukoll huwa wkoll simulcast fuq subchannel ta 'eks WBMA Satellite WGWW, proprjetà tal-kumpanija msieħba Sinclair Howard Stirk Holdings). Il-Kumpanija E. W. Scripps hija l-akbar operatur tal-istazzjonijiet ABC f'termini ta 'firxa ġenerali tas-suq, li għandha 15-il stazzjon affiljat mill-ABC (inklużi affiljati fi swieq ikbar bħal Cleveland, Phoenix, Detroit u Denver), u permezz tal-pussess tagħha ta' Phoenix affiljat KNXV, L-affiljat ta 'Las Vegas KTNV-TV u l-affiljat ta' Tucson KGUN-TV, l-uniku fornitur ta 'programmazzjoni ABC għall-maġġoranza ta' Arizona (barra mis-suq Yuma-El Centro) u fin-Nofsinhar ta 'Nevada.</v>
      </c>
    </row>
    <row r="21897" ht="15.75" customHeight="1">
      <c r="A21897" s="2" t="s">
        <v>21897</v>
      </c>
      <c r="B21897" s="2" t="str">
        <f>IFERROR(__xludf.DUMMYFUNCTION("GOOGLETRANSLATE(A21897, ""en"", ""mt"")"),"Century City huwa eżempju ta 'distrett li jappartjeni għal liema belt?")</f>
        <v>Century City huwa eżempju ta 'distrett li jappartjeni għal liema belt?</v>
      </c>
    </row>
    <row r="21898" ht="15.75" customHeight="1">
      <c r="A21898" s="2" t="s">
        <v>21898</v>
      </c>
      <c r="B21898" s="2" t="str">
        <f>IFERROR(__xludf.DUMMYFUNCTION("GOOGLETRANSLATE(A21898, ""en"", ""mt"")"),"Liema plejer rebaħ l-MVP fis-Super Bowl V?")</f>
        <v>Liema plejer rebaħ l-MVP fis-Super Bowl V?</v>
      </c>
    </row>
    <row r="21899" ht="15.75" customHeight="1">
      <c r="A21899" s="2" t="s">
        <v>21899</v>
      </c>
      <c r="B21899" s="2" t="str">
        <f>IFERROR(__xludf.DUMMYFUNCTION("GOOGLETRANSLATE(A21899, ""en"", ""mt"")"),"Ġarr tal-kanali bażiċi rispettivi tagħhom")</f>
        <v>Ġarr tal-kanali bażiċi rispettivi tagħhom</v>
      </c>
    </row>
    <row r="21900" ht="15.75" customHeight="1">
      <c r="A21900" s="2" t="s">
        <v>21900</v>
      </c>
      <c r="B21900" s="2" t="str">
        <f>IFERROR(__xludf.DUMMYFUNCTION("GOOGLETRANSLATE(A21900, ""en"", ""mt"")"),"X’sostni li l-arma kienet se tispiċċa?")</f>
        <v>X’sostni li l-arma kienet se tispiċċa?</v>
      </c>
    </row>
    <row r="21901" ht="15.75" customHeight="1">
      <c r="A21901" s="2" t="s">
        <v>21901</v>
      </c>
      <c r="B21901" s="2" t="str">
        <f>IFERROR(__xludf.DUMMYFUNCTION("GOOGLETRANSLATE(A21901, ""en"", ""mt"")"),"X'inhi l-imħabba ġenwina ta 'Alla b'qalb, ruħ u moħħ?")</f>
        <v>X'inhi l-imħabba ġenwina ta 'Alla b'qalb, ruħ u moħħ?</v>
      </c>
    </row>
    <row r="21902" ht="15.75" customHeight="1">
      <c r="A21902" s="2" t="s">
        <v>21902</v>
      </c>
      <c r="B21902" s="2" t="str">
        <f>IFERROR(__xludf.DUMMYFUNCTION("GOOGLETRANSLATE(A21902, ""en"", ""mt"")"),"7 ta ’Jannar 1943")</f>
        <v>7 ta ’Jannar 1943</v>
      </c>
    </row>
    <row r="21903" ht="15.75" customHeight="1">
      <c r="A21903" s="2" t="s">
        <v>21903</v>
      </c>
      <c r="B21903" s="2" t="str">
        <f>IFERROR(__xludf.DUMMYFUNCTION("GOOGLETRANSLATE(A21903, ""en"", ""mt"")"),"Min jistgħu l-membri jidderieġu mistoqsijiet lejn il-ħin ġenerali tal-mistoqsija?")</f>
        <v>Min jistgħu l-membri jidderieġu mistoqsijiet lejn il-ħin ġenerali tal-mistoqsija?</v>
      </c>
    </row>
    <row r="21904" ht="15.75" customHeight="1">
      <c r="A21904" s="2" t="s">
        <v>21904</v>
      </c>
      <c r="B21904" s="2" t="str">
        <f>IFERROR(__xludf.DUMMYFUNCTION("GOOGLETRANSLATE(A21904, ""en"", ""mt"")"),"Sa liema sena l-karozzi Amerikani ta 'daqs sħiħ naqsu biex ikunu iżgħar?")</f>
        <v>Sa liema sena l-karozzi Amerikani ta 'daqs sħiħ naqsu biex ikunu iżgħar?</v>
      </c>
    </row>
    <row r="21905" ht="15.75" customHeight="1">
      <c r="A21905" s="2" t="s">
        <v>21905</v>
      </c>
      <c r="B21905" s="2" t="str">
        <f>IFERROR(__xludf.DUMMYFUNCTION("GOOGLETRANSLATE(A21905, ""en"", ""mt"")"),"fuq raġunijiet bibliċi")</f>
        <v>fuq raġunijiet bibliċi</v>
      </c>
    </row>
    <row r="21906" ht="15.75" customHeight="1">
      <c r="A21906" s="2" t="s">
        <v>21906</v>
      </c>
      <c r="B21906" s="2" t="str">
        <f>IFERROR(__xludf.DUMMYFUNCTION("GOOGLETRANSLATE(A21906, ""en"", ""mt"")"),"Kif jindikaw Fortnow &amp; Homer (2003), il-bidu ta 'studji sistematiċi fil-kumplessità tal-komputazzjoni huwa attribwit għall-karta seminali ""dwar il-kumplessità tal-komputazzjoni tal-algoritmi"" minn Juris Hartmanis u Richard Stearns (1965), li stabbilixxe"&amp;"w id-definizzjonijiet tal-ħin u kumplessità spazjali u wera t-teoremi tal-ġerarkija. Ukoll, fl-1965 Edmonds iddefinixxa algoritmu ""tajjeb"" bħala wieħed b'ħin ta 'tħaddim imdawwar minn polinomju tad-daqs tal-input.")</f>
        <v>Kif jindikaw Fortnow &amp; Homer (2003), il-bidu ta 'studji sistematiċi fil-kumplessità tal-komputazzjoni huwa attribwit għall-karta seminali "dwar il-kumplessità tal-komputazzjoni tal-algoritmi" minn Juris Hartmanis u Richard Stearns (1965), li stabbilixxew id-definizzjonijiet tal-ħin u kumplessità spazjali u wera t-teoremi tal-ġerarkija. Ukoll, fl-1965 Edmonds iddefinixxa algoritmu "tajjeb" bħala wieħed b'ħin ta 'tħaddim imdawwar minn polinomju tad-daqs tal-input.</v>
      </c>
    </row>
    <row r="21907" ht="15.75" customHeight="1">
      <c r="A21907" s="2" t="s">
        <v>21907</v>
      </c>
      <c r="B21907" s="2" t="str">
        <f>IFERROR(__xludf.DUMMYFUNCTION("GOOGLETRANSLATE(A21907, ""en"", ""mt"")"),"F'disturbi awtoimmuni, is-sistema immunitarja ma tiddistingwix bejn liema tipi ta 'ċelloli?")</f>
        <v>F'disturbi awtoimmuni, is-sistema immunitarja ma tiddistingwix bejn liema tipi ta 'ċelloli?</v>
      </c>
    </row>
    <row r="21908" ht="15.75" customHeight="1">
      <c r="A21908" s="2" t="s">
        <v>21908</v>
      </c>
      <c r="B21908" s="2" t="str">
        <f>IFERROR(__xludf.DUMMYFUNCTION("GOOGLETRANSLATE(A21908, ""en"", ""mt"")"),"Għal liema proġett ħadem Deke Slayton qabel ma sar direttur tal-operazzjonijiet tal-ekwipaġġ tat-titjira?")</f>
        <v>Għal liema proġett ħadem Deke Slayton qabel ma sar direttur tal-operazzjonijiet tal-ekwipaġġ tat-titjira?</v>
      </c>
    </row>
    <row r="21909" ht="15.75" customHeight="1">
      <c r="A21909" s="2" t="s">
        <v>21909</v>
      </c>
      <c r="B21909" s="2" t="str">
        <f>IFERROR(__xludf.DUMMYFUNCTION("GOOGLETRANSLATE(A21909, ""en"", ""mt"")"),"Enerġizza l-elettroni")</f>
        <v>Enerġizza l-elettroni</v>
      </c>
    </row>
    <row r="21910" ht="15.75" customHeight="1">
      <c r="A21910" s="2" t="s">
        <v>21910</v>
      </c>
      <c r="B21910" s="2" t="str">
        <f>IFERROR(__xludf.DUMMYFUNCTION("GOOGLETRANSLATE(A21910, ""en"", ""mt"")"),"Minn xiex ġej l-ipoteżi ta 'Riemann li ġej is-sors ta' irregolarità fid-distribuzzjoni tal-punti?")</f>
        <v>Minn xiex ġej l-ipoteżi ta 'Riemann li ġej is-sors ta' irregolarità fid-distribuzzjoni tal-punti?</v>
      </c>
    </row>
    <row r="21911" ht="15.75" customHeight="1">
      <c r="A21911" s="2" t="s">
        <v>21911</v>
      </c>
      <c r="B21911" s="2" t="str">
        <f>IFERROR(__xludf.DUMMYFUNCTION("GOOGLETRANSLATE(A21911, ""en"", ""mt"")"),"X'kienu l-oriġini tal-familja Raouliii?")</f>
        <v>X'kienu l-oriġini tal-familja Raouliii?</v>
      </c>
    </row>
    <row r="21912" ht="15.75" customHeight="1">
      <c r="A21912" s="2" t="s">
        <v>21912</v>
      </c>
      <c r="B21912" s="2" t="str">
        <f>IFERROR(__xludf.DUMMYFUNCTION("GOOGLETRANSLATE(A21912, ""en"", ""mt"")"),"Alexandre Yersin")</f>
        <v>Alexandre Yersin</v>
      </c>
    </row>
    <row r="21913" ht="15.75" customHeight="1">
      <c r="A21913" s="2" t="s">
        <v>21913</v>
      </c>
      <c r="B21913" s="2" t="str">
        <f>IFERROR(__xludf.DUMMYFUNCTION("GOOGLETRANSLATE(A21913, ""en"", ""mt"")"),"Jekk P huwa fl-aħħar mill-aħħar ippruvat li huwa ugwali għal NP, x'effett ikollu dan fuq l-effiċjenza tal-problemi?")</f>
        <v>Jekk P huwa fl-aħħar mill-aħħar ippruvat li huwa ugwali għal NP, x'effett ikollu dan fuq l-effiċjenza tal-problemi?</v>
      </c>
    </row>
    <row r="21914" ht="15.75" customHeight="1">
      <c r="A21914" s="2" t="s">
        <v>21914</v>
      </c>
      <c r="B21914" s="2" t="str">
        <f>IFERROR(__xludf.DUMMYFUNCTION("GOOGLETRANSLATE(A21914, ""en"", ""mt"")"),"modern")</f>
        <v>modern</v>
      </c>
    </row>
    <row r="21915" ht="15.75" customHeight="1">
      <c r="A21915" s="2" t="s">
        <v>21915</v>
      </c>
      <c r="B21915" s="2" t="str">
        <f>IFERROR(__xludf.DUMMYFUNCTION("GOOGLETRANSLATE(A21915, ""en"", ""mt"")"),"Fejn Varsavja tikklassifika f'termini ta 'popolazzjoni fl-UE?")</f>
        <v>Fejn Varsavja tikklassifika f'termini ta 'popolazzjoni fl-UE?</v>
      </c>
    </row>
    <row r="21916" ht="15.75" customHeight="1">
      <c r="A21916" s="2" t="s">
        <v>21916</v>
      </c>
      <c r="B21916" s="2" t="str">
        <f>IFERROR(__xludf.DUMMYFUNCTION("GOOGLETRANSLATE(A21916, ""en"", ""mt"")"),"F'liema livell ta 'edukazzjoni dan l-isport qed isir aktar popolari?")</f>
        <v>F'liema livell ta 'edukazzjoni dan l-isport qed isir aktar popolari?</v>
      </c>
    </row>
    <row r="21917" ht="15.75" customHeight="1">
      <c r="A21917" s="2" t="s">
        <v>21917</v>
      </c>
      <c r="B21917" s="2" t="str">
        <f>IFERROR(__xludf.DUMMYFUNCTION("GOOGLETRANSLATE(A21917, ""en"", ""mt"")"),"Ix-Xmara Tyne")</f>
        <v>Ix-Xmara Tyne</v>
      </c>
    </row>
    <row r="21918" ht="15.75" customHeight="1">
      <c r="A21918" s="2" t="s">
        <v>21918</v>
      </c>
      <c r="B21918" s="2" t="str">
        <f>IFERROR(__xludf.DUMMYFUNCTION("GOOGLETRANSLATE(A21918, ""en"", ""mt"")"),"4 ta ’Awwissu 2010")</f>
        <v>4 ta ’Awwissu 2010</v>
      </c>
    </row>
    <row r="21919" ht="15.75" customHeight="1">
      <c r="A21919" s="2" t="s">
        <v>21919</v>
      </c>
      <c r="B21919" s="2" t="str">
        <f>IFERROR(__xludf.DUMMYFUNCTION("GOOGLETRANSLATE(A21919, ""en"", ""mt"")"),"Min hu s-Segretarju Ġenerali għall-Assoċjazzjoni Nazzjonali tal-Unjoni tal-Iskejjel tal-Għalliema tan-Nisa?")</f>
        <v>Min hu s-Segretarju Ġenerali għall-Assoċjazzjoni Nazzjonali tal-Unjoni tal-Iskejjel tal-Għalliema tan-Nisa?</v>
      </c>
    </row>
    <row r="21920" ht="15.75" customHeight="1">
      <c r="A21920" s="2" t="s">
        <v>21920</v>
      </c>
      <c r="B21920" s="2" t="str">
        <f>IFERROR(__xludf.DUMMYFUNCTION("GOOGLETRANSLATE(A21920, ""en"", ""mt"")"),"korrużjoni")</f>
        <v>korrużjoni</v>
      </c>
    </row>
    <row r="21921" ht="15.75" customHeight="1">
      <c r="A21921" s="2" t="s">
        <v>21921</v>
      </c>
      <c r="B21921" s="2" t="str">
        <f>IFERROR(__xludf.DUMMYFUNCTION("GOOGLETRANSLATE(A21921, ""en"", ""mt"")"),"""Wise up jew imut.""")</f>
        <v>"Wise up jew imut."</v>
      </c>
    </row>
    <row r="21922" ht="15.75" customHeight="1">
      <c r="A21922" s="2" t="s">
        <v>21922</v>
      </c>
      <c r="B21922" s="2" t="str">
        <f>IFERROR(__xludf.DUMMYFUNCTION("GOOGLETRANSLATE(A21922, ""en"", ""mt"")"),"Tesla sostniet li żviluppat il-prinċipju fiżiku tiegħu stess rigward il-materja u l-enerġija li beda jaħdem fuqu fl-1892, u fl-1937, fl-età ta '81, sostna f'ittra li temmet ""teorija dinamika tal-gravità"" li ""[kienet] tpoġġi itemm spekulazzjonijiet wieq"&amp;"fa u kunċetti foloz, bħal dak tal-ispazju mgħawweġ. "" Huwa ddikjara li t-teorija kienet ""maħduma fid-dettalji kollha"" u li huwa jittama li dalwaqt jagħtiha lid-dinja. Aktar eluċidazzjoni tat-teorija tiegħu qatt ma nstabet fil-kitbiet tiegħu.:309")</f>
        <v>Tesla sostniet li żviluppat il-prinċipju fiżiku tiegħu stess rigward il-materja u l-enerġija li beda jaħdem fuqu fl-1892, u fl-1937, fl-età ta '81, sostna f'ittra li temmet "teorija dinamika tal-gravità" li "[kienet] tpoġġi itemm spekulazzjonijiet wieqfa u kunċetti foloz, bħal dak tal-ispazju mgħawweġ. " Huwa ddikjara li t-teorija kienet "maħduma fid-dettalji kollha" u li huwa jittama li dalwaqt jagħtiha lid-dinja. Aktar eluċidazzjoni tat-teorija tiegħu qatt ma nstabet fil-kitbiet tiegħu.:309</v>
      </c>
    </row>
    <row r="21923" ht="15.75" customHeight="1">
      <c r="A21923" s="2" t="s">
        <v>21923</v>
      </c>
      <c r="B21923" s="2" t="str">
        <f>IFERROR(__xludf.DUMMYFUNCTION("GOOGLETRANSLATE(A21923, ""en"", ""mt"")"),"63%")</f>
        <v>63%</v>
      </c>
    </row>
    <row r="21924" ht="15.75" customHeight="1">
      <c r="A21924" s="2" t="s">
        <v>21924</v>
      </c>
      <c r="B21924" s="2" t="str">
        <f>IFERROR(__xludf.DUMMYFUNCTION("GOOGLETRANSLATE(A21924, ""en"", ""mt"")"),"X'inhu t-terminu għan-nies Aboriġini oriġinali tar-Rabat?")</f>
        <v>X'inhu t-terminu għan-nies Aboriġini oriġinali tar-Rabat?</v>
      </c>
    </row>
    <row r="21925" ht="15.75" customHeight="1">
      <c r="A21925" s="2" t="s">
        <v>21925</v>
      </c>
      <c r="B21925" s="2" t="str">
        <f>IFERROR(__xludf.DUMMYFUNCTION("GOOGLETRANSLATE(A21925, ""en"", ""mt"")"),"Għawwiema iżgħar u aktar dgħajfa bħal rotifers u larva tal-molluski u tal-krustaċji.")</f>
        <v>Għawwiema iżgħar u aktar dgħajfa bħal rotifers u larva tal-molluski u tal-krustaċji.</v>
      </c>
    </row>
    <row r="21926" ht="15.75" customHeight="1">
      <c r="A21926" s="2" t="s">
        <v>21926</v>
      </c>
      <c r="B21926" s="2" t="str">
        <f>IFERROR(__xludf.DUMMYFUNCTION("GOOGLETRANSLATE(A21926, ""en"", ""mt"")"),"X'għandhom l-ispeċi kollha ħlief waħda Platycenida?")</f>
        <v>X'għandhom l-ispeċi kollha ħlief waħda Platycenida?</v>
      </c>
    </row>
    <row r="21927" ht="15.75" customHeight="1">
      <c r="A21927" s="2" t="s">
        <v>21927</v>
      </c>
      <c r="B21927" s="2" t="str">
        <f>IFERROR(__xludf.DUMMYFUNCTION("GOOGLETRANSLATE(A21927, ""en"", ""mt"")"),"X'inhu Plasmodium?")</f>
        <v>X'inhu Plasmodium?</v>
      </c>
    </row>
    <row r="21928" ht="15.75" customHeight="1">
      <c r="A21928" s="2" t="s">
        <v>21928</v>
      </c>
      <c r="B21928" s="2" t="str">
        <f>IFERROR(__xludf.DUMMYFUNCTION("GOOGLETRANSLATE(A21928, ""en"", ""mt"")"),"fluwidu tax-xogħol")</f>
        <v>fluwidu tax-xogħol</v>
      </c>
    </row>
    <row r="21929" ht="15.75" customHeight="1">
      <c r="A21929" s="2" t="s">
        <v>21929</v>
      </c>
      <c r="B21929" s="2" t="str">
        <f>IFERROR(__xludf.DUMMYFUNCTION("GOOGLETRANSLATE(A21929, ""en"", ""mt"")"),"23 ta 'Lulju, 1963")</f>
        <v>23 ta 'Lulju, 1963</v>
      </c>
    </row>
    <row r="21930" ht="15.75" customHeight="1">
      <c r="A21930" s="2" t="s">
        <v>21930</v>
      </c>
      <c r="B21930" s="2" t="str">
        <f>IFERROR(__xludf.DUMMYFUNCTION("GOOGLETRANSLATE(A21930, ""en"", ""mt"")"),"Kożmoloġija Aristoteljana")</f>
        <v>Kożmoloġija Aristoteljana</v>
      </c>
    </row>
    <row r="21931" ht="15.75" customHeight="1">
      <c r="A21931" s="2" t="s">
        <v>21931</v>
      </c>
      <c r="B21931" s="2" t="str">
        <f>IFERROR(__xludf.DUMMYFUNCTION("GOOGLETRANSLATE(A21931, ""en"", ""mt"")"),"Otter, kastur u mijiet ta 'speċi ta' għasafar")</f>
        <v>Otter, kastur u mijiet ta 'speċi ta' għasafar</v>
      </c>
    </row>
    <row r="21932" ht="15.75" customHeight="1">
      <c r="A21932" s="2" t="s">
        <v>21932</v>
      </c>
      <c r="B21932" s="2" t="str">
        <f>IFERROR(__xludf.DUMMYFUNCTION("GOOGLETRANSLATE(A21932, ""en"", ""mt"")"),"Il-Librerija Nazzjonali tal-Art fil-V &amp; A hija magħrufa minn liema isem ieħor?")</f>
        <v>Il-Librerija Nazzjonali tal-Art fil-V &amp; A hija magħrufa minn liema isem ieħor?</v>
      </c>
    </row>
    <row r="21933" ht="15.75" customHeight="1">
      <c r="A21933" s="2" t="s">
        <v>21933</v>
      </c>
      <c r="B21933" s="2" t="str">
        <f>IFERROR(__xludf.DUMMYFUNCTION("GOOGLETRANSLATE(A21933, ""en"", ""mt"")"),"296")</f>
        <v>296</v>
      </c>
    </row>
    <row r="21934" ht="15.75" customHeight="1">
      <c r="A21934" s="2" t="s">
        <v>21934</v>
      </c>
      <c r="B21934" s="2" t="str">
        <f>IFERROR(__xludf.DUMMYFUNCTION("GOOGLETRANSLATE(A21934, ""en"", ""mt"")"),"Meta Newton kienet l-ewwel għażla fl-Abbozz tal-NFL?")</f>
        <v>Meta Newton kienet l-ewwel għażla fl-Abbozz tal-NFL?</v>
      </c>
    </row>
    <row r="21935" ht="15.75" customHeight="1">
      <c r="A21935" s="2" t="s">
        <v>21935</v>
      </c>
      <c r="B21935" s="2" t="str">
        <f>IFERROR(__xludf.DUMMYFUNCTION("GOOGLETRANSLATE(A21935, ""en"", ""mt"")"),"X'tip ta 'disinn kien dan il-mutur?")</f>
        <v>X'tip ta 'disinn kien dan il-mutur?</v>
      </c>
    </row>
    <row r="21936" ht="15.75" customHeight="1">
      <c r="A21936" s="2" t="s">
        <v>21936</v>
      </c>
      <c r="B21936" s="2" t="str">
        <f>IFERROR(__xludf.DUMMYFUNCTION("GOOGLETRANSLATE(A21936, ""en"", ""mt"")"),"Fl-istaġun 1965-66, liema post ABC sab lilu nnifsu fost in-netwerks l-oħra fil-klassifikazzjonijiet?")</f>
        <v>Fl-istaġun 1965-66, liema post ABC sab lilu nnifsu fost in-netwerks l-oħra fil-klassifikazzjonijiet?</v>
      </c>
    </row>
    <row r="21937" ht="15.75" customHeight="1">
      <c r="A21937" s="2" t="s">
        <v>21937</v>
      </c>
      <c r="B21937" s="2" t="str">
        <f>IFERROR(__xludf.DUMMYFUNCTION("GOOGLETRANSLATE(A21937, ""en"", ""mt"")"),"X'rata ta 'unjoni għandhom nazzjonijiet Skandinavi?")</f>
        <v>X'rata ta 'unjoni għandhom nazzjonijiet Skandinavi?</v>
      </c>
    </row>
    <row r="21938" ht="15.75" customHeight="1">
      <c r="A21938" s="2" t="s">
        <v>21938</v>
      </c>
      <c r="B21938" s="2" t="str">
        <f>IFERROR(__xludf.DUMMYFUNCTION("GOOGLETRANSLATE(A21938, ""en"", ""mt"")"),"X'għandhom il-membrani interni tal-Etioplasts?")</f>
        <v>X'għandhom il-membrani interni tal-Etioplasts?</v>
      </c>
    </row>
    <row r="21939" ht="15.75" customHeight="1">
      <c r="A21939" s="2" t="s">
        <v>21939</v>
      </c>
      <c r="B21939" s="2" t="str">
        <f>IFERROR(__xludf.DUMMYFUNCTION("GOOGLETRANSLATE(A21939, ""en"", ""mt"")"),"Min hu t-trofew mogħti liċ-champion tas-Super Bowl imsemmi?")</f>
        <v>Min hu t-trofew mogħti liċ-champion tas-Super Bowl imsemmi?</v>
      </c>
    </row>
    <row r="21940" ht="15.75" customHeight="1">
      <c r="A21940" s="2" t="s">
        <v>21940</v>
      </c>
      <c r="B21940" s="2" t="str">
        <f>IFERROR(__xludf.DUMMYFUNCTION("GOOGLETRANSLATE(A21940, ""en"", ""mt"")"),"X'kien l-antenat tal-kloroplasti?")</f>
        <v>X'kien l-antenat tal-kloroplasti?</v>
      </c>
    </row>
    <row r="21941" ht="15.75" customHeight="1">
      <c r="A21941" s="2" t="s">
        <v>21941</v>
      </c>
      <c r="B21941" s="2" t="str">
        <f>IFERROR(__xludf.DUMMYFUNCTION("GOOGLETRANSLATE(A21941, ""en"", ""mt"")"),"Industrijali")</f>
        <v>Industrijali</v>
      </c>
    </row>
    <row r="21942" ht="15.75" customHeight="1">
      <c r="A21942" s="2" t="s">
        <v>21942</v>
      </c>
      <c r="B21942" s="2" t="str">
        <f>IFERROR(__xludf.DUMMYFUNCTION("GOOGLETRANSLATE(A21942, ""en"", ""mt"")"),"X'hemm bżonn li jiġi evitat bid-diżubbidjenza ċivili?")</f>
        <v>X'hemm bżonn li jiġi evitat bid-diżubbidjenza ċivili?</v>
      </c>
    </row>
    <row r="21943" ht="15.75" customHeight="1">
      <c r="A21943" s="2" t="s">
        <v>21943</v>
      </c>
      <c r="B21943" s="2" t="str">
        <f>IFERROR(__xludf.DUMMYFUNCTION("GOOGLETRANSLATE(A21943, ""en"", ""mt"")"),"Produzzjoni radikali ħielsa")</f>
        <v>Produzzjoni radikali ħielsa</v>
      </c>
    </row>
    <row r="21944" ht="15.75" customHeight="1">
      <c r="A21944" s="2" t="s">
        <v>21944</v>
      </c>
      <c r="B21944" s="2" t="str">
        <f>IFERROR(__xludf.DUMMYFUNCTION("GOOGLETRANSLATE(A21944, ""en"", ""mt"")"),"Liema show CBS segwa s-Super Bowl?")</f>
        <v>Liema show CBS segwa s-Super Bowl?</v>
      </c>
    </row>
    <row r="21945" ht="15.75" customHeight="1">
      <c r="A21945" s="2" t="s">
        <v>21945</v>
      </c>
      <c r="B21945" s="2" t="str">
        <f>IFERROR(__xludf.DUMMYFUNCTION("GOOGLETRANSLATE(A21945, ""en"", ""mt"")"),"Sena waħda")</f>
        <v>Sena waħda</v>
      </c>
    </row>
    <row r="21946" ht="15.75" customHeight="1">
      <c r="A21946" s="2" t="s">
        <v>21946</v>
      </c>
      <c r="B21946" s="2" t="str">
        <f>IFERROR(__xludf.DUMMYFUNCTION("GOOGLETRANSLATE(A21946, ""en"", ""mt"")"),"eżotermiku")</f>
        <v>eżotermiku</v>
      </c>
    </row>
    <row r="21947" ht="15.75" customHeight="1">
      <c r="A21947" s="2" t="s">
        <v>21947</v>
      </c>
      <c r="B21947" s="2" t="str">
        <f>IFERROR(__xludf.DUMMYFUNCTION("GOOGLETRANSLATE(A21947, ""en"", ""mt"")"),"Xi jfisser l-għanijiet akkademiċi ta 'student?")</f>
        <v>Xi jfisser l-għanijiet akkademiċi ta 'student?</v>
      </c>
    </row>
    <row r="21948" ht="15.75" customHeight="1">
      <c r="A21948" s="2" t="s">
        <v>21948</v>
      </c>
      <c r="B21948" s="2" t="str">
        <f>IFERROR(__xludf.DUMMYFUNCTION("GOOGLETRANSLATE(A21948, ""en"", ""mt"")"),"Meta Varsavja bdiet terġa 'tinbena?")</f>
        <v>Meta Varsavja bdiet terġa 'tinbena?</v>
      </c>
    </row>
    <row r="21949" ht="15.75" customHeight="1">
      <c r="A21949" s="2" t="s">
        <v>21949</v>
      </c>
      <c r="B21949" s="2" t="str">
        <f>IFERROR(__xludf.DUMMYFUNCTION("GOOGLETRANSLATE(A21949, ""en"", ""mt"")"),"Meta Kublai pprojbixxa l-kummerċ internazzjonali tal-iskjavi tal-Mongol?")</f>
        <v>Meta Kublai pprojbixxa l-kummerċ internazzjonali tal-iskjavi tal-Mongol?</v>
      </c>
    </row>
    <row r="21950" ht="15.75" customHeight="1">
      <c r="A21950" s="2" t="s">
        <v>21950</v>
      </c>
      <c r="B21950" s="2" t="str">
        <f>IFERROR(__xludf.DUMMYFUNCTION("GOOGLETRANSLATE(A21950, ""en"", ""mt"")"),"Kemm huwa normali li l-ossiġnu n-nifs fl-ispazju ilbiesi?")</f>
        <v>Kemm huwa normali li l-ossiġnu n-nifs fl-ispazju ilbiesi?</v>
      </c>
    </row>
    <row r="21951" ht="15.75" customHeight="1">
      <c r="A21951" s="2" t="s">
        <v>21951</v>
      </c>
      <c r="B21951" s="2" t="str">
        <f>IFERROR(__xludf.DUMMYFUNCTION("GOOGLETRANSLATE(A21951, ""en"", ""mt"")"),"Min immappjat il-passaġġ Alta Vista?")</f>
        <v>Min immappjat il-passaġġ Alta Vista?</v>
      </c>
    </row>
    <row r="21952" ht="15.75" customHeight="1">
      <c r="A21952" s="2" t="s">
        <v>21952</v>
      </c>
      <c r="B21952" s="2" t="str">
        <f>IFERROR(__xludf.DUMMYFUNCTION("GOOGLETRANSLATE(A21952, ""en"", ""mt"")"),"Università Ingliża")</f>
        <v>Università Ingliża</v>
      </c>
    </row>
    <row r="21953" ht="15.75" customHeight="1">
      <c r="A21953" s="2" t="s">
        <v>21953</v>
      </c>
      <c r="B21953" s="2" t="str">
        <f>IFERROR(__xludf.DUMMYFUNCTION("GOOGLETRANSLATE(A21953, ""en"", ""mt"")"),"Ċentru għall-Ħajja")</f>
        <v>Ċentru għall-Ħajja</v>
      </c>
    </row>
    <row r="21954" ht="15.75" customHeight="1">
      <c r="A21954" s="2" t="s">
        <v>21954</v>
      </c>
      <c r="B21954" s="2" t="str">
        <f>IFERROR(__xludf.DUMMYFUNCTION("GOOGLETRANSLATE(A21954, ""en"", ""mt"")"),"mezz biex tagħmel it-teknoloġija arpanet pubblika")</f>
        <v>mezz biex tagħmel it-teknoloġija arpanet pubblika</v>
      </c>
    </row>
    <row r="21955" ht="15.75" customHeight="1">
      <c r="A21955" s="2" t="s">
        <v>21955</v>
      </c>
      <c r="B21955" s="2" t="str">
        <f>IFERROR(__xludf.DUMMYFUNCTION("GOOGLETRANSLATE(A21955, ""en"", ""mt"")"),"sistema ta 'kanali interni")</f>
        <v>sistema ta 'kanali interni</v>
      </c>
    </row>
    <row r="21956" ht="15.75" customHeight="1">
      <c r="A21956" s="2" t="s">
        <v>21956</v>
      </c>
      <c r="B21956" s="2" t="str">
        <f>IFERROR(__xludf.DUMMYFUNCTION("GOOGLETRANSLATE(A21956, ""en"", ""mt"")"),"inklużjonijiet u komponenti")</f>
        <v>inklużjonijiet u komponenti</v>
      </c>
    </row>
    <row r="21957" ht="15.75" customHeight="1">
      <c r="A21957" s="2" t="s">
        <v>21957</v>
      </c>
      <c r="B21957" s="2" t="str">
        <f>IFERROR(__xludf.DUMMYFUNCTION("GOOGLETRANSLATE(A21957, ""en"", ""mt"")"),"A69")</f>
        <v>A69</v>
      </c>
    </row>
    <row r="21958" ht="15.75" customHeight="1">
      <c r="A21958" s="2" t="s">
        <v>21958</v>
      </c>
      <c r="B21958" s="2" t="str">
        <f>IFERROR(__xludf.DUMMYFUNCTION("GOOGLETRANSLATE(A21958, ""en"", ""mt"")"),"25 minuta ta 'tul ta' trasmissjoni")</f>
        <v>25 minuta ta 'tul ta' trasmissjoni</v>
      </c>
    </row>
    <row r="21959" ht="15.75" customHeight="1">
      <c r="A21959" s="2" t="s">
        <v>21959</v>
      </c>
      <c r="B21959" s="2" t="str">
        <f>IFERROR(__xludf.DUMMYFUNCTION("GOOGLETRANSLATE(A21959, ""en"", ""mt"")"),"Liema netwerk kien magħruf għal drammi bħal Sherlock Holmes?")</f>
        <v>Liema netwerk kien magħruf għal drammi bħal Sherlock Holmes?</v>
      </c>
    </row>
    <row r="21960" ht="15.75" customHeight="1">
      <c r="A21960" s="2" t="s">
        <v>21960</v>
      </c>
      <c r="B21960" s="2" t="str">
        <f>IFERROR(__xludf.DUMMYFUNCTION("GOOGLETRANSLATE(A21960, ""en"", ""mt"")"),"Li ttrasportat l-irmied ta ’Tesla mill-Istati Uniti.")</f>
        <v>Li ttrasportat l-irmied ta ’Tesla mill-Istati Uniti.</v>
      </c>
    </row>
    <row r="21961" ht="15.75" customHeight="1">
      <c r="A21961" s="2" t="s">
        <v>21961</v>
      </c>
      <c r="B21961" s="2" t="str">
        <f>IFERROR(__xludf.DUMMYFUNCTION("GOOGLETRANSLATE(A21961, ""en"", ""mt"")"),"Liema serje dehru fuq l-ewwel Doctor Who Soundtrack?")</f>
        <v>Liema serje dehru fuq l-ewwel Doctor Who Soundtrack?</v>
      </c>
    </row>
    <row r="21962" ht="15.75" customHeight="1">
      <c r="A21962" s="2" t="s">
        <v>21962</v>
      </c>
      <c r="B21962" s="2" t="str">
        <f>IFERROR(__xludf.DUMMYFUNCTION("GOOGLETRANSLATE(A21962, ""en"", ""mt"")"),"armi tar-raġġ tal-partikuli ċċarġjati")</f>
        <v>armi tar-raġġ tal-partikuli ċċarġjati</v>
      </c>
    </row>
    <row r="21963" ht="15.75" customHeight="1">
      <c r="A21963" s="2" t="s">
        <v>21963</v>
      </c>
      <c r="B21963" s="2" t="str">
        <f>IFERROR(__xludf.DUMMYFUNCTION("GOOGLETRANSLATE(A21963, ""en"", ""mt"")"),"""zip"" il-ħalq jingħalaq")</f>
        <v>"zip" il-ħalq jingħalaq</v>
      </c>
    </row>
    <row r="21964" ht="15.75" customHeight="1">
      <c r="A21964" s="2" t="s">
        <v>21964</v>
      </c>
      <c r="B21964" s="2" t="str">
        <f>IFERROR(__xludf.DUMMYFUNCTION("GOOGLETRANSLATE(A21964, ""en"", ""mt"")"),"Testi bikrija tal-Punent li jirreferu l-Lvant jiddeskrivu n-nies bħala xiex?")</f>
        <v>Testi bikrija tal-Punent li jirreferu l-Lvant jiddeskrivu n-nies bħala xiex?</v>
      </c>
    </row>
    <row r="21965" ht="15.75" customHeight="1">
      <c r="A21965" s="2" t="s">
        <v>21965</v>
      </c>
      <c r="B21965" s="2" t="str">
        <f>IFERROR(__xludf.DUMMYFUNCTION("GOOGLETRANSLATE(A21965, ""en"", ""mt"")"),"Liema Teorema tiddikjara li l-interi kollha fard kbar jistgħu jiġu espressi bħala somma ta 'tliet primes?")</f>
        <v>Liema Teorema tiddikjara li l-interi kollha fard kbar jistgħu jiġu espressi bħala somma ta 'tliet primes?</v>
      </c>
    </row>
    <row r="21966" ht="15.75" customHeight="1">
      <c r="A21966" s="2" t="s">
        <v>21966</v>
      </c>
      <c r="B21966" s="2" t="str">
        <f>IFERROR(__xludf.DUMMYFUNCTION("GOOGLETRANSLATE(A21966, ""en"", ""mt"")"),"X'kienet ir-relazzjoni ta 'Kublai Khan ma' Genghis Khan?")</f>
        <v>X'kienet ir-relazzjoni ta 'Kublai Khan ma' Genghis Khan?</v>
      </c>
    </row>
    <row r="21967" ht="15.75" customHeight="1">
      <c r="A21967" s="2" t="s">
        <v>21967</v>
      </c>
      <c r="B21967" s="2" t="str">
        <f>IFERROR(__xludf.DUMMYFUNCTION("GOOGLETRANSLATE(A21967, ""en"", ""mt"")"),"Numru kompost")</f>
        <v>Numru kompost</v>
      </c>
    </row>
    <row r="21968" ht="15.75" customHeight="1">
      <c r="A21968" s="2" t="s">
        <v>21968</v>
      </c>
      <c r="B21968" s="2" t="str">
        <f>IFERROR(__xludf.DUMMYFUNCTION("GOOGLETRANSLATE(A21968, ""en"", ""mt"")"),"Adrijatiku")</f>
        <v>Adrijatiku</v>
      </c>
    </row>
    <row r="21969" ht="15.75" customHeight="1">
      <c r="A21969" s="2" t="s">
        <v>21969</v>
      </c>
      <c r="B21969" s="2" t="str">
        <f>IFERROR(__xludf.DUMMYFUNCTION("GOOGLETRANSLATE(A21969, ""en"", ""mt"")"),"appoġġja n-neo-konfuċjaniżmu ta 'Zhu XI u ddedika ruħu wkoll fil-Buddiżmu")</f>
        <v>appoġġja n-neo-konfuċjaniżmu ta 'Zhu XI u ddedika ruħu wkoll fil-Buddiżmu</v>
      </c>
    </row>
    <row r="21970" ht="15.75" customHeight="1">
      <c r="A21970" s="2" t="s">
        <v>21970</v>
      </c>
      <c r="B21970" s="2" t="str">
        <f>IFERROR(__xludf.DUMMYFUNCTION("GOOGLETRANSLATE(A21970, ""en"", ""mt"")"),"X'inhu soluzzjoni importanti tas-Swaħili tul il-kosta?")</f>
        <v>X'inhu soluzzjoni importanti tas-Swaħili tul il-kosta?</v>
      </c>
    </row>
    <row r="21971" ht="15.75" customHeight="1">
      <c r="A21971" s="2" t="s">
        <v>21971</v>
      </c>
      <c r="B21971" s="2" t="str">
        <f>IFERROR(__xludf.DUMMYFUNCTION("GOOGLETRANSLATE(A21971, ""en"", ""mt"")"),"Meta l-elezzjoni pproduċiet gvern ta 'maġġoranza ta' SNP, x'kienet l-ewwel ġrajja?")</f>
        <v>Meta l-elezzjoni pproduċiet gvern ta 'maġġoranza ta' SNP, x'kienet l-ewwel ġrajja?</v>
      </c>
    </row>
    <row r="21972" ht="15.75" customHeight="1">
      <c r="A21972" s="2" t="s">
        <v>21972</v>
      </c>
      <c r="B21972" s="2" t="str">
        <f>IFERROR(__xludf.DUMMYFUNCTION("GOOGLETRANSLATE(A21972, ""en"", ""mt"")"),"Liema satellita ntużat meta tnediet Sky Digital?")</f>
        <v>Liema satellita ntużat meta tnediet Sky Digital?</v>
      </c>
    </row>
    <row r="21973" ht="15.75" customHeight="1">
      <c r="A21973" s="2" t="s">
        <v>21973</v>
      </c>
      <c r="B21973" s="2" t="str">
        <f>IFERROR(__xludf.DUMMYFUNCTION("GOOGLETRANSLATE(A21973, ""en"", ""mt"")"),"Kemm atomi jikkombinaw biex jiffurmaw dioxygen?")</f>
        <v>Kemm atomi jikkombinaw biex jiffurmaw dioxygen?</v>
      </c>
    </row>
    <row r="21974" ht="15.75" customHeight="1">
      <c r="A21974" s="2" t="s">
        <v>21974</v>
      </c>
      <c r="B21974" s="2" t="str">
        <f>IFERROR(__xludf.DUMMYFUNCTION("GOOGLETRANSLATE(A21974, ""en"", ""mt"")"),"Il-fannijiet jaħsbu t-telespettatur fqir ta 'l-aħħar tas-snin 80 għal kompetizzjoni minn liema spettaklu?")</f>
        <v>Il-fannijiet jaħsbu t-telespettatur fqir ta 'l-aħħar tas-snin 80 għal kompetizzjoni minn liema spettaklu?</v>
      </c>
    </row>
    <row r="21975" ht="15.75" customHeight="1">
      <c r="A21975" s="2" t="s">
        <v>21975</v>
      </c>
      <c r="B21975" s="2" t="str">
        <f>IFERROR(__xludf.DUMMYFUNCTION("GOOGLETRANSLATE(A21975, ""en"", ""mt"")"),"Stress fuq ix-xogħol fost l-għalliema")</f>
        <v>Stress fuq ix-xogħol fost l-għalliema</v>
      </c>
    </row>
    <row r="21976" ht="15.75" customHeight="1">
      <c r="A21976" s="2" t="s">
        <v>21976</v>
      </c>
      <c r="B21976" s="2" t="str">
        <f>IFERROR(__xludf.DUMMYFUNCTION("GOOGLETRANSLATE(A21976, ""en"", ""mt"")"),"1500 u 1850")</f>
        <v>1500 u 1850</v>
      </c>
    </row>
    <row r="21977" ht="15.75" customHeight="1">
      <c r="A21977" s="2" t="s">
        <v>21977</v>
      </c>
      <c r="B21977" s="2" t="str">
        <f>IFERROR(__xludf.DUMMYFUNCTION("GOOGLETRANSLATE(A21977, ""en"", ""mt"")"),"562 sa 1598")</f>
        <v>562 sa 1598</v>
      </c>
    </row>
    <row r="21978" ht="15.75" customHeight="1">
      <c r="A21978" s="2" t="s">
        <v>21978</v>
      </c>
      <c r="B21978" s="2" t="str">
        <f>IFERROR(__xludf.DUMMYFUNCTION("GOOGLETRANSLATE(A21978, ""en"", ""mt"")"),"kważi 25,000")</f>
        <v>kważi 25,000</v>
      </c>
    </row>
    <row r="21979" ht="15.75" customHeight="1">
      <c r="A21979" s="2" t="s">
        <v>21979</v>
      </c>
      <c r="B21979" s="2" t="str">
        <f>IFERROR(__xludf.DUMMYFUNCTION("GOOGLETRANSLATE(A21979, ""en"", ""mt"")"),"Liema riċerkaturi tal-kanċer kienu wkoll apparti l-fakultà tal-università?")</f>
        <v>Liema riċerkaturi tal-kanċer kienu wkoll apparti l-fakultà tal-università?</v>
      </c>
    </row>
    <row r="21980" ht="15.75" customHeight="1">
      <c r="A21980" s="2" t="s">
        <v>21980</v>
      </c>
      <c r="B21980" s="2" t="str">
        <f>IFERROR(__xludf.DUMMYFUNCTION("GOOGLETRANSLATE(A21980, ""en"", ""mt"")"),"Skyclad")</f>
        <v>Skyclad</v>
      </c>
    </row>
    <row r="21981" ht="15.75" customHeight="1">
      <c r="A21981" s="2" t="s">
        <v>21981</v>
      </c>
      <c r="B21981" s="2" t="str">
        <f>IFERROR(__xludf.DUMMYFUNCTION("GOOGLETRANSLATE(A21981, ""en"", ""mt"")"),"Għaliex hemm iktar nies foqra fl-Istati Uniti u fl-Ewropa miċ-Ċina?")</f>
        <v>Għaliex hemm iktar nies foqra fl-Istati Uniti u fl-Ewropa miċ-Ċina?</v>
      </c>
    </row>
    <row r="21982" ht="15.75" customHeight="1">
      <c r="A21982" s="2" t="s">
        <v>21982</v>
      </c>
      <c r="B21982" s="2" t="str">
        <f>IFERROR(__xludf.DUMMYFUNCTION("GOOGLETRANSLATE(A21982, ""en"", ""mt"")"),"X'jagħmlu livelli għoljin ta 'inugwaljanza għat-tkabbir ekonomiku f'pajjiżi aktar sinjuri?")</f>
        <v>X'jagħmlu livelli għoljin ta 'inugwaljanza għat-tkabbir ekonomiku f'pajjiżi aktar sinjuri?</v>
      </c>
    </row>
    <row r="21983" ht="15.75" customHeight="1">
      <c r="A21983" s="2" t="s">
        <v>21983</v>
      </c>
      <c r="B21983" s="2" t="str">
        <f>IFERROR(__xludf.DUMMYFUNCTION("GOOGLETRANSLATE(A21983, ""en"", ""mt"")"),"Watt meta spiċċa l-iżvilupp tat-titjib tiegħu fil-magna ta 'Newcomen?")</f>
        <v>Watt meta spiċċa l-iżvilupp tat-titjib tiegħu fil-magna ta 'Newcomen?</v>
      </c>
    </row>
    <row r="21984" ht="15.75" customHeight="1">
      <c r="A21984" s="2" t="s">
        <v>21984</v>
      </c>
      <c r="B21984" s="2" t="str">
        <f>IFERROR(__xludf.DUMMYFUNCTION("GOOGLETRANSLATE(A21984, ""en"", ""mt"")"),"Filwaqt li l-kompetizzjoni bejn il-ħaddiema tnaqqas il-pagi għal impjiegi bi provvista għolja ta 'ħaddiem, li l-kompetizzjoni tiegħu tmexxi l-pagi għall-invers?")</f>
        <v>Filwaqt li l-kompetizzjoni bejn il-ħaddiema tnaqqas il-pagi għal impjiegi bi provvista għolja ta 'ħaddiem, li l-kompetizzjoni tiegħu tmexxi l-pagi għall-invers?</v>
      </c>
    </row>
    <row r="21985" ht="15.75" customHeight="1">
      <c r="A21985" s="2" t="s">
        <v>21985</v>
      </c>
      <c r="B21985" s="2" t="str">
        <f>IFERROR(__xludf.DUMMYFUNCTION("GOOGLETRANSLATE(A21985, ""en"", ""mt"")"),"tkeċċija")</f>
        <v>tkeċċija</v>
      </c>
    </row>
    <row r="21986" ht="15.75" customHeight="1">
      <c r="A21986" s="2" t="s">
        <v>21986</v>
      </c>
      <c r="B21986" s="2" t="str">
        <f>IFERROR(__xludf.DUMMYFUNCTION("GOOGLETRANSLATE(A21986, ""en"", ""mt"")"),"X'inhi l-metrika li jużaw biex tiddetermina kemm huma impenjati l-ajruporti?")</f>
        <v>X'inhi l-metrika li jużaw biex tiddetermina kemm huma impenjati l-ajruporti?</v>
      </c>
    </row>
    <row r="21987" ht="15.75" customHeight="1">
      <c r="A21987" s="2" t="s">
        <v>21987</v>
      </c>
      <c r="B21987" s="2" t="str">
        <f>IFERROR(__xludf.DUMMYFUNCTION("GOOGLETRANSLATE(A21987, ""en"", ""mt"")"),"Sistema Min")</f>
        <v>Sistema Min</v>
      </c>
    </row>
    <row r="21988" ht="15.75" customHeight="1">
      <c r="A21988" s="2" t="s">
        <v>21988</v>
      </c>
      <c r="B21988" s="2" t="str">
        <f>IFERROR(__xludf.DUMMYFUNCTION("GOOGLETRANSLATE(A21988, ""en"", ""mt"")"),"35.7")</f>
        <v>35.7</v>
      </c>
    </row>
    <row r="21989" ht="15.75" customHeight="1">
      <c r="A21989" s="2" t="s">
        <v>21989</v>
      </c>
      <c r="B21989" s="2" t="str">
        <f>IFERROR(__xludf.DUMMYFUNCTION("GOOGLETRANSLATE(A21989, ""en"", ""mt"")"),"Xi jgħin l-Istitut tal-Edukazzjoni Urbana?")</f>
        <v>Xi jgħin l-Istitut tal-Edukazzjoni Urbana?</v>
      </c>
    </row>
    <row r="21990" ht="15.75" customHeight="1">
      <c r="A21990" s="2" t="s">
        <v>21990</v>
      </c>
      <c r="B21990" s="2" t="str">
        <f>IFERROR(__xludf.DUMMYFUNCTION("GOOGLETRANSLATE(A21990, ""en"", ""mt"")"),"Tunbridge Wells")</f>
        <v>Tunbridge Wells</v>
      </c>
    </row>
    <row r="21991" ht="15.75" customHeight="1">
      <c r="A21991" s="2" t="s">
        <v>21991</v>
      </c>
      <c r="B21991" s="2" t="str">
        <f>IFERROR(__xludf.DUMMYFUNCTION("GOOGLETRANSLATE(A21991, ""en"", ""mt"")"),"F'liema sena l-NFL qalbu għal staġun regolari ta '16 -il logħba?")</f>
        <v>F'liema sena l-NFL qalbu għal staġun regolari ta '16 -il logħba?</v>
      </c>
    </row>
    <row r="21992" ht="15.75" customHeight="1">
      <c r="A21992" s="2" t="s">
        <v>21992</v>
      </c>
      <c r="B21992" s="2" t="str">
        <f>IFERROR(__xludf.DUMMYFUNCTION("GOOGLETRANSLATE(A21992, ""en"", ""mt"")"),"Fejn jiffurmaw ħsarat fuq l-ispinta?")</f>
        <v>Fejn jiffurmaw ħsarat fuq l-ispinta?</v>
      </c>
    </row>
    <row r="21993" ht="15.75" customHeight="1">
      <c r="A21993" s="2" t="s">
        <v>21993</v>
      </c>
      <c r="B21993" s="2" t="str">
        <f>IFERROR(__xludf.DUMMYFUNCTION("GOOGLETRANSLATE(A21993, ""en"", ""mt"")"),"Numru ta 'bibien f'ċirkwit")</f>
        <v>Numru ta 'bibien f'ċirkwit</v>
      </c>
    </row>
    <row r="21994" ht="15.75" customHeight="1">
      <c r="A21994" s="2" t="s">
        <v>21994</v>
      </c>
      <c r="B21994" s="2" t="str">
        <f>IFERROR(__xludf.DUMMYFUNCTION("GOOGLETRANSLATE(A21994, ""en"", ""mt"")"),"Xi jfisser it-telf għal Franza?")</f>
        <v>Xi jfisser it-telf għal Franza?</v>
      </c>
    </row>
    <row r="21995" ht="15.75" customHeight="1">
      <c r="A21995" s="2" t="s">
        <v>21995</v>
      </c>
      <c r="B21995" s="2" t="str">
        <f>IFERROR(__xludf.DUMMYFUNCTION("GOOGLETRANSLATE(A21995, ""en"", ""mt"")"),"Fl-2010, Newcastle kien pożizzjonat id-disa 'fil-Lega tan-Nefqa taċ-Ċentru tal-Bejgħ bl-Imnut tar-Renju Unit. Hemm bosta żoni ewlenin tax-xiri fiċ-Ċentru tal-Belt ta 'Newcastle. L-akbar wieħed minn dawn huwa ċ-Ċentru tax-Xiri tal-Pjazza Eldon, wieħed mill"&amp;"-ikbar kumplessi tax-xiri taċ-ċentru tal-belt fir-Renju Unit. Jinkorpora ħanut ewlieni ta 'Debenhams kif ukoll wieħed mill-ikbar ħwienet ta' John Lewis fir-Renju Unit. John Lewis għadu magħruf għal ħafna fi Newcastle bħala Bainbridges. Il-maħżen ta 'Newca"&amp;"stle Bainbridge's, li nfetaħ fl-1838, huwa spiss ikkwotat bħala l-ewwel ħanut tad-dinja. Emerson Bainbridge (1817-1892), pijunier u l-fundatur ta 'Bainbridges, biegħ oġġetti permezz ta' dipartiment, ġdid għad-drawwa merkantili għal dak iż-żmien. Il-ledger"&amp;"s uffiċjali ta 'Bainbridge irrappurtaw dħul mid-dipartiment, li welldu l-isem tad-dipartiment tal-isem. Pjazza Eldon bħalissa għaddej minn żvilupp mill-ġdid sħiħ. Stazzjon tax-xarabank ġdid, li ħa post l-istazzjon tax-xarabank taħt l-art, infetaħ uffiċjal"&amp;"ment f'Marzu 2007. Il-ġwienaħ taċ-ċentru, inkluż is-suq aħdar moħbi, qrib Triq Grainger ġie mwaqqa 'fl-2007 sabiex iż-żona tkun tista' tiġi żviluppata mill-ġdid. Dan tlesta fi Frar 2010 bil-ftuħ ta 'ħanut ewlieni ta' Debenhams kif ukoll ħwienet ewlenin oħ"&amp;"ra inklużi Apple, Hollister u Guess.")</f>
        <v>Fl-2010, Newcastle kien pożizzjonat id-disa 'fil-Lega tan-Nefqa taċ-Ċentru tal-Bejgħ bl-Imnut tar-Renju Unit. Hemm bosta żoni ewlenin tax-xiri fiċ-Ċentru tal-Belt ta 'Newcastle. L-akbar wieħed minn dawn huwa ċ-Ċentru tax-Xiri tal-Pjazza Eldon, wieħed mill-ikbar kumplessi tax-xiri taċ-ċentru tal-belt fir-Renju Unit. Jinkorpora ħanut ewlieni ta 'Debenhams kif ukoll wieħed mill-ikbar ħwienet ta' John Lewis fir-Renju Unit. John Lewis għadu magħruf għal ħafna fi Newcastle bħala Bainbridges. Il-maħżen ta 'Newcastle Bainbridge's, li nfetaħ fl-1838, huwa spiss ikkwotat bħala l-ewwel ħanut tad-dinja. Emerson Bainbridge (1817-1892), pijunier u l-fundatur ta 'Bainbridges, biegħ oġġetti permezz ta' dipartiment, ġdid għad-drawwa merkantili għal dak iż-żmien. Il-ledgers uffiċjali ta 'Bainbridge irrappurtaw dħul mid-dipartiment, li welldu l-isem tad-dipartiment tal-isem. Pjazza Eldon bħalissa għaddej minn żvilupp mill-ġdid sħiħ. Stazzjon tax-xarabank ġdid, li ħa post l-istazzjon tax-xarabank taħt l-art, infetaħ uffiċjalment f'Marzu 2007. Il-ġwienaħ taċ-ċentru, inkluż is-suq aħdar moħbi, qrib Triq Grainger ġie mwaqqa 'fl-2007 sabiex iż-żona tkun tista' tiġi żviluppata mill-ġdid. Dan tlesta fi Frar 2010 bil-ftuħ ta 'ħanut ewlieni ta' Debenhams kif ukoll ħwienet ewlenin oħra inklużi Apple, Hollister u Guess.</v>
      </c>
    </row>
    <row r="21996" ht="15.75" customHeight="1">
      <c r="A21996" s="2" t="s">
        <v>21996</v>
      </c>
      <c r="B21996" s="2" t="str">
        <f>IFERROR(__xludf.DUMMYFUNCTION("GOOGLETRANSLATE(A21996, ""en"", ""mt"")"),"Prinċipju ta 'Suċċessjoni Faunali")</f>
        <v>Prinċipju ta 'Suċċessjoni Faunali</v>
      </c>
    </row>
    <row r="21997" ht="15.75" customHeight="1">
      <c r="A21997" s="2" t="s">
        <v>21997</v>
      </c>
      <c r="B21997" s="2" t="str">
        <f>IFERROR(__xludf.DUMMYFUNCTION("GOOGLETRANSLATE(A21997, ""en"", ""mt"")"),"Għalkemm l-Unjoni Ewropea m'għandhiex kostituzzjoni kodifikata, bħal kull korp politiku li għandu liġijiet li ""jikkostitwixxu"" l-istruttura bażika ta 'governanza tagħha. Is-sorsi kostituzzjonali primarji tal-UE huma t-Trattat dwar l-Unjoni Ewropea (TEU)"&amp;" u t-Trattat dwar il-Funzjonament tal-Unjoni Ewropea (TFEU), li ġew miftehma jew osservati fost il-gvernijiet tat-28 stat membru kollha. It-trattati jistabbilixxu l-istituzzjonijiet tal-UE, jelenkaw is-setgħat u r-responsabbiltajiet tagħhom, u jispjegaw l"&amp;"-oqsma li fihom l-UE tista 'tilleġiżla b'direttivi jew regolamenti. Il-Kummissjoni Ewropea għandha l-inizjattiva li tipproponi leġislazzjoni. Matul il-proċedura leġiżlattiva ordinarja, il-Kunsill (li huma ministri mill-gvernijiet tal-Istat Membru) u l-Par"&amp;"lament Ewropew (elett miċ-ċittadini) jista 'jagħmel emendi u għandu jagħti l-kunsens tagħhom għal-liġijiet li jgħaddu. Il-Kummissjoni tissorvelja d-dipartimenti u diversi aġenziji li jeżegwixxu jew jinfurzaw il-liġi tal-UE. Il- ""Kunsill Ewropew"" (minflo"&amp;"k il-Kunsill, magħmul minn ministri tal-gvern differenti) huwa magħmul mill-Prim Ministri jew il-Presidenti Eżekuttivi tal-Istati Membri. Huwa jaħtar il-Kummissarji u l-Bord tal-Bank Ċentrali Ewropew. Il-Qorti Ewropea tal-Ġustizzja hija l-korp ġudizzjarju"&amp;" suprem li jinterpreta l-liġi tal-UE, u jiżviluppaha permezz ta 'preċedent. Il-qorti tista 'tirrevedi l-legalità tal-azzjonijiet tal-istituzzjonijiet tal-UE, b'konformità mat-trattati. Jista 'jiddeċiedi wkoll dwar talbiet għal ksur tal-liġijiet tal-UE mil"&amp;"l-istati membri u ċ-ċittadini.")</f>
        <v>Għalkemm l-Unjoni Ewropea m'għandhiex kostituzzjoni kodifikata, bħal kull korp politiku li għandu liġijiet li "jikkostitwixxu" l-istruttura bażika ta 'governanza tagħha. Is-sorsi kostituzzjonali primarji tal-UE huma t-Trattat dwar l-Unjoni Ewropea (TEU) u t-Trattat dwar il-Funzjonament tal-Unjoni Ewropea (TFEU), li ġew miftehma jew osservati fost il-gvernijiet tat-28 stat membru kollha. It-trattati jistabbilixxu l-istituzzjonijiet tal-UE, jelenkaw is-setgħat u r-responsabbiltajiet tagħhom, u jispjegaw l-oqsma li fihom l-UE tista 'tilleġiżla b'direttivi jew regolamenti. Il-Kummissjoni Ewropea għandha l-inizjattiva li tipproponi leġislazzjoni. Matul il-proċedura leġiżlattiva ordinarja, il-Kunsill (li huma ministri mill-gvernijiet tal-Istat Membru) u l-Parlament Ewropew (elett miċ-ċittadini) jista 'jagħmel emendi u għandu jagħti l-kunsens tagħhom għal-liġijiet li jgħaddu. Il-Kummissjoni tissorvelja d-dipartimenti u diversi aġenziji li jeżegwixxu jew jinfurzaw il-liġi tal-UE. Il- "Kunsill Ewropew" (minflok il-Kunsill, magħmul minn ministri tal-gvern differenti) huwa magħmul mill-Prim Ministri jew il-Presidenti Eżekuttivi tal-Istati Membri. Huwa jaħtar il-Kummissarji u l-Bord tal-Bank Ċentrali Ewropew. Il-Qorti Ewropea tal-Ġustizzja hija l-korp ġudizzjarju suprem li jinterpreta l-liġi tal-UE, u jiżviluppaha permezz ta 'preċedent. Il-qorti tista 'tirrevedi l-legalità tal-azzjonijiet tal-istituzzjonijiet tal-UE, b'konformità mat-trattati. Jista 'jiddeċiedi wkoll dwar talbiet għal ksur tal-liġijiet tal-UE mill-istati membri u ċ-ċittadini.</v>
      </c>
    </row>
    <row r="21998" ht="15.75" customHeight="1">
      <c r="A21998" s="2" t="s">
        <v>21998</v>
      </c>
      <c r="B21998" s="2" t="str">
        <f>IFERROR(__xludf.DUMMYFUNCTION("GOOGLETRANSLATE(A21998, ""en"", ""mt"")"),"jaqbeż kwalunkwe numru partikolari")</f>
        <v>jaqbeż kwalunkwe numru partikolari</v>
      </c>
    </row>
    <row r="21999" ht="15.75" customHeight="1">
      <c r="A21999" s="2" t="s">
        <v>21999</v>
      </c>
      <c r="B21999" s="2" t="str">
        <f>IFERROR(__xludf.DUMMYFUNCTION("GOOGLETRANSLATE(A21999, ""en"", ""mt"")"),"Il-bankini u l-faċilitajiet tas-sanità ta 'Varsavja huma xi eżempji ta' affarijiet li għandhom xiex?")</f>
        <v>Il-bankini u l-faċilitajiet tas-sanità ta 'Varsavja huma xi eżempji ta' affarijiet li għandhom xiex?</v>
      </c>
    </row>
    <row r="22000" ht="15.75" customHeight="1">
      <c r="A22000" s="2" t="s">
        <v>22000</v>
      </c>
      <c r="B22000" s="2" t="str">
        <f>IFERROR(__xludf.DUMMYFUNCTION("GOOGLETRANSLATE(A22000, ""en"", ""mt"")"),"il- ""Kapitolu Soċjali""")</f>
        <v>il- "Kapitolu Soċjali"</v>
      </c>
    </row>
    <row r="22001" ht="15.75" customHeight="1">
      <c r="A22001" s="2" t="s">
        <v>22001</v>
      </c>
      <c r="B22001" s="2" t="str">
        <f>IFERROR(__xludf.DUMMYFUNCTION("GOOGLETRANSLATE(A22001, ""en"", ""mt"")"),"imfixkel")</f>
        <v>imfixkel</v>
      </c>
    </row>
    <row r="22002" ht="15.75" customHeight="1">
      <c r="A22002" s="2" t="s">
        <v>22002</v>
      </c>
      <c r="B22002" s="2" t="str">
        <f>IFERROR(__xludf.DUMMYFUNCTION("GOOGLETRANSLATE(A22002, ""en"", ""mt"")"),"Xi jiddetermina l-KCPE?")</f>
        <v>Xi jiddetermina l-KCPE?</v>
      </c>
    </row>
    <row r="22003" ht="15.75" customHeight="1">
      <c r="A22003" s="2" t="s">
        <v>22003</v>
      </c>
      <c r="B22003" s="2" t="str">
        <f>IFERROR(__xludf.DUMMYFUNCTION("GOOGLETRANSLATE(A22003, ""en"", ""mt"")"),"Il-Fondazzjoni Elettronika tal-Fruntiera")</f>
        <v>Il-Fondazzjoni Elettronika tal-Fruntiera</v>
      </c>
    </row>
    <row r="22004" ht="15.75" customHeight="1">
      <c r="A22004" s="2" t="s">
        <v>22004</v>
      </c>
      <c r="B22004" s="2" t="str">
        <f>IFERROR(__xludf.DUMMYFUNCTION("GOOGLETRANSLATE(A22004, ""en"", ""mt"")"),"Min ta lil Tesla flus biex imur Praga?")</f>
        <v>Min ta lil Tesla flus biex imur Praga?</v>
      </c>
    </row>
    <row r="22005" ht="15.75" customHeight="1">
      <c r="A22005" s="2" t="s">
        <v>22005</v>
      </c>
      <c r="B22005" s="2" t="str">
        <f>IFERROR(__xludf.DUMMYFUNCTION("GOOGLETRANSLATE(A22005, ""en"", ""mt"")"),"Liema membru tal-Parlament spjega kif il-mużew jippreserva l-kollezzjoni u jżommha disponibbli għall-pubbliku?")</f>
        <v>Liema membru tal-Parlament spjega kif il-mużew jippreserva l-kollezzjoni u jżommha disponibbli għall-pubbliku?</v>
      </c>
    </row>
    <row r="22006" ht="15.75" customHeight="1">
      <c r="A22006" s="2" t="s">
        <v>22006</v>
      </c>
      <c r="B22006" s="2" t="str">
        <f>IFERROR(__xludf.DUMMYFUNCTION("GOOGLETRANSLATE(A22006, ""en"", ""mt"")"),"1,600 mm (5 ft 3 in) Broad Gauge")</f>
        <v>1,600 mm (5 ft 3 in) Broad Gauge</v>
      </c>
    </row>
    <row r="22007" ht="15.75" customHeight="1">
      <c r="A22007" s="2" t="s">
        <v>22007</v>
      </c>
      <c r="B22007" s="2" t="str">
        <f>IFERROR(__xludf.DUMMYFUNCTION("GOOGLETRANSLATE(A22007, ""en"", ""mt"")"),"Liema persentaġġ ta 'flus miġbura mill-kumitat ospitanti se jintuża għal kawżi ta' karità?")</f>
        <v>Liema persentaġġ ta 'flus miġbura mill-kumitat ospitanti se jintuża għal kawżi ta' karità?</v>
      </c>
    </row>
    <row r="22008" ht="15.75" customHeight="1">
      <c r="A22008" s="2" t="s">
        <v>22008</v>
      </c>
      <c r="B22008" s="2" t="str">
        <f>IFERROR(__xludf.DUMMYFUNCTION("GOOGLETRANSLATE(A22008, ""en"", ""mt"")"),"1130")</f>
        <v>1130</v>
      </c>
    </row>
    <row r="22009" ht="15.75" customHeight="1">
      <c r="A22009" s="2" t="s">
        <v>22009</v>
      </c>
      <c r="B22009" s="2" t="str">
        <f>IFERROR(__xludf.DUMMYFUNCTION("GOOGLETRANSLATE(A22009, ""en"", ""mt"")"),"Fejn waħda mill-bniet ta 'Triton iddeċidiet li riedet toqgħod u tibqa'?")</f>
        <v>Fejn waħda mill-bniet ta 'Triton iddeċidiet li riedet toqgħod u tibqa'?</v>
      </c>
    </row>
    <row r="22010" ht="15.75" customHeight="1">
      <c r="A22010" s="2" t="s">
        <v>22010</v>
      </c>
      <c r="B22010" s="2" t="str">
        <f>IFERROR(__xludf.DUMMYFUNCTION("GOOGLETRANSLATE(A22010, ""en"", ""mt"")"),"X’għamlet Tesla bil-privattivi tiegħu li ġiegħlu jitlefhom?")</f>
        <v>X’għamlet Tesla bil-privattivi tiegħu li ġiegħlu jitlefhom?</v>
      </c>
    </row>
    <row r="22011" ht="15.75" customHeight="1">
      <c r="A22011" s="2" t="s">
        <v>22011</v>
      </c>
      <c r="B22011" s="2" t="str">
        <f>IFERROR(__xludf.DUMMYFUNCTION("GOOGLETRANSLATE(A22011, ""en"", ""mt"")"),"X'inhu l-klijenti biex jiksbu funzjonijiet Sky + jekk ma jissottoskrivux għall-kanali ta 'BSKYB?")</f>
        <v>X'inhu l-klijenti biex jiksbu funzjonijiet Sky + jekk ma jissottoskrivux għall-kanali ta 'BSKYB?</v>
      </c>
    </row>
    <row r="22012" ht="15.75" customHeight="1">
      <c r="A22012" s="2" t="s">
        <v>22012</v>
      </c>
      <c r="B22012" s="2" t="str">
        <f>IFERROR(__xludf.DUMMYFUNCTION("GOOGLETRANSLATE(A22012, ""en"", ""mt"")"),"2003.")</f>
        <v>2003.</v>
      </c>
    </row>
    <row r="22013" ht="15.75" customHeight="1">
      <c r="A22013" s="2" t="s">
        <v>22013</v>
      </c>
      <c r="B22013" s="2" t="str">
        <f>IFERROR(__xludf.DUMMYFUNCTION("GOOGLETRANSLATE(A22013, ""en"", ""mt"")"),"X'kien l-isem tal-avveniment tal-Media Day għas-Super Bowl 50?")</f>
        <v>X'kien l-isem tal-avveniment tal-Media Day għas-Super Bowl 50?</v>
      </c>
    </row>
    <row r="22014" ht="15.75" customHeight="1">
      <c r="A22014" s="2" t="s">
        <v>22014</v>
      </c>
      <c r="B22014" s="2" t="str">
        <f>IFERROR(__xludf.DUMMYFUNCTION("GOOGLETRANSLATE(A22014, ""en"", ""mt"")"),"Mike Carey")</f>
        <v>Mike Carey</v>
      </c>
    </row>
    <row r="22015" ht="15.75" customHeight="1">
      <c r="A22015" s="2" t="s">
        <v>22015</v>
      </c>
      <c r="B22015" s="2" t="str">
        <f>IFERROR(__xludf.DUMMYFUNCTION("GOOGLETRANSLATE(A22015, ""en"", ""mt"")"),"Flimkien ma 'tagħlim, boroż ta' studju, vawċers, donazzjonijiet u għotjiet, minn fejn ġej il-finanzjament għall-iskejjel privati?")</f>
        <v>Flimkien ma 'tagħlim, boroż ta' studju, vawċers, donazzjonijiet u għotjiet, minn fejn ġej il-finanzjament għall-iskejjel privati?</v>
      </c>
    </row>
    <row r="22016" ht="15.75" customHeight="1">
      <c r="A22016" s="2" t="s">
        <v>22016</v>
      </c>
      <c r="B22016" s="2" t="str">
        <f>IFERROR(__xludf.DUMMYFUNCTION("GOOGLETRANSLATE(A22016, ""en"", ""mt"")"),"Kemm irreġistra Luke Kuechly?")</f>
        <v>Kemm irreġistra Luke Kuechly?</v>
      </c>
    </row>
    <row r="22017" ht="15.75" customHeight="1">
      <c r="A22017" s="2" t="s">
        <v>22017</v>
      </c>
      <c r="B22017" s="2" t="str">
        <f>IFERROR(__xludf.DUMMYFUNCTION("GOOGLETRANSLATE(A22017, ""en"", ""mt"")"),"Xi tfisser is-sostituzzjoni tat-tagħmir għal xogħol għall-ħaddiema?")</f>
        <v>Xi tfisser is-sostituzzjoni tat-tagħmir għal xogħol għall-ħaddiema?</v>
      </c>
    </row>
    <row r="22018" ht="15.75" customHeight="1">
      <c r="A22018" s="2" t="s">
        <v>22018</v>
      </c>
      <c r="B22018" s="2" t="str">
        <f>IFERROR(__xludf.DUMMYFUNCTION("GOOGLETRANSLATE(A22018, ""en"", ""mt"")"),"jum il-Milied")</f>
        <v>jum il-Milied</v>
      </c>
    </row>
    <row r="22019" ht="15.75" customHeight="1">
      <c r="A22019" s="2" t="s">
        <v>22019</v>
      </c>
      <c r="B22019" s="2" t="str">
        <f>IFERROR(__xludf.DUMMYFUNCTION("GOOGLETRANSLATE(A22019, ""en"", ""mt"")"),"il-perjodu tan-nofs tal-antikità klassika")</f>
        <v>il-perjodu tan-nofs tal-antikità klassika</v>
      </c>
    </row>
    <row r="22020" ht="15.75" customHeight="1">
      <c r="A22020" s="2" t="s">
        <v>22020</v>
      </c>
      <c r="B22020" s="2" t="str">
        <f>IFERROR(__xludf.DUMMYFUNCTION("GOOGLETRANSLATE(A22020, ""en"", ""mt"")"),"Le, dak mhux tajjeb")</f>
        <v>Le, dak mhux tajjeb</v>
      </c>
    </row>
    <row r="22021" ht="15.75" customHeight="1">
      <c r="A22021" s="2" t="s">
        <v>22021</v>
      </c>
      <c r="B22021" s="2" t="str">
        <f>IFERROR(__xludf.DUMMYFUNCTION("GOOGLETRANSLATE(A22021, ""en"", ""mt"")"),"is-settur privat, in-negozji u l-isponsors")</f>
        <v>is-settur privat, in-negozji u l-isponsors</v>
      </c>
    </row>
    <row r="22022" ht="15.75" customHeight="1">
      <c r="A22022" s="2" t="s">
        <v>22022</v>
      </c>
      <c r="B22022" s="2" t="str">
        <f>IFERROR(__xludf.DUMMYFUNCTION("GOOGLETRANSLATE(A22022, ""en"", ""mt"")"),"Liema sistema ta 'arkivju tintuża għall-materjal kollu fil-Librerija Nazzjonali tal-Art?")</f>
        <v>Liema sistema ta 'arkivju tintuża għall-materjal kollu fil-Librerija Nazzjonali tal-Art?</v>
      </c>
    </row>
    <row r="22023" ht="15.75" customHeight="1">
      <c r="A22023" s="2" t="s">
        <v>22023</v>
      </c>
      <c r="B22023" s="2" t="str">
        <f>IFERROR(__xludf.DUMMYFUNCTION("GOOGLETRANSLATE(A22023, ""en"", ""mt"")"),"24 ta ’Awwissu - 3 ta’ Ottubru 1572")</f>
        <v>24 ta ’Awwissu - 3 ta’ Ottubru 1572</v>
      </c>
    </row>
    <row r="22024" ht="15.75" customHeight="1">
      <c r="A22024" s="2" t="s">
        <v>22024</v>
      </c>
      <c r="B22024" s="2" t="str">
        <f>IFERROR(__xludf.DUMMYFUNCTION("GOOGLETRANSLATE(A22024, ""en"", ""mt"")"),"X'għandu l-ilma li ħiereġ lejn il-Paċifiku kellu joħroġ matul in-nofs l-Eoken?")</f>
        <v>X'għandu l-ilma li ħiereġ lejn il-Paċifiku kellu joħroġ matul in-nofs l-Eoken?</v>
      </c>
    </row>
    <row r="22025" ht="15.75" customHeight="1">
      <c r="A22025" s="2" t="s">
        <v>22025</v>
      </c>
      <c r="B22025" s="2" t="str">
        <f>IFERROR(__xludf.DUMMYFUNCTION("GOOGLETRANSLATE(A22025, ""en"", ""mt"")"),"Palestina")</f>
        <v>Palestina</v>
      </c>
    </row>
    <row r="22026" ht="15.75" customHeight="1">
      <c r="A22026" s="2" t="s">
        <v>22026</v>
      </c>
      <c r="B22026" s="2" t="str">
        <f>IFERROR(__xludf.DUMMYFUNCTION("GOOGLETRANSLATE(A22026, ""en"", ""mt"")"),"Liema pubblikazzjoni ppubblikat artiklu dwar Tesla fl-1912?")</f>
        <v>Liema pubblikazzjoni ppubblikat artiklu dwar Tesla fl-1912?</v>
      </c>
    </row>
    <row r="22027" ht="15.75" customHeight="1">
      <c r="A22027" s="2" t="s">
        <v>22027</v>
      </c>
      <c r="B22027" s="2" t="str">
        <f>IFERROR(__xludf.DUMMYFUNCTION("GOOGLETRANSLATE(A22027, ""en"", ""mt"")"),"Li l-pesta kienet ikkawżata minn arja ħażina")</f>
        <v>Li l-pesta kienet ikkawżata minn arja ħażina</v>
      </c>
    </row>
    <row r="22028" ht="15.75" customHeight="1">
      <c r="A22028" s="2" t="s">
        <v>22028</v>
      </c>
      <c r="B22028" s="2" t="str">
        <f>IFERROR(__xludf.DUMMYFUNCTION("GOOGLETRANSLATE(A22028, ""en"", ""mt"")"),"ħafna utilità")</f>
        <v>ħafna utilità</v>
      </c>
    </row>
    <row r="22029" ht="15.75" customHeight="1">
      <c r="A22029" s="2" t="s">
        <v>22029</v>
      </c>
      <c r="B22029" s="2" t="str">
        <f>IFERROR(__xludf.DUMMYFUNCTION("GOOGLETRANSLATE(A22029, ""en"", ""mt"")"),"F’nofs is-seklu 18, min ma qabilx li 1 għandu jkun l-ewwel numru ewlieni?")</f>
        <v>F’nofs is-seklu 18, min ma qabilx li 1 għandu jkun l-ewwel numru ewlieni?</v>
      </c>
    </row>
    <row r="22030" ht="15.75" customHeight="1">
      <c r="A22030" s="2" t="s">
        <v>22030</v>
      </c>
      <c r="B22030" s="2" t="str">
        <f>IFERROR(__xludf.DUMMYFUNCTION("GOOGLETRANSLATE(A22030, ""en"", ""mt"")"),"kważi miljun u nofs")</f>
        <v>kważi miljun u nofs</v>
      </c>
    </row>
    <row r="22031" ht="15.75" customHeight="1">
      <c r="A22031" s="2" t="s">
        <v>22031</v>
      </c>
      <c r="B22031" s="2" t="str">
        <f>IFERROR(__xludf.DUMMYFUNCTION("GOOGLETRANSLATE(A22031, ""en"", ""mt"")"),"Liema artist famuż aktar tard investiga l-esperimenti ta 'Philo?")</f>
        <v>Liema artist famuż aktar tard investiga l-esperimenti ta 'Philo?</v>
      </c>
    </row>
    <row r="22032" ht="15.75" customHeight="1">
      <c r="A22032" s="2" t="s">
        <v>22032</v>
      </c>
      <c r="B22032" s="2" t="str">
        <f>IFERROR(__xludf.DUMMYFUNCTION("GOOGLETRANSLATE(A22032, ""en"", ""mt"")"),"possibbiltà tat-trasmissjoni")</f>
        <v>possibbiltà tat-trasmissjoni</v>
      </c>
    </row>
    <row r="22033" ht="15.75" customHeight="1">
      <c r="A22033" s="2" t="s">
        <v>22033</v>
      </c>
      <c r="B22033" s="2" t="str">
        <f>IFERROR(__xludf.DUMMYFUNCTION("GOOGLETRANSLATE(A22033, ""en"", ""mt"")"),"Meta l-konċentrazzjoni tal-ossiġnu tkun għolja wisq")</f>
        <v>Meta l-konċentrazzjoni tal-ossiġnu tkun għolja wisq</v>
      </c>
    </row>
    <row r="22034" ht="15.75" customHeight="1">
      <c r="A22034" s="2" t="s">
        <v>22034</v>
      </c>
      <c r="B22034" s="2" t="str">
        <f>IFERROR(__xludf.DUMMYFUNCTION("GOOGLETRANSLATE(A22034, ""en"", ""mt"")"),"menarche")</f>
        <v>menarche</v>
      </c>
    </row>
    <row r="22035" ht="15.75" customHeight="1">
      <c r="A22035" s="2" t="s">
        <v>22035</v>
      </c>
      <c r="B22035" s="2" t="str">
        <f>IFERROR(__xludf.DUMMYFUNCTION("GOOGLETRANSLATE(A22035, ""en"", ""mt"")"),"Kultivazzjoni tal-kittien")</f>
        <v>Kultivazzjoni tal-kittien</v>
      </c>
    </row>
    <row r="22036" ht="15.75" customHeight="1">
      <c r="A22036" s="2" t="s">
        <v>22036</v>
      </c>
      <c r="B22036" s="2" t="str">
        <f>IFERROR(__xludf.DUMMYFUNCTION("GOOGLETRANSLATE(A22036, ""en"", ""mt"")"),"funzjoni ta 'appoġġ")</f>
        <v>funzjoni ta 'appoġġ</v>
      </c>
    </row>
    <row r="22037" ht="15.75" customHeight="1">
      <c r="A22037" s="2" t="s">
        <v>22037</v>
      </c>
      <c r="B22037" s="2" t="str">
        <f>IFERROR(__xludf.DUMMYFUNCTION("GOOGLETRANSLATE(A22037, ""en"", ""mt"")"),"iżommha milli tiwi qabel iż-żmien")</f>
        <v>iżommha milli tiwi qabel iż-żmien</v>
      </c>
    </row>
    <row r="22038" ht="15.75" customHeight="1">
      <c r="A22038" s="2" t="s">
        <v>22038</v>
      </c>
      <c r="B22038" s="2" t="str">
        <f>IFERROR(__xludf.DUMMYFUNCTION("GOOGLETRANSLATE(A22038, ""en"", ""mt"")"),"Kemm hemm rotazzjonijiet tal-krank f'ċiklu tal-magna?")</f>
        <v>Kemm hemm rotazzjonijiet tal-krank f'ċiklu tal-magna?</v>
      </c>
    </row>
    <row r="22039" ht="15.75" customHeight="1">
      <c r="A22039" s="2" t="s">
        <v>22039</v>
      </c>
      <c r="B22039" s="2" t="str">
        <f>IFERROR(__xludf.DUMMYFUNCTION("GOOGLETRANSLATE(A22039, ""en"", ""mt"")"),"Editur tar-rivista tad-dinja elettrika")</f>
        <v>Editur tar-rivista tad-dinja elettrika</v>
      </c>
    </row>
    <row r="22040" ht="15.75" customHeight="1">
      <c r="A22040" s="2" t="s">
        <v>22040</v>
      </c>
      <c r="B22040" s="2" t="str">
        <f>IFERROR(__xludf.DUMMYFUNCTION("GOOGLETRANSLATE(A22040, ""en"", ""mt"")"),"kotba u artikli")</f>
        <v>kotba u artikli</v>
      </c>
    </row>
    <row r="22041" ht="15.75" customHeight="1">
      <c r="A22041" s="2" t="s">
        <v>22041</v>
      </c>
      <c r="B22041" s="2" t="str">
        <f>IFERROR(__xludf.DUMMYFUNCTION("GOOGLETRANSLATE(A22041, ""en"", ""mt"")"),"X'jiġib iċ-ring z fil-post it-tajjeb?")</f>
        <v>X'jiġib iċ-ring z fil-post it-tajjeb?</v>
      </c>
    </row>
    <row r="22042" ht="15.75" customHeight="1">
      <c r="A22042" s="2" t="s">
        <v>22042</v>
      </c>
      <c r="B22042" s="2" t="str">
        <f>IFERROR(__xludf.DUMMYFUNCTION("GOOGLETRANSLATE(A22042, ""en"", ""mt"")"),"Sistema ta ’Kontrolli u Bilanċi tal-Istati Uniti u ta’ ħafna gvernijiet oħra")</f>
        <v>Sistema ta ’Kontrolli u Bilanċi tal-Istati Uniti u ta’ ħafna gvernijiet oħra</v>
      </c>
    </row>
    <row r="22043" ht="15.75" customHeight="1">
      <c r="A22043" s="2" t="s">
        <v>22043</v>
      </c>
      <c r="B22043" s="2" t="str">
        <f>IFERROR(__xludf.DUMMYFUNCTION("GOOGLETRANSLATE(A22043, ""en"", ""mt"")"),"Liema persentaġġ tal-baqar tal-ħalib tal-Awstralja jinstabu fir-Rabat?")</f>
        <v>Liema persentaġġ tal-baqar tal-ħalib tal-Awstralja jinstabu fir-Rabat?</v>
      </c>
    </row>
    <row r="22044" ht="15.75" customHeight="1">
      <c r="A22044" s="2" t="s">
        <v>22044</v>
      </c>
      <c r="B22044" s="2" t="str">
        <f>IFERROR(__xludf.DUMMYFUNCTION("GOOGLETRANSLATE(A22044, ""en"", ""mt"")"),"Eżempju ieħor ta 'riċerka xjentifika li tissuġġerixxi li stimi preċedenti mill-IPCC,' il bogħod mill-perikli u r-riskji eċċessivi, fil-fatt issottovalutawhom huwa studju dwar żidiet ipproġettati fil-livelli tal-baħar. Meta l-analiżi tar-riċerkaturi ġiet "&amp;"""applikata għax-xenarji possibbli deskritti mill-pannell intergovernattiv dwar it-tibdil fil-klima (IPCC), ir-riċerkaturi sabu li f'2100 livell tal-baħar ikun 0.5-11.4 m [50-140 cm] 'l fuq mil-livelli tal-1990. Dawn il-valuri. huma ħafna akbar mid-9-88 c"&amp;"m kif ipproġettat mill-IPCC innifsu fit-tielet rapport ta 'valutazzjoni tiegħu, ippubblikat fl-2001 "". Dan seta 'kien dovut, parzjalment, għall-fehim tal-bniedem li qed jespandi tal-klima.")</f>
        <v>Eżempju ieħor ta 'riċerka xjentifika li tissuġġerixxi li stimi preċedenti mill-IPCC,' il bogħod mill-perikli u r-riskji eċċessivi, fil-fatt issottovalutawhom huwa studju dwar żidiet ipproġettati fil-livelli tal-baħar. Meta l-analiżi tar-riċerkaturi ġiet "applikata għax-xenarji possibbli deskritti mill-pannell intergovernattiv dwar it-tibdil fil-klima (IPCC), ir-riċerkaturi sabu li f'2100 livell tal-baħar ikun 0.5-11.4 m [50-140 cm] 'l fuq mil-livelli tal-1990. Dawn il-valuri. huma ħafna akbar mid-9-88 cm kif ipproġettat mill-IPCC innifsu fit-tielet rapport ta 'valutazzjoni tiegħu, ippubblikat fl-2001 ". Dan seta 'kien dovut, parzjalment, għall-fehim tal-bniedem li qed jespandi tal-klima.</v>
      </c>
    </row>
    <row r="22045" ht="15.75" customHeight="1">
      <c r="A22045" s="2" t="s">
        <v>22045</v>
      </c>
      <c r="B22045" s="2" t="str">
        <f>IFERROR(__xludf.DUMMYFUNCTION("GOOGLETRANSLATE(A22045, ""en"", ""mt"")"),"Fejn qagħdu l-lukanda l-Panthers?")</f>
        <v>Fejn qagħdu l-lukanda l-Panthers?</v>
      </c>
    </row>
    <row r="22046" ht="15.75" customHeight="1">
      <c r="A22046" s="2" t="s">
        <v>22046</v>
      </c>
      <c r="B22046" s="2" t="str">
        <f>IFERROR(__xludf.DUMMYFUNCTION("GOOGLETRANSLATE(A22046, ""en"", ""mt"")"),"1823")</f>
        <v>1823</v>
      </c>
    </row>
    <row r="22047" ht="15.75" customHeight="1">
      <c r="A22047" s="2" t="s">
        <v>22047</v>
      </c>
      <c r="B22047" s="2" t="str">
        <f>IFERROR(__xludf.DUMMYFUNCTION("GOOGLETRANSLATE(A22047, ""en"", ""mt"")"),"Il-post ta 'mistrieħ ta' Alla")</f>
        <v>Il-post ta 'mistrieħ ta' Alla</v>
      </c>
    </row>
    <row r="22048" ht="15.75" customHeight="1">
      <c r="A22048" s="2" t="s">
        <v>22048</v>
      </c>
      <c r="B22048" s="2" t="str">
        <f>IFERROR(__xludf.DUMMYFUNCTION("GOOGLETRANSLATE(A22048, ""en"", ""mt"")"),"Meta Tesla għamlet il-mutur tal-induzzjoni?")</f>
        <v>Meta Tesla għamlet il-mutur tal-induzzjoni?</v>
      </c>
    </row>
    <row r="22049" ht="15.75" customHeight="1">
      <c r="A22049" s="2" t="s">
        <v>22049</v>
      </c>
      <c r="B22049" s="2" t="str">
        <f>IFERROR(__xludf.DUMMYFUNCTION("GOOGLETRANSLATE(A22049, ""en"", ""mt"")"),", Nairobi, Mombasa u Kisumu")</f>
        <v>, Nairobi, Mombasa u Kisumu</v>
      </c>
    </row>
    <row r="22050" ht="15.75" customHeight="1">
      <c r="A22050" s="2" t="s">
        <v>22050</v>
      </c>
      <c r="B22050" s="2" t="str">
        <f>IFERROR(__xludf.DUMMYFUNCTION("GOOGLETRANSLATE(A22050, ""en"", ""mt"")"),"Fl-ewwel nofs tas-seklu 17, pesta sostniet madwar 1.7 miljun vittma fl-Italja, jew madwar 14% tal-popolazzjoni. Fl-1656, il-pesta qatel madwar nofs it-300,000 abitant ta 'Napli. Aktar minn 1.25 miljun mewt irriżultaw mill-inċidenza estrema tal-pesta fi Sp"&amp;"anja tas-seklu 17. Il-pesta tal-1649 probabbilment naqqset il-popolazzjoni ta ’Sivilja bin-nofs. Fl-1709–13, epidemija tal-pesta li segwiet il-Gwerra l-Kbira tat-Tramuntana (1700–21, l-Isvezja v. Russja u Alleati) qatlet madwar 100,000 fl-Iżvezja, u 300,0"&amp;"00 fil-Prussja. Il-pesta qatel żewġ terzi tal-abitanti ta 'Ħelsinki, u ddikjarat terz tal-popolazzjoni ta' Stokkolma. L-aħħar epidemija ewlenija tal-Ewropa seħħet fl-1720 f'Marsilja.")</f>
        <v>Fl-ewwel nofs tas-seklu 17, pesta sostniet madwar 1.7 miljun vittma fl-Italja, jew madwar 14% tal-popolazzjoni. Fl-1656, il-pesta qatel madwar nofs it-300,000 abitant ta 'Napli. Aktar minn 1.25 miljun mewt irriżultaw mill-inċidenza estrema tal-pesta fi Spanja tas-seklu 17. Il-pesta tal-1649 probabbilment naqqset il-popolazzjoni ta ’Sivilja bin-nofs. Fl-1709–13, epidemija tal-pesta li segwiet il-Gwerra l-Kbira tat-Tramuntana (1700–21, l-Isvezja v. Russja u Alleati) qatlet madwar 100,000 fl-Iżvezja, u 300,000 fil-Prussja. Il-pesta qatel żewġ terzi tal-abitanti ta 'Ħelsinki, u ddikjarat terz tal-popolazzjoni ta' Stokkolma. L-aħħar epidemija ewlenija tal-Ewropa seħħet fl-1720 f'Marsilja.</v>
      </c>
    </row>
    <row r="22051" ht="15.75" customHeight="1">
      <c r="A22051" s="2" t="s">
        <v>22051</v>
      </c>
      <c r="B22051" s="2" t="str">
        <f>IFERROR(__xludf.DUMMYFUNCTION("GOOGLETRANSLATE(A22051, ""en"", ""mt"")"),"dawl abjad")</f>
        <v>dawl abjad</v>
      </c>
    </row>
    <row r="22052" ht="15.75" customHeight="1">
      <c r="A22052" s="2" t="s">
        <v>22052</v>
      </c>
      <c r="B22052" s="2" t="str">
        <f>IFERROR(__xludf.DUMMYFUNCTION("GOOGLETRANSLATE(A22052, ""en"", ""mt"")"),"$ 200 miljun")</f>
        <v>$ 200 miljun</v>
      </c>
    </row>
    <row r="22053" ht="15.75" customHeight="1">
      <c r="A22053" s="2" t="s">
        <v>22053</v>
      </c>
      <c r="B22053" s="2" t="str">
        <f>IFERROR(__xludf.DUMMYFUNCTION("GOOGLETRANSLATE(A22053, ""en"", ""mt"")"),"Korpi xjentifiċi oħra")</f>
        <v>Korpi xjentifiċi oħra</v>
      </c>
    </row>
    <row r="22054" ht="15.75" customHeight="1">
      <c r="A22054" s="2" t="s">
        <v>22054</v>
      </c>
      <c r="B22054" s="2" t="str">
        <f>IFERROR(__xludf.DUMMYFUNCTION("GOOGLETRANSLATE(A22054, ""en"", ""mt"")"),"Mill-ewwel reklam tal-millennju")</f>
        <v>Mill-ewwel reklam tal-millennju</v>
      </c>
    </row>
    <row r="22055" ht="15.75" customHeight="1">
      <c r="A22055" s="2" t="s">
        <v>22055</v>
      </c>
      <c r="B22055" s="2" t="str">
        <f>IFERROR(__xludf.DUMMYFUNCTION("GOOGLETRANSLATE(A22055, ""en"", ""mt"")"),"l-1580s")</f>
        <v>l-1580s</v>
      </c>
    </row>
    <row r="22056" ht="15.75" customHeight="1">
      <c r="A22056" s="2" t="s">
        <v>22056</v>
      </c>
      <c r="B22056" s="2" t="str">
        <f>IFERROR(__xludf.DUMMYFUNCTION("GOOGLETRANSLATE(A22056, ""en"", ""mt"")"),"Popli ta 'l-Amerika t'Isfel")</f>
        <v>Popli ta 'l-Amerika t'Isfel</v>
      </c>
    </row>
    <row r="22057" ht="15.75" customHeight="1">
      <c r="A22057" s="2" t="s">
        <v>22057</v>
      </c>
      <c r="B22057" s="2" t="str">
        <f>IFERROR(__xludf.DUMMYFUNCTION("GOOGLETRANSLATE(A22057, ""en"", ""mt"")"),"Ċelloli innati jistgħu jaġixxu bħala medjaturi fl-attivazzjoni ta 'liema fergħa tas-sistema immunitarja?")</f>
        <v>Ċelloli innati jistgħu jaġixxu bħala medjaturi fl-attivazzjoni ta 'liema fergħa tas-sistema immunitarja?</v>
      </c>
    </row>
    <row r="22058" ht="15.75" customHeight="1">
      <c r="A22058" s="2" t="s">
        <v>22058</v>
      </c>
      <c r="B22058" s="2" t="str">
        <f>IFERROR(__xludf.DUMMYFUNCTION("GOOGLETRANSLATE(A22058, ""en"", ""mt"")"),"Liema żewġ gruppi għandhom ċelloli marbuta permezz ta 'konnessjonijiet inter-ċelloli u membrani, muskoli, sistema nervuża u organi sensorji?")</f>
        <v>Liema żewġ gruppi għandhom ċelloli marbuta permezz ta 'konnessjonijiet inter-ċelloli u membrani, muskoli, sistema nervuża u organi sensorji?</v>
      </c>
    </row>
    <row r="22059" ht="15.75" customHeight="1">
      <c r="A22059" s="2" t="s">
        <v>22059</v>
      </c>
      <c r="B22059" s="2" t="str">
        <f>IFERROR(__xludf.DUMMYFUNCTION("GOOGLETRANSLATE(A22059, ""en"", ""mt"")"),"azote")</f>
        <v>azote</v>
      </c>
    </row>
    <row r="22060" ht="15.75" customHeight="1">
      <c r="A22060" s="2" t="s">
        <v>22060</v>
      </c>
      <c r="B22060" s="2" t="str">
        <f>IFERROR(__xludf.DUMMYFUNCTION("GOOGLETRANSLATE(A22060, ""en"", ""mt"")"),"Min mexxa t-truppi ta ’Richard meta Ċipru ġie maħkum?")</f>
        <v>Min mexxa t-truppi ta ’Richard meta Ċipru ġie maħkum?</v>
      </c>
    </row>
    <row r="22061" ht="15.75" customHeight="1">
      <c r="A22061" s="2" t="s">
        <v>22061</v>
      </c>
      <c r="B22061" s="2" t="str">
        <f>IFERROR(__xludf.DUMMYFUNCTION("GOOGLETRANSLATE(A22061, ""en"", ""mt"")"),"Lupe Mayorga")</f>
        <v>Lupe Mayorga</v>
      </c>
    </row>
    <row r="22062" ht="15.75" customHeight="1">
      <c r="A22062" s="2" t="s">
        <v>22062</v>
      </c>
      <c r="B22062" s="2" t="str">
        <f>IFERROR(__xludf.DUMMYFUNCTION("GOOGLETRANSLATE(A22062, ""en"", ""mt"")"),"L-Astra 2a")</f>
        <v>L-Astra 2a</v>
      </c>
    </row>
    <row r="22063" ht="15.75" customHeight="1">
      <c r="A22063" s="2" t="s">
        <v>22063</v>
      </c>
      <c r="B22063" s="2" t="str">
        <f>IFERROR(__xludf.DUMMYFUNCTION("GOOGLETRANSLATE(A22063, ""en"", ""mt"")"),"Wara studenti li għadhom ma ggradwawx 2008 huma meħtieġa jlestu kemm klassijiet ta 'edukazzjoni ġenerali lejn il-grad?")</f>
        <v>Wara studenti li għadhom ma ggradwawx 2008 huma meħtieġa jlestu kemm klassijiet ta 'edukazzjoni ġenerali lejn il-grad?</v>
      </c>
    </row>
    <row r="22064" ht="15.75" customHeight="1">
      <c r="A22064" s="2" t="s">
        <v>22064</v>
      </c>
      <c r="B22064" s="2" t="str">
        <f>IFERROR(__xludf.DUMMYFUNCTION("GOOGLETRANSLATE(A22064, ""en"", ""mt"")"),"O (n2)")</f>
        <v>O (n2)</v>
      </c>
    </row>
    <row r="22065" ht="15.75" customHeight="1">
      <c r="A22065" s="2" t="s">
        <v>22065</v>
      </c>
      <c r="B22065" s="2" t="str">
        <f>IFERROR(__xludf.DUMMYFUNCTION("GOOGLETRANSLATE(A22065, ""en"", ""mt"")"),"Tesla kienet ġeneralment antagonistika lejn it-teoriji dwar il-konverżjoni tal-materja f'enerġija.")</f>
        <v>Tesla kienet ġeneralment antagonistika lejn it-teoriji dwar il-konverżjoni tal-materja f'enerġija.</v>
      </c>
    </row>
    <row r="22066" ht="15.75" customHeight="1">
      <c r="A22066" s="2" t="s">
        <v>22066</v>
      </c>
      <c r="B22066" s="2" t="str">
        <f>IFERROR(__xludf.DUMMYFUNCTION("GOOGLETRANSLATE(A22066, ""en"", ""mt"")"),"Ġeneratur elettriku")</f>
        <v>Ġeneratur elettriku</v>
      </c>
    </row>
    <row r="22067" ht="15.75" customHeight="1">
      <c r="A22067" s="2" t="s">
        <v>22067</v>
      </c>
      <c r="B22067" s="2" t="str">
        <f>IFERROR(__xludf.DUMMYFUNCTION("GOOGLETRANSLATE(A22067, ""en"", ""mt"")"),"Ctenophores huma inqas kumplessi minn liema grupp ieħor?")</f>
        <v>Ctenophores huma inqas kumplessi minn liema grupp ieħor?</v>
      </c>
    </row>
    <row r="22068" ht="15.75" customHeight="1">
      <c r="A22068" s="2" t="s">
        <v>22068</v>
      </c>
      <c r="B22068" s="2" t="str">
        <f>IFERROR(__xludf.DUMMYFUNCTION("GOOGLETRANSLATE(A22068, ""en"", ""mt"")"),"X'inhuma t-tmien priedki msejħa li l-Luther ippriedka f'Marzu 1522?")</f>
        <v>X'inhuma t-tmien priedki msejħa li l-Luther ippriedka f'Marzu 1522?</v>
      </c>
    </row>
    <row r="22069" ht="15.75" customHeight="1">
      <c r="A22069" s="2" t="s">
        <v>22069</v>
      </c>
      <c r="B22069" s="2" t="str">
        <f>IFERROR(__xludf.DUMMYFUNCTION("GOOGLETRANSLATE(A22069, ""en"", ""mt"")"),"B'liema attributi ewlenin huma problemi tal-komputazzjoni klassifikati bl-użu tat-teorija tal-kumplessità tal-komputazzjoni?")</f>
        <v>B'liema attributi ewlenin huma problemi tal-komputazzjoni klassifikati bl-użu tat-teorija tal-kumplessità tal-komputazzjoni?</v>
      </c>
    </row>
    <row r="22070" ht="15.75" customHeight="1">
      <c r="A22070" s="2" t="s">
        <v>22070</v>
      </c>
      <c r="B22070" s="2" t="str">
        <f>IFERROR(__xludf.DUMMYFUNCTION("GOOGLETRANSLATE(A22070, ""en"", ""mt"")"),"Meta spiċċat it-traduzzjoni tat-Testment il-Qadim?")</f>
        <v>Meta spiċċat it-traduzzjoni tat-Testment il-Qadim?</v>
      </c>
    </row>
    <row r="22071" ht="15.75" customHeight="1">
      <c r="A22071" s="2" t="s">
        <v>22071</v>
      </c>
      <c r="B22071" s="2" t="str">
        <f>IFERROR(__xludf.DUMMYFUNCTION("GOOGLETRANSLATE(A22071, ""en"", ""mt"")"),"siġill")</f>
        <v>siġill</v>
      </c>
    </row>
    <row r="22072" ht="15.75" customHeight="1">
      <c r="A22072" s="2" t="s">
        <v>22072</v>
      </c>
      <c r="B22072" s="2" t="str">
        <f>IFERROR(__xludf.DUMMYFUNCTION("GOOGLETRANSLATE(A22072, ""en"", ""mt"")"),"Min għamel il-Port tar-Reġim NIF qabel id-9/11?")</f>
        <v>Min għamel il-Port tar-Reġim NIF qabel id-9/11?</v>
      </c>
    </row>
    <row r="22073" ht="15.75" customHeight="1">
      <c r="A22073" s="2" t="s">
        <v>22073</v>
      </c>
      <c r="B22073" s="2" t="str">
        <f>IFERROR(__xludf.DUMMYFUNCTION("GOOGLETRANSLATE(A22073, ""en"", ""mt"")"),"Min idderieġi t-Tnejn maltempata?")</f>
        <v>Min idderieġi t-Tnejn maltempata?</v>
      </c>
    </row>
    <row r="22074" ht="15.75" customHeight="1">
      <c r="A22074" s="2" t="s">
        <v>22074</v>
      </c>
      <c r="B22074" s="2" t="str">
        <f>IFERROR(__xludf.DUMMYFUNCTION("GOOGLETRANSLATE(A22074, ""en"", ""mt"")"),"Fejn ingħaqad fid-direzzjoni tal-fluss tiegħu?")</f>
        <v>Fejn ingħaqad fid-direzzjoni tal-fluss tiegħu?</v>
      </c>
    </row>
    <row r="22075" ht="15.75" customHeight="1">
      <c r="A22075" s="2" t="s">
        <v>22075</v>
      </c>
      <c r="B22075" s="2" t="str">
        <f>IFERROR(__xludf.DUMMYFUNCTION("GOOGLETRANSLATE(A22075, ""en"", ""mt"")"),"Min għandu potenzjal produttiv limitat meta jiffaċċja inqas aċċess għall-edukazzjoni?")</f>
        <v>Min għandu potenzjal produttiv limitat meta jiffaċċja inqas aċċess għall-edukazzjoni?</v>
      </c>
    </row>
    <row r="22076" ht="15.75" customHeight="1">
      <c r="A22076" s="2" t="s">
        <v>22076</v>
      </c>
      <c r="B22076" s="2" t="str">
        <f>IFERROR(__xludf.DUMMYFUNCTION("GOOGLETRANSLATE(A22076, ""en"", ""mt"")"),"wieħed mill-aktar komuni")</f>
        <v>wieħed mill-aktar komuni</v>
      </c>
    </row>
    <row r="22077" ht="15.75" customHeight="1">
      <c r="A22077" s="2" t="s">
        <v>22077</v>
      </c>
      <c r="B22077" s="2" t="str">
        <f>IFERROR(__xludf.DUMMYFUNCTION("GOOGLETRANSLATE(A22077, ""en"", ""mt"")"),"X'tip ta 'approċċi għall-iskola primarja huma disponibbli li huma differenti min-norma?")</f>
        <v>X'tip ta 'approċċi għall-iskola primarja huma disponibbli li huma differenti min-norma?</v>
      </c>
    </row>
    <row r="22078" ht="15.75" customHeight="1">
      <c r="A22078" s="2" t="s">
        <v>22078</v>
      </c>
      <c r="B22078" s="2" t="str">
        <f>IFERROR(__xludf.DUMMYFUNCTION("GOOGLETRANSLATE(A22078, ""en"", ""mt"")"),"L-Ewwel Liġi ta 'Newton")</f>
        <v>L-Ewwel Liġi ta 'Newton</v>
      </c>
    </row>
    <row r="22079" ht="15.75" customHeight="1">
      <c r="A22079" s="2" t="s">
        <v>22079</v>
      </c>
      <c r="B22079" s="2" t="str">
        <f>IFERROR(__xludf.DUMMYFUNCTION("GOOGLETRANSLATE(A22079, ""en"", ""mt"")"),"Il-mod kif għalliem jippromwovi l-kors li qed jgħallem, iktar l-istudent se joħroġ mis-suġġett. L-iktar tliet aspetti importanti tal-entużjażmu tal-għalliema huma l-entużjażmu dwar it-tagħlim, l-entużjażmu dwar l-istudenti, u l-entużjażmu dwar is-suġġett."&amp;" Għalliem irid igawdi tagħlim. Jekk ma jgawdux dak li qed jagħmlu, l-istudenti jkunu jistgħu jgħidu. Huma għandhom ukoll igawdu li jkunu madwar l-istudenti tagħhom. Għalliem li jimpurtah mill-istudenti tagħhom se jgħin lil dak l-individwu jirnexxi f'ħajji"&amp;"thom fil-futur. L-għalliem jeħtieġ ukoll li jkun entużjast dwar is-suġġett li qed jgħallmu. Pereżempju, għalliem li jitkellem dwar il-kimika jeħtieġ li jgawdi l-arti tal-kimika u juri dan lill-istudenti tagħhom. Spark fl-għalliem jista 'joħloq xrar ta' eċ"&amp;"ċitament fl-istudent ukoll. Għalliem entużjastiku għandu l-abbiltà li jkun influwenti ħafna fil-ħajja tal-istudenti żgħażagħ.")</f>
        <v>Il-mod kif għalliem jippromwovi l-kors li qed jgħallem, iktar l-istudent se joħroġ mis-suġġett. L-iktar tliet aspetti importanti tal-entużjażmu tal-għalliema huma l-entużjażmu dwar it-tagħlim, l-entużjażmu dwar l-istudenti, u l-entużjażmu dwar is-suġġett. Għalliem irid igawdi tagħlim. Jekk ma jgawdux dak li qed jagħmlu, l-istudenti jkunu jistgħu jgħidu. Huma għandhom ukoll igawdu li jkunu madwar l-istudenti tagħhom. Għalliem li jimpurtah mill-istudenti tagħhom se jgħin lil dak l-individwu jirnexxi f'ħajjithom fil-futur. L-għalliem jeħtieġ ukoll li jkun entużjast dwar is-suġġett li qed jgħallmu. Pereżempju, għalliem li jitkellem dwar il-kimika jeħtieġ li jgawdi l-arti tal-kimika u juri dan lill-istudenti tagħhom. Spark fl-għalliem jista 'joħloq xrar ta' eċċitament fl-istudent ukoll. Għalliem entużjastiku għandu l-abbiltà li jkun influwenti ħafna fil-ħajja tal-istudenti żgħażagħ.</v>
      </c>
    </row>
    <row r="22080" ht="15.75" customHeight="1">
      <c r="A22080" s="2" t="s">
        <v>22080</v>
      </c>
      <c r="B22080" s="2" t="str">
        <f>IFERROR(__xludf.DUMMYFUNCTION("GOOGLETRANSLATE(A22080, ""en"", ""mt"")"),"X'jagħmlu l-Auricles?")</f>
        <v>X'jagħmlu l-Auricles?</v>
      </c>
    </row>
    <row r="22081" ht="15.75" customHeight="1">
      <c r="A22081" s="2" t="s">
        <v>22081</v>
      </c>
      <c r="B22081" s="2" t="str">
        <f>IFERROR(__xludf.DUMMYFUNCTION("GOOGLETRANSLATE(A22081, ""en"", ""mt"")"),"Matul il-Gwerra Ċivili Amerikana, Jacksonville kien punt ta 'provvista ewlieni biex il-qżieqeż u l-baqar jintbagħtu minn Florida biex jgħinu l-kawża Konfederata. Il-belt kienet imblukkata mill-forzi tal-unjoni, li kisbu l-kontroll tal-Fort Clinch fil-qrib"&amp;". Għalkemm ma ġew miġġielda l-ebda battalji f'Jacksonville kif suppost, il-belt biddlet idejh diversi drabi bejn il-forzi tal-Unjoni u l-Konfederati. Ix-xkiel tal-knisja tal-briks fl-1862 eżatt barra Jacksonville kif suppost irriżulta fl-ewwel rebħa Konfe"&amp;"derata fi Florida. Fi Frar tal-1864 il-forzi tal-Unjoni telqu minn Jacksonville u kkonfrontaw armata Konfederata fil-Battalja ta ’Olustee li rriżultat f’rebħa Konfederata. Il-forzi tal-Unjoni mbagħad irtiraw lejn Jacksonville u żammew il-belt għall-bqija "&amp;"tal-gwerra. F'Marzu 1864, kavallerija Konfederata kkonfrontat spedizzjoni tal-Unjoni li rriżultat fil-Battalja ta 'Cedar Creek. Il-gwerra u l-okkupazzjoni twila ħallew il-belt imħarbta wara l-gwerra.")</f>
        <v>Matul il-Gwerra Ċivili Amerikana, Jacksonville kien punt ta 'provvista ewlieni biex il-qżieqeż u l-baqar jintbagħtu minn Florida biex jgħinu l-kawża Konfederata. Il-belt kienet imblukkata mill-forzi tal-unjoni, li kisbu l-kontroll tal-Fort Clinch fil-qrib. Għalkemm ma ġew miġġielda l-ebda battalji f'Jacksonville kif suppost, il-belt biddlet idejh diversi drabi bejn il-forzi tal-Unjoni u l-Konfederati. Ix-xkiel tal-knisja tal-briks fl-1862 eżatt barra Jacksonville kif suppost irriżulta fl-ewwel rebħa Konfederata fi Florida. Fi Frar tal-1864 il-forzi tal-Unjoni telqu minn Jacksonville u kkonfrontaw armata Konfederata fil-Battalja ta ’Olustee li rriżultat f’rebħa Konfederata. Il-forzi tal-Unjoni mbagħad irtiraw lejn Jacksonville u żammew il-belt għall-bqija tal-gwerra. F'Marzu 1864, kavallerija Konfederata kkonfrontat spedizzjoni tal-Unjoni li rriżultat fil-Battalja ta 'Cedar Creek. Il-gwerra u l-okkupazzjoni twila ħallew il-belt imħarbta wara l-gwerra.</v>
      </c>
    </row>
    <row r="22082" ht="15.75" customHeight="1">
      <c r="A22082" s="2" t="s">
        <v>22082</v>
      </c>
      <c r="B22082" s="2" t="str">
        <f>IFERROR(__xludf.DUMMYFUNCTION("GOOGLETRANSLATE(A22082, ""en"", ""mt"")"),"Il-Kummissjoni tat-Tagħlim Ogħla")</f>
        <v>Il-Kummissjoni tat-Tagħlim Ogħla</v>
      </c>
    </row>
    <row r="22083" ht="15.75" customHeight="1">
      <c r="A22083" s="2" t="s">
        <v>22083</v>
      </c>
      <c r="B22083" s="2" t="str">
        <f>IFERROR(__xludf.DUMMYFUNCTION("GOOGLETRANSLATE(A22083, ""en"", ""mt"")"),"X'kien l-episodju tal-2007 li deher ir-ritorn tal-kaptan?")</f>
        <v>X'kien l-episodju tal-2007 li deher ir-ritorn tal-kaptan?</v>
      </c>
    </row>
    <row r="22084" ht="15.75" customHeight="1">
      <c r="A22084" s="2" t="s">
        <v>22084</v>
      </c>
      <c r="B22084" s="2" t="str">
        <f>IFERROR(__xludf.DUMMYFUNCTION("GOOGLETRANSLATE(A22084, ""en"", ""mt"")"),"Il-grazzja prevenjenti, jew il-grazzja li ""tmur quddiemna"", hija mogħtija lin-nies kollha. Hija dik il-qawwa li tippermettilna nħobbu u jimmotivawna biex infittxu relazzjoni ma 'Alla permezz ta' Ġesù Kristu. Din il-grazzja hija l-ħidma preżenti ta ’Alla"&amp;" biex idawwarna mir-rieda tal-bniedem imdendel tad-dnub tagħna għar-rieda ta’ mħabba tal-Missier. F’dan ix-xogħol, Alla jixtieq li nistgħu nħossu kemm sinfulness tagħna quddiem Alla kif ukoll l-offerta tas-salvazzjoni ta ’Alla. Il-grazzja prevenjenti tipp"&amp;"ermetti lil dawk imċappas bid-dnub madankollu jagħmlu għażla tassew ħielsa li jaċċettaw jew jirrifjutaw is-salvazzjoni ta ’Alla fi Kristu.")</f>
        <v>Il-grazzja prevenjenti, jew il-grazzja li "tmur quddiemna", hija mogħtija lin-nies kollha. Hija dik il-qawwa li tippermettilna nħobbu u jimmotivawna biex infittxu relazzjoni ma 'Alla permezz ta' Ġesù Kristu. Din il-grazzja hija l-ħidma preżenti ta ’Alla biex idawwarna mir-rieda tal-bniedem imdendel tad-dnub tagħna għar-rieda ta’ mħabba tal-Missier. F’dan ix-xogħol, Alla jixtieq li nistgħu nħossu kemm sinfulness tagħna quddiem Alla kif ukoll l-offerta tas-salvazzjoni ta ’Alla. Il-grazzja prevenjenti tippermetti lil dawk imċappas bid-dnub madankollu jagħmlu għażla tassew ħielsa li jaċċettaw jew jirrifjutaw is-salvazzjoni ta ’Alla fi Kristu.</v>
      </c>
    </row>
    <row r="22085" ht="15.75" customHeight="1">
      <c r="A22085" s="2" t="s">
        <v>22085</v>
      </c>
      <c r="B22085" s="2" t="str">
        <f>IFERROR(__xludf.DUMMYFUNCTION("GOOGLETRANSLATE(A22085, ""en"", ""mt"")"),"Fatturi ambjentali bħall-kulur ħafif u l-intensità")</f>
        <v>Fatturi ambjentali bħall-kulur ħafif u l-intensità</v>
      </c>
    </row>
    <row r="22086" ht="15.75" customHeight="1">
      <c r="A22086" s="2" t="s">
        <v>22086</v>
      </c>
      <c r="B22086" s="2" t="str">
        <f>IFERROR(__xludf.DUMMYFUNCTION("GOOGLETRANSLATE(A22086, ""en"", ""mt"")"),"Kemm elementi Aristotile emmnu li l-isfera terrestri għandha tkun magħmula minnha?")</f>
        <v>Kemm elementi Aristotile emmnu li l-isfera terrestri għandha tkun magħmula minnha?</v>
      </c>
    </row>
    <row r="22087" ht="15.75" customHeight="1">
      <c r="A22087" s="2" t="s">
        <v>22087</v>
      </c>
      <c r="B22087" s="2" t="str">
        <f>IFERROR(__xludf.DUMMYFUNCTION("GOOGLETRANSLATE(A22087, ""en"", ""mt"")"),"l-editur tar-rivista tad-dinja elettrika")</f>
        <v>l-editur tar-rivista tad-dinja elettrika</v>
      </c>
    </row>
    <row r="22088" ht="15.75" customHeight="1">
      <c r="A22088" s="2" t="s">
        <v>22088</v>
      </c>
      <c r="B22088" s="2" t="str">
        <f>IFERROR(__xludf.DUMMYFUNCTION("GOOGLETRANSLATE(A22088, ""en"", ""mt"")"),"X'kienet il-pożizzjoni ta 'Tesla fl-iskambju tat-telefon Budapest?")</f>
        <v>X'kienet il-pożizzjoni ta 'Tesla fl-iskambju tat-telefon Budapest?</v>
      </c>
    </row>
    <row r="22089" ht="15.75" customHeight="1">
      <c r="A22089" s="2" t="s">
        <v>22089</v>
      </c>
      <c r="B22089" s="2" t="str">
        <f>IFERROR(__xludf.DUMMYFUNCTION("GOOGLETRANSLATE(A22089, ""en"", ""mt"")"),"Rodin")</f>
        <v>Rodin</v>
      </c>
    </row>
    <row r="22090" ht="15.75" customHeight="1">
      <c r="A22090" s="2" t="s">
        <v>22090</v>
      </c>
      <c r="B22090" s="2" t="str">
        <f>IFERROR(__xludf.DUMMYFUNCTION("GOOGLETRANSLATE(A22090, ""en"", ""mt"")"),"Tank tal-ossiġnu likwidu sploda, billi tiddiżattiva l-modulu tas-servizz")</f>
        <v>Tank tal-ossiġnu likwidu sploda, billi tiddiżattiva l-modulu tas-servizz</v>
      </c>
    </row>
    <row r="22091" ht="15.75" customHeight="1">
      <c r="A22091" s="2" t="s">
        <v>22091</v>
      </c>
      <c r="B22091" s="2" t="str">
        <f>IFERROR(__xludf.DUMMYFUNCTION("GOOGLETRANSLATE(A22091, ""en"", ""mt"")"),"X'inhu normalment jittiekel għall-ikel u l-pranzu?")</f>
        <v>X'inhu normalment jittiekel għall-ikel u l-pranzu?</v>
      </c>
    </row>
    <row r="22092" ht="15.75" customHeight="1">
      <c r="A22092" s="2" t="s">
        <v>22092</v>
      </c>
      <c r="B22092" s="2" t="str">
        <f>IFERROR(__xludf.DUMMYFUNCTION("GOOGLETRANSLATE(A22092, ""en"", ""mt"")"),"104 ° F.")</f>
        <v>104 ° F.</v>
      </c>
    </row>
    <row r="22093" ht="15.75" customHeight="1">
      <c r="A22093" s="2" t="s">
        <v>22093</v>
      </c>
      <c r="B22093" s="2" t="str">
        <f>IFERROR(__xludf.DUMMYFUNCTION("GOOGLETRANSLATE(A22093, ""en"", ""mt"")"),"X'inhuma l-akbar oġġetti fil-V &amp; A Ceramics u l-Ġabra tal-Ħġieġ?")</f>
        <v>X'inhuma l-akbar oġġetti fil-V &amp; A Ceramics u l-Ġabra tal-Ħġieġ?</v>
      </c>
    </row>
    <row r="22094" ht="15.75" customHeight="1">
      <c r="A22094" s="2" t="s">
        <v>22094</v>
      </c>
      <c r="B22094" s="2" t="str">
        <f>IFERROR(__xludf.DUMMYFUNCTION("GOOGLETRANSLATE(A22094, ""en"", ""mt"")"),"Fis-snin 1910, il-produtturi tal-films ibbażati fi New York ġew attirati mill-klima sħuna ta 'Jacksonville, postijiet eżotiċi, aċċess ferrovjarju eċċellenti, u xogħol irħis. Matul id-deċennju, ġew stabbiliti aktar minn 30 studios tal-films siekta, li jaqi"&amp;"lgħu lil Jacksonville it-titlu ta '""Winter Film Capital of the World"". Madankollu, il-ħolqien ta 'Hollywood bħala ċentru ewlieni tal-produzzjoni tal-films temm l-industrija tal-films tal-belt. Sit ta 'studju tal-films konvertit, Norman Studios, jibqa' f"&amp;"'Arlington; Ġie kkonvertit għall-Mużew tal-Films Silent Jacksonville fi Norman Studios.")</f>
        <v>Fis-snin 1910, il-produtturi tal-films ibbażati fi New York ġew attirati mill-klima sħuna ta 'Jacksonville, postijiet eżotiċi, aċċess ferrovjarju eċċellenti, u xogħol irħis. Matul id-deċennju, ġew stabbiliti aktar minn 30 studios tal-films siekta, li jaqilgħu lil Jacksonville it-titlu ta '"Winter Film Capital of the World". Madankollu, il-ħolqien ta 'Hollywood bħala ċentru ewlieni tal-produzzjoni tal-films temm l-industrija tal-films tal-belt. Sit ta 'studju tal-films konvertit, Norman Studios, jibqa' f'Arlington; Ġie kkonvertit għall-Mużew tal-Films Silent Jacksonville fi Norman Studios.</v>
      </c>
    </row>
    <row r="22095" ht="15.75" customHeight="1">
      <c r="A22095" s="2" t="s">
        <v>22095</v>
      </c>
      <c r="B22095" s="2" t="str">
        <f>IFERROR(__xludf.DUMMYFUNCTION("GOOGLETRANSLATE(A22095, ""en"", ""mt"")"),"L-assassin fatali u l-mawdryn undead")</f>
        <v>L-assassin fatali u l-mawdryn undead</v>
      </c>
    </row>
    <row r="22096" ht="15.75" customHeight="1">
      <c r="A22096" s="2" t="s">
        <v>22096</v>
      </c>
      <c r="B22096" s="2" t="str">
        <f>IFERROR(__xludf.DUMMYFUNCTION("GOOGLETRANSLATE(A22096, ""en"", ""mt"")"),"Diversità kulturali rikka żviluppata matul id-dinastija Yuan. Il-kisbiet kulturali ewlenin kienu l-iżvilupp tad-drama u r-rumanz u l-użu akbar tal-vernakolari bil-miktub. L-għaqda politika taċ-Ċina u ħafna mill-Asja Ċentrali ppromwovew il-kummerċ bejn il-"&amp;"Lvant u l-Punent. Il-kuntatti estensivi ta 'l-Asja tal-Punent u Ewropej tal-Mongoli pproduċew ammont ġust ta' skambju kulturali. Il-kulturi u l-popli l-oħra fl-Imperu Dinji tal-Mongolja influwenzaw ukoll ħafna ċ-Ċina. Huwa kien taffew b'mod sinifikanti l-"&amp;"kummerċ u l-kummerċ madwar l-Asja sat-tnaqqis tiegħu; Il-komunikazzjonijiet bejn id-dinastija Yuan u l-alleat tagħha u s-subordinati fil-Persja, il-Ilkhanate, ħeġġew dan l-iżvilupp. Il-Buddiżmu kellu influwenza kbira fil-gvern tal-Yuan, u l-Buddiżmu Tantr"&amp;"iku tar-Rit Tibetan kien influwenza b'mod sinifikanti liċ-Ċina matul dan il-perjodu. Il-Musulmani tad-dinastija Yuan introduċew kartografija tal-Lvant Nofsani, astronomija, mediċina, ħwejjeġ, u dieta fl-Asja tal-Lvant. Uċuħ tal-Lvant bħal karrotti, nevew,"&amp;" varjetajiet ġodda ta 'lumi, brunġiel u bettieħ, zokkor granulat ta' kwalità għolja, u l-qoton kienu kollha jew introdotti jew popolarizzati b'suċċess matul id-dinastija Yuan.")</f>
        <v>Diversità kulturali rikka żviluppata matul id-dinastija Yuan. Il-kisbiet kulturali ewlenin kienu l-iżvilupp tad-drama u r-rumanz u l-użu akbar tal-vernakolari bil-miktub. L-għaqda politika taċ-Ċina u ħafna mill-Asja Ċentrali ppromwovew il-kummerċ bejn il-Lvant u l-Punent. Il-kuntatti estensivi ta 'l-Asja tal-Punent u Ewropej tal-Mongoli pproduċew ammont ġust ta' skambju kulturali. Il-kulturi u l-popli l-oħra fl-Imperu Dinji tal-Mongolja influwenzaw ukoll ħafna ċ-Ċina. Huwa kien taffew b'mod sinifikanti l-kummerċ u l-kummerċ madwar l-Asja sat-tnaqqis tiegħu; Il-komunikazzjonijiet bejn id-dinastija Yuan u l-alleat tagħha u s-subordinati fil-Persja, il-Ilkhanate, ħeġġew dan l-iżvilupp. Il-Buddiżmu kellu influwenza kbira fil-gvern tal-Yuan, u l-Buddiżmu Tantriku tar-Rit Tibetan kien influwenza b'mod sinifikanti liċ-Ċina matul dan il-perjodu. Il-Musulmani tad-dinastija Yuan introduċew kartografija tal-Lvant Nofsani, astronomija, mediċina, ħwejjeġ, u dieta fl-Asja tal-Lvant. Uċuħ tal-Lvant bħal karrotti, nevew, varjetajiet ġodda ta 'lumi, brunġiel u bettieħ, zokkor granulat ta' kwalità għolja, u l-qoton kienu kollha jew introdotti jew popolarizzati b'suċċess matul id-dinastija Yuan.</v>
      </c>
    </row>
    <row r="22097" ht="15.75" customHeight="1">
      <c r="A22097" s="2" t="s">
        <v>22097</v>
      </c>
      <c r="B22097" s="2" t="str">
        <f>IFERROR(__xludf.DUMMYFUNCTION("GOOGLETRANSLATE(A22097, ""en"", ""mt"")"),"Luther irrifjuta li jerġa 'jġib il-kitbiet tiegħu. Huwa xi kultant huwa kkwotat ukoll li qal: ""Hawnhekk jien qiegħed. Ma nista 'nagħmel l-ebda ieħor"". Studjużi riċenti jqisu l-evidenza biex dawn il-kliem ma jkunux affidabbli, peress li ġew imdaħħla qabe"&amp;"l ""Jalla Alla jgħinni"" biss f'verżjonijiet aktar tard tad-diskors u mhux irreġistrati fil-kontijiet tax-xhieda tal-proċeduri. Madankollu, Mullett jissuġġerixxi li minħabba n-natura tiegħu, ""Aħna liberi li nemmnu li Luther għandu t-tendenza li jagħżel i"&amp;"l-forma aktar drammatika ta 'kliem.""")</f>
        <v>Luther irrifjuta li jerġa 'jġib il-kitbiet tiegħu. Huwa xi kultant huwa kkwotat ukoll li qal: "Hawnhekk jien qiegħed. Ma nista 'nagħmel l-ebda ieħor". Studjużi riċenti jqisu l-evidenza biex dawn il-kliem ma jkunux affidabbli, peress li ġew imdaħħla qabel "Jalla Alla jgħinni" biss f'verżjonijiet aktar tard tad-diskors u mhux irreġistrati fil-kontijiet tax-xhieda tal-proċeduri. Madankollu, Mullett jissuġġerixxi li minħabba n-natura tiegħu, "Aħna liberi li nemmnu li Luther għandu t-tendenza li jagħżel il-forma aktar drammatika ta 'kliem."</v>
      </c>
    </row>
    <row r="22098" ht="15.75" customHeight="1">
      <c r="A22098" s="2" t="s">
        <v>22098</v>
      </c>
      <c r="B22098" s="2" t="str">
        <f>IFERROR(__xludf.DUMMYFUNCTION("GOOGLETRANSLATE(A22098, ""en"", ""mt"")"),"Għal x'jista 'l-użu ta' nifs fit-tul ta 'ossiġnu f'ċomb ta '60 kPa?")</f>
        <v>Għal x'jista 'l-użu ta' nifs fit-tul ta 'ossiġnu f'ċomb ta '60 kPa?</v>
      </c>
    </row>
    <row r="22099" ht="15.75" customHeight="1">
      <c r="A22099" s="2" t="s">
        <v>22099</v>
      </c>
      <c r="B22099" s="2" t="str">
        <f>IFERROR(__xludf.DUMMYFUNCTION("GOOGLETRANSLATE(A22099, ""en"", ""mt"")"),"Mudell tal-kompjuter ta 'bidla fil-klima futura kkawżata mill-emissjonijiet ta' gass b'effett serra juri li l-foresta tropikali tal-Amażonja tista 'ssir insostenibbli f'kundizzjonijiet ta' xita mnaqqsa severament u żieda fit-temperaturi, li twassal għal t"&amp;"elf kważi komplet ta 'kopertura tal-foresta tropikali fil-baċin b'2100. Madankollu, simulazzjonijiet ta' Amazon It-tibdil fil-klima tal-baċin f'ħafna mudelli differenti mhumiex konsistenti fl-istima tagħhom ta 'xi rispons ta' xita, li jvarja minn żidiet d"&amp;"għajfa għal tnaqqis qawwi. Ir-riżultat jindika li l-foresta tropikali tista 'tkun mhedda għalkemm is-seklu 21 permezz tal-bidla fil-klima minbarra d-deforestazzjoni.")</f>
        <v>Mudell tal-kompjuter ta 'bidla fil-klima futura kkawżata mill-emissjonijiet ta' gass b'effett serra juri li l-foresta tropikali tal-Amażonja tista 'ssir insostenibbli f'kundizzjonijiet ta' xita mnaqqsa severament u żieda fit-temperaturi, li twassal għal telf kważi komplet ta 'kopertura tal-foresta tropikali fil-baċin b'2100. Madankollu, simulazzjonijiet ta' Amazon It-tibdil fil-klima tal-baċin f'ħafna mudelli differenti mhumiex konsistenti fl-istima tagħhom ta 'xi rispons ta' xita, li jvarja minn żidiet dgħajfa għal tnaqqis qawwi. Ir-riżultat jindika li l-foresta tropikali tista 'tkun mhedda għalkemm is-seklu 21 permezz tal-bidla fil-klima minbarra d-deforestazzjoni.</v>
      </c>
    </row>
    <row r="22100" ht="15.75" customHeight="1">
      <c r="A22100" s="2" t="s">
        <v>22100</v>
      </c>
      <c r="B22100" s="2" t="str">
        <f>IFERROR(__xludf.DUMMYFUNCTION("GOOGLETRANSLATE(A22100, ""en"", ""mt"")"),"Forzi irregolari Franċiżi (Scouts Kanadiżi u Indjani) ffastidjaw lil Fort William Henry matul l-ewwel nofs tal-1757. F'Jannar huma ħarbu lill-gwardjani Ingliżi qrib Ticonderoga. Fi Frar nedew rejd qalbiena kontra l-pożizzjoni madwar il-Lag Frozen George, "&amp;"li jeqirdu l-imħażen u l-bini barra l-fortifikazzjoni ewlenija. Fil-bidu ta ’Awwissu, Montcalm u 7,000 truppa assedjaw il-forti, li kapitulaw bi ftehim biex jirtiraw taħt il-parole. Meta beda l-irtirar, uħud mill-alleati Indjani ta 'Montcalm, irrabjaw fl-"&amp;"opportunità mitlufa għal Loot, attakkaw il-kolonna Ingliża, qatlu u qabdu diversi mijiet ta' rġiel, nisa, tfal, u skjavi. Il-konsegwenzi ta 'l-assedju setgħu kkontribwew għat-trasmissjoni ta' ġidri f'popolazzjonijiet Indjani remoti; Peress li xi Indjani k"&amp;"ienu rrappurtati li vvjaġġaw minn lil hinn mill-Mississippi biex jipparteċipaw fil-kampanja u rritornaw wara li ġew esposti għal trasportaturi Ewropej.")</f>
        <v>Forzi irregolari Franċiżi (Scouts Kanadiżi u Indjani) ffastidjaw lil Fort William Henry matul l-ewwel nofs tal-1757. F'Jannar huma ħarbu lill-gwardjani Ingliżi qrib Ticonderoga. Fi Frar nedew rejd qalbiena kontra l-pożizzjoni madwar il-Lag Frozen George, li jeqirdu l-imħażen u l-bini barra l-fortifikazzjoni ewlenija. Fil-bidu ta ’Awwissu, Montcalm u 7,000 truppa assedjaw il-forti, li kapitulaw bi ftehim biex jirtiraw taħt il-parole. Meta beda l-irtirar, uħud mill-alleati Indjani ta 'Montcalm, irrabjaw fl-opportunità mitlufa għal Loot, attakkaw il-kolonna Ingliża, qatlu u qabdu diversi mijiet ta' rġiel, nisa, tfal, u skjavi. Il-konsegwenzi ta 'l-assedju setgħu kkontribwew għat-trasmissjoni ta' ġidri f'popolazzjonijiet Indjani remoti; Peress li xi Indjani kienu rrappurtati li vvjaġġaw minn lil hinn mill-Mississippi biex jipparteċipaw fil-kampanja u rritornaw wara li ġew esposti għal trasportaturi Ewropej.</v>
      </c>
    </row>
    <row r="22101" ht="15.75" customHeight="1">
      <c r="A22101" s="2" t="s">
        <v>22101</v>
      </c>
      <c r="B22101" s="2" t="str">
        <f>IFERROR(__xludf.DUMMYFUNCTION("GOOGLETRANSLATE(A22101, ""en"", ""mt"")"),"X'kienet ir-raġuni ewlenija għas-sospensjoni tal-ispettaklu fl-1989?")</f>
        <v>X'kienet ir-raġuni ewlenija għas-sospensjoni tal-ispettaklu fl-1989?</v>
      </c>
    </row>
    <row r="22102" ht="15.75" customHeight="1">
      <c r="A22102" s="2" t="s">
        <v>22102</v>
      </c>
      <c r="B22102" s="2" t="str">
        <f>IFERROR(__xludf.DUMMYFUNCTION("GOOGLETRANSLATE(A22102, ""en"", ""mt"")"),"il-Guanabara Confession of Faith")</f>
        <v>il-Guanabara Confession of Faith</v>
      </c>
    </row>
    <row r="22103" ht="15.75" customHeight="1">
      <c r="A22103" s="2" t="s">
        <v>22103</v>
      </c>
      <c r="B22103" s="2" t="str">
        <f>IFERROR(__xludf.DUMMYFUNCTION("GOOGLETRANSLATE(A22103, ""en"", ""mt"")"),"Mard li jista 'jiġi evitat")</f>
        <v>Mard li jista 'jiġi evitat</v>
      </c>
    </row>
    <row r="22104" ht="15.75" customHeight="1">
      <c r="A22104" s="2" t="s">
        <v>22104</v>
      </c>
      <c r="B22104" s="2" t="str">
        <f>IFERROR(__xludf.DUMMYFUNCTION("GOOGLETRANSLATE(A22104, ""en"", ""mt"")"),"port")</f>
        <v>port</v>
      </c>
    </row>
    <row r="22105" ht="15.75" customHeight="1">
      <c r="A22105" s="2" t="s">
        <v>22105</v>
      </c>
      <c r="B22105" s="2" t="str">
        <f>IFERROR(__xludf.DUMMYFUNCTION("GOOGLETRANSLATE(A22105, ""en"", ""mt"")"),"Għaliex il-pulizija u s-servizzi tan-nar jaqgħu taħt il-ħsieb tal-Parlament Skoċċiż?")</f>
        <v>Għaliex il-pulizija u s-servizzi tan-nar jaqgħu taħt il-ħsieb tal-Parlament Skoċċiż?</v>
      </c>
    </row>
    <row r="22106" ht="15.75" customHeight="1">
      <c r="A22106" s="2" t="s">
        <v>22106</v>
      </c>
      <c r="B22106" s="2" t="str">
        <f>IFERROR(__xludf.DUMMYFUNCTION("GOOGLETRANSLATE(A22106, ""en"", ""mt"")"),"Ċentru SAP f'San Jose.")</f>
        <v>Ċentru SAP f'San Jose.</v>
      </c>
    </row>
    <row r="22107" ht="15.75" customHeight="1">
      <c r="A22107" s="2" t="s">
        <v>22107</v>
      </c>
      <c r="B22107" s="2" t="str">
        <f>IFERROR(__xludf.DUMMYFUNCTION("GOOGLETRANSLATE(A22107, ""en"", ""mt"")"),"F'Marzu 2015, kemm stazzjonijiet ta 'proprjetà u operati kellhom ABC?")</f>
        <v>F'Marzu 2015, kemm stazzjonijiet ta 'proprjetà u operati kellhom ABC?</v>
      </c>
    </row>
    <row r="22108" ht="15.75" customHeight="1">
      <c r="A22108" s="2" t="s">
        <v>22108</v>
      </c>
      <c r="B22108" s="2" t="str">
        <f>IFERROR(__xludf.DUMMYFUNCTION("GOOGLETRANSLATE(A22108, ""en"", ""mt"")"),"Immunità adattiva (jew akkwistata)")</f>
        <v>Immunità adattiva (jew akkwistata)</v>
      </c>
    </row>
    <row r="22109" ht="15.75" customHeight="1">
      <c r="A22109" s="2" t="s">
        <v>22109</v>
      </c>
      <c r="B22109" s="2" t="str">
        <f>IFERROR(__xludf.DUMMYFUNCTION("GOOGLETRANSLATE(A22109, ""en"", ""mt"")"),"kollass strutturali, overruns ta 'spejjeż, u / jew litigazzjoni")</f>
        <v>kollass strutturali, overruns ta 'spejjeż, u / jew litigazzjoni</v>
      </c>
    </row>
    <row r="22110" ht="15.75" customHeight="1">
      <c r="A22110" s="2" t="s">
        <v>22110</v>
      </c>
      <c r="B22110" s="2" t="str">
        <f>IFERROR(__xludf.DUMMYFUNCTION("GOOGLETRANSLATE(A22110, ""en"", ""mt"")"),"Meta Luther ippubblika fuq il-jasar tar-rieda?")</f>
        <v>Meta Luther ippubblika fuq il-jasar tar-rieda?</v>
      </c>
    </row>
    <row r="22111" ht="15.75" customHeight="1">
      <c r="A22111" s="2" t="s">
        <v>22111</v>
      </c>
      <c r="B22111" s="2" t="str">
        <f>IFERROR(__xludf.DUMMYFUNCTION("GOOGLETRANSLATE(A22111, ""en"", ""mt"")"),"Fuq xiex kien ibbażat dejjem il-moviment liberu?")</f>
        <v>Fuq xiex kien ibbażat dejjem il-moviment liberu?</v>
      </c>
    </row>
    <row r="22112" ht="15.75" customHeight="1">
      <c r="A22112" s="2" t="s">
        <v>22112</v>
      </c>
      <c r="B22112" s="2" t="str">
        <f>IFERROR(__xludf.DUMMYFUNCTION("GOOGLETRANSLATE(A22112, ""en"", ""mt"")"),"Xi tfisser Warszawa fil-Pollakk?")</f>
        <v>Xi tfisser Warszawa fil-Pollakk?</v>
      </c>
    </row>
    <row r="22113" ht="15.75" customHeight="1">
      <c r="A22113" s="2" t="s">
        <v>22113</v>
      </c>
      <c r="B22113" s="2" t="str">
        <f>IFERROR(__xludf.DUMMYFUNCTION("GOOGLETRANSLATE(A22113, ""en"", ""mt"")"),"ABC tippossjedi wkoll The Times Square Studios fil-1500 Broadway fuq art fi Times Square li hija proprjetà ta ’fond ta’ żvilupp għat-42nd Street Project; Miftuħa fl-1999, Good Morning America u Nightline huma mxandra minn din il-faċilità partikolari. ABC "&amp;"News għandha bini ftit iktar fit-Triq tal-Punent 66, f'bini ta 'sitt sulari li jokkupa plott ta' 196 pied (60 m) × 379 pied (116 m) fi 121-135 West End Avenue. Il-blokka ta ’West End Avenue li tospita l-bini tal-aħbarijiet ABC ġiet imsejħa mill-ġdid Peter"&amp;" Jennings Way fl-2006 ad unur il-kap ta’ l-ABC News li ilu żmien mejjet u l-ankra ta ’World News Tonight.")</f>
        <v>ABC tippossjedi wkoll The Times Square Studios fil-1500 Broadway fuq art fi Times Square li hija proprjetà ta ’fond ta’ żvilupp għat-42nd Street Project; Miftuħa fl-1999, Good Morning America u Nightline huma mxandra minn din il-faċilità partikolari. ABC News għandha bini ftit iktar fit-Triq tal-Punent 66, f'bini ta 'sitt sulari li jokkupa plott ta' 196 pied (60 m) × 379 pied (116 m) fi 121-135 West End Avenue. Il-blokka ta ’West End Avenue li tospita l-bini tal-aħbarijiet ABC ġiet imsejħa mill-ġdid Peter Jennings Way fl-2006 ad unur il-kap ta’ l-ABC News li ilu żmien mejjet u l-ankra ta ’World News Tonight.</v>
      </c>
    </row>
    <row r="22114" ht="15.75" customHeight="1">
      <c r="A22114" s="2" t="s">
        <v>22114</v>
      </c>
      <c r="B22114" s="2" t="str">
        <f>IFERROR(__xludf.DUMMYFUNCTION("GOOGLETRANSLATE(A22114, ""en"", ""mt"")"),"Aktar minn 100 biljun dollaru")</f>
        <v>Aktar minn 100 biljun dollaru</v>
      </c>
    </row>
    <row r="22115" ht="15.75" customHeight="1">
      <c r="A22115" s="2" t="s">
        <v>22115</v>
      </c>
      <c r="B22115" s="2" t="str">
        <f>IFERROR(__xludf.DUMMYFUNCTION("GOOGLETRANSLATE(A22115, ""en"", ""mt"")"),"F'liema sena l-ewwel karta ta 'identifikazzjoni ABC kellha dehra 3D?")</f>
        <v>F'liema sena l-ewwel karta ta 'identifikazzjoni ABC kellha dehra 3D?</v>
      </c>
    </row>
    <row r="22116" ht="15.75" customHeight="1">
      <c r="A22116" s="2" t="s">
        <v>22116</v>
      </c>
      <c r="B22116" s="2" t="str">
        <f>IFERROR(__xludf.DUMMYFUNCTION("GOOGLETRANSLATE(A22116, ""en"", ""mt"")"),"X'inhu DNA tal-kloroplast imqassar bħala?")</f>
        <v>X'inhu DNA tal-kloroplast imqassar bħala?</v>
      </c>
    </row>
    <row r="22117" ht="15.75" customHeight="1">
      <c r="A22117" s="2" t="s">
        <v>22117</v>
      </c>
      <c r="B22117" s="2" t="str">
        <f>IFERROR(__xludf.DUMMYFUNCTION("GOOGLETRANSLATE(A22117, ""en"", ""mt"")"),"53,000")</f>
        <v>53,000</v>
      </c>
    </row>
    <row r="22118" ht="15.75" customHeight="1">
      <c r="A22118" s="2" t="s">
        <v>22118</v>
      </c>
      <c r="B22118" s="2" t="str">
        <f>IFERROR(__xludf.DUMMYFUNCTION("GOOGLETRANSLATE(A22118, ""en"", ""mt"")"),"Bejn is-snin 1880 u t-Tieni Gwerra Dinjija, id-downtown Fresno iffjorixxa, mimli karozzi tat-triq elettrika, u kien fih uħud mill-isbaħ bini arkitettoniku tal-Wied ta 'San Joaquin. Fost dawn, il-Qorti oriġinali tal-Kontea ta 'Fresno (imwaqqa), il-Librerij"&amp;"a Pubblika ta' Fresno Carnegie (imwaqqa), it-Torri tal-Ilma Fresno, il-Bank tal-Bank of Italja, il-Bini tal-Lbiċ tal-Paċifiku, il-bini tad-dawl u l-enerġija ta 'San Joaquin (bħalissa magħruf bħala l-Grand 1401), u l-lukanda Hughes (maħruqa), biex insemmu "&amp;"xi ftit.")</f>
        <v>Bejn is-snin 1880 u t-Tieni Gwerra Dinjija, id-downtown Fresno iffjorixxa, mimli karozzi tat-triq elettrika, u kien fih uħud mill-isbaħ bini arkitettoniku tal-Wied ta 'San Joaquin. Fost dawn, il-Qorti oriġinali tal-Kontea ta 'Fresno (imwaqqa), il-Librerija Pubblika ta' Fresno Carnegie (imwaqqa), it-Torri tal-Ilma Fresno, il-Bank tal-Bank of Italja, il-Bini tal-Lbiċ tal-Paċifiku, il-bini tad-dawl u l-enerġija ta 'San Joaquin (bħalissa magħruf bħala l-Grand 1401), u l-lukanda Hughes (maħruqa), biex insemmu xi ftit.</v>
      </c>
    </row>
    <row r="22119" ht="15.75" customHeight="1">
      <c r="A22119" s="2" t="s">
        <v>22119</v>
      </c>
      <c r="B22119" s="2" t="str">
        <f>IFERROR(__xludf.DUMMYFUNCTION("GOOGLETRANSLATE(A22119, ""en"", ""mt"")"),"differenzi fl-ammont ta 'inugwaljanza")</f>
        <v>differenzi fl-ammont ta 'inugwaljanza</v>
      </c>
    </row>
    <row r="22120" ht="15.75" customHeight="1">
      <c r="A22120" s="2" t="s">
        <v>22120</v>
      </c>
      <c r="B22120" s="2" t="str">
        <f>IFERROR(__xludf.DUMMYFUNCTION("GOOGLETRANSLATE(A22120, ""en"", ""mt"")"),"miksur")</f>
        <v>miksur</v>
      </c>
    </row>
    <row r="22121" ht="15.75" customHeight="1">
      <c r="A22121" s="2" t="s">
        <v>22121</v>
      </c>
      <c r="B22121" s="2" t="str">
        <f>IFERROR(__xludf.DUMMYFUNCTION("GOOGLETRANSLATE(A22121, ""en"", ""mt"")"),"ħsara fil-proprjetà")</f>
        <v>ħsara fil-proprjetà</v>
      </c>
    </row>
    <row r="22122" ht="15.75" customHeight="1">
      <c r="A22122" s="2" t="s">
        <v>22122</v>
      </c>
      <c r="B22122" s="2" t="str">
        <f>IFERROR(__xludf.DUMMYFUNCTION("GOOGLETRANSLATE(A22122, ""en"", ""mt"")"),"X'jistgħu jaħdmu n-nies jekk ma jiġux miċħuda l-funzjonijiet, il-kapaċitajiet u l-aġenzija tagħhom?")</f>
        <v>X'jistgħu jaħdmu n-nies jekk ma jiġux miċħuda l-funzjonijiet, il-kapaċitajiet u l-aġenzija tagħhom?</v>
      </c>
    </row>
    <row r="22123" ht="15.75" customHeight="1">
      <c r="A22123" s="2" t="s">
        <v>22123</v>
      </c>
      <c r="B22123" s="2" t="str">
        <f>IFERROR(__xludf.DUMMYFUNCTION("GOOGLETRANSLATE(A22123, ""en"", ""mt"")"),"Għaliex kien hemm kontroversja fl-atletika Kenjana?")</f>
        <v>Għaliex kien hemm kontroversja fl-atletika Kenjana?</v>
      </c>
    </row>
    <row r="22124" ht="15.75" customHeight="1">
      <c r="A22124" s="2" t="s">
        <v>22124</v>
      </c>
      <c r="B22124" s="2" t="str">
        <f>IFERROR(__xludf.DUMMYFUNCTION("GOOGLETRANSLATE(A22124, ""en"", ""mt"")"),"Liema plejer ta daqqa ta ’ponn il-ballun mit-2?")</f>
        <v>Liema plejer ta daqqa ta ’ponn il-ballun mit-2?</v>
      </c>
    </row>
    <row r="22125" ht="15.75" customHeight="1">
      <c r="A22125" s="2" t="s">
        <v>22125</v>
      </c>
      <c r="B22125" s="2" t="str">
        <f>IFERROR(__xludf.DUMMYFUNCTION("GOOGLETRANSLATE(A22125, ""en"", ""mt"")"),"tliet membri")</f>
        <v>tliet membri</v>
      </c>
    </row>
    <row r="22126" ht="15.75" customHeight="1">
      <c r="A22126" s="2" t="s">
        <v>22126</v>
      </c>
      <c r="B22126" s="2" t="str">
        <f>IFERROR(__xludf.DUMMYFUNCTION("GOOGLETRANSLATE(A22126, ""en"", ""mt"")"),"Liema plateau tinsab il-parti tax-xellug ta 'Varsavja?")</f>
        <v>Liema plateau tinsab il-parti tax-xellug ta 'Varsavja?</v>
      </c>
    </row>
    <row r="22127" ht="15.75" customHeight="1">
      <c r="A22127" s="2" t="s">
        <v>22127</v>
      </c>
      <c r="B22127" s="2" t="str">
        <f>IFERROR(__xludf.DUMMYFUNCTION("GOOGLETRANSLATE(A22127, ""en"", ""mt"")"),"kloroplast derivat minn alka ħadra")</f>
        <v>kloroplast derivat minn alka ħadra</v>
      </c>
    </row>
    <row r="22128" ht="15.75" customHeight="1">
      <c r="A22128" s="2" t="s">
        <v>22128</v>
      </c>
      <c r="B22128" s="2" t="str">
        <f>IFERROR(__xludf.DUMMYFUNCTION("GOOGLETRANSLATE(A22128, ""en"", ""mt"")"),"Stratigraphers manjetiċi")</f>
        <v>Stratigraphers manjetiċi</v>
      </c>
    </row>
    <row r="22129" ht="15.75" customHeight="1">
      <c r="A22129" s="2" t="s">
        <v>22129</v>
      </c>
      <c r="B22129" s="2" t="str">
        <f>IFERROR(__xludf.DUMMYFUNCTION("GOOGLETRANSLATE(A22129, ""en"", ""mt"")"),"Ħlas ta 'somma f'daqqa ta' $ 216,000")</f>
        <v>Ħlas ta 'somma f'daqqa ta' $ 216,000</v>
      </c>
    </row>
    <row r="22130" ht="15.75" customHeight="1">
      <c r="A22130" s="2" t="s">
        <v>22130</v>
      </c>
      <c r="B22130" s="2" t="str">
        <f>IFERROR(__xludf.DUMMYFUNCTION("GOOGLETRANSLATE(A22130, ""en"", ""mt"")"),"Liema marda weġġgħet fuq Manning li waqqfuh fil-Ġimgħa 10?")</f>
        <v>Liema marda weġġgħet fuq Manning li waqqfuh fil-Ġimgħa 10?</v>
      </c>
    </row>
    <row r="22131" ht="15.75" customHeight="1">
      <c r="A22131" s="2" t="s">
        <v>22131</v>
      </c>
      <c r="B22131" s="2" t="str">
        <f>IFERROR(__xludf.DUMMYFUNCTION("GOOGLETRANSLATE(A22131, ""en"", ""mt"")"),"Telf sħiħ ta 'kopertura tal-foresta tropikali jista' jkun ikkawżat minn liema tip ta 'emissjonijiet?")</f>
        <v>Telf sħiħ ta 'kopertura tal-foresta tropikali jista' jkun ikkawżat minn liema tip ta 'emissjonijiet?</v>
      </c>
    </row>
    <row r="22132" ht="15.75" customHeight="1">
      <c r="A22132" s="2" t="s">
        <v>22132</v>
      </c>
      <c r="B22132" s="2" t="str">
        <f>IFERROR(__xludf.DUMMYFUNCTION("GOOGLETRANSLATE(A22132, ""en"", ""mt"")"),"Saffir-Simpson")</f>
        <v>Saffir-Simpson</v>
      </c>
    </row>
    <row r="22133" ht="15.75" customHeight="1">
      <c r="A22133" s="2" t="s">
        <v>22133</v>
      </c>
      <c r="B22133" s="2" t="str">
        <f>IFERROR(__xludf.DUMMYFUNCTION("GOOGLETRANSLATE(A22133, ""en"", ""mt"")"),"Liġijiet")</f>
        <v>Liġijiet</v>
      </c>
    </row>
    <row r="22134" ht="15.75" customHeight="1">
      <c r="A22134" s="2" t="s">
        <v>22134</v>
      </c>
      <c r="B22134" s="2" t="str">
        <f>IFERROR(__xludf.DUMMYFUNCTION("GOOGLETRANSLATE(A22134, ""en"", ""mt"")"),"Kemm kellu fumbles sfurzati Thomas Davis?")</f>
        <v>Kemm kellu fumbles sfurzati Thomas Davis?</v>
      </c>
    </row>
    <row r="22135" ht="15.75" customHeight="1">
      <c r="A22135" s="2" t="s">
        <v>22135</v>
      </c>
      <c r="B22135" s="2" t="str">
        <f>IFERROR(__xludf.DUMMYFUNCTION("GOOGLETRANSLATE(A22135, ""en"", ""mt"")"),"Ħares lejn iż-żewġ possibbiltajiet")</f>
        <v>Ħares lejn iż-żewġ possibbiltajiet</v>
      </c>
    </row>
    <row r="22136" ht="15.75" customHeight="1">
      <c r="A22136" s="2" t="s">
        <v>22136</v>
      </c>
      <c r="B22136" s="2" t="str">
        <f>IFERROR(__xludf.DUMMYFUNCTION("GOOGLETRANSLATE(A22136, ""en"", ""mt"")"),"Liema għaxar snin reċenti rat it-tleqqija tal-perċezzjoni ta 'Genghis Khan fil-Mongolja?")</f>
        <v>Liema għaxar snin reċenti rat it-tleqqija tal-perċezzjoni ta 'Genghis Khan fil-Mongolja?</v>
      </c>
    </row>
    <row r="22137" ht="15.75" customHeight="1">
      <c r="A22137" s="2" t="s">
        <v>22137</v>
      </c>
      <c r="B22137" s="2" t="str">
        <f>IFERROR(__xludf.DUMMYFUNCTION("GOOGLETRANSLATE(A22137, ""en"", ""mt"")"),"Super Bowl XX")</f>
        <v>Super Bowl XX</v>
      </c>
    </row>
    <row r="22138" ht="15.75" customHeight="1">
      <c r="A22138" s="2" t="s">
        <v>22138</v>
      </c>
      <c r="B22138" s="2" t="str">
        <f>IFERROR(__xludf.DUMMYFUNCTION("GOOGLETRANSLATE(A22138, ""en"", ""mt"")"),"L-ipprogrammar bi nhar huwa pprovdut ukoll mill-11: 00 a.m. sat-3.00 p.m. Il-ġimgħa (bi waqfa ta 'siegħa f'12: 00 p.m. Lvant / Paċifiku għall-Istazzjonijiet għall-Ajru Newscasts, programmazzjoni oħra prodotti lokalment bħalma huma l-ispettakli, jew progra"&amp;"mmi sindikati) li jidhru l-veduta / l-istil ta' ħajja juru The View and the Chew u The Soap Opera Sptar Ġenerali. L-ipprogrammar tal-aħbarijiet ABC jinkludi Good Morning America mis-7.00 sad-9.00 a.m. matul il-ġimgħa (flimkien ma 'edizzjonijiet ta' siegħa"&amp;" ta 'tmiem il-ġimgħa); Edizzjonijiet ta 'bil-lejl ta' ABC World News Tonight (li l-edizzjonijiet ta 'tmiem il-ġimgħa huma kultant soġġetti għal abbrevjazzjoni jew preenzjoni minħabba telekomunikazzjoni sportivi li jinbidlu fit-timelot tal-programm), it-ta"&amp;"lk show politiku tal-Ħadd din il-ġimgħa, programmi ta' aħbarijiet bikrija ta 'l-aħbarijiet bikrija issa u l-Amerika dalgħodu u Late Nightline Newsmagazine. Late Nights jidhru l-ispettaklu talk matul il-lejl Jimmy Kimmel Live!.")</f>
        <v>L-ipprogrammar bi nhar huwa pprovdut ukoll mill-11: 00 a.m. sat-3.00 p.m. Il-ġimgħa (bi waqfa ta 'siegħa f'12: 00 p.m. Lvant / Paċifiku għall-Istazzjonijiet għall-Ajru Newscasts, programmazzjoni oħra prodotti lokalment bħalma huma l-ispettakli, jew programmi sindikati) li jidhru l-veduta / l-istil ta' ħajja juru The View and the Chew u The Soap Opera Sptar Ġenerali. L-ipprogrammar tal-aħbarijiet ABC jinkludi Good Morning America mis-7.00 sad-9.00 a.m. matul il-ġimgħa (flimkien ma 'edizzjonijiet ta' siegħa ta 'tmiem il-ġimgħa); Edizzjonijiet ta 'bil-lejl ta' ABC World News Tonight (li l-edizzjonijiet ta 'tmiem il-ġimgħa huma kultant soġġetti għal abbrevjazzjoni jew preenzjoni minħabba telekomunikazzjoni sportivi li jinbidlu fit-timelot tal-programm), it-talk show politiku tal-Ħadd din il-ġimgħa, programmi ta' aħbarijiet bikrija ta 'l-aħbarijiet bikrija issa u l-Amerika dalgħodu u Late Nightline Newsmagazine. Late Nights jidhru l-ispettaklu talk matul il-lejl Jimmy Kimmel Live!.</v>
      </c>
    </row>
    <row r="22139" ht="15.75" customHeight="1">
      <c r="A22139" s="2" t="s">
        <v>22139</v>
      </c>
      <c r="B22139" s="2" t="str">
        <f>IFERROR(__xludf.DUMMYFUNCTION("GOOGLETRANSLATE(A22139, ""en"", ""mt"")"),"Liema kumpanija tal-films ħallset biex ikollok ir-reklam tal-film Jason Bourne li jmiss muri matul is-Super Bowl?")</f>
        <v>Liema kumpanija tal-films ħallset biex ikollok ir-reklam tal-film Jason Bourne li jmiss muri matul is-Super Bowl?</v>
      </c>
    </row>
    <row r="22140" ht="15.75" customHeight="1">
      <c r="A22140" s="2" t="s">
        <v>22140</v>
      </c>
      <c r="B22140" s="2" t="str">
        <f>IFERROR(__xludf.DUMMYFUNCTION("GOOGLETRANSLATE(A22140, ""en"", ""mt"")"),"Liġi tal-UE")</f>
        <v>Liġi tal-UE</v>
      </c>
    </row>
    <row r="22141" ht="15.75" customHeight="1">
      <c r="A22141" s="2" t="s">
        <v>22141</v>
      </c>
      <c r="B22141" s="2" t="str">
        <f>IFERROR(__xludf.DUMMYFUNCTION("GOOGLETRANSLATE(A22141, ""en"", ""mt"")"),"Apollo TV")</f>
        <v>Apollo TV</v>
      </c>
    </row>
    <row r="22142" ht="15.75" customHeight="1">
      <c r="A22142" s="2" t="s">
        <v>22142</v>
      </c>
      <c r="B22142" s="2" t="str">
        <f>IFERROR(__xludf.DUMMYFUNCTION("GOOGLETRANSLATE(A22142, ""en"", ""mt"")"),"Liema ktieb tal-Bibbja jiddiskuti diżubbidjenza ċivili?")</f>
        <v>Liema ktieb tal-Bibbja jiddiskuti diżubbidjenza ċivili?</v>
      </c>
    </row>
    <row r="22143" ht="15.75" customHeight="1">
      <c r="A22143" s="2" t="s">
        <v>22143</v>
      </c>
      <c r="B22143" s="2" t="str">
        <f>IFERROR(__xludf.DUMMYFUNCTION("GOOGLETRANSLATE(A22143, ""en"", ""mt"")"),"Il-kontijiet jistgħu jiġu introdotti fil-Parlament f'numru ta 'modi; Il-gvern Skoċċiż jista 'jintroduċi liġijiet jew emendi ġodda għal-liġijiet eżistenti bħala abbozz ta' liġi; Kumitat tal-Parlament jista 'jippreżenta abbozz f'wieħed mill-oqsma taħt il-ma"&amp;"ndat tiegħu; Membru tal-Parlament Skoċċiż jista 'jintroduċi abbozz bħala membru privat; jew kont privat jista 'jiġi sottomess lill-Parlament minn proponent estern. Il-biċċa l-kbira tal-liġijiet tal-abbozzi huma kontijiet tal-gvern introdotti mill-ministri"&amp;" fil-partit governattiv. Il-kontijiet jgħaddu mill-Parlament f'numru ta 'stadji:")</f>
        <v>Il-kontijiet jistgħu jiġu introdotti fil-Parlament f'numru ta 'modi; Il-gvern Skoċċiż jista 'jintroduċi liġijiet jew emendi ġodda għal-liġijiet eżistenti bħala abbozz ta' liġi; Kumitat tal-Parlament jista 'jippreżenta abbozz f'wieħed mill-oqsma taħt il-mandat tiegħu; Membru tal-Parlament Skoċċiż jista 'jintroduċi abbozz bħala membru privat; jew kont privat jista 'jiġi sottomess lill-Parlament minn proponent estern. Il-biċċa l-kbira tal-liġijiet tal-abbozzi huma kontijiet tal-gvern introdotti mill-ministri fil-partit governattiv. Il-kontijiet jgħaddu mill-Parlament f'numru ta 'stadji:</v>
      </c>
    </row>
    <row r="22144" ht="15.75" customHeight="1">
      <c r="A22144" s="2" t="s">
        <v>22144</v>
      </c>
      <c r="B22144" s="2" t="str">
        <f>IFERROR(__xludf.DUMMYFUNCTION("GOOGLETRANSLATE(A22144, ""en"", ""mt"")"),"Akkademji ta 'Segregazzjoni")</f>
        <v>Akkademji ta 'Segregazzjoni</v>
      </c>
    </row>
    <row r="22145" ht="15.75" customHeight="1">
      <c r="A22145" s="2" t="s">
        <v>22145</v>
      </c>
      <c r="B22145" s="2" t="str">
        <f>IFERROR(__xludf.DUMMYFUNCTION("GOOGLETRANSLATE(A22145, ""en"", ""mt"")"),"Studenti li għadhom ma ggradwawx huma meħtieġa jieħdu distribuzzjoni ta 'korsijiet biex jissodisfaw il-kurrikulu ewlieni tal-università magħruf bħala l-Qofol Komuni. Fl-2012-2013, il-klassijiet ewlenin f'Chicago kienu limitati għal 17-il student, u ġenera"&amp;"lment huma mmexxija minn professur full-time (għall-kuntrarju ta 'assistent tat-tagħlim). Mis-sena skolastika 2013–2014, 15-il kors u kompetenza murija f'lingwa barranija huma meħtieġa taħt il-qalba. Korsijiet li għadhom ma ggradwawx fl-Università ta ’Chi"&amp;"cago huma magħrufa għall-istandards eżiġenti tagħhom, ammont ta’ xogħol qawwi u diffikultà akkademika; Skond l-UNI fl-Istati Uniti, ""fost il-krema akkademika ta 'universitajiet Amerikani - Harvard, Yale, Princeton, MIT, u l-Università ta' Chicago - huwa "&amp;"Uchicago li jista 'jallega b'mod konvinċenti li jipprovdi l-iktar esperjenza ta' tagħlim intensa.""")</f>
        <v>Studenti li għadhom ma ggradwawx huma meħtieġa jieħdu distribuzzjoni ta 'korsijiet biex jissodisfaw il-kurrikulu ewlieni tal-università magħruf bħala l-Qofol Komuni. Fl-2012-2013, il-klassijiet ewlenin f'Chicago kienu limitati għal 17-il student, u ġeneralment huma mmexxija minn professur full-time (għall-kuntrarju ta 'assistent tat-tagħlim). Mis-sena skolastika 2013–2014, 15-il kors u kompetenza murija f'lingwa barranija huma meħtieġa taħt il-qalba. Korsijiet li għadhom ma ggradwawx fl-Università ta ’Chicago huma magħrufa għall-istandards eżiġenti tagħhom, ammont ta’ xogħol qawwi u diffikultà akkademika; Skond l-UNI fl-Istati Uniti, "fost il-krema akkademika ta 'universitajiet Amerikani - Harvard, Yale, Princeton, MIT, u l-Università ta' Chicago - huwa Uchicago li jista 'jallega b'mod konvinċenti li jipprovdi l-iktar esperjenza ta' tagħlim intensa."</v>
      </c>
    </row>
    <row r="22146" ht="15.75" customHeight="1">
      <c r="A22146" s="2" t="s">
        <v>22146</v>
      </c>
      <c r="B22146" s="2" t="str">
        <f>IFERROR(__xludf.DUMMYFUNCTION("GOOGLETRANSLATE(A22146, ""en"", ""mt"")"),"Liema persentaġġ tal-popolazzjoni ta 'Franza llum hija Protestanti?")</f>
        <v>Liema persentaġġ tal-popolazzjoni ta 'Franza llum hija Protestanti?</v>
      </c>
    </row>
    <row r="22147" ht="15.75" customHeight="1">
      <c r="A22147" s="2" t="s">
        <v>22147</v>
      </c>
      <c r="B22147" s="2" t="str">
        <f>IFERROR(__xludf.DUMMYFUNCTION("GOOGLETRANSLATE(A22147, ""en"", ""mt"")"),"Min skopra l-fuħħar misjub fuq il-Gżira tal-Hammock Iswed?")</f>
        <v>Min skopra l-fuħħar misjub fuq il-Gżira tal-Hammock Iswed?</v>
      </c>
    </row>
    <row r="22148" ht="15.75" customHeight="1">
      <c r="A22148" s="2" t="s">
        <v>22148</v>
      </c>
      <c r="B22148" s="2" t="str">
        <f>IFERROR(__xludf.DUMMYFUNCTION("GOOGLETRANSLATE(A22148, ""en"", ""mt"")"),"operazzjonijiet li jeħtieġu veloċità kostanti")</f>
        <v>operazzjonijiet li jeħtieġu veloċità kostanti</v>
      </c>
    </row>
    <row r="22149" ht="15.75" customHeight="1">
      <c r="A22149" s="2" t="s">
        <v>22149</v>
      </c>
      <c r="B22149" s="2" t="str">
        <f>IFERROR(__xludf.DUMMYFUNCTION("GOOGLETRANSLATE(A22149, ""en"", ""mt"")"),"kalamita qawwija")</f>
        <v>kalamita qawwija</v>
      </c>
    </row>
    <row r="22150" ht="15.75" customHeight="1">
      <c r="A22150" s="2" t="s">
        <v>22150</v>
      </c>
      <c r="B22150" s="2" t="str">
        <f>IFERROR(__xludf.DUMMYFUNCTION("GOOGLETRANSLATE(A22150, ""en"", ""mt"")"),"bini tal-isptar")</f>
        <v>bini tal-isptar</v>
      </c>
    </row>
    <row r="22151" ht="15.75" customHeight="1">
      <c r="A22151" s="2" t="s">
        <v>22151</v>
      </c>
      <c r="B22151" s="2" t="str">
        <f>IFERROR(__xludf.DUMMYFUNCTION("GOOGLETRANSLATE(A22151, ""en"", ""mt"")"),"X'tip ta 'żoni forestali jistgħu jinstabu fuq l-ogħla terrazzin?")</f>
        <v>X'tip ta 'żoni forestali jistgħu jinstabu fuq l-ogħla terrazzin?</v>
      </c>
    </row>
    <row r="22152" ht="15.75" customHeight="1">
      <c r="A22152" s="2" t="s">
        <v>22152</v>
      </c>
      <c r="B22152" s="2" t="str">
        <f>IFERROR(__xludf.DUMMYFUNCTION("GOOGLETRANSLATE(A22152, ""en"", ""mt"")"),"Robert R. Gilruth")</f>
        <v>Robert R. Gilruth</v>
      </c>
    </row>
    <row r="22153" ht="15.75" customHeight="1">
      <c r="A22153" s="2" t="s">
        <v>22153</v>
      </c>
      <c r="B22153" s="2" t="str">
        <f>IFERROR(__xludf.DUMMYFUNCTION("GOOGLETRANSLATE(A22153, ""en"", ""mt"")"),"Taħt l-Att dwar l-Iskozja 1998, l-elezzjonijiet ġenerali ordinarji għall-Parlament Skoċċiż isiru fl-ewwel Ħamis f'Mejju kull erba 'snin (1999, 2003, 2007 u l-bqija). Id-data tal-votazzjoni tista 'tkun varjata sa xahar bl-ebda mod mill-monarka fuq il-propo"&amp;"sta tal-uffiċjal li jippresiedi. Jekk il-Parlament innifsu jsolvi li għandu jinħall (b'mill-inqas żewġ terzi tal-membri jivvutaw favur), jew jekk il-Parlament jonqos milli jinnomina lil wieħed mill-membri tiegħu biex ikun l-ewwel ministru fi żmien 28 jum "&amp;"minn elezzjoni ġenerali jew ta ' Pożizzjoni li ssir battala, l-uffiċjal li jippresiedi jipproponi data għal elezzjoni ġenerali straordinarja u l-Parlament jinħall mir-Reġina permezz ta 'Proklamazzjoni Rjali. L-elezzjonijiet ġenerali straordinarji huma fli"&amp;"mkien ma 'elezzjonijiet ġenerali ordinarji, sakemm ma jinżammux inqas minn sitt xhur qabel id-data ta' elezzjoni ġenerali ordinarja, f'liema każ huma jissuppillawha. L-elezzjoni ordinarja li ġejja terġa 'lura għall-ewwel Ħamis ta' Mejju, multiplu ta 'erba"&amp;"' snin wara l-1999 (i.e., 5 ta 'Mejju 2011, 7 ta' Mejju 2015, eċċ.).")</f>
        <v>Taħt l-Att dwar l-Iskozja 1998, l-elezzjonijiet ġenerali ordinarji għall-Parlament Skoċċiż isiru fl-ewwel Ħamis f'Mejju kull erba 'snin (1999, 2003, 2007 u l-bqija). Id-data tal-votazzjoni tista 'tkun varjata sa xahar bl-ebda mod mill-monarka fuq il-proposta tal-uffiċjal li jippresiedi. Jekk il-Parlament innifsu jsolvi li għandu jinħall (b'mill-inqas żewġ terzi tal-membri jivvutaw favur), jew jekk il-Parlament jonqos milli jinnomina lil wieħed mill-membri tiegħu biex ikun l-ewwel ministru fi żmien 28 jum minn elezzjoni ġenerali jew ta ' Pożizzjoni li ssir battala, l-uffiċjal li jippresiedi jipproponi data għal elezzjoni ġenerali straordinarja u l-Parlament jinħall mir-Reġina permezz ta 'Proklamazzjoni Rjali. L-elezzjonijiet ġenerali straordinarji huma flimkien ma 'elezzjonijiet ġenerali ordinarji, sakemm ma jinżammux inqas minn sitt xhur qabel id-data ta' elezzjoni ġenerali ordinarja, f'liema każ huma jissuppillawha. L-elezzjoni ordinarja li ġejja terġa 'lura għall-ewwel Ħamis ta' Mejju, multiplu ta 'erba' snin wara l-1999 (i.e., 5 ta 'Mejju 2011, 7 ta' Mejju 2015, eċċ.).</v>
      </c>
    </row>
    <row r="22154" ht="15.75" customHeight="1">
      <c r="A22154" s="2" t="s">
        <v>22154</v>
      </c>
      <c r="B22154" s="2" t="str">
        <f>IFERROR(__xludf.DUMMYFUNCTION("GOOGLETRANSLATE(A22154, ""en"", ""mt"")"),"midfun mingħajr marki")</f>
        <v>midfun mingħajr marki</v>
      </c>
    </row>
    <row r="22155" ht="15.75" customHeight="1">
      <c r="A22155" s="2" t="s">
        <v>22155</v>
      </c>
      <c r="B22155" s="2" t="str">
        <f>IFERROR(__xludf.DUMMYFUNCTION("GOOGLETRANSLATE(A22155, ""en"", ""mt"")"),"X'uża biex tħalli l-kordi tal-ideat jibdlu d-direzzjoni?")</f>
        <v>X'uża biex tħalli l-kordi tal-ideat jibdlu d-direzzjoni?</v>
      </c>
    </row>
    <row r="22156" ht="15.75" customHeight="1">
      <c r="A22156" s="2" t="s">
        <v>22156</v>
      </c>
      <c r="B22156" s="2" t="str">
        <f>IFERROR(__xludf.DUMMYFUNCTION("GOOGLETRANSLATE(A22156, ""en"", ""mt"")"),"Meta tmut Tesla dawwar l-attenzjoni tiegħu biex tipprova tifhem l-enerġija radjanti inviżibbli?")</f>
        <v>Meta tmut Tesla dawwar l-attenzjoni tiegħu biex tipprova tifhem l-enerġija radjanti inviżibbli?</v>
      </c>
    </row>
    <row r="22157" ht="15.75" customHeight="1">
      <c r="A22157" s="2" t="s">
        <v>22157</v>
      </c>
      <c r="B22157" s="2" t="str">
        <f>IFERROR(__xludf.DUMMYFUNCTION("GOOGLETRANSLATE(A22157, ""en"", ""mt"")"),"iż-żgħażagħ u l-anzjani")</f>
        <v>iż-żgħażagħ u l-anzjani</v>
      </c>
    </row>
    <row r="22158" ht="15.75" customHeight="1">
      <c r="A22158" s="2" t="s">
        <v>22158</v>
      </c>
      <c r="B22158" s="2" t="str">
        <f>IFERROR(__xludf.DUMMYFUNCTION("GOOGLETRANSLATE(A22158, ""en"", ""mt"")"),"Forza konservattiva li taġixxi fuq sistema magħluqa għandha xogħol mekkaniku assoċjat li jippermetti li l-enerġija tikkonverti biss bejn forom kinetiċi jew potenzjali. Dan ifisser li għal sistema magħluqa, l-enerġija mekkanika netta tiġi kkonservata kull "&amp;"meta forza konservattiva taġixxi fis-sistema. Il-forza, għalhekk, hija relatata direttament mad-differenza fl-enerġija potenzjali bejn żewġ postijiet differenti fl-ispazju, u tista 'titqies bħala artifact tal-kamp potenzjali bl-istess mod li d-direzzjoni "&amp;"u l-ammont ta' fluss ta 'ilma jistgħu jitqiesu Biex tkun artifact tal-mappa tal-kontorn tal-elevazzjoni ta 'żona.")</f>
        <v>Forza konservattiva li taġixxi fuq sistema magħluqa għandha xogħol mekkaniku assoċjat li jippermetti li l-enerġija tikkonverti biss bejn forom kinetiċi jew potenzjali. Dan ifisser li għal sistema magħluqa, l-enerġija mekkanika netta tiġi kkonservata kull meta forza konservattiva taġixxi fis-sistema. Il-forza, għalhekk, hija relatata direttament mad-differenza fl-enerġija potenzjali bejn żewġ postijiet differenti fl-ispazju, u tista 'titqies bħala artifact tal-kamp potenzjali bl-istess mod li d-direzzjoni u l-ammont ta' fluss ta 'ilma jistgħu jitqiesu Biex tkun artifact tal-mappa tal-kontorn tal-elevazzjoni ta 'żona.</v>
      </c>
    </row>
    <row r="22159" ht="15.75" customHeight="1">
      <c r="A22159" s="2" t="s">
        <v>22159</v>
      </c>
      <c r="B22159" s="2" t="str">
        <f>IFERROR(__xludf.DUMMYFUNCTION("GOOGLETRANSLATE(A22159, ""en"", ""mt"")"),"il-Parlament Ewropew u l-Kunsill tal-Unjoni Ewropea")</f>
        <v>il-Parlament Ewropew u l-Kunsill tal-Unjoni Ewropea</v>
      </c>
    </row>
    <row r="22160" ht="15.75" customHeight="1">
      <c r="A22160" s="2" t="s">
        <v>22160</v>
      </c>
      <c r="B22160" s="2" t="str">
        <f>IFERROR(__xludf.DUMMYFUNCTION("GOOGLETRANSLATE(A22160, ""en"", ""mt"")"),"Minbarra l-Istati Uniti u l-Gran Brittanja x'kien il-pajjiż ewlieni l-ieħor li Tesla kellha l-privattivi?")</f>
        <v>Minbarra l-Istati Uniti u l-Gran Brittanja x'kien il-pajjiż ewlieni l-ieħor li Tesla kellha l-privattivi?</v>
      </c>
    </row>
    <row r="22161" ht="15.75" customHeight="1">
      <c r="A22161" s="2" t="s">
        <v>22161</v>
      </c>
      <c r="B22161" s="2" t="str">
        <f>IFERROR(__xludf.DUMMYFUNCTION("GOOGLETRANSLATE(A22161, ""en"", ""mt"")"),"Frez-Noh")</f>
        <v>Frez-Noh</v>
      </c>
    </row>
    <row r="22162" ht="15.75" customHeight="1">
      <c r="A22162" s="2" t="s">
        <v>22162</v>
      </c>
      <c r="B22162" s="2" t="str">
        <f>IFERROR(__xludf.DUMMYFUNCTION("GOOGLETRANSLATE(A22162, ""en"", ""mt"")"),"Kemm liri ta 'fwar kull kilowatt juża l-magna energiprojekt ab?")</f>
        <v>Kemm liri ta 'fwar kull kilowatt juża l-magna energiprojekt ab?</v>
      </c>
    </row>
    <row r="22163" ht="15.75" customHeight="1">
      <c r="A22163" s="2" t="s">
        <v>22163</v>
      </c>
      <c r="B22163" s="2" t="str">
        <f>IFERROR(__xludf.DUMMYFUNCTION("GOOGLETRANSLATE(A22163, ""en"", ""mt"")"),"Liema bini żamm l-Istitut Milton Friedman?")</f>
        <v>Liema bini żamm l-Istitut Milton Friedman?</v>
      </c>
    </row>
    <row r="22164" ht="15.75" customHeight="1">
      <c r="A22164" s="2" t="s">
        <v>22164</v>
      </c>
      <c r="B22164" s="2" t="str">
        <f>IFERROR(__xludf.DUMMYFUNCTION("GOOGLETRANSLATE(A22164, ""en"", ""mt"")"),"Distrett ta 'Charleston Orange")</f>
        <v>Distrett ta 'Charleston Orange</v>
      </c>
    </row>
    <row r="22165" ht="15.75" customHeight="1">
      <c r="A22165" s="2" t="s">
        <v>22165</v>
      </c>
      <c r="B22165" s="2" t="str">
        <f>IFERROR(__xludf.DUMMYFUNCTION("GOOGLETRANSLATE(A22165, ""en"", ""mt"")"),"Esperimenti fiżiċi tal-pressjoni")</f>
        <v>Esperimenti fiżiċi tal-pressjoni</v>
      </c>
    </row>
    <row r="22166" ht="15.75" customHeight="1">
      <c r="A22166" s="2" t="s">
        <v>22166</v>
      </c>
      <c r="B22166" s="2" t="str">
        <f>IFERROR(__xludf.DUMMYFUNCTION("GOOGLETRANSLATE(A22166, ""en"", ""mt"")"),"Il-laboratorju tiegħu ta 'Triq Houston")</f>
        <v>Il-laboratorju tiegħu ta 'Triq Houston</v>
      </c>
    </row>
    <row r="22167" ht="15.75" customHeight="1">
      <c r="A22167" s="2" t="s">
        <v>22167</v>
      </c>
      <c r="B22167" s="2" t="str">
        <f>IFERROR(__xludf.DUMMYFUNCTION("GOOGLETRANSLATE(A22167, ""en"", ""mt"")"),"L-ebda wieħed mit-trattati oriġinali li jistabbilixxu l-Unjoni Ewropea ma jissemma l-protezzjoni għad-drittijiet fundamentali. Ma kienx previst għal miżuri tal-Unjoni Ewropea, li huma azzjonijiet leġiżlattivi u amministrattivi mill-istituzzjonijiet tal-Un"&amp;"joni Ewropea, li jkunu soġġetti għad-drittijiet tal-bniedem. Dak iż-żmien l-uniku tħassib kien li l-Istati Membri għandhom jiġu evitati milli jiksru d-drittijiet tal-bniedem, u għalhekk it-twaqqif tal-Konvenzjoni Ewropea dwar id-Drittijiet tal-Bniedem fl-"&amp;"1950 u l-istabbiliment tal-Qorti Ewropea tad-Drittijiet tal-Bniedem. Il-Qorti Ewropea tal-Ġustizzja għarfet id-drittijiet fundamentali bħala prinċipju ġenerali tal-liġi tal-Unjoni Ewropea bħala l-ħtieġa li jiġi żgurat li l-miżuri tal-Unjoni Ewropea jkunu "&amp;"kompatibbli mad-drittijiet tal-bniedem minquxa fil-kostituzzjoni tal-Istati Membri saru dejjem aktar evidenti. Fl-1999 il-Kunsill Ewropew waqqaf korp inkarigat bl-abbozzar ta 'Karta Ewropea tad-Drittijiet tal-Bniedem, li jista' jifforma l-bażi kostituzzjo"&amp;"nali għall-Unjoni Ewropea u bħala tali mfassal speċifikament biex japplika għall-Unjoni Ewropea u l-istituzzjonijiet tagħha. Il-Karta tad-Drittijiet Fundamentali tal-Unjoni Ewropea tiġbed lista ta ’drittijiet fundamentali mill-Konvenzjoni Ewropea dwar id-"&amp;"Drittijiet tal-Bniedem u l-Libertajiet Fundamentali, id-Dikjarazzjoni dwar id-Drittijiet Fundamentali prodotti mill-Parlament Ewropew fl-1989 u t-Trattati tal-Unjoni Ewropea.")</f>
        <v>L-ebda wieħed mit-trattati oriġinali li jistabbilixxu l-Unjoni Ewropea ma jissemma l-protezzjoni għad-drittijiet fundamentali. Ma kienx previst għal miżuri tal-Unjoni Ewropea, li huma azzjonijiet leġiżlattivi u amministrattivi mill-istituzzjonijiet tal-Unjoni Ewropea, li jkunu soġġetti għad-drittijiet tal-bniedem. Dak iż-żmien l-uniku tħassib kien li l-Istati Membri għandhom jiġu evitati milli jiksru d-drittijiet tal-bniedem, u għalhekk it-twaqqif tal-Konvenzjoni Ewropea dwar id-Drittijiet tal-Bniedem fl-1950 u l-istabbiliment tal-Qorti Ewropea tad-Drittijiet tal-Bniedem. Il-Qorti Ewropea tal-Ġustizzja għarfet id-drittijiet fundamentali bħala prinċipju ġenerali tal-liġi tal-Unjoni Ewropea bħala l-ħtieġa li jiġi żgurat li l-miżuri tal-Unjoni Ewropea jkunu kompatibbli mad-drittijiet tal-bniedem minquxa fil-kostituzzjoni tal-Istati Membri saru dejjem aktar evidenti. Fl-1999 il-Kunsill Ewropew waqqaf korp inkarigat bl-abbozzar ta 'Karta Ewropea tad-Drittijiet tal-Bniedem, li jista' jifforma l-bażi kostituzzjonali għall-Unjoni Ewropea u bħala tali mfassal speċifikament biex japplika għall-Unjoni Ewropea u l-istituzzjonijiet tagħha. Il-Karta tad-Drittijiet Fundamentali tal-Unjoni Ewropea tiġbed lista ta ’drittijiet fundamentali mill-Konvenzjoni Ewropea dwar id-Drittijiet tal-Bniedem u l-Libertajiet Fundamentali, id-Dikjarazzjoni dwar id-Drittijiet Fundamentali prodotti mill-Parlament Ewropew fl-1989 u t-Trattati tal-Unjoni Ewropea.</v>
      </c>
    </row>
    <row r="22168" ht="15.75" customHeight="1">
      <c r="A22168" s="2" t="s">
        <v>22168</v>
      </c>
      <c r="B22168" s="2" t="str">
        <f>IFERROR(__xludf.DUMMYFUNCTION("GOOGLETRANSLATE(A22168, ""en"", ""mt"")"),"espansjoni")</f>
        <v>espansjoni</v>
      </c>
    </row>
    <row r="22169" ht="15.75" customHeight="1">
      <c r="A22169" s="2" t="s">
        <v>22169</v>
      </c>
      <c r="B22169" s="2" t="str">
        <f>IFERROR(__xludf.DUMMYFUNCTION("GOOGLETRANSLATE(A22169, ""en"", ""mt"")"),"L-ibliet Żvizzeri")</f>
        <v>L-ibliet Żvizzeri</v>
      </c>
    </row>
    <row r="22170" ht="15.75" customHeight="1">
      <c r="A22170" s="2" t="s">
        <v>22170</v>
      </c>
      <c r="B22170" s="2" t="str">
        <f>IFERROR(__xludf.DUMMYFUNCTION("GOOGLETRANSLATE(A22170, ""en"", ""mt"")"),"Frederick W. Mote")</f>
        <v>Frederick W. Mote</v>
      </c>
    </row>
    <row r="22171" ht="15.75" customHeight="1">
      <c r="A22171" s="2" t="s">
        <v>22171</v>
      </c>
      <c r="B22171" s="2" t="str">
        <f>IFERROR(__xludf.DUMMYFUNCTION("GOOGLETRANSLATE(A22171, ""en"", ""mt"")"),"F'liema sena l-ABC issottomettiet liċenzji għal 5 stazzjonijiet tat-televiżjoni?")</f>
        <v>F'liema sena l-ABC issottomettiet liċenzji għal 5 stazzjonijiet tat-televiżjoni?</v>
      </c>
    </row>
    <row r="22172" ht="15.75" customHeight="1">
      <c r="A22172" s="2" t="s">
        <v>22172</v>
      </c>
      <c r="B22172" s="2" t="str">
        <f>IFERROR(__xludf.DUMMYFUNCTION("GOOGLETRANSLATE(A22172, ""en"", ""mt"")"),"L-ewwel elezzjonijiet diretti għall-Kenjani Nattivi għall-Kunsill Leġiżlattiv seħħew fl-1957. Minkejja t-tamiet Ingliżi li tagħti l-poter lil ""moderati"" rivali lokali, kienet l-Unjoni Nazzjonali Afrikana tal-Kenja (Kanu) ta 'Jomo Kenyatta li ffurmat gve"&amp;"rn. Il-Kolonja tal-Kenja u l-Protettorat tal-Kenja ntemmu kull wieħed fit-12 ta 'Diċembru 1963 bl-indipendenza jingħataw lill-Kenja kollha. Ir-Renju Unit ċediet is-sovranità fuq il-kolonja tal-Kenja u, taħt ftehim bid-data tat-8 ta 'Ottubru 1963, is-Sulta"&amp;"n ta' Zanzibar qabel li simultanju mal-indipendenza għall-kolonja tal-Kenja, is-Sultan ma jibqax ikollu sovranità fuq il-protettorat tal-Kenja hekk li dak kollu tal-Kenja jkun stat sovran u indipendenti wieħed. B'dan il-mod, il-Kenja saret pajjiż indipend"&amp;"enti taħt l-Att dwar l-Indipendenza tal-Kenja tal-1963 tar-Renju Unit. Eżattament 12-il xahar wara fit-12 ta 'Diċembru 1964, il-Kenja saret repubblika taħt l-isem ""Repubblika tal-Kenja"".")</f>
        <v>L-ewwel elezzjonijiet diretti għall-Kenjani Nattivi għall-Kunsill Leġiżlattiv seħħew fl-1957. Minkejja t-tamiet Ingliżi li tagħti l-poter lil "moderati" rivali lokali, kienet l-Unjoni Nazzjonali Afrikana tal-Kenja (Kanu) ta 'Jomo Kenyatta li ffurmat gvern. Il-Kolonja tal-Kenja u l-Protettorat tal-Kenja ntemmu kull wieħed fit-12 ta 'Diċembru 1963 bl-indipendenza jingħataw lill-Kenja kollha. Ir-Renju Unit ċediet is-sovranità fuq il-kolonja tal-Kenja u, taħt ftehim bid-data tat-8 ta 'Ottubru 1963, is-Sultan ta' Zanzibar qabel li simultanju mal-indipendenza għall-kolonja tal-Kenja, is-Sultan ma jibqax ikollu sovranità fuq il-protettorat tal-Kenja hekk li dak kollu tal-Kenja jkun stat sovran u indipendenti wieħed. B'dan il-mod, il-Kenja saret pajjiż indipendenti taħt l-Att dwar l-Indipendenza tal-Kenja tal-1963 tar-Renju Unit. Eżattament 12-il xahar wara fit-12 ta 'Diċembru 1964, il-Kenja saret repubblika taħt l-isem "Repubblika tal-Kenja".</v>
      </c>
    </row>
    <row r="22173" ht="15.75" customHeight="1">
      <c r="A22173" s="2" t="s">
        <v>22173</v>
      </c>
      <c r="B22173" s="2" t="str">
        <f>IFERROR(__xludf.DUMMYFUNCTION("GOOGLETRANSLATE(A22173, ""en"", ""mt"")"),"L-Inkurunazzjoni tar-Reġina Eliżabetta II")</f>
        <v>L-Inkurunazzjoni tar-Reġina Eliżabetta II</v>
      </c>
    </row>
    <row r="22174" ht="15.75" customHeight="1">
      <c r="A22174" s="2" t="s">
        <v>22174</v>
      </c>
      <c r="B22174" s="2" t="str">
        <f>IFERROR(__xludf.DUMMYFUNCTION("GOOGLETRANSLATE(A22174, ""en"", ""mt"")"),"osservatur")</f>
        <v>osservatur</v>
      </c>
    </row>
    <row r="22175" ht="15.75" customHeight="1">
      <c r="A22175" s="2" t="s">
        <v>22175</v>
      </c>
      <c r="B22175" s="2" t="str">
        <f>IFERROR(__xludf.DUMMYFUNCTION("GOOGLETRANSLATE(A22175, ""en"", ""mt"")"),"Khagan")</f>
        <v>Khagan</v>
      </c>
    </row>
    <row r="22176" ht="15.75" customHeight="1">
      <c r="A22176" s="2" t="s">
        <v>22176</v>
      </c>
      <c r="B22176" s="2" t="str">
        <f>IFERROR(__xludf.DUMMYFUNCTION("GOOGLETRANSLATE(A22176, ""en"", ""mt"")"),"Fejn tispiċċa r-Rhine?")</f>
        <v>Fejn tispiċċa r-Rhine?</v>
      </c>
    </row>
    <row r="22177" ht="15.75" customHeight="1">
      <c r="A22177" s="2" t="s">
        <v>22177</v>
      </c>
      <c r="B22177" s="2" t="str">
        <f>IFERROR(__xludf.DUMMYFUNCTION("GOOGLETRANSLATE(A22177, ""en"", ""mt"")"),"Luther meta vvjaġġa lejn Mansfeld darbtejn?")</f>
        <v>Luther meta vvjaġġa lejn Mansfeld darbtejn?</v>
      </c>
    </row>
    <row r="22178" ht="15.75" customHeight="1">
      <c r="A22178" s="2" t="s">
        <v>22178</v>
      </c>
      <c r="B22178" s="2" t="str">
        <f>IFERROR(__xludf.DUMMYFUNCTION("GOOGLETRANSLATE(A22178, ""en"", ""mt"")"),"Xi jfittex l-approċċ tal-kapaċitajiet li jħares lejn il-faqar bħala forma ta '?")</f>
        <v>Xi jfittex l-approċċ tal-kapaċitajiet li jħares lejn il-faqar bħala forma ta '?</v>
      </c>
    </row>
    <row r="22179" ht="15.75" customHeight="1">
      <c r="A22179" s="2" t="s">
        <v>22179</v>
      </c>
      <c r="B22179" s="2" t="str">
        <f>IFERROR(__xludf.DUMMYFUNCTION("GOOGLETRANSLATE(A22179, ""en"", ""mt"")"),"X’waqqaf Paul-Louis Simond fl-1898?")</f>
        <v>X’waqqaf Paul-Louis Simond fl-1898?</v>
      </c>
    </row>
    <row r="22180" ht="15.75" customHeight="1">
      <c r="A22180" s="2" t="s">
        <v>22180</v>
      </c>
      <c r="B22180" s="2" t="str">
        <f>IFERROR(__xludf.DUMMYFUNCTION("GOOGLETRANSLATE(A22180, ""en"", ""mt"")"),"Liema tabib kien l-ewwel imsejjaħ bħala ""sigriet tiegħu""?")</f>
        <v>Liema tabib kien l-ewwel imsejjaħ bħala "sigriet tiegħu"?</v>
      </c>
    </row>
    <row r="22181" ht="15.75" customHeight="1">
      <c r="A22181" s="2" t="s">
        <v>22181</v>
      </c>
      <c r="B22181" s="2" t="str">
        <f>IFERROR(__xludf.DUMMYFUNCTION("GOOGLETRANSLATE(A22181, ""en"", ""mt"")"),"L-Eżene f'nofs")</f>
        <v>L-Eżene f'nofs</v>
      </c>
    </row>
    <row r="22182" ht="15.75" customHeight="1">
      <c r="A22182" s="2" t="s">
        <v>22182</v>
      </c>
      <c r="B22182" s="2" t="str">
        <f>IFERROR(__xludf.DUMMYFUNCTION("GOOGLETRANSLATE(A22182, ""en"", ""mt"")"),"Minħabba li l-liġi tan-nazzjonalizzazzjoni kienet mill-1962, u t-trattat kien fis-seħħ mill-1958, Costa ma kellha l-ebda talba")</f>
        <v>Minħabba li l-liġi tan-nazzjonalizzazzjoni kienet mill-1962, u t-trattat kien fis-seħħ mill-1958, Costa ma kellha l-ebda talba</v>
      </c>
    </row>
    <row r="22183" ht="15.75" customHeight="1">
      <c r="A22183" s="2" t="s">
        <v>22183</v>
      </c>
      <c r="B22183" s="2" t="str">
        <f>IFERROR(__xludf.DUMMYFUNCTION("GOOGLETRANSLATE(A22183, ""en"", ""mt"")"),"ABC Entertainment")</f>
        <v>ABC Entertainment</v>
      </c>
    </row>
    <row r="22184" ht="15.75" customHeight="1">
      <c r="A22184" s="2" t="s">
        <v>22184</v>
      </c>
      <c r="B22184" s="2" t="str">
        <f>IFERROR(__xludf.DUMMYFUNCTION("GOOGLETRANSLATE(A22184, ""en"", ""mt"")"),"Finanzjament parzjali")</f>
        <v>Finanzjament parzjali</v>
      </c>
    </row>
    <row r="22185" ht="15.75" customHeight="1">
      <c r="A22185" s="2" t="s">
        <v>22185</v>
      </c>
      <c r="B22185" s="2" t="str">
        <f>IFERROR(__xludf.DUMMYFUNCTION("GOOGLETRANSLATE(A22185, ""en"", ""mt"")"),"Pubbliċità ħażina potenzjali li tdawwar il-kundizzjonijiet fqar li l-inventur stilla preċedenti tagħhom kien qed jgħix taħt")</f>
        <v>Pubbliċità ħażina potenzjali li tdawwar il-kundizzjonijiet fqar li l-inventur stilla preċedenti tagħhom kien qed jgħix taħt</v>
      </c>
    </row>
    <row r="22186" ht="15.75" customHeight="1">
      <c r="A22186" s="2" t="s">
        <v>22186</v>
      </c>
      <c r="B22186" s="2" t="str">
        <f>IFERROR(__xludf.DUMMYFUNCTION("GOOGLETRANSLATE(A22186, ""en"", ""mt"")"),"Wara nofsinhar tat-2 ta 'Mejju.")</f>
        <v>Wara nofsinhar tat-2 ta 'Mejju.</v>
      </c>
    </row>
    <row r="22187" ht="15.75" customHeight="1">
      <c r="A22187" s="2" t="s">
        <v>22187</v>
      </c>
      <c r="B22187" s="2" t="str">
        <f>IFERROR(__xludf.DUMMYFUNCTION("GOOGLETRANSLATE(A22187, ""en"", ""mt"")"),"Fuq liema kwistjonijiet jgħidu l-Istati Membri li l-Qorti tal-Ġustizzja m'għandhiex l-aħħar kelma?")</f>
        <v>Fuq liema kwistjonijiet jgħidu l-Istati Membri li l-Qorti tal-Ġustizzja m'għandhiex l-aħħar kelma?</v>
      </c>
    </row>
    <row r="22188" ht="15.75" customHeight="1">
      <c r="A22188" s="2" t="s">
        <v>22188</v>
      </c>
      <c r="B22188" s="2" t="str">
        <f>IFERROR(__xludf.DUMMYFUNCTION("GOOGLETRANSLATE(A22188, ""en"", ""mt"")"),"X'inhi l-loġika wara l-istrateġija evoluzzjonarja tan-numru Cicadas?")</f>
        <v>X'inhi l-loġika wara l-istrateġija evoluzzjonarja tan-numru Cicadas?</v>
      </c>
    </row>
    <row r="22189" ht="15.75" customHeight="1">
      <c r="A22189" s="2" t="s">
        <v>22189</v>
      </c>
      <c r="B22189" s="2" t="str">
        <f>IFERROR(__xludf.DUMMYFUNCTION("GOOGLETRANSLATE(A22189, ""en"", ""mt"")"),"Aktar minn 1.3 miljun")</f>
        <v>Aktar minn 1.3 miljun</v>
      </c>
    </row>
    <row r="22190" ht="15.75" customHeight="1">
      <c r="A22190" s="2" t="s">
        <v>22190</v>
      </c>
      <c r="B22190" s="2" t="str">
        <f>IFERROR(__xludf.DUMMYFUNCTION("GOOGLETRANSLATE(A22190, ""en"", ""mt"")"),"X'inhuma xi fatturi oħra li l-ispiżjar għandu jimmonitorja?")</f>
        <v>X'inhuma xi fatturi oħra li l-ispiżjar għandu jimmonitorja?</v>
      </c>
    </row>
    <row r="22191" ht="15.75" customHeight="1">
      <c r="A22191" s="2" t="s">
        <v>22191</v>
      </c>
      <c r="B22191" s="2" t="str">
        <f>IFERROR(__xludf.DUMMYFUNCTION("GOOGLETRANSLATE(A22191, ""en"", ""mt"")"),"Ftit biss")</f>
        <v>Ftit biss</v>
      </c>
    </row>
    <row r="22192" ht="15.75" customHeight="1">
      <c r="A22192" s="2" t="s">
        <v>22192</v>
      </c>
      <c r="B22192" s="2" t="str">
        <f>IFERROR(__xludf.DUMMYFUNCTION("GOOGLETRANSLATE(A22192, ""en"", ""mt"")"),"Erba 'Klassijiet (Tip I - IV)")</f>
        <v>Erba 'Klassijiet (Tip I - IV)</v>
      </c>
    </row>
    <row r="22193" ht="15.75" customHeight="1">
      <c r="A22193" s="2" t="s">
        <v>22193</v>
      </c>
      <c r="B22193" s="2" t="str">
        <f>IFERROR(__xludf.DUMMYFUNCTION("GOOGLETRANSLATE(A22193, ""en"", ""mt"")"),"Membrana tal-kloroplast ġewwa")</f>
        <v>Membrana tal-kloroplast ġewwa</v>
      </c>
    </row>
    <row r="22194" ht="15.75" customHeight="1">
      <c r="A22194" s="2" t="s">
        <v>22194</v>
      </c>
      <c r="B22194" s="2" t="str">
        <f>IFERROR(__xludf.DUMMYFUNCTION("GOOGLETRANSLATE(A22194, ""en"", ""mt"")"),"Min hu l-fundatur tal-Armata tas-Salvazzjoni?")</f>
        <v>Min hu l-fundatur tal-Armata tas-Salvazzjoni?</v>
      </c>
    </row>
    <row r="22195" ht="15.75" customHeight="1">
      <c r="A22195" s="2" t="s">
        <v>22195</v>
      </c>
      <c r="B22195" s="2" t="str">
        <f>IFERROR(__xludf.DUMMYFUNCTION("GOOGLETRANSLATE(A22195, ""en"", ""mt"")"),"Liema tip ta 'liġi jagħmel l-istituzzjonijiet tal-UE u l-istati membri tagħha jsegwu l-liġi?")</f>
        <v>Liema tip ta 'liġi jagħmel l-istituzzjonijiet tal-UE u l-istati membri tagħha jsegwu l-liġi?</v>
      </c>
    </row>
    <row r="22196" ht="15.75" customHeight="1">
      <c r="A22196" s="2" t="s">
        <v>22196</v>
      </c>
      <c r="B22196" s="2" t="str">
        <f>IFERROR(__xludf.DUMMYFUNCTION("GOOGLETRANSLATE(A22196, ""en"", ""mt"")"),"F’liema lingwa Marlee Matlin ittradotta l-Innu Nazzjonali?")</f>
        <v>F’liema lingwa Marlee Matlin ittradotta l-Innu Nazzjonali?</v>
      </c>
    </row>
    <row r="22197" ht="15.75" customHeight="1">
      <c r="A22197" s="2" t="s">
        <v>22197</v>
      </c>
      <c r="B22197" s="2" t="str">
        <f>IFERROR(__xludf.DUMMYFUNCTION("GOOGLETRANSLATE(A22197, ""en"", ""mt"")"),"trobbija l-art")</f>
        <v>trobbija l-art</v>
      </c>
    </row>
    <row r="22198" ht="15.75" customHeight="1">
      <c r="A22198" s="2" t="s">
        <v>22198</v>
      </c>
      <c r="B22198" s="2" t="str">
        <f>IFERROR(__xludf.DUMMYFUNCTION("GOOGLETRANSLATE(A22198, ""en"", ""mt"")"),"Ir-reat tal-Panthers, li wassal lill-NFL meta skorja (500 punt), kien mgħobbi bit-talent, li jiftaħar sitt selezzjonijiet Pro Bowl. Il-quarterback ta 'Pro Bowl Cam Newton kellu wieħed mill-aqwa staġuni tiegħu, jitfa' għal 3,837 tarzni u jgħaġġel għal 636,"&amp;" waqt li rrekordja 45 touchdowns totali ta 'karriera għolja u kampjonati (35 li jgħaddu, 10 ġirja), 10 interċezzjonijiet baxxi fil-karriera, u Klassifikazzjoni tal-aqwa quarterback tal-karriera ta '99 .4. Ir-riċevituri ewlenin ta 'Newton kienu tmiem stret"&amp;"t Greg Olsen, li qabad 77 pass fil-karriera għal 1,104 tarzni u seba' touchdowns, u r-riċevitur wiesa 'Ted Ginn, Jr., li qabad 44 pass għal 739 tarzna u 10 touchdowns; Ginn ġrew ukoll għal 60 jarda u rritorna 27 punti għal 277 tarzni. Riċevituri ewlenin o"&amp;"ħra kienu jinkludu l-veteran Jerricho Cotchery (39 riċeviment għal 485 tarzni), Rookie Devin Funchess (31 riċeviment għal 473 tarzni u ħames touchdowns), u r-riċevitur tat-tieni sena Corey Brown (31 riċeviment għal 447 tarzna). Il-backfield tal-Panthers d"&amp;"eher lil Pro Bowl li ġera lura Jonathan Stewart, li mexxa lit-tim b'989 tarzni u sitt touchdowns fi 13-il logħba, flimkien ma 'Pro Bowl fullback Mike Tolbert, li ġrew għal 256 tarzni u qabad 18-il pass għal 154 tarzna oħra. Il-linja offensiva ta 'Carolina"&amp;" kienet tidher ukoll żewġ selezzjonijiet ta' Pro Bowl: Centre Ryan Kalil u Guard Trai Turner.")</f>
        <v>Ir-reat tal-Panthers, li wassal lill-NFL meta skorja (500 punt), kien mgħobbi bit-talent, li jiftaħar sitt selezzjonijiet Pro Bowl. Il-quarterback ta 'Pro Bowl Cam Newton kellu wieħed mill-aqwa staġuni tiegħu, jitfa' għal 3,837 tarzni u jgħaġġel għal 636, waqt li rrekordja 45 touchdowns totali ta 'karriera għolja u kampjonati (35 li jgħaddu, 10 ġirja), 10 interċezzjonijiet baxxi fil-karriera, u Klassifikazzjoni tal-aqwa quarterback tal-karriera ta '99 .4. Ir-riċevituri ewlenin ta 'Newton kienu tmiem strett Greg Olsen, li qabad 77 pass fil-karriera għal 1,104 tarzni u seba' touchdowns, u r-riċevitur wiesa 'Ted Ginn, Jr., li qabad 44 pass għal 739 tarzna u 10 touchdowns; Ginn ġrew ukoll għal 60 jarda u rritorna 27 punti għal 277 tarzni. Riċevituri ewlenin oħra kienu jinkludu l-veteran Jerricho Cotchery (39 riċeviment għal 485 tarzni), Rookie Devin Funchess (31 riċeviment għal 473 tarzni u ħames touchdowns), u r-riċevitur tat-tieni sena Corey Brown (31 riċeviment għal 447 tarzna). Il-backfield tal-Panthers deher lil Pro Bowl li ġera lura Jonathan Stewart, li mexxa lit-tim b'989 tarzni u sitt touchdowns fi 13-il logħba, flimkien ma 'Pro Bowl fullback Mike Tolbert, li ġrew għal 256 tarzni u qabad 18-il pass għal 154 tarzna oħra. Il-linja offensiva ta 'Carolina kienet tidher ukoll żewġ selezzjonijiet ta' Pro Bowl: Centre Ryan Kalil u Guard Trai Turner.</v>
      </c>
    </row>
    <row r="22199" ht="15.75" customHeight="1">
      <c r="A22199" s="2" t="s">
        <v>22199</v>
      </c>
      <c r="B22199" s="2" t="str">
        <f>IFERROR(__xludf.DUMMYFUNCTION("GOOGLETRANSLATE(A22199, ""en"", ""mt"")"),"Rimedji tal-Ħxejjex")</f>
        <v>Rimedji tal-Ħxejjex</v>
      </c>
    </row>
    <row r="22200" ht="15.75" customHeight="1">
      <c r="A22200" s="2" t="s">
        <v>22200</v>
      </c>
      <c r="B22200" s="2" t="str">
        <f>IFERROR(__xludf.DUMMYFUNCTION("GOOGLETRANSLATE(A22200, ""en"", ""mt"")"),"Ċentru ta 'Riċerka Langley tan-NASA")</f>
        <v>Ċentru ta 'Riċerka Langley tan-NASA</v>
      </c>
    </row>
    <row r="22201" ht="15.75" customHeight="1">
      <c r="A22201" s="2" t="s">
        <v>22201</v>
      </c>
      <c r="B22201" s="2" t="str">
        <f>IFERROR(__xludf.DUMMYFUNCTION("GOOGLETRANSLATE(A22201, ""en"", ""mt"")"),"X'jimporta li fil-fatt ikollha li l-mekkanika Newtonjana ma tindirizzax?")</f>
        <v>X'jimporta li fil-fatt ikollha li l-mekkanika Newtonjana ma tindirizzax?</v>
      </c>
    </row>
    <row r="22202" ht="15.75" customHeight="1">
      <c r="A22202" s="2" t="s">
        <v>22202</v>
      </c>
      <c r="B22202" s="2" t="str">
        <f>IFERROR(__xludf.DUMMYFUNCTION("GOOGLETRANSLATE(A22202, ""en"", ""mt"")"),"Id-dħul miż-żejt ma kienx qed jibbenefika l-Iskozja daqs kemm għandhom")</f>
        <v>Id-dħul miż-żejt ma kienx qed jibbenefika l-Iskozja daqs kemm għandhom</v>
      </c>
    </row>
    <row r="22203" ht="15.75" customHeight="1">
      <c r="A22203" s="2" t="s">
        <v>22203</v>
      </c>
      <c r="B22203" s="2" t="str">
        <f>IFERROR(__xludf.DUMMYFUNCTION("GOOGLETRANSLATE(A22203, ""en"", ""mt"")"),"Watt x’għamel il-magna ta ’Newcomen bejn l-1763 u l-1775?")</f>
        <v>Watt x’għamel il-magna ta ’Newcomen bejn l-1763 u l-1775?</v>
      </c>
    </row>
    <row r="22204" ht="15.75" customHeight="1">
      <c r="A22204" s="2" t="s">
        <v>22204</v>
      </c>
      <c r="B22204" s="2" t="str">
        <f>IFERROR(__xludf.DUMMYFUNCTION("GOOGLETRANSLATE(A22204, ""en"", ""mt"")"),"Ko-President ta 'Tar WGI")</f>
        <v>Ko-President ta 'Tar WGI</v>
      </c>
    </row>
    <row r="22205" ht="15.75" customHeight="1">
      <c r="A22205" s="2" t="s">
        <v>22205</v>
      </c>
      <c r="B22205" s="2" t="str">
        <f>IFERROR(__xludf.DUMMYFUNCTION("GOOGLETRANSLATE(A22205, ""en"", ""mt"")"),"Serje tad-Drama")</f>
        <v>Serje tad-Drama</v>
      </c>
    </row>
    <row r="22206" ht="15.75" customHeight="1">
      <c r="A22206" s="2" t="s">
        <v>22206</v>
      </c>
      <c r="B22206" s="2" t="str">
        <f>IFERROR(__xludf.DUMMYFUNCTION("GOOGLETRANSLATE(A22206, ""en"", ""mt"")"),"Iċ-Ċina tan-Nofsinhar")</f>
        <v>Iċ-Ċina tan-Nofsinhar</v>
      </c>
    </row>
    <row r="22207" ht="15.75" customHeight="1">
      <c r="A22207" s="2" t="s">
        <v>22207</v>
      </c>
      <c r="B22207" s="2" t="str">
        <f>IFERROR(__xludf.DUMMYFUNCTION("GOOGLETRANSLATE(A22207, ""en"", ""mt"")"),"Battalja ta 'Bạch ằng")</f>
        <v>Battalja ta 'Bạch ằng</v>
      </c>
    </row>
    <row r="22208" ht="15.75" customHeight="1">
      <c r="A22208" s="2" t="s">
        <v>22208</v>
      </c>
      <c r="B22208" s="2" t="str">
        <f>IFERROR(__xludf.DUMMYFUNCTION("GOOGLETRANSLATE(A22208, ""en"", ""mt"")"),"Immaġni tar-raġġi X.")</f>
        <v>Immaġni tar-raġġi X.</v>
      </c>
    </row>
    <row r="22209" ht="15.75" customHeight="1">
      <c r="A22209" s="2" t="s">
        <v>22209</v>
      </c>
      <c r="B22209" s="2" t="str">
        <f>IFERROR(__xludf.DUMMYFUNCTION("GOOGLETRANSLATE(A22209, ""en"", ""mt"")"),"il-koalizzjoni reliġjuża għall-għażla riproduttiva")</f>
        <v>il-koalizzjoni reliġjuża għall-għażla riproduttiva</v>
      </c>
    </row>
    <row r="22210" ht="15.75" customHeight="1">
      <c r="A22210" s="2" t="s">
        <v>22210</v>
      </c>
      <c r="B22210" s="2" t="str">
        <f>IFERROR(__xludf.DUMMYFUNCTION("GOOGLETRANSLATE(A22210, ""en"", ""mt"")"),"fluss tal-ilma mill-kavità tal-ġisem")</f>
        <v>fluss tal-ilma mill-kavità tal-ġisem</v>
      </c>
    </row>
    <row r="22211" ht="15.75" customHeight="1">
      <c r="A22211" s="2" t="s">
        <v>22211</v>
      </c>
      <c r="B22211" s="2" t="str">
        <f>IFERROR(__xludf.DUMMYFUNCTION("GOOGLETRANSLATE(A22211, ""en"", ""mt"")"),"Min għamel l-għajnuna taż-żieda tal-wan fil-kummerċ?")</f>
        <v>Min għamel l-għajnuna taż-żieda tal-wan fil-kummerċ?</v>
      </c>
    </row>
    <row r="22212" ht="15.75" customHeight="1">
      <c r="A22212" s="2" t="s">
        <v>22212</v>
      </c>
      <c r="B22212" s="2" t="str">
        <f>IFERROR(__xludf.DUMMYFUNCTION("GOOGLETRANSLATE(A22212, ""en"", ""mt"")"),"Jikkonsma ATP u Ossiġenu, jirrilaxxa s-CO2, u ma jipproduċi l-ebda zokkor")</f>
        <v>Jikkonsma ATP u Ossiġenu, jirrilaxxa s-CO2, u ma jipproduċi l-ebda zokkor</v>
      </c>
    </row>
    <row r="22213" ht="15.75" customHeight="1">
      <c r="A22213" s="2" t="s">
        <v>22213</v>
      </c>
      <c r="B22213" s="2" t="str">
        <f>IFERROR(__xludf.DUMMYFUNCTION("GOOGLETRANSLATE(A22213, ""en"", ""mt"")"),"X'kien hemm minoranza sinifikanti ta 'Varsavja?")</f>
        <v>X'kien hemm minoranza sinifikanti ta 'Varsavja?</v>
      </c>
    </row>
    <row r="22214" ht="15.75" customHeight="1">
      <c r="A22214" s="2" t="s">
        <v>22214</v>
      </c>
      <c r="B22214" s="2" t="str">
        <f>IFERROR(__xludf.DUMMYFUNCTION("GOOGLETRANSLATE(A22214, ""en"", ""mt"")"),"Ħafna liturġiji huma derivati ​​minn liema ktieb?")</f>
        <v>Ħafna liturġiji huma derivati ​​minn liema ktieb?</v>
      </c>
    </row>
    <row r="22215" ht="15.75" customHeight="1">
      <c r="A22215" s="2" t="s">
        <v>22215</v>
      </c>
      <c r="B22215" s="2" t="str">
        <f>IFERROR(__xludf.DUMMYFUNCTION("GOOGLETRANSLATE(A22215, ""en"", ""mt"")"),"kwalunkwe distanza terrestri")</f>
        <v>kwalunkwe distanza terrestri</v>
      </c>
    </row>
    <row r="22216" ht="15.75" customHeight="1">
      <c r="A22216" s="2" t="s">
        <v>22216</v>
      </c>
      <c r="B22216" s="2" t="str">
        <f>IFERROR(__xludf.DUMMYFUNCTION("GOOGLETRANSLATE(A22216, ""en"", ""mt"")"),"Meta ġew meqruda ħafna mill-postijiet ta ’qima reliġjuża f’Varsavja?")</f>
        <v>Meta ġew meqruda ħafna mill-postijiet ta ’qima reliġjuża f’Varsavja?</v>
      </c>
    </row>
    <row r="22217" ht="15.75" customHeight="1">
      <c r="A22217" s="2" t="s">
        <v>22217</v>
      </c>
      <c r="B22217" s="2" t="str">
        <f>IFERROR(__xludf.DUMMYFUNCTION("GOOGLETRANSLATE(A22217, ""en"", ""mt"")"),"3 mili")</f>
        <v>3 mili</v>
      </c>
    </row>
    <row r="22218" ht="15.75" customHeight="1">
      <c r="A22218" s="2" t="s">
        <v>22218</v>
      </c>
      <c r="B22218" s="2" t="str">
        <f>IFERROR(__xludf.DUMMYFUNCTION("GOOGLETRANSLATE(A22218, ""en"", ""mt"")"),"F’liema sena ntlaħaq il-ftehim biex ikun laħaq is-saldu tas-Saarland?")</f>
        <v>F’liema sena ntlaħaq il-ftehim biex ikun laħaq is-saldu tas-Saarland?</v>
      </c>
    </row>
    <row r="22219" ht="15.75" customHeight="1">
      <c r="A22219" s="2" t="s">
        <v>22219</v>
      </c>
      <c r="B22219" s="2" t="str">
        <f>IFERROR(__xludf.DUMMYFUNCTION("GOOGLETRANSLATE(A22219, ""en"", ""mt"")"),"Hugues Capet")</f>
        <v>Hugues Capet</v>
      </c>
    </row>
    <row r="22220" ht="15.75" customHeight="1">
      <c r="A22220" s="2" t="s">
        <v>22220</v>
      </c>
      <c r="B22220" s="2" t="str">
        <f>IFERROR(__xludf.DUMMYFUNCTION("GOOGLETRANSLATE(A22220, ""en"", ""mt"")"),"l-internet")</f>
        <v>l-internet</v>
      </c>
    </row>
    <row r="22221" ht="15.75" customHeight="1">
      <c r="A22221" s="2" t="s">
        <v>22221</v>
      </c>
      <c r="B22221" s="2" t="str">
        <f>IFERROR(__xludf.DUMMYFUNCTION("GOOGLETRANSLATE(A22221, ""en"", ""mt"")"),"Spiżeriji tal-Komunità tal-Brick-and-Morther")</f>
        <v>Spiżeriji tal-Komunità tal-Brick-and-Morther</v>
      </c>
    </row>
    <row r="22222" ht="15.75" customHeight="1">
      <c r="A22222" s="2" t="s">
        <v>22222</v>
      </c>
      <c r="B22222" s="2" t="str">
        <f>IFERROR(__xludf.DUMMYFUNCTION("GOOGLETRANSLATE(A22222, ""en"", ""mt"")"),"Thoreau jsemmi liema tip ta 'persuna tista' korrott sistema tal-gvern?")</f>
        <v>Thoreau jsemmi liema tip ta 'persuna tista' korrott sistema tal-gvern?</v>
      </c>
    </row>
    <row r="22223" ht="15.75" customHeight="1">
      <c r="A22223" s="2" t="s">
        <v>22223</v>
      </c>
      <c r="B22223" s="2" t="str">
        <f>IFERROR(__xludf.DUMMYFUNCTION("GOOGLETRANSLATE(A22223, ""en"", ""mt"")"),"L-ebda mod ma jikkontribwixxi")</f>
        <v>L-ebda mod ma jikkontribwixxi</v>
      </c>
    </row>
    <row r="22224" ht="15.75" customHeight="1">
      <c r="A22224" s="2" t="s">
        <v>22224</v>
      </c>
      <c r="B22224" s="2" t="str">
        <f>IFERROR(__xludf.DUMMYFUNCTION("GOOGLETRANSLATE(A22224, ""en"", ""mt"")"),"Fit-tarf oppost minn ħalq")</f>
        <v>Fit-tarf oppost minn ħalq</v>
      </c>
    </row>
    <row r="22225" ht="15.75" customHeight="1">
      <c r="A22225" s="2" t="s">
        <v>22225</v>
      </c>
      <c r="B22225" s="2" t="str">
        <f>IFERROR(__xludf.DUMMYFUNCTION("GOOGLETRANSLATE(A22225, ""en"", ""mt"")"),"Qoxra tal-bokkaport tal-Blokk I tat-Tip tal-Plug")</f>
        <v>Qoxra tal-bokkaport tal-Blokk I tat-Tip tal-Plug</v>
      </c>
    </row>
    <row r="22226" ht="15.75" customHeight="1">
      <c r="A22226" s="2" t="s">
        <v>22226</v>
      </c>
      <c r="B22226" s="2" t="str">
        <f>IFERROR(__xludf.DUMMYFUNCTION("GOOGLETRANSLATE(A22226, ""en"", ""mt"")"),"Thoreau jargumenta li s-soltu r-regoli tal-maġġoranza imma l-opinjonijiet tagħhom kollettivament huma xi kultant?")</f>
        <v>Thoreau jargumenta li s-soltu r-regoli tal-maġġoranza imma l-opinjonijiet tagħhom kollettivament huma xi kultant?</v>
      </c>
    </row>
    <row r="22227" ht="15.75" customHeight="1">
      <c r="A22227" s="2" t="s">
        <v>22227</v>
      </c>
      <c r="B22227" s="2" t="str">
        <f>IFERROR(__xludf.DUMMYFUNCTION("GOOGLETRANSLATE(A22227, ""en"", ""mt"")"),"Min mexxa l-kumitat stabbilit minn Seaman?")</f>
        <v>Min mexxa l-kumitat stabbilit minn Seaman?</v>
      </c>
    </row>
    <row r="22228" ht="15.75" customHeight="1">
      <c r="A22228" s="2" t="s">
        <v>22228</v>
      </c>
      <c r="B22228" s="2" t="str">
        <f>IFERROR(__xludf.DUMMYFUNCTION("GOOGLETRANSLATE(A22228, ""en"", ""mt"")"),"Meta nħarġet id-dikjarazzjoni konġunta dwar it-tibdil fil-klima?")</f>
        <v>Meta nħarġet id-dikjarazzjoni konġunta dwar it-tibdil fil-klima?</v>
      </c>
    </row>
    <row r="22229" ht="15.75" customHeight="1">
      <c r="A22229" s="2" t="s">
        <v>22229</v>
      </c>
      <c r="B22229" s="2" t="str">
        <f>IFERROR(__xludf.DUMMYFUNCTION("GOOGLETRANSLATE(A22229, ""en"", ""mt"")"),"Min normalment jissorvelja xogħol ta 'kostruzzjoni?")</f>
        <v>Min normalment jissorvelja xogħol ta 'kostruzzjoni?</v>
      </c>
    </row>
    <row r="22230" ht="15.75" customHeight="1">
      <c r="A22230" s="2" t="s">
        <v>22230</v>
      </c>
      <c r="B22230" s="2" t="str">
        <f>IFERROR(__xludf.DUMMYFUNCTION("GOOGLETRANSLATE(A22230, ""en"", ""mt"")"),"Owen Jones")</f>
        <v>Owen Jones</v>
      </c>
    </row>
    <row r="22231" ht="15.75" customHeight="1">
      <c r="A22231" s="2" t="s">
        <v>22231</v>
      </c>
      <c r="B22231" s="2" t="str">
        <f>IFERROR(__xludf.DUMMYFUNCTION("GOOGLETRANSLATE(A22231, ""en"", ""mt"")"),"96.26%")</f>
        <v>96.26%</v>
      </c>
    </row>
    <row r="22232" ht="15.75" customHeight="1">
      <c r="A22232" s="2" t="s">
        <v>22232</v>
      </c>
      <c r="B22232" s="2" t="str">
        <f>IFERROR(__xludf.DUMMYFUNCTION("GOOGLETRANSLATE(A22232, ""en"", ""mt"")"),"25 fil-mija tal-flus kollha")</f>
        <v>25 fil-mija tal-flus kollha</v>
      </c>
    </row>
    <row r="22233" ht="15.75" customHeight="1">
      <c r="A22233" s="2" t="s">
        <v>22233</v>
      </c>
      <c r="B22233" s="2" t="str">
        <f>IFERROR(__xludf.DUMMYFUNCTION("GOOGLETRANSLATE(A22233, ""en"", ""mt"")"),"Luther kif wera t-Trinità fil-katekiżmi tiegħu?")</f>
        <v>Luther kif wera t-Trinità fil-katekiżmi tiegħu?</v>
      </c>
    </row>
    <row r="22234" ht="15.75" customHeight="1">
      <c r="A22234" s="2" t="s">
        <v>22234</v>
      </c>
      <c r="B22234" s="2" t="str">
        <f>IFERROR(__xludf.DUMMYFUNCTION("GOOGLETRANSLATE(A22234, ""en"", ""mt"")"),"X’għamel Basset qabel ma wasal għall-konklużjonijiet tiegħu?")</f>
        <v>X’għamel Basset qabel ma wasal għall-konklużjonijiet tiegħu?</v>
      </c>
    </row>
    <row r="22235" ht="15.75" customHeight="1">
      <c r="A22235" s="2" t="s">
        <v>22235</v>
      </c>
      <c r="B22235" s="2" t="str">
        <f>IFERROR(__xludf.DUMMYFUNCTION("GOOGLETRANSLATE(A22235, ""en"", ""mt"")"),"Meta għamlet is-sħubija bejn Tesla, Lane u Vail?")</f>
        <v>Meta għamlet is-sħubija bejn Tesla, Lane u Vail?</v>
      </c>
    </row>
    <row r="22236" ht="15.75" customHeight="1">
      <c r="A22236" s="2" t="s">
        <v>22236</v>
      </c>
      <c r="B22236" s="2" t="str">
        <f>IFERROR(__xludf.DUMMYFUNCTION("GOOGLETRANSLATE(A22236, ""en"", ""mt"")"),"Tnax")</f>
        <v>Tnax</v>
      </c>
    </row>
    <row r="22237" ht="15.75" customHeight="1">
      <c r="A22237" s="2" t="s">
        <v>22237</v>
      </c>
      <c r="B22237" s="2" t="str">
        <f>IFERROR(__xludf.DUMMYFUNCTION("GOOGLETRANSLATE(A22237, ""en"", ""mt"")"),"Kemm l-ewwel downs kellhom il-Panthers fis-Super Bowl 50?")</f>
        <v>Kemm l-ewwel downs kellhom il-Panthers fis-Super Bowl 50?</v>
      </c>
    </row>
    <row r="22238" ht="15.75" customHeight="1">
      <c r="A22238" s="2" t="s">
        <v>22238</v>
      </c>
      <c r="B22238" s="2" t="str">
        <f>IFERROR(__xludf.DUMMYFUNCTION("GOOGLETRANSLATE(A22238, ""en"", ""mt"")"),"X'inhu s-salarju medju tal-kostruzzjoni fir-Renju Unit?")</f>
        <v>X'inhu s-salarju medju tal-kostruzzjoni fir-Renju Unit?</v>
      </c>
    </row>
    <row r="22239" ht="15.75" customHeight="1">
      <c r="A22239" s="2" t="s">
        <v>22239</v>
      </c>
      <c r="B22239" s="2" t="str">
        <f>IFERROR(__xludf.DUMMYFUNCTION("GOOGLETRANSLATE(A22239, ""en"", ""mt"")"),"X'kien it-tul aċċettat tar-Renu qabel l-1932?")</f>
        <v>X'kien it-tul aċċettat tar-Renu qabel l-1932?</v>
      </c>
    </row>
    <row r="22240" ht="15.75" customHeight="1">
      <c r="A22240" s="2" t="s">
        <v>22240</v>
      </c>
      <c r="B22240" s="2" t="str">
        <f>IFERROR(__xludf.DUMMYFUNCTION("GOOGLETRANSLATE(A22240, ""en"", ""mt"")"),"F'liema faċilità tal-università prattikaw il-Panthers?")</f>
        <v>F'liema faċilità tal-università prattikaw il-Panthers?</v>
      </c>
    </row>
    <row r="22241" ht="15.75" customHeight="1">
      <c r="A22241" s="2" t="s">
        <v>22241</v>
      </c>
      <c r="B22241" s="2" t="str">
        <f>IFERROR(__xludf.DUMMYFUNCTION("GOOGLETRANSLATE(A22241, ""en"", ""mt"")"),"Iswed u abjad,")</f>
        <v>Iswed u abjad,</v>
      </c>
    </row>
    <row r="22242" ht="15.75" customHeight="1">
      <c r="A22242" s="2" t="s">
        <v>22242</v>
      </c>
      <c r="B22242" s="2" t="str">
        <f>IFERROR(__xludf.DUMMYFUNCTION("GOOGLETRANSLATE(A22242, ""en"", ""mt"")"),"Ir-rwol tal-mapep tas-seklu dsatax")</f>
        <v>Ir-rwol tal-mapep tas-seklu dsatax</v>
      </c>
    </row>
    <row r="22243" ht="15.75" customHeight="1">
      <c r="A22243" s="2" t="s">
        <v>22243</v>
      </c>
      <c r="B22243" s="2" t="str">
        <f>IFERROR(__xludf.DUMMYFUNCTION("GOOGLETRANSLATE(A22243, ""en"", ""mt"")"),"Kif ġiet immaniġġjata l-iskarsezza f'ħafna pajjiżi?")</f>
        <v>Kif ġiet immaniġġjata l-iskarsezza f'ħafna pajjiżi?</v>
      </c>
    </row>
    <row r="22244" ht="15.75" customHeight="1">
      <c r="A22244" s="2" t="s">
        <v>22244</v>
      </c>
      <c r="B22244" s="2" t="str">
        <f>IFERROR(__xludf.DUMMYFUNCTION("GOOGLETRANSLATE(A22244, ""en"", ""mt"")"),"fl-1851")</f>
        <v>fl-1851</v>
      </c>
    </row>
    <row r="22245" ht="15.75" customHeight="1">
      <c r="A22245" s="2" t="s">
        <v>22245</v>
      </c>
      <c r="B22245" s="2" t="str">
        <f>IFERROR(__xludf.DUMMYFUNCTION("GOOGLETRANSLATE(A22245, ""en"", ""mt"")"),"Waqt li kien qed jinbena l-bini permanenti f'Holyrood, id-dar temporanja tal-Parlament kienet is-Sala tal-Assemblea Ġenerali tal-Knisja ta 'l-Iskozja fuq ir-Royal Mile f'Edinburgu. Ritratti uffiċjali u intervisti televiżivi saru fil-bitħa li tmiss mal-Ass"&amp;"emblea Hall, li hija parti mill-Iskola tad-Divinità tal-Università ta ’Edinburgu. Dan il-bini ġie tbattal darbtejn biex jippermetti l-laqgħa tal-Assemblea Ġenerali tal-Knisja. F'Mejju 2000, il-Parlament ġie rilokat temporanjament għall-Kamra tal-Kunsill R"&amp;"eġjonali ta 'Strathclyde li tiddibatti fi Glasgow, u fl-Università ta' Aberdeen f'Mejju 2002.")</f>
        <v>Waqt li kien qed jinbena l-bini permanenti f'Holyrood, id-dar temporanja tal-Parlament kienet is-Sala tal-Assemblea Ġenerali tal-Knisja ta 'l-Iskozja fuq ir-Royal Mile f'Edinburgu. Ritratti uffiċjali u intervisti televiżivi saru fil-bitħa li tmiss mal-Assemblea Hall, li hija parti mill-Iskola tad-Divinità tal-Università ta ’Edinburgu. Dan il-bini ġie tbattal darbtejn biex jippermetti l-laqgħa tal-Assemblea Ġenerali tal-Knisja. F'Mejju 2000, il-Parlament ġie rilokat temporanjament għall-Kamra tal-Kunsill Reġjonali ta 'Strathclyde li tiddibatti fi Glasgow, u fl-Università ta' Aberdeen f'Mejju 2002.</v>
      </c>
    </row>
    <row r="22246" ht="15.75" customHeight="1">
      <c r="A22246" s="2" t="s">
        <v>22246</v>
      </c>
      <c r="B22246" s="2" t="str">
        <f>IFERROR(__xludf.DUMMYFUNCTION("GOOGLETRANSLATE(A22246, ""en"", ""mt"")"),"rigal")</f>
        <v>rigal</v>
      </c>
    </row>
    <row r="22247" ht="15.75" customHeight="1">
      <c r="A22247" s="2" t="s">
        <v>22247</v>
      </c>
      <c r="B22247" s="2" t="str">
        <f>IFERROR(__xludf.DUMMYFUNCTION("GOOGLETRANSLATE(A22247, ""en"", ""mt"")"),"Valutazzjonijiet iżgħar ta 'problemi speċjali minflok l-approċċ fuq skala kbira")</f>
        <v>Valutazzjonijiet iżgħar ta 'problemi speċjali minflok l-approċċ fuq skala kbira</v>
      </c>
    </row>
    <row r="22248" ht="15.75" customHeight="1">
      <c r="A22248" s="2" t="s">
        <v>22248</v>
      </c>
      <c r="B22248" s="2" t="str">
        <f>IFERROR(__xludf.DUMMYFUNCTION("GOOGLETRANSLATE(A22248, ""en"", ""mt"")"),"Iċ-ċelloli T helper jesprimu riċetturi taċ-ċelluli T (TCR) li jirrikonoxxu l-antiġen marbut ma 'molekuli MHC tal-klassi II. Il-kumpless MHC: antiġen huwa wkoll rikonoxxut mill-ko-riċettur CD4 taċ-ċellula Helper, li jirrekluta molekuli ġewwa ċ-ċellula T (p"&amp;"er eżempju, LCK) li huma responsabbli għall-attivazzjoni taċ-ċellula T. Iċ-ċelloli T helper għandhom assoċjazzjoni aktar dgħajfa mal-MHC: kumpless antiġen milli osservat għal ċelloli T qattiel, li jfisser li ħafna riċetturi (madwar 200-300) fuq iċ-ċellula"&amp;" T helper għandhom ikunu marbuta minn MHC: antiġen sabiex tiġi attivata ċ-ċellula helper, Filwaqt li ċ-ċelloli T qattiel jistgħu jiġu attivati ​​bl-ingaġġ ta 'MHC wieħed: molekula ta' antiġen. L-attivazzjoni taċ-ċelloli T tal-għajnuna teħtieġ ukoll tul ta"&amp;" ’żmien itwal ta’ impenn ma ’ċellula li tippreżenta l-antiġen. L-attivazzjoni ta 'ċellula T ta' l-għajnuna ta 'mistrieħ tikkawża li tirrilaxxa ċitokini li jinfluwenzaw l-attività ta' ħafna tipi ta 'ċelloli. Is-sinjali taċ-ċitokina prodotti minn ċelloli T "&amp;"helper isaħħu l-funzjoni mikrobiċida tal-makrofaġi u l-attività taċ-ċelloli T qattiel. Barra minn hekk, l-attivazzjoni taċ-ċelluli T helper tikkawża regolazzjoni mill-ġdid ta 'molekuli espressi fuq il-wiċċ taċ-ċellula T, bħal ligand CD40 (imsejjaħ ukoll C"&amp;"D154), li jipprovdu sinjali stimulatorji żejda tipikament meħtieġa biex jattivaw ċelloli B li jipproduċu l-antikorpi.")</f>
        <v>Iċ-ċelloli T helper jesprimu riċetturi taċ-ċelluli T (TCR) li jirrikonoxxu l-antiġen marbut ma 'molekuli MHC tal-klassi II. Il-kumpless MHC: antiġen huwa wkoll rikonoxxut mill-ko-riċettur CD4 taċ-ċellula Helper, li jirrekluta molekuli ġewwa ċ-ċellula T (per eżempju, LCK) li huma responsabbli għall-attivazzjoni taċ-ċellula T. Iċ-ċelloli T helper għandhom assoċjazzjoni aktar dgħajfa mal-MHC: kumpless antiġen milli osservat għal ċelloli T qattiel, li jfisser li ħafna riċetturi (madwar 200-300) fuq iċ-ċellula T helper għandhom ikunu marbuta minn MHC: antiġen sabiex tiġi attivata ċ-ċellula helper, Filwaqt li ċ-ċelloli T qattiel jistgħu jiġu attivati ​​bl-ingaġġ ta 'MHC wieħed: molekula ta' antiġen. L-attivazzjoni taċ-ċelloli T tal-għajnuna teħtieġ ukoll tul ta ’żmien itwal ta’ impenn ma ’ċellula li tippreżenta l-antiġen. L-attivazzjoni ta 'ċellula T ta' l-għajnuna ta 'mistrieħ tikkawża li tirrilaxxa ċitokini li jinfluwenzaw l-attività ta' ħafna tipi ta 'ċelloli. Is-sinjali taċ-ċitokina prodotti minn ċelloli T helper isaħħu l-funzjoni mikrobiċida tal-makrofaġi u l-attività taċ-ċelloli T qattiel. Barra minn hekk, l-attivazzjoni taċ-ċelluli T helper tikkawża regolazzjoni mill-ġdid ta 'molekuli espressi fuq il-wiċċ taċ-ċellula T, bħal ligand CD40 (imsejjaħ ukoll CD154), li jipprovdu sinjali stimulatorji żejda tipikament meħtieġa biex jattivaw ċelloli B li jipproduċu l-antikorpi.</v>
      </c>
    </row>
    <row r="22249" ht="15.75" customHeight="1">
      <c r="A22249" s="2" t="s">
        <v>22249</v>
      </c>
      <c r="B22249" s="2" t="str">
        <f>IFERROR(__xludf.DUMMYFUNCTION("GOOGLETRANSLATE(A22249, ""en"", ""mt"")"),"L-Iżlamisti ġew biex jiddominaw kompletament l-għaqdiet ta ’studenti universitarji")</f>
        <v>L-Iżlamisti ġew biex jiddominaw kompletament l-għaqdiet ta ’studenti universitarji</v>
      </c>
    </row>
    <row r="22250" ht="15.75" customHeight="1">
      <c r="A22250" s="2" t="s">
        <v>22250</v>
      </c>
      <c r="B22250" s="2" t="str">
        <f>IFERROR(__xludf.DUMMYFUNCTION("GOOGLETRANSLATE(A22250, ""en"", ""mt"")"),"Min iddisinja l-faċċata ewlenija li tinfirex tul il-Ġonna ta 'Cromwell?")</f>
        <v>Min iddisinja l-faċċata ewlenija li tinfirex tul il-Ġonna ta 'Cromwell?</v>
      </c>
    </row>
    <row r="22251" ht="15.75" customHeight="1">
      <c r="A22251" s="2" t="s">
        <v>22251</v>
      </c>
      <c r="B22251" s="2" t="str">
        <f>IFERROR(__xludf.DUMMYFUNCTION("GOOGLETRANSLATE(A22251, ""en"", ""mt"")"),"Bħala mezz biex tgħin l-iżvilupp edukattiv u ekonomiku tal-istat")</f>
        <v>Bħala mezz biex tgħin l-iżvilupp edukattiv u ekonomiku tal-istat</v>
      </c>
    </row>
    <row r="22252" ht="15.75" customHeight="1">
      <c r="A22252" s="2" t="s">
        <v>22252</v>
      </c>
      <c r="B22252" s="2" t="str">
        <f>IFERROR(__xludf.DUMMYFUNCTION("GOOGLETRANSLATE(A22252, ""en"", ""mt"")"),"promozzjoni turistika")</f>
        <v>promozzjoni turistika</v>
      </c>
    </row>
    <row r="22253" ht="15.75" customHeight="1">
      <c r="A22253" s="2" t="s">
        <v>22253</v>
      </c>
      <c r="B22253" s="2" t="str">
        <f>IFERROR(__xludf.DUMMYFUNCTION("GOOGLETRANSLATE(A22253, ""en"", ""mt"")"),"Min hu t-traduttur Ingliż ta 'dan l-innu?")</f>
        <v>Min hu t-traduttur Ingliż ta 'dan l-innu?</v>
      </c>
    </row>
    <row r="22254" ht="15.75" customHeight="1">
      <c r="A22254" s="2" t="s">
        <v>22254</v>
      </c>
      <c r="B22254" s="2" t="str">
        <f>IFERROR(__xludf.DUMMYFUNCTION("GOOGLETRANSLATE(A22254, ""en"", ""mt"")"),"Minn liema proġett kien jikkonsisti kompletament l-ekwipaġġ Apollo 11?")</f>
        <v>Minn liema proġett kien jikkonsisti kompletament l-ekwipaġġ Apollo 11?</v>
      </c>
    </row>
    <row r="22255" ht="15.75" customHeight="1">
      <c r="A22255" s="2" t="s">
        <v>22255</v>
      </c>
      <c r="B22255" s="2" t="str">
        <f>IFERROR(__xludf.DUMMYFUNCTION("GOOGLETRANSLATE(A22255, ""en"", ""mt"")"),"F’Lulju 1977, il-Ġeneral Zia-ul-Haq waqqa ’r-reġim tal-Prim Ministru Zulfiqar Ali Bhutto fil-Pakistan. Ali Bhutto, xellug f'kompetizzjoni demokratika ma 'l-Iżlamisti, ħabbar li jipprojbixxi l-alkoħol u l-nightclubs fi żmien sitt xhur, ftit qabel ma ġie mw"&amp;"aqqa'. Zia-ul-Haq kien ferm iktar impenjat għall-Iżlamiżmu, u ""l-Iżlamizzazzjoni"" jew l-implimentazzjoni tal-liġi Iżlamika, sar pedament tad-dittatorjat militari tiegħu ta 'ħdax-il sena u l-Iżlamiżmu sar ""ideoloġija uffiċjali tal-istat"" tiegħu. Zia ul"&amp;" Haq kien ammiratur tal-partit Mawdudi u Mawdudi Jamaat-e-Islami sar ""id-driegħ ideoloġiku u politiku tar-reġim"". Fil-Pakistan din l-Iżlamizzazzjoni minn fuq kienet ""probabbilment"" kompluta ""milli taħt kwalunkwe reġim ieħor ħlief dawk fl-Iran u s-Sud"&amp;"an,"" iżda Zia-ul-Haq ġie kkritikat ukoll minn ħafna Iżlamisti talli imponew ""simboli"" aktar milli sustanza, u jużaw l-Iżlamizzazzjoni biex leġittimizza l-mezzi tiegħu biex jaħtaf il-poter. B'differenza mill-Iran ġirien, il-politiki ta 'Zia-ul-Haq kienu"&amp;" maħsuba biex ""jevitaw eċċess rivoluzzjonarju"", u mhux biex iwaqqfu r-relazzjonijiet mal-alleati tiegħu tal-Istat tal-Golf Amerikan u Persjan tiegħu. Zia-ul-Haq inqatel fl-1988 iżda l-Iżlamizzazzjoni tibqa 'element importanti fis-soċjetà Pakistana.")</f>
        <v>F’Lulju 1977, il-Ġeneral Zia-ul-Haq waqqa ’r-reġim tal-Prim Ministru Zulfiqar Ali Bhutto fil-Pakistan. Ali Bhutto, xellug f'kompetizzjoni demokratika ma 'l-Iżlamisti, ħabbar li jipprojbixxi l-alkoħol u l-nightclubs fi żmien sitt xhur, ftit qabel ma ġie mwaqqa'. Zia-ul-Haq kien ferm iktar impenjat għall-Iżlamiżmu, u "l-Iżlamizzazzjoni" jew l-implimentazzjoni tal-liġi Iżlamika, sar pedament tad-dittatorjat militari tiegħu ta 'ħdax-il sena u l-Iżlamiżmu sar "ideoloġija uffiċjali tal-istat" tiegħu. Zia ul Haq kien ammiratur tal-partit Mawdudi u Mawdudi Jamaat-e-Islami sar "id-driegħ ideoloġiku u politiku tar-reġim". Fil-Pakistan din l-Iżlamizzazzjoni minn fuq kienet "probabbilment" kompluta "milli taħt kwalunkwe reġim ieħor ħlief dawk fl-Iran u s-Sudan," iżda Zia-ul-Haq ġie kkritikat ukoll minn ħafna Iżlamisti talli imponew "simboli" aktar milli sustanza, u jużaw l-Iżlamizzazzjoni biex leġittimizza l-mezzi tiegħu biex jaħtaf il-poter. B'differenza mill-Iran ġirien, il-politiki ta 'Zia-ul-Haq kienu maħsuba biex "jevitaw eċċess rivoluzzjonarju", u mhux biex iwaqqfu r-relazzjonijiet mal-alleati tiegħu tal-Istat tal-Golf Amerikan u Persjan tiegħu. Zia-ul-Haq inqatel fl-1988 iżda l-Iżlamizzazzjoni tibqa 'element importanti fis-soċjetà Pakistana.</v>
      </c>
    </row>
    <row r="22256" ht="15.75" customHeight="1">
      <c r="A22256" s="2" t="s">
        <v>22256</v>
      </c>
      <c r="B22256" s="2" t="str">
        <f>IFERROR(__xludf.DUMMYFUNCTION("GOOGLETRANSLATE(A22256, ""en"", ""mt"")"),"X’għamlet il-partikula lil Tesla?")</f>
        <v>X’għamlet il-partikula lil Tesla?</v>
      </c>
    </row>
    <row r="22257" ht="15.75" customHeight="1">
      <c r="A22257" s="2" t="s">
        <v>22257</v>
      </c>
      <c r="B22257" s="2" t="str">
        <f>IFERROR(__xludf.DUMMYFUNCTION("GOOGLETRANSLATE(A22257, ""en"", ""mt"")"),"David Axelrod")</f>
        <v>David Axelrod</v>
      </c>
    </row>
    <row r="22258" ht="15.75" customHeight="1">
      <c r="A22258" s="2" t="s">
        <v>22258</v>
      </c>
      <c r="B22258" s="2" t="str">
        <f>IFERROR(__xludf.DUMMYFUNCTION("GOOGLETRANSLATE(A22258, ""en"", ""mt"")"),"1350")</f>
        <v>1350</v>
      </c>
    </row>
    <row r="22259" ht="15.75" customHeight="1">
      <c r="A22259" s="2" t="s">
        <v>22259</v>
      </c>
      <c r="B22259" s="2" t="str">
        <f>IFERROR(__xludf.DUMMYFUNCTION("GOOGLETRANSLATE(A22259, ""en"", ""mt"")"),"Is-Soċjetà Letterarja u Filosofika ta 'Newcastle upon Tyne (magħrufa popolarment bħala' Lit &amp; Phil ') hija l-ikbar librerija indipendenti barra minn Londra, li tospita aktar minn 150,000 kotba. Il-librerija tal-mużika tagħha fiha 8000 CDs u 10,000 LPS. Il"&amp;"-bini attwali mixgħul u Phil inbena fl-1825 u l-bini kien iddisinjat minn John u Benjamin Green. Jopera mill-1793 u mwaqqaf bħala ""klabb ta 'konversazzjoni"", it-teatru tat-taħdita tiegħu kien l-ewwel bini pubbliku li kien mixgħul bid-dawl elettriku, waq"&amp;"t taħdita minn Joseph Swan fl-20 ta' Ottubru 1880.")</f>
        <v>Is-Soċjetà Letterarja u Filosofika ta 'Newcastle upon Tyne (magħrufa popolarment bħala' Lit &amp; Phil ') hija l-ikbar librerija indipendenti barra minn Londra, li tospita aktar minn 150,000 kotba. Il-librerija tal-mużika tagħha fiha 8000 CDs u 10,000 LPS. Il-bini attwali mixgħul u Phil inbena fl-1825 u l-bini kien iddisinjat minn John u Benjamin Green. Jopera mill-1793 u mwaqqaf bħala "klabb ta 'konversazzjoni", it-teatru tat-taħdita tiegħu kien l-ewwel bini pubbliku li kien mixgħul bid-dawl elettriku, waqt taħdita minn Joseph Swan fl-20 ta' Ottubru 1880.</v>
      </c>
    </row>
    <row r="22260" ht="15.75" customHeight="1">
      <c r="A22260" s="2" t="s">
        <v>22260</v>
      </c>
      <c r="B22260" s="2" t="str">
        <f>IFERROR(__xludf.DUMMYFUNCTION("GOOGLETRANSLATE(A22260, ""en"", ""mt"")"),"Korruzzjoni tas-settur pubbliku")</f>
        <v>Korruzzjoni tas-settur pubbliku</v>
      </c>
    </row>
    <row r="22261" ht="15.75" customHeight="1">
      <c r="A22261" s="2" t="s">
        <v>22261</v>
      </c>
      <c r="B22261" s="2" t="str">
        <f>IFERROR(__xludf.DUMMYFUNCTION("GOOGLETRANSLATE(A22261, ""en"", ""mt"")"),"X'kienet is-soluzzjoni proposta għall-kwistjonijiet tat-taxxa ta 'Jacksonville?")</f>
        <v>X'kienet is-soluzzjoni proposta għall-kwistjonijiet tat-taxxa ta 'Jacksonville?</v>
      </c>
    </row>
    <row r="22262" ht="15.75" customHeight="1">
      <c r="A22262" s="2" t="s">
        <v>22262</v>
      </c>
      <c r="B22262" s="2" t="str">
        <f>IFERROR(__xludf.DUMMYFUNCTION("GOOGLETRANSLATE(A22262, ""en"", ""mt"")"),"Meta bdiet l-aħħar glaċjali?")</f>
        <v>Meta bdiet l-aħħar glaċjali?</v>
      </c>
    </row>
    <row r="22263" ht="15.75" customHeight="1">
      <c r="A22263" s="2" t="s">
        <v>22263</v>
      </c>
      <c r="B22263" s="2" t="str">
        <f>IFERROR(__xludf.DUMMYFUNCTION("GOOGLETRANSLATE(A22263, ""en"", ""mt"")"),"X'inhi l-membrana doppja tal-kloroplast kultant meta mqabbla ma '?")</f>
        <v>X'inhi l-membrana doppja tal-kloroplast kultant meta mqabbla ma '?</v>
      </c>
    </row>
    <row r="22264" ht="15.75" customHeight="1">
      <c r="A22264" s="2" t="s">
        <v>22264</v>
      </c>
      <c r="B22264" s="2" t="str">
        <f>IFERROR(__xludf.DUMMYFUNCTION("GOOGLETRANSLATE(A22264, ""en"", ""mt"")"),"Spazju tat-tilakoid")</f>
        <v>Spazju tat-tilakoid</v>
      </c>
    </row>
    <row r="22265" ht="15.75" customHeight="1">
      <c r="A22265" s="2" t="s">
        <v>22265</v>
      </c>
      <c r="B22265" s="2" t="str">
        <f>IFERROR(__xludf.DUMMYFUNCTION("GOOGLETRANSLATE(A22265, ""en"", ""mt"")"),"riżultat tar-rivoluzzjoni Amerikana")</f>
        <v>riżultat tar-rivoluzzjoni Amerikana</v>
      </c>
    </row>
    <row r="22266" ht="15.75" customHeight="1">
      <c r="A22266" s="2" t="s">
        <v>22266</v>
      </c>
      <c r="B22266" s="2" t="str">
        <f>IFERROR(__xludf.DUMMYFUNCTION("GOOGLETRANSLATE(A22266, ""en"", ""mt"")"),"Fl-1857 John Sheepshanks ta donazzjoni ta '233 pittura, prinċipalment minn artisti Brittaniċi kontemporanji, u numru simili ta' tpinġijiet għall-mużew bl-intenzjoni li jiffurmaw 'gallerija nazzjonali tal-arti Ingliża', rwol minn meta ttieħed minn Tate Bri"&amp;"ttanja; Artisti rappreżentati huma William Blake, James Barry, Henry Fuseli, Sir Edwin Henry Landseer, Sir David Wilkie, William Mulready, William Powell Frith, Millais u Hippolyte Delaroche. Għalkemm uħud mix-xogħlijiet tal-Kuntistabbli waslu għall-mużew"&amp;" bil-bequest tan-nagħaġ, il-biċċa l-kbira tax-xogħlijiet tal-artist ġew mogħtija minn bintu Isabel fl-1888, inkluż in-numru kbir ta 'skeċċijiet fiż-żejt, l-iktar sinifikanti huwa l-iskeċċ taż-żejt ta' daqs sħiħ tal-1821 għall-1821 Hay Wain. Artisti oħra b"&amp;"'xogħlijiet fil-kollezzjoni jinkludu: Bernardino Fungai, Marcus Gheeraerts The Young, Domenico di Pace Beccafumi, Fioravante Ferramola, Jan Brueghel The Elder, Anthony Van Dyck, Ludovico Carracci, Antonio Verrio, Giovanni Batsta Tiepolo, Domenico TiepoLo,"&amp;" Canalalalo, Frank Hayman, Pompeo Batoni, Benjamin West, Paul Sandby, Richard Wilson, William Etty, Henry Fuseli, Sir Thomas Lawrence, James Barry, Francis Danby, Richard Parkes Bonington u Alphonse Legros.")</f>
        <v>Fl-1857 John Sheepshanks ta donazzjoni ta '233 pittura, prinċipalment minn artisti Brittaniċi kontemporanji, u numru simili ta' tpinġijiet għall-mużew bl-intenzjoni li jiffurmaw 'gallerija nazzjonali tal-arti Ingliża', rwol minn meta ttieħed minn Tate Brittanja; Artisti rappreżentati huma William Blake, James Barry, Henry Fuseli, Sir Edwin Henry Landseer, Sir David Wilkie, William Mulready, William Powell Frith, Millais u Hippolyte Delaroche. Għalkemm uħud mix-xogħlijiet tal-Kuntistabbli waslu għall-mużew bil-bequest tan-nagħaġ, il-biċċa l-kbira tax-xogħlijiet tal-artist ġew mogħtija minn bintu Isabel fl-1888, inkluż in-numru kbir ta 'skeċċijiet fiż-żejt, l-iktar sinifikanti huwa l-iskeċċ taż-żejt ta' daqs sħiħ tal-1821 għall-1821 Hay Wain. Artisti oħra b'xogħlijiet fil-kollezzjoni jinkludu: Bernardino Fungai, Marcus Gheeraerts The Young, Domenico di Pace Beccafumi, Fioravante Ferramola, Jan Brueghel The Elder, Anthony Van Dyck, Ludovico Carracci, Antonio Verrio, Giovanni Batsta Tiepolo, Domenico TiepoLo, Canalalalo, Frank Hayman, Pompeo Batoni, Benjamin West, Paul Sandby, Richard Wilson, William Etty, Henry Fuseli, Sir Thomas Lawrence, James Barry, Francis Danby, Richard Parkes Bonington u Alphonse Legros.</v>
      </c>
    </row>
    <row r="22267" ht="15.75" customHeight="1">
      <c r="A22267" s="2" t="s">
        <v>22267</v>
      </c>
      <c r="B22267" s="2" t="str">
        <f>IFERROR(__xludf.DUMMYFUNCTION("GOOGLETRANSLATE(A22267, ""en"", ""mt"")"),"Għaliex l-iskrittura Dalek ġiet miċħuda għall-ewwel?")</f>
        <v>Għaliex l-iskrittura Dalek ġiet miċħuda għall-ewwel?</v>
      </c>
    </row>
    <row r="22268" ht="15.75" customHeight="1">
      <c r="A22268" s="2" t="s">
        <v>22268</v>
      </c>
      <c r="B22268" s="2" t="str">
        <f>IFERROR(__xludf.DUMMYFUNCTION("GOOGLETRANSLATE(A22268, ""en"", ""mt"")"),"It-traduzzjoni ta 'Luther użat il-varjant tal-Ġermaniż mitkellem fil-Kanċellerija tas-Sassonu, li jinftiehem kemm għall-Ġermaniżi tat-Tramuntana kif ukoll tan-Nofsinhar. Huwa maħsub il-lingwaġġ qawwi u dirett tiegħu biex jagħmel il-Bibbja aċċessibbli għal"&amp;"l-Ġermaniżi ta 'kuljum, ""għax qed ineħħu impedimenti u diffikultajiet sabiex nies oħra jkunu jistgħu jaqrawha mingħajr tfixkil.""")</f>
        <v>It-traduzzjoni ta 'Luther użat il-varjant tal-Ġermaniż mitkellem fil-Kanċellerija tas-Sassonu, li jinftiehem kemm għall-Ġermaniżi tat-Tramuntana kif ukoll tan-Nofsinhar. Huwa maħsub il-lingwaġġ qawwi u dirett tiegħu biex jagħmel il-Bibbja aċċessibbli għall-Ġermaniżi ta 'kuljum, "għax qed ineħħu impedimenti u diffikultajiet sabiex nies oħra jkunu jistgħu jaqrawha mingħajr tfixkil."</v>
      </c>
    </row>
    <row r="22269" ht="15.75" customHeight="1">
      <c r="A22269" s="2" t="s">
        <v>22269</v>
      </c>
      <c r="B22269" s="2" t="str">
        <f>IFERROR(__xludf.DUMMYFUNCTION("GOOGLETRANSLATE(A22269, ""en"", ""mt"")"),"Il-mistoqsija tal-Lothian tal-Punent")</f>
        <v>Il-mistoqsija tal-Lothian tal-Punent</v>
      </c>
    </row>
    <row r="22270" ht="15.75" customHeight="1">
      <c r="A22270" s="2" t="s">
        <v>22270</v>
      </c>
      <c r="B22270" s="2" t="str">
        <f>IFERROR(__xludf.DUMMYFUNCTION("GOOGLETRANSLATE(A22270, ""en"", ""mt"")"),"L-unitajiet tal-blat isiru eħxen u jitqassru meta jitpoġġew taħt dan it-tip ta 'kompressjoni.")</f>
        <v>L-unitajiet tal-blat isiru eħxen u jitqassru meta jitpoġġew taħt dan it-tip ta 'kompressjoni.</v>
      </c>
    </row>
    <row r="22271" ht="15.75" customHeight="1">
      <c r="A22271" s="2" t="s">
        <v>22271</v>
      </c>
      <c r="B22271" s="2" t="str">
        <f>IFERROR(__xludf.DUMMYFUNCTION("GOOGLETRANSLATE(A22271, ""en"", ""mt"")"),"41,004")</f>
        <v>41,004</v>
      </c>
    </row>
    <row r="22272" ht="15.75" customHeight="1">
      <c r="A22272" s="2" t="s">
        <v>22272</v>
      </c>
      <c r="B22272" s="2" t="str">
        <f>IFERROR(__xludf.DUMMYFUNCTION("GOOGLETRANSLATE(A22272, ""en"", ""mt"")"),"Magna tat-Turing mhux deterministika għandha l-abbiltà li taqbad liema aspett ta 'analiżi utli?")</f>
        <v>Magna tat-Turing mhux deterministika għandha l-abbiltà li taqbad liema aspett ta 'analiżi utli?</v>
      </c>
    </row>
    <row r="22273" ht="15.75" customHeight="1">
      <c r="A22273" s="2" t="s">
        <v>22273</v>
      </c>
      <c r="B22273" s="2" t="str">
        <f>IFERROR(__xludf.DUMMYFUNCTION("GOOGLETRANSLATE(A22273, ""en"", ""mt"")"),"1314")</f>
        <v>1314</v>
      </c>
    </row>
    <row r="22274" ht="15.75" customHeight="1">
      <c r="A22274" s="2" t="s">
        <v>22274</v>
      </c>
      <c r="B22274" s="2" t="str">
        <f>IFERROR(__xludf.DUMMYFUNCTION("GOOGLETRANSLATE(A22274, ""en"", ""mt"")"),"Esponenzjazzjoni modulari")</f>
        <v>Esponenzjazzjoni modulari</v>
      </c>
    </row>
    <row r="22275" ht="15.75" customHeight="1">
      <c r="A22275" s="2" t="s">
        <v>22275</v>
      </c>
      <c r="B22275" s="2" t="str">
        <f>IFERROR(__xludf.DUMMYFUNCTION("GOOGLETRANSLATE(A22275, ""en"", ""mt"")"),"Kunsill tat-Tagħlim")</f>
        <v>Kunsill tat-Tagħlim</v>
      </c>
    </row>
    <row r="22276" ht="15.75" customHeight="1">
      <c r="A22276" s="2" t="s">
        <v>22276</v>
      </c>
      <c r="B22276" s="2" t="str">
        <f>IFERROR(__xludf.DUMMYFUNCTION("GOOGLETRANSLATE(A22276, ""en"", ""mt"")"),"390")</f>
        <v>390</v>
      </c>
    </row>
    <row r="22277" ht="15.75" customHeight="1">
      <c r="A22277" s="2" t="s">
        <v>22277</v>
      </c>
      <c r="B22277" s="2" t="str">
        <f>IFERROR(__xludf.DUMMYFUNCTION("GOOGLETRANSLATE(A22277, ""en"", ""mt"")"),"rivoluzzjoni")</f>
        <v>rivoluzzjoni</v>
      </c>
    </row>
    <row r="22278" ht="15.75" customHeight="1">
      <c r="A22278" s="2" t="s">
        <v>22278</v>
      </c>
      <c r="B22278" s="2" t="str">
        <f>IFERROR(__xludf.DUMMYFUNCTION("GOOGLETRANSLATE(A22278, ""en"", ""mt"")"),"formali")</f>
        <v>formali</v>
      </c>
    </row>
    <row r="22279" ht="15.75" customHeight="1">
      <c r="A22279" s="2" t="s">
        <v>22279</v>
      </c>
      <c r="B22279" s="2" t="str">
        <f>IFERROR(__xludf.DUMMYFUNCTION("GOOGLETRANSLATE(A22279, ""en"", ""mt"")"),"lejl")</f>
        <v>lejl</v>
      </c>
    </row>
    <row r="22280" ht="15.75" customHeight="1">
      <c r="A22280" s="2" t="s">
        <v>22280</v>
      </c>
      <c r="B22280" s="2" t="str">
        <f>IFERROR(__xludf.DUMMYFUNCTION("GOOGLETRANSLATE(A22280, ""en"", ""mt"")"),"Meta kien l-aħħar massimu glaċjali?")</f>
        <v>Meta kien l-aħħar massimu glaċjali?</v>
      </c>
    </row>
    <row r="22281" ht="15.75" customHeight="1">
      <c r="A22281" s="2" t="s">
        <v>22281</v>
      </c>
      <c r="B22281" s="2" t="str">
        <f>IFERROR(__xludf.DUMMYFUNCTION("GOOGLETRANSLATE(A22281, ""en"", ""mt"")"),"dwar il-vjolenza, id-degradazzjoni, l-isfruttament, u l-isforz """)</f>
        <v>dwar il-vjolenza, id-degradazzjoni, l-isfruttament, u l-isforz "</v>
      </c>
    </row>
    <row r="22282" ht="15.75" customHeight="1">
      <c r="A22282" s="2" t="s">
        <v>22282</v>
      </c>
      <c r="B22282" s="2" t="str">
        <f>IFERROR(__xludf.DUMMYFUNCTION("GOOGLETRANSLATE(A22282, ""en"", ""mt"")"),"Fl-1875, Tesla rreġistrat fil-Politeknika Awstrijaka f'Graz, l-Awstrija, fuq borża ta 'fruntiera militari. Matul l-ewwel sena tiegħu, Tesla qatt ma falla taħdita, kiseb l-ogħla gradi possibbli, għadda disa 'eżamijiet (kważi d-doppju tal-bżonn), beda klabb"&amp;" tal-kultura Serb, u saħansitra rċieva ittra ta' tifħir mingħand id-dekan tal-fakultà teknika lil tiegħu Missier, li ddikjara, ""Ibnek huwa stilla tal-ewwel grad."" Tesla sostniet li ħadem mit-3 a.m. sal-11 p.m., l-ebda Ħdud jew vaganzi ħlief. Huwa kien "&amp;"""mortifikat meta [missieru] għamel dawl ta '[dawk] hard rebaħ unuri."" Wara l-mewt ta 'missieru fl-1879, Tesla sabet pakkett ta' ittri mill-professuri tiegħu lil missieru, li wissa li sakemm ma jitneħħax mill-iskola, Tesla kienet tinqatel permezz ta 'xog"&amp;"ħol żejjed. Matul it-tieni sena tiegħu, Tesla daħal f'kunflitt mal-Professur Poeschl fuq il-Gramme Dynamo, meta Tesla ssuġġeriet li l-kommutaturi ma kinux meħtieġa. Fi tmiem it-tieni sena tiegħu, Tesla tilfet il-borża ta ’studju tiegħu u saret dipendenti "&amp;"fuq il-logħob tal-ażżard. Matul it-tielet sena tiegħu, Tesla lagħab l-allowance tiegħu u l-flus tat-tagħlim tiegħu, wara l-logħob lura t-telf inizjali tiegħu u rritorna l-bilanċ lill-familja tiegħu. Tesla qal li hu ""ħakem [il-passjoni] tiegħu allura u he"&amp;"mm,"" iżda aktar tard kien magħruf li jilgħab il-biljard fl-Istati Uniti. Meta wasal il-ħin tal-eżami, Tesla ma kinitx ippreparata u talbet estensjoni biex tistudja, iżda ġiet miċħuda. Hu qatt ma ggradwa mill-università u ma rċieva gradi għall-aħħar semes"&amp;"tru.")</f>
        <v>Fl-1875, Tesla rreġistrat fil-Politeknika Awstrijaka f'Graz, l-Awstrija, fuq borża ta 'fruntiera militari. Matul l-ewwel sena tiegħu, Tesla qatt ma falla taħdita, kiseb l-ogħla gradi possibbli, għadda disa 'eżamijiet (kważi d-doppju tal-bżonn), beda klabb tal-kultura Serb, u saħansitra rċieva ittra ta' tifħir mingħand id-dekan tal-fakultà teknika lil tiegħu Missier, li ddikjara, "Ibnek huwa stilla tal-ewwel grad." Tesla sostniet li ħadem mit-3 a.m. sal-11 p.m., l-ebda Ħdud jew vaganzi ħlief. Huwa kien "mortifikat meta [missieru] għamel dawl ta '[dawk] hard rebaħ unuri." Wara l-mewt ta 'missieru fl-1879, Tesla sabet pakkett ta' ittri mill-professuri tiegħu lil missieru, li wissa li sakemm ma jitneħħax mill-iskola, Tesla kienet tinqatel permezz ta 'xogħol żejjed. Matul it-tieni sena tiegħu, Tesla daħal f'kunflitt mal-Professur Poeschl fuq il-Gramme Dynamo, meta Tesla ssuġġeriet li l-kommutaturi ma kinux meħtieġa. Fi tmiem it-tieni sena tiegħu, Tesla tilfet il-borża ta ’studju tiegħu u saret dipendenti fuq il-logħob tal-ażżard. Matul it-tielet sena tiegħu, Tesla lagħab l-allowance tiegħu u l-flus tat-tagħlim tiegħu, wara l-logħob lura t-telf inizjali tiegħu u rritorna l-bilanċ lill-familja tiegħu. Tesla qal li hu "ħakem [il-passjoni] tiegħu allura u hemm," iżda aktar tard kien magħruf li jilgħab il-biljard fl-Istati Uniti. Meta wasal il-ħin tal-eżami, Tesla ma kinitx ippreparata u talbet estensjoni biex tistudja, iżda ġiet miċħuda. Hu qatt ma ggradwa mill-università u ma rċieva gradi għall-aħħar semestru.</v>
      </c>
    </row>
    <row r="22283" ht="15.75" customHeight="1">
      <c r="A22283" s="2" t="s">
        <v>22283</v>
      </c>
      <c r="B22283" s="2" t="str">
        <f>IFERROR(__xludf.DUMMYFUNCTION("GOOGLETRANSLATE(A22283, ""en"", ""mt"")"),"Il-militar Mongolol kien ukoll suċċess fil-gwerra tal-assedju, li qata ’r-riżorsi għall-bliet u l-bliet billi ddevja ċerti xmajjar, jieħu priġunieri ghadu u jmexxihom quddiem l-armata, u adotta ideat, tekniki u għodod ġodda min-nies li ħakmu, partikolarme"&amp;"nt Timpjega magni u inġiniera Musulmani u Ċiniżi biex jgħinu lill-kavallerija Mongoljana fil-qbid tal-bliet. Tattika standard oħra tal-militar tal-Mongolja kienet l-irtir li ġie pprattikat komunement biex jikser il-formazzjonijiet tal-għadu u biex jattira"&amp;"w gruppi żgħar ta 'ghadu' l bogħod mill-grupp ikbar u ddefendew il-pożizzjoni għall-imbusc u l-kontrattakk.")</f>
        <v>Il-militar Mongolol kien ukoll suċċess fil-gwerra tal-assedju, li qata ’r-riżorsi għall-bliet u l-bliet billi ddevja ċerti xmajjar, jieħu priġunieri ghadu u jmexxihom quddiem l-armata, u adotta ideat, tekniki u għodod ġodda min-nies li ħakmu, partikolarment Timpjega magni u inġiniera Musulmani u Ċiniżi biex jgħinu lill-kavallerija Mongoljana fil-qbid tal-bliet. Tattika standard oħra tal-militar tal-Mongolja kienet l-irtir li ġie pprattikat komunement biex jikser il-formazzjonijiet tal-għadu u biex jattiraw gruppi żgħar ta 'ghadu' l bogħod mill-grupp ikbar u ddefendew il-pożizzjoni għall-imbusc u l-kontrattakk.</v>
      </c>
    </row>
    <row r="22284" ht="15.75" customHeight="1">
      <c r="A22284" s="2" t="s">
        <v>22284</v>
      </c>
      <c r="B22284" s="2" t="str">
        <f>IFERROR(__xludf.DUMMYFUNCTION("GOOGLETRANSLATE(A22284, ""en"", ""mt"")"),"Għaliex Fresno għandu biss stazzjonijiet tat-televiżjoni UHF?")</f>
        <v>Għaliex Fresno għandu biss stazzjonijiet tat-televiżjoni UHF?</v>
      </c>
    </row>
    <row r="22285" ht="15.75" customHeight="1">
      <c r="A22285" s="2" t="s">
        <v>22285</v>
      </c>
      <c r="B22285" s="2" t="str">
        <f>IFERROR(__xludf.DUMMYFUNCTION("GOOGLETRANSLATE(A22285, ""en"", ""mt"")"),"Ir-Renu huwa l-itwal xmara f'liema pajjiż?")</f>
        <v>Ir-Renu huwa l-itwal xmara f'liema pajjiż?</v>
      </c>
    </row>
    <row r="22286" ht="15.75" customHeight="1">
      <c r="A22286" s="2" t="s">
        <v>22286</v>
      </c>
      <c r="B22286" s="2" t="str">
        <f>IFERROR(__xludf.DUMMYFUNCTION("GOOGLETRANSLATE(A22286, ""en"", ""mt"")"),"Għal liema tipi ta 'riżultati tas-saħħa jimmiraw mal-pazjenti tagħhom?")</f>
        <v>Għal liema tipi ta 'riżultati tas-saħħa jimmiraw mal-pazjenti tagħhom?</v>
      </c>
    </row>
    <row r="22287" ht="15.75" customHeight="1">
      <c r="A22287" s="2" t="s">
        <v>22287</v>
      </c>
      <c r="B22287" s="2" t="str">
        <f>IFERROR(__xludf.DUMMYFUNCTION("GOOGLETRANSLATE(A22287, ""en"", ""mt"")"),"X'inhuma l-apikoplasti nieqsa?")</f>
        <v>X'inhuma l-apikoplasti nieqsa?</v>
      </c>
    </row>
    <row r="22288" ht="15.75" customHeight="1">
      <c r="A22288" s="2" t="s">
        <v>22288</v>
      </c>
      <c r="B22288" s="2" t="str">
        <f>IFERROR(__xludf.DUMMYFUNCTION("GOOGLETRANSLATE(A22288, ""en"", ""mt"")"),"Li.")</f>
        <v>Li.</v>
      </c>
    </row>
    <row r="22289" ht="15.75" customHeight="1">
      <c r="A22289" s="2" t="s">
        <v>22289</v>
      </c>
      <c r="B22289" s="2" t="str">
        <f>IFERROR(__xludf.DUMMYFUNCTION("GOOGLETRANSLATE(A22289, ""en"", ""mt"")"),"Fil-parti tal-Lvant tal-Grigal ta 'Fresno, Woodward Park twaqqfet mill-mibki Ralph Woodward, resident ta' Fresno għal żmien twil. Huwa ħalla porzjon ewlieni tal-propjetà tiegħu fl-1968 biex jipprovdi park reġjonali u santwarju tal-għasafar fil-Grigal ta '"&amp;"Fresno. Il-park jinsab fuq ix-xatt tan-nofsinhar tax-Xmara San Joaquin bejn Highway 41 u Friant Road. Il-235 acres inizjali (0.95 km2), flimkien ma 'acres addizzjonali akkwistati aktar tard mill-belt, iġib il-park għal 300 acres imdaqqsa (1.2 km2). Issa p"&amp;"pakkjat bil-kumditajiet, Woodward Park huwa l-uniku park reġjonali tad-daqs tiegħu fil-Wied Ċentrali. Ir-rokna tax-Xlokk tal-park għandha bosta speċi ta 'għasafar li joffru lid-dilettanti tal-għasafar opportunità eċċellenti għall-wiri. Il-park għandu anfi"&amp;"teatru b'ħafna użi li jpoġġi sa 2,500 persuna, ġnien Ġappuniż awtentiku, park tal-klieb magħluq, traċċa ekwestri ta 'żewġ mili (3 km), eżerċizzju par ta' kors, tliet bitħa tat-tfal, lag, 3 lag, 3 għadajjar żgħar, 7 piknik Żoni u ħames mili (8 km) ta 'traċ"&amp;"ċi b'diversi skopijiet li huma parti mill-Lewis S. Eaton Trail ta' San Joaquin River Parkway. Meta tkun kompluta, is-sistema ta 'Lewis S. Eaton Trail tkopri 22 mil (35 km) bejn l-Awtostrada 99 u l-Friant Dam. It-tabelli tal-pikniks numerużi tal-park jagħm"&amp;"lu għal destinazzjoni tal-pikniks kbira u ħarba konvenjenti mill-ħajja tal-belt. L-amphetheatre tal-park ġie rinnovat fl-2010, u ospita wirjiet minn atti bħal Deftones, Tech N9ne, u Sevendust kif ukoll bosta oħrajn. Il-park huwa miftuħ minn April sa Ottub"&amp;"ru, 6am sal-10pm u Novembru sa Marzu, 6am sas-7pm. Woodward Park huwa d-dar tal-CIF annwali (Federazzjoni Interskolastika ta 'California) tal-Kampjonat tal-Istat Cross Country, li jseħħ fl-aħħar ta' Novembru. Huwa wkoll id-dar tal-Woodward Shakespeare Fes"&amp;"tival li beda l-wirjiet fil-park fl-2005.")</f>
        <v>Fil-parti tal-Lvant tal-Grigal ta 'Fresno, Woodward Park twaqqfet mill-mibki Ralph Woodward, resident ta' Fresno għal żmien twil. Huwa ħalla porzjon ewlieni tal-propjetà tiegħu fl-1968 biex jipprovdi park reġjonali u santwarju tal-għasafar fil-Grigal ta 'Fresno. Il-park jinsab fuq ix-xatt tan-nofsinhar tax-Xmara San Joaquin bejn Highway 41 u Friant Road. Il-235 acres inizjali (0.95 km2), flimkien ma 'acres addizzjonali akkwistati aktar tard mill-belt, iġib il-park għal 300 acres imdaqqsa (1.2 km2). Issa ppakkjat bil-kumditajiet, Woodward Park huwa l-uniku park reġjonali tad-daqs tiegħu fil-Wied Ċentrali. Ir-rokna tax-Xlokk tal-park għandha bosta speċi ta 'għasafar li joffru lid-dilettanti tal-għasafar opportunità eċċellenti għall-wiri. Il-park għandu anfiteatru b'ħafna użi li jpoġġi sa 2,500 persuna, ġnien Ġappuniż awtentiku, park tal-klieb magħluq, traċċa ekwestri ta 'żewġ mili (3 km), eżerċizzju par ta' kors, tliet bitħa tat-tfal, lag, 3 lag, 3 għadajjar żgħar, 7 piknik Żoni u ħames mili (8 km) ta 'traċċi b'diversi skopijiet li huma parti mill-Lewis S. Eaton Trail ta' San Joaquin River Parkway. Meta tkun kompluta, is-sistema ta 'Lewis S. Eaton Trail tkopri 22 mil (35 km) bejn l-Awtostrada 99 u l-Friant Dam. It-tabelli tal-pikniks numerużi tal-park jagħmlu għal destinazzjoni tal-pikniks kbira u ħarba konvenjenti mill-ħajja tal-belt. L-amphetheatre tal-park ġie rinnovat fl-2010, u ospita wirjiet minn atti bħal Deftones, Tech N9ne, u Sevendust kif ukoll bosta oħrajn. Il-park huwa miftuħ minn April sa Ottubru, 6am sal-10pm u Novembru sa Marzu, 6am sas-7pm. Woodward Park huwa d-dar tal-CIF annwali (Federazzjoni Interskolastika ta 'California) tal-Kampjonat tal-Istat Cross Country, li jseħħ fl-aħħar ta' Novembru. Huwa wkoll id-dar tal-Woodward Shakespeare Festival li beda l-wirjiet fil-park fl-2005.</v>
      </c>
    </row>
    <row r="22290" ht="15.75" customHeight="1">
      <c r="A22290" s="2" t="s">
        <v>22290</v>
      </c>
      <c r="B22290" s="2" t="str">
        <f>IFERROR(__xludf.DUMMYFUNCTION("GOOGLETRANSLATE(A22290, ""en"", ""mt"")"),"Liema tribujiet tar-rivali Genghis Khan kejjel il-famuż kontra l-linchpin?")</f>
        <v>Liema tribujiet tar-rivali Genghis Khan kejjel il-famuż kontra l-linchpin?</v>
      </c>
    </row>
    <row r="22291" ht="15.75" customHeight="1">
      <c r="A22291" s="2" t="s">
        <v>22291</v>
      </c>
      <c r="B22291" s="2" t="str">
        <f>IFERROR(__xludf.DUMMYFUNCTION("GOOGLETRANSLATE(A22291, ""en"", ""mt"")"),"lingwa formali")</f>
        <v>lingwa formali</v>
      </c>
    </row>
    <row r="22292" ht="15.75" customHeight="1">
      <c r="A22292" s="2" t="s">
        <v>22292</v>
      </c>
      <c r="B22292" s="2" t="str">
        <f>IFERROR(__xludf.DUMMYFUNCTION("GOOGLETRANSLATE(A22292, ""en"", ""mt"")"),"X'waqfa riċerkaturi konservattivi għandhom ikunu miżura ta 'inugwaljanza?")</f>
        <v>X'waqfa riċerkaturi konservattivi għandhom ikunu miżura ta 'inugwaljanza?</v>
      </c>
    </row>
    <row r="22293" ht="15.75" customHeight="1">
      <c r="A22293" s="2" t="s">
        <v>22293</v>
      </c>
      <c r="B22293" s="2" t="str">
        <f>IFERROR(__xludf.DUMMYFUNCTION("GOOGLETRANSLATE(A22293, ""en"", ""mt"")"),"Riċentement, il-kloroplasti ġibdu l-attenzjoni mill-iżviluppaturi ta 'għelejjel ġenetikament modifikati. Peress li, fil-biċċa l-kbira tal-pjanti tal-fjuri, il-kloroplasti ma jintirtux mill-ġenitur maskili, it-transġeni f'dawn il-plastidi ma jistgħux jiġu "&amp;"mxerrda mill-polline. Dan jagħmel it-trasformazzjoni tal-plastid għodda siewja għall-ħolqien u l-kultivazzjoni ta 'pjanti ġenetikament modifikati li huma bijoloġikament, u b'hekk jippreżentaw riskji ambjentali sinifikament aktar baxxi. Din l-istrateġija t"&amp;"a 'trażżin bijoloġiku hija għalhekk adattata biex tistabbilixxi l-koeżistenza ta' agrikoltura konvenzjonali u organika. Filwaqt li l-affidabbiltà ta 'dan il-mekkaniżmu għadha ma ġietx studjata għall-ispeċi kollha tal-għelejjel rilevanti, ir-riżultati reċe"&amp;"nti f'impjanti tat-tabakk huma promettenti, li juru rata ta' trażżin falluta ta 'pjanti transplastomiċi fi 3 f'1,000,000.")</f>
        <v>Riċentement, il-kloroplasti ġibdu l-attenzjoni mill-iżviluppaturi ta 'għelejjel ġenetikament modifikati. Peress li, fil-biċċa l-kbira tal-pjanti tal-fjuri, il-kloroplasti ma jintirtux mill-ġenitur maskili, it-transġeni f'dawn il-plastidi ma jistgħux jiġu mxerrda mill-polline. Dan jagħmel it-trasformazzjoni tal-plastid għodda siewja għall-ħolqien u l-kultivazzjoni ta 'pjanti ġenetikament modifikati li huma bijoloġikament, u b'hekk jippreżentaw riskji ambjentali sinifikament aktar baxxi. Din l-istrateġija ta 'trażżin bijoloġiku hija għalhekk adattata biex tistabbilixxi l-koeżistenza ta' agrikoltura konvenzjonali u organika. Filwaqt li l-affidabbiltà ta 'dan il-mekkaniżmu għadha ma ġietx studjata għall-ispeċi kollha tal-għelejjel rilevanti, ir-riżultati reċenti f'impjanti tat-tabakk huma promettenti, li juru rata ta' trażżin falluta ta 'pjanti transplastomiċi fi 3 f'1,000,000.</v>
      </c>
    </row>
    <row r="22294" ht="15.75" customHeight="1">
      <c r="A22294" s="2" t="s">
        <v>22294</v>
      </c>
      <c r="B22294" s="2" t="str">
        <f>IFERROR(__xludf.DUMMYFUNCTION("GOOGLETRANSLATE(A22294, ""en"", ""mt"")"),"X'kien l-isem tal-politika imperjalista fiċ-Ċina?")</f>
        <v>X'kien l-isem tal-politika imperjalista fiċ-Ċina?</v>
      </c>
    </row>
    <row r="22295" ht="15.75" customHeight="1">
      <c r="A22295" s="2" t="s">
        <v>22295</v>
      </c>
      <c r="B22295" s="2" t="str">
        <f>IFERROR(__xludf.DUMMYFUNCTION("GOOGLETRANSLATE(A22295, ""en"", ""mt"")"),"X'inhu l-aħħar isem tal-plejer li kien l-aqwa riċevitur ta 'Manning għal Super Bowl 50?")</f>
        <v>X'inhu l-aħħar isem tal-plejer li kien l-aqwa riċevitur ta 'Manning għal Super Bowl 50?</v>
      </c>
    </row>
    <row r="22296" ht="15.75" customHeight="1">
      <c r="A22296" s="2" t="s">
        <v>22296</v>
      </c>
      <c r="B22296" s="2" t="str">
        <f>IFERROR(__xludf.DUMMYFUNCTION("GOOGLETRANSLATE(A22296, ""en"", ""mt"")"),"Liema rwol prattiku jiddefinixxi l-kumplessità tal-problemi fil-kompjuters ta 'kuljum?")</f>
        <v>Liema rwol prattiku jiddefinixxi l-kumplessità tal-problemi fil-kompjuters ta 'kuljum?</v>
      </c>
    </row>
    <row r="22297" ht="15.75" customHeight="1">
      <c r="A22297" s="2" t="s">
        <v>22297</v>
      </c>
      <c r="B22297" s="2" t="str">
        <f>IFERROR(__xludf.DUMMYFUNCTION("GOOGLETRANSLATE(A22297, ""en"", ""mt"")"),"2.4%")</f>
        <v>2.4%</v>
      </c>
    </row>
    <row r="22298" ht="15.75" customHeight="1">
      <c r="A22298" s="2" t="s">
        <v>22298</v>
      </c>
      <c r="B22298" s="2" t="str">
        <f>IFERROR(__xludf.DUMMYFUNCTION("GOOGLETRANSLATE(A22298, ""en"", ""mt"")"),"X'tip ta 'sistema ta' infezzjoni tinvolvi li tiddaħħal tubu vojta f'ċellula ospitanti?")</f>
        <v>X'tip ta 'sistema ta' infezzjoni tinvolvi li tiddaħħal tubu vojta f'ċellula ospitanti?</v>
      </c>
    </row>
    <row r="22299" ht="15.75" customHeight="1">
      <c r="A22299" s="2" t="s">
        <v>22299</v>
      </c>
      <c r="B22299" s="2" t="str">
        <f>IFERROR(__xludf.DUMMYFUNCTION("GOOGLETRANSLATE(A22299, ""en"", ""mt"")"),"Brooklyn")</f>
        <v>Brooklyn</v>
      </c>
    </row>
    <row r="22300" ht="15.75" customHeight="1">
      <c r="A22300" s="2" t="s">
        <v>22300</v>
      </c>
      <c r="B22300" s="2" t="str">
        <f>IFERROR(__xludf.DUMMYFUNCTION("GOOGLETRANSLATE(A22300, ""en"", ""mt"")"),"Meta kien il-massakru tal-Jum San Bartolomew?")</f>
        <v>Meta kien il-massakru tal-Jum San Bartolomew?</v>
      </c>
    </row>
    <row r="22301" ht="15.75" customHeight="1">
      <c r="A22301" s="2" t="s">
        <v>22301</v>
      </c>
      <c r="B22301" s="2" t="str">
        <f>IFERROR(__xludf.DUMMYFUNCTION("GOOGLETRANSLATE(A22301, ""en"", ""mt"")"),"Diviżjoni tal-Kolleġġjata Ġdida")</f>
        <v>Diviżjoni tal-Kolleġġjata Ġdida</v>
      </c>
    </row>
    <row r="22302" ht="15.75" customHeight="1">
      <c r="A22302" s="2" t="s">
        <v>22302</v>
      </c>
      <c r="B22302" s="2" t="str">
        <f>IFERROR(__xludf.DUMMYFUNCTION("GOOGLETRANSLATE(A22302, ""en"", ""mt"")"),"Bejn wieħed u ieħor kemm tpinġijiet arkitettoniċi jżommu l-V &amp; A fil-kollezzjoni tiegħu?")</f>
        <v>Bejn wieħed u ieħor kemm tpinġijiet arkitettoniċi jżommu l-V &amp; A fil-kollezzjoni tiegħu?</v>
      </c>
    </row>
    <row r="22303" ht="15.75" customHeight="1">
      <c r="A22303" s="2" t="s">
        <v>22303</v>
      </c>
      <c r="B22303" s="2" t="str">
        <f>IFERROR(__xludf.DUMMYFUNCTION("GOOGLETRANSLATE(A22303, ""en"", ""mt"")"),"15 ta ’Frar 1763")</f>
        <v>15 ta ’Frar 1763</v>
      </c>
    </row>
    <row r="22304" ht="15.75" customHeight="1">
      <c r="A22304" s="2" t="s">
        <v>22304</v>
      </c>
      <c r="B22304" s="2" t="str">
        <f>IFERROR(__xludf.DUMMYFUNCTION("GOOGLETRANSLATE(A22304, ""en"", ""mt"")"),"Meta persuna tkun ikkunsidrata li qed tiswi l-impass kostituzzjonali?")</f>
        <v>Meta persuna tkun ikkunsidrata li qed tiswi l-impass kostituzzjonali?</v>
      </c>
    </row>
    <row r="22305" ht="15.75" customHeight="1">
      <c r="A22305" s="2" t="s">
        <v>22305</v>
      </c>
      <c r="B22305" s="2" t="str">
        <f>IFERROR(__xludf.DUMMYFUNCTION("GOOGLETRANSLATE(A22305, ""en"", ""mt"")"),"Università jew kulleġġ")</f>
        <v>Università jew kulleġġ</v>
      </c>
    </row>
    <row r="22306" ht="15.75" customHeight="1">
      <c r="A22306" s="2" t="s">
        <v>22306</v>
      </c>
      <c r="B22306" s="2" t="str">
        <f>IFERROR(__xludf.DUMMYFUNCTION("GOOGLETRANSLATE(A22306, ""en"", ""mt"")"),"George Low")</f>
        <v>George Low</v>
      </c>
    </row>
    <row r="22307" ht="15.75" customHeight="1">
      <c r="A22307" s="2" t="s">
        <v>22307</v>
      </c>
      <c r="B22307" s="2" t="str">
        <f>IFERROR(__xludf.DUMMYFUNCTION("GOOGLETRANSLATE(A22307, ""en"", ""mt"")"),"Tapit li bih id-disinjatur Ingliż imwieled mir-Russja huwa inkluż fil-kollezzjoni V&amp;A?")</f>
        <v>Tapit li bih id-disinjatur Ingliż imwieled mir-Russja huwa inkluż fil-kollezzjoni V&amp;A?</v>
      </c>
    </row>
    <row r="22308" ht="15.75" customHeight="1">
      <c r="A22308" s="2" t="s">
        <v>22308</v>
      </c>
      <c r="B22308" s="2" t="str">
        <f>IFERROR(__xludf.DUMMYFUNCTION("GOOGLETRANSLATE(A22308, ""en"", ""mt"")"),"Fejn jinstabu l-mewġ lonġitudinali?")</f>
        <v>Fejn jinstabu l-mewġ lonġitudinali?</v>
      </c>
    </row>
    <row r="22309" ht="15.75" customHeight="1">
      <c r="A22309" s="2" t="s">
        <v>22309</v>
      </c>
      <c r="B22309" s="2" t="str">
        <f>IFERROR(__xludf.DUMMYFUNCTION("GOOGLETRANSLATE(A22309, ""en"", ""mt"")"),"Riħa stramba fl-ispazji tagħhom")</f>
        <v>Riħa stramba fl-ispazji tagħhom</v>
      </c>
    </row>
    <row r="22310" ht="15.75" customHeight="1">
      <c r="A22310" s="2" t="s">
        <v>22310</v>
      </c>
      <c r="B22310" s="2" t="str">
        <f>IFERROR(__xludf.DUMMYFUNCTION("GOOGLETRANSLATE(A22310, ""en"", ""mt"")"),"Liema azzjonijiet famużi tal-Indjani kienu meqjusa bħala diżubbidjenza ċivili?")</f>
        <v>Liema azzjonijiet famużi tal-Indjani kienu meqjusa bħala diżubbidjenza ċivili?</v>
      </c>
    </row>
    <row r="22311" ht="15.75" customHeight="1">
      <c r="A22311" s="2" t="s">
        <v>22311</v>
      </c>
      <c r="B22311" s="2" t="str">
        <f>IFERROR(__xludf.DUMMYFUNCTION("GOOGLETRANSLATE(A22311, ""en"", ""mt"")"),"il-gooien Olandiż")</f>
        <v>il-gooien Olandiż</v>
      </c>
    </row>
    <row r="22312" ht="15.75" customHeight="1">
      <c r="A22312" s="2" t="s">
        <v>22312</v>
      </c>
      <c r="B22312" s="2" t="str">
        <f>IFERROR(__xludf.DUMMYFUNCTION("GOOGLETRANSLATE(A22312, ""en"", ""mt"")"),"Pompi ċentrifugali f'diversi stadji")</f>
        <v>Pompi ċentrifugali f'diversi stadji</v>
      </c>
    </row>
    <row r="22313" ht="15.75" customHeight="1">
      <c r="A22313" s="2" t="s">
        <v>22313</v>
      </c>
      <c r="B22313" s="2" t="str">
        <f>IFERROR(__xludf.DUMMYFUNCTION("GOOGLETRANSLATE(A22313, ""en"", ""mt"")"),"Meta seħħ il-ftehim bejn Peck, Brown u Westinghouse?")</f>
        <v>Meta seħħ il-ftehim bejn Peck, Brown u Westinghouse?</v>
      </c>
    </row>
    <row r="22314" ht="15.75" customHeight="1">
      <c r="A22314" s="2" t="s">
        <v>22314</v>
      </c>
      <c r="B22314" s="2" t="str">
        <f>IFERROR(__xludf.DUMMYFUNCTION("GOOGLETRANSLATE(A22314, ""en"", ""mt"")"),"Gangster")</f>
        <v>Gangster</v>
      </c>
    </row>
    <row r="22315" ht="15.75" customHeight="1">
      <c r="A22315" s="2" t="s">
        <v>22315</v>
      </c>
      <c r="B22315" s="2" t="str">
        <f>IFERROR(__xludf.DUMMYFUNCTION("GOOGLETRANSLATE(A22315, ""en"", ""mt"")"),"kalamita")</f>
        <v>kalamita</v>
      </c>
    </row>
    <row r="22316" ht="15.75" customHeight="1">
      <c r="A22316" s="2" t="s">
        <v>22316</v>
      </c>
      <c r="B22316" s="2" t="str">
        <f>IFERROR(__xludf.DUMMYFUNCTION("GOOGLETRANSLATE(A22316, ""en"", ""mt"")"),"Ħsarat Ingliżi fl-Amerika ta ’Fuq")</f>
        <v>Ħsarat Ingliżi fl-Amerika ta ’Fuq</v>
      </c>
    </row>
    <row r="22317" ht="15.75" customHeight="1">
      <c r="A22317" s="2" t="s">
        <v>22317</v>
      </c>
      <c r="B22317" s="2" t="str">
        <f>IFERROR(__xludf.DUMMYFUNCTION("GOOGLETRANSLATE(A22317, ""en"", ""mt"")"),"Fir-rigward tal-kumpaniji, il-Qorti tal-Ġustizzja miżmuma f'R (Daily Mail and General Trust Plc) v HM Teżor li l-istati membri jistgħu jirrestrinġu kumpanija li tmexxi s-sede tan-negozju tagħha, mingħajr ma tikser l-artikolu 49. TFEU dan kien ifisser il-k"&amp;"umpanija ewlenija tal-gazzetta ta 'Daily Mail Ma setgħetx tevadi t-taxxa billi tbiddel ir-residenza tagħha lill-Olanda mingħajr ma l-ewwel issetilja l-kontijiet tat-taxxa tagħha fir-Renju Unit. Ir-Renju Unit ma kellux għalfejn jiġġustifika l-azzjoni tiegħ"&amp;"u, billi r-regoli dwar is-siġġijiet tal-kumpanija ma kinux għadhom armonizzati. B'kuntrast, f'Centros Ltd v Erhversus-OG Selkabssyelsen Il-Qorti tal-Ġustizzja sabet li kumpanija limitata tar-Renju Unit li topera fid-Danimarka ma setgħetx tkun meħtieġa li "&amp;"tikkonforma mar-regoli tal-kapital azzjonarju minimu tad-Danimarka. Il-liġi tar-Renju Unit kienet teħtieġ biss £ 1 ta 'kapital biex tibda kumpanija, filwaqt li l-leġiżlatura tad-Danimarka ħadet il-fehma li l-kumpaniji għandhom jinbdew biss jekk kellhom 20"&amp;"0,000 Krone Daniż (madwar € 27,000) biex jipproteġu l-kredituri jekk il-kumpanija falliet u marret insolventi. Il-Qorti tal-Ġustizzja qalet li l-liġi kapitali minima tad-Danimarka kisret il-libertà ta 'stabbiliment ta' Centros Ltd u ma setgħetx tkun iġġus"&amp;"tifikata, minħabba li kumpanija fir-Renju Unit setgħet tipprovdi servizzi fid-Danimarka mingħajr ma tkun stabbilita hemmhekk, u kien hemm mezzi inqas restrittivi biex jinkiseb l-għan ta ' Protezzjoni tal-kreditur. Dan l-approċċ ġie kkritikat bħala li pote"&amp;"nzjalment jiftaħ l-UE għal kompetizzjoni regolatorja mhux ġustifikata, u tellieqa lejn il-qiegħ fl-istandards, bħal fl-Istati Uniti fejn l-istat Delaware jattira ħafna kumpaniji u ħafna drabi huwa argumentat li għandu l-agħar standards tar-responsabbiltà "&amp;"tal-bordijiet, u baxx Bħala riżultat ta 'taxxi korporattivi. Bl-istess mod fil-kostruzzjoni ta 'überseering bv v nordic gmbH Il-Qorti tal-Ġustizzja ddeċidiet li qorti Ġermaniża ma setgħetx tiċħad lil kumpanija tal-bini Olandiża d-dritt li tinforza kuntrat"&amp;"t fil-Ġermanja fuq il-bażi li ma kinitx validament inkorporata fil-Ġermanja. Għalkemm ir-restrizzjonijiet fuq il-libertà tal-istabbiliment jistgħu jiġu ġġustifikati mill-protezzjoni tal-kredituri, id-drittijiet tax-xogħol biex jipparteċipaw fix-xogħol, je"&amp;"w l-interess pubbliku fil-ġbir tat-taxxi, iċ-ċaħda tal-kapaċità marret wisq: kienet ""negazzjoni diretta"" tad-dritt ta 'stabbiliment. Madankollu, fil-Cartesio Oktató és Szolgáltató bt il-Qorti tal-Ġustizzja affermat mill-ġdid li minħabba li l-korporazzjo"&amp;"nijiet huma maħluqa mil-liġi, huma fil-prinċipju huma soġġetti għal kwalunkwe regoli għall-formazzjoni li stat ta 'inkorporazzjoni jixtieq jimponi. Dan kien ifisser li l-awtoritajiet Ungeriżi jistgħu jipprevjenu kumpanija milli tbiddel l-amministrazzjoni "&amp;"ċentrali tagħha lejn l-Italja waqt li kienet għadha topera u ġiet inkorporata fl-Ungerija. Għalhekk, il-qorti tiġbed distinzjoni bejn id-dritt ta 'stabbiliment għal kumpaniji barranin (fejn ir-restrizzjonijiet għandhom ikunu ġġustifikati), u d-dritt tal-I"&amp;"stat li jiddetermina l-kundizzjonijiet għall-kumpaniji inkorporati fit-territorju tagħha, għalkemm mhuwiex kompletament ċar għaliex.")</f>
        <v>Fir-rigward tal-kumpaniji, il-Qorti tal-Ġustizzja miżmuma f'R (Daily Mail and General Trust Plc) v HM Teżor li l-istati membri jistgħu jirrestrinġu kumpanija li tmexxi s-sede tan-negozju tagħha, mingħajr ma tikser l-artikolu 49. TFEU dan kien ifisser il-kumpanija ewlenija tal-gazzetta ta 'Daily Mail Ma setgħetx tevadi t-taxxa billi tbiddel ir-residenza tagħha lill-Olanda mingħajr ma l-ewwel issetilja l-kontijiet tat-taxxa tagħha fir-Renju Unit. Ir-Renju Unit ma kellux għalfejn jiġġustifika l-azzjoni tiegħu, billi r-regoli dwar is-siġġijiet tal-kumpanija ma kinux għadhom armonizzati. B'kuntrast, f'Centros Ltd v Erhversus-OG Selkabssyelsen Il-Qorti tal-Ġustizzja sabet li kumpanija limitata tar-Renju Unit li topera fid-Danimarka ma setgħetx tkun meħtieġa li tikkonforma mar-regoli tal-kapital azzjonarju minimu tad-Danimarka. Il-liġi tar-Renju Unit kienet teħtieġ biss £ 1 ta 'kapital biex tibda kumpanija, filwaqt li l-leġiżlatura tad-Danimarka ħadet il-fehma li l-kumpaniji għandhom jinbdew biss jekk kellhom 200,000 Krone Daniż (madwar € 27,000) biex jipproteġu l-kredituri jekk il-kumpanija falliet u marret insolventi. Il-Qorti tal-Ġustizzja qalet li l-liġi kapitali minima tad-Danimarka kisret il-libertà ta 'stabbiliment ta' Centros Ltd u ma setgħetx tkun iġġustifikata, minħabba li kumpanija fir-Renju Unit setgħet tipprovdi servizzi fid-Danimarka mingħajr ma tkun stabbilita hemmhekk, u kien hemm mezzi inqas restrittivi biex jinkiseb l-għan ta ' Protezzjoni tal-kreditur. Dan l-approċċ ġie kkritikat bħala li potenzjalment jiftaħ l-UE għal kompetizzjoni regolatorja mhux ġustifikata, u tellieqa lejn il-qiegħ fl-istandards, bħal fl-Istati Uniti fejn l-istat Delaware jattira ħafna kumpaniji u ħafna drabi huwa argumentat li għandu l-agħar standards tar-responsabbiltà tal-bordijiet, u baxx Bħala riżultat ta 'taxxi korporattivi. Bl-istess mod fil-kostruzzjoni ta 'überseering bv v nordic gmbH Il-Qorti tal-Ġustizzja ddeċidiet li qorti Ġermaniża ma setgħetx tiċħad lil kumpanija tal-bini Olandiża d-dritt li tinforza kuntratt fil-Ġermanja fuq il-bażi li ma kinitx validament inkorporata fil-Ġermanja. Għalkemm ir-restrizzjonijiet fuq il-libertà tal-istabbiliment jistgħu jiġu ġġustifikati mill-protezzjoni tal-kredituri, id-drittijiet tax-xogħol biex jipparteċipaw fix-xogħol, jew l-interess pubbliku fil-ġbir tat-taxxi, iċ-ċaħda tal-kapaċità marret wisq: kienet "negazzjoni diretta" tad-dritt ta 'stabbiliment. Madankollu, fil-Cartesio Oktató és Szolgáltató bt il-Qorti tal-Ġustizzja affermat mill-ġdid li minħabba li l-korporazzjonijiet huma maħluqa mil-liġi, huma fil-prinċipju huma soġġetti għal kwalunkwe regoli għall-formazzjoni li stat ta 'inkorporazzjoni jixtieq jimponi. Dan kien ifisser li l-awtoritajiet Ungeriżi jistgħu jipprevjenu kumpanija milli tbiddel l-amministrazzjoni ċentrali tagħha lejn l-Italja waqt li kienet għadha topera u ġiet inkorporata fl-Ungerija. Għalhekk, il-qorti tiġbed distinzjoni bejn id-dritt ta 'stabbiliment għal kumpaniji barranin (fejn ir-restrizzjonijiet għandhom ikunu ġġustifikati), u d-dritt tal-Istat li jiddetermina l-kundizzjonijiet għall-kumpaniji inkorporati fit-territorju tagħha, għalkemm mhuwiex kompletament ċar għaliex.</v>
      </c>
    </row>
    <row r="22318" ht="15.75" customHeight="1">
      <c r="A22318" s="2" t="s">
        <v>22318</v>
      </c>
      <c r="B22318" s="2" t="str">
        <f>IFERROR(__xludf.DUMMYFUNCTION("GOOGLETRANSLATE(A22318, ""en"", ""mt"")"),"disturbi")</f>
        <v>disturbi</v>
      </c>
    </row>
    <row r="22319" ht="15.75" customHeight="1">
      <c r="A22319" s="2" t="s">
        <v>22319</v>
      </c>
      <c r="B22319" s="2" t="str">
        <f>IFERROR(__xludf.DUMMYFUNCTION("GOOGLETRANSLATE(A22319, ""en"", ""mt"")"),"Il-kuntratti għandhom ikunu ddisinjati biex jiżguraw x'inhu?")</f>
        <v>Il-kuntratti għandhom ikunu ddisinjati biex jiżguraw x'inhu?</v>
      </c>
    </row>
    <row r="22320" ht="15.75" customHeight="1">
      <c r="A22320" s="2" t="s">
        <v>22320</v>
      </c>
      <c r="B22320" s="2" t="str">
        <f>IFERROR(__xludf.DUMMYFUNCTION("GOOGLETRANSLATE(A22320, ""en"", ""mt"")"),"Fejn saru t-tapizzeriji tal-kaċċa ta 'Devonshire?")</f>
        <v>Fejn saru t-tapizzeriji tal-kaċċa ta 'Devonshire?</v>
      </c>
    </row>
    <row r="22321" ht="15.75" customHeight="1">
      <c r="A22321" s="2" t="s">
        <v>22321</v>
      </c>
      <c r="B22321" s="2" t="str">
        <f>IFERROR(__xludf.DUMMYFUNCTION("GOOGLETRANSLATE(A22321, ""en"", ""mt"")"),"Fit-23 ta 'April, 1968")</f>
        <v>Fit-23 ta 'April, 1968</v>
      </c>
    </row>
    <row r="22322" ht="15.75" customHeight="1">
      <c r="A22322" s="2" t="s">
        <v>22322</v>
      </c>
      <c r="B22322" s="2" t="str">
        <f>IFERROR(__xludf.DUMMYFUNCTION("GOOGLETRANSLATE(A22322, ""en"", ""mt"")"),"Ir-reġjun tal-Amażonja huwa d-dar għal kemm hemm speċi ta 'insetti?")</f>
        <v>Ir-reġjun tal-Amażonja huwa d-dar għal kemm hemm speċi ta 'insetti?</v>
      </c>
    </row>
    <row r="22323" ht="15.75" customHeight="1">
      <c r="A22323" s="2" t="s">
        <v>22323</v>
      </c>
      <c r="B22323" s="2" t="str">
        <f>IFERROR(__xludf.DUMMYFUNCTION("GOOGLETRANSLATE(A22323, ""en"", ""mt"")"),"Onedrive")</f>
        <v>Onedrive</v>
      </c>
    </row>
    <row r="22324" ht="15.75" customHeight="1">
      <c r="A22324" s="2" t="s">
        <v>22324</v>
      </c>
      <c r="B22324" s="2" t="str">
        <f>IFERROR(__xludf.DUMMYFUNCTION("GOOGLETRANSLATE(A22324, ""en"", ""mt"")"),"X’għamel Kublai biex jipprevjeni l-ġuħ?")</f>
        <v>X’għamel Kublai biex jipprevjeni l-ġuħ?</v>
      </c>
    </row>
    <row r="22325" ht="15.75" customHeight="1">
      <c r="A22325" s="2" t="s">
        <v>22325</v>
      </c>
      <c r="B22325" s="2" t="str">
        <f>IFERROR(__xludf.DUMMYFUNCTION("GOOGLETRANSLATE(A22325, ""en"", ""mt"")"),"in-natura li tista 'tinqata' tal-ħaddiem b'rabta max-xogħol partikolari tiegħu jew tagħha")</f>
        <v>in-natura li tista 'tinqata' tal-ħaddiem b'rabta max-xogħol partikolari tiegħu jew tagħha</v>
      </c>
    </row>
    <row r="22326" ht="15.75" customHeight="1">
      <c r="A22326" s="2" t="s">
        <v>22326</v>
      </c>
      <c r="B22326" s="2" t="str">
        <f>IFERROR(__xludf.DUMMYFUNCTION("GOOGLETRANSLATE(A22326, ""en"", ""mt"")"),"Galleriji Nazzjonali tal-Iskozja")</f>
        <v>Galleriji Nazzjonali tal-Iskozja</v>
      </c>
    </row>
    <row r="22327" ht="15.75" customHeight="1">
      <c r="A22327" s="2" t="s">
        <v>22327</v>
      </c>
      <c r="B22327" s="2" t="str">
        <f>IFERROR(__xludf.DUMMYFUNCTION("GOOGLETRANSLATE(A22327, ""en"", ""mt"")"),"Ma 'liema fornitur tal-kejbil ABC laħaq ftehim fl-1993 biex iġorr l-istazzjonijiet ta' proprjetà u mħaddma fis-swieq ABC O&amp;O?")</f>
        <v>Ma 'liema fornitur tal-kejbil ABC laħaq ftehim fl-1993 biex iġorr l-istazzjonijiet ta' proprjetà u mħaddma fis-swieq ABC O&amp;O?</v>
      </c>
    </row>
    <row r="22328" ht="15.75" customHeight="1">
      <c r="A22328" s="2" t="s">
        <v>22328</v>
      </c>
      <c r="B22328" s="2" t="str">
        <f>IFERROR(__xludf.DUMMYFUNCTION("GOOGLETRANSLATE(A22328, ""en"", ""mt"")"),"Tesla ħadmet kuljum mid-9.00 a.m. sas-6.00 p.m. Jew wara, bil-pranzu mit-8.10 p.m., fir-restorant ta 'Delmonico u aktar tard il-lukanda Waldorf-Astoria. Tesla kienet se ċċempel l-ordni tal-pranzu tiegħu lill-headwaiter, li wkoll jista 'jkun l-uniku wieħed"&amp;" li jservih. ""L-ikla kienet meħtieġa tkun lesta fit-tmienja ... huwa ikla waħdu, ħlief fl-okkażjonijiet rari meta kien jagħti pranzu lil grupp biex jilħaq l-obbligi soċjali tiegħu. Tesla mbagħad terġa 'tibda x-xogħol tiegħu, ħafna drabi sa 3 : 00 a.m. """&amp;": 283, 286")</f>
        <v>Tesla ħadmet kuljum mid-9.00 a.m. sas-6.00 p.m. Jew wara, bil-pranzu mit-8.10 p.m., fir-restorant ta 'Delmonico u aktar tard il-lukanda Waldorf-Astoria. Tesla kienet se ċċempel l-ordni tal-pranzu tiegħu lill-headwaiter, li wkoll jista 'jkun l-uniku wieħed li jservih. "L-ikla kienet meħtieġa tkun lesta fit-tmienja ... huwa ikla waħdu, ħlief fl-okkażjonijiet rari meta kien jagħti pranzu lil grupp biex jilħaq l-obbligi soċjali tiegħu. Tesla mbagħad terġa 'tibda x-xogħol tiegħu, ħafna drabi sa 3 : 00 a.m. ": 283, 286</v>
      </c>
    </row>
    <row r="22329" ht="15.75" customHeight="1">
      <c r="A22329" s="2" t="s">
        <v>22329</v>
      </c>
      <c r="B22329" s="2" t="str">
        <f>IFERROR(__xludf.DUMMYFUNCTION("GOOGLETRANSLATE(A22329, ""en"", ""mt"")"),"Xi jfisser il-karta tal-patoġen PLOS?")</f>
        <v>Xi jfisser il-karta tal-patoġen PLOS?</v>
      </c>
    </row>
    <row r="22330" ht="15.75" customHeight="1">
      <c r="A22330" s="2" t="s">
        <v>22330</v>
      </c>
      <c r="B22330" s="2" t="str">
        <f>IFERROR(__xludf.DUMMYFUNCTION("GOOGLETRANSLATE(A22330, ""en"", ""mt"")"),"permezz ta 'rikombinazzjoni omologa")</f>
        <v>permezz ta 'rikombinazzjoni omologa</v>
      </c>
    </row>
    <row r="22331" ht="15.75" customHeight="1">
      <c r="A22331" s="2" t="s">
        <v>22331</v>
      </c>
      <c r="B22331" s="2" t="str">
        <f>IFERROR(__xludf.DUMMYFUNCTION("GOOGLETRANSLATE(A22331, ""en"", ""mt"")"),"Trojans")</f>
        <v>Trojans</v>
      </c>
    </row>
    <row r="22332" ht="15.75" customHeight="1">
      <c r="A22332" s="2" t="s">
        <v>22332</v>
      </c>
      <c r="B22332" s="2" t="str">
        <f>IFERROR(__xludf.DUMMYFUNCTION("GOOGLETRANSLATE(A22332, ""en"", ""mt"")"),"Kien hemm soluzzjoni Huguenot tas-seklu 16 qrib liema ġurnata moderna ta 'Florida City?")</f>
        <v>Kien hemm soluzzjoni Huguenot tas-seklu 16 qrib liema ġurnata moderna ta 'Florida City?</v>
      </c>
    </row>
    <row r="22333" ht="15.75" customHeight="1">
      <c r="A22333" s="2" t="s">
        <v>22333</v>
      </c>
      <c r="B22333" s="2" t="str">
        <f>IFERROR(__xludf.DUMMYFUNCTION("GOOGLETRANSLATE(A22333, ""en"", ""mt"")"),"Min hu l-avviżatur play-by-play għal-logħba?")</f>
        <v>Min hu l-avviżatur play-by-play għal-logħba?</v>
      </c>
    </row>
    <row r="22334" ht="15.75" customHeight="1">
      <c r="A22334" s="2" t="s">
        <v>22334</v>
      </c>
      <c r="B22334" s="2" t="str">
        <f>IFERROR(__xludf.DUMMYFUNCTION("GOOGLETRANSLATE(A22334, ""en"", ""mt"")"),"Laverne &amp; Shirley")</f>
        <v>Laverne &amp; Shirley</v>
      </c>
    </row>
    <row r="22335" ht="15.75" customHeight="1">
      <c r="A22335" s="2" t="s">
        <v>22335</v>
      </c>
      <c r="B22335" s="2" t="str">
        <f>IFERROR(__xludf.DUMMYFUNCTION("GOOGLETRANSLATE(A22335, ""en"", ""mt"")"),"Fejn ġie rilokat il-Parlament temporanjament f'Mejju tas-sena 2000?")</f>
        <v>Fejn ġie rilokat il-Parlament temporanjament f'Mejju tas-sena 2000?</v>
      </c>
    </row>
    <row r="22336" ht="15.75" customHeight="1">
      <c r="A22336" s="2" t="s">
        <v>22336</v>
      </c>
      <c r="B22336" s="2" t="str">
        <f>IFERROR(__xludf.DUMMYFUNCTION("GOOGLETRANSLATE(A22336, ""en"", ""mt"")"),"Fl-1899")</f>
        <v>Fl-1899</v>
      </c>
    </row>
    <row r="22337" ht="15.75" customHeight="1">
      <c r="A22337" s="2" t="s">
        <v>22337</v>
      </c>
      <c r="B22337" s="2" t="str">
        <f>IFERROR(__xludf.DUMMYFUNCTION("GOOGLETRANSLATE(A22337, ""en"", ""mt"")"),"F'liema kompost jinstab l-ossiġnu f'ammonti żgħar fl-atmosfera?")</f>
        <v>F'liema kompost jinstab l-ossiġnu f'ammonti żgħar fl-atmosfera?</v>
      </c>
    </row>
    <row r="22338" ht="15.75" customHeight="1">
      <c r="A22338" s="2" t="s">
        <v>22338</v>
      </c>
      <c r="B22338" s="2" t="str">
        <f>IFERROR(__xludf.DUMMYFUNCTION("GOOGLETRANSLATE(A22338, ""en"", ""mt"")"),"tillimita d-domanda aggregata")</f>
        <v>tillimita d-domanda aggregata</v>
      </c>
    </row>
    <row r="22339" ht="15.75" customHeight="1">
      <c r="A22339" s="2" t="s">
        <v>22339</v>
      </c>
      <c r="B22339" s="2" t="str">
        <f>IFERROR(__xludf.DUMMYFUNCTION("GOOGLETRANSLATE(A22339, ""en"", ""mt"")"),"Teżi ta 'Cobham-Edmonds")</f>
        <v>Teżi ta 'Cobham-Edmonds</v>
      </c>
    </row>
    <row r="22340" ht="15.75" customHeight="1">
      <c r="A22340" s="2" t="s">
        <v>22340</v>
      </c>
      <c r="B22340" s="2" t="str">
        <f>IFERROR(__xludf.DUMMYFUNCTION("GOOGLETRANSLATE(A22340, ""en"", ""mt"")"),"Min jirrappreżenta l-Parlament Skoċċiż f'pajjiżhom u barra mill-pajjiż f'kapaċità uffiċjali?")</f>
        <v>Min jirrappreżenta l-Parlament Skoċċiż f'pajjiżhom u barra mill-pajjiż f'kapaċità uffiċjali?</v>
      </c>
    </row>
    <row r="22341" ht="15.75" customHeight="1">
      <c r="A22341" s="2" t="s">
        <v>22341</v>
      </c>
      <c r="B22341" s="2" t="str">
        <f>IFERROR(__xludf.DUMMYFUNCTION("GOOGLETRANSLATE(A22341, ""en"", ""mt"")"),"Liema ex-bini bħalissa huwa magħruf bħala Grand 1401?")</f>
        <v>Liema ex-bini bħalissa huwa magħruf bħala Grand 1401?</v>
      </c>
    </row>
    <row r="22342" ht="15.75" customHeight="1">
      <c r="A22342" s="2" t="s">
        <v>22342</v>
      </c>
      <c r="B22342" s="2" t="str">
        <f>IFERROR(__xludf.DUMMYFUNCTION("GOOGLETRANSLATE(A22342, ""en"", ""mt"")"),"Bishopsgate")</f>
        <v>Bishopsgate</v>
      </c>
    </row>
    <row r="22343" ht="15.75" customHeight="1">
      <c r="A22343" s="2" t="s">
        <v>22343</v>
      </c>
      <c r="B22343" s="2" t="str">
        <f>IFERROR(__xludf.DUMMYFUNCTION("GOOGLETRANSLATE(A22343, ""en"", ""mt"")"),"entitajiet governattivi")</f>
        <v>entitajiet governattivi</v>
      </c>
    </row>
    <row r="22344" ht="15.75" customHeight="1">
      <c r="A22344" s="2" t="s">
        <v>22344</v>
      </c>
      <c r="B22344" s="2" t="str">
        <f>IFERROR(__xludf.DUMMYFUNCTION("GOOGLETRANSLATE(A22344, ""en"", ""mt"")"),"F'liema qasam il-Premier tal-Film tat-Televiżjoni tal-1996?")</f>
        <v>F'liema qasam il-Premier tal-Film tat-Televiżjoni tal-1996?</v>
      </c>
    </row>
    <row r="22345" ht="15.75" customHeight="1">
      <c r="A22345" s="2" t="s">
        <v>22345</v>
      </c>
      <c r="B22345" s="2" t="str">
        <f>IFERROR(__xludf.DUMMYFUNCTION("GOOGLETRANSLATE(A22345, ""en"", ""mt"")"),"F’liema Borough of New York City għandha l-kwartjieri ġenerali tal-ABC?")</f>
        <v>F’liema Borough of New York City għandha l-kwartjieri ġenerali tal-ABC?</v>
      </c>
    </row>
    <row r="22346" ht="15.75" customHeight="1">
      <c r="A22346" s="2" t="s">
        <v>22346</v>
      </c>
      <c r="B22346" s="2" t="str">
        <f>IFERROR(__xludf.DUMMYFUNCTION("GOOGLETRANSLATE(A22346, ""en"", ""mt"")"),"X'inhuma wħud mill-kawżi tax-xogħol tat-tfal?")</f>
        <v>X'inhuma wħud mill-kawżi tax-xogħol tat-tfal?</v>
      </c>
    </row>
    <row r="22347" ht="15.75" customHeight="1">
      <c r="A22347" s="2" t="s">
        <v>22347</v>
      </c>
      <c r="B22347" s="2" t="str">
        <f>IFERROR(__xludf.DUMMYFUNCTION("GOOGLETRANSLATE(A22347, ""en"", ""mt"")"),"Rocketry u SpaceFlight Spacefled, inklużi Avijoniċi, Telekomunikazzjonijiet, u Kompjuters")</f>
        <v>Rocketry u SpaceFlight Spacefled, inklużi Avijoniċi, Telekomunikazzjonijiet, u Kompjuters</v>
      </c>
    </row>
    <row r="22348" ht="15.75" customHeight="1">
      <c r="A22348" s="2" t="s">
        <v>22348</v>
      </c>
      <c r="B22348" s="2" t="str">
        <f>IFERROR(__xludf.DUMMYFUNCTION("GOOGLETRANSLATE(A22348, ""en"", ""mt"")"),"Il-Qorti tal-Ġustizzja tal-Unjoni Ewropea tista 'tinterpreta t-trattati")</f>
        <v>Il-Qorti tal-Ġustizzja tal-Unjoni Ewropea tista 'tinterpreta t-trattati</v>
      </c>
    </row>
    <row r="22349" ht="15.75" customHeight="1">
      <c r="A22349" s="2" t="s">
        <v>22349</v>
      </c>
      <c r="B22349" s="2" t="str">
        <f>IFERROR(__xludf.DUMMYFUNCTION("GOOGLETRANSLATE(A22349, ""en"", ""mt"")"),"fond tal-oċeani u l-ibħra")</f>
        <v>fond tal-oċeani u l-ibħra</v>
      </c>
    </row>
    <row r="22350" ht="15.75" customHeight="1">
      <c r="A22350" s="2" t="s">
        <v>22350</v>
      </c>
      <c r="B22350" s="2" t="str">
        <f>IFERROR(__xludf.DUMMYFUNCTION("GOOGLETRANSLATE(A22350, ""en"", ""mt"")"),"sal-2100")</f>
        <v>sal-2100</v>
      </c>
    </row>
    <row r="22351" ht="15.75" customHeight="1">
      <c r="A22351" s="2" t="s">
        <v>22351</v>
      </c>
      <c r="B22351" s="2" t="str">
        <f>IFERROR(__xludf.DUMMYFUNCTION("GOOGLETRANSLATE(A22351, ""en"", ""mt"")"),"il-parassita tal-malarja")</f>
        <v>il-parassita tal-malarja</v>
      </c>
    </row>
    <row r="22352" ht="15.75" customHeight="1">
      <c r="A22352" s="2" t="s">
        <v>22352</v>
      </c>
      <c r="B22352" s="2" t="str">
        <f>IFERROR(__xludf.DUMMYFUNCTION("GOOGLETRANSLATE(A22352, ""en"", ""mt"")"),"ellissi")</f>
        <v>ellissi</v>
      </c>
    </row>
    <row r="22353" ht="15.75" customHeight="1">
      <c r="A22353" s="2" t="s">
        <v>22353</v>
      </c>
      <c r="B22353" s="2" t="str">
        <f>IFERROR(__xludf.DUMMYFUNCTION("GOOGLETRANSLATE(A22353, ""en"", ""mt"")"),"Apollo 8")</f>
        <v>Apollo 8</v>
      </c>
    </row>
    <row r="22354" ht="15.75" customHeight="1">
      <c r="A22354" s="2" t="s">
        <v>22354</v>
      </c>
      <c r="B22354" s="2" t="str">
        <f>IFERROR(__xludf.DUMMYFUNCTION("GOOGLETRANSLATE(A22354, ""en"", ""mt"")"),"Iċ-Ċentru Moscone")</f>
        <v>Iċ-Ċentru Moscone</v>
      </c>
    </row>
    <row r="22355" ht="15.75" customHeight="1">
      <c r="A22355" s="2" t="s">
        <v>22355</v>
      </c>
      <c r="B22355" s="2" t="str">
        <f>IFERROR(__xludf.DUMMYFUNCTION("GOOGLETRANSLATE(A22355, ""en"", ""mt"")"),"forma ta 'antrax")</f>
        <v>forma ta 'antrax</v>
      </c>
    </row>
    <row r="22356" ht="15.75" customHeight="1">
      <c r="A22356" s="2" t="s">
        <v>22356</v>
      </c>
      <c r="B22356" s="2" t="str">
        <f>IFERROR(__xludf.DUMMYFUNCTION("GOOGLETRANSLATE(A22356, ""en"", ""mt"")"),"Metodoloġija tar-rotta tal-messaġġi")</f>
        <v>Metodoloġija tar-rotta tal-messaġġi</v>
      </c>
    </row>
    <row r="22357" ht="15.75" customHeight="1">
      <c r="A22357" s="2" t="s">
        <v>22357</v>
      </c>
      <c r="B22357" s="2" t="str">
        <f>IFERROR(__xludf.DUMMYFUNCTION("GOOGLETRANSLATE(A22357, ""en"", ""mt"")"),"proċess demokratiku")</f>
        <v>proċess demokratiku</v>
      </c>
    </row>
    <row r="22358" ht="15.75" customHeight="1">
      <c r="A22358" s="2" t="s">
        <v>22358</v>
      </c>
      <c r="B22358" s="2" t="str">
        <f>IFERROR(__xludf.DUMMYFUNCTION("GOOGLETRANSLATE(A22358, ""en"", ""mt"")"),"fil-kummerċ, l-iskola u l-gvern")</f>
        <v>fil-kummerċ, l-iskola u l-gvern</v>
      </c>
    </row>
    <row r="22359" ht="15.75" customHeight="1">
      <c r="A22359" s="2" t="s">
        <v>22359</v>
      </c>
      <c r="B22359" s="2" t="str">
        <f>IFERROR(__xludf.DUMMYFUNCTION("GOOGLETRANSLATE(A22359, ""en"", ""mt"")"),"Tiddefinixxi l-Lvant bħala viżjoni negattiva minnha nnifisha")</f>
        <v>Tiddefinixxi l-Lvant bħala viżjoni negattiva minnha nnifisha</v>
      </c>
    </row>
    <row r="22360" ht="15.75" customHeight="1">
      <c r="A22360" s="2" t="s">
        <v>22360</v>
      </c>
      <c r="B22360" s="2" t="str">
        <f>IFERROR(__xludf.DUMMYFUNCTION("GOOGLETRANSLATE(A22360, ""en"", ""mt"")"),"Liema proklamazzjoni tat lil Huguenots privileġġi speċjali fi Brandenburg?")</f>
        <v>Liema proklamazzjoni tat lil Huguenots privileġġi speċjali fi Brandenburg?</v>
      </c>
    </row>
    <row r="22361" ht="15.75" customHeight="1">
      <c r="A22361" s="2" t="s">
        <v>22361</v>
      </c>
      <c r="B22361" s="2" t="str">
        <f>IFERROR(__xludf.DUMMYFUNCTION("GOOGLETRANSLATE(A22361, ""en"", ""mt"")"),"X'kienet iżżewġet it-tribù tal-mara Temüjin meta kellu madwar 16-il sena?")</f>
        <v>X'kienet iżżewġet it-tribù tal-mara Temüjin meta kellu madwar 16-il sena?</v>
      </c>
    </row>
    <row r="22362" ht="15.75" customHeight="1">
      <c r="A22362" s="2" t="s">
        <v>22362</v>
      </c>
      <c r="B22362" s="2" t="str">
        <f>IFERROR(__xludf.DUMMYFUNCTION("GOOGLETRANSLATE(A22362, ""en"", ""mt"")"),"Liema minn ulied Genghis Khan ġie skwalifikat milli jkun suċċessur minħabba l-imġieba instabbli tiegħu?")</f>
        <v>Liema minn ulied Genghis Khan ġie skwalifikat milli jkun suċċessur minħabba l-imġieba instabbli tiegħu?</v>
      </c>
    </row>
    <row r="22363" ht="15.75" customHeight="1">
      <c r="A22363" s="2" t="s">
        <v>22363</v>
      </c>
      <c r="B22363" s="2" t="str">
        <f>IFERROR(__xludf.DUMMYFUNCTION("GOOGLETRANSLATE(A22363, ""en"", ""mt"")"),"Liema kotba ppubblikat Bayle?")</f>
        <v>Liema kotba ppubblikat Bayle?</v>
      </c>
    </row>
    <row r="22364" ht="15.75" customHeight="1">
      <c r="A22364" s="2" t="s">
        <v>22364</v>
      </c>
      <c r="B22364" s="2" t="str">
        <f>IFERROR(__xludf.DUMMYFUNCTION("GOOGLETRANSLATE(A22364, ""en"", ""mt"")"),"Minbarra vapuri tal-gwerra, liema vapuri tipikament kienu jeħtieġu veloċitajiet għoljin?")</f>
        <v>Minbarra vapuri tal-gwerra, liema vapuri tipikament kienu jeħtieġu veloċitajiet għoljin?</v>
      </c>
    </row>
    <row r="22365" ht="15.75" customHeight="1">
      <c r="A22365" s="2" t="s">
        <v>22365</v>
      </c>
      <c r="B22365" s="2" t="str">
        <f>IFERROR(__xludf.DUMMYFUNCTION("GOOGLETRANSLATE(A22365, ""en"", ""mt"")"),"ex kaptan tat-tim tal-futbol Yale")</f>
        <v>ex kaptan tat-tim tal-futbol Yale</v>
      </c>
    </row>
    <row r="22366" ht="15.75" customHeight="1">
      <c r="A22366" s="2" t="s">
        <v>22366</v>
      </c>
      <c r="B22366" s="2" t="str">
        <f>IFERROR(__xludf.DUMMYFUNCTION("GOOGLETRANSLATE(A22366, ""en"", ""mt"")"),"il-kleru")</f>
        <v>il-kleru</v>
      </c>
    </row>
    <row r="22367" ht="15.75" customHeight="1">
      <c r="A22367" s="2" t="s">
        <v>22367</v>
      </c>
      <c r="B22367" s="2" t="str">
        <f>IFERROR(__xludf.DUMMYFUNCTION("GOOGLETRANSLATE(A22367, ""en"", ""mt"")"),"Kemm seħħew etajiet kbar tas-silġ?")</f>
        <v>Kemm seħħew etajiet kbar tas-silġ?</v>
      </c>
    </row>
    <row r="22368" ht="15.75" customHeight="1">
      <c r="A22368" s="2" t="s">
        <v>22368</v>
      </c>
      <c r="B22368" s="2" t="str">
        <f>IFERROR(__xludf.DUMMYFUNCTION("GOOGLETRANSLATE(A22368, ""en"", ""mt"")"),"Fl-1900, il-Los Angeles Times iddefinixxew in-Nofsinhar tal-Kalifornja bħala li jinkludu ""Is-Seba 'Pajjiżi ta' Los Angeles, San Bernardino, Orange, Riverside, San Diego, Ventura u Santa Barbara."" Fl-1999, The Times żiedet kontea aktar ġdida - imperjali "&amp;"- għal dik il-lista.")</f>
        <v>Fl-1900, il-Los Angeles Times iddefinixxew in-Nofsinhar tal-Kalifornja bħala li jinkludu "Is-Seba 'Pajjiżi ta' Los Angeles, San Bernardino, Orange, Riverside, San Diego, Ventura u Santa Barbara." Fl-1999, The Times żiedet kontea aktar ġdida - imperjali - għal dik il-lista.</v>
      </c>
    </row>
    <row r="22369" ht="15.75" customHeight="1">
      <c r="A22369" s="2" t="s">
        <v>22369</v>
      </c>
      <c r="B22369" s="2" t="str">
        <f>IFERROR(__xludf.DUMMYFUNCTION("GOOGLETRANSLATE(A22369, ""en"", ""mt"")"),"rivalità qawwija kontra Cornell")</f>
        <v>rivalità qawwija kontra Cornell</v>
      </c>
    </row>
    <row r="22370" ht="15.75" customHeight="1">
      <c r="A22370" s="2" t="s">
        <v>22370</v>
      </c>
      <c r="B22370" s="2" t="str">
        <f>IFERROR(__xludf.DUMMYFUNCTION("GOOGLETRANSLATE(A22370, ""en"", ""mt"")"),"James O. McKinsey")</f>
        <v>James O. McKinsey</v>
      </c>
    </row>
    <row r="22371" ht="15.75" customHeight="1">
      <c r="A22371" s="2" t="s">
        <v>22371</v>
      </c>
      <c r="B22371" s="2" t="str">
        <f>IFERROR(__xludf.DUMMYFUNCTION("GOOGLETRANSLATE(A22371, ""en"", ""mt"")"),"Teatri Amerikani tax-Xandir-Paramount, Inc.")</f>
        <v>Teatri Amerikani tax-Xandir-Paramount, Inc.</v>
      </c>
    </row>
    <row r="22372" ht="15.75" customHeight="1">
      <c r="A22372" s="2" t="s">
        <v>22372</v>
      </c>
      <c r="B22372" s="2" t="str">
        <f>IFERROR(__xludf.DUMMYFUNCTION("GOOGLETRANSLATE(A22372, ""en"", ""mt"")"),"Il-galleriji ewlenin tal-ħġieġ u l-gallerija ewlenija tal-fidda")</f>
        <v>Il-galleriji ewlenin tal-ħġieġ u l-gallerija ewlenija tal-fidda</v>
      </c>
    </row>
    <row r="22373" ht="15.75" customHeight="1">
      <c r="A22373" s="2" t="s">
        <v>22373</v>
      </c>
      <c r="B22373" s="2" t="str">
        <f>IFERROR(__xludf.DUMMYFUNCTION("GOOGLETRANSLATE(A22373, ""en"", ""mt"")"),"Appoġġ għan-Netwerking Soċjali")</f>
        <v>Appoġġ għan-Netwerking Soċjali</v>
      </c>
    </row>
    <row r="22374" ht="15.75" customHeight="1">
      <c r="A22374" s="2" t="s">
        <v>22374</v>
      </c>
      <c r="B22374" s="2" t="str">
        <f>IFERROR(__xludf.DUMMYFUNCTION("GOOGLETRANSLATE(A22374, ""en"", ""mt"")"),"F'liema laboratorju l-università għandha sehem konġunt?")</f>
        <v>F'liema laboratorju l-università għandha sehem konġunt?</v>
      </c>
    </row>
    <row r="22375" ht="15.75" customHeight="1">
      <c r="A22375" s="2" t="s">
        <v>22375</v>
      </c>
      <c r="B22375" s="2" t="str">
        <f>IFERROR(__xludf.DUMMYFUNCTION("GOOGLETRANSLATE(A22375, ""en"", ""mt"")"),"mużika elettronika")</f>
        <v>mużika elettronika</v>
      </c>
    </row>
    <row r="22376" ht="15.75" customHeight="1">
      <c r="A22376" s="2" t="s">
        <v>22376</v>
      </c>
      <c r="B22376" s="2" t="str">
        <f>IFERROR(__xludf.DUMMYFUNCTION("GOOGLETRANSLATE(A22376, ""en"", ""mt"")"),"l-erbgħa kollha")</f>
        <v>l-erbgħa kollha</v>
      </c>
    </row>
    <row r="22377" ht="15.75" customHeight="1">
      <c r="A22377" s="2" t="s">
        <v>22377</v>
      </c>
      <c r="B22377" s="2" t="str">
        <f>IFERROR(__xludf.DUMMYFUNCTION("GOOGLETRANSLATE(A22377, ""en"", ""mt"")"),"Ho")</f>
        <v>Ho</v>
      </c>
    </row>
    <row r="22378" ht="15.75" customHeight="1">
      <c r="A22378" s="2" t="s">
        <v>22378</v>
      </c>
      <c r="B22378" s="2" t="str">
        <f>IFERROR(__xludf.DUMMYFUNCTION("GOOGLETRANSLATE(A22378, ""en"", ""mt"")"),"Liema muntanja għandha borra fuqha s-sena kollha?")</f>
        <v>Liema muntanja għandha borra fuqha s-sena kollha?</v>
      </c>
    </row>
    <row r="22379" ht="15.75" customHeight="1">
      <c r="A22379" s="2" t="s">
        <v>22379</v>
      </c>
      <c r="B22379" s="2" t="str">
        <f>IFERROR(__xludf.DUMMYFUNCTION("GOOGLETRANSLATE(A22379, ""en"", ""mt"")"),"F'dan ix-xogħol, waħda mill-aktar dikjarazzjonijiet enfatiċi tiegħu dwar il-fidi, huwa sostna li kull xogħol tajjeb iddisinjat biex jattira favur ta 'Alla huwa dnub. Il-bnedmin kollha huma midinbin min-natura, huwa spjega, u l-grazzja ta ’Alla (li ma tist"&amp;"ax tinkiseb) waħedha tista’ tagħmilhom ġusti. Fl-1 ta 'Awwissu 1521, Luther kiteb lil Melanchthon fuq l-istess tema: ""Kun midneb, u ħalli d-dnubiet tiegħek ikunu b'saħħithom, imma ħalli l-fiduċja tiegħek fi Kristu tkun aktar b'saħħitha, u tifraħ fi Krist"&amp;"u li huwa r-rebbieħ fuq id-dnub, il-mewt, u dinja. Aħna se nimpenjaw dnubiet waqt li ninsabu hawn, għax din il-ħajja mhix post fejn toqgħod il-ġustizzja. """)</f>
        <v>F'dan ix-xogħol, waħda mill-aktar dikjarazzjonijiet enfatiċi tiegħu dwar il-fidi, huwa sostna li kull xogħol tajjeb iddisinjat biex jattira favur ta 'Alla huwa dnub. Il-bnedmin kollha huma midinbin min-natura, huwa spjega, u l-grazzja ta ’Alla (li ma tistax tinkiseb) waħedha tista’ tagħmilhom ġusti. Fl-1 ta 'Awwissu 1521, Luther kiteb lil Melanchthon fuq l-istess tema: "Kun midneb, u ħalli d-dnubiet tiegħek ikunu b'saħħithom, imma ħalli l-fiduċja tiegħek fi Kristu tkun aktar b'saħħitha, u tifraħ fi Kristu li huwa r-rebbieħ fuq id-dnub, il-mewt, u dinja. Aħna se nimpenjaw dnubiet waqt li ninsabu hawn, għax din il-ħajja mhix post fejn toqgħod il-ġustizzja. "</v>
      </c>
    </row>
    <row r="22380" ht="15.75" customHeight="1">
      <c r="A22380" s="2" t="s">
        <v>22380</v>
      </c>
      <c r="B22380" s="2" t="str">
        <f>IFERROR(__xludf.DUMMYFUNCTION("GOOGLETRANSLATE(A22380, ""en"", ""mt"")"),"Bħala funzjoni tad-daqs tal-istanza")</f>
        <v>Bħala funzjoni tad-daqs tal-istanza</v>
      </c>
    </row>
    <row r="22381" ht="15.75" customHeight="1">
      <c r="A22381" s="2" t="s">
        <v>22381</v>
      </c>
      <c r="B22381" s="2" t="str">
        <f>IFERROR(__xludf.DUMMYFUNCTION("GOOGLETRANSLATE(A22381, ""en"", ""mt"")"),"Fuq blat, alka, jew uċuħ tal-ġisem ta 'invertebrati oħra")</f>
        <v>Fuq blat, alka, jew uċuħ tal-ġisem ta 'invertebrati oħra</v>
      </c>
    </row>
    <row r="22382" ht="15.75" customHeight="1">
      <c r="A22382" s="2" t="s">
        <v>22382</v>
      </c>
      <c r="B22382" s="2" t="str">
        <f>IFERROR(__xludf.DUMMYFUNCTION("GOOGLETRANSLATE(A22382, ""en"", ""mt"")"),"L-ewwel imperu Ingliż kien ibbażat fuq il-merkantiliżmu, u kien jinvolvi kolonji u azjendi primarjament fl-Amerika ta ’Fuq, il-Karibew, u l-Indja. It-tkabbir tagħha ġie mreġġa ’lura mit-telf tal-kolonji Amerikani fl-1776. Il-Gran Brittanja għamlet qligħ f"&amp;"l-Indja, l-Awstralja, u fil-kostruzzjoni ta’ imperu ekonomiku informali permezz tal-kontroll tal-kummerċ u l-finanzi fl-Amerika Latina wara l-indipendenza tal-kolonji Spanjoli u Portugiżi madwar l-1820. Fis-snin 1840, il-Gran Brittanja kienet adottat poli"&amp;"tika ta 'suċċess kbir ta' kummerċ ħieles li tatha dominanza fil-kummerċ ta 'ħafna mid-dinja. Wara li tilfet l-ewwel imperu tagħha lill-Amerikani, il-Gran Brittanja mbagħad dawret l-attenzjoni lejn l-Asja, l-Afrika, u l-Paċifiku. Wara t-telfa ta 'Napoleoni"&amp;"c France fl-1815, il-Gran Brittanja gawdiet seklu ta' dominanza kważi mhux ikkontestata u espandiet l-azjendi imperjali tagħha madwar id-dinja. Żieda fil-gradi ta 'awtonomija interna ingħataw lill-kolonji ta' kolonizzaturi bojod tagħha fis-seklu 20.")</f>
        <v>L-ewwel imperu Ingliż kien ibbażat fuq il-merkantiliżmu, u kien jinvolvi kolonji u azjendi primarjament fl-Amerika ta ’Fuq, il-Karibew, u l-Indja. It-tkabbir tagħha ġie mreġġa ’lura mit-telf tal-kolonji Amerikani fl-1776. Il-Gran Brittanja għamlet qligħ fl-Indja, l-Awstralja, u fil-kostruzzjoni ta’ imperu ekonomiku informali permezz tal-kontroll tal-kummerċ u l-finanzi fl-Amerika Latina wara l-indipendenza tal-kolonji Spanjoli u Portugiżi madwar l-1820. Fis-snin 1840, il-Gran Brittanja kienet adottat politika ta 'suċċess kbir ta' kummerċ ħieles li tatha dominanza fil-kummerċ ta 'ħafna mid-dinja. Wara li tilfet l-ewwel imperu tagħha lill-Amerikani, il-Gran Brittanja mbagħad dawret l-attenzjoni lejn l-Asja, l-Afrika, u l-Paċifiku. Wara t-telfa ta 'Napoleonic France fl-1815, il-Gran Brittanja gawdiet seklu ta' dominanza kważi mhux ikkontestata u espandiet l-azjendi imperjali tagħha madwar id-dinja. Żieda fil-gradi ta 'awtonomija interna ingħataw lill-kolonji ta' kolonizzaturi bojod tagħha fis-seklu 20.</v>
      </c>
    </row>
    <row r="22383" ht="15.75" customHeight="1">
      <c r="A22383" s="2" t="s">
        <v>22383</v>
      </c>
      <c r="B22383" s="2" t="str">
        <f>IFERROR(__xludf.DUMMYFUNCTION("GOOGLETRANSLATE(A22383, ""en"", ""mt"")"),"aktar minn 70,000")</f>
        <v>aktar minn 70,000</v>
      </c>
    </row>
    <row r="22384" ht="15.75" customHeight="1">
      <c r="A22384" s="2" t="s">
        <v>22384</v>
      </c>
      <c r="B22384" s="2" t="str">
        <f>IFERROR(__xludf.DUMMYFUNCTION("GOOGLETRANSLATE(A22384, ""en"", ""mt"")"),"X'inhu l-isem tal-iskola privata għall-istudenti tal-K-12 li l-università tmexxi?")</f>
        <v>X'inhu l-isem tal-iskola privata għall-istudenti tal-K-12 li l-università tmexxi?</v>
      </c>
    </row>
    <row r="22385" ht="15.75" customHeight="1">
      <c r="A22385" s="2" t="s">
        <v>22385</v>
      </c>
      <c r="B22385" s="2" t="str">
        <f>IFERROR(__xludf.DUMMYFUNCTION("GOOGLETRANSLATE(A22385, ""en"", ""mt"")"),"Min irnexxielu lil Thomas Murphy bħala president fl-1990?")</f>
        <v>Min irnexxielu lil Thomas Murphy bħala president fl-1990?</v>
      </c>
    </row>
    <row r="22386" ht="15.75" customHeight="1">
      <c r="A22386" s="2" t="s">
        <v>22386</v>
      </c>
      <c r="B22386" s="2" t="str">
        <f>IFERROR(__xludf.DUMMYFUNCTION("GOOGLETRANSLATE(A22386, ""en"", ""mt"")"),"tul il-fruntieri")</f>
        <v>tul il-fruntieri</v>
      </c>
    </row>
    <row r="22387" ht="15.75" customHeight="1">
      <c r="A22387" s="2" t="s">
        <v>22387</v>
      </c>
      <c r="B22387" s="2" t="str">
        <f>IFERROR(__xludf.DUMMYFUNCTION("GOOGLETRANSLATE(A22387, ""en"", ""mt"")"),"Żid O2 minflok is-CO2 ma 'rump")</f>
        <v>Żid O2 minflok is-CO2 ma 'rump</v>
      </c>
    </row>
    <row r="22388" ht="15.75" customHeight="1">
      <c r="A22388" s="2" t="s">
        <v>22388</v>
      </c>
      <c r="B22388" s="2" t="str">
        <f>IFERROR(__xludf.DUMMYFUNCTION("GOOGLETRANSLATE(A22388, ""en"", ""mt"")"),"tliet snin")</f>
        <v>tliet snin</v>
      </c>
    </row>
    <row r="22389" ht="15.75" customHeight="1">
      <c r="A22389" s="2" t="s">
        <v>22389</v>
      </c>
      <c r="B22389" s="2" t="str">
        <f>IFERROR(__xludf.DUMMYFUNCTION("GOOGLETRANSLATE(A22389, ""en"", ""mt"")"),"F'nofs is-snin 1960, l-iskandli tal-korruzzjoni bdew jinħolqu fost ħafna mill-uffiċjali tal-belt, li ġew eletti prinċipalment permezz tan-netwerk tradizzjonali tat-tifel antik. Wara li ġiet imlaqqa 'ġurija kbira biex tinvestiga, 11-il uffiċjal ġew akkużat"&amp;"i u aktar ġew sfurzati jirriżenjaw. Jacksonville Consolidation, immexxija minn J. J. Daniel u Claude Yates, bdew jirbħu aktar appoġġ matul dan il-perjodu, miż-żewġ suwed tal-belt ġewwa, li riedu aktar involviment fil-gvern, u l-abjad fis-subborgi, li ried"&amp;"u aktar servizzi u aktar kontroll fuq il-belt ċentrali fuq il-belt ċentrali - Fl-1964 il-15-il skejjel pubbliċi tal-Kontea ta 'Duval tilfu l-akkreditazzjoni tagħhom. Dan żied il-momentum għall-proposti għar-riforma tal-gvern. Taxxi aktar baxxi, żieda fl-i"&amp;"żvilupp ekonomiku, unifikazzjoni tal-komunità, infiq pubbliku aħjar u amministrazzjoni effettiva minn awtorità aktar ċentrali kienu kollha kkwotati bħala raġunijiet għal gvern konsolidat ġdid.")</f>
        <v>F'nofs is-snin 1960, l-iskandli tal-korruzzjoni bdew jinħolqu fost ħafna mill-uffiċjali tal-belt, li ġew eletti prinċipalment permezz tan-netwerk tradizzjonali tat-tifel antik. Wara li ġiet imlaqqa 'ġurija kbira biex tinvestiga, 11-il uffiċjal ġew akkużati u aktar ġew sfurzati jirriżenjaw. Jacksonville Consolidation, immexxija minn J. J. Daniel u Claude Yates, bdew jirbħu aktar appoġġ matul dan il-perjodu, miż-żewġ suwed tal-belt ġewwa, li riedu aktar involviment fil-gvern, u l-abjad fis-subborgi, li riedu aktar servizzi u aktar kontroll fuq il-belt ċentrali fuq il-belt ċentrali - Fl-1964 il-15-il skejjel pubbliċi tal-Kontea ta 'Duval tilfu l-akkreditazzjoni tagħhom. Dan żied il-momentum għall-proposti għar-riforma tal-gvern. Taxxi aktar baxxi, żieda fl-iżvilupp ekonomiku, unifikazzjoni tal-komunità, infiq pubbliku aħjar u amministrazzjoni effettiva minn awtorità aktar ċentrali kienu kollha kkwotati bħala raġunijiet għal gvern konsolidat ġdid.</v>
      </c>
    </row>
    <row r="22390" ht="15.75" customHeight="1">
      <c r="A22390" s="2" t="s">
        <v>22390</v>
      </c>
      <c r="B22390" s="2" t="str">
        <f>IFERROR(__xludf.DUMMYFUNCTION("GOOGLETRANSLATE(A22390, ""en"", ""mt"")"),"Meta d-Daleks ġew introdotti mill-ġdid fis-serje Revival?")</f>
        <v>Meta d-Daleks ġew introdotti mill-ġdid fis-serje Revival?</v>
      </c>
    </row>
    <row r="22391" ht="15.75" customHeight="1">
      <c r="A22391" s="2" t="s">
        <v>22391</v>
      </c>
      <c r="B22391" s="2" t="str">
        <f>IFERROR(__xludf.DUMMYFUNCTION("GOOGLETRANSLATE(A22391, ""en"", ""mt"")"),"tkabbir kostanti")</f>
        <v>tkabbir kostanti</v>
      </c>
    </row>
    <row r="22392" ht="15.75" customHeight="1">
      <c r="A22392" s="2" t="s">
        <v>22392</v>
      </c>
      <c r="B22392" s="2" t="str">
        <f>IFERROR(__xludf.DUMMYFUNCTION("GOOGLETRANSLATE(A22392, ""en"", ""mt"")"),"Ċentru tal-passaġġ tal-kurva.")</f>
        <v>Ċentru tal-passaġġ tal-kurva.</v>
      </c>
    </row>
    <row r="22393" ht="15.75" customHeight="1">
      <c r="A22393" s="2" t="s">
        <v>22393</v>
      </c>
      <c r="B22393" s="2" t="str">
        <f>IFERROR(__xludf.DUMMYFUNCTION("GOOGLETRANSLATE(A22393, ""en"", ""mt"")"),"Shoushi li")</f>
        <v>Shoushi li</v>
      </c>
    </row>
    <row r="22394" ht="15.75" customHeight="1">
      <c r="A22394" s="2" t="s">
        <v>22394</v>
      </c>
      <c r="B22394" s="2" t="str">
        <f>IFERROR(__xludf.DUMMYFUNCTION("GOOGLETRANSLATE(A22394, ""en"", ""mt"")"),"L-Editt ta 'Fontainebleau")</f>
        <v>L-Editt ta 'Fontainebleau</v>
      </c>
    </row>
    <row r="22395" ht="15.75" customHeight="1">
      <c r="A22395" s="2" t="s">
        <v>22395</v>
      </c>
      <c r="B22395" s="2" t="str">
        <f>IFERROR(__xludf.DUMMYFUNCTION("GOOGLETRANSLATE(A22395, ""en"", ""mt"")"),"madwar wieħed minn tmienja")</f>
        <v>madwar wieħed minn tmienja</v>
      </c>
    </row>
    <row r="22396" ht="15.75" customHeight="1">
      <c r="A22396" s="2" t="s">
        <v>22396</v>
      </c>
      <c r="B22396" s="2" t="str">
        <f>IFERROR(__xludf.DUMMYFUNCTION("GOOGLETRANSLATE(A22396, ""en"", ""mt"")"),"X'inhu l-isem tas-satellita li kejjel l-ammont ta 'trab?")</f>
        <v>X'inhu l-isem tas-satellita li kejjel l-ammont ta 'trab?</v>
      </c>
    </row>
    <row r="22397" ht="15.75" customHeight="1">
      <c r="A22397" s="2" t="s">
        <v>22397</v>
      </c>
      <c r="B22397" s="2" t="str">
        <f>IFERROR(__xludf.DUMMYFUNCTION("GOOGLETRANSLATE(A22397, ""en"", ""mt"")"),"L-ispedizzjoni kienet diżastru")</f>
        <v>L-ispedizzjoni kienet diżastru</v>
      </c>
    </row>
    <row r="22398" ht="15.75" customHeight="1">
      <c r="A22398" s="2" t="s">
        <v>22398</v>
      </c>
      <c r="B22398" s="2" t="str">
        <f>IFERROR(__xludf.DUMMYFUNCTION("GOOGLETRANSLATE(A22398, ""en"", ""mt"")"),"27 ta ’Awwissu 2010")</f>
        <v>27 ta ’Awwissu 2010</v>
      </c>
    </row>
    <row r="22399" ht="15.75" customHeight="1">
      <c r="A22399" s="2" t="s">
        <v>22399</v>
      </c>
      <c r="B22399" s="2" t="str">
        <f>IFERROR(__xludf.DUMMYFUNCTION("GOOGLETRANSLATE(A22399, ""en"", ""mt"")"),"S-IB")</f>
        <v>S-IB</v>
      </c>
    </row>
    <row r="22400" ht="15.75" customHeight="1">
      <c r="A22400" s="2" t="s">
        <v>22400</v>
      </c>
      <c r="B22400" s="2" t="str">
        <f>IFERROR(__xludf.DUMMYFUNCTION("GOOGLETRANSLATE(A22400, ""en"", ""mt"")"),"Liema interpretazzjoni tal-Iżlam hija, għal ħafna mill-osservanti, l- ""istandard tad-deheb"" tar-reliġjon tagħhom?")</f>
        <v>Liema interpretazzjoni tal-Iżlam hija, għal ħafna mill-osservanti, l- "istandard tad-deheb" tar-reliġjon tagħhom?</v>
      </c>
    </row>
    <row r="22401" ht="15.75" customHeight="1">
      <c r="A22401" s="2" t="s">
        <v>22401</v>
      </c>
      <c r="B22401" s="2" t="str">
        <f>IFERROR(__xludf.DUMMYFUNCTION("GOOGLETRANSLATE(A22401, ""en"", ""mt"")"),"Kif xi wħud jissuspettaw li Polo tgħallmu dwar iċ-Ċina minflok ma żżurha fil-fatt?")</f>
        <v>Kif xi wħud jissuspettaw li Polo tgħallmu dwar iċ-Ċina minflok ma żżurha fil-fatt?</v>
      </c>
    </row>
    <row r="22402" ht="15.75" customHeight="1">
      <c r="A22402" s="2" t="s">
        <v>22402</v>
      </c>
      <c r="B22402" s="2" t="str">
        <f>IFERROR(__xludf.DUMMYFUNCTION("GOOGLETRANSLATE(A22402, ""en"", ""mt"")"),"Diversi impjiegi ta 'tiswija elettrika")</f>
        <v>Diversi impjiegi ta 'tiswija elettrika</v>
      </c>
    </row>
    <row r="22403" ht="15.75" customHeight="1">
      <c r="A22403" s="2" t="s">
        <v>22403</v>
      </c>
      <c r="B22403" s="2" t="str">
        <f>IFERROR(__xludf.DUMMYFUNCTION("GOOGLETRANSLATE(A22403, ""en"", ""mt"")"),"Min kien il-president tar-radju ABC fl-1968?")</f>
        <v>Min kien il-president tar-radju ABC fl-1968?</v>
      </c>
    </row>
    <row r="22404" ht="15.75" customHeight="1">
      <c r="A22404" s="2" t="s">
        <v>22404</v>
      </c>
      <c r="B22404" s="2" t="str">
        <f>IFERROR(__xludf.DUMMYFUNCTION("GOOGLETRANSLATE(A22404, ""en"", ""mt"")"),"Distrett ta 'Brompton tar-Royal Borough ta' Kensington u Chelsea,")</f>
        <v>Distrett ta 'Brompton tar-Royal Borough ta' Kensington u Chelsea,</v>
      </c>
    </row>
    <row r="22405" ht="15.75" customHeight="1">
      <c r="A22405" s="2" t="s">
        <v>22405</v>
      </c>
      <c r="B22405" s="2" t="str">
        <f>IFERROR(__xludf.DUMMYFUNCTION("GOOGLETRANSLATE(A22405, ""en"", ""mt"")"),"Terrorista Shia")</f>
        <v>Terrorista Shia</v>
      </c>
    </row>
    <row r="22406" ht="15.75" customHeight="1">
      <c r="A22406" s="2" t="s">
        <v>22406</v>
      </c>
      <c r="B22406" s="2" t="str">
        <f>IFERROR(__xludf.DUMMYFUNCTION("GOOGLETRANSLATE(A22406, ""en"", ""mt"")"),"Kemm residenti ta ’Sivilja mietu bil-pesta fl-1649?")</f>
        <v>Kemm residenti ta ’Sivilja mietu bil-pesta fl-1649?</v>
      </c>
    </row>
    <row r="22407" ht="15.75" customHeight="1">
      <c r="A22407" s="2" t="s">
        <v>22407</v>
      </c>
      <c r="B22407" s="2" t="str">
        <f>IFERROR(__xludf.DUMMYFUNCTION("GOOGLETRANSLATE(A22407, ""en"", ""mt"")"),"X'inhi ċellola tal-klorenchyma?")</f>
        <v>X'inhi ċellola tal-klorenchyma?</v>
      </c>
    </row>
    <row r="22408" ht="15.75" customHeight="1">
      <c r="A22408" s="2" t="s">
        <v>22408</v>
      </c>
      <c r="B22408" s="2" t="str">
        <f>IFERROR(__xludf.DUMMYFUNCTION("GOOGLETRANSLATE(A22408, ""en"", ""mt"")"),"L-ispiżjara huma professjonisti tal-kura tas-saħħa b'edukazzjoni u taħriġ speċjalizzati li jwettqu diversi rwoli biex jiżguraw riżultati tas-saħħa ottimali għall-pazjenti tagħhom permezz tal-użu tal-kwalità tal-mediċini. L-ispiżjara jistgħu wkoll ikunu si"&amp;"dien ta ’negozji żgħar, li jippossjedu l-ispiżerija li fihom jipprattikaw. Peress li l-ispiżjara jafu dwar il-mod ta 'azzjoni ta' mediċina partikolari, u l-metaboliżmu u l-effetti fiżjoloġiċi tagħha fuq il-ġisem tal-bniedem fid-dettall, huma għandhom rwol"&amp;" importanti fl-ottimizzazzjoni ta 'trattament ta' mediċina għal individwu.")</f>
        <v>L-ispiżjara huma professjonisti tal-kura tas-saħħa b'edukazzjoni u taħriġ speċjalizzati li jwettqu diversi rwoli biex jiżguraw riżultati tas-saħħa ottimali għall-pazjenti tagħhom permezz tal-użu tal-kwalità tal-mediċini. L-ispiżjara jistgħu wkoll ikunu sidien ta ’negozji żgħar, li jippossjedu l-ispiżerija li fihom jipprattikaw. Peress li l-ispiżjara jafu dwar il-mod ta 'azzjoni ta' mediċina partikolari, u l-metaboliżmu u l-effetti fiżjoloġiċi tagħha fuq il-ġisem tal-bniedem fid-dettall, huma għandhom rwol importanti fl-ottimizzazzjoni ta 'trattament ta' mediċina għal individwu.</v>
      </c>
    </row>
    <row r="22409" ht="15.75" customHeight="1">
      <c r="A22409" s="2" t="s">
        <v>22409</v>
      </c>
      <c r="B22409" s="2" t="str">
        <f>IFERROR(__xludf.DUMMYFUNCTION("GOOGLETRANSLATE(A22409, ""en"", ""mt"")"),"Konfederat")</f>
        <v>Konfederat</v>
      </c>
    </row>
    <row r="22410" ht="15.75" customHeight="1">
      <c r="A22410" s="2" t="s">
        <v>22410</v>
      </c>
      <c r="B22410" s="2" t="str">
        <f>IFERROR(__xludf.DUMMYFUNCTION("GOOGLETRANSLATE(A22410, ""en"", ""mt"")"),"X'kien il-limitu ta 'żmien fuq l-irkupru ta' sentenzi ta 'Luther?")</f>
        <v>X'kien il-limitu ta 'żmien fuq l-irkupru ta' sentenzi ta 'Luther?</v>
      </c>
    </row>
    <row r="22411" ht="15.75" customHeight="1">
      <c r="A22411" s="2" t="s">
        <v>22411</v>
      </c>
      <c r="B22411" s="2" t="str">
        <f>IFERROR(__xludf.DUMMYFUNCTION("GOOGLETRANSLATE(A22411, ""en"", ""mt"")"),"Kumpanija Maling")</f>
        <v>Kumpanija Maling</v>
      </c>
    </row>
    <row r="22412" ht="15.75" customHeight="1">
      <c r="A22412" s="2" t="s">
        <v>22412</v>
      </c>
      <c r="B22412" s="2" t="str">
        <f>IFERROR(__xludf.DUMMYFUNCTION("GOOGLETRANSLATE(A22412, ""en"", ""mt"")"),"Liema disinjatur grafiku ddisinja l-logo ABC fil-forma l-iktar magħrufa tiegħu?")</f>
        <v>Liema disinjatur grafiku ddisinja l-logo ABC fil-forma l-iktar magħrufa tiegħu?</v>
      </c>
    </row>
    <row r="22413" ht="15.75" customHeight="1">
      <c r="A22413" s="2" t="s">
        <v>22413</v>
      </c>
      <c r="B22413" s="2" t="str">
        <f>IFERROR(__xludf.DUMMYFUNCTION("GOOGLETRANSLATE(A22413, ""en"", ""mt"")"),"Pavimenti tal-Mużajk")</f>
        <v>Pavimenti tal-Mużajk</v>
      </c>
    </row>
    <row r="22414" ht="15.75" customHeight="1">
      <c r="A22414" s="2" t="s">
        <v>22414</v>
      </c>
      <c r="B22414" s="2" t="str">
        <f>IFERROR(__xludf.DUMMYFUNCTION("GOOGLETRANSLATE(A22414, ""en"", ""mt"")"),"mhux self")</f>
        <v>mhux self</v>
      </c>
    </row>
    <row r="22415" ht="15.75" customHeight="1">
      <c r="A22415" s="2" t="s">
        <v>22415</v>
      </c>
      <c r="B22415" s="2" t="str">
        <f>IFERROR(__xludf.DUMMYFUNCTION("GOOGLETRANSLATE(A22415, ""en"", ""mt"")"),"Liema sena l-istadium ta 'Levi sar approvat bis-sħiħ biex jospita Super Bowl 50?")</f>
        <v>Liema sena l-istadium ta 'Levi sar approvat bis-sħiħ biex jospita Super Bowl 50?</v>
      </c>
    </row>
    <row r="22416" ht="15.75" customHeight="1">
      <c r="A22416" s="2" t="s">
        <v>22416</v>
      </c>
      <c r="B22416" s="2" t="str">
        <f>IFERROR(__xludf.DUMMYFUNCTION("GOOGLETRANSLATE(A22416, ""en"", ""mt"")"),"Fejn kienet ospitata l-Eve Rockin 'tas-Sena l-Ġdida?")</f>
        <v>Fejn kienet ospitata l-Eve Rockin 'tas-Sena l-Ġdida?</v>
      </c>
    </row>
    <row r="22417" ht="15.75" customHeight="1">
      <c r="A22417" s="2" t="s">
        <v>22417</v>
      </c>
      <c r="B22417" s="2" t="str">
        <f>IFERROR(__xludf.DUMMYFUNCTION("GOOGLETRANSLATE(A22417, ""en"", ""mt"")"),"Battalja ta 'Olustee")</f>
        <v>Battalja ta 'Olustee</v>
      </c>
    </row>
    <row r="22418" ht="15.75" customHeight="1">
      <c r="A22418" s="2" t="s">
        <v>22418</v>
      </c>
      <c r="B22418" s="2" t="str">
        <f>IFERROR(__xludf.DUMMYFUNCTION("GOOGLETRANSLATE(A22418, ""en"", ""mt"")"),"F'liema sena sar il-Bequest tat-Talting?")</f>
        <v>F'liema sena sar il-Bequest tat-Talting?</v>
      </c>
    </row>
    <row r="22419" ht="15.75" customHeight="1">
      <c r="A22419" s="2" t="s">
        <v>22419</v>
      </c>
      <c r="B22419" s="2" t="str">
        <f>IFERROR(__xludf.DUMMYFUNCTION("GOOGLETRANSLATE(A22419, ""en"", ""mt"")"),"Materjali faċilment disponibbli fiż-żona")</f>
        <v>Materjali faċilment disponibbli fiż-żona</v>
      </c>
    </row>
    <row r="22420" ht="15.75" customHeight="1">
      <c r="A22420" s="2" t="s">
        <v>22420</v>
      </c>
      <c r="B22420" s="2" t="str">
        <f>IFERROR(__xludf.DUMMYFUNCTION("GOOGLETRANSLATE(A22420, ""en"", ""mt"")"),"Bejn l-1960 u l-2000")</f>
        <v>Bejn l-1960 u l-2000</v>
      </c>
    </row>
    <row r="22421" ht="15.75" customHeight="1">
      <c r="A22421" s="2" t="s">
        <v>22421</v>
      </c>
      <c r="B22421" s="2" t="str">
        <f>IFERROR(__xludf.DUMMYFUNCTION("GOOGLETRANSLATE(A22421, ""en"", ""mt"")"),"F'liema sena nħolqot il-kollezzjoni tal-lokomozzjoni tal-annimali?")</f>
        <v>F'liema sena nħolqot il-kollezzjoni tal-lokomozzjoni tal-annimali?</v>
      </c>
    </row>
    <row r="22422" ht="15.75" customHeight="1">
      <c r="A22422" s="2" t="s">
        <v>22422</v>
      </c>
      <c r="B22422" s="2" t="str">
        <f>IFERROR(__xludf.DUMMYFUNCTION("GOOGLETRANSLATE(A22422, ""en"", ""mt"")"),"Konferenza Ġenerali a")</f>
        <v>Konferenza Ġenerali a</v>
      </c>
    </row>
    <row r="22423" ht="15.75" customHeight="1">
      <c r="A22423" s="2" t="s">
        <v>22423</v>
      </c>
      <c r="B22423" s="2" t="str">
        <f>IFERROR(__xludf.DUMMYFUNCTION("GOOGLETRANSLATE(A22423, ""en"", ""mt"")"),"sa ħamsa")</f>
        <v>sa ħamsa</v>
      </c>
    </row>
    <row r="22424" ht="15.75" customHeight="1">
      <c r="A22424" s="2" t="s">
        <v>22424</v>
      </c>
      <c r="B22424" s="2" t="str">
        <f>IFERROR(__xludf.DUMMYFUNCTION("GOOGLETRANSLATE(A22424, ""en"", ""mt"")"),"il-korpi artab u ġelatinuż tagħhom")</f>
        <v>il-korpi artab u ġelatinuż tagħhom</v>
      </c>
    </row>
    <row r="22425" ht="15.75" customHeight="1">
      <c r="A22425" s="2" t="s">
        <v>22425</v>
      </c>
      <c r="B22425" s="2" t="str">
        <f>IFERROR(__xludf.DUMMYFUNCTION("GOOGLETRANSLATE(A22425, ""en"", ""mt"")"),"Temüjin kellu tliet aħwa jismu Hasar, Hachiun, u Temüge, u oħt waħda bl-isem ta ’Temülen, kif ukoll żewġ nofs aħwa bl-isem ta’ Begter u Belgutei. Bħal ħafna min-nomadi tal-Mongolja, il-ħajja bikrija ta 'Temüjin kienet diffiċli. Missieru rranġa żwieġ għali"&amp;"h, u fid-disa 'snin huwa ġie kkonsenjat minn missieru lill-familja tal-mara futura tiegħu Börte, li kienet membru tat-tribù Khongirad. Temüjin kellu jgħix hemm fis-servizz lil Dai Setsen, il-kap tad-dar il-ġdida, sakemm wasal fl-età li tista 'tiżżewweġ ta"&amp;" '12.")</f>
        <v>Temüjin kellu tliet aħwa jismu Hasar, Hachiun, u Temüge, u oħt waħda bl-isem ta ’Temülen, kif ukoll żewġ nofs aħwa bl-isem ta’ Begter u Belgutei. Bħal ħafna min-nomadi tal-Mongolja, il-ħajja bikrija ta 'Temüjin kienet diffiċli. Missieru rranġa żwieġ għalih, u fid-disa 'snin huwa ġie kkonsenjat minn missieru lill-familja tal-mara futura tiegħu Börte, li kienet membru tat-tribù Khongirad. Temüjin kellu jgħix hemm fis-servizz lil Dai Setsen, il-kap tad-dar il-ġdida, sakemm wasal fl-età li tista 'tiżżewweġ ta '12.</v>
      </c>
    </row>
    <row r="22426" ht="15.75" customHeight="1">
      <c r="A22426" s="2" t="s">
        <v>22426</v>
      </c>
      <c r="B22426" s="2" t="str">
        <f>IFERROR(__xludf.DUMMYFUNCTION("GOOGLETRANSLATE(A22426, ""en"", ""mt"")"),"Belt tal-Ubii")</f>
        <v>Belt tal-Ubii</v>
      </c>
    </row>
    <row r="22427" ht="15.75" customHeight="1">
      <c r="A22427" s="2" t="s">
        <v>22427</v>
      </c>
      <c r="B22427" s="2" t="str">
        <f>IFERROR(__xludf.DUMMYFUNCTION("GOOGLETRANSLATE(A22427, ""en"", ""mt"")"),"Peter Davison, Colin Baker u Sylvester McCoy")</f>
        <v>Peter Davison, Colin Baker u Sylvester McCoy</v>
      </c>
    </row>
    <row r="22428" ht="15.75" customHeight="1">
      <c r="A22428" s="2" t="s">
        <v>22428</v>
      </c>
      <c r="B22428" s="2" t="str">
        <f>IFERROR(__xludf.DUMMYFUNCTION("GOOGLETRANSLATE(A22428, ""en"", ""mt"")"),"Liema istituzzjoni l-V &amp; A ssieħbu biex tiftaħ l-ewwel gallerija ta 'l-istorja arkitettonika permanenti fir-Renju Unit?")</f>
        <v>Liema istituzzjoni l-V &amp; A ssieħbu biex tiftaħ l-ewwel gallerija ta 'l-istorja arkitettonika permanenti fir-Renju Unit?</v>
      </c>
    </row>
    <row r="22429" ht="15.75" customHeight="1">
      <c r="A22429" s="2" t="s">
        <v>22429</v>
      </c>
      <c r="B22429" s="2" t="str">
        <f>IFERROR(__xludf.DUMMYFUNCTION("GOOGLETRANSLATE(A22429, ""en"", ""mt"")"),"Proġetti ta 'żvilupp fuq skala kbira")</f>
        <v>Proġetti ta 'żvilupp fuq skala kbira</v>
      </c>
    </row>
    <row r="22430" ht="15.75" customHeight="1">
      <c r="A22430" s="2" t="s">
        <v>22430</v>
      </c>
      <c r="B22430" s="2" t="str">
        <f>IFERROR(__xludf.DUMMYFUNCTION("GOOGLETRANSLATE(A22430, ""en"", ""mt"")"),"Xi jfisser l-ewwel mużew tal-posters fid-dinja waħda mill-ikbar kollezzjonijiet fid-dinja?")</f>
        <v>Xi jfisser l-ewwel mużew tal-posters fid-dinja waħda mill-ikbar kollezzjonijiet fid-dinja?</v>
      </c>
    </row>
    <row r="22431" ht="15.75" customHeight="1">
      <c r="A22431" s="2" t="s">
        <v>22431</v>
      </c>
      <c r="B22431" s="2" t="str">
        <f>IFERROR(__xludf.DUMMYFUNCTION("GOOGLETRANSLATE(A22431, ""en"", ""mt"")"),"Fl-1939 suldati nazzjonalisti Ċiniżi ħadu l-mausoleum mill-pożizzjoni tiegħu fil-'Loord's Encrose '(Mongoljan: Edsen Khoroo) fil-Mongolja biex jipproteġuh mit-truppi Ġappuniżi. Kien ittieħed minn territorju miżmum komunista f'Yan'an madwar 900 km fuq il-k"&amp;"arretti għas-sigurtà f'monasteru Buddista, id-Dongshan Dafo Dian, fejn baqa 'għal għaxar snin. Fl-1949, hekk kif it-truppi komunisti avvanzaw, is-suldati nazzjonalisti mxewha 200 km oħra 'l bogħod lejn il-punent lejn il-famuż Monasteru Tibetan tal-Monaste"&amp;"ru ta' Kummum jew Ta'er Shi qrib Xining, li dalwaqt waqgħu taħt kontroll komunista. Fil-bidu tal-1954, il-bier u r-relikwi ta 'Genghis Khan ġew mibgħuta lura lill-għeluq tal-Mulej fil-Mongolja. Sal-1956 inbena tempju ġdid hemmhekk biex tospitahom. Fl-1968"&amp;" matul ir-Rivoluzzjoni Kulturali, il-Gwardji l-Aħmar qerdu kważi dak kollu ta 'valur. Ir- ""fdalijiet"" reġgħu ġew mill-ġdid fis-snin sebgħin u statwa tal-irħam kbira ta 'Genghis tlestiet fl-1989.")</f>
        <v>Fl-1939 suldati nazzjonalisti Ċiniżi ħadu l-mausoleum mill-pożizzjoni tiegħu fil-'Loord's Encrose '(Mongoljan: Edsen Khoroo) fil-Mongolja biex jipproteġuh mit-truppi Ġappuniżi. Kien ittieħed minn territorju miżmum komunista f'Yan'an madwar 900 km fuq il-karretti għas-sigurtà f'monasteru Buddista, id-Dongshan Dafo Dian, fejn baqa 'għal għaxar snin. Fl-1949, hekk kif it-truppi komunisti avvanzaw, is-suldati nazzjonalisti mxewha 200 km oħra 'l bogħod lejn il-punent lejn il-famuż Monasteru Tibetan tal-Monasteru ta' Kummum jew Ta'er Shi qrib Xining, li dalwaqt waqgħu taħt kontroll komunista. Fil-bidu tal-1954, il-bier u r-relikwi ta 'Genghis Khan ġew mibgħuta lura lill-għeluq tal-Mulej fil-Mongolja. Sal-1956 inbena tempju ġdid hemmhekk biex tospitahom. Fl-1968 matul ir-Rivoluzzjoni Kulturali, il-Gwardji l-Aħmar qerdu kważi dak kollu ta 'valur. Ir- "fdalijiet" reġgħu ġew mill-ġdid fis-snin sebgħin u statwa tal-irħam kbira ta 'Genghis tlestiet fl-1989.</v>
      </c>
    </row>
    <row r="22432" ht="15.75" customHeight="1">
      <c r="A22432" s="2" t="s">
        <v>22432</v>
      </c>
      <c r="B22432" s="2" t="str">
        <f>IFERROR(__xludf.DUMMYFUNCTION("GOOGLETRANSLATE(A22432, ""en"", ""mt"")"),"Mużew Katyń")</f>
        <v>Mużew Katyń</v>
      </c>
    </row>
    <row r="22433" ht="15.75" customHeight="1">
      <c r="A22433" s="2" t="s">
        <v>22433</v>
      </c>
      <c r="B22433" s="2" t="str">
        <f>IFERROR(__xludf.DUMMYFUNCTION("GOOGLETRANSLATE(A22433, ""en"", ""mt"")"),"Buddiżmu")</f>
        <v>Buddiżmu</v>
      </c>
    </row>
    <row r="22434" ht="15.75" customHeight="1">
      <c r="A22434" s="2" t="s">
        <v>22434</v>
      </c>
      <c r="B22434" s="2" t="str">
        <f>IFERROR(__xludf.DUMMYFUNCTION("GOOGLETRANSLATE(A22434, ""en"", ""mt"")"),"X'kienu Huguenots li baqgħu fi Franza eventwalment magħrufa bħala?")</f>
        <v>X'kienu Huguenots li baqgħu fi Franza eventwalment magħrufa bħala?</v>
      </c>
    </row>
    <row r="22435" ht="15.75" customHeight="1">
      <c r="A22435" s="2" t="s">
        <v>22435</v>
      </c>
      <c r="B22435" s="2" t="str">
        <f>IFERROR(__xludf.DUMMYFUNCTION("GOOGLETRANSLATE(A22435, ""en"", ""mt"")"),"Meta ġew restawrati l-privattivi ta 'Tesla?")</f>
        <v>Meta ġew restawrati l-privattivi ta 'Tesla?</v>
      </c>
    </row>
    <row r="22436" ht="15.75" customHeight="1">
      <c r="A22436" s="2" t="s">
        <v>22436</v>
      </c>
      <c r="B22436" s="2" t="str">
        <f>IFERROR(__xludf.DUMMYFUNCTION("GOOGLETRANSLATE(A22436, ""en"", ""mt"")"),"X'tip ta 'università hija l-Istitut tat-Teknoloġija ta' California?")</f>
        <v>X'tip ta 'università hija l-Istitut tat-Teknoloġija ta' California?</v>
      </c>
    </row>
    <row r="22437" ht="15.75" customHeight="1">
      <c r="A22437" s="2" t="s">
        <v>22437</v>
      </c>
      <c r="B22437" s="2" t="str">
        <f>IFERROR(__xludf.DUMMYFUNCTION("GOOGLETRANSLATE(A22437, ""en"", ""mt"")"),"Speċi reattivi ta 'ossiġnu, bħal jone superoxide (O−
2) u perossidu tal-idroġenu (h
2o
2), huma prodotti sekondarji perikolużi ta 'użu ta' ossiġnu f'organiżmi. Partijiet mis-sistema immunitarja ta 'organiżmi ogħla joħolqu perossidu, superossidu u ossiġnu "&amp;"singlet biex jeqirdu mikrobi li jinvadu. Speċi reattivi ta 'ossiġnu għandhom ukoll rwol importanti fir-rispons ipersensittiv ta' pjanti kontra attakk ta 'patoġeni. L-ossiġnu huwa tossiku għal organiżmi anerobiċi obbligatament, li kienu l-forma dominanti t"&amp;"al-ħajja bikrija fid-dinja sakemm o
2 bdew jakkumulaw fl-atmosfera madwar 2.5 biljun sena ilu matul l-avveniment tal-ossiġenazzjoni l-kbira, madwar biljun sena wara l-ewwel dehra ta 'dawn l-organiżmi.")</f>
        <v>Speċi reattivi ta 'ossiġnu, bħal jone superoxide (O−
2) u perossidu tal-idroġenu (h
2o
2), huma prodotti sekondarji perikolużi ta 'użu ta' ossiġnu f'organiżmi. Partijiet mis-sistema immunitarja ta 'organiżmi ogħla joħolqu perossidu, superossidu u ossiġnu singlet biex jeqirdu mikrobi li jinvadu. Speċi reattivi ta 'ossiġnu għandhom ukoll rwol importanti fir-rispons ipersensittiv ta' pjanti kontra attakk ta 'patoġeni. L-ossiġnu huwa tossiku għal organiżmi anerobiċi obbligatament, li kienu l-forma dominanti tal-ħajja bikrija fid-dinja sakemm o
2 bdew jakkumulaw fl-atmosfera madwar 2.5 biljun sena ilu matul l-avveniment tal-ossiġenazzjoni l-kbira, madwar biljun sena wara l-ewwel dehra ta 'dawn l-organiżmi.</v>
      </c>
    </row>
    <row r="22438" ht="15.75" customHeight="1">
      <c r="A22438" s="2" t="s">
        <v>22438</v>
      </c>
      <c r="B22438" s="2" t="str">
        <f>IFERROR(__xludf.DUMMYFUNCTION("GOOGLETRANSLATE(A22438, ""en"", ""mt"")"),"FM klassiku")</f>
        <v>FM klassiku</v>
      </c>
    </row>
    <row r="22439" ht="15.75" customHeight="1">
      <c r="A22439" s="2" t="s">
        <v>22439</v>
      </c>
      <c r="B22439" s="2" t="str">
        <f>IFERROR(__xludf.DUMMYFUNCTION("GOOGLETRANSLATE(A22439, ""en"", ""mt"")"),"F'liema sena ġiet ikkanċellata s-supernanny?")</f>
        <v>F'liema sena ġiet ikkanċellata s-supernanny?</v>
      </c>
    </row>
    <row r="22440" ht="15.75" customHeight="1">
      <c r="A22440" s="2" t="s">
        <v>22440</v>
      </c>
      <c r="B22440" s="2" t="str">
        <f>IFERROR(__xludf.DUMMYFUNCTION("GOOGLETRANSLATE(A22440, ""en"", ""mt"")"),"Maling")</f>
        <v>Maling</v>
      </c>
    </row>
    <row r="22441" ht="15.75" customHeight="1">
      <c r="A22441" s="2" t="s">
        <v>22441</v>
      </c>
      <c r="B22441" s="2" t="str">
        <f>IFERROR(__xludf.DUMMYFUNCTION("GOOGLETRANSLATE(A22441, ""en"", ""mt"")"),"il-kap tal-gvern kien ikun qed jaġixxi fil-kapaċità tagħha jew tiegħu bħala uffiċjal pubbliku")</f>
        <v>il-kap tal-gvern kien ikun qed jaġixxi fil-kapaċità tagħha jew tiegħu bħala uffiċjal pubbliku</v>
      </c>
    </row>
    <row r="22442" ht="15.75" customHeight="1">
      <c r="A22442" s="2" t="s">
        <v>22442</v>
      </c>
      <c r="B22442" s="2" t="str">
        <f>IFERROR(__xludf.DUMMYFUNCTION("GOOGLETRANSLATE(A22442, ""en"", ""mt"")"),"X'jipproduċu l-fotokiti?")</f>
        <v>X'jipproduċu l-fotokiti?</v>
      </c>
    </row>
    <row r="22443" ht="15.75" customHeight="1">
      <c r="A22443" s="2" t="s">
        <v>22443</v>
      </c>
      <c r="B22443" s="2" t="str">
        <f>IFERROR(__xludf.DUMMYFUNCTION("GOOGLETRANSLATE(A22443, ""en"", ""mt"")"),"X'tip ta 'dikjarazzjoni hija magħmula fl-isforz li tistabbilixxi r-rekwiżiti tal-ħin u l-ispazju meħtieġa biex titjieb in-numru aħħari ta' problemi solvuti?")</f>
        <v>X'tip ta 'dikjarazzjoni hija magħmula fl-isforz li tistabbilixxi r-rekwiżiti tal-ħin u l-ispazju meħtieġa biex titjieb in-numru aħħari ta' problemi solvuti?</v>
      </c>
    </row>
    <row r="22444" ht="15.75" customHeight="1">
      <c r="A22444" s="2" t="s">
        <v>22444</v>
      </c>
      <c r="B22444" s="2" t="str">
        <f>IFERROR(__xludf.DUMMYFUNCTION("GOOGLETRANSLATE(A22444, ""en"", ""mt"")"),"Staġun 11")</f>
        <v>Staġun 11</v>
      </c>
    </row>
    <row r="22445" ht="15.75" customHeight="1">
      <c r="A22445" s="2" t="s">
        <v>22445</v>
      </c>
      <c r="B22445" s="2" t="str">
        <f>IFERROR(__xludf.DUMMYFUNCTION("GOOGLETRANSLATE(A22445, ""en"", ""mt"")"),"limitat")</f>
        <v>limitat</v>
      </c>
    </row>
    <row r="22446" ht="15.75" customHeight="1">
      <c r="A22446" s="2" t="s">
        <v>22446</v>
      </c>
      <c r="B22446" s="2" t="str">
        <f>IFERROR(__xludf.DUMMYFUNCTION("GOOGLETRANSLATE(A22446, ""en"", ""mt"")"),"Minn liema parti hija parti l-President Kibaki?")</f>
        <v>Minn liema parti hija parti l-President Kibaki?</v>
      </c>
    </row>
    <row r="22447" ht="15.75" customHeight="1">
      <c r="A22447" s="2" t="s">
        <v>22447</v>
      </c>
      <c r="B22447" s="2" t="str">
        <f>IFERROR(__xludf.DUMMYFUNCTION("GOOGLETRANSLATE(A22447, ""en"", ""mt"")"),"Il-wasla tat-televiżjoni bis-satellita")</f>
        <v>Il-wasla tat-televiżjoni bis-satellita</v>
      </c>
    </row>
    <row r="22448" ht="15.75" customHeight="1">
      <c r="A22448" s="2" t="s">
        <v>22448</v>
      </c>
      <c r="B22448" s="2" t="str">
        <f>IFERROR(__xludf.DUMMYFUNCTION("GOOGLETRANSLATE(A22448, ""en"", ""mt"")"),"U.S.")</f>
        <v>U.S.</v>
      </c>
    </row>
    <row r="22449" ht="15.75" customHeight="1">
      <c r="A22449" s="2" t="s">
        <v>22449</v>
      </c>
      <c r="B22449" s="2" t="str">
        <f>IFERROR(__xludf.DUMMYFUNCTION("GOOGLETRANSLATE(A22449, ""en"", ""mt"")"),"Kemm-il ġurnata ntwera l-film tal-1996 qabel il-BBC li juri?")</f>
        <v>Kemm-il ġurnata ntwera l-film tal-1996 qabel il-BBC li juri?</v>
      </c>
    </row>
    <row r="22450" ht="15.75" customHeight="1">
      <c r="A22450" s="2" t="s">
        <v>22450</v>
      </c>
      <c r="B22450" s="2" t="str">
        <f>IFERROR(__xludf.DUMMYFUNCTION("GOOGLETRANSLATE(A22450, ""en"", ""mt"")"),"kreditu aktar faċli")</f>
        <v>kreditu aktar faċli</v>
      </c>
    </row>
    <row r="22451" ht="15.75" customHeight="1">
      <c r="A22451" s="2" t="s">
        <v>22451</v>
      </c>
      <c r="B22451" s="2" t="str">
        <f>IFERROR(__xludf.DUMMYFUNCTION("GOOGLETRANSLATE(A22451, ""en"", ""mt"")"),"Fejn ilha d-dar uffiċjali tal-Parlament Skoċċiż mill-2004?")</f>
        <v>Fejn ilha d-dar uffiċjali tal-Parlament Skoċċiż mill-2004?</v>
      </c>
    </row>
    <row r="22452" ht="15.75" customHeight="1">
      <c r="A22452" s="2" t="s">
        <v>22452</v>
      </c>
      <c r="B22452" s="2" t="str">
        <f>IFERROR(__xludf.DUMMYFUNCTION("GOOGLETRANSLATE(A22452, ""en"", ""mt"")"),"Servizz mobbli NFL")</f>
        <v>Servizz mobbli NFL</v>
      </c>
    </row>
    <row r="22453" ht="15.75" customHeight="1">
      <c r="A22453" s="2" t="s">
        <v>22453</v>
      </c>
      <c r="B22453" s="2" t="str">
        <f>IFERROR(__xludf.DUMMYFUNCTION("GOOGLETRANSLATE(A22453, ""en"", ""mt"")"),"Min sar sultan fl-1643?")</f>
        <v>Min sar sultan fl-1643?</v>
      </c>
    </row>
    <row r="22454" ht="15.75" customHeight="1">
      <c r="A22454" s="2" t="s">
        <v>22454</v>
      </c>
      <c r="B22454" s="2" t="str">
        <f>IFERROR(__xludf.DUMMYFUNCTION("GOOGLETRANSLATE(A22454, ""en"", ""mt"")"),"X'kien l-isem tar-Re tal-Iskoċċiż?")</f>
        <v>X'kien l-isem tar-Re tal-Iskoċċiż?</v>
      </c>
    </row>
    <row r="22455" ht="15.75" customHeight="1">
      <c r="A22455" s="2" t="s">
        <v>22455</v>
      </c>
      <c r="B22455" s="2" t="str">
        <f>IFERROR(__xludf.DUMMYFUNCTION("GOOGLETRANSLATE(A22455, ""en"", ""mt"")"),"Fis-16 ta 'Ġunju, 2007, ABC beda fażi f'kampanja ta' immaġini ġdida għall-istaġun li jmiss 2007–08, ""Ibda hawn"". Żviluppat ukoll minn Troika, id-disinn fuq l-ajru kien maħsub biex jenfasizza d-disponibbiltà tal-kontenut ABC fuq pjattaformi multipli (b'm"&amp;"od partikolari, bl-użu ta 'sistema ta' ikoni li jirrappreżentaw apparati differenti, bħal televiżjoni, kompjuters u apparat mobbli), u ""tissimplifika u ġġib Ħafna aktar konsistenza u kontinwità għar-rappreżentazzjoni viżwali ta 'ABC "". Il-logo ABC ġie w"&amp;"koll iddisinjat mill-ġdid b'mod sinifikanti bħala parti mit-tranżizzjoni, b'effett ta '""ballun"" tleqq li kien iddisinjat speċifikament għall-HD. Fuq l-arja, il-logo kien akkumpanjat minn effetti ta 'ilma animati u żigarelli. Żigarelli ħomor intużaw biex"&amp;" jirrappreżentaw id-diviżjoni tad-divertiment, filwaqt li żigarelli blu kienu użati għal ABC News.")</f>
        <v>Fis-16 ta 'Ġunju, 2007, ABC beda fażi f'kampanja ta' immaġini ġdida għall-istaġun li jmiss 2007–08, "Ibda hawn". Żviluppat ukoll minn Troika, id-disinn fuq l-ajru kien maħsub biex jenfasizza d-disponibbiltà tal-kontenut ABC fuq pjattaformi multipli (b'mod partikolari, bl-użu ta 'sistema ta' ikoni li jirrappreżentaw apparati differenti, bħal televiżjoni, kompjuters u apparat mobbli), u "tissimplifika u ġġib Ħafna aktar konsistenza u kontinwità għar-rappreżentazzjoni viżwali ta 'ABC ". Il-logo ABC ġie wkoll iddisinjat mill-ġdid b'mod sinifikanti bħala parti mit-tranżizzjoni, b'effett ta '"ballun" tleqq li kien iddisinjat speċifikament għall-HD. Fuq l-arja, il-logo kien akkumpanjat minn effetti ta 'ilma animati u żigarelli. Żigarelli ħomor intużaw biex jirrappreżentaw id-diviżjoni tad-divertiment, filwaqt li żigarelli blu kienu użati għal ABC News.</v>
      </c>
    </row>
    <row r="22456" ht="15.75" customHeight="1">
      <c r="A22456" s="2" t="s">
        <v>22456</v>
      </c>
      <c r="B22456" s="2" t="str">
        <f>IFERROR(__xludf.DUMMYFUNCTION("GOOGLETRANSLATE(A22456, ""en"", ""mt"")"),"ikel fil-forma ta 'zokkor")</f>
        <v>ikel fil-forma ta 'zokkor</v>
      </c>
    </row>
    <row r="22457" ht="15.75" customHeight="1">
      <c r="A22457" s="2" t="s">
        <v>22457</v>
      </c>
      <c r="B22457" s="2" t="str">
        <f>IFERROR(__xludf.DUMMYFUNCTION("GOOGLETRANSLATE(A22457, ""en"", ""mt"")"),"Xi jfisser żieda fil-konċentrazzjonijiet ta 'ossiġnu fil-pulmuni tal-pazjent?")</f>
        <v>Xi jfisser żieda fil-konċentrazzjonijiet ta 'ossiġnu fil-pulmuni tal-pazjent?</v>
      </c>
    </row>
    <row r="22458" ht="15.75" customHeight="1">
      <c r="A22458" s="2" t="s">
        <v>22458</v>
      </c>
      <c r="B22458" s="2" t="str">
        <f>IFERROR(__xludf.DUMMYFUNCTION("GOOGLETRANSLATE(A22458, ""en"", ""mt"")"),"1.1 × 1011")</f>
        <v>1.1 × 1011</v>
      </c>
    </row>
    <row r="22459" ht="15.75" customHeight="1">
      <c r="A22459" s="2" t="s">
        <v>22459</v>
      </c>
      <c r="B22459" s="2" t="str">
        <f>IFERROR(__xludf.DUMMYFUNCTION("GOOGLETRANSLATE(A22459, ""en"", ""mt"")"),"Ir-Rotta tal-Istat 180 ġejja minn liema direzzjoni permezz ta 'Mendota?")</f>
        <v>Ir-Rotta tal-Istat 180 ġejja minn liema direzzjoni permezz ta 'Mendota?</v>
      </c>
    </row>
    <row r="22460" ht="15.75" customHeight="1">
      <c r="A22460" s="2" t="s">
        <v>22460</v>
      </c>
      <c r="B22460" s="2" t="str">
        <f>IFERROR(__xludf.DUMMYFUNCTION("GOOGLETRANSLATE(A22460, ""en"", ""mt"")"),"Sal-ftuħ tal-Konferenza Ġenerali tal-2008, x'kienet it-total tas-sħubija UMC barra?")</f>
        <v>Sal-ftuħ tal-Konferenza Ġenerali tal-2008, x'kienet it-total tas-sħubija UMC barra?</v>
      </c>
    </row>
    <row r="22461" ht="15.75" customHeight="1">
      <c r="A22461" s="2" t="s">
        <v>22461</v>
      </c>
      <c r="B22461" s="2" t="str">
        <f>IFERROR(__xludf.DUMMYFUNCTION("GOOGLETRANSLATE(A22461, ""en"", ""mt"")"),"Liema kumpanija tax-xorb iffirmat kuntratt li jippermettilhom ixandru reklami bi skont?")</f>
        <v>Liema kumpanija tax-xorb iffirmat kuntratt li jippermettilhom ixandru reklami bi skont?</v>
      </c>
    </row>
    <row r="22462" ht="15.75" customHeight="1">
      <c r="A22462" s="2" t="s">
        <v>22462</v>
      </c>
      <c r="B22462" s="2" t="str">
        <f>IFERROR(__xludf.DUMMYFUNCTION("GOOGLETRANSLATE(A22462, ""en"", ""mt"")"),"It-tagħlim fil-Kanada jeħtieġ grad ta 'baċellerat post-sekondarju. Fil-biċċa l-kbira tal-provinċji, it-tieni grad ta 'baċellerat bħal Baċellerat fl-Edukazzjoni huwa meħtieġ biex isir għalliem kwalifikat. Is-salarju jvarja minn $ 40,000 / sena għal $ 90,00"&amp;"0 / yr. L-għalliema għandhom l-għażla li jgħallmu għal skola pubblika li hija ffinanzjata mill-gvern provinċjali jew li tgħallem fi skola privata li hija ffinanzjata mis-settur privat, negozji u sponsors.")</f>
        <v>It-tagħlim fil-Kanada jeħtieġ grad ta 'baċellerat post-sekondarju. Fil-biċċa l-kbira tal-provinċji, it-tieni grad ta 'baċellerat bħal Baċellerat fl-Edukazzjoni huwa meħtieġ biex isir għalliem kwalifikat. Is-salarju jvarja minn $ 40,000 / sena għal $ 90,000 / yr. L-għalliema għandhom l-għażla li jgħallmu għal skola pubblika li hija ffinanzjata mill-gvern provinċjali jew li tgħallem fi skola privata li hija ffinanzjata mis-settur privat, negozji u sponsors.</v>
      </c>
    </row>
    <row r="22463" ht="15.75" customHeight="1">
      <c r="A22463" s="2" t="s">
        <v>22463</v>
      </c>
      <c r="B22463" s="2" t="str">
        <f>IFERROR(__xludf.DUMMYFUNCTION("GOOGLETRANSLATE(A22463, ""en"", ""mt"")"),"Min kien il-Kummissarju tal-NFL fil-bidu tal-2012?")</f>
        <v>Min kien il-Kummissarju tal-NFL fil-bidu tal-2012?</v>
      </c>
    </row>
    <row r="22464" ht="15.75" customHeight="1">
      <c r="A22464" s="2" t="s">
        <v>22464</v>
      </c>
      <c r="B22464" s="2" t="str">
        <f>IFERROR(__xludf.DUMMYFUNCTION("GOOGLETRANSLATE(A22464, ""en"", ""mt"")"),"Liema tim rebaħ Super Bowl 50.")</f>
        <v>Liema tim rebaħ Super Bowl 50.</v>
      </c>
    </row>
    <row r="22465" ht="15.75" customHeight="1">
      <c r="A22465" s="2" t="s">
        <v>22465</v>
      </c>
      <c r="B22465" s="2" t="str">
        <f>IFERROR(__xludf.DUMMYFUNCTION("GOOGLETRANSLATE(A22465, ""en"", ""mt"")"),"X'għamlu l-plott tan-negozjanti ta 'Newcastle biex jagħmlu lil Timothy Dexter?")</f>
        <v>X'għamlu l-plott tan-negozjanti ta 'Newcastle biex jagħmlu lil Timothy Dexter?</v>
      </c>
    </row>
    <row r="22466" ht="15.75" customHeight="1">
      <c r="A22466" s="2" t="s">
        <v>22466</v>
      </c>
      <c r="B22466" s="2" t="str">
        <f>IFERROR(__xludf.DUMMYFUNCTION("GOOGLETRANSLATE(A22466, ""en"", ""mt"")"),"Reżistenza akkwistata sistemika")</f>
        <v>Reżistenza akkwistata sistemika</v>
      </c>
    </row>
    <row r="22467" ht="15.75" customHeight="1">
      <c r="A22467" s="2" t="s">
        <v>22467</v>
      </c>
      <c r="B22467" s="2" t="str">
        <f>IFERROR(__xludf.DUMMYFUNCTION("GOOGLETRANSLATE(A22467, ""en"", ""mt"")"),"Għal xiex id-ditti kapitalisti jissostitwixxu tagħmir għal analiżi Marxjana?")</f>
        <v>Għal xiex id-ditti kapitalisti jissostitwixxu tagħmir għal analiżi Marxjana?</v>
      </c>
    </row>
    <row r="22468" ht="15.75" customHeight="1">
      <c r="A22468" s="2" t="s">
        <v>22468</v>
      </c>
      <c r="B22468" s="2" t="str">
        <f>IFERROR(__xludf.DUMMYFUNCTION("GOOGLETRANSLATE(A22468, ""en"", ""mt"")"),"Permezz tal-waal")</f>
        <v>Permezz tal-waal</v>
      </c>
    </row>
    <row r="22469" ht="15.75" customHeight="1">
      <c r="A22469" s="2" t="s">
        <v>22469</v>
      </c>
      <c r="B22469" s="2" t="str">
        <f>IFERROR(__xludf.DUMMYFUNCTION("GOOGLETRANSLATE(A22469, ""en"", ""mt"")"),"1875")</f>
        <v>1875</v>
      </c>
    </row>
    <row r="22470" ht="15.75" customHeight="1">
      <c r="A22470" s="2" t="s">
        <v>22470</v>
      </c>
      <c r="B22470" s="2" t="str">
        <f>IFERROR(__xludf.DUMMYFUNCTION("GOOGLETRANSLATE(A22470, ""en"", ""mt"")"),"Min esperimenta minn Rolling Stones u Canonballs 'l isfel minn inklinazzjoni wieqfa?")</f>
        <v>Min esperimenta minn Rolling Stones u Canonballs 'l isfel minn inklinazzjoni wieqfa?</v>
      </c>
    </row>
    <row r="22471" ht="15.75" customHeight="1">
      <c r="A22471" s="2" t="s">
        <v>22471</v>
      </c>
      <c r="B22471" s="2" t="str">
        <f>IFERROR(__xludf.DUMMYFUNCTION("GOOGLETRANSLATE(A22471, ""en"", ""mt"")"),"Għaliex tabib jista 'jiddijanjostika numru kbir ta' kundizzjonijiet?")</f>
        <v>Għaliex tabib jista 'jiddijanjostika numru kbir ta' kundizzjonijiet?</v>
      </c>
    </row>
    <row r="22472" ht="15.75" customHeight="1">
      <c r="A22472" s="2" t="s">
        <v>22472</v>
      </c>
      <c r="B22472" s="2" t="str">
        <f>IFERROR(__xludf.DUMMYFUNCTION("GOOGLETRANSLATE(A22472, ""en"", ""mt"")"),"L-Enċiklopedija ta 'Cristian Bay tikkonkludi li d-diżubbidjenza ċivili ma tinkludix biss liema mġieba?")</f>
        <v>L-Enċiklopedija ta 'Cristian Bay tikkonkludi li d-diżubbidjenza ċivili ma tinkludix biss liema mġieba?</v>
      </c>
    </row>
    <row r="22473" ht="15.75" customHeight="1">
      <c r="A22473" s="2" t="s">
        <v>22473</v>
      </c>
      <c r="B22473" s="2" t="str">
        <f>IFERROR(__xludf.DUMMYFUNCTION("GOOGLETRANSLATE(A22473, ""en"", ""mt"")"),"Diċembru 1895")</f>
        <v>Diċembru 1895</v>
      </c>
    </row>
    <row r="22474" ht="15.75" customHeight="1">
      <c r="A22474" s="2" t="s">
        <v>22474</v>
      </c>
      <c r="B22474" s="2" t="str">
        <f>IFERROR(__xludf.DUMMYFUNCTION("GOOGLETRANSLATE(A22474, ""en"", ""mt"")"),"soċjetajiet")</f>
        <v>soċjetajiet</v>
      </c>
    </row>
    <row r="22475" ht="15.75" customHeight="1">
      <c r="A22475" s="2" t="s">
        <v>22475</v>
      </c>
      <c r="B22475" s="2" t="str">
        <f>IFERROR(__xludf.DUMMYFUNCTION("GOOGLETRANSLATE(A22475, ""en"", ""mt"")"),"Ħadd ma rnexxielu")</f>
        <v>Ħadd ma rnexxielu</v>
      </c>
    </row>
    <row r="22476" ht="15.75" customHeight="1">
      <c r="A22476" s="2" t="s">
        <v>22476</v>
      </c>
      <c r="B22476" s="2" t="str">
        <f>IFERROR(__xludf.DUMMYFUNCTION("GOOGLETRANSLATE(A22476, ""en"", ""mt"")"),"Il-problemi tas-saħħa kienu aktar baxxi f'postijiet b'livelli ogħla ta 'xiex?")</f>
        <v>Il-problemi tas-saħħa kienu aktar baxxi f'postijiet b'livelli ogħla ta 'xiex?</v>
      </c>
    </row>
    <row r="22477" ht="15.75" customHeight="1">
      <c r="A22477" s="2" t="s">
        <v>22477</v>
      </c>
      <c r="B22477" s="2" t="str">
        <f>IFERROR(__xludf.DUMMYFUNCTION("GOOGLETRANSLATE(A22477, ""en"", ""mt"")"),"Meta fetaħ l-istadium ta 'Levi?")</f>
        <v>Meta fetaħ l-istadium ta 'Levi?</v>
      </c>
    </row>
    <row r="22478" ht="15.75" customHeight="1">
      <c r="A22478" s="2" t="s">
        <v>22478</v>
      </c>
      <c r="B22478" s="2" t="str">
        <f>IFERROR(__xludf.DUMMYFUNCTION("GOOGLETRANSLATE(A22478, ""en"", ""mt"")"),"250,000 pied")</f>
        <v>250,000 pied</v>
      </c>
    </row>
    <row r="22479" ht="15.75" customHeight="1">
      <c r="A22479" s="2" t="s">
        <v>22479</v>
      </c>
      <c r="B22479" s="2" t="str">
        <f>IFERROR(__xludf.DUMMYFUNCTION("GOOGLETRANSLATE(A22479, ""en"", ""mt"")"),"It-tielet test mingħajr ekwipaġġ")</f>
        <v>It-tielet test mingħajr ekwipaġġ</v>
      </c>
    </row>
    <row r="22480" ht="15.75" customHeight="1">
      <c r="A22480" s="2" t="s">
        <v>22480</v>
      </c>
      <c r="B22480" s="2" t="str">
        <f>IFERROR(__xludf.DUMMYFUNCTION("GOOGLETRANSLATE(A22480, ""en"", ""mt"")"),"X'ġara mill-kredibilità tal-politika sekulari bħala riżultat tal-gwerra ta 'sitt ijiem?")</f>
        <v>X'ġara mill-kredibilità tal-politika sekulari bħala riżultat tal-gwerra ta 'sitt ijiem?</v>
      </c>
    </row>
    <row r="22481" ht="15.75" customHeight="1">
      <c r="A22481" s="2" t="s">
        <v>22481</v>
      </c>
      <c r="B22481" s="2" t="str">
        <f>IFERROR(__xludf.DUMMYFUNCTION("GOOGLETRANSLATE(A22481, ""en"", ""mt"")"),"inqas lest li jivvjaġġa jew jirriloka")</f>
        <v>inqas lest li jivvjaġġa jew jirriloka</v>
      </c>
    </row>
    <row r="22482" ht="15.75" customHeight="1">
      <c r="A22482" s="2" t="s">
        <v>22482</v>
      </c>
      <c r="B22482" s="2" t="str">
        <f>IFERROR(__xludf.DUMMYFUNCTION("GOOGLETRANSLATE(A22482, ""en"", ""mt"")"),"2003")</f>
        <v>2003</v>
      </c>
    </row>
    <row r="22483" ht="15.75" customHeight="1">
      <c r="A22483" s="2" t="s">
        <v>22483</v>
      </c>
      <c r="B22483" s="2" t="str">
        <f>IFERROR(__xludf.DUMMYFUNCTION("GOOGLETRANSLATE(A22483, ""en"", ""mt"")"),"Fl-1993, l-FCC ħassret ir-regoli tal-interess finanzjarju u s-sindikazzjoni, għal darb'oħra li ppermettiet lin-netwerks iżommu interessi fl-istudjows tal-produzzjoni tat-televiżjoni. Dik l-istess sena, Capital Cities / ABC xtraw l-istudjo tal-animazzjoni "&amp;"Franċiż Dic Entertainment; Huwa ffirma wkoll ftehim ma 'Time Warner Cable biex iġorr l-istazzjonijiet televiżivi tiegħu u mħaddma fuq is-sistemi tal-fornitur fis-swieq ABC o&amp;O. Sa dik is-sena, ABC kellha sehem totali ta 'telespettazzjoni ta' 23.63% tad-dj"&amp;"ar Amerikani, eżatt taħt il-limitu ta '25% impost mill-FCC.")</f>
        <v>Fl-1993, l-FCC ħassret ir-regoli tal-interess finanzjarju u s-sindikazzjoni, għal darb'oħra li ppermettiet lin-netwerks iżommu interessi fl-istudjows tal-produzzjoni tat-televiżjoni. Dik l-istess sena, Capital Cities / ABC xtraw l-istudjo tal-animazzjoni Franċiż Dic Entertainment; Huwa ffirma wkoll ftehim ma 'Time Warner Cable biex iġorr l-istazzjonijiet televiżivi tiegħu u mħaddma fuq is-sistemi tal-fornitur fis-swieq ABC o&amp;O. Sa dik is-sena, ABC kellha sehem totali ta 'telespettazzjoni ta' 23.63% tad-djar Amerikani, eżatt taħt il-limitu ta '25% impost mill-FCC.</v>
      </c>
    </row>
    <row r="22484" ht="15.75" customHeight="1">
      <c r="A22484" s="2" t="s">
        <v>22484</v>
      </c>
      <c r="B22484" s="2" t="str">
        <f>IFERROR(__xludf.DUMMYFUNCTION("GOOGLETRANSLATE(A22484, ""en"", ""mt"")"),"ribelljoni Iżlamika")</f>
        <v>ribelljoni Iżlamika</v>
      </c>
    </row>
    <row r="22485" ht="15.75" customHeight="1">
      <c r="A22485" s="2" t="s">
        <v>22485</v>
      </c>
      <c r="B22485" s="2" t="str">
        <f>IFERROR(__xludf.DUMMYFUNCTION("GOOGLETRANSLATE(A22485, ""en"", ""mt"")"),"X'kien il-kjostru iswed?")</f>
        <v>X'kien il-kjostru iswed?</v>
      </c>
    </row>
    <row r="22486" ht="15.75" customHeight="1">
      <c r="A22486" s="2" t="s">
        <v>22486</v>
      </c>
      <c r="B22486" s="2" t="str">
        <f>IFERROR(__xludf.DUMMYFUNCTION("GOOGLETRANSLATE(A22486, ""en"", ""mt"")"),"maltempati")</f>
        <v>maltempati</v>
      </c>
    </row>
    <row r="22487" ht="15.75" customHeight="1">
      <c r="A22487" s="2" t="s">
        <v>22487</v>
      </c>
      <c r="B22487" s="2" t="str">
        <f>IFERROR(__xludf.DUMMYFUNCTION("GOOGLETRANSLATE(A22487, ""en"", ""mt"")"),"Meta sar il-programm undergraduate coeducational?")</f>
        <v>Meta sar il-programm undergraduate coeducational?</v>
      </c>
    </row>
    <row r="22488" ht="15.75" customHeight="1">
      <c r="A22488" s="2" t="s">
        <v>22488</v>
      </c>
      <c r="B22488" s="2" t="str">
        <f>IFERROR(__xludf.DUMMYFUNCTION("GOOGLETRANSLATE(A22488, ""en"", ""mt"")"),"X'kien l-isem tal-ewwel imbiegħed Huguenot f'Carolina t'Isfel?")</f>
        <v>X'kien l-isem tal-ewwel imbiegħed Huguenot f'Carolina t'Isfel?</v>
      </c>
    </row>
    <row r="22489" ht="15.75" customHeight="1">
      <c r="A22489" s="2" t="s">
        <v>22489</v>
      </c>
      <c r="B22489" s="2" t="str">
        <f>IFERROR(__xludf.DUMMYFUNCTION("GOOGLETRANSLATE(A22489, ""en"", ""mt"")"),"University_of_chicago")</f>
        <v>University_of_chicago</v>
      </c>
    </row>
    <row r="22490" ht="15.75" customHeight="1">
      <c r="A22490" s="2" t="s">
        <v>22490</v>
      </c>
      <c r="B22490" s="2" t="str">
        <f>IFERROR(__xludf.DUMMYFUNCTION("GOOGLETRANSLATE(A22490, ""en"", ""mt"")"),"Kif ġie rranġat qabel minn missieru, Temüjin iżżewweġ lil Börte tat-tribù Onggirat meta kellu madwar 16-il sena sabiex jissimentja l-alleanzi bejn it-tribujiet rispettivi tagħhom. Ftit wara ż-żwieġ ta 'Börte ma' Temüjin, hija kienet maħtufa mill-Merkits u"&amp;" allegatament ingħatat bħala mara. Temüjin salvatha bl-għajnuna ta 'sieħbu u r-rivali futuri tiegħu, Jamukha, u l-protettur tiegħu, Toghrul Khan tat-tribù Keraite. Hija welldet tifel, Jochi (1185-1226), disa 'xhur wara, imsaħħaħ il-kwistjoni tal-ġenituri "&amp;"tiegħu. Minkejja l-ispekulazzjoni fuq Jochi, Börte kien l-uniku imperatriċi ta 'Temüjin, għalkemm huwa segwa t-tradizzjoni billi ħa diversi nisa morgatiċi.")</f>
        <v>Kif ġie rranġat qabel minn missieru, Temüjin iżżewweġ lil Börte tat-tribù Onggirat meta kellu madwar 16-il sena sabiex jissimentja l-alleanzi bejn it-tribujiet rispettivi tagħhom. Ftit wara ż-żwieġ ta 'Börte ma' Temüjin, hija kienet maħtufa mill-Merkits u allegatament ingħatat bħala mara. Temüjin salvatha bl-għajnuna ta 'sieħbu u r-rivali futuri tiegħu, Jamukha, u l-protettur tiegħu, Toghrul Khan tat-tribù Keraite. Hija welldet tifel, Jochi (1185-1226), disa 'xhur wara, imsaħħaħ il-kwistjoni tal-ġenituri tiegħu. Minkejja l-ispekulazzjoni fuq Jochi, Börte kien l-uniku imperatriċi ta 'Temüjin, għalkemm huwa segwa t-tradizzjoni billi ħa diversi nisa morgatiċi.</v>
      </c>
    </row>
    <row r="22491" ht="15.75" customHeight="1">
      <c r="A22491" s="2" t="s">
        <v>22491</v>
      </c>
      <c r="B22491" s="2" t="str">
        <f>IFERROR(__xludf.DUMMYFUNCTION("GOOGLETRANSLATE(A22491, ""en"", ""mt"")"),"Konnessjonijiet tal-1972")</f>
        <v>Konnessjonijiet tal-1972</v>
      </c>
    </row>
    <row r="22492" ht="15.75" customHeight="1">
      <c r="A22492" s="2" t="s">
        <v>22492</v>
      </c>
      <c r="B22492" s="2" t="str">
        <f>IFERROR(__xludf.DUMMYFUNCTION("GOOGLETRANSLATE(A22492, ""en"", ""mt"")"),"X'jifhem it-tapizzeriji tal-kaċċa ta 'Devonshire?")</f>
        <v>X'jifhem it-tapizzeriji tal-kaċċa ta 'Devonshire?</v>
      </c>
    </row>
    <row r="22493" ht="15.75" customHeight="1">
      <c r="A22493" s="2" t="s">
        <v>22493</v>
      </c>
      <c r="B22493" s="2" t="str">
        <f>IFERROR(__xludf.DUMMYFUNCTION("GOOGLETRANSLATE(A22493, ""en"", ""mt"")"),"Ir-rekwiżiti taż-żoni, l-impatt ambjentali, l-ibbaġitjar, u l-loġistika huma affarijiet li għandhom jikkunsidraw?")</f>
        <v>Ir-rekwiżiti taż-żoni, l-impatt ambjentali, l-ibbaġitjar, u l-loġistika huma affarijiet li għandhom jikkunsidraw?</v>
      </c>
    </row>
    <row r="22494" ht="15.75" customHeight="1">
      <c r="A22494" s="2" t="s">
        <v>22494</v>
      </c>
      <c r="B22494" s="2" t="str">
        <f>IFERROR(__xludf.DUMMYFUNCTION("GOOGLETRANSLATE(A22494, ""en"", ""mt"")"),"X'inhi r-rata ta 'ammissjoni tal-applikant għall-klassi tal-2019?")</f>
        <v>X'inhi r-rata ta 'ammissjoni tal-applikant għall-klassi tal-2019?</v>
      </c>
    </row>
    <row r="22495" ht="15.75" customHeight="1">
      <c r="A22495" s="2" t="s">
        <v>22495</v>
      </c>
      <c r="B22495" s="2" t="str">
        <f>IFERROR(__xludf.DUMMYFUNCTION("GOOGLETRANSLATE(A22495, ""en"", ""mt"")"),"Liema proġett Harvard waqaf minħabba l-kriżi finanzjarja?")</f>
        <v>Liema proġett Harvard waqaf minħabba l-kriżi finanzjarja?</v>
      </c>
    </row>
    <row r="22496" ht="15.75" customHeight="1">
      <c r="A22496" s="2" t="s">
        <v>22496</v>
      </c>
      <c r="B22496" s="2" t="str">
        <f>IFERROR(__xludf.DUMMYFUNCTION("GOOGLETRANSLATE(A22496, ""en"", ""mt"")"),"Kemm ilu Ġwanni Pawlu II kien il-Papa fl-1979?")</f>
        <v>Kemm ilu Ġwanni Pawlu II kien il-Papa fl-1979?</v>
      </c>
    </row>
    <row r="22497" ht="15.75" customHeight="1">
      <c r="A22497" s="2" t="s">
        <v>22497</v>
      </c>
      <c r="B22497" s="2" t="str">
        <f>IFERROR(__xludf.DUMMYFUNCTION("GOOGLETRANSLATE(A22497, ""en"", ""mt"")"),"F'liema faċilità tal-università prattika l-Broncos?")</f>
        <v>F'liema faċilità tal-università prattika l-Broncos?</v>
      </c>
    </row>
    <row r="22498" ht="15.75" customHeight="1">
      <c r="A22498" s="2" t="s">
        <v>22498</v>
      </c>
      <c r="B22498" s="2" t="str">
        <f>IFERROR(__xludf.DUMMYFUNCTION("GOOGLETRANSLATE(A22498, ""en"", ""mt"")"),"X’wiegħed Luther li jagħmel bħala konċessjoni?")</f>
        <v>X’wiegħed Luther li jagħmel bħala konċessjoni?</v>
      </c>
    </row>
    <row r="22499" ht="15.75" customHeight="1">
      <c r="A22499" s="2" t="s">
        <v>22499</v>
      </c>
      <c r="B22499" s="2" t="str">
        <f>IFERROR(__xludf.DUMMYFUNCTION("GOOGLETRANSLATE(A22499, ""en"", ""mt"")"),"L-Amerika")</f>
        <v>L-Amerika</v>
      </c>
    </row>
    <row r="22500" ht="15.75" customHeight="1">
      <c r="A22500" s="2" t="s">
        <v>22500</v>
      </c>
      <c r="B22500" s="2" t="str">
        <f>IFERROR(__xludf.DUMMYFUNCTION("GOOGLETRANSLATE(A22500, ""en"", ""mt"")"),"Introduzzjoni aċċidentali ta 'Beroe")</f>
        <v>Introduzzjoni aċċidentali ta 'Beroe</v>
      </c>
    </row>
    <row r="22501" ht="15.75" customHeight="1">
      <c r="A22501" s="2" t="s">
        <v>22501</v>
      </c>
      <c r="B22501" s="2" t="str">
        <f>IFERROR(__xludf.DUMMYFUNCTION("GOOGLETRANSLATE(A22501, ""en"", ""mt"")"),"Arnhem")</f>
        <v>Arnhem</v>
      </c>
    </row>
    <row r="22502" ht="15.75" customHeight="1">
      <c r="A22502" s="2" t="s">
        <v>22502</v>
      </c>
      <c r="B22502" s="2" t="str">
        <f>IFERROR(__xludf.DUMMYFUNCTION("GOOGLETRANSLATE(A22502, ""en"", ""mt"")"),"L-aħħar tas-snin 1980")</f>
        <v>L-aħħar tas-snin 1980</v>
      </c>
    </row>
    <row r="22503" ht="15.75" customHeight="1">
      <c r="A22503" s="2" t="s">
        <v>22503</v>
      </c>
      <c r="B22503" s="2" t="str">
        <f>IFERROR(__xludf.DUMMYFUNCTION("GOOGLETRANSLATE(A22503, ""en"", ""mt"")"),"'S Napuljun")</f>
        <v>'S Napuljun</v>
      </c>
    </row>
    <row r="22504" ht="15.75" customHeight="1">
      <c r="A22504" s="2" t="s">
        <v>22504</v>
      </c>
      <c r="B22504" s="2" t="str">
        <f>IFERROR(__xludf.DUMMYFUNCTION("GOOGLETRANSLATE(A22504, ""en"", ""mt"")"),"Is-sopravivenza hija fil-qalba ta 'liema kunċett għall-ħaddiema?")</f>
        <v>Is-sopravivenza hija fil-qalba ta 'liema kunċett għall-ħaddiema?</v>
      </c>
    </row>
    <row r="22505" ht="15.75" customHeight="1">
      <c r="A22505" s="2" t="s">
        <v>22505</v>
      </c>
      <c r="B22505" s="2" t="str">
        <f>IFERROR(__xludf.DUMMYFUNCTION("GOOGLETRANSLATE(A22505, ""en"", ""mt"")"),"Wirt Ingliż")</f>
        <v>Wirt Ingliż</v>
      </c>
    </row>
    <row r="22506" ht="15.75" customHeight="1">
      <c r="A22506" s="2" t="s">
        <v>22506</v>
      </c>
      <c r="B22506" s="2" t="str">
        <f>IFERROR(__xludf.DUMMYFUNCTION("GOOGLETRANSLATE(A22506, ""en"", ""mt"")"),"X'inhuma l-iktar komuni fi plastidi oħra minn kloroplasti?")</f>
        <v>X'inhuma l-iktar komuni fi plastidi oħra minn kloroplasti?</v>
      </c>
    </row>
    <row r="22507" ht="15.75" customHeight="1">
      <c r="A22507" s="2" t="s">
        <v>22507</v>
      </c>
      <c r="B22507" s="2" t="str">
        <f>IFERROR(__xludf.DUMMYFUNCTION("GOOGLETRANSLATE(A22507, ""en"", ""mt"")"),"Wied tard-glaċjali")</f>
        <v>Wied tard-glaċjali</v>
      </c>
    </row>
    <row r="22508" ht="15.75" customHeight="1">
      <c r="A22508" s="2" t="s">
        <v>22508</v>
      </c>
      <c r="B22508" s="2" t="str">
        <f>IFERROR(__xludf.DUMMYFUNCTION("GOOGLETRANSLATE(A22508, ""en"", ""mt"")"),"Umdità għolja")</f>
        <v>Umdità għolja</v>
      </c>
    </row>
    <row r="22509" ht="15.75" customHeight="1">
      <c r="A22509" s="2" t="s">
        <v>22509</v>
      </c>
      <c r="B22509" s="2" t="str">
        <f>IFERROR(__xludf.DUMMYFUNCTION("GOOGLETRANSLATE(A22509, ""en"", ""mt"")"),"1%")</f>
        <v>1%</v>
      </c>
    </row>
    <row r="22510" ht="15.75" customHeight="1">
      <c r="A22510" s="2" t="s">
        <v>22510</v>
      </c>
      <c r="B22510" s="2" t="str">
        <f>IFERROR(__xludf.DUMMYFUNCTION("GOOGLETRANSLATE(A22510, ""en"", ""mt"")"),"Il-Knisja Protestanta Franċiża ta ’Londra ġiet stabbilita minn Royal Charter fl-1550. Issa tinsab fi Soho Square. Ir-refuġjati Huguenot ħarġu lejn Shoreditch, Londra. Huma stabbilixxew industrija ewlenija tal-insiġ fi Spitalfields u madwarha (ara Petticoa"&amp;"t Lane u t-Tenterground) fil-Lvant ta 'Londra. F’Wandsworth, il-ħiliet tal-ġardinaġġ tagħhom ibbenefikaw mill-Ġonna tas-Suq tal-Battersea. Il-Birrerija l-Qadima Truman, imbagħad magħrufa bħala l-Black Eagle Brewery, twaqqfet fl-1724. It-titjira tar-refuġj"&amp;"ati Huguenot minn tours, Franza ġibdet il-biċċa l-kbira tal-ħaddiema tal-imtieħen tal-ħarir il-kbar tagħha li kienu bnew. [Ċitazzjoni kellha bżonn] uħud minn dawn L-immigranti marru joqogħdu lejn Norwich, li kien akkomodat soluzzjoni preċedenti ta 'min ji"&amp;"nsa. Il-Franċiżi żiedu mal-popolazzjoni ta 'immigranti eżistenti, u mbagħad tinkludi madwar terz tal-popolazzjoni tal-belt.")</f>
        <v>Il-Knisja Protestanta Franċiża ta ’Londra ġiet stabbilita minn Royal Charter fl-1550. Issa tinsab fi Soho Square. Ir-refuġjati Huguenot ħarġu lejn Shoreditch, Londra. Huma stabbilixxew industrija ewlenija tal-insiġ fi Spitalfields u madwarha (ara Petticoat Lane u t-Tenterground) fil-Lvant ta 'Londra. F’Wandsworth, il-ħiliet tal-ġardinaġġ tagħhom ibbenefikaw mill-Ġonna tas-Suq tal-Battersea. Il-Birrerija l-Qadima Truman, imbagħad magħrufa bħala l-Black Eagle Brewery, twaqqfet fl-1724. It-titjira tar-refuġjati Huguenot minn tours, Franza ġibdet il-biċċa l-kbira tal-ħaddiema tal-imtieħen tal-ħarir il-kbar tagħha li kienu bnew. [Ċitazzjoni kellha bżonn] uħud minn dawn L-immigranti marru joqogħdu lejn Norwich, li kien akkomodat soluzzjoni preċedenti ta 'min jinsa. Il-Franċiżi żiedu mal-popolazzjoni ta 'immigranti eżistenti, u mbagħad tinkludi madwar terz tal-popolazzjoni tal-belt.</v>
      </c>
    </row>
    <row r="22511" ht="15.75" customHeight="1">
      <c r="A22511" s="2" t="s">
        <v>22511</v>
      </c>
      <c r="B22511" s="2" t="str">
        <f>IFERROR(__xludf.DUMMYFUNCTION("GOOGLETRANSLATE(A22511, ""en"", ""mt"")"),"Liema kobor kien it-terremot ta 'Northridge tal-1994?")</f>
        <v>Liema kobor kien it-terremot ta 'Northridge tal-1994?</v>
      </c>
    </row>
    <row r="22512" ht="15.75" customHeight="1">
      <c r="A22512" s="2" t="s">
        <v>22512</v>
      </c>
      <c r="B22512" s="2" t="str">
        <f>IFERROR(__xludf.DUMMYFUNCTION("GOOGLETRANSLATE(A22512, ""en"", ""mt"")"),"Matul il-perjodu li fih kienu qed isiru n-negozjati, Tesla qalet li saru sforzi biex jisraq l-invenzjoni. Il-kamra tiegħu kienet ġiet imdaħħla u l-karti tiegħu ġew skrutinizzati, iżda l-ħallelin, jew Spies, telqu b'idejhom vojta. Huwa qal li ma kien hemm "&amp;"l-ebda periklu li l-invenzjoni tiegħu tista 'tinsteraq, għax fl-ebda ħin ma kellu l-ebda parti minnha għall-karta; Il-blueprint għall-arma Teleforce kien kollu f’moħħu.")</f>
        <v>Matul il-perjodu li fih kienu qed isiru n-negozjati, Tesla qalet li saru sforzi biex jisraq l-invenzjoni. Il-kamra tiegħu kienet ġiet imdaħħla u l-karti tiegħu ġew skrutinizzati, iżda l-ħallelin, jew Spies, telqu b'idejhom vojta. Huwa qal li ma kien hemm l-ebda periklu li l-invenzjoni tiegħu tista 'tinsteraq, għax fl-ebda ħin ma kellu l-ebda parti minnha għall-karta; Il-blueprint għall-arma Teleforce kien kollu f’moħħu.</v>
      </c>
    </row>
    <row r="22513" ht="15.75" customHeight="1">
      <c r="A22513" s="2" t="s">
        <v>22513</v>
      </c>
      <c r="B22513" s="2" t="str">
        <f>IFERROR(__xludf.DUMMYFUNCTION("GOOGLETRANSLATE(A22513, ""en"", ""mt"")"),"aktar malajr")</f>
        <v>aktar malajr</v>
      </c>
    </row>
    <row r="22514" ht="15.75" customHeight="1">
      <c r="A22514" s="2" t="s">
        <v>22514</v>
      </c>
      <c r="B22514" s="2" t="str">
        <f>IFERROR(__xludf.DUMMYFUNCTION("GOOGLETRANSLATE(A22514, ""en"", ""mt"")"),"forza")</f>
        <v>forza</v>
      </c>
    </row>
    <row r="22515" ht="15.75" customHeight="1">
      <c r="A22515" s="2" t="s">
        <v>22515</v>
      </c>
      <c r="B22515" s="2" t="str">
        <f>IFERROR(__xludf.DUMMYFUNCTION("GOOGLETRANSLATE(A22515, ""en"", ""mt"")"),"Il-baqar ingħataw ix-xmara hemmhekk")</f>
        <v>Il-baqar ingħataw ix-xmara hemmhekk</v>
      </c>
    </row>
    <row r="22516" ht="15.75" customHeight="1">
      <c r="A22516" s="2" t="s">
        <v>22516</v>
      </c>
      <c r="B22516" s="2" t="str">
        <f>IFERROR(__xludf.DUMMYFUNCTION("GOOGLETRANSLATE(A22516, ""en"", ""mt"")"),"Teoriji ta 'l-immunità ""ċellulari"" u ""umoristiċi""")</f>
        <v>Teoriji ta 'l-immunità "ċellulari" u "umoristiċi"</v>
      </c>
    </row>
    <row r="22517" ht="15.75" customHeight="1">
      <c r="A22517" s="2" t="s">
        <v>22517</v>
      </c>
      <c r="B22517" s="2" t="str">
        <f>IFERROR(__xludf.DUMMYFUNCTION("GOOGLETRANSLATE(A22517, ""en"", ""mt"")"),"Fl-1854 fi Ballarat kien hemm ribelljoni armata kontra l-Gvern tar-Rabat minn minaturi li qed jipprotestaw kontra t-taxxi tal-minjieri (l- ""Eureka Stockade""). Dan kien mgħaffeġ minn truppi Ingliżi, iżda l-iskuntentizza wasslet lill-awtoritajiet kolonjal"&amp;"i biex jirriformaw l-amministrazzjoni (partikolarment it-tnaqqis tal-miżati tal-liċenzja tal-minjieri mibegħda) u jestendu l-franchise. Fi żmien qasir, il-Parlament Imperjali ta lill-gvern responsabbli tar-Rabat bil-passaġġ tal-Att tal-Kolonja tal-Victori"&amp;"a 1855. Uħud mill-mexxejja tar-ribelljoni tal-Eureka komplew isiru membri tal-Parlament Vittorjan.")</f>
        <v>Fl-1854 fi Ballarat kien hemm ribelljoni armata kontra l-Gvern tar-Rabat minn minaturi li qed jipprotestaw kontra t-taxxi tal-minjieri (l- "Eureka Stockade"). Dan kien mgħaffeġ minn truppi Ingliżi, iżda l-iskuntentizza wasslet lill-awtoritajiet kolonjali biex jirriformaw l-amministrazzjoni (partikolarment it-tnaqqis tal-miżati tal-liċenzja tal-minjieri mibegħda) u jestendu l-franchise. Fi żmien qasir, il-Parlament Imperjali ta lill-gvern responsabbli tar-Rabat bil-passaġġ tal-Att tal-Kolonja tal-Victoria 1855. Uħud mill-mexxejja tar-ribelljoni tal-Eureka komplew isiru membri tal-Parlament Vittorjan.</v>
      </c>
    </row>
    <row r="22518" ht="15.75" customHeight="1">
      <c r="A22518" s="2" t="s">
        <v>22518</v>
      </c>
      <c r="B22518" s="2" t="str">
        <f>IFERROR(__xludf.DUMMYFUNCTION("GOOGLETRANSLATE(A22518, ""en"", ""mt"")"),"71%")</f>
        <v>71%</v>
      </c>
    </row>
    <row r="22519" ht="15.75" customHeight="1">
      <c r="A22519" s="2" t="s">
        <v>22519</v>
      </c>
      <c r="B22519" s="2" t="str">
        <f>IFERROR(__xludf.DUMMYFUNCTION("GOOGLETRANSLATE(A22519, ""en"", ""mt"")"),"bijennali")</f>
        <v>bijennali</v>
      </c>
    </row>
    <row r="22520" ht="15.75" customHeight="1">
      <c r="A22520" s="2" t="s">
        <v>22520</v>
      </c>
      <c r="B22520" s="2" t="str">
        <f>IFERROR(__xludf.DUMMYFUNCTION("GOOGLETRANSLATE(A22520, ""en"", ""mt"")"),"Uffiċjali kliniċi, uffiċjali mediċi u prattikanti mediċi")</f>
        <v>Uffiċjali kliniċi, uffiċjali mediċi u prattikanti mediċi</v>
      </c>
    </row>
    <row r="22521" ht="15.75" customHeight="1">
      <c r="A22521" s="2" t="s">
        <v>22521</v>
      </c>
      <c r="B22521" s="2" t="str">
        <f>IFERROR(__xludf.DUMMYFUNCTION("GOOGLETRANSLATE(A22521, ""en"", ""mt"")"),"Meta ġie introdott l-ewwel logo ta 'ABC?")</f>
        <v>Meta ġie introdott l-ewwel logo ta 'ABC?</v>
      </c>
    </row>
    <row r="22522" ht="15.75" customHeight="1">
      <c r="A22522" s="2" t="s">
        <v>22522</v>
      </c>
      <c r="B22522" s="2" t="str">
        <f>IFERROR(__xludf.DUMMYFUNCTION("GOOGLETRANSLATE(A22522, ""en"", ""mt"")"),"Highlands Ċentrali")</f>
        <v>Highlands Ċentrali</v>
      </c>
    </row>
    <row r="22523" ht="15.75" customHeight="1">
      <c r="A22523" s="2" t="s">
        <v>22523</v>
      </c>
      <c r="B22523" s="2" t="str">
        <f>IFERROR(__xludf.DUMMYFUNCTION("GOOGLETRANSLATE(A22523, ""en"", ""mt"")"),"rikonoxximent")</f>
        <v>rikonoxximent</v>
      </c>
    </row>
    <row r="22524" ht="15.75" customHeight="1">
      <c r="A22524" s="2" t="s">
        <v>22524</v>
      </c>
      <c r="B22524" s="2" t="str">
        <f>IFERROR(__xludf.DUMMYFUNCTION("GOOGLETRANSLATE(A22524, ""en"", ""mt"")"),"Aktar esperjenza u edukazzjoni għolja")</f>
        <v>Aktar esperjenza u edukazzjoni għolja</v>
      </c>
    </row>
    <row r="22525" ht="15.75" customHeight="1">
      <c r="A22525" s="2" t="s">
        <v>22525</v>
      </c>
      <c r="B22525" s="2" t="str">
        <f>IFERROR(__xludf.DUMMYFUNCTION("GOOGLETRANSLATE(A22525, ""en"", ""mt"")"),"Fl-iskejjel privati ​​tan-Nepaliżi, x'inhi l-lingwa primarja ta 'l-istruzzjoni?")</f>
        <v>Fl-iskejjel privati ​​tan-Nepaliżi, x'inhi l-lingwa primarja ta 'l-istruzzjoni?</v>
      </c>
    </row>
    <row r="22526" ht="15.75" customHeight="1">
      <c r="A22526" s="2" t="s">
        <v>22526</v>
      </c>
      <c r="B22526" s="2" t="str">
        <f>IFERROR(__xludf.DUMMYFUNCTION("GOOGLETRANSLATE(A22526, ""en"", ""mt"")"),"vertebrati")</f>
        <v>vertebrati</v>
      </c>
    </row>
    <row r="22527" ht="15.75" customHeight="1">
      <c r="A22527" s="2" t="s">
        <v>22527</v>
      </c>
      <c r="B22527" s="2" t="str">
        <f>IFERROR(__xludf.DUMMYFUNCTION("GOOGLETRANSLATE(A22527, ""en"", ""mt"")"),"Kemm studenti l-Università ta 'Chicago ingaġġat?")</f>
        <v>Kemm studenti l-Università ta 'Chicago ingaġġat?</v>
      </c>
    </row>
    <row r="22528" ht="15.75" customHeight="1">
      <c r="A22528" s="2" t="s">
        <v>22528</v>
      </c>
      <c r="B22528" s="2" t="str">
        <f>IFERROR(__xludf.DUMMYFUNCTION("GOOGLETRANSLATE(A22528, ""en"", ""mt"")"),"Liema gass jifforma 20.8% tal-atmosfera tad-Dinja?")</f>
        <v>Liema gass jifforma 20.8% tal-atmosfera tad-Dinja?</v>
      </c>
    </row>
    <row r="22529" ht="15.75" customHeight="1">
      <c r="A22529" s="2" t="s">
        <v>22529</v>
      </c>
      <c r="B22529" s="2" t="str">
        <f>IFERROR(__xludf.DUMMYFUNCTION("GOOGLETRANSLATE(A22529, ""en"", ""mt"")"),"Maħluq għall-IVF li jibqa 'wara li l-isforzi prokreattivi waqfu,")</f>
        <v>Maħluq għall-IVF li jibqa 'wara li l-isforzi prokreattivi waqfu,</v>
      </c>
    </row>
    <row r="22530" ht="15.75" customHeight="1">
      <c r="A22530" s="2" t="s">
        <v>22530</v>
      </c>
      <c r="B22530" s="2" t="str">
        <f>IFERROR(__xludf.DUMMYFUNCTION("GOOGLETRANSLATE(A22530, ""en"", ""mt"")"),"F'Awwissu 1994, liema affiljat ta 'Toledo, Ohio xtraw ABC?")</f>
        <v>F'Awwissu 1994, liema affiljat ta 'Toledo, Ohio xtraw ABC?</v>
      </c>
    </row>
    <row r="22531" ht="15.75" customHeight="1">
      <c r="A22531" s="2" t="s">
        <v>22531</v>
      </c>
      <c r="B22531" s="2" t="str">
        <f>IFERROR(__xludf.DUMMYFUNCTION("GOOGLETRANSLATE(A22531, ""en"", ""mt"")"),"methotrexate jew azathioprine")</f>
        <v>methotrexate jew azathioprine</v>
      </c>
    </row>
    <row r="22532" ht="15.75" customHeight="1">
      <c r="A22532" s="2" t="s">
        <v>22532</v>
      </c>
      <c r="B22532" s="2" t="str">
        <f>IFERROR(__xludf.DUMMYFUNCTION("GOOGLETRANSLATE(A22532, ""en"", ""mt"")"),"ċirkonċiżjoni")</f>
        <v>ċirkonċiżjoni</v>
      </c>
    </row>
    <row r="22533" ht="15.75" customHeight="1">
      <c r="A22533" s="2" t="s">
        <v>22533</v>
      </c>
      <c r="B22533" s="2" t="str">
        <f>IFERROR(__xludf.DUMMYFUNCTION("GOOGLETRANSLATE(A22533, ""en"", ""mt"")"),"X’kien tħalla mdendel fuq il-bieb għall-kamra ta ’Tesla?")</f>
        <v>X’kien tħalla mdendel fuq il-bieb għall-kamra ta ’Tesla?</v>
      </c>
    </row>
    <row r="22534" ht="15.75" customHeight="1">
      <c r="A22534" s="2" t="s">
        <v>22534</v>
      </c>
      <c r="B22534" s="2" t="str">
        <f>IFERROR(__xludf.DUMMYFUNCTION("GOOGLETRANSLATE(A22534, ""en"", ""mt"")"),"X'inhi l-kelma Olandiża għall-foresta tropikali tal-Amażonja?")</f>
        <v>X'inhi l-kelma Olandiża għall-foresta tropikali tal-Amażonja?</v>
      </c>
    </row>
    <row r="22535" ht="15.75" customHeight="1">
      <c r="A22535" s="2" t="s">
        <v>22535</v>
      </c>
      <c r="B22535" s="2" t="str">
        <f>IFERROR(__xludf.DUMMYFUNCTION("GOOGLETRANSLATE(A22535, ""en"", ""mt"")"),"Min immaniġġja l-play-by-play għall-istazzjonijiet tar-radju ta 'Denver?")</f>
        <v>Min immaniġġja l-play-by-play għall-istazzjonijiet tar-radju ta 'Denver?</v>
      </c>
    </row>
    <row r="22536" ht="15.75" customHeight="1">
      <c r="A22536" s="2" t="s">
        <v>22536</v>
      </c>
      <c r="B22536" s="2" t="str">
        <f>IFERROR(__xludf.DUMMYFUNCTION("GOOGLETRANSLATE(A22536, ""en"", ""mt"")"),"Determiniżmu Ambjentali")</f>
        <v>Determiniżmu Ambjentali</v>
      </c>
    </row>
    <row r="22537" ht="15.75" customHeight="1">
      <c r="A22537" s="2" t="s">
        <v>22537</v>
      </c>
      <c r="B22537" s="2" t="str">
        <f>IFERROR(__xludf.DUMMYFUNCTION("GOOGLETRANSLATE(A22537, ""en"", ""mt"")"),"X'tip ta 'prattiki l-Yuan reġa' introduċju fil-gvern?")</f>
        <v>X'tip ta 'prattiki l-Yuan reġa' introduċju fil-gvern?</v>
      </c>
    </row>
    <row r="22538" ht="15.75" customHeight="1">
      <c r="A22538" s="2" t="s">
        <v>22538</v>
      </c>
      <c r="B22538" s="2" t="str">
        <f>IFERROR(__xludf.DUMMYFUNCTION("GOOGLETRANSLATE(A22538, ""en"", ""mt"")"),"11.1%")</f>
        <v>11.1%</v>
      </c>
    </row>
    <row r="22539" ht="15.75" customHeight="1">
      <c r="A22539" s="2" t="s">
        <v>22539</v>
      </c>
      <c r="B22539" s="2" t="str">
        <f>IFERROR(__xludf.DUMMYFUNCTION("GOOGLETRANSLATE(A22539, ""en"", ""mt"")"),"Min kien ħu Emma?")</f>
        <v>Min kien ħu Emma?</v>
      </c>
    </row>
    <row r="22540" ht="15.75" customHeight="1">
      <c r="A22540" s="2" t="s">
        <v>22540</v>
      </c>
      <c r="B22540" s="2" t="str">
        <f>IFERROR(__xludf.DUMMYFUNCTION("GOOGLETRANSLATE(A22540, ""en"", ""mt"")"),"Min kien il-ġeologu Skoċċiż li jismu Mt Kenya bħala Mt Kenia?")</f>
        <v>Min kien il-ġeologu Skoċċiż li jismu Mt Kenya bħala Mt Kenia?</v>
      </c>
    </row>
    <row r="22541" ht="15.75" customHeight="1">
      <c r="A22541" s="2" t="s">
        <v>22541</v>
      </c>
      <c r="B22541" s="2" t="str">
        <f>IFERROR(__xludf.DUMMYFUNCTION("GOOGLETRANSLATE(A22541, ""en"", ""mt"")"),"Assemblea Ġenerali tal-Estates tal-Imperu Ruman Qaddis")</f>
        <v>Assemblea Ġenerali tal-Estates tal-Imperu Ruman Qaddis</v>
      </c>
    </row>
    <row r="22542" ht="15.75" customHeight="1">
      <c r="A22542" s="2" t="s">
        <v>22542</v>
      </c>
      <c r="B22542" s="2" t="str">
        <f>IFERROR(__xludf.DUMMYFUNCTION("GOOGLETRANSLATE(A22542, ""en"", ""mt"")"),"Kemm tappoġġja l-evidenza għall-fehma li l-flessibilità tas-suq tax-xogħol ittejjeb ir-riżultati tas-suq tax-xogħol?")</f>
        <v>Kemm tappoġġja l-evidenza għall-fehma li l-flessibilità tas-suq tax-xogħol ittejjeb ir-riżultati tas-suq tax-xogħol?</v>
      </c>
    </row>
    <row r="22543" ht="15.75" customHeight="1">
      <c r="A22543" s="2" t="s">
        <v>22543</v>
      </c>
      <c r="B22543" s="2" t="str">
        <f>IFERROR(__xludf.DUMMYFUNCTION("GOOGLETRANSLATE(A22543, ""en"", ""mt"")"),"NBC Blue u NBC Red")</f>
        <v>NBC Blue u NBC Red</v>
      </c>
    </row>
    <row r="22544" ht="15.75" customHeight="1">
      <c r="A22544" s="2" t="s">
        <v>22544</v>
      </c>
      <c r="B22544" s="2" t="str">
        <f>IFERROR(__xludf.DUMMYFUNCTION("GOOGLETRANSLATE(A22544, ""en"", ""mt"")"),"mal-missier")</f>
        <v>mal-missier</v>
      </c>
    </row>
    <row r="22545" ht="15.75" customHeight="1">
      <c r="A22545" s="2" t="s">
        <v>22545</v>
      </c>
      <c r="B22545" s="2" t="str">
        <f>IFERROR(__xludf.DUMMYFUNCTION("GOOGLETRANSLATE(A22545, ""en"", ""mt"")"),"il-loġġa ewlenija")</f>
        <v>il-loġġa ewlenija</v>
      </c>
    </row>
    <row r="22546" ht="15.75" customHeight="1">
      <c r="A22546" s="2" t="s">
        <v>22546</v>
      </c>
      <c r="B22546" s="2" t="str">
        <f>IFERROR(__xludf.DUMMYFUNCTION("GOOGLETRANSLATE(A22546, ""en"", ""mt"")"),"1980s jew saħansitra l-miġja tat-televiżjoni diġitali fis-snin 2000")</f>
        <v>1980s jew saħansitra l-miġja tat-televiżjoni diġitali fis-snin 2000</v>
      </c>
    </row>
    <row r="22547" ht="15.75" customHeight="1">
      <c r="A22547" s="2" t="s">
        <v>22547</v>
      </c>
      <c r="B22547" s="2" t="str">
        <f>IFERROR(__xludf.DUMMYFUNCTION("GOOGLETRANSLATE(A22547, ""en"", ""mt"")"),"Kemm għażliet AQib Talib?")</f>
        <v>Kemm għażliet AQib Talib?</v>
      </c>
    </row>
    <row r="22548" ht="15.75" customHeight="1">
      <c r="A22548" s="2" t="s">
        <v>22548</v>
      </c>
      <c r="B22548" s="2" t="str">
        <f>IFERROR(__xludf.DUMMYFUNCTION("GOOGLETRANSLATE(A22548, ""en"", ""mt"")"),"Kemm hemm speċi differenti ta 'ctenohore?")</f>
        <v>Kemm hemm speċi differenti ta 'ctenohore?</v>
      </c>
    </row>
    <row r="22549" ht="15.75" customHeight="1">
      <c r="A22549" s="2" t="s">
        <v>22549</v>
      </c>
      <c r="B22549" s="2" t="str">
        <f>IFERROR(__xludf.DUMMYFUNCTION("GOOGLETRANSLATE(A22549, ""en"", ""mt"")"),"estinzjoni tad-dinosawri u l-klima aktar mxarrba")</f>
        <v>estinzjoni tad-dinosawri u l-klima aktar mxarrba</v>
      </c>
    </row>
    <row r="22550" ht="15.75" customHeight="1">
      <c r="A22550" s="2" t="s">
        <v>22550</v>
      </c>
      <c r="B22550" s="2" t="str">
        <f>IFERROR(__xludf.DUMMYFUNCTION("GOOGLETRANSLATE(A22550, ""en"", ""mt"")"),"Sage Gateshead Music and Arts Centre")</f>
        <v>Sage Gateshead Music and Arts Centre</v>
      </c>
    </row>
    <row r="22551" ht="15.75" customHeight="1">
      <c r="A22551" s="2" t="s">
        <v>22551</v>
      </c>
      <c r="B22551" s="2" t="str">
        <f>IFERROR(__xludf.DUMMYFUNCTION("GOOGLETRANSLATE(A22551, ""en"", ""mt"")"),"Invażjoni tal-Gran Brittanja")</f>
        <v>Invażjoni tal-Gran Brittanja</v>
      </c>
    </row>
    <row r="22552" ht="15.75" customHeight="1">
      <c r="A22552" s="2" t="s">
        <v>22552</v>
      </c>
      <c r="B22552" s="2" t="str">
        <f>IFERROR(__xludf.DUMMYFUNCTION("GOOGLETRANSLATE(A22552, ""en"", ""mt"")"),"Kemm-il darba ġie mkeċċi Cam Newton fis-Super Bowl 50?")</f>
        <v>Kemm-il darba ġie mkeċċi Cam Newton fis-Super Bowl 50?</v>
      </c>
    </row>
    <row r="22553" ht="15.75" customHeight="1">
      <c r="A22553" s="2" t="s">
        <v>22553</v>
      </c>
      <c r="B22553" s="2" t="str">
        <f>IFERROR(__xludf.DUMMYFUNCTION("GOOGLETRANSLATE(A22553, ""en"", ""mt"")"),"Ramifikazzjoni fil-ġeometrija")</f>
        <v>Ramifikazzjoni fil-ġeometrija</v>
      </c>
    </row>
    <row r="22554" ht="15.75" customHeight="1">
      <c r="A22554" s="2" t="s">
        <v>22554</v>
      </c>
      <c r="B22554" s="2" t="str">
        <f>IFERROR(__xludf.DUMMYFUNCTION("GOOGLETRANSLATE(A22554, ""en"", ""mt"")"),"Linebacker von Miller")</f>
        <v>Linebacker von Miller</v>
      </c>
    </row>
    <row r="22555" ht="15.75" customHeight="1">
      <c r="A22555" s="2" t="s">
        <v>22555</v>
      </c>
      <c r="B22555" s="2" t="str">
        <f>IFERROR(__xludf.DUMMYFUNCTION("GOOGLETRANSLATE(A22555, ""en"", ""mt"")"),"Unidirezzjonali")</f>
        <v>Unidirezzjonali</v>
      </c>
    </row>
    <row r="22556" ht="15.75" customHeight="1">
      <c r="A22556" s="2" t="s">
        <v>22556</v>
      </c>
      <c r="B22556" s="2" t="str">
        <f>IFERROR(__xludf.DUMMYFUNCTION("GOOGLETRANSLATE(A22556, ""en"", ""mt"")"),"Maududi jemmen ukoll li s-soċjetà Musulmana ma tistax tkun Iżlamika mingħajr sharia, u l-Iżlam kien jeħtieġ it-twaqqif ta 'stat Iżlamiku. Dan l-istat għandu jkun ""Theo-Democracy"", ibbażat fuq il-prinċipji ta ': Tawhid (Unità ta' Alla), Risala (Prophetho"&amp;"od) u Khilafa (Kalifat). Għalkemm Maududi tkellem dwar ir-rivoluzzjoni Iżlamika, permezz ta '""rivoluzzjoni"" huwa fisser mhux il-vjolenza jew il-politiki populisti tar-rivoluzzjoni Iranjana, iżda l-bidla gradwali li tbiddel il-qlub u l-imħuħ ta' individw"&amp;"i mill-quċċata tas-soċjetà 'l isfel permezz ta' proċess edukattiv jew da'wah.")</f>
        <v>Maududi jemmen ukoll li s-soċjetà Musulmana ma tistax tkun Iżlamika mingħajr sharia, u l-Iżlam kien jeħtieġ it-twaqqif ta 'stat Iżlamiku. Dan l-istat għandu jkun "Theo-Democracy", ibbażat fuq il-prinċipji ta ': Tawhid (Unità ta' Alla), Risala (Prophethood) u Khilafa (Kalifat). Għalkemm Maududi tkellem dwar ir-rivoluzzjoni Iżlamika, permezz ta '"rivoluzzjoni" huwa fisser mhux il-vjolenza jew il-politiki populisti tar-rivoluzzjoni Iranjana, iżda l-bidla gradwali li tbiddel il-qlub u l-imħuħ ta' individwi mill-quċċata tas-soċjetà 'l isfel permezz ta' proċess edukattiv jew da'wah.</v>
      </c>
    </row>
    <row r="22557" ht="15.75" customHeight="1">
      <c r="A22557" s="2" t="s">
        <v>22557</v>
      </c>
      <c r="B22557" s="2" t="str">
        <f>IFERROR(__xludf.DUMMYFUNCTION("GOOGLETRANSLATE(A22557, ""en"", ""mt"")"),"Tesco Store")</f>
        <v>Tesco Store</v>
      </c>
    </row>
    <row r="22558" ht="15.75" customHeight="1">
      <c r="A22558" s="2" t="s">
        <v>22558</v>
      </c>
      <c r="B22558" s="2" t="str">
        <f>IFERROR(__xludf.DUMMYFUNCTION("GOOGLETRANSLATE(A22558, ""en"", ""mt"")"),"Teatru Ewropew")</f>
        <v>Teatru Ewropew</v>
      </c>
    </row>
    <row r="22559" ht="15.75" customHeight="1">
      <c r="A22559" s="2" t="s">
        <v>22559</v>
      </c>
      <c r="B22559" s="2" t="str">
        <f>IFERROR(__xludf.DUMMYFUNCTION("GOOGLETRANSLATE(A22559, ""en"", ""mt"")"),"Min lagħab Doctor Who fis-serje Revival?")</f>
        <v>Min lagħab Doctor Who fis-serje Revival?</v>
      </c>
    </row>
    <row r="22560" ht="15.75" customHeight="1">
      <c r="A22560" s="2" t="s">
        <v>22560</v>
      </c>
      <c r="B22560" s="2" t="str">
        <f>IFERROR(__xludf.DUMMYFUNCTION("GOOGLETRANSLATE(A22560, ""en"", ""mt"")"),"Li tivvjaġġa lejn in-nofsinhar fuq l-Interstate 5, id-distakk ewlieni għall-urbanizzazzjoni kontinwa huwa Camp Pendleton. Il-bliet u l-komunitajiet tul l-Interstate 15 u l-Interstate 215 huma daqshekk relatati li Temecula u Murrieta għandhom konnessjoni d"&amp;"aqshekk maż-żona metropolitana ta 'San Diego bħalma jagħmlu ma' l-Imperu Intern. Fil-Lvant, l-Uffiċċju taċ-Ċensiment ta 'l-Istati Uniti jqis iż-żoni tal-Kontea ta' San Bernardino u Riverside, iż-żona ta 'Riverside-san Bernardino bħala żona metropolitana s"&amp;"eparata mill-Kontea ta' Los Angeles. Filwaqt li ħafna jivvjaġġaw lejn il-kontej L.A. u Orange, hemm xi differenzi fl-iżvilupp, peress li l-biċċa l-kbira tal-kontej ta 'San Bernardino u Riverside (il-porzjonijiet mhux deżerta) ġew żviluppati fis-snin 1980 "&amp;"u disgħinijiet. Exurbs li għadhom kemm ġew żviluppati ffurmati fil-Wied ta 'Antelope fit-tramuntana ta' Los Angeles, il-Wied ta 'Victor u l-Wied Coachella mal-Wied Imperjali. Ukoll, it-tkabbir tal-popolazzjoni kien għoli fiż-żoni tal-Kontea ta 'Bakersfiel"&amp;"d-Kern, Santa Maria u San Luis Obispo.")</f>
        <v>Li tivvjaġġa lejn in-nofsinhar fuq l-Interstate 5, id-distakk ewlieni għall-urbanizzazzjoni kontinwa huwa Camp Pendleton. Il-bliet u l-komunitajiet tul l-Interstate 15 u l-Interstate 215 huma daqshekk relatati li Temecula u Murrieta għandhom konnessjoni daqshekk maż-żona metropolitana ta 'San Diego bħalma jagħmlu ma' l-Imperu Intern. Fil-Lvant, l-Uffiċċju taċ-Ċensiment ta 'l-Istati Uniti jqis iż-żoni tal-Kontea ta' San Bernardino u Riverside, iż-żona ta 'Riverside-san Bernardino bħala żona metropolitana separata mill-Kontea ta' Los Angeles. Filwaqt li ħafna jivvjaġġaw lejn il-kontej L.A. u Orange, hemm xi differenzi fl-iżvilupp, peress li l-biċċa l-kbira tal-kontej ta 'San Bernardino u Riverside (il-porzjonijiet mhux deżerta) ġew żviluppati fis-snin 1980 u disgħinijiet. Exurbs li għadhom kemm ġew żviluppati ffurmati fil-Wied ta 'Antelope fit-tramuntana ta' Los Angeles, il-Wied ta 'Victor u l-Wied Coachella mal-Wied Imperjali. Ukoll, it-tkabbir tal-popolazzjoni kien għoli fiż-żoni tal-Kontea ta 'Bakersfield-Kern, Santa Maria u San Luis Obispo.</v>
      </c>
    </row>
    <row r="22561" ht="15.75" customHeight="1">
      <c r="A22561" s="2" t="s">
        <v>22561</v>
      </c>
      <c r="B22561" s="2" t="str">
        <f>IFERROR(__xludf.DUMMYFUNCTION("GOOGLETRANSLATE(A22561, ""en"", ""mt"")"),"Creon")</f>
        <v>Creon</v>
      </c>
    </row>
    <row r="22562" ht="15.75" customHeight="1">
      <c r="A22562" s="2" t="s">
        <v>22562</v>
      </c>
      <c r="B22562" s="2" t="str">
        <f>IFERROR(__xludf.DUMMYFUNCTION("GOOGLETRANSLATE(A22562, ""en"", ""mt"")"),"Tneħħi l-Fondazzjoni Ekonomika tagħha")</f>
        <v>Tneħħi l-Fondazzjoni Ekonomika tagħha</v>
      </c>
    </row>
    <row r="22563" ht="15.75" customHeight="1">
      <c r="A22563" s="2" t="s">
        <v>22563</v>
      </c>
      <c r="B22563" s="2" t="str">
        <f>IFERROR(__xludf.DUMMYFUNCTION("GOOGLETRANSLATE(A22563, ""en"", ""mt"")"),"Liema isem ingħata lill-plott għall-poter użurp mid-dar Franċiża ta 'l-iskuża?")</f>
        <v>Liema isem ingħata lill-plott għall-poter użurp mid-dar Franċiża ta 'l-iskuża?</v>
      </c>
    </row>
    <row r="22564" ht="15.75" customHeight="1">
      <c r="A22564" s="2" t="s">
        <v>22564</v>
      </c>
      <c r="B22564" s="2" t="str">
        <f>IFERROR(__xludf.DUMMYFUNCTION("GOOGLETRANSLATE(A22564, ""en"", ""mt"")"),"Min irċieva l-ewwel brevett tal-magna Steam?")</f>
        <v>Min irċieva l-ewwel brevett tal-magna Steam?</v>
      </c>
    </row>
    <row r="22565" ht="15.75" customHeight="1">
      <c r="A22565" s="2" t="s">
        <v>22565</v>
      </c>
      <c r="B22565" s="2" t="str">
        <f>IFERROR(__xludf.DUMMYFUNCTION("GOOGLETRANSLATE(A22565, ""en"", ""mt"")"),"400 AD għall-1914")</f>
        <v>400 AD għall-1914</v>
      </c>
    </row>
    <row r="22566" ht="15.75" customHeight="1">
      <c r="A22566" s="2" t="s">
        <v>22566</v>
      </c>
      <c r="B22566" s="2" t="str">
        <f>IFERROR(__xludf.DUMMYFUNCTION("GOOGLETRANSLATE(A22566, ""en"", ""mt"")"),"Il-ħames, is-sitt u s-seba 'tobba")</f>
        <v>Il-ħames, is-sitt u s-seba 'tobba</v>
      </c>
    </row>
    <row r="22567" ht="15.75" customHeight="1">
      <c r="A22567" s="2" t="s">
        <v>22567</v>
      </c>
      <c r="B22567" s="2" t="str">
        <f>IFERROR(__xludf.DUMMYFUNCTION("GOOGLETRANSLATE(A22567, ""en"", ""mt"")"),"Matul l-2003–04, il-valur gross tal-produzzjoni agrikola Vittorjana żdied bi 17% għal $ 8.7 biljun. Dan kien jirrappreżenta 24% tal-valur gross totali tal-produzzjoni agrikola nazzjonali. Mill-2004, huwa stmat li 32,463 irziezet okkupaw madwar 136,000 kil"&amp;"ometru kwadru (52,500 sq mi) ta 'art Vittorjana. Dan jinkludi aktar minn 60% tal-wiċċ tal-art totali tal-istat. L-irziezet Vittorjani jvarjaw minn ħwejjeġ żgħar tal-ortikultura għal produzzjonijiet ta 'bhejjem u qamħ fuq skala kbira. Kwart ta 'art agrikol"&amp;"a tintuża biex tikber għelejjel konsumibbli.")</f>
        <v>Matul l-2003–04, il-valur gross tal-produzzjoni agrikola Vittorjana żdied bi 17% għal $ 8.7 biljun. Dan kien jirrappreżenta 24% tal-valur gross totali tal-produzzjoni agrikola nazzjonali. Mill-2004, huwa stmat li 32,463 irziezet okkupaw madwar 136,000 kilometru kwadru (52,500 sq mi) ta 'art Vittorjana. Dan jinkludi aktar minn 60% tal-wiċċ tal-art totali tal-istat. L-irziezet Vittorjani jvarjaw minn ħwejjeġ żgħar tal-ortikultura għal produzzjonijiet ta 'bhejjem u qamħ fuq skala kbira. Kwart ta 'art agrikola tintuża biex tikber għelejjel konsumibbli.</v>
      </c>
    </row>
    <row r="22568" ht="15.75" customHeight="1">
      <c r="A22568" s="2" t="s">
        <v>22568</v>
      </c>
      <c r="B22568" s="2" t="str">
        <f>IFERROR(__xludf.DUMMYFUNCTION("GOOGLETRANSLATE(A22568, ""en"", ""mt"")"),"X'inhi l-iktar borra li qatt kellu Fresno?")</f>
        <v>X'inhi l-iktar borra li qatt kellu Fresno?</v>
      </c>
    </row>
    <row r="22569" ht="15.75" customHeight="1">
      <c r="A22569" s="2" t="s">
        <v>22569</v>
      </c>
      <c r="B22569" s="2" t="str">
        <f>IFERROR(__xludf.DUMMYFUNCTION("GOOGLETRANSLATE(A22569, ""en"", ""mt"")"),"Ġew ordnati l-granari")</f>
        <v>Ġew ordnati l-granari</v>
      </c>
    </row>
    <row r="22570" ht="15.75" customHeight="1">
      <c r="A22570" s="2" t="s">
        <v>22570</v>
      </c>
      <c r="B22570" s="2" t="str">
        <f>IFERROR(__xludf.DUMMYFUNCTION("GOOGLETRANSLATE(A22570, ""en"", ""mt"")"),"Fil-ħin ta 'Martin Luther x'kien fid-domanda?")</f>
        <v>Fil-ħin ta 'Martin Luther x'kien fid-domanda?</v>
      </c>
    </row>
    <row r="22571" ht="15.75" customHeight="1">
      <c r="A22571" s="2" t="s">
        <v>22571</v>
      </c>
      <c r="B22571" s="2" t="str">
        <f>IFERROR(__xludf.DUMMYFUNCTION("GOOGLETRANSLATE(A22571, ""en"", ""mt"")"),"Il-Pannerdens Kanaal")</f>
        <v>Il-Pannerdens Kanaal</v>
      </c>
    </row>
    <row r="22572" ht="15.75" customHeight="1">
      <c r="A22572" s="2" t="s">
        <v>22572</v>
      </c>
      <c r="B22572" s="2" t="str">
        <f>IFERROR(__xludf.DUMMYFUNCTION("GOOGLETRANSLATE(A22572, ""en"", ""mt"")"),"Għaliex il-Mongoli għandhom ftit wisq esperjenza biex jirregolaw l-ibliet li huma ħakmu?")</f>
        <v>Għaliex il-Mongoli għandhom ftit wisq esperjenza biex jirregolaw l-ibliet li huma ħakmu?</v>
      </c>
    </row>
    <row r="22573" ht="15.75" customHeight="1">
      <c r="A22573" s="2" t="s">
        <v>22573</v>
      </c>
      <c r="B22573" s="2" t="str">
        <f>IFERROR(__xludf.DUMMYFUNCTION("GOOGLETRANSLATE(A22573, ""en"", ""mt"")"),"Konservattiv")</f>
        <v>Konservattiv</v>
      </c>
    </row>
    <row r="22574" ht="15.75" customHeight="1">
      <c r="A22574" s="2" t="s">
        <v>22574</v>
      </c>
      <c r="B22574" s="2" t="str">
        <f>IFERROR(__xludf.DUMMYFUNCTION("GOOGLETRANSLATE(A22574, ""en"", ""mt"")"),"Liema tim kellu l-aqwa staġun regolari fl-istorja tagħhom?")</f>
        <v>Liema tim kellu l-aqwa staġun regolari fl-istorja tagħhom?</v>
      </c>
    </row>
    <row r="22575" ht="15.75" customHeight="1">
      <c r="A22575" s="2" t="s">
        <v>22575</v>
      </c>
      <c r="B22575" s="2" t="str">
        <f>IFERROR(__xludf.DUMMYFUNCTION("GOOGLETRANSLATE(A22575, ""en"", ""mt"")"),"Tittrasforma")</f>
        <v>Tittrasforma</v>
      </c>
    </row>
    <row r="22576" ht="15.75" customHeight="1">
      <c r="A22576" s="2" t="s">
        <v>22576</v>
      </c>
      <c r="B22576" s="2" t="str">
        <f>IFERROR(__xludf.DUMMYFUNCTION("GOOGLETRANSLATE(A22576, ""en"", ""mt"")"),"Liema lingwa tintuża fl-iskejjel primarji Ċiniżi fil-Malasja?")</f>
        <v>Liema lingwa tintuża fl-iskejjel primarji Ċiniżi fil-Malasja?</v>
      </c>
    </row>
    <row r="22577" ht="15.75" customHeight="1">
      <c r="A22577" s="2" t="s">
        <v>22577</v>
      </c>
      <c r="B22577" s="2" t="str">
        <f>IFERROR(__xludf.DUMMYFUNCTION("GOOGLETRANSLATE(A22577, ""en"", ""mt"")"),"Min għamel lil Ralph Earl?")</f>
        <v>Min għamel lil Ralph Earl?</v>
      </c>
    </row>
    <row r="22578" ht="15.75" customHeight="1">
      <c r="A22578" s="2" t="s">
        <v>22578</v>
      </c>
      <c r="B22578" s="2" t="str">
        <f>IFERROR(__xludf.DUMMYFUNCTION("GOOGLETRANSLATE(A22578, ""en"", ""mt"")"),"Xi jfisser l-UMC taħt kontroll internazzjonali strett u effettiv?")</f>
        <v>Xi jfisser l-UMC taħt kontroll internazzjonali strett u effettiv?</v>
      </c>
    </row>
    <row r="22579" ht="15.75" customHeight="1">
      <c r="A22579" s="2" t="s">
        <v>22579</v>
      </c>
      <c r="B22579" s="2" t="str">
        <f>IFERROR(__xludf.DUMMYFUNCTION("GOOGLETRANSLATE(A22579, ""en"", ""mt"")"),"F'liema pajjiż espandiet l-ABC f'nofs is-snin 1960?")</f>
        <v>F'liema pajjiż espandiet l-ABC f'nofs is-snin 1960?</v>
      </c>
    </row>
    <row r="22580" ht="15.75" customHeight="1">
      <c r="A22580" s="2" t="s">
        <v>22580</v>
      </c>
      <c r="B22580" s="2" t="str">
        <f>IFERROR(__xludf.DUMMYFUNCTION("GOOGLETRANSLATE(A22580, ""en"", ""mt"")"),"Sewqan ix-xaft")</f>
        <v>Sewqan ix-xaft</v>
      </c>
    </row>
    <row r="22581" ht="15.75" customHeight="1">
      <c r="A22581" s="2" t="s">
        <v>22581</v>
      </c>
      <c r="B22581" s="2" t="str">
        <f>IFERROR(__xludf.DUMMYFUNCTION("GOOGLETRANSLATE(A22581, ""en"", ""mt"")"),"żieda fil-qgħad")</f>
        <v>żieda fil-qgħad</v>
      </c>
    </row>
    <row r="22582" ht="15.75" customHeight="1">
      <c r="A22582" s="2" t="s">
        <v>22582</v>
      </c>
      <c r="B22582" s="2" t="str">
        <f>IFERROR(__xludf.DUMMYFUNCTION("GOOGLETRANSLATE(A22582, ""en"", ""mt"")"),"Rebeljonijiet Huguenot")</f>
        <v>Rebeljonijiet Huguenot</v>
      </c>
    </row>
    <row r="22583" ht="15.75" customHeight="1">
      <c r="A22583" s="2" t="s">
        <v>22583</v>
      </c>
      <c r="B22583" s="2" t="str">
        <f>IFERROR(__xludf.DUMMYFUNCTION("GOOGLETRANSLATE(A22583, ""en"", ""mt"")"),"Liema lukanda uża l-Broncos għal Super Bowl 50?")</f>
        <v>Liema lukanda uża l-Broncos għal Super Bowl 50?</v>
      </c>
    </row>
    <row r="22584" ht="15.75" customHeight="1">
      <c r="A22584" s="2" t="s">
        <v>22584</v>
      </c>
      <c r="B22584" s="2" t="str">
        <f>IFERROR(__xludf.DUMMYFUNCTION("GOOGLETRANSLATE(A22584, ""en"", ""mt"")"),"Għin biex tippreserva t-tolleranza tas-soċjetà")</f>
        <v>Għin biex tippreserva t-tolleranza tas-soċjetà</v>
      </c>
    </row>
    <row r="22585" ht="15.75" customHeight="1">
      <c r="A22585" s="2" t="s">
        <v>22585</v>
      </c>
      <c r="B22585" s="2" t="str">
        <f>IFERROR(__xludf.DUMMYFUNCTION("GOOGLETRANSLATE(A22585, ""en"", ""mt"")"),"Unjoni Sovjetika")</f>
        <v>Unjoni Sovjetika</v>
      </c>
    </row>
    <row r="22586" ht="15.75" customHeight="1">
      <c r="A22586" s="2" t="s">
        <v>22586</v>
      </c>
      <c r="B22586" s="2" t="str">
        <f>IFERROR(__xludf.DUMMYFUNCTION("GOOGLETRANSLATE(A22586, ""en"", ""mt"")"),"Min għamel il-lingwa tas-sinjali tal-innu nazzjonali fis-Super Bowl 50?")</f>
        <v>Min għamel il-lingwa tas-sinjali tal-innu nazzjonali fis-Super Bowl 50?</v>
      </c>
    </row>
    <row r="22587" ht="15.75" customHeight="1">
      <c r="A22587" s="2" t="s">
        <v>22587</v>
      </c>
      <c r="B22587" s="2" t="str">
        <f>IFERROR(__xludf.DUMMYFUNCTION("GOOGLETRANSLATE(A22587, ""en"", ""mt"")"),"Kemm jaqla 'probationer, inizjalment?")</f>
        <v>Kemm jaqla 'probationer, inizjalment?</v>
      </c>
    </row>
    <row r="22588" ht="15.75" customHeight="1">
      <c r="A22588" s="2" t="s">
        <v>22588</v>
      </c>
      <c r="B22588" s="2" t="str">
        <f>IFERROR(__xludf.DUMMYFUNCTION("GOOGLETRANSLATE(A22588, ""en"", ""mt"")"),"Speċjalisti tas-Suġġett")</f>
        <v>Speċjalisti tas-Suġġett</v>
      </c>
    </row>
    <row r="22589" ht="15.75" customHeight="1">
      <c r="A22589" s="2" t="s">
        <v>22589</v>
      </c>
      <c r="B22589" s="2" t="str">
        <f>IFERROR(__xludf.DUMMYFUNCTION("GOOGLETRANSLATE(A22589, ""en"", ""mt"")"),"Alka ħadra")</f>
        <v>Alka ħadra</v>
      </c>
    </row>
    <row r="22590" ht="15.75" customHeight="1">
      <c r="A22590" s="2" t="s">
        <v>22590</v>
      </c>
      <c r="B22590" s="2" t="str">
        <f>IFERROR(__xludf.DUMMYFUNCTION("GOOGLETRANSLATE(A22590, ""en"", ""mt"")"),"Kemm żgur li d-dikjarazzjoni qalu li x-xjenzati kienu li t-temperaturi jibqgħu jogħlew?")</f>
        <v>Kemm żgur li d-dikjarazzjoni qalu li x-xjenzati kienu li t-temperaturi jibqgħu jogħlew?</v>
      </c>
    </row>
    <row r="22591" ht="15.75" customHeight="1">
      <c r="A22591" s="2" t="s">
        <v>22591</v>
      </c>
      <c r="B22591" s="2" t="str">
        <f>IFERROR(__xludf.DUMMYFUNCTION("GOOGLETRANSLATE(A22591, ""en"", ""mt"")"),"Yale")</f>
        <v>Yale</v>
      </c>
    </row>
    <row r="22592" ht="15.75" customHeight="1">
      <c r="A22592" s="2" t="s">
        <v>22592</v>
      </c>
      <c r="B22592" s="2" t="str">
        <f>IFERROR(__xludf.DUMMYFUNCTION("GOOGLETRANSLATE(A22592, ""en"", ""mt"")"),"permezz tal-fidi")</f>
        <v>permezz tal-fidi</v>
      </c>
    </row>
    <row r="22593" ht="15.75" customHeight="1">
      <c r="A22593" s="2" t="s">
        <v>22593</v>
      </c>
      <c r="B22593" s="2" t="str">
        <f>IFERROR(__xludf.DUMMYFUNCTION("GOOGLETRANSLATE(A22593, ""en"", ""mt"")"),"X’kawża li ċ-Ċina tissospendi l-proġett tal-ferrovija tagħhom?")</f>
        <v>X’kawża li ċ-Ċina tissospendi l-proġett tal-ferrovija tagħhom?</v>
      </c>
    </row>
    <row r="22594" ht="15.75" customHeight="1">
      <c r="A22594" s="2" t="s">
        <v>22594</v>
      </c>
      <c r="B22594" s="2" t="str">
        <f>IFERROR(__xludf.DUMMYFUNCTION("GOOGLETRANSLATE(A22594, ""en"", ""mt"")"),"Huwa esplora l-muntanji fil-garb tal-kaċċatur")</f>
        <v>Huwa esplora l-muntanji fil-garb tal-kaċċatur</v>
      </c>
    </row>
    <row r="22595" ht="15.75" customHeight="1">
      <c r="A22595" s="2" t="s">
        <v>22595</v>
      </c>
      <c r="B22595" s="2" t="str">
        <f>IFERROR(__xludf.DUMMYFUNCTION("GOOGLETRANSLATE(A22595, ""en"", ""mt"")"),"Għaliex l-NBC ma setax ixandar l-inkurunazzjoni tar-Reġina Eliżabetta II?")</f>
        <v>Għaliex l-NBC ma setax ixandar l-inkurunazzjoni tar-Reġina Eliżabetta II?</v>
      </c>
    </row>
    <row r="22596" ht="15.75" customHeight="1">
      <c r="A22596" s="2" t="s">
        <v>22596</v>
      </c>
      <c r="B22596" s="2" t="str">
        <f>IFERROR(__xludf.DUMMYFUNCTION("GOOGLETRANSLATE(A22596, ""en"", ""mt"")"),"Għeluq issikkat jissimplifika l-faċċata tal-annimal")</f>
        <v>Għeluq issikkat jissimplifika l-faċċata tal-annimal</v>
      </c>
    </row>
    <row r="22597" ht="15.75" customHeight="1">
      <c r="A22597" s="2" t="s">
        <v>22597</v>
      </c>
      <c r="B22597" s="2" t="str">
        <f>IFERROR(__xludf.DUMMYFUNCTION("GOOGLETRANSLATE(A22597, ""en"", ""mt"")"),"Jaime Weston")</f>
        <v>Jaime Weston</v>
      </c>
    </row>
    <row r="22598" ht="15.75" customHeight="1">
      <c r="A22598" s="2" t="s">
        <v>22598</v>
      </c>
      <c r="B22598" s="2" t="str">
        <f>IFERROR(__xludf.DUMMYFUNCTION("GOOGLETRANSLATE(A22598, ""en"", ""mt"")"),"Fl-2005, bejn wieħed u ieħor kemm kien hemm kongregazzjonijiet fl-UMC?")</f>
        <v>Fl-2005, bejn wieħed u ieħor kemm kien hemm kongregazzjonijiet fl-UMC?</v>
      </c>
    </row>
    <row r="22599" ht="15.75" customHeight="1">
      <c r="A22599" s="2" t="s">
        <v>22599</v>
      </c>
      <c r="B22599" s="2" t="str">
        <f>IFERROR(__xludf.DUMMYFUNCTION("GOOGLETRANSLATE(A22599, ""en"", ""mt"")"),"'Ħieles mit-tagħlim")</f>
        <v>'Ħieles mit-tagħlim</v>
      </c>
    </row>
    <row r="22600" ht="15.75" customHeight="1">
      <c r="A22600" s="2" t="s">
        <v>22600</v>
      </c>
      <c r="B22600" s="2" t="str">
        <f>IFERROR(__xludf.DUMMYFUNCTION("GOOGLETRANSLATE(A22600, ""en"", ""mt"")"),"Bukhara")</f>
        <v>Bukhara</v>
      </c>
    </row>
    <row r="22601" ht="15.75" customHeight="1">
      <c r="A22601" s="2" t="s">
        <v>22601</v>
      </c>
      <c r="B22601" s="2" t="str">
        <f>IFERROR(__xludf.DUMMYFUNCTION("GOOGLETRANSLATE(A22601, ""en"", ""mt"")"),"Storiċi Mongoljani moderni jgħidu li lejn it-tmiem ta ’ħajtu, Genghis Khan ipprova joħloq stat ċivili taħt il-Yassa l-kbira li kien stabbilixxa l-ugwaljanza legali tal-individwi kollha, inklużi n-nisa. Madankollu, m'hemm l-ebda evidenza ta 'dan, jew ta' l"&amp;"-irfigħ ta 'politiki diskriminatorji lejn popli sedentarji bħaċ-Ċiniżi. In-nisa kellhom rwol relattivament importanti fl-Imperu Mongoljan u fil-familja, pereżempju Töregene Khatun kien fil-qosor inkarigat mill-imperu Mongoljan meta kien qed jintgħażel Kha"&amp;"gan maskili li jmiss. L-istudjużi moderni jirreferu għall-allegata politika li jinkoraġġixxu l-kummerċ u l-komunikazzjoni bħala l-Pax Mongolica (Paċi Mongolja).")</f>
        <v>Storiċi Mongoljani moderni jgħidu li lejn it-tmiem ta ’ħajtu, Genghis Khan ipprova joħloq stat ċivili taħt il-Yassa l-kbira li kien stabbilixxa l-ugwaljanza legali tal-individwi kollha, inklużi n-nisa. Madankollu, m'hemm l-ebda evidenza ta 'dan, jew ta' l-irfigħ ta 'politiki diskriminatorji lejn popli sedentarji bħaċ-Ċiniżi. In-nisa kellhom rwol relattivament importanti fl-Imperu Mongoljan u fil-familja, pereżempju Töregene Khatun kien fil-qosor inkarigat mill-imperu Mongoljan meta kien qed jintgħażel Khagan maskili li jmiss. L-istudjużi moderni jirreferu għall-allegata politika li jinkoraġġixxu l-kummerċ u l-komunikazzjoni bħala l-Pax Mongolica (Paċi Mongolja).</v>
      </c>
    </row>
    <row r="22602" ht="15.75" customHeight="1">
      <c r="A22602" s="2" t="s">
        <v>22602</v>
      </c>
      <c r="B22602" s="2" t="str">
        <f>IFERROR(__xludf.DUMMYFUNCTION("GOOGLETRANSLATE(A22602, ""en"", ""mt"")"),"Bosta familji tal-Greċja Biżantina kienu ta ’oriġini merċenarja Norman matul il-perjodu tar-restawr tal-Komneni, meta l-imperaturi Biżantini kienu qed ifittxu ġellieda tal-Ewropa tal-Punent. Ir-Raoulii kienu dixxendenti minn Italo-Norman jismu Raoul, il-P"&amp;"etraliphae kienu dixxendenti minn Pierre d'Aulps, u dak il-grupp ta 'gruppi Albaniżi magħrufa bħala l-Maniakates kienu dixxendenti minn Normanni li servew taħt George Maniaces fl-expedition Sqalli ta' l-1038.")</f>
        <v>Bosta familji tal-Greċja Biżantina kienu ta ’oriġini merċenarja Norman matul il-perjodu tar-restawr tal-Komneni, meta l-imperaturi Biżantini kienu qed ifittxu ġellieda tal-Ewropa tal-Punent. Ir-Raoulii kienu dixxendenti minn Italo-Norman jismu Raoul, il-Petraliphae kienu dixxendenti minn Pierre d'Aulps, u dak il-grupp ta 'gruppi Albaniżi magħrufa bħala l-Maniakates kienu dixxendenti minn Normanni li servew taħt George Maniaces fl-expedition Sqalli ta' l-1038.</v>
      </c>
    </row>
    <row r="22603" ht="15.75" customHeight="1">
      <c r="A22603" s="2" t="s">
        <v>22603</v>
      </c>
      <c r="B22603" s="2" t="str">
        <f>IFERROR(__xludf.DUMMYFUNCTION("GOOGLETRANSLATE(A22603, ""en"", ""mt"")"),"X'inhu l-isem tat-truppa tat-teatru improvisazzjonali tal-istudenti?")</f>
        <v>X'inhu l-isem tat-truppa tat-teatru improvisazzjonali tal-istudenti?</v>
      </c>
    </row>
    <row r="22604" ht="15.75" customHeight="1">
      <c r="A22604" s="2" t="s">
        <v>22604</v>
      </c>
      <c r="B22604" s="2" t="str">
        <f>IFERROR(__xludf.DUMMYFUNCTION("GOOGLETRANSLATE(A22604, ""en"", ""mt"")"),"Maġġur George Washington")</f>
        <v>Maġġur George Washington</v>
      </c>
    </row>
    <row r="22605" ht="15.75" customHeight="1">
      <c r="A22605" s="2" t="s">
        <v>22605</v>
      </c>
      <c r="B22605" s="2" t="str">
        <f>IFERROR(__xludf.DUMMYFUNCTION("GOOGLETRANSLATE(A22605, ""en"", ""mt"")"),"Emissjonijiet ta 'gass serra")</f>
        <v>Emissjonijiet ta 'gass serra</v>
      </c>
    </row>
    <row r="22606" ht="15.75" customHeight="1">
      <c r="A22606" s="2" t="s">
        <v>22606</v>
      </c>
      <c r="B22606" s="2" t="str">
        <f>IFERROR(__xludf.DUMMYFUNCTION("GOOGLETRANSLATE(A22606, ""en"", ""mt"")"),"L-antiġeni tat-tumur huma kumplessi bil-molekuli tal-klassi I MHC bl-istess mod bħal liema antiġeni?")</f>
        <v>L-antiġeni tat-tumur huma kumplessi bil-molekuli tal-klassi I MHC bl-istess mod bħal liema antiġeni?</v>
      </c>
    </row>
    <row r="22607" ht="15.75" customHeight="1">
      <c r="A22607" s="2" t="s">
        <v>22607</v>
      </c>
      <c r="B22607" s="2" t="str">
        <f>IFERROR(__xludf.DUMMYFUNCTION("GOOGLETRANSLATE(A22607, ""en"", ""mt"")"),"Madwar tliet sigħat")</f>
        <v>Madwar tliet sigħat</v>
      </c>
    </row>
    <row r="22608" ht="15.75" customHeight="1">
      <c r="A22608" s="2" t="s">
        <v>22608</v>
      </c>
      <c r="B22608" s="2" t="str">
        <f>IFERROR(__xludf.DUMMYFUNCTION("GOOGLETRANSLATE(A22608, ""en"", ""mt"")"),"Mhux rivoluzzjonarju")</f>
        <v>Mhux rivoluzzjonarju</v>
      </c>
    </row>
    <row r="22609" ht="15.75" customHeight="1">
      <c r="A22609" s="2" t="s">
        <v>22609</v>
      </c>
      <c r="B22609" s="2" t="str">
        <f>IFERROR(__xludf.DUMMYFUNCTION("GOOGLETRANSLATE(A22609, ""en"", ""mt"")"),"Esperjenza NFL")</f>
        <v>Esperjenza NFL</v>
      </c>
    </row>
    <row r="22610" ht="15.75" customHeight="1">
      <c r="A22610" s="2" t="s">
        <v>22610</v>
      </c>
      <c r="B22610" s="2" t="str">
        <f>IFERROR(__xludf.DUMMYFUNCTION("GOOGLETRANSLATE(A22610, ""en"", ""mt"")"),"juru dimorfiżmu tal-kloroplast distint")</f>
        <v>juru dimorfiżmu tal-kloroplast distint</v>
      </c>
    </row>
    <row r="22611" ht="15.75" customHeight="1">
      <c r="A22611" s="2" t="s">
        <v>22611</v>
      </c>
      <c r="B22611" s="2" t="str">
        <f>IFERROR(__xludf.DUMMYFUNCTION("GOOGLETRANSLATE(A22611, ""en"", ""mt"")"),"Meta kien hemm protesta armata f'Ballarat dwar it-taxxi tal-minjieri?")</f>
        <v>Meta kien hemm protesta armata f'Ballarat dwar it-taxxi tal-minjieri?</v>
      </c>
    </row>
    <row r="22612" ht="15.75" customHeight="1">
      <c r="A22612" s="2" t="s">
        <v>22612</v>
      </c>
      <c r="B22612" s="2" t="str">
        <f>IFERROR(__xludf.DUMMYFUNCTION("GOOGLETRANSLATE(A22612, ""en"", ""mt"")"),"L-ekonomista Joseph Stiglitz ippreżenta evidenza fl-2009 li kemm l-inugwaljanza globali kif ukoll l-inugwaljanza fil-pajjiżi jipprevjenu t-tkabbir billi jillimitaw id-domanda aggregata. L-ekonomista Branko Milanovic, kiteb fl-2001 li, ""il-fehma li l-inug"&amp;"waljanza tad-dħul tagħmel ħsara lit-tkabbir - jew li l-ugwaljanza mtejba tista 'tgħin biex issostni t-tkabbir - saret aktar wiesgħa f'dawn l-aħħar snin. ... Ir-raġuni ewlenija għal din il-bidla hija l-importanza dejjem tiżdied ta' Kapitali umana fl-iżvilu"&amp;"pp. Meta l-kapital fiżiku kien il-biċċa l-kbira, it-tfaddil u l-investimenti kienu ewlenin. Imbagħad kien importanti li jkollok kontinġent kbir ta 'nies sinjuri li jistgħu jiffrankaw proporzjon akbar tad-dħul tagħhom milli l-foqra u jinvestuh fil-kapital "&amp;"fiżiku. Imma issa Li l-kapital uman huwa aktar skars mill-magni, l-edukazzjoni mifruxa saret is-sigriet għat-tkabbir. """)</f>
        <v>L-ekonomista Joseph Stiglitz ippreżenta evidenza fl-2009 li kemm l-inugwaljanza globali kif ukoll l-inugwaljanza fil-pajjiżi jipprevjenu t-tkabbir billi jillimitaw id-domanda aggregata. L-ekonomista Branko Milanovic, kiteb fl-2001 li, "il-fehma li l-inugwaljanza tad-dħul tagħmel ħsara lit-tkabbir - jew li l-ugwaljanza mtejba tista 'tgħin biex issostni t-tkabbir - saret aktar wiesgħa f'dawn l-aħħar snin. ... Ir-raġuni ewlenija għal din il-bidla hija l-importanza dejjem tiżdied ta' Kapitali umana fl-iżvilupp. Meta l-kapital fiżiku kien il-biċċa l-kbira, it-tfaddil u l-investimenti kienu ewlenin. Imbagħad kien importanti li jkollok kontinġent kbir ta 'nies sinjuri li jistgħu jiffrankaw proporzjon akbar tad-dħul tagħhom milli l-foqra u jinvestuh fil-kapital fiżiku. Imma issa Li l-kapital uman huwa aktar skars mill-magni, l-edukazzjoni mifruxa saret is-sigriet għat-tkabbir. "</v>
      </c>
    </row>
    <row r="22613" ht="15.75" customHeight="1">
      <c r="A22613" s="2" t="s">
        <v>22613</v>
      </c>
      <c r="B22613" s="2" t="str">
        <f>IFERROR(__xludf.DUMMYFUNCTION("GOOGLETRANSLATE(A22613, ""en"", ""mt"")"),"Liema bidla fil-kundizzjonijiet tista 'tagħmel il-foresta tropikali tal-Amazon insostenibbli?")</f>
        <v>Liema bidla fil-kundizzjonijiet tista 'tagħmel il-foresta tropikali tal-Amazon insostenibbli?</v>
      </c>
    </row>
    <row r="22614" ht="15.75" customHeight="1">
      <c r="A22614" s="2" t="s">
        <v>22614</v>
      </c>
      <c r="B22614" s="2" t="str">
        <f>IFERROR(__xludf.DUMMYFUNCTION("GOOGLETRANSLATE(A22614, ""en"", ""mt"")"),"huma ewlenin. In-numri ewlenin ta 'din il-forma huma magħrufa bħala primes fattwali. Primes oħra fejn jew P + 1 jew P - 1 huma ta 'forma partikolari jinkludu s-Sophie Germain Primes (primes tal-Formola 2P + 1 bi P prim), primes primorial, Fermat Primes u "&amp;"Mersenne Primes, jiġifieri, numri ewlenin li huma tal-forma 2p - 1, fejn P hija prim arbitrarju. It-test Lucas-Lehmer huwa partikolarment mgħaġġel għan-numri ta 'din il-forma. Din hija r-raġuni għaliex l-akbar prim magħruf kważi dejjem kien Mersenne prim "&amp;"mill-bidunett tal-kompjuters elettroniċi.")</f>
        <v>huma ewlenin. In-numri ewlenin ta 'din il-forma huma magħrufa bħala primes fattwali. Primes oħra fejn jew P + 1 jew P - 1 huma ta 'forma partikolari jinkludu s-Sophie Germain Primes (primes tal-Formola 2P + 1 bi P prim), primes primorial, Fermat Primes u Mersenne Primes, jiġifieri, numri ewlenin li huma tal-forma 2p - 1, fejn P hija prim arbitrarju. It-test Lucas-Lehmer huwa partikolarment mgħaġġel għan-numri ta 'din il-forma. Din hija r-raġuni għaliex l-akbar prim magħruf kważi dejjem kien Mersenne prim mill-bidunett tal-kompjuters elettroniċi.</v>
      </c>
    </row>
    <row r="22615" ht="15.75" customHeight="1">
      <c r="A22615" s="2" t="s">
        <v>22615</v>
      </c>
      <c r="B22615" s="2" t="str">
        <f>IFERROR(__xludf.DUMMYFUNCTION("GOOGLETRANSLATE(A22615, ""en"", ""mt"")"),"Liema programm is-Salib l-Aħmar ġab flimkien fl-2011?")</f>
        <v>Liema programm is-Salib l-Aħmar ġab flimkien fl-2011?</v>
      </c>
    </row>
    <row r="22616" ht="15.75" customHeight="1">
      <c r="A22616" s="2" t="s">
        <v>22616</v>
      </c>
      <c r="B22616" s="2" t="str">
        <f>IFERROR(__xludf.DUMMYFUNCTION("GOOGLETRANSLATE(A22616, ""en"", ""mt"")"),"Matul liema ħin iċ-ċiviltà fl-Amażonja kienet qed tiffjorixxi meta Orellana għamel l-osservazzjonijiet tiegħu?")</f>
        <v>Matul liema ħin iċ-ċiviltà fl-Amażonja kienet qed tiffjorixxi meta Orellana għamel l-osservazzjonijiet tiegħu?</v>
      </c>
    </row>
    <row r="22617" ht="15.75" customHeight="1">
      <c r="A22617" s="2" t="s">
        <v>22617</v>
      </c>
      <c r="B22617" s="2" t="str">
        <f>IFERROR(__xludf.DUMMYFUNCTION("GOOGLETRANSLATE(A22617, ""en"", ""mt"")"),"Biex tnaqqas iċ-ċansijiet ta 'kombustjoni ___ hija meħtieġa biex timmaniġġja b'mod sikur O.")</f>
        <v>Biex tnaqqas iċ-ċansijiet ta 'kombustjoni ___ hija meħtieġa biex timmaniġġja b'mod sikur O.</v>
      </c>
    </row>
    <row r="22618" ht="15.75" customHeight="1">
      <c r="A22618" s="2" t="s">
        <v>22618</v>
      </c>
      <c r="B22618" s="2" t="str">
        <f>IFERROR(__xludf.DUMMYFUNCTION("GOOGLETRANSLATE(A22618, ""en"", ""mt"")"),"X'kien l-isem tas-single li Coldplay u Beyoncé ikkollaboraw fuqu?")</f>
        <v>X'kien l-isem tas-single li Coldplay u Beyoncé ikkollaboraw fuqu?</v>
      </c>
    </row>
    <row r="22619" ht="15.75" customHeight="1">
      <c r="A22619" s="2" t="s">
        <v>22619</v>
      </c>
      <c r="B22619" s="2" t="str">
        <f>IFERROR(__xludf.DUMMYFUNCTION("GOOGLETRANSLATE(A22619, ""en"", ""mt"")"),"X'kien il-finalist l-ieħor minbarra l-istadium ta 'Levi?")</f>
        <v>X'kien il-finalist l-ieħor minbarra l-istadium ta 'Levi?</v>
      </c>
    </row>
    <row r="22620" ht="15.75" customHeight="1">
      <c r="A22620" s="2" t="s">
        <v>22620</v>
      </c>
      <c r="B22620" s="2" t="str">
        <f>IFERROR(__xludf.DUMMYFUNCTION("GOOGLETRANSLATE(A22620, ""en"", ""mt"")"),"1640")</f>
        <v>1640</v>
      </c>
    </row>
    <row r="22621" ht="15.75" customHeight="1">
      <c r="A22621" s="2" t="s">
        <v>22621</v>
      </c>
      <c r="B22621" s="2" t="str">
        <f>IFERROR(__xludf.DUMMYFUNCTION("GOOGLETRANSLATE(A22621, ""en"", ""mt"")"),"fl-iskejjel")</f>
        <v>fl-iskejjel</v>
      </c>
    </row>
    <row r="22622" ht="15.75" customHeight="1">
      <c r="A22622" s="2" t="s">
        <v>22622</v>
      </c>
      <c r="B22622" s="2" t="str">
        <f>IFERROR(__xludf.DUMMYFUNCTION("GOOGLETRANSLATE(A22622, ""en"", ""mt"")"),"Diviżjoni tripartita")</f>
        <v>Diviżjoni tripartita</v>
      </c>
    </row>
    <row r="22623" ht="15.75" customHeight="1">
      <c r="A22623" s="2" t="s">
        <v>22623</v>
      </c>
      <c r="B22623" s="2" t="str">
        <f>IFERROR(__xludf.DUMMYFUNCTION("GOOGLETRANSLATE(A22623, ""en"", ""mt"")"),"L-interjuri tat-tliet kmamar ta 'refreshment ġew assenjati lil disinjaturi differenti. Il-Green Dining Room 1866–68 kienet ix-xogħol ta ’Philip Webb u William Morris, u turi influwenzi ta’ Elizabethan. Il-parti t'isfel tal-ħitan huma pannelli fl-injam b'f"&amp;"axxa ta 'pitturi li juru l-frott u l-figura okkażjonali, bil-weraq tal-ġibs iffurmat fuq il-parti ewlenija tal-ħajt u frieze tal-ġibs madwar il-limitu mżejjen u twieqi tal-ħġieġ imtebba' minn Edward Burne- Jones. Il-Kamra ta 'Refreshment taċ-Ċentru 1865–7"&amp;"7 kienet iddisinjata fi stil ta' rinaxximent minn James Gamble, il-ħitan u anke l-kolonni joniċi huma koperti bil-madum taċ-ċeramika dekorattivi u ffurmati, il-limitu jikkonsisti minn disinji elaborati fuq folji tal-metall enameled u twieqi tal-ħġieġ imte"&amp;"bba ', li jaqblu ma' l-ħġieġ, In-nar tal-irħam ġie ddisinjat u skolpita minn Alfred Stevens u tneħħa mid-Dar Dorchester qabel it-twaqqigħ ta 'dik il-bini fl-1929. Il-kamra tal-grill 1876–81 kienet iddisinjata minn Sir Edward Poynter, il-parti ta' isfel ta"&amp;"l-ħitan tikkonsisti minn madum blu u abjad ma ' Diversi figuri u weraq magħluqin mill-pannelli tal-injam, hawn fuq hemm xeni kbar bil-madum b'ċifri li juru l-erba 'staġuni u t-tnax-il xahar dawn kienu miżbugħa minn onorevoli mill-iskola tal-arti imbagħad "&amp;"ibbażati fil-mużew, it-twieqi huma wkoll imtebba' tal-ħġieġ, hemm Grill tal-ħadid fondut elaborat għadu fis-seħħ.")</f>
        <v>L-interjuri tat-tliet kmamar ta 'refreshment ġew assenjati lil disinjaturi differenti. Il-Green Dining Room 1866–68 kienet ix-xogħol ta ’Philip Webb u William Morris, u turi influwenzi ta’ Elizabethan. Il-parti t'isfel tal-ħitan huma pannelli fl-injam b'faxxa ta 'pitturi li juru l-frott u l-figura okkażjonali, bil-weraq tal-ġibs iffurmat fuq il-parti ewlenija tal-ħajt u frieze tal-ġibs madwar il-limitu mżejjen u twieqi tal-ħġieġ imtebba' minn Edward Burne- Jones. Il-Kamra ta 'Refreshment taċ-Ċentru 1865–77 kienet iddisinjata fi stil ta' rinaxximent minn James Gamble, il-ħitan u anke l-kolonni joniċi huma koperti bil-madum taċ-ċeramika dekorattivi u ffurmati, il-limitu jikkonsisti minn disinji elaborati fuq folji tal-metall enameled u twieqi tal-ħġieġ imtebba ', li jaqblu ma' l-ħġieġ, In-nar tal-irħam ġie ddisinjat u skolpita minn Alfred Stevens u tneħħa mid-Dar Dorchester qabel it-twaqqigħ ta 'dik il-bini fl-1929. Il-kamra tal-grill 1876–81 kienet iddisinjata minn Sir Edward Poynter, il-parti ta' isfel tal-ħitan tikkonsisti minn madum blu u abjad ma ' Diversi figuri u weraq magħluqin mill-pannelli tal-injam, hawn fuq hemm xeni kbar bil-madum b'ċifri li juru l-erba 'staġuni u t-tnax-il xahar dawn kienu miżbugħa minn onorevoli mill-iskola tal-arti imbagħad ibbażati fil-mużew, it-twieqi huma wkoll imtebba' tal-ħġieġ, hemm Grill tal-ħadid fondut elaborat għadu fis-seħħ.</v>
      </c>
    </row>
    <row r="22624" ht="15.75" customHeight="1">
      <c r="A22624" s="2" t="s">
        <v>22624</v>
      </c>
      <c r="B22624" s="2" t="str">
        <f>IFERROR(__xludf.DUMMYFUNCTION("GOOGLETRANSLATE(A22624, ""en"", ""mt"")"),"Mejju")</f>
        <v>Mejju</v>
      </c>
    </row>
    <row r="22625" ht="15.75" customHeight="1">
      <c r="A22625" s="2" t="s">
        <v>22625</v>
      </c>
      <c r="B22625" s="2" t="str">
        <f>IFERROR(__xludf.DUMMYFUNCTION("GOOGLETRANSLATE(A22625, ""en"", ""mt"")"),"Korpi tqal li jaqgħu")</f>
        <v>Korpi tqal li jaqgħu</v>
      </c>
    </row>
    <row r="22626" ht="15.75" customHeight="1">
      <c r="A22626" s="2" t="s">
        <v>22626</v>
      </c>
      <c r="B22626" s="2" t="str">
        <f>IFERROR(__xludf.DUMMYFUNCTION("GOOGLETRANSLATE(A22626, ""en"", ""mt"")"),"Kif jirriproduċu l-kloroplasti?")</f>
        <v>Kif jirriproduċu l-kloroplasti?</v>
      </c>
    </row>
    <row r="22627" ht="15.75" customHeight="1">
      <c r="A22627" s="2" t="s">
        <v>22627</v>
      </c>
      <c r="B22627" s="2" t="str">
        <f>IFERROR(__xludf.DUMMYFUNCTION("GOOGLETRANSLATE(A22627, ""en"", ""mt"")"),"Gwardjani ħomor")</f>
        <v>Gwardjani ħomor</v>
      </c>
    </row>
    <row r="22628" ht="15.75" customHeight="1">
      <c r="A22628" s="2" t="s">
        <v>22628</v>
      </c>
      <c r="B22628" s="2" t="str">
        <f>IFERROR(__xludf.DUMMYFUNCTION("GOOGLETRANSLATE(A22628, ""en"", ""mt"")"),"Wesleyan")</f>
        <v>Wesleyan</v>
      </c>
    </row>
    <row r="22629" ht="15.75" customHeight="1">
      <c r="A22629" s="2" t="s">
        <v>22629</v>
      </c>
      <c r="B22629" s="2" t="str">
        <f>IFERROR(__xludf.DUMMYFUNCTION("GOOGLETRANSLATE(A22629, ""en"", ""mt"")"),"Nederrijn")</f>
        <v>Nederrijn</v>
      </c>
    </row>
    <row r="22630" ht="15.75" customHeight="1">
      <c r="A22630" s="2" t="s">
        <v>22630</v>
      </c>
      <c r="B22630" s="2" t="str">
        <f>IFERROR(__xludf.DUMMYFUNCTION("GOOGLETRANSLATE(A22630, ""en"", ""mt"")"),"X’Rew se jkun it-turisti ta ’Jacksonville lejn destinazzjonijiet oħra ta’ Florida?")</f>
        <v>X’Rew se jkun it-turisti ta ’Jacksonville lejn destinazzjonijiet oħra ta’ Florida?</v>
      </c>
    </row>
    <row r="22631" ht="15.75" customHeight="1">
      <c r="A22631" s="2" t="s">
        <v>22631</v>
      </c>
      <c r="B22631" s="2" t="str">
        <f>IFERROR(__xludf.DUMMYFUNCTION("GOOGLETRANSLATE(A22631, ""en"", ""mt"")"),"Min segwa lil Matt Smith fir-rwol tat-Tabib Min?")</f>
        <v>Min segwa lil Matt Smith fir-rwol tat-Tabib Min?</v>
      </c>
    </row>
    <row r="22632" ht="15.75" customHeight="1">
      <c r="A22632" s="2" t="s">
        <v>22632</v>
      </c>
      <c r="B22632" s="2" t="str">
        <f>IFERROR(__xludf.DUMMYFUNCTION("GOOGLETRANSLATE(A22632, ""en"", ""mt"")"),"maħruq ripetutament")</f>
        <v>maħruq ripetutament</v>
      </c>
    </row>
    <row r="22633" ht="15.75" customHeight="1">
      <c r="A22633" s="2" t="s">
        <v>22633</v>
      </c>
      <c r="B22633" s="2" t="str">
        <f>IFERROR(__xludf.DUMMYFUNCTION("GOOGLETRANSLATE(A22633, ""en"", ""mt"")"),"Il-kolonisti Ingliżi ma jkunux siguri sakemm il-Franċiżi kienu preżenti")</f>
        <v>Il-kolonisti Ingliżi ma jkunux siguri sakemm il-Franċiżi kienu preżenti</v>
      </c>
    </row>
    <row r="22634" ht="15.75" customHeight="1">
      <c r="A22634" s="2" t="s">
        <v>22634</v>
      </c>
      <c r="B22634" s="2" t="str">
        <f>IFERROR(__xludf.DUMMYFUNCTION("GOOGLETRANSLATE(A22634, ""en"", ""mt"")"),"23.63% tad-djar Amerikani")</f>
        <v>23.63% tad-djar Amerikani</v>
      </c>
    </row>
    <row r="22635" ht="15.75" customHeight="1">
      <c r="A22635" s="2" t="s">
        <v>22635</v>
      </c>
      <c r="B22635" s="2" t="str">
        <f>IFERROR(__xludf.DUMMYFUNCTION("GOOGLETRANSLATE(A22635, ""en"", ""mt"")"),"Min kien fit-tmiem li rċieva 45-tarzna minn Cam Newton?")</f>
        <v>Min kien fit-tmiem li rċieva 45-tarzna minn Cam Newton?</v>
      </c>
    </row>
    <row r="22636" ht="15.75" customHeight="1">
      <c r="A22636" s="2" t="s">
        <v>22636</v>
      </c>
      <c r="B22636" s="2" t="str">
        <f>IFERROR(__xludf.DUMMYFUNCTION("GOOGLETRANSLATE(A22636, ""en"", ""mt"")"),"Liema pont kellu mudell minnu fil-lejl tal-ftuħ tas-Super Bowl?")</f>
        <v>Liema pont kellu mudell minnu fil-lejl tal-ftuħ tas-Super Bowl?</v>
      </c>
    </row>
    <row r="22637" ht="15.75" customHeight="1">
      <c r="A22637" s="2" t="s">
        <v>22637</v>
      </c>
      <c r="B22637" s="2" t="str">
        <f>IFERROR(__xludf.DUMMYFUNCTION("GOOGLETRANSLATE(A22637, ""en"", ""mt"")"),"F’rapport dwar l-għalliema tal-K-12, liema għalliema kellhom l-inqas salarju medjan?")</f>
        <v>F’rapport dwar l-għalliema tal-K-12, liema għalliema kellhom l-inqas salarju medjan?</v>
      </c>
    </row>
    <row r="22638" ht="15.75" customHeight="1">
      <c r="A22638" s="2" t="s">
        <v>22638</v>
      </c>
      <c r="B22638" s="2" t="str">
        <f>IFERROR(__xludf.DUMMYFUNCTION("GOOGLETRANSLATE(A22638, ""en"", ""mt"")"),"In-natura fermjonika tal-elettroni")</f>
        <v>In-natura fermjonika tal-elettroni</v>
      </c>
    </row>
    <row r="22639" ht="15.75" customHeight="1">
      <c r="A22639" s="2" t="s">
        <v>22639</v>
      </c>
      <c r="B22639" s="2" t="str">
        <f>IFERROR(__xludf.DUMMYFUNCTION("GOOGLETRANSLATE(A22639, ""en"", ""mt"")"),"free-to-air")</f>
        <v>free-to-air</v>
      </c>
    </row>
    <row r="22640" ht="15.75" customHeight="1">
      <c r="A22640" s="2" t="s">
        <v>22640</v>
      </c>
      <c r="B22640" s="2" t="str">
        <f>IFERROR(__xludf.DUMMYFUNCTION("GOOGLETRANSLATE(A22640, ""en"", ""mt"")"),"X'tip ta 'delta huwa r-Rhine-Meuse?")</f>
        <v>X'tip ta 'delta huwa r-Rhine-Meuse?</v>
      </c>
    </row>
    <row r="22641" ht="15.75" customHeight="1">
      <c r="A22641" s="2" t="s">
        <v>22641</v>
      </c>
      <c r="B22641" s="2" t="str">
        <f>IFERROR(__xludf.DUMMYFUNCTION("GOOGLETRANSLATE(A22641, ""en"", ""mt"")"),"ħafif u xemxi")</f>
        <v>ħafif u xemxi</v>
      </c>
    </row>
    <row r="22642" ht="15.75" customHeight="1">
      <c r="A22642" s="2" t="s">
        <v>22642</v>
      </c>
      <c r="B22642" s="2" t="str">
        <f>IFERROR(__xludf.DUMMYFUNCTION("GOOGLETRANSLATE(A22642, ""en"", ""mt"")"),"X'inhi marda awtoimmuni li taffettwa n-nisa b'mod preferenzjali?")</f>
        <v>X'inhi marda awtoimmuni li taffettwa n-nisa b'mod preferenzjali?</v>
      </c>
    </row>
    <row r="22643" ht="15.75" customHeight="1">
      <c r="A22643" s="2" t="s">
        <v>22643</v>
      </c>
      <c r="B22643" s="2" t="str">
        <f>IFERROR(__xludf.DUMMYFUNCTION("GOOGLETRANSLATE(A22643, ""en"", ""mt"")"),"Liema pajjiż ir-Rhine tbattal?")</f>
        <v>Liema pajjiż ir-Rhine tbattal?</v>
      </c>
    </row>
    <row r="22644" ht="15.75" customHeight="1">
      <c r="A22644" s="2" t="s">
        <v>22644</v>
      </c>
      <c r="B22644" s="2" t="str">
        <f>IFERROR(__xludf.DUMMYFUNCTION("GOOGLETRANSLATE(A22644, ""en"", ""mt"")"),"F'liema sena tabib sar l-ewwel darba nominat għal premju tal-aħjar attur?")</f>
        <v>F'liema sena tabib sar l-ewwel darba nominat għal premju tal-aħjar attur?</v>
      </c>
    </row>
    <row r="22645" ht="15.75" customHeight="1">
      <c r="A22645" s="2" t="s">
        <v>22645</v>
      </c>
      <c r="B22645" s="2" t="str">
        <f>IFERROR(__xludf.DUMMYFUNCTION("GOOGLETRANSLATE(A22645, ""en"", ""mt"")"),"X'kien inkorporat biex jgħin inaqqas id-deċenti tas-CM lura lejn id-Dinja?")</f>
        <v>X'kien inkorporat biex jgħin inaqqas id-deċenti tas-CM lura lejn id-Dinja?</v>
      </c>
    </row>
    <row r="22646" ht="15.75" customHeight="1">
      <c r="A22646" s="2" t="s">
        <v>22646</v>
      </c>
      <c r="B22646" s="2" t="str">
        <f>IFERROR(__xludf.DUMMYFUNCTION("GOOGLETRANSLATE(A22646, ""en"", ""mt"")"),"Super Bowl li")</f>
        <v>Super Bowl li</v>
      </c>
    </row>
    <row r="22647" ht="15.75" customHeight="1">
      <c r="A22647" s="2" t="s">
        <v>22647</v>
      </c>
      <c r="B22647" s="2" t="str">
        <f>IFERROR(__xludf.DUMMYFUNCTION("GOOGLETRANSLATE(A22647, ""en"", ""mt"")"),"organiżmi")</f>
        <v>organiżmi</v>
      </c>
    </row>
    <row r="22648" ht="15.75" customHeight="1">
      <c r="A22648" s="2" t="s">
        <v>22648</v>
      </c>
      <c r="B22648" s="2" t="str">
        <f>IFERROR(__xludf.DUMMYFUNCTION("GOOGLETRANSLATE(A22648, ""en"", ""mt"")"),"Nds")</f>
        <v>Nds</v>
      </c>
    </row>
    <row r="22649" ht="15.75" customHeight="1">
      <c r="A22649" s="2" t="s">
        <v>22649</v>
      </c>
      <c r="B22649" s="2" t="str">
        <f>IFERROR(__xludf.DUMMYFUNCTION("GOOGLETRANSLATE(A22649, ""en"", ""mt"")"),"Għal kemm snin intwera evidenza li l-bnedmin iffurmaw l-Amażonja?")</f>
        <v>Għal kemm snin intwera evidenza li l-bnedmin iffurmaw l-Amażonja?</v>
      </c>
    </row>
    <row r="22650" ht="15.75" customHeight="1">
      <c r="A22650" s="2" t="s">
        <v>22650</v>
      </c>
      <c r="B22650" s="2" t="str">
        <f>IFERROR(__xludf.DUMMYFUNCTION("GOOGLETRANSLATE(A22650, ""en"", ""mt"")"),"East Smithfield")</f>
        <v>East Smithfield</v>
      </c>
    </row>
    <row r="22651" ht="15.75" customHeight="1">
      <c r="A22651" s="2" t="s">
        <v>22651</v>
      </c>
      <c r="B22651" s="2" t="str">
        <f>IFERROR(__xludf.DUMMYFUNCTION("GOOGLETRANSLATE(A22651, ""en"", ""mt"")"),"L-omm ta 'Temüjin x'enfasizza fil-lezzjonijiet tiegħu dwar il-klima politika volatili tal-Mongolja?")</f>
        <v>L-omm ta 'Temüjin x'enfasizza fil-lezzjonijiet tiegħu dwar il-klima politika volatili tal-Mongolja?</v>
      </c>
    </row>
    <row r="22652" ht="15.75" customHeight="1">
      <c r="A22652" s="2" t="s">
        <v>22652</v>
      </c>
      <c r="B22652" s="2" t="str">
        <f>IFERROR(__xludf.DUMMYFUNCTION("GOOGLETRANSLATE(A22652, ""en"", ""mt"")"),"Idealiżmu u filantropija")</f>
        <v>Idealiżmu u filantropija</v>
      </c>
    </row>
    <row r="22653" ht="15.75" customHeight="1">
      <c r="A22653" s="2" t="s">
        <v>22653</v>
      </c>
      <c r="B22653" s="2" t="str">
        <f>IFERROR(__xludf.DUMMYFUNCTION("GOOGLETRANSLATE(A22653, ""en"", ""mt"")"),"Il-Korporazzjoni tax-Xandir Awstraljana")</f>
        <v>Il-Korporazzjoni tax-Xandir Awstraljana</v>
      </c>
    </row>
    <row r="22654" ht="15.75" customHeight="1">
      <c r="A22654" s="2" t="s">
        <v>22654</v>
      </c>
      <c r="B22654" s="2" t="str">
        <f>IFERROR(__xludf.DUMMYFUNCTION("GOOGLETRANSLATE(A22654, ""en"", ""mt"")"),"X'tip ta 'klima għandu Jacksonville?")</f>
        <v>X'tip ta 'klima għandu Jacksonville?</v>
      </c>
    </row>
    <row r="22655" ht="15.75" customHeight="1">
      <c r="A22655" s="2" t="s">
        <v>22655</v>
      </c>
      <c r="B22655" s="2" t="str">
        <f>IFERROR(__xludf.DUMMYFUNCTION("GOOGLETRANSLATE(A22655, ""en"", ""mt"")"),"X'kienet il-konklużjoni ta 'Shrewsbury?")</f>
        <v>X'kienet il-konklużjoni ta 'Shrewsbury?</v>
      </c>
    </row>
    <row r="22656" ht="15.75" customHeight="1">
      <c r="A22656" s="2" t="s">
        <v>22656</v>
      </c>
      <c r="B22656" s="2" t="str">
        <f>IFERROR(__xludf.DUMMYFUNCTION("GOOGLETRANSLATE(A22656, ""en"", ""mt"")"),"Y. p. Orientalis u Y. p. medejalis")</f>
        <v>Y. p. Orientalis u Y. p. medejalis</v>
      </c>
    </row>
    <row r="22657" ht="15.75" customHeight="1">
      <c r="A22657" s="2" t="s">
        <v>22657</v>
      </c>
      <c r="B22657" s="2" t="str">
        <f>IFERROR(__xludf.DUMMYFUNCTION("GOOGLETRANSLATE(A22657, ""en"", ""mt"")"),"sistema biex tiffunzjona")</f>
        <v>sistema biex tiffunzjona</v>
      </c>
    </row>
    <row r="22658" ht="15.75" customHeight="1">
      <c r="A22658" s="2" t="s">
        <v>22658</v>
      </c>
      <c r="B22658" s="2" t="str">
        <f>IFERROR(__xludf.DUMMYFUNCTION("GOOGLETRANSLATE(A22658, ""en"", ""mt"")"),"mewġ lonġitudinali, bħal dawk prodotti fil-mewġ fil-plażmi")</f>
        <v>mewġ lonġitudinali, bħal dawk prodotti fil-mewġ fil-plażmi</v>
      </c>
    </row>
    <row r="22659" ht="15.75" customHeight="1">
      <c r="A22659" s="2" t="s">
        <v>22659</v>
      </c>
      <c r="B22659" s="2" t="str">
        <f>IFERROR(__xludf.DUMMYFUNCTION("GOOGLETRANSLATE(A22659, ""en"", ""mt"")"),"Moviment demokratiku oranġjo")</f>
        <v>Moviment demokratiku oranġjo</v>
      </c>
    </row>
    <row r="22660" ht="15.75" customHeight="1">
      <c r="A22660" s="2" t="s">
        <v>22660</v>
      </c>
      <c r="B22660" s="2" t="str">
        <f>IFERROR(__xludf.DUMMYFUNCTION("GOOGLETRANSLATE(A22660, ""en"", ""mt"")"),"WETTER")</f>
        <v>WETTER</v>
      </c>
    </row>
    <row r="22661" ht="15.75" customHeight="1">
      <c r="A22661" s="2" t="s">
        <v>22661</v>
      </c>
      <c r="B22661" s="2" t="str">
        <f>IFERROR(__xludf.DUMMYFUNCTION("GOOGLETRANSLATE(A22661, ""en"", ""mt"")"),"X'inhi forma sempliċi ta 'diżubbidjenza ċivili?")</f>
        <v>X'inhi forma sempliċi ta 'diżubbidjenza ċivili?</v>
      </c>
    </row>
    <row r="22662" ht="15.75" customHeight="1">
      <c r="A22662" s="2" t="s">
        <v>22662</v>
      </c>
      <c r="B22662" s="2" t="str">
        <f>IFERROR(__xludf.DUMMYFUNCTION("GOOGLETRANSLATE(A22662, ""en"", ""mt"")"),"86")</f>
        <v>86</v>
      </c>
    </row>
    <row r="22663" ht="15.75" customHeight="1">
      <c r="A22663" s="2" t="s">
        <v>22663</v>
      </c>
      <c r="B22663" s="2" t="str">
        <f>IFERROR(__xludf.DUMMYFUNCTION("GOOGLETRANSLATE(A22663, ""en"", ""mt"")"),"Fil-15 ta 'Ġunju 1520, il-Papa wissa lil Luther bil-barri Papali (editt) Exsurge Domine li huwa rriskja exkomunikazzjoni sakemm ma jerġax joħroġ 41 sentenza miġbuda mill-kitbiet tiegħu, inklużi l-95 teżijiet, fi żmien 60 jum. Dak il-ħarifa, Johann Eck ipp"&amp;"roklama l-barri f'Meissen u bliet oħra. Karl von Miltitz, nuncio papali, ipprova jordna soluzzjoni, iżda Luther, li kien bagħat lill-Papa kopja ta 'dwar il-libertà ta' Nisrani f'Ottubru, pubblikament ta n-nar lill-barri u d-digriet ta 'Wittenberg fl-10 ta"&amp;"' Diċembru 1520, Att huwa ddefenda fir-raġuni għaliex il-Papa u l-ktieb reċenti tiegħu huma maħruqa u affermazzjonijiet dwar l-artikoli kollha. Bħala konsegwenza, Luther ġie exkomunikat mill-Papa Leo X fit-3 ta 'Jannar 1521, fil-Bull Decet Romanum Pontifi"&amp;"cem.")</f>
        <v>Fil-15 ta 'Ġunju 1520, il-Papa wissa lil Luther bil-barri Papali (editt) Exsurge Domine li huwa rriskja exkomunikazzjoni sakemm ma jerġax joħroġ 41 sentenza miġbuda mill-kitbiet tiegħu, inklużi l-95 teżijiet, fi żmien 60 jum. Dak il-ħarifa, Johann Eck ipproklama l-barri f'Meissen u bliet oħra. Karl von Miltitz, nuncio papali, ipprova jordna soluzzjoni, iżda Luther, li kien bagħat lill-Papa kopja ta 'dwar il-libertà ta' Nisrani f'Ottubru, pubblikament ta n-nar lill-barri u d-digriet ta 'Wittenberg fl-10 ta' Diċembru 1520, Att huwa ddefenda fir-raġuni għaliex il-Papa u l-ktieb reċenti tiegħu huma maħruqa u affermazzjonijiet dwar l-artikoli kollha. Bħala konsegwenza, Luther ġie exkomunikat mill-Papa Leo X fit-3 ta 'Jannar 1521, fil-Bull Decet Romanum Pontificem.</v>
      </c>
    </row>
    <row r="22664" ht="15.75" customHeight="1">
      <c r="A22664" s="2" t="s">
        <v>22664</v>
      </c>
      <c r="B22664" s="2" t="str">
        <f>IFERROR(__xludf.DUMMYFUNCTION("GOOGLETRANSLATE(A22664, ""en"", ""mt"")"),"Meta ddebutta l-Milied ta 'Charlie Brown?")</f>
        <v>Meta ddebutta l-Milied ta 'Charlie Brown?</v>
      </c>
    </row>
    <row r="22665" ht="15.75" customHeight="1">
      <c r="A22665" s="2" t="s">
        <v>22665</v>
      </c>
      <c r="B22665" s="2" t="str">
        <f>IFERROR(__xludf.DUMMYFUNCTION("GOOGLETRANSLATE(A22665, ""en"", ""mt"")"),"F'liema sena l-ABC qablet li tiffinanzja Disneyland?")</f>
        <v>F'liema sena l-ABC qablet li tiffinanzja Disneyland?</v>
      </c>
    </row>
    <row r="22666" ht="15.75" customHeight="1">
      <c r="A22666" s="2" t="s">
        <v>22666</v>
      </c>
      <c r="B22666" s="2" t="str">
        <f>IFERROR(__xludf.DUMMYFUNCTION("GOOGLETRANSLATE(A22666, ""en"", ""mt"")"),"Liema sena kienet l-aħħar żieda għall-Knisja ta ’Sant’Andrija?")</f>
        <v>Liema sena kienet l-aħħar żieda għall-Knisja ta ’Sant’Andrija?</v>
      </c>
    </row>
    <row r="22667" ht="15.75" customHeight="1">
      <c r="A22667" s="2" t="s">
        <v>22667</v>
      </c>
      <c r="B22667" s="2" t="str">
        <f>IFERROR(__xludf.DUMMYFUNCTION("GOOGLETRANSLATE(A22667, ""en"", ""mt"")"),"Kontea ta 'Northumberland")</f>
        <v>Kontea ta 'Northumberland</v>
      </c>
    </row>
    <row r="22668" ht="15.75" customHeight="1">
      <c r="A22668" s="2" t="s">
        <v>22668</v>
      </c>
      <c r="B22668" s="2" t="str">
        <f>IFERROR(__xludf.DUMMYFUNCTION("GOOGLETRANSLATE(A22668, ""en"", ""mt"")"),"L-1 ta 'Mejju, 1953")</f>
        <v>L-1 ta 'Mejju, 1953</v>
      </c>
    </row>
    <row r="22669" ht="15.75" customHeight="1">
      <c r="A22669" s="2" t="s">
        <v>22669</v>
      </c>
      <c r="B22669" s="2" t="str">
        <f>IFERROR(__xludf.DUMMYFUNCTION("GOOGLETRANSLATE(A22669, ""en"", ""mt"")"),"Il-Paniku tal-1901")</f>
        <v>Il-Paniku tal-1901</v>
      </c>
    </row>
    <row r="22670" ht="15.75" customHeight="1">
      <c r="A22670" s="2" t="s">
        <v>22670</v>
      </c>
      <c r="B22670" s="2" t="str">
        <f>IFERROR(__xludf.DUMMYFUNCTION("GOOGLETRANSLATE(A22670, ""en"", ""mt"")"),"Diżubbidjenza ċivili")</f>
        <v>Diżubbidjenza ċivili</v>
      </c>
    </row>
    <row r="22671" ht="15.75" customHeight="1">
      <c r="A22671" s="2" t="s">
        <v>22671</v>
      </c>
      <c r="B22671" s="2" t="str">
        <f>IFERROR(__xludf.DUMMYFUNCTION("GOOGLETRANSLATE(A22671, ""en"", ""mt"")"),"Dimostranti ppruvaw jidħlu fis-sit tat-test")</f>
        <v>Dimostranti ppruvaw jidħlu fis-sit tat-test</v>
      </c>
    </row>
    <row r="22672" ht="15.75" customHeight="1">
      <c r="A22672" s="2" t="s">
        <v>22672</v>
      </c>
      <c r="B22672" s="2" t="str">
        <f>IFERROR(__xludf.DUMMYFUNCTION("GOOGLETRANSLATE(A22672, ""en"", ""mt"")"),"Liema kompożitur famuż uża innu Luteran fix-xogħol tiegħu?")</f>
        <v>Liema kompożitur famuż uża innu Luteran fix-xogħol tiegħu?</v>
      </c>
    </row>
    <row r="22673" ht="15.75" customHeight="1">
      <c r="A22673" s="2" t="s">
        <v>22673</v>
      </c>
      <c r="B22673" s="2" t="str">
        <f>IFERROR(__xludf.DUMMYFUNCTION("GOOGLETRANSLATE(A22673, ""en"", ""mt"")"),"L-Alpi Vittorjani")</f>
        <v>L-Alpi Vittorjani</v>
      </c>
    </row>
    <row r="22674" ht="15.75" customHeight="1">
      <c r="A22674" s="2" t="s">
        <v>22674</v>
      </c>
      <c r="B22674" s="2" t="str">
        <f>IFERROR(__xludf.DUMMYFUNCTION("GOOGLETRANSLATE(A22674, ""en"", ""mt"")"),"Min irreġistra l-iktar riċevimenti fuq il-Broncos?")</f>
        <v>Min irreġistra l-iktar riċevimenti fuq il-Broncos?</v>
      </c>
    </row>
    <row r="22675" ht="15.75" customHeight="1">
      <c r="A22675" s="2" t="s">
        <v>22675</v>
      </c>
      <c r="B22675" s="2" t="str">
        <f>IFERROR(__xludf.DUMMYFUNCTION("GOOGLETRANSLATE(A22675, ""en"", ""mt"")"),"X'inhi xi ħaġa li ta 'spiss tinqata' u inkluża fil-blat sedimentarju?")</f>
        <v>X'inhi xi ħaġa li ta 'spiss tinqata' u inkluża fil-blat sedimentarju?</v>
      </c>
    </row>
    <row r="22676" ht="15.75" customHeight="1">
      <c r="A22676" s="2" t="s">
        <v>22676</v>
      </c>
      <c r="B22676" s="2" t="str">
        <f>IFERROR(__xludf.DUMMYFUNCTION("GOOGLETRANSLATE(A22676, ""en"", ""mt"")"),"Speċjalitajiet separati qabel, speċjalment fost ditti kbar")</f>
        <v>Speċjalitajiet separati qabel, speċjalment fost ditti kbar</v>
      </c>
    </row>
    <row r="22677" ht="15.75" customHeight="1">
      <c r="A22677" s="2" t="s">
        <v>22677</v>
      </c>
      <c r="B22677" s="2" t="str">
        <f>IFERROR(__xludf.DUMMYFUNCTION("GOOGLETRANSLATE(A22677, ""en"", ""mt"")"),"Min hu l-eqdem quarterback li jilgħab fis-Super Bowl?")</f>
        <v>Min hu l-eqdem quarterback li jilgħab fis-Super Bowl?</v>
      </c>
    </row>
    <row r="22678" ht="15.75" customHeight="1">
      <c r="A22678" s="2" t="s">
        <v>22678</v>
      </c>
      <c r="B22678" s="2" t="str">
        <f>IFERROR(__xludf.DUMMYFUNCTION("GOOGLETRANSLATE(A22678, ""en"", ""mt"")"),"Jean Ribault")</f>
        <v>Jean Ribault</v>
      </c>
    </row>
    <row r="22679" ht="15.75" customHeight="1">
      <c r="A22679" s="2" t="s">
        <v>22679</v>
      </c>
      <c r="B22679" s="2" t="str">
        <f>IFERROR(__xludf.DUMMYFUNCTION("GOOGLETRANSLATE(A22679, ""en"", ""mt"")"),"Liema bini kien rigal mill-Unjoni Sovjetika?")</f>
        <v>Liema bini kien rigal mill-Unjoni Sovjetika?</v>
      </c>
    </row>
    <row r="22680" ht="15.75" customHeight="1">
      <c r="A22680" s="2" t="s">
        <v>22680</v>
      </c>
      <c r="B22680" s="2" t="str">
        <f>IFERROR(__xludf.DUMMYFUNCTION("GOOGLETRANSLATE(A22680, ""en"", ""mt"")"),"Ir-Royal Shakespeare Company")</f>
        <v>Ir-Royal Shakespeare Company</v>
      </c>
    </row>
    <row r="22681" ht="15.75" customHeight="1">
      <c r="A22681" s="2" t="s">
        <v>22681</v>
      </c>
      <c r="B22681" s="2" t="str">
        <f>IFERROR(__xludf.DUMMYFUNCTION("GOOGLETRANSLATE(A22681, ""en"", ""mt"")"),"Swaħili")</f>
        <v>Swaħili</v>
      </c>
    </row>
    <row r="22682" ht="15.75" customHeight="1">
      <c r="A22682" s="2" t="s">
        <v>22682</v>
      </c>
      <c r="B22682" s="2" t="str">
        <f>IFERROR(__xludf.DUMMYFUNCTION("GOOGLETRANSLATE(A22682, ""en"", ""mt"")"),"Minn min għandu BSKYB għandu liċenzja operattiva?")</f>
        <v>Minn min għandu BSKYB għandu liċenzja operattiva?</v>
      </c>
    </row>
    <row r="22683" ht="15.75" customHeight="1">
      <c r="A22683" s="2" t="s">
        <v>22683</v>
      </c>
      <c r="B22683" s="2" t="str">
        <f>IFERROR(__xludf.DUMMYFUNCTION("GOOGLETRANSLATE(A22683, ""en"", ""mt"")"),"Kunsinna sekwenzjata tad-dejta")</f>
        <v>Kunsinna sekwenzjata tad-dejta</v>
      </c>
    </row>
    <row r="22684" ht="15.75" customHeight="1">
      <c r="A22684" s="2" t="s">
        <v>22684</v>
      </c>
      <c r="B22684" s="2" t="str">
        <f>IFERROR(__xludf.DUMMYFUNCTION("GOOGLETRANSLATE(A22684, ""en"", ""mt"")"),"Minn xiex idur mal-ġenb jipproteġi l-kloroplasti?")</f>
        <v>Minn xiex idur mal-ġenb jipproteġi l-kloroplasti?</v>
      </c>
    </row>
    <row r="22685" ht="15.75" customHeight="1">
      <c r="A22685" s="2" t="s">
        <v>22685</v>
      </c>
      <c r="B22685" s="2" t="str">
        <f>IFERROR(__xludf.DUMMYFUNCTION("GOOGLETRANSLATE(A22685, ""en"", ""mt"")"),"It-teorema fundamentali tal-aritmetika tkompli żżomm f'oqsma uniċi ta 'fatturizzazzjoni. Eżempju ta 'dominju bħal dan huwa l-Integers Gaussjani Z [i], jiġifieri, is-sett ta' numri kumplessi tal-forma A + Bi fejn nindika l-unità immaġinarja u A u B huma nu"&amp;"mri interi arbitrarji. L-elementi ewlenin tagħha huma magħrufa bħala primes Gaussjani. Mhux kull prim (f'Z) huwa prim Gaussjan: fiċ-ċirku ikbar z [i], 2 fatturi fil-prodott taż-żewġ primes Gaussjani (1 + I) u (1 - i). Primes razzjonali (i.e. elementi ewle"&amp;"nin f'Z) tal-Formola 4K + 3 huma primes Gaussjani, filwaqt li l-primes razzjonali tal-Formola 4K + 1 mhumiex.")</f>
        <v>It-teorema fundamentali tal-aritmetika tkompli żżomm f'oqsma uniċi ta 'fatturizzazzjoni. Eżempju ta 'dominju bħal dan huwa l-Integers Gaussjani Z [i], jiġifieri, is-sett ta' numri kumplessi tal-forma A + Bi fejn nindika l-unità immaġinarja u A u B huma numri interi arbitrarji. L-elementi ewlenin tagħha huma magħrufa bħala primes Gaussjani. Mhux kull prim (f'Z) huwa prim Gaussjan: fiċ-ċirku ikbar z [i], 2 fatturi fil-prodott taż-żewġ primes Gaussjani (1 + I) u (1 - i). Primes razzjonali (i.e. elementi ewlenin f'Z) tal-Formola 4K + 3 huma primes Gaussjani, filwaqt li l-primes razzjonali tal-Formola 4K + 1 mhumiex.</v>
      </c>
    </row>
    <row r="22686" ht="15.75" customHeight="1">
      <c r="A22686" s="2" t="s">
        <v>22686</v>
      </c>
      <c r="B22686" s="2" t="str">
        <f>IFERROR(__xludf.DUMMYFUNCTION("GOOGLETRANSLATE(A22686, ""en"", ""mt"")"),"Harvard għandu l-akbar dotazzjoni universitarja fid-dinja. Minn Settembru 2011 [aġġornament], kien kważi reġa ’kiseb it-telf li ġarrab matul ir-riċessjoni tal-2008. Kien jiswa $ 32 biljun fl-2011, sa minn $ 28 biljun f'Settembru 2010 u $ 26 biljun fl-2009"&amp;". Dan sofra telf ta 'madwar 30% fl-2008-09. F'Diċembru 2008, Harvard ħabbar li d-dotazzjoni tagħha kienet tilfet 22% (madwar $ 8 biljun) minn Lulju sa Ottubru 2008, li kien jeħtieġ tnaqqis fil-baġit. Rapporti aktar tard jissuġġerixxu li t-telf kien fil-fa"&amp;"tt aktar mid-doppju ta 'dik iċ-ċifra, tnaqqis ta' kważi 50% tad-dotazzjoni tiegħu fl-ewwel erba 'xhur biss. Forbes f'Marzu 2009 stima li t-telf ikun fil-medda ta '$ 12-il biljun. Wieħed mir-riżultati l-aktar viżibbli tat-tentattiv ta 'Harvard biex jibbila"&amp;"nċja mill-ġdid il-baġit tiegħu kien it-twaqqif tagħhom tal-kostruzzjoni tal-kumpless tax-xjenza ta' $ 1.2 biljun li kien skedat li jitlesta sal-2011, li rriżulta fi protesti mir-residenti lokali. Mill-2012 [aġġornament], l-Università ta ’Harvard kellha ri"&amp;"żerva ta’ għajnuna finanzjarja totali ta ’$ 159 miljun għall-istudenti, u riżerva ta’ għotja Pell ta ’$ 4.093 miljun disponibbli għall-ħruġ.")</f>
        <v>Harvard għandu l-akbar dotazzjoni universitarja fid-dinja. Minn Settembru 2011 [aġġornament], kien kważi reġa ’kiseb it-telf li ġarrab matul ir-riċessjoni tal-2008. Kien jiswa $ 32 biljun fl-2011, sa minn $ 28 biljun f'Settembru 2010 u $ 26 biljun fl-2009. Dan sofra telf ta 'madwar 30% fl-2008-09. F'Diċembru 2008, Harvard ħabbar li d-dotazzjoni tagħha kienet tilfet 22% (madwar $ 8 biljun) minn Lulju sa Ottubru 2008, li kien jeħtieġ tnaqqis fil-baġit. Rapporti aktar tard jissuġġerixxu li t-telf kien fil-fatt aktar mid-doppju ta 'dik iċ-ċifra, tnaqqis ta' kważi 50% tad-dotazzjoni tiegħu fl-ewwel erba 'xhur biss. Forbes f'Marzu 2009 stima li t-telf ikun fil-medda ta '$ 12-il biljun. Wieħed mir-riżultati l-aktar viżibbli tat-tentattiv ta 'Harvard biex jibbilanċja mill-ġdid il-baġit tiegħu kien it-twaqqif tagħhom tal-kostruzzjoni tal-kumpless tax-xjenza ta' $ 1.2 biljun li kien skedat li jitlesta sal-2011, li rriżulta fi protesti mir-residenti lokali. Mill-2012 [aġġornament], l-Università ta ’Harvard kellha riżerva ta’ għajnuna finanzjarja totali ta ’$ 159 miljun għall-istudenti, u riżerva ta’ għotja Pell ta ’$ 4.093 miljun disponibbli għall-ħruġ.</v>
      </c>
    </row>
    <row r="22687" ht="15.75" customHeight="1">
      <c r="A22687" s="2" t="s">
        <v>22687</v>
      </c>
      <c r="B22687" s="2" t="str">
        <f>IFERROR(__xludf.DUMMYFUNCTION("GOOGLETRANSLATE(A22687, ""en"", ""mt"")"),"Iż-żona newtrali")</f>
        <v>Iż-żona newtrali</v>
      </c>
    </row>
    <row r="22688" ht="15.75" customHeight="1">
      <c r="A22688" s="2" t="s">
        <v>22688</v>
      </c>
      <c r="B22688" s="2" t="str">
        <f>IFERROR(__xludf.DUMMYFUNCTION("GOOGLETRANSLATE(A22688, ""en"", ""mt"")"),"X'inhi t-temperatura tad-dħul tat-turbina ta 'turbina tal-fwar, fi gradi Celsius?")</f>
        <v>X'inhi t-temperatura tad-dħul tat-turbina ta 'turbina tal-fwar, fi gradi Celsius?</v>
      </c>
    </row>
    <row r="22689" ht="15.75" customHeight="1">
      <c r="A22689" s="2" t="s">
        <v>22689</v>
      </c>
      <c r="B22689" s="2" t="str">
        <f>IFERROR(__xludf.DUMMYFUNCTION("GOOGLETRANSLATE(A22689, ""en"", ""mt"")"),"1523")</f>
        <v>1523</v>
      </c>
    </row>
    <row r="22690" ht="15.75" customHeight="1">
      <c r="A22690" s="2" t="s">
        <v>22690</v>
      </c>
      <c r="B22690" s="2" t="str">
        <f>IFERROR(__xludf.DUMMYFUNCTION("GOOGLETRANSLATE(A22690, ""en"", ""mt"")"),"Liema perjodu r-Rhine qabad nixxigħat?")</f>
        <v>Liema perjodu r-Rhine qabad nixxigħat?</v>
      </c>
    </row>
    <row r="22691" ht="15.75" customHeight="1">
      <c r="A22691" s="2" t="s">
        <v>22691</v>
      </c>
      <c r="B22691" s="2" t="str">
        <f>IFERROR(__xludf.DUMMYFUNCTION("GOOGLETRANSLATE(A22691, ""en"", ""mt"")"),"il-bozza tad-dawl inkandexxenti")</f>
        <v>il-bozza tad-dawl inkandexxenti</v>
      </c>
    </row>
    <row r="22692" ht="15.75" customHeight="1">
      <c r="A22692" s="2" t="s">
        <v>22692</v>
      </c>
      <c r="B22692" s="2" t="str">
        <f>IFERROR(__xludf.DUMMYFUNCTION("GOOGLETRANSLATE(A22692, ""en"", ""mt"")"),"L-Introduzzjoni Aċċidentali tal-Mnemiopsis li tiekol l-Amerika ta ’Fuq Ctenophore Beroe Ovata")</f>
        <v>L-Introduzzjoni Aċċidentali tal-Mnemiopsis li tiekol l-Amerika ta ’Fuq Ctenophore Beroe Ovata</v>
      </c>
    </row>
    <row r="22693" ht="15.75" customHeight="1">
      <c r="A22693" s="2" t="s">
        <v>22693</v>
      </c>
      <c r="B22693" s="2" t="str">
        <f>IFERROR(__xludf.DUMMYFUNCTION("GOOGLETRANSLATE(A22693, ""en"", ""mt"")"),"Hanna-Barbera")</f>
        <v>Hanna-Barbera</v>
      </c>
    </row>
    <row r="22694" ht="15.75" customHeight="1">
      <c r="A22694" s="2" t="s">
        <v>22694</v>
      </c>
      <c r="B22694" s="2" t="str">
        <f>IFERROR(__xludf.DUMMYFUNCTION("GOOGLETRANSLATE(A22694, ""en"", ""mt"")"),"Aktar tard Architecture Arpanet")</f>
        <v>Aktar tard Architecture Arpanet</v>
      </c>
    </row>
    <row r="22695" ht="15.75" customHeight="1">
      <c r="A22695" s="2" t="s">
        <v>22695</v>
      </c>
      <c r="B22695" s="2" t="str">
        <f>IFERROR(__xludf.DUMMYFUNCTION("GOOGLETRANSLATE(A22695, ""en"", ""mt"")"),"Liema belt għandha l-akbar port fil-Ġermanja?")</f>
        <v>Liema belt għandha l-akbar port fil-Ġermanja?</v>
      </c>
    </row>
    <row r="22696" ht="15.75" customHeight="1">
      <c r="A22696" s="2" t="s">
        <v>22696</v>
      </c>
      <c r="B22696" s="2" t="str">
        <f>IFERROR(__xludf.DUMMYFUNCTION("GOOGLETRANSLATE(A22696, ""en"", ""mt"")"),"1,230 kilometru")</f>
        <v>1,230 kilometru</v>
      </c>
    </row>
    <row r="22697" ht="15.75" customHeight="1">
      <c r="A22697" s="2" t="s">
        <v>22697</v>
      </c>
      <c r="B22697" s="2" t="str">
        <f>IFERROR(__xludf.DUMMYFUNCTION("GOOGLETRANSLATE(A22697, ""en"", ""mt"")"),"bidu tal-era storika")</f>
        <v>bidu tal-era storika</v>
      </c>
    </row>
    <row r="22698" ht="15.75" customHeight="1">
      <c r="A22698" s="2" t="s">
        <v>22698</v>
      </c>
      <c r="B22698" s="2" t="str">
        <f>IFERROR(__xludf.DUMMYFUNCTION("GOOGLETRANSLATE(A22698, ""en"", ""mt"")"),"Anke fid-ditti kbar, periti, disinjaturi interni, inġiniera, żviluppaturi, maniġers tal-kostruzzjoni, u kuntratturi ġenerali kienu aktar probabbli li jkunu xiex?")</f>
        <v>Anke fid-ditti kbar, periti, disinjaturi interni, inġiniera, żviluppaturi, maniġers tal-kostruzzjoni, u kuntratturi ġenerali kienu aktar probabbli li jkunu xiex?</v>
      </c>
    </row>
    <row r="22699" ht="15.75" customHeight="1">
      <c r="A22699" s="2" t="s">
        <v>22699</v>
      </c>
      <c r="B22699" s="2" t="str">
        <f>IFERROR(__xludf.DUMMYFUNCTION("GOOGLETRANSLATE(A22699, ""en"", ""mt"")"),"X'inhu l-impatt li jdub li juru xi kampjuni ta 'blat tal-qamar?")</f>
        <v>X'inhu l-impatt li jdub li juru xi kampjuni ta 'blat tal-qamar?</v>
      </c>
    </row>
    <row r="22700" ht="15.75" customHeight="1">
      <c r="A22700" s="2" t="s">
        <v>22700</v>
      </c>
      <c r="B22700" s="2" t="str">
        <f>IFERROR(__xludf.DUMMYFUNCTION("GOOGLETRANSLATE(A22700, ""en"", ""mt"")"),"awtomazzjoni")</f>
        <v>awtomazzjoni</v>
      </c>
    </row>
    <row r="22701" ht="15.75" customHeight="1">
      <c r="A22701" s="2" t="s">
        <v>22701</v>
      </c>
      <c r="B22701" s="2" t="str">
        <f>IFERROR(__xludf.DUMMYFUNCTION("GOOGLETRANSLATE(A22701, ""en"", ""mt"")"),"Liema oġġett ċelesti ħarab l-isforzi biex ikejjel l-ossiġnu?")</f>
        <v>Liema oġġett ċelesti ħarab l-isforzi biex ikejjel l-ossiġnu?</v>
      </c>
    </row>
    <row r="22702" ht="15.75" customHeight="1">
      <c r="A22702" s="2" t="s">
        <v>22702</v>
      </c>
      <c r="B22702" s="2" t="str">
        <f>IFERROR(__xludf.DUMMYFUNCTION("GOOGLETRANSLATE(A22702, ""en"", ""mt"")"),"Diversi avvenimenti kommemorattivi jsiru kull sena. Laqgħat ta 'eluf ta' nies fuq il-banek tal-Vistula fil-lejl ta 'nofs is-sajf għal festival imsejjaħ Wianki (lustrar għall-kuruni) saru tradizzjoni u avveniment annwali fil-programm ta' avvenimenti kultur"&amp;"ali f'Varsavja. Il-festival jittraċċa l-għeruq tiegħu għal ritwali pagan paċifiku fejn ix-xebbiet kienu jżommu l-kuruni tagħhom ta 'ħwawar fuq l-ilma biex ibassru meta kienu se jiżżewġu, u ma' min. Sas-seklu 19 din it-tradizzjoni kienet saret avveniment f"&amp;"estiv, u din tkompli llum. Il-Kunsill tal-Belt jorganizza kunċerti u avvenimenti oħra. Lejliet kull nofs is-sajf, apparti l-wiċċ uffiċjali tal-kuruni, jaqbeż fuq in-nirien, ifittex il-fjura tal-felċi, hemm wirjiet mużikali, diskorsi, fieri u logħob tan-na"&amp;"r tad-dinjitarji mill-bank tax-xmara.")</f>
        <v>Diversi avvenimenti kommemorattivi jsiru kull sena. Laqgħat ta 'eluf ta' nies fuq il-banek tal-Vistula fil-lejl ta 'nofs is-sajf għal festival imsejjaħ Wianki (lustrar għall-kuruni) saru tradizzjoni u avveniment annwali fil-programm ta' avvenimenti kulturali f'Varsavja. Il-festival jittraċċa l-għeruq tiegħu għal ritwali pagan paċifiku fejn ix-xebbiet kienu jżommu l-kuruni tagħhom ta 'ħwawar fuq l-ilma biex ibassru meta kienu se jiżżewġu, u ma' min. Sas-seklu 19 din it-tradizzjoni kienet saret avveniment festiv, u din tkompli llum. Il-Kunsill tal-Belt jorganizza kunċerti u avvenimenti oħra. Lejliet kull nofs is-sajf, apparti l-wiċċ uffiċjali tal-kuruni, jaqbeż fuq in-nirien, ifittex il-fjura tal-felċi, hemm wirjiet mużikali, diskorsi, fieri u logħob tan-nar tad-dinjitarji mill-bank tax-xmara.</v>
      </c>
    </row>
    <row r="22703" ht="15.75" customHeight="1">
      <c r="A22703" s="2" t="s">
        <v>22703</v>
      </c>
      <c r="B22703" s="2" t="str">
        <f>IFERROR(__xludf.DUMMYFUNCTION("GOOGLETRANSLATE(A22703, ""en"", ""mt"")"),"Fred Singer")</f>
        <v>Fred Singer</v>
      </c>
    </row>
    <row r="22704" ht="15.75" customHeight="1">
      <c r="A22704" s="2" t="s">
        <v>22704</v>
      </c>
      <c r="B22704" s="2" t="str">
        <f>IFERROR(__xludf.DUMMYFUNCTION("GOOGLETRANSLATE(A22704, ""en"", ""mt"")"),"jirgħu")</f>
        <v>jirgħu</v>
      </c>
    </row>
    <row r="22705" ht="15.75" customHeight="1">
      <c r="A22705" s="2" t="s">
        <v>22705</v>
      </c>
      <c r="B22705" s="2" t="str">
        <f>IFERROR(__xludf.DUMMYFUNCTION("GOOGLETRANSLATE(A22705, ""en"", ""mt"")"),"Strateġija ta 'evażjoni użata minn diversi patoġeni biex tevita s-sistema immuni innata hija li tinħeba fiċ-ċelloli tal-ospitanti tagħhom (imsejħa wkoll patoġenesi intraċellulari). Hawnhekk, patoġen iqatta 'l-biċċa l-kbira taċ-ċiklu tal-ħajja tiegħu ġewwa"&amp;" ċ-ċelloli ospitanti, fejn huwa protett minn kuntatt dirett ma' ċelloli immuni, antikorpi u kumpliment. Xi eżempji ta 'patoġeni intraċellulari jinkludu viruses, batterju ta' avvelenament mill-ikel Salmonella u l-parassiti ewkarjotiċi li jikkawżaw malarja "&amp;"(Plasmodium falciparum) u leishmaniasis (Leishmania spp.). Batterji oħra, bħal Mycobacterium tuberculosis, jgħixu ġewwa kapsula protettiva li tipprevjeni lisi bil-kumpliment. Ħafna patoġeni inixxu l-komposti li jnaqqsu jew jidderieġu ħażin ir-rispons immu"&amp;"ni tal-ospitanti. Xi batterji jiffurmaw bijofilms biex jipproteġu lilhom infushom miċ-ċelloli u l-proteini tas-sistema immunitarja. Tali bijofilmi huma preżenti f'ħafna infezzjonijiet ta 'suċċess, per eżempju, l-infezzjonijiet kroniċi ta' Pseudomonas aeru"&amp;"ginosa u Burkholderia cenocepacia karatteristiċi tal-fibrożi ċistika. Batterji oħra jiġġeneraw proteini tal-wiċċ li jorbtu ma 'antikorpi, u jagħmluhom ineffettivi; Eżempji jinkludu streptococcus (proteina G), staphylococcus aureus (proteina A), u peptostr"&amp;"eptococcus magnus (proteina L).")</f>
        <v>Strateġija ta 'evażjoni użata minn diversi patoġeni biex tevita s-sistema immuni innata hija li tinħeba fiċ-ċelloli tal-ospitanti tagħhom (imsejħa wkoll patoġenesi intraċellulari). Hawnhekk, patoġen iqatta 'l-biċċa l-kbira taċ-ċiklu tal-ħajja tiegħu ġewwa ċ-ċelloli ospitanti, fejn huwa protett minn kuntatt dirett ma' ċelloli immuni, antikorpi u kumpliment. Xi eżempji ta 'patoġeni intraċellulari jinkludu viruses, batterju ta' avvelenament mill-ikel Salmonella u l-parassiti ewkarjotiċi li jikkawżaw malarja (Plasmodium falciparum) u leishmaniasis (Leishmania spp.). Batterji oħra, bħal Mycobacterium tuberculosis, jgħixu ġewwa kapsula protettiva li tipprevjeni lisi bil-kumpliment. Ħafna patoġeni inixxu l-komposti li jnaqqsu jew jidderieġu ħażin ir-rispons immuni tal-ospitanti. Xi batterji jiffurmaw bijofilms biex jipproteġu lilhom infushom miċ-ċelloli u l-proteini tas-sistema immunitarja. Tali bijofilmi huma preżenti f'ħafna infezzjonijiet ta 'suċċess, per eżempju, l-infezzjonijiet kroniċi ta' Pseudomonas aeruginosa u Burkholderia cenocepacia karatteristiċi tal-fibrożi ċistika. Batterji oħra jiġġeneraw proteini tal-wiċċ li jorbtu ma 'antikorpi, u jagħmluhom ineffettivi; Eżempji jinkludu streptococcus (proteina G), staphylococcus aureus (proteina A), u peptostreptococcus magnus (proteina L).</v>
      </c>
    </row>
    <row r="22706" ht="15.75" customHeight="1">
      <c r="A22706" s="2" t="s">
        <v>22706</v>
      </c>
      <c r="B22706" s="2" t="str">
        <f>IFERROR(__xludf.DUMMYFUNCTION("GOOGLETRANSLATE(A22706, ""en"", ""mt"")"),"Il-Profeta Mohammad")</f>
        <v>Il-Profeta Mohammad</v>
      </c>
    </row>
    <row r="22707" ht="15.75" customHeight="1">
      <c r="A22707" s="2" t="s">
        <v>22707</v>
      </c>
      <c r="B22707" s="2" t="str">
        <f>IFERROR(__xludf.DUMMYFUNCTION("GOOGLETRANSLATE(A22707, ""en"", ""mt"")"),"Sharia")</f>
        <v>Sharia</v>
      </c>
    </row>
    <row r="22708" ht="15.75" customHeight="1">
      <c r="A22708" s="2" t="s">
        <v>22708</v>
      </c>
      <c r="B22708" s="2" t="str">
        <f>IFERROR(__xludf.DUMMYFUNCTION("GOOGLETRANSLATE(A22708, ""en"", ""mt"")"),"Duttrina tar-Riforma")</f>
        <v>Duttrina tar-Riforma</v>
      </c>
    </row>
    <row r="22709" ht="15.75" customHeight="1">
      <c r="A22709" s="2" t="s">
        <v>22709</v>
      </c>
      <c r="B22709" s="2" t="str">
        <f>IFERROR(__xludf.DUMMYFUNCTION("GOOGLETRANSLATE(A22709, ""en"", ""mt"")"),"Strateġija waħda ta 'Iżlamizzazzjoni hija li taħtaf il-poter b'liema metodi?")</f>
        <v>Strateġija waħda ta 'Iżlamizzazzjoni hija li taħtaf il-poter b'liema metodi?</v>
      </c>
    </row>
    <row r="22710" ht="15.75" customHeight="1">
      <c r="A22710" s="2" t="s">
        <v>22710</v>
      </c>
      <c r="B22710" s="2" t="str">
        <f>IFERROR(__xludf.DUMMYFUNCTION("GOOGLETRANSLATE(A22710, ""en"", ""mt"")"),"Ħafna konferenzi ħadu pożizzjoni billi jivvutaw favur xiex?")</f>
        <v>Ħafna konferenzi ħadu pożizzjoni billi jivvutaw favur xiex?</v>
      </c>
    </row>
    <row r="22711" ht="15.75" customHeight="1">
      <c r="A22711" s="2" t="s">
        <v>22711</v>
      </c>
      <c r="B22711" s="2" t="str">
        <f>IFERROR(__xludf.DUMMYFUNCTION("GOOGLETRANSLATE(A22711, ""en"", ""mt"")"),"F'liema varjabbli hija Lon Lestriined skond it-Teorema tal-Ġerarkija tal-Ispazju?")</f>
        <v>F'liema varjabbli hija Lon Lestriined skond it-Teorema tal-Ġerarkija tal-Ispazju?</v>
      </c>
    </row>
    <row r="22712" ht="15.75" customHeight="1">
      <c r="A22712" s="2" t="s">
        <v>22712</v>
      </c>
      <c r="B22712" s="2" t="str">
        <f>IFERROR(__xludf.DUMMYFUNCTION("GOOGLETRANSLATE(A22712, ""en"", ""mt"")"),"15")</f>
        <v>15</v>
      </c>
    </row>
    <row r="22713" ht="15.75" customHeight="1">
      <c r="A22713" s="2" t="s">
        <v>22713</v>
      </c>
      <c r="B22713" s="2" t="str">
        <f>IFERROR(__xludf.DUMMYFUNCTION("GOOGLETRANSLATE(A22713, ""en"", ""mt"")"),"TVontario qabad l-ispettaklu fl-1976 li beda bit-tliet tobba u xandar kull serje (bosta snin tard) sas-serje 24 fl-1991. Mill-1979 sal-1981, TVO Airings ġew imfassla mill-kittieb tax-xjenza-fittizja Judith Merril li kienet se tintroduċi l-episodju u Imbag"&amp;"ħad, wara li ġie konkluż l-episodju, ipprova poġġih f'kuntest edukattiv b'konformità mal-istatus ta 'TVO bħala kanal edukattiv. L-arja tagħha tat-Talons ta 'Weng-Chiang ġiet ikkanċellata bħala riżultat ta' akkużi li l-istorja kienet razzista; L-istorja ak"&amp;"tar tard ġiet imxandra fis-snin disgħin fuq l-istazzjon tal-kejbil YTV. CBC beda juri s-serje mill-ġdid fl-2005. Is-serje marret fl-ispazju tal-kanali tal-kejbil Kanadiż fl-2009. [Ċitazzjoni meħtieġa]")</f>
        <v>TVontario qabad l-ispettaklu fl-1976 li beda bit-tliet tobba u xandar kull serje (bosta snin tard) sas-serje 24 fl-1991. Mill-1979 sal-1981, TVO Airings ġew imfassla mill-kittieb tax-xjenza-fittizja Judith Merril li kienet se tintroduċi l-episodju u Imbagħad, wara li ġie konkluż l-episodju, ipprova poġġih f'kuntest edukattiv b'konformità mal-istatus ta 'TVO bħala kanal edukattiv. L-arja tagħha tat-Talons ta 'Weng-Chiang ġiet ikkanċellata bħala riżultat ta' akkużi li l-istorja kienet razzista; L-istorja aktar tard ġiet imxandra fis-snin disgħin fuq l-istazzjon tal-kejbil YTV. CBC beda juri s-serje mill-ġdid fl-2005. Is-serje marret fl-ispazju tal-kanali tal-kejbil Kanadiż fl-2009. [Ċitazzjoni meħtieġa]</v>
      </c>
    </row>
    <row r="22714" ht="15.75" customHeight="1">
      <c r="A22714" s="2" t="s">
        <v>22714</v>
      </c>
      <c r="B22714" s="2" t="str">
        <f>IFERROR(__xludf.DUMMYFUNCTION("GOOGLETRANSLATE(A22714, ""en"", ""mt"")"),"X’għamel il-programm Early Entrant għall-istudenti potenzjali?")</f>
        <v>X’għamel il-programm Early Entrant għall-istudenti potenzjali?</v>
      </c>
    </row>
    <row r="22715" ht="15.75" customHeight="1">
      <c r="A22715" s="2" t="s">
        <v>22715</v>
      </c>
      <c r="B22715" s="2" t="str">
        <f>IFERROR(__xludf.DUMMYFUNCTION("GOOGLETRANSLATE(A22715, ""en"", ""mt"")"),"X'inhu magħruf dwar il-klassijiet ta 'kumplessità bejn L u P li jipprevjeni aktar id-determinazzjoni tar-relazzjoni ta' valur bejn L u P?")</f>
        <v>X'inhu magħruf dwar il-klassijiet ta 'kumplessità bejn L u P li jipprevjeni aktar id-determinazzjoni tar-relazzjoni ta' valur bejn L u P?</v>
      </c>
    </row>
    <row r="22716" ht="15.75" customHeight="1">
      <c r="A22716" s="2" t="s">
        <v>22716</v>
      </c>
      <c r="B22716" s="2" t="str">
        <f>IFERROR(__xludf.DUMMYFUNCTION("GOOGLETRANSLATE(A22716, ""en"", ""mt"")"),"Liema Panther dawwar pass ta 'manning lilu nnifsu u qabadha?")</f>
        <v>Liema Panther dawwar pass ta 'manning lilu nnifsu u qabadha?</v>
      </c>
    </row>
    <row r="22717" ht="15.75" customHeight="1">
      <c r="A22717" s="2" t="s">
        <v>22717</v>
      </c>
      <c r="B22717" s="2" t="str">
        <f>IFERROR(__xludf.DUMMYFUNCTION("GOOGLETRANSLATE(A22717, ""en"", ""mt"")"),"F'liema dinastija għex Tianze?")</f>
        <v>F'liema dinastija għex Tianze?</v>
      </c>
    </row>
    <row r="22718" ht="15.75" customHeight="1">
      <c r="A22718" s="2" t="s">
        <v>22718</v>
      </c>
      <c r="B22718" s="2" t="str">
        <f>IFERROR(__xludf.DUMMYFUNCTION("GOOGLETRANSLATE(A22718, ""en"", ""mt"")"),"Kif huwa kklassifikat l-ossiġnu bħala abbundanti fl-univers?")</f>
        <v>Kif huwa kklassifikat l-ossiġnu bħala abbundanti fl-univers?</v>
      </c>
    </row>
    <row r="22719" ht="15.75" customHeight="1">
      <c r="A22719" s="2" t="s">
        <v>22719</v>
      </c>
      <c r="B22719" s="2" t="str">
        <f>IFERROR(__xludf.DUMMYFUNCTION("GOOGLETRANSLATE(A22719, ""en"", ""mt"")"),"1830")</f>
        <v>1830</v>
      </c>
    </row>
    <row r="22720" ht="15.75" customHeight="1">
      <c r="A22720" s="2" t="s">
        <v>22720</v>
      </c>
      <c r="B22720" s="2" t="str">
        <f>IFERROR(__xludf.DUMMYFUNCTION("GOOGLETRANSLATE(A22720, ""en"", ""mt"")"),"Meta twaqqfet l-Università Rjali ta 'Varsavja?")</f>
        <v>Meta twaqqfet l-Università Rjali ta 'Varsavja?</v>
      </c>
    </row>
    <row r="22721" ht="15.75" customHeight="1">
      <c r="A22721" s="2" t="s">
        <v>22721</v>
      </c>
      <c r="B22721" s="2" t="str">
        <f>IFERROR(__xludf.DUMMYFUNCTION("GOOGLETRANSLATE(A22721, ""en"", ""mt"")"),"Dwar x'inhi bbażata l-Kostituzzjoni ta 'Victoria?")</f>
        <v>Dwar x'inhi bbażata l-Kostituzzjoni ta 'Victoria?</v>
      </c>
    </row>
    <row r="22722" ht="15.75" customHeight="1">
      <c r="A22722" s="2" t="s">
        <v>22722</v>
      </c>
      <c r="B22722" s="2" t="str">
        <f>IFERROR(__xludf.DUMMYFUNCTION("GOOGLETRANSLATE(A22722, ""en"", ""mt"")"),"T. T. Tsui Gallerija tal-Art Ċiniża")</f>
        <v>T. T. Tsui Gallerija tal-Art Ċiniża</v>
      </c>
    </row>
    <row r="22723" ht="15.75" customHeight="1">
      <c r="A22723" s="2" t="s">
        <v>22723</v>
      </c>
      <c r="B22723" s="2" t="str">
        <f>IFERROR(__xludf.DUMMYFUNCTION("GOOGLETRANSLATE(A22723, ""en"", ""mt"")"),"Futbol tad-deheb")</f>
        <v>Futbol tad-deheb</v>
      </c>
    </row>
    <row r="22724" ht="15.75" customHeight="1">
      <c r="A22724" s="2" t="s">
        <v>22724</v>
      </c>
      <c r="B22724" s="2" t="str">
        <f>IFERROR(__xludf.DUMMYFUNCTION("GOOGLETRANSLATE(A22724, ""en"", ""mt"")"),"Liema ġeneru mużikali l-banda progressiva folk-rock Gryphon ippreżentat waqt kunċert / taħdita fil-V &amp; A?")</f>
        <v>Liema ġeneru mużikali l-banda progressiva folk-rock Gryphon ippreżentat waqt kunċert / taħdita fil-V &amp; A?</v>
      </c>
    </row>
    <row r="22725" ht="15.75" customHeight="1">
      <c r="A22725" s="2" t="s">
        <v>22725</v>
      </c>
      <c r="B22725" s="2" t="str">
        <f>IFERROR(__xludf.DUMMYFUNCTION("GOOGLETRANSLATE(A22725, ""en"", ""mt"")"),"Kemm dam biex it-teżijiet jinfirxu fl-Ewropa?")</f>
        <v>Kemm dam biex it-teżijiet jinfirxu fl-Ewropa?</v>
      </c>
    </row>
    <row r="22726" ht="15.75" customHeight="1">
      <c r="A22726" s="2" t="s">
        <v>22726</v>
      </c>
      <c r="B22726" s="2" t="str">
        <f>IFERROR(__xludf.DUMMYFUNCTION("GOOGLETRANSLATE(A22726, ""en"", ""mt"")"),"X'kien l-isem tas-Superdome ta 'New Orleans fil-ħin li seħħ Super Bowl 50?")</f>
        <v>X'kien l-isem tas-Superdome ta 'New Orleans fil-ħin li seħħ Super Bowl 50?</v>
      </c>
    </row>
    <row r="22727" ht="15.75" customHeight="1">
      <c r="A22727" s="2" t="s">
        <v>22727</v>
      </c>
      <c r="B22727" s="2" t="str">
        <f>IFERROR(__xludf.DUMMYFUNCTION("GOOGLETRANSLATE(A22727, ""en"", ""mt"")"),"Bijodiversità")</f>
        <v>Bijodiversità</v>
      </c>
    </row>
    <row r="22728" ht="15.75" customHeight="1">
      <c r="A22728" s="2" t="s">
        <v>22728</v>
      </c>
      <c r="B22728" s="2" t="str">
        <f>IFERROR(__xludf.DUMMYFUNCTION("GOOGLETRANSLATE(A22728, ""en"", ""mt"")"),"Boyle")</f>
        <v>Boyle</v>
      </c>
    </row>
    <row r="22729" ht="15.75" customHeight="1">
      <c r="A22729" s="2" t="s">
        <v>22729</v>
      </c>
      <c r="B22729" s="2" t="str">
        <f>IFERROR(__xludf.DUMMYFUNCTION("GOOGLETRANSLATE(A22729, ""en"", ""mt"")"),"Huwa espress il-ħin meħtieġ biex tinħareġ tweġiba fuq magna tat-Turing deterministika?")</f>
        <v>Huwa espress il-ħin meħtieġ biex tinħareġ tweġiba fuq magna tat-Turing deterministika?</v>
      </c>
    </row>
    <row r="22730" ht="15.75" customHeight="1">
      <c r="A22730" s="2" t="s">
        <v>22730</v>
      </c>
      <c r="B22730" s="2" t="str">
        <f>IFERROR(__xludf.DUMMYFUNCTION("GOOGLETRANSLATE(A22730, ""en"", ""mt"")"),"Wara t-telfa tagħhom fir-rawnd diviżjonali tal-playoffs tal-istaġun ta 'qabel, id-Denver Broncos għadda minn bosta bidliet fil-coaching, inkluż firda reċiproka mal-kowċ ewlieni John Fox (li kien rebaħ erba' kampjonati diviżorji fl-erba 'snin tiegħu bħala "&amp;"l-kowċ ewlieni ta' Broncos), u l-kiri ta 'Gary Kubiak bħala l-kowċ ewlieni l-ġdid. Taħt Kubiak, il-Broncos ippjanaw li jinstallaw offiża orjentata lejn il-ġirja ma 'l-imblukkar taż-żona biex tħallat mal-ħiliet li jgħaddu mill-isparatura tal-quarterback Pe"&amp;"yton Manning, iżda tħabtu ma' bosta bidliet u korrimenti fil-linja offensiva, kif ukoll Manning li jkollu l-agħar staġun statistiku tiegħu minn tiegħu Is-sena Rookie mal-Indianapolis Colts fl-1998, minħabba korriment ta 'fasciitis plantar fl-għarqub tiegħ"&amp;"u li kien sofra mis-sajf, u l-fatt sempliċi li Manning kien qed jixjieħ, hekk kif għalaq 39 sena fl-2015 barra mill-istaġun. Għalkemm it-tim kellu bidu ta '7-0, Manning mexxa l-NFL fl-interċezzjonijiet. Fil-Ġimgħa 10, Manning sofra tiċrita parzjali tal-fa"&amp;"sciitis plantar fis-sieq tax-xellug. Huwa waqqaf ir-rekord tal-ħin kollu tal-NFL għall-karriera li tgħaddi f'din il-logħba, iżda ġie mbattal wara li tefa 'erba' interċezzjonijiet favur il-quarterback tal-backup Brock Osweiler, li ħa postu bħala l-istarter"&amp;" għal ħafna mill-kumplament tal-istaġun regolari. Osweiler weġġa ', madankollu, li wassal għar-ritorn ta' Manning matul il-finali tal-istaġun regolari tal-Ġimgħa 17, fejn il-Broncos kienu qed jitilfu 13–7 kontra l-4-11 Chargers ta 'San Diego, li rriżulta "&amp;"f'Manning li jerġa' jitlob il-pożizzjoni ta 'quarterback tal-bidu għall-playoffs billi jmexxi It-tim għal rebħa ewlenija ta '27 -20 li ppermettiet lit-tim biex jikklassifika l-ewwel żerriegħa ġenerali tal-AFC. Taħt il-koordinatur difensiv Wade Phillips, i"&amp;"d-difiża tal-Broncos ikklassifikat in-numru wieħed fil-btieħi totali permessi, btieħi li jgħaddu permessi u xkejjer, u bħat-tliet staġuni preċedenti, it-tim kompla jistabbilixxi bosta rekords individwali, tal-kampjonat u tal-franchise. Bid-difiża li ġġorr"&amp;" it-tim minkejja l-kwistjonijiet bir-reat, il-Broncos temm l-istaġun regolari b'rekord ta '12 -4 u kiseb vantaġġ fuq il-post tad-dar matul il-playoffs tal-AFC.")</f>
        <v>Wara t-telfa tagħhom fir-rawnd diviżjonali tal-playoffs tal-istaġun ta 'qabel, id-Denver Broncos għadda minn bosta bidliet fil-coaching, inkluż firda reċiproka mal-kowċ ewlieni John Fox (li kien rebaħ erba' kampjonati diviżorji fl-erba 'snin tiegħu bħala l-kowċ ewlieni ta' Broncos), u l-kiri ta 'Gary Kubiak bħala l-kowċ ewlieni l-ġdid. Taħt Kubiak, il-Broncos ippjanaw li jinstallaw offiża orjentata lejn il-ġirja ma 'l-imblukkar taż-żona biex tħallat mal-ħiliet li jgħaddu mill-isparatura tal-quarterback Peyton Manning, iżda tħabtu ma' bosta bidliet u korrimenti fil-linja offensiva, kif ukoll Manning li jkollu l-agħar staġun statistiku tiegħu minn tiegħu Is-sena Rookie mal-Indianapolis Colts fl-1998, minħabba korriment ta 'fasciitis plantar fl-għarqub tiegħu li kien sofra mis-sajf, u l-fatt sempliċi li Manning kien qed jixjieħ, hekk kif għalaq 39 sena fl-2015 barra mill-istaġun. Għalkemm it-tim kellu bidu ta '7-0, Manning mexxa l-NFL fl-interċezzjonijiet. Fil-Ġimgħa 10, Manning sofra tiċrita parzjali tal-fasciitis plantar fis-sieq tax-xellug. Huwa waqqaf ir-rekord tal-ħin kollu tal-NFL għall-karriera li tgħaddi f'din il-logħba, iżda ġie mbattal wara li tefa 'erba' interċezzjonijiet favur il-quarterback tal-backup Brock Osweiler, li ħa postu bħala l-istarter għal ħafna mill-kumplament tal-istaġun regolari. Osweiler weġġa ', madankollu, li wassal għar-ritorn ta' Manning matul il-finali tal-istaġun regolari tal-Ġimgħa 17, fejn il-Broncos kienu qed jitilfu 13–7 kontra l-4-11 Chargers ta 'San Diego, li rriżulta f'Manning li jerġa' jitlob il-pożizzjoni ta 'quarterback tal-bidu għall-playoffs billi jmexxi It-tim għal rebħa ewlenija ta '27 -20 li ppermettiet lit-tim biex jikklassifika l-ewwel żerriegħa ġenerali tal-AFC. Taħt il-koordinatur difensiv Wade Phillips, id-difiża tal-Broncos ikklassifikat in-numru wieħed fil-btieħi totali permessi, btieħi li jgħaddu permessi u xkejjer, u bħat-tliet staġuni preċedenti, it-tim kompla jistabbilixxi bosta rekords individwali, tal-kampjonat u tal-franchise. Bid-difiża li ġġorr it-tim minkejja l-kwistjonijiet bir-reat, il-Broncos temm l-istaġun regolari b'rekord ta '12 -4 u kiseb vantaġġ fuq il-post tad-dar matul il-playoffs tal-AFC.</v>
      </c>
    </row>
    <row r="22731" ht="15.75" customHeight="1">
      <c r="A22731" s="2" t="s">
        <v>22731</v>
      </c>
      <c r="B22731" s="2" t="str">
        <f>IFERROR(__xludf.DUMMYFUNCTION("GOOGLETRANSLATE(A22731, ""en"", ""mt"")"),"ibridu bermuda 419 turf")</f>
        <v>ibridu bermuda 419 turf</v>
      </c>
    </row>
    <row r="22732" ht="15.75" customHeight="1">
      <c r="A22732" s="2" t="s">
        <v>22732</v>
      </c>
      <c r="B22732" s="2" t="str">
        <f>IFERROR(__xludf.DUMMYFUNCTION("GOOGLETRANSLATE(A22732, ""en"", ""mt"")"),"korp ta 'trattati u leġislazzjoni, bħal regolamenti u direttivi")</f>
        <v>korp ta 'trattati u leġislazzjoni, bħal regolamenti u direttivi</v>
      </c>
    </row>
    <row r="22733" ht="15.75" customHeight="1">
      <c r="A22733" s="2" t="s">
        <v>22733</v>
      </c>
      <c r="B22733" s="2" t="str">
        <f>IFERROR(__xludf.DUMMYFUNCTION("GOOGLETRANSLATE(A22733, ""en"", ""mt"")"),"X’wiegħed missier Tesla waqt li kien imqabbad?")</f>
        <v>X’wiegħed missier Tesla waqt li kien imqabbad?</v>
      </c>
    </row>
    <row r="22734" ht="15.75" customHeight="1">
      <c r="A22734" s="2" t="s">
        <v>22734</v>
      </c>
      <c r="B22734" s="2" t="str">
        <f>IFERROR(__xludf.DUMMYFUNCTION("GOOGLETRANSLATE(A22734, ""en"", ""mt"")"),"Interleukin 1")</f>
        <v>Interleukin 1</v>
      </c>
    </row>
    <row r="22735" ht="15.75" customHeight="1">
      <c r="A22735" s="2" t="s">
        <v>22735</v>
      </c>
      <c r="B22735" s="2" t="str">
        <f>IFERROR(__xludf.DUMMYFUNCTION("GOOGLETRANSLATE(A22735, ""en"", ""mt"")"),"Liema pajjiż għandu l-iktar fabbriki li jniġġsu r-Renu?")</f>
        <v>Liema pajjiż għandu l-iktar fabbriki li jniġġsu r-Renu?</v>
      </c>
    </row>
    <row r="22736" ht="15.75" customHeight="1">
      <c r="A22736" s="2" t="s">
        <v>22736</v>
      </c>
      <c r="B22736" s="2" t="str">
        <f>IFERROR(__xludf.DUMMYFUNCTION("GOOGLETRANSLATE(A22736, ""en"", ""mt"")"),"Kemm Huguenots ħarbu minn Franza sal-1700s?")</f>
        <v>Kemm Huguenots ħarbu minn Franza sal-1700s?</v>
      </c>
    </row>
    <row r="22737" ht="15.75" customHeight="1">
      <c r="A22737" s="2" t="s">
        <v>22737</v>
      </c>
      <c r="B22737" s="2" t="str">
        <f>IFERROR(__xludf.DUMMYFUNCTION("GOOGLETRANSLATE(A22737, ""en"", ""mt"")"),"fiżikament jolqot lilu")</f>
        <v>fiżikament jolqot lilu</v>
      </c>
    </row>
    <row r="22738" ht="15.75" customHeight="1">
      <c r="A22738" s="2" t="s">
        <v>22738</v>
      </c>
      <c r="B22738" s="2" t="str">
        <f>IFERROR(__xludf.DUMMYFUNCTION("GOOGLETRANSLATE(A22738, ""en"", ""mt"")"),"sorgu")</f>
        <v>sorgu</v>
      </c>
    </row>
    <row r="22739" ht="15.75" customHeight="1">
      <c r="A22739" s="2" t="s">
        <v>22739</v>
      </c>
      <c r="B22739" s="2" t="str">
        <f>IFERROR(__xludf.DUMMYFUNCTION("GOOGLETRANSLATE(A22739, ""en"", ""mt"")"),"Skond l-istatistiċi tal-logħob, liema Super Bowl 50 quarterback kellu l-agħar sena tiegħu mill-ewwel staġun tiegħu bħala plejer fl-NFL?")</f>
        <v>Skond l-istatistiċi tal-logħob, liema Super Bowl 50 quarterback kellu l-agħar sena tiegħu mill-ewwel staġun tiegħu bħala plejer fl-NFL?</v>
      </c>
    </row>
    <row r="22740" ht="15.75" customHeight="1">
      <c r="A22740" s="2" t="s">
        <v>22740</v>
      </c>
      <c r="B22740" s="2" t="str">
        <f>IFERROR(__xludf.DUMMYFUNCTION("GOOGLETRANSLATE(A22740, ""en"", ""mt"")"),"Dipartiment tal-Kelma u l-Immaġni.")</f>
        <v>Dipartiment tal-Kelma u l-Immaġni.</v>
      </c>
    </row>
    <row r="22741" ht="15.75" customHeight="1">
      <c r="A22741" s="2" t="s">
        <v>22741</v>
      </c>
      <c r="B22741" s="2" t="str">
        <f>IFERROR(__xludf.DUMMYFUNCTION("GOOGLETRANSLATE(A22741, ""en"", ""mt"")"),"L-UMC tikkundanna liema tip ta 'kastig?")</f>
        <v>L-UMC tikkundanna liema tip ta 'kastig?</v>
      </c>
    </row>
    <row r="22742" ht="15.75" customHeight="1">
      <c r="A22742" s="2" t="s">
        <v>22742</v>
      </c>
      <c r="B22742" s="2" t="str">
        <f>IFERROR(__xludf.DUMMYFUNCTION("GOOGLETRANSLATE(A22742, ""en"", ""mt"")"),"Istitut Milton Friedman")</f>
        <v>Istitut Milton Friedman</v>
      </c>
    </row>
    <row r="22743" ht="15.75" customHeight="1">
      <c r="A22743" s="2" t="s">
        <v>22743</v>
      </c>
      <c r="B22743" s="2" t="str">
        <f>IFERROR(__xludf.DUMMYFUNCTION("GOOGLETRANSLATE(A22743, ""en"", ""mt"")"),"Meta kienet kompluta l-porzjon Ewropew tas-seba 'snin tal-gwerra?")</f>
        <v>Meta kienet kompluta l-porzjon Ewropew tas-seba 'snin tal-gwerra?</v>
      </c>
    </row>
    <row r="22744" ht="15.75" customHeight="1">
      <c r="A22744" s="2" t="s">
        <v>22744</v>
      </c>
      <c r="B22744" s="2" t="str">
        <f>IFERROR(__xludf.DUMMYFUNCTION("GOOGLETRANSLATE(A22744, ""en"", ""mt"")"),"Hmong jew Laotian")</f>
        <v>Hmong jew Laotian</v>
      </c>
    </row>
    <row r="22745" ht="15.75" customHeight="1">
      <c r="A22745" s="2" t="s">
        <v>22745</v>
      </c>
      <c r="B22745" s="2" t="str">
        <f>IFERROR(__xludf.DUMMYFUNCTION("GOOGLETRANSLATE(A22745, ""en"", ""mt"")"),"Il-V &amp; A għandha l-oriġini tagħha f'liema espożizzjoni dinjija?")</f>
        <v>Il-V &amp; A għandha l-oriġini tagħha f'liema espożizzjoni dinjija?</v>
      </c>
    </row>
    <row r="22746" ht="15.75" customHeight="1">
      <c r="A22746" s="2" t="s">
        <v>22746</v>
      </c>
      <c r="B22746" s="2" t="str">
        <f>IFERROR(__xludf.DUMMYFUNCTION("GOOGLETRANSLATE(A22746, ""en"", ""mt"")"),"b’mod armonjuż")</f>
        <v>b’mod armonjuż</v>
      </c>
    </row>
    <row r="22747" ht="15.75" customHeight="1">
      <c r="A22747" s="2" t="s">
        <v>22747</v>
      </c>
      <c r="B22747" s="2" t="str">
        <f>IFERROR(__xludf.DUMMYFUNCTION("GOOGLETRANSLATE(A22747, ""en"", ""mt"")"),"L-1 ta 'April, 1963")</f>
        <v>L-1 ta 'April, 1963</v>
      </c>
    </row>
    <row r="22748" ht="15.75" customHeight="1">
      <c r="A22748" s="2" t="s">
        <v>22748</v>
      </c>
      <c r="B22748" s="2" t="str">
        <f>IFERROR(__xludf.DUMMYFUNCTION("GOOGLETRANSLATE(A22748, ""en"", ""mt"")"),"maħluqa")</f>
        <v>maħluqa</v>
      </c>
    </row>
    <row r="22749" ht="15.75" customHeight="1">
      <c r="A22749" s="2" t="s">
        <v>22749</v>
      </c>
      <c r="B22749" s="2" t="str">
        <f>IFERROR(__xludf.DUMMYFUNCTION("GOOGLETRANSLATE(A22749, ""en"", ""mt"")"),"oċeani tad-dinja")</f>
        <v>oċeani tad-dinja</v>
      </c>
    </row>
    <row r="22750" ht="15.75" customHeight="1">
      <c r="A22750" s="2" t="s">
        <v>22750</v>
      </c>
      <c r="B22750" s="2" t="str">
        <f>IFERROR(__xludf.DUMMYFUNCTION("GOOGLETRANSLATE(A22750, ""en"", ""mt"")"),"Pepsi")</f>
        <v>Pepsi</v>
      </c>
    </row>
    <row r="22751" ht="15.75" customHeight="1">
      <c r="A22751" s="2" t="s">
        <v>22751</v>
      </c>
      <c r="B22751" s="2" t="str">
        <f>IFERROR(__xludf.DUMMYFUNCTION("GOOGLETRANSLATE(A22751, ""en"", ""mt"")"),"Għaliex il-Franċiżi ħassew li kellhom dritt għal Ohio?")</f>
        <v>Għaliex il-Franċiżi ħassew li kellhom dritt għal Ohio?</v>
      </c>
    </row>
    <row r="22752" ht="15.75" customHeight="1">
      <c r="A22752" s="2" t="s">
        <v>22752</v>
      </c>
      <c r="B22752" s="2" t="str">
        <f>IFERROR(__xludf.DUMMYFUNCTION("GOOGLETRANSLATE(A22752, ""en"", ""mt"")"),"Cobham's")</f>
        <v>Cobham's</v>
      </c>
    </row>
    <row r="22753" ht="15.75" customHeight="1">
      <c r="A22753" s="2" t="s">
        <v>22753</v>
      </c>
      <c r="B22753" s="2" t="str">
        <f>IFERROR(__xludf.DUMMYFUNCTION("GOOGLETRANSLATE(A22753, ""en"", ""mt"")"),"Min argumenta li l-USSR kienet stess saret poter imperjalista?")</f>
        <v>Min argumenta li l-USSR kienet stess saret poter imperjalista?</v>
      </c>
    </row>
    <row r="22754" ht="15.75" customHeight="1">
      <c r="A22754" s="2" t="s">
        <v>22754</v>
      </c>
      <c r="B22754" s="2" t="str">
        <f>IFERROR(__xludf.DUMMYFUNCTION("GOOGLETRANSLATE(A22754, ""en"", ""mt"")"),"21 ta ’Ottubru 1512")</f>
        <v>21 ta ’Ottubru 1512</v>
      </c>
    </row>
    <row r="22755" ht="15.75" customHeight="1">
      <c r="A22755" s="2" t="s">
        <v>22755</v>
      </c>
      <c r="B22755" s="2" t="str">
        <f>IFERROR(__xludf.DUMMYFUNCTION("GOOGLETRANSLATE(A22755, ""en"", ""mt"")"),"Fejn jinsab id-Depot tal-Ferrovija ta 'Santa Fe?")</f>
        <v>Fejn jinsab id-Depot tal-Ferrovija ta 'Santa Fe?</v>
      </c>
    </row>
    <row r="22756" ht="15.75" customHeight="1">
      <c r="A22756" s="2" t="s">
        <v>22756</v>
      </c>
      <c r="B22756" s="2" t="str">
        <f>IFERROR(__xludf.DUMMYFUNCTION("GOOGLETRANSLATE(A22756, ""en"", ""mt"")"),"Videoguard Pay-TV")</f>
        <v>Videoguard Pay-TV</v>
      </c>
    </row>
    <row r="22757" ht="15.75" customHeight="1">
      <c r="A22757" s="2" t="s">
        <v>22757</v>
      </c>
      <c r="B22757" s="2" t="str">
        <f>IFERROR(__xludf.DUMMYFUNCTION("GOOGLETRANSLATE(A22757, ""en"", ""mt"")"),"268 U.S. 510")</f>
        <v>268 U.S. 510</v>
      </c>
    </row>
    <row r="22758" ht="15.75" customHeight="1">
      <c r="A22758" s="2" t="s">
        <v>22758</v>
      </c>
      <c r="B22758" s="2" t="str">
        <f>IFERROR(__xludf.DUMMYFUNCTION("GOOGLETRANSLATE(A22758, ""en"", ""mt"")"),"Kemm hemm nies li l-Istat Iżlamiku kkontrolla t-territorju ta 'Marzu 2015?")</f>
        <v>Kemm hemm nies li l-Istat Iżlamiku kkontrolla t-territorju ta 'Marzu 2015?</v>
      </c>
    </row>
    <row r="22759" ht="15.75" customHeight="1">
      <c r="A22759" s="2" t="s">
        <v>22759</v>
      </c>
      <c r="B22759" s="2" t="str">
        <f>IFERROR(__xludf.DUMMYFUNCTION("GOOGLETRANSLATE(A22759, ""en"", ""mt"")"),"Min kien rappurtat li Jochi ingaġġa biex jgħinha twaqqaf il-massakri ta 'missieru?")</f>
        <v>Min kien rappurtat li Jochi ingaġġa biex jgħinha twaqqaf il-massakri ta 'missieru?</v>
      </c>
    </row>
    <row r="22760" ht="15.75" customHeight="1">
      <c r="A22760" s="2" t="s">
        <v>22760</v>
      </c>
      <c r="B22760" s="2" t="str">
        <f>IFERROR(__xludf.DUMMYFUNCTION("GOOGLETRANSLATE(A22760, ""en"", ""mt"")"),"X'inhu l-livell ta 'inugwaljanza ta' ekonomija li qed tiżviluppa msejħa?")</f>
        <v>X'inhu l-livell ta 'inugwaljanza ta' ekonomija li qed tiżviluppa msejħa?</v>
      </c>
    </row>
    <row r="22761" ht="15.75" customHeight="1">
      <c r="A22761" s="2" t="s">
        <v>22761</v>
      </c>
      <c r="B22761" s="2" t="str">
        <f>IFERROR(__xludf.DUMMYFUNCTION("GOOGLETRANSLATE(A22761, ""en"", ""mt"")"),"Liema belt oħra ospitat is-Super Bowl għaxar darbiet?")</f>
        <v>Liema belt oħra ospitat is-Super Bowl għaxar darbiet?</v>
      </c>
    </row>
    <row r="22762" ht="15.75" customHeight="1">
      <c r="A22762" s="2" t="s">
        <v>22762</v>
      </c>
      <c r="B22762" s="2" t="str">
        <f>IFERROR(__xludf.DUMMYFUNCTION("GOOGLETRANSLATE(A22762, ""en"", ""mt"")"),"Biegħ aktar mediċini lill-pazjent")</f>
        <v>Biegħ aktar mediċini lill-pazjent</v>
      </c>
    </row>
    <row r="22763" ht="15.75" customHeight="1">
      <c r="A22763" s="2" t="s">
        <v>22763</v>
      </c>
      <c r="B22763" s="2" t="str">
        <f>IFERROR(__xludf.DUMMYFUNCTION("GOOGLETRANSLATE(A22763, ""en"", ""mt"")"),"Amboise")</f>
        <v>Amboise</v>
      </c>
    </row>
    <row r="22764" ht="15.75" customHeight="1">
      <c r="A22764" s="2" t="s">
        <v>22764</v>
      </c>
      <c r="B22764" s="2" t="str">
        <f>IFERROR(__xludf.DUMMYFUNCTION("GOOGLETRANSLATE(A22764, ""en"", ""mt"")"),"Matul l-istadju tal-kompressjoni taċ-ċiklu ta 'Rankine, f'liema stat huwa l-fluwidu tax-xogħol?")</f>
        <v>Matul l-istadju tal-kompressjoni taċ-ċiklu ta 'Rankine, f'liema stat huwa l-fluwidu tax-xogħol?</v>
      </c>
    </row>
    <row r="22765" ht="15.75" customHeight="1">
      <c r="A22765" s="2" t="s">
        <v>22765</v>
      </c>
      <c r="B22765" s="2" t="str">
        <f>IFERROR(__xludf.DUMMYFUNCTION("GOOGLETRANSLATE(A22765, ""en"", ""mt"")"),"F'liema sena fetaħ iċ-Ċentru Sackler?")</f>
        <v>F'liema sena fetaħ iċ-Ċentru Sackler?</v>
      </c>
    </row>
    <row r="22766" ht="15.75" customHeight="1">
      <c r="A22766" s="2" t="s">
        <v>22766</v>
      </c>
      <c r="B22766" s="2" t="str">
        <f>IFERROR(__xludf.DUMMYFUNCTION("GOOGLETRANSLATE(A22766, ""en"", ""mt"")"),"Liema tipa ġdida nħolqot għall-ABC għall-użu fir-reklamar?")</f>
        <v>Liema tipa ġdida nħolqot għall-ABC għall-użu fir-reklamar?</v>
      </c>
    </row>
    <row r="22767" ht="15.75" customHeight="1">
      <c r="A22767" s="2" t="s">
        <v>22767</v>
      </c>
      <c r="B22767" s="2" t="str">
        <f>IFERROR(__xludf.DUMMYFUNCTION("GOOGLETRANSLATE(A22767, ""en"", ""mt"")"),"L-inklużjoni tal-Kenja fost il-benefiċjarji tal-Att dwar it-Tkabbir u l-Opportunità Afrikana tal-Gvern Amerikan (AGOA)")</f>
        <v>L-inklużjoni tal-Kenja fost il-benefiċjarji tal-Att dwar it-Tkabbir u l-Opportunità Afrikana tal-Gvern Amerikan (AGOA)</v>
      </c>
    </row>
    <row r="22768" ht="15.75" customHeight="1">
      <c r="A22768" s="2" t="s">
        <v>22768</v>
      </c>
      <c r="B22768" s="2" t="str">
        <f>IFERROR(__xludf.DUMMYFUNCTION("GOOGLETRANSLATE(A22768, ""en"", ""mt"")"),"Kunsill Eżekuttiv tal-WMO u Kunsill Governattiv tal-UNEP")</f>
        <v>Kunsill Eżekuttiv tal-WMO u Kunsill Governattiv tal-UNEP</v>
      </c>
    </row>
    <row r="22769" ht="15.75" customHeight="1">
      <c r="A22769" s="2" t="s">
        <v>22769</v>
      </c>
      <c r="B22769" s="2" t="str">
        <f>IFERROR(__xludf.DUMMYFUNCTION("GOOGLETRANSLATE(A22769, ""en"", ""mt"")"),"L-uffiċjal li jippresiedi")</f>
        <v>L-uffiċjal li jippresiedi</v>
      </c>
    </row>
    <row r="22770" ht="15.75" customHeight="1">
      <c r="A22770" s="2" t="s">
        <v>22770</v>
      </c>
      <c r="B22770" s="2" t="str">
        <f>IFERROR(__xludf.DUMMYFUNCTION("GOOGLETRANSLATE(A22770, ""en"", ""mt"")"),"Liema sena ġiet eletta Jamukha Gür Khan?")</f>
        <v>Liema sena ġiet eletta Jamukha Gür Khan?</v>
      </c>
    </row>
    <row r="22771" ht="15.75" customHeight="1">
      <c r="A22771" s="2" t="s">
        <v>22771</v>
      </c>
      <c r="B22771" s="2" t="str">
        <f>IFERROR(__xludf.DUMMYFUNCTION("GOOGLETRANSLATE(A22771, ""en"", ""mt"")"),"Il-mużiċisti Eric Burdon, Sting, Mark Knopfler, Alan Hull, Cheryl Cole u Neil Tennant kienu jgħixu fi Newcastle. Hank Marvin u Bruce Welch it-tnejn ex-studenti tal-Iskola tal-Grammatika Rutherford, l-atturi Charlie Hunnam u James Scott, anters ant u Dec u"&amp;" plejers internazzjonali Michael Carrick u Alan Shearer twieldu fi Newcastle. Circumnavigator multiplu David Scott Cowper, il-fiżiċista rebbieħ tal-Premju Nobel Peter Higgs, u l-ex champion tal-WWE NXT Neville twieldu fil-belt. John Dunn, inventur ta 'Key"&amp;"ed Northumbrian Smallpipes, l-aktar strument mużikali karatteristiku fir-reġjun, għex u ħadem fil-belt.")</f>
        <v>Il-mużiċisti Eric Burdon, Sting, Mark Knopfler, Alan Hull, Cheryl Cole u Neil Tennant kienu jgħixu fi Newcastle. Hank Marvin u Bruce Welch it-tnejn ex-studenti tal-Iskola tal-Grammatika Rutherford, l-atturi Charlie Hunnam u James Scott, anters ant u Dec u plejers internazzjonali Michael Carrick u Alan Shearer twieldu fi Newcastle. Circumnavigator multiplu David Scott Cowper, il-fiżiċista rebbieħ tal-Premju Nobel Peter Higgs, u l-ex champion tal-WWE NXT Neville twieldu fil-belt. John Dunn, inventur ta 'Keyed Northumbrian Smallpipes, l-aktar strument mużikali karatteristiku fir-reġjun, għex u ħadem fil-belt.</v>
      </c>
    </row>
    <row r="22772" ht="15.75" customHeight="1">
      <c r="A22772" s="2" t="s">
        <v>22772</v>
      </c>
      <c r="B22772" s="2" t="str">
        <f>IFERROR(__xludf.DUMMYFUNCTION("GOOGLETRANSLATE(A22772, ""en"", ""mt"")"),"Gżira Phillip")</f>
        <v>Gżira Phillip</v>
      </c>
    </row>
    <row r="22773" ht="15.75" customHeight="1">
      <c r="A22773" s="2" t="s">
        <v>22773</v>
      </c>
      <c r="B22773" s="2" t="str">
        <f>IFERROR(__xludf.DUMMYFUNCTION("GOOGLETRANSLATE(A22773, ""en"", ""mt"")"),"""Villes de Sûreté""")</f>
        <v>"Villes de Sûreté"</v>
      </c>
    </row>
    <row r="22774" ht="15.75" customHeight="1">
      <c r="A22774" s="2" t="s">
        <v>22774</v>
      </c>
      <c r="B22774" s="2" t="str">
        <f>IFERROR(__xludf.DUMMYFUNCTION("GOOGLETRANSLATE(A22774, ""en"", ""mt"")"),"mara Katharina")</f>
        <v>mara Katharina</v>
      </c>
    </row>
    <row r="22775" ht="15.75" customHeight="1">
      <c r="A22775" s="2" t="s">
        <v>22775</v>
      </c>
      <c r="B22775" s="2" t="str">
        <f>IFERROR(__xludf.DUMMYFUNCTION("GOOGLETRANSLATE(A22775, ""en"", ""mt"")"),"F'liema sena ngħataw il-midalji tas-servizz distinti li ngħataw lil Grissom, White, u Chaffee?")</f>
        <v>F'liema sena ngħataw il-midalji tas-servizz distinti li ngħataw lil Grissom, White, u Chaffee?</v>
      </c>
    </row>
    <row r="22776" ht="15.75" customHeight="1">
      <c r="A22776" s="2" t="s">
        <v>22776</v>
      </c>
      <c r="B22776" s="2" t="str">
        <f>IFERROR(__xludf.DUMMYFUNCTION("GOOGLETRANSLATE(A22776, ""en"", ""mt"")"),"Kemm tista 'tikber Ctenophora?")</f>
        <v>Kemm tista 'tikber Ctenophora?</v>
      </c>
    </row>
    <row r="22777" ht="15.75" customHeight="1">
      <c r="A22777" s="2" t="s">
        <v>22777</v>
      </c>
      <c r="B22777" s="2" t="str">
        <f>IFERROR(__xludf.DUMMYFUNCTION("GOOGLETRANSLATE(A22777, ""en"", ""mt"")"),"lil xulxin")</f>
        <v>lil xulxin</v>
      </c>
    </row>
    <row r="22778" ht="15.75" customHeight="1">
      <c r="A22778" s="2" t="s">
        <v>22778</v>
      </c>
      <c r="B22778" s="2" t="str">
        <f>IFERROR(__xludf.DUMMYFUNCTION("GOOGLETRANSLATE(A22778, ""en"", ""mt"")"),"X'inhu l-akbar numru ta 'membri li jista' jkollu bord ta 'trustees?")</f>
        <v>X'inhu l-akbar numru ta 'membri li jista' jkollu bord ta 'trustees?</v>
      </c>
    </row>
    <row r="22779" ht="15.75" customHeight="1">
      <c r="A22779" s="2" t="s">
        <v>22779</v>
      </c>
      <c r="B22779" s="2" t="str">
        <f>IFERROR(__xludf.DUMMYFUNCTION("GOOGLETRANSLATE(A22779, ""en"", ""mt"")"),"radju")</f>
        <v>radju</v>
      </c>
    </row>
    <row r="22780" ht="15.75" customHeight="1">
      <c r="A22780" s="2" t="s">
        <v>22780</v>
      </c>
      <c r="B22780" s="2" t="str">
        <f>IFERROR(__xludf.DUMMYFUNCTION("GOOGLETRANSLATE(A22780, ""en"", ""mt"")"),"Il-membri tal-ekwipaġġ kienu meħtieġa jilbsu liema tip ta 'libsa spazjali waqt l-ittestjar wara l-inċident?")</f>
        <v>Il-membri tal-ekwipaġġ kienu meħtieġa jilbsu liema tip ta 'libsa spazjali waqt l-ittestjar wara l-inċident?</v>
      </c>
    </row>
    <row r="22781" ht="15.75" customHeight="1">
      <c r="A22781" s="2" t="s">
        <v>22781</v>
      </c>
      <c r="B22781" s="2" t="str">
        <f>IFERROR(__xludf.DUMMYFUNCTION("GOOGLETRANSLATE(A22781, ""en"", ""mt"")"),"L-università tmexxi numru ta 'istituzzjonijiet u programmi akkademiċi apparti mill-iskejjel li għadhom ma ggradwawx u post-universitarji tagħha. Topera l-Iskejjel tal-Laboratorju tal-Università ta ’Chicago (skola ta’ ġurnata privata għall-istudenti tal-K-"&amp;"12 u l-kura ta ’kuljum), l-Iskola Ortogenika ta’ Sonia Shankman (programm ta ’trattament residenzjali għal dawk bi problemi ta’ mġieba u emozzjonali), u erba ’skejjel charter pubbliċi fin-Nofsinhar fin-nofsinhar In-naħa ta 'Chicago amministrata mill-Istit"&amp;"ut tal-Edukazzjoni Urbana tal-Università. Barra minn hekk, l-Iskola Hyde Park Day, skola għal studenti b'diżabilità fit-tagħlim, iżżomm post fil-kampus tal-Università ta 'Chicago. Mill-1983, l-Università ta ’Chicago żammet il-Proġett tal-Matematika tal-Is"&amp;"kola tal-Università ta’ Chicago, programm tal-matematika użat fl-iskejjel primarji u sekondarji urbani. L-università tmexxi programm imsejjaħ il-Kunsill dwar Studji Avvanzati fix-Xjenzi Soċjali u l-Umanistika, li jamministra workshops interdixxiplinarji b"&amp;"iex jipprovdi forum għal studenti gradwati, fakultà, u studjużi li jżuru biex jippreżentaw xogħol akkademiku li għaddej. L-università topera wkoll l-Università ta ’Chicago Press, l-akbar stampa tal-università fl-Istati Uniti.")</f>
        <v>L-università tmexxi numru ta 'istituzzjonijiet u programmi akkademiċi apparti mill-iskejjel li għadhom ma ggradwawx u post-universitarji tagħha. Topera l-Iskejjel tal-Laboratorju tal-Università ta ’Chicago (skola ta’ ġurnata privata għall-istudenti tal-K-12 u l-kura ta ’kuljum), l-Iskola Ortogenika ta’ Sonia Shankman (programm ta ’trattament residenzjali għal dawk bi problemi ta’ mġieba u emozzjonali), u erba ’skejjel charter pubbliċi fin-Nofsinhar fin-nofsinhar In-naħa ta 'Chicago amministrata mill-Istitut tal-Edukazzjoni Urbana tal-Università. Barra minn hekk, l-Iskola Hyde Park Day, skola għal studenti b'diżabilità fit-tagħlim, iżżomm post fil-kampus tal-Università ta 'Chicago. Mill-1983, l-Università ta ’Chicago żammet il-Proġett tal-Matematika tal-Iskola tal-Università ta’ Chicago, programm tal-matematika użat fl-iskejjel primarji u sekondarji urbani. L-università tmexxi programm imsejjaħ il-Kunsill dwar Studji Avvanzati fix-Xjenzi Soċjali u l-Umanistika, li jamministra workshops interdixxiplinarji biex jipprovdi forum għal studenti gradwati, fakultà, u studjużi li jżuru biex jippreżentaw xogħol akkademiku li għaddej. L-università topera wkoll l-Università ta ’Chicago Press, l-akbar stampa tal-università fl-Istati Uniti.</v>
      </c>
    </row>
    <row r="22782" ht="15.75" customHeight="1">
      <c r="A22782" s="2" t="s">
        <v>22782</v>
      </c>
      <c r="B22782" s="2" t="str">
        <f>IFERROR(__xludf.DUMMYFUNCTION("GOOGLETRANSLATE(A22782, ""en"", ""mt"")"),"Fit-28 ta 'Diċembru, 2015, ESPN Deportes ħabbret li laħqu ftehim ma' CBS u l-NFL biex ikunu x-xandar esklussiv bil-lingwa Spanjola tal-logħba, li mmarka t-tielet xandira ddedikata bil-lingwa Spanjola tas-Super Bowl. B'differenza mill-NBC u l-Fox, CBS m'għ"&amp;"andux ħanut tal-lingwa Spanjola tiegħu stess li jista 'jxandar il-logħba (għalkemm għal kull politika tal-kampjonat, saret sejħa ta' play-by-play separata Spanjola fuq it-tieni kanal ta 'programm awdjo ta' CBS għal over-the- telespettaturi tal-arja). Il-l"&amp;"ogħba ġiet imsejħa mill-ekwipaġġ tal-kummentarju tal-futbol tat-Tnejn filgħaxija ta 'ESPN Deportes ta' Alvaro Martin u Raul Allegre, u r-reporter Sideline John Sutcliffe. ESPN Deportes ixandru kopertura ta 'qabel il-logħba u wara l-logħba, filwaqt li Mart"&amp;"in, Allegre, u Sutcliffe kkontribwew rapporti bil-lingwa Ingliża għall-isportscenter ta' ESPN u Mike &amp; Mike.")</f>
        <v>Fit-28 ta 'Diċembru, 2015, ESPN Deportes ħabbret li laħqu ftehim ma' CBS u l-NFL biex ikunu x-xandar esklussiv bil-lingwa Spanjola tal-logħba, li mmarka t-tielet xandira ddedikata bil-lingwa Spanjola tas-Super Bowl. B'differenza mill-NBC u l-Fox, CBS m'għandux ħanut tal-lingwa Spanjola tiegħu stess li jista 'jxandar il-logħba (għalkemm għal kull politika tal-kampjonat, saret sejħa ta' play-by-play separata Spanjola fuq it-tieni kanal ta 'programm awdjo ta' CBS għal over-the- telespettaturi tal-arja). Il-logħba ġiet imsejħa mill-ekwipaġġ tal-kummentarju tal-futbol tat-Tnejn filgħaxija ta 'ESPN Deportes ta' Alvaro Martin u Raul Allegre, u r-reporter Sideline John Sutcliffe. ESPN Deportes ixandru kopertura ta 'qabel il-logħba u wara l-logħba, filwaqt li Martin, Allegre, u Sutcliffe kkontribwew rapporti bil-lingwa Ingliża għall-isportscenter ta' ESPN u Mike &amp; Mike.</v>
      </c>
    </row>
    <row r="22783" ht="15.75" customHeight="1">
      <c r="A22783" s="2" t="s">
        <v>22783</v>
      </c>
      <c r="B22783" s="2" t="str">
        <f>IFERROR(__xludf.DUMMYFUNCTION("GOOGLETRANSLATE(A22783, ""en"", ""mt"")"),"Ikh Zasag (")</f>
        <v>Ikh Zasag (</v>
      </c>
    </row>
    <row r="22784" ht="15.75" customHeight="1">
      <c r="A22784" s="2" t="s">
        <v>22784</v>
      </c>
      <c r="B22784" s="2" t="str">
        <f>IFERROR(__xludf.DUMMYFUNCTION("GOOGLETRANSLATE(A22784, ""en"", ""mt"")"),"X'inhu t-terminu Irlandiż għal skejjel privati?")</f>
        <v>X'inhu t-terminu Irlandiż għal skejjel privati?</v>
      </c>
    </row>
    <row r="22785" ht="15.75" customHeight="1">
      <c r="A22785" s="2" t="s">
        <v>22785</v>
      </c>
      <c r="B22785" s="2" t="str">
        <f>IFERROR(__xludf.DUMMYFUNCTION("GOOGLETRANSLATE(A22785, ""en"", ""mt"")"),"Tqassim nervuż")</f>
        <v>Tqassim nervuż</v>
      </c>
    </row>
    <row r="22786" ht="15.75" customHeight="1">
      <c r="A22786" s="2" t="s">
        <v>22786</v>
      </c>
      <c r="B22786" s="2" t="str">
        <f>IFERROR(__xludf.DUMMYFUNCTION("GOOGLETRANSLATE(A22786, ""en"", ""mt"")"),"Min stabbilixxa l-ammont ta 'numri ewlenin li jeżistu?")</f>
        <v>Min stabbilixxa l-ammont ta 'numri ewlenin li jeżistu?</v>
      </c>
    </row>
    <row r="22787" ht="15.75" customHeight="1">
      <c r="A22787" s="2" t="s">
        <v>22787</v>
      </c>
      <c r="B22787" s="2" t="str">
        <f>IFERROR(__xludf.DUMMYFUNCTION("GOOGLETRANSLATE(A22787, ""en"", ""mt"")"),"Liema żewġ nazzjonijiet membri tal-Imperu Ruman Qaddis irċevew refuġjati Huguenot?")</f>
        <v>Liema żewġ nazzjonijiet membri tal-Imperu Ruman Qaddis irċevew refuġjati Huguenot?</v>
      </c>
    </row>
    <row r="22788" ht="15.75" customHeight="1">
      <c r="A22788" s="2" t="s">
        <v>22788</v>
      </c>
      <c r="B22788" s="2" t="str">
        <f>IFERROR(__xludf.DUMMYFUNCTION("GOOGLETRANSLATE(A22788, ""en"", ""mt"")"),"għax hu jew hi jistgħu mbagħad ibigħu aktar mediċini lill-pazjent")</f>
        <v>għax hu jew hi jistgħu mbagħad ibigħu aktar mediċini lill-pazjent</v>
      </c>
    </row>
    <row r="22789" ht="15.75" customHeight="1">
      <c r="A22789" s="2" t="s">
        <v>22789</v>
      </c>
      <c r="B22789" s="2" t="str">
        <f>IFERROR(__xludf.DUMMYFUNCTION("GOOGLETRANSLATE(A22789, ""en"", ""mt"")"),"Ġiet żviluppata skema ambizzjuża ta 'dekorazzjoni għal dawn iż-żoni l-ġodda: serje ta' figuri tal-mużajk li juru artisti Ewropej famużi tal-perjodu medjevali u tar-rinaxximent. Dawn issa tneħħew f'żoni oħra tal-mużew. Bdew ukoll serje ta 'affreski minn Lo"&amp;"rd Leighton: Arti Industrijali kif applikati għall-Gwerra 1878-1880 u arti industrijali applikati għall-paċi, li bdew iżda qatt ma spiċċaw. Fil-lvant ta 'dan kien hemm galleriji addizzjonali, li d-dekorazzjoni tagħhom kienet ix-xogħol ta' disinjatur ieħor"&amp;" Owen Jones, dawn kienu l-qrati Orjentali (li jkopru l-Indja, iċ-Ċina u l-Ġappun) li tlestew fl-1863, l-ebda waħda minn din id-dekorazzjoni ma tibqa 'ħajja, parti minn dawn il-galleriji saret Il-galleriji l-ġodda li jkopru s-seklu 19, infetħu f'Diċembru 2"&amp;"006. L-aħħar xogħol minn Fowke kien id-disinn għall-firxa ta 'bini fuq in-naħat tat-tramuntana u tal-punent tal-ġnien, dan jinkludi l-kmamar ta' refreshment, li jerġgħu jiddaħħlu bħala l-Mużew Café fl-2006, Bil-Gallerija tal-Fidda hawn fuq, (dak iż-żmien "&amp;"il-Gallerija taċ-Ċeramika), is-sular ta 'fuq għandu teatru mill-isbaħ għalkemm dan huwa rarament miftuħ għall-pubbliku ġenerali. It-taraġ taċ-ċeramika fil-kantuniera tal-majjistral ta 'din il-firxa ta' bini kien iddisinjat minn F. W. Moody u għandu dettal"&amp;"ji arkitettoniċi tal-fuħħar iffurmat u kkulurit. Ix-xogħol kollu fuq il-medda tat-tramuntana kien iddisinjat u mibni fl-1864-69. L-istil adottat għal din il-parti tal-mużew kien ir-Rinaxximent Taljan, kien magħmul ħafna mit-terracotta, il-briks u l-mużajk"&amp;", din il-faċċata tat-tramuntana kienet maħsuba bħala l-entratura ewlenija għall-mużew bil-bibien tal-bronż tagħha ddisinjati minn James Gamble &amp; Reuben Townroe li għandhom sitt pannelli Juri: Humphry Davy (Kimika); Isaac Newton (Astronomija); James Watt ("&amp;"Mekkanika); Bramante (arkitettura); Michelangelo (skultura); Titian (pittura); B'hekk jirrappreżentaw il-firxa tal-kollezzjonijiet tal-mużewijiet, Godfrey Sykes iddisinja wkoll it-tiżjin tat-terracotta u l-mużajk fil-pediment tal-faċċata tat-tramuntana li"&amp;" tfakkar il-wirja kbira li l-profitti li minnha għenet biex tiffinanzja l-mużew, dan huwa flanked minn gruppi ta 'stat ta' terracotta permezz ta 'Ball Percival - Dan il-bini ħa post Brompton Park House, li mbagħad tista 'titwaqqa' biex tagħmel triq għall-"&amp;"firxa tan-nofsinhar.")</f>
        <v>Ġiet żviluppata skema ambizzjuża ta 'dekorazzjoni għal dawn iż-żoni l-ġodda: serje ta' figuri tal-mużajk li juru artisti Ewropej famużi tal-perjodu medjevali u tar-rinaxximent. Dawn issa tneħħew f'żoni oħra tal-mużew. Bdew ukoll serje ta 'affreski minn Lord Leighton: Arti Industrijali kif applikati għall-Gwerra 1878-1880 u arti industrijali applikati għall-paċi, li bdew iżda qatt ma spiċċaw. Fil-lvant ta 'dan kien hemm galleriji addizzjonali, li d-dekorazzjoni tagħhom kienet ix-xogħol ta' disinjatur ieħor Owen Jones, dawn kienu l-qrati Orjentali (li jkopru l-Indja, iċ-Ċina u l-Ġappun) li tlestew fl-1863, l-ebda waħda minn din id-dekorazzjoni ma tibqa 'ħajja, parti minn dawn il-galleriji saret Il-galleriji l-ġodda li jkopru s-seklu 19, infetħu f'Diċembru 2006. L-aħħar xogħol minn Fowke kien id-disinn għall-firxa ta 'bini fuq in-naħat tat-tramuntana u tal-punent tal-ġnien, dan jinkludi l-kmamar ta' refreshment, li jerġgħu jiddaħħlu bħala l-Mużew Café fl-2006, Bil-Gallerija tal-Fidda hawn fuq, (dak iż-żmien il-Gallerija taċ-Ċeramika), is-sular ta 'fuq għandu teatru mill-isbaħ għalkemm dan huwa rarament miftuħ għall-pubbliku ġenerali. It-taraġ taċ-ċeramika fil-kantuniera tal-majjistral ta 'din il-firxa ta' bini kien iddisinjat minn F. W. Moody u għandu dettalji arkitettoniċi tal-fuħħar iffurmat u kkulurit. Ix-xogħol kollu fuq il-medda tat-tramuntana kien iddisinjat u mibni fl-1864-69. L-istil adottat għal din il-parti tal-mużew kien ir-Rinaxximent Taljan, kien magħmul ħafna mit-terracotta, il-briks u l-mużajk, din il-faċċata tat-tramuntana kienet maħsuba bħala l-entratura ewlenija għall-mużew bil-bibien tal-bronż tagħha ddisinjati minn James Gamble &amp; Reuben Townroe li għandhom sitt pannelli Juri: Humphry Davy (Kimika); Isaac Newton (Astronomija); James Watt (Mekkanika); Bramante (arkitettura); Michelangelo (skultura); Titian (pittura); B'hekk jirrappreżentaw il-firxa tal-kollezzjonijiet tal-mużewijiet, Godfrey Sykes iddisinja wkoll it-tiżjin tat-terracotta u l-mużajk fil-pediment tal-faċċata tat-tramuntana li tfakkar il-wirja kbira li l-profitti li minnha għenet biex tiffinanzja l-mużew, dan huwa flanked minn gruppi ta 'stat ta' terracotta permezz ta 'Ball Percival - Dan il-bini ħa post Brompton Park House, li mbagħad tista 'titwaqqa' biex tagħmel triq għall-firxa tan-nofsinhar.</v>
      </c>
    </row>
    <row r="22790" ht="15.75" customHeight="1">
      <c r="A22790" s="2" t="s">
        <v>22790</v>
      </c>
      <c r="B22790" s="2" t="str">
        <f>IFERROR(__xludf.DUMMYFUNCTION("GOOGLETRANSLATE(A22790, ""en"", ""mt"")"),"Fis-17 ta 'Mejju 1899, Tesla marret tgħix Colorado Springs, fejn kien se jkollu spazju għall-esperimenti ta' frekwenza għolja tiegħu ta 'vultaġġ għoli; Il-laboratorju tiegħu kien jinsab ħdejn Foote Ave. u Kiowa St. Huwa għażel din il-lokalità minħabba li "&amp;"s-sistema ta 'distribuzzjoni tal-enerġija tal-kurrent tal-polifażi kienet ġiet introdotta hemmhekk u kellu assoċjati li kienu lesti jagħtuh il-poter kollu li kellu bżonn mingħajr ma jiċċarġja għaliha. Mal-wasla tiegħu, huwa qal lill-ġurnalisti li kien qed"&amp;" imexxi esperimenti tat-telegrafija mingħajr fili, jittrasmetti sinjali minn Pikes Peak għal Pariġi. [Ċitazzjoni meħtieġa] Il-ktieb tal-1978 Colorado Springs Noti, 1899-1900 fih deskrizzjonijiet tal-esperimenti ta 'Tesla. Fil-15 ta 'Ġunju 1899, Tesla wett"&amp;"aq l-ewwel esperimenti tiegħu fil-Colorado Springs Lab tiegħu; Huwa rreġistra t-tul inizjali tal-ispark tiegħu f'ħames pulzieri twil, iżda ħoxnin ħafna u storbjuż.")</f>
        <v>Fis-17 ta 'Mejju 1899, Tesla marret tgħix Colorado Springs, fejn kien se jkollu spazju għall-esperimenti ta' frekwenza għolja tiegħu ta 'vultaġġ għoli; Il-laboratorju tiegħu kien jinsab ħdejn Foote Ave. u Kiowa St. Huwa għażel din il-lokalità minħabba li s-sistema ta 'distribuzzjoni tal-enerġija tal-kurrent tal-polifażi kienet ġiet introdotta hemmhekk u kellu assoċjati li kienu lesti jagħtuh il-poter kollu li kellu bżonn mingħajr ma jiċċarġja għaliha. Mal-wasla tiegħu, huwa qal lill-ġurnalisti li kien qed imexxi esperimenti tat-telegrafija mingħajr fili, jittrasmetti sinjali minn Pikes Peak għal Pariġi. [Ċitazzjoni meħtieġa] Il-ktieb tal-1978 Colorado Springs Noti, 1899-1900 fih deskrizzjonijiet tal-esperimenti ta 'Tesla. Fil-15 ta 'Ġunju 1899, Tesla wettaq l-ewwel esperimenti tiegħu fil-Colorado Springs Lab tiegħu; Huwa rreġistra t-tul inizjali tal-ispark tiegħu f'ħames pulzieri twil, iżda ħoxnin ħafna u storbjuż.</v>
      </c>
    </row>
    <row r="22791" ht="15.75" customHeight="1">
      <c r="A22791" s="2" t="s">
        <v>22791</v>
      </c>
      <c r="B22791" s="2" t="str">
        <f>IFERROR(__xludf.DUMMYFUNCTION("GOOGLETRANSLATE(A22791, ""en"", ""mt"")"),"KSEE affiljat tal-NBC")</f>
        <v>KSEE affiljat tal-NBC</v>
      </c>
    </row>
    <row r="22792" ht="15.75" customHeight="1">
      <c r="A22792" s="2" t="s">
        <v>22792</v>
      </c>
      <c r="B22792" s="2" t="str">
        <f>IFERROR(__xludf.DUMMYFUNCTION("GOOGLETRANSLATE(A22792, ""en"", ""mt"")"),"1.6 miljun sena")</f>
        <v>1.6 miljun sena</v>
      </c>
    </row>
    <row r="22793" ht="15.75" customHeight="1">
      <c r="A22793" s="2" t="s">
        <v>22793</v>
      </c>
      <c r="B22793" s="2" t="str">
        <f>IFERROR(__xludf.DUMMYFUNCTION("GOOGLETRANSLATE(A22793, ""en"", ""mt"")"),"mhux kombustibbli")</f>
        <v>mhux kombustibbli</v>
      </c>
    </row>
    <row r="22794" ht="15.75" customHeight="1">
      <c r="A22794" s="2" t="s">
        <v>22794</v>
      </c>
      <c r="B22794" s="2" t="str">
        <f>IFERROR(__xludf.DUMMYFUNCTION("GOOGLETRANSLATE(A22794, ""en"", ""mt"")"),"squiled saqajh mitt darba għal kull sieq")</f>
        <v>squiled saqajh mitt darba għal kull sieq</v>
      </c>
    </row>
    <row r="22795" ht="15.75" customHeight="1">
      <c r="A22795" s="2" t="s">
        <v>22795</v>
      </c>
      <c r="B22795" s="2" t="str">
        <f>IFERROR(__xludf.DUMMYFUNCTION("GOOGLETRANSLATE(A22795, ""en"", ""mt"")"),"kloroplasti ta 'xi hornworts u alka")</f>
        <v>kloroplasti ta 'xi hornworts u alka</v>
      </c>
    </row>
    <row r="22796" ht="15.75" customHeight="1">
      <c r="A22796" s="2" t="s">
        <v>22796</v>
      </c>
      <c r="B22796" s="2" t="str">
        <f>IFERROR(__xludf.DUMMYFUNCTION("GOOGLETRANSLATE(A22796, ""en"", ""mt"")"),"Grad ta 'Baċellerat Post-Sekondarju")</f>
        <v>Grad ta 'Baċellerat Post-Sekondarju</v>
      </c>
    </row>
    <row r="22797" ht="15.75" customHeight="1">
      <c r="A22797" s="2" t="s">
        <v>22797</v>
      </c>
      <c r="B22797" s="2" t="str">
        <f>IFERROR(__xludf.DUMMYFUNCTION("GOOGLETRANSLATE(A22797, ""en"", ""mt"")"),"il-knisja lokali")</f>
        <v>il-knisja lokali</v>
      </c>
    </row>
    <row r="22798" ht="15.75" customHeight="1">
      <c r="A22798" s="2" t="s">
        <v>22798</v>
      </c>
      <c r="B22798" s="2" t="str">
        <f>IFERROR(__xludf.DUMMYFUNCTION("GOOGLETRANSLATE(A22798, ""en"", ""mt"")"),"L-Istati Uniti kif ippjanaw li jissottomettu tendenzi imperjalisti?")</f>
        <v>L-Istati Uniti kif ippjanaw li jissottomettu tendenzi imperjalisti?</v>
      </c>
    </row>
    <row r="22799" ht="15.75" customHeight="1">
      <c r="A22799" s="2" t="s">
        <v>22799</v>
      </c>
      <c r="B22799" s="2" t="str">
        <f>IFERROR(__xludf.DUMMYFUNCTION("GOOGLETRANSLATE(A22799, ""en"", ""mt"")"),"A fumble")</f>
        <v>A fumble</v>
      </c>
    </row>
    <row r="22800" ht="15.75" customHeight="1">
      <c r="A22800" s="2" t="s">
        <v>22800</v>
      </c>
      <c r="B22800" s="2" t="str">
        <f>IFERROR(__xludf.DUMMYFUNCTION("GOOGLETRANSLATE(A22800, ""en"", ""mt"")"),"Liema president Mongoljan faħħar lil Genghis Khan fit-850 anniversarju mit-twelid tal-konkwista?")</f>
        <v>Liema president Mongoljan faħħar lil Genghis Khan fit-850 anniversarju mit-twelid tal-konkwista?</v>
      </c>
    </row>
    <row r="22801" ht="15.75" customHeight="1">
      <c r="A22801" s="2" t="s">
        <v>22801</v>
      </c>
      <c r="B22801" s="2" t="str">
        <f>IFERROR(__xludf.DUMMYFUNCTION("GOOGLETRANSLATE(A22801, ""en"", ""mt"")"),"Liema workshop għen bil-ħolqien tat-tema tat-tabib min?")</f>
        <v>Liema workshop għen bil-ħolqien tat-tema tat-tabib min?</v>
      </c>
    </row>
    <row r="22802" ht="15.75" customHeight="1">
      <c r="A22802" s="2" t="s">
        <v>22802</v>
      </c>
      <c r="B22802" s="2" t="str">
        <f>IFERROR(__xludf.DUMMYFUNCTION("GOOGLETRANSLATE(A22802, ""en"", ""mt"")"),"Fejn imorru l-profitti f'din il-kumpanija l-ġdida?")</f>
        <v>Fejn imorru l-profitti f'din il-kumpanija l-ġdida?</v>
      </c>
    </row>
    <row r="22803" ht="15.75" customHeight="1">
      <c r="A22803" s="2" t="s">
        <v>22803</v>
      </c>
      <c r="B22803" s="2" t="str">
        <f>IFERROR(__xludf.DUMMYFUNCTION("GOOGLETRANSLATE(A22803, ""en"", ""mt"")"),"Liema lista kienet il-belt il-qadima ta 'Varsavja miktuba fl-1980?")</f>
        <v>Liema lista kienet il-belt il-qadima ta 'Varsavja miktuba fl-1980?</v>
      </c>
    </row>
    <row r="22804" ht="15.75" customHeight="1">
      <c r="A22804" s="2" t="s">
        <v>22804</v>
      </c>
      <c r="B22804" s="2" t="str">
        <f>IFERROR(__xludf.DUMMYFUNCTION("GOOGLETRANSLATE(A22804, ""en"", ""mt"")"),"Franza stabbiliet lil Montpellier f'liema sena?")</f>
        <v>Franza stabbiliet lil Montpellier f'liema sena?</v>
      </c>
    </row>
    <row r="22805" ht="15.75" customHeight="1">
      <c r="A22805" s="2" t="s">
        <v>22805</v>
      </c>
      <c r="B22805" s="2" t="str">
        <f>IFERROR(__xludf.DUMMYFUNCTION("GOOGLETRANSLATE(A22805, ""en"", ""mt"")"),"Liema tim tal-NFL irrappreżenta lill-NFC fis-Super Bowl 50?")</f>
        <v>Liema tim tal-NFL irrappreżenta lill-NFC fis-Super Bowl 50?</v>
      </c>
    </row>
    <row r="22806" ht="15.75" customHeight="1">
      <c r="A22806" s="2" t="s">
        <v>22806</v>
      </c>
      <c r="B22806" s="2" t="str">
        <f>IFERROR(__xludf.DUMMYFUNCTION("GOOGLETRANSLATE(A22806, ""en"", ""mt"")"),"Assassin Deadly u Mawdryn Undead")</f>
        <v>Assassin Deadly u Mawdryn Undead</v>
      </c>
    </row>
    <row r="22807" ht="15.75" customHeight="1">
      <c r="A22807" s="2" t="s">
        <v>22807</v>
      </c>
      <c r="B22807" s="2" t="str">
        <f>IFERROR(__xludf.DUMMYFUNCTION("GOOGLETRANSLATE(A22807, ""en"", ""mt"")"),"Doritos")</f>
        <v>Doritos</v>
      </c>
    </row>
    <row r="22808" ht="15.75" customHeight="1">
      <c r="A22808" s="2" t="s">
        <v>22808</v>
      </c>
      <c r="B22808" s="2" t="str">
        <f>IFERROR(__xludf.DUMMYFUNCTION("GOOGLETRANSLATE(A22808, ""en"", ""mt"")"),"L-opportunitajiet ikunu l-istess f'kull suġġett, jew ivarjaw?")</f>
        <v>L-opportunitajiet ikunu l-istess f'kull suġġett, jew ivarjaw?</v>
      </c>
    </row>
    <row r="22809" ht="15.75" customHeight="1">
      <c r="A22809" s="2" t="s">
        <v>22809</v>
      </c>
      <c r="B22809" s="2" t="str">
        <f>IFERROR(__xludf.DUMMYFUNCTION("GOOGLETRANSLATE(A22809, ""en"", ""mt"")"),"L-ispedizzjoni ta 'Johnson kienet organizzata aħjar minn dik ta' Shirley, li kienet innutata mill-gvernatur ta 'New France, il-Marquis de Vaudreuil. Huwa kien primarjament imħasseb dwar il-linja ta 'provvista estiża għall-fortizzi fuq l-Ohio, u kien bagħa"&amp;"t lill-Baruni Dieskau biex imexxi d-difiżi fi Frontenac kontra l-attakk mistenni ta' Shirley. Meta Johnson kien meqjus bħala t-theddida ikbar, Vaudreuil bagħat lil Dieskau fil-Fort San Frédéric biex jiltaqa ’ma’ dik it-theddida. Dieskau ppjana li jattakka"&amp;" l-akkampjar Brittaniku fil-Fort Edward fit-tarf ta 'fuq tan-navigazzjoni fuq ix-Xmara Hudson, iżda Johnson kien imsaħħaħ bil-qawwa, u l-appoġġ Indjan ta' Dieskau kien ħerqan li jattakka. Iż-żewġ forzi fl-aħħar iltaqgħu fil-battalja mdemmi tal-Lag George "&amp;"bejn Fort Edward u Fort William Henry. Il-battalja ntemmet b'mod inkonklussiv, biż-żewġ naħat jirtiraw mill-għalqa. L-avvanz ta ’Johnson waqaf fil-Fort William Henry, u l-Franċiżi rtiraw lejn Ticonderoga Point, fejn bdew il-kostruzzjoni ta’ Fort Carillon "&amp;"(aktar tard semmiet Fort Ticonderoga wara li qbadt l-Ingliżi fl-1759).")</f>
        <v>L-ispedizzjoni ta 'Johnson kienet organizzata aħjar minn dik ta' Shirley, li kienet innutata mill-gvernatur ta 'New France, il-Marquis de Vaudreuil. Huwa kien primarjament imħasseb dwar il-linja ta 'provvista estiża għall-fortizzi fuq l-Ohio, u kien bagħat lill-Baruni Dieskau biex imexxi d-difiżi fi Frontenac kontra l-attakk mistenni ta' Shirley. Meta Johnson kien meqjus bħala t-theddida ikbar, Vaudreuil bagħat lil Dieskau fil-Fort San Frédéric biex jiltaqa ’ma’ dik it-theddida. Dieskau ppjana li jattakka l-akkampjar Brittaniku fil-Fort Edward fit-tarf ta 'fuq tan-navigazzjoni fuq ix-Xmara Hudson, iżda Johnson kien imsaħħaħ bil-qawwa, u l-appoġġ Indjan ta' Dieskau kien ħerqan li jattakka. Iż-żewġ forzi fl-aħħar iltaqgħu fil-battalja mdemmi tal-Lag George bejn Fort Edward u Fort William Henry. Il-battalja ntemmet b'mod inkonklussiv, biż-żewġ naħat jirtiraw mill-għalqa. L-avvanz ta ’Johnson waqaf fil-Fort William Henry, u l-Franċiżi rtiraw lejn Ticonderoga Point, fejn bdew il-kostruzzjoni ta’ Fort Carillon (aktar tard semmiet Fort Ticonderoga wara li qbadt l-Ingliżi fl-1759).</v>
      </c>
    </row>
    <row r="22810" ht="15.75" customHeight="1">
      <c r="A22810" s="2" t="s">
        <v>22810</v>
      </c>
      <c r="B22810" s="2" t="str">
        <f>IFERROR(__xludf.DUMMYFUNCTION("GOOGLETRANSLATE(A22810, ""en"", ""mt"")"),"Wieħed mill-pretendenti tat-tron Ingliż li jopponi lil William the Conqueror, Edgar Atheling, eventwalment ħarab lejn l-Iskozja. Ir-Re Malcolm III tal-Iskozja żżewweġ lil oħt Edgar Margaret, u daħal fl-oppożizzjoni ma 'William li kien diġà kkontesta l-fru"&amp;"ntieri tan-Nofsinhar tal-Iskozja. William invada l-Iskozja fl-1072, riekeb sa Abernethy fejn iltaqa 'mal-flotta tiegħu ta' vapuri. Malcolm ippreżenta, sellem lil William u ċeda lil ibnu Duncan bħala ostaġġ, li beda serje ta 'argumenti dwar jekk il-Kuruna "&amp;"Skoċċiża kienet dovuta lealtà lir-Re tal-Ingilterra.")</f>
        <v>Wieħed mill-pretendenti tat-tron Ingliż li jopponi lil William the Conqueror, Edgar Atheling, eventwalment ħarab lejn l-Iskozja. Ir-Re Malcolm III tal-Iskozja żżewweġ lil oħt Edgar Margaret, u daħal fl-oppożizzjoni ma 'William li kien diġà kkontesta l-fruntieri tan-Nofsinhar tal-Iskozja. William invada l-Iskozja fl-1072, riekeb sa Abernethy fejn iltaqa 'mal-flotta tiegħu ta' vapuri. Malcolm ippreżenta, sellem lil William u ċeda lil ibnu Duncan bħala ostaġġ, li beda serje ta 'argumenti dwar jekk il-Kuruna Skoċċiża kienet dovuta lealtà lir-Re tal-Ingilterra.</v>
      </c>
    </row>
    <row r="22811" ht="15.75" customHeight="1">
      <c r="A22811" s="2" t="s">
        <v>22811</v>
      </c>
      <c r="B22811" s="2" t="str">
        <f>IFERROR(__xludf.DUMMYFUNCTION("GOOGLETRANSLATE(A22811, ""en"", ""mt"")"),"1773 jew qabel")</f>
        <v>1773 jew qabel</v>
      </c>
    </row>
    <row r="22812" ht="15.75" customHeight="1">
      <c r="A22812" s="2" t="s">
        <v>22812</v>
      </c>
      <c r="B22812" s="2" t="str">
        <f>IFERROR(__xludf.DUMMYFUNCTION("GOOGLETRANSLATE(A22812, ""en"", ""mt"")"),"Magna Steam Corliss")</f>
        <v>Magna Steam Corliss</v>
      </c>
    </row>
    <row r="22813" ht="15.75" customHeight="1">
      <c r="A22813" s="2" t="s">
        <v>22813</v>
      </c>
      <c r="B22813" s="2" t="str">
        <f>IFERROR(__xludf.DUMMYFUNCTION("GOOGLETRANSLATE(A22813, ""en"", ""mt"")"),"rapporti ta 'spiżeriji bħal dawn li jqassmu prodotti mhux standard")</f>
        <v>rapporti ta 'spiżeriji bħal dawn li jqassmu prodotti mhux standard</v>
      </c>
    </row>
    <row r="22814" ht="15.75" customHeight="1">
      <c r="A22814" s="2" t="s">
        <v>22814</v>
      </c>
      <c r="B22814" s="2" t="str">
        <f>IFERROR(__xludf.DUMMYFUNCTION("GOOGLETRANSLATE(A22814, ""en"", ""mt"")"),"Kif huwa deskritt id-dioxygen l-iktar sempliċement deskritt?")</f>
        <v>Kif huwa deskritt id-dioxygen l-iktar sempliċement deskritt?</v>
      </c>
    </row>
    <row r="22815" ht="15.75" customHeight="1">
      <c r="A22815" s="2" t="s">
        <v>22815</v>
      </c>
      <c r="B22815" s="2" t="str">
        <f>IFERROR(__xludf.DUMMYFUNCTION("GOOGLETRANSLATE(A22815, ""en"", ""mt"")"),"Guinea Ġermaniża Ġermaniża")</f>
        <v>Guinea Ġermaniża Ġermaniża</v>
      </c>
    </row>
    <row r="22816" ht="15.75" customHeight="1">
      <c r="A22816" s="2" t="s">
        <v>22816</v>
      </c>
      <c r="B22816" s="2" t="str">
        <f>IFERROR(__xludf.DUMMYFUNCTION("GOOGLETRANSLATE(A22816, ""en"", ""mt"")"),"perjodi ta 'temperaturi globali aktar baxxi")</f>
        <v>perjodi ta 'temperaturi globali aktar baxxi</v>
      </c>
    </row>
    <row r="22817" ht="15.75" customHeight="1">
      <c r="A22817" s="2" t="s">
        <v>22817</v>
      </c>
      <c r="B22817" s="2" t="str">
        <f>IFERROR(__xludf.DUMMYFUNCTION("GOOGLETRANSLATE(A22817, ""en"", ""mt"")"),"X'qed tieħu l-istorja tal-partit fuq l-istorja Musulmana?")</f>
        <v>X'qed tieħu l-istorja tal-partit fuq l-istorja Musulmana?</v>
      </c>
    </row>
    <row r="22818" ht="15.75" customHeight="1">
      <c r="A22818" s="2" t="s">
        <v>22818</v>
      </c>
      <c r="B22818" s="2" t="str">
        <f>IFERROR(__xludf.DUMMYFUNCTION("GOOGLETRANSLATE(A22818, ""en"", ""mt"")"),"Spjegazzjonijiet huma raġonevolment appoġġati tajjeb")</f>
        <v>Spjegazzjonijiet huma raġonevolment appoġġati tajjeb</v>
      </c>
    </row>
    <row r="22819" ht="15.75" customHeight="1">
      <c r="A22819" s="2" t="s">
        <v>22819</v>
      </c>
      <c r="B22819" s="2" t="str">
        <f>IFERROR(__xludf.DUMMYFUNCTION("GOOGLETRANSLATE(A22819, ""en"", ""mt"")"),"Id-difiża u l-ġustifikazzjoni tal-bini tal-imperu huma bbażati fuq raġunijiet apparentement razzjonali")</f>
        <v>Id-difiża u l-ġustifikazzjoni tal-bini tal-imperu huma bbażati fuq raġunijiet apparentement razzjonali</v>
      </c>
    </row>
    <row r="22820" ht="15.75" customHeight="1">
      <c r="A22820" s="2" t="s">
        <v>22820</v>
      </c>
      <c r="B22820" s="2" t="str">
        <f>IFERROR(__xludf.DUMMYFUNCTION("GOOGLETRANSLATE(A22820, ""en"", ""mt"")"),"X’taqsam ma ’Tesla aċċidentalment?")</f>
        <v>X’taqsam ma ’Tesla aċċidentalment?</v>
      </c>
    </row>
    <row r="22821" ht="15.75" customHeight="1">
      <c r="A22821" s="2" t="s">
        <v>22821</v>
      </c>
      <c r="B22821" s="2" t="str">
        <f>IFERROR(__xludf.DUMMYFUNCTION("GOOGLETRANSLATE(A22821, ""en"", ""mt"")"),"Liema bini mis-seklu 19 inqered bejn l-1950 u s-snin 1960?")</f>
        <v>Liema bini mis-seklu 19 inqered bejn l-1950 u s-snin 1960?</v>
      </c>
    </row>
    <row r="22822" ht="15.75" customHeight="1">
      <c r="A22822" s="2" t="s">
        <v>22822</v>
      </c>
      <c r="B22822" s="2" t="str">
        <f>IFERROR(__xludf.DUMMYFUNCTION("GOOGLETRANSLATE(A22822, ""en"", ""mt"")"),"Għaliex iċ-Ċiniżi tat-Tramuntana ġew ikklassifikati ogħla?")</f>
        <v>Għaliex iċ-Ċiniżi tat-Tramuntana ġew ikklassifikati ogħla?</v>
      </c>
    </row>
    <row r="22823" ht="15.75" customHeight="1">
      <c r="A22823" s="2" t="s">
        <v>22823</v>
      </c>
      <c r="B22823" s="2" t="str">
        <f>IFERROR(__xludf.DUMMYFUNCTION("GOOGLETRANSLATE(A22823, ""en"", ""mt"")"),"1082")</f>
        <v>1082</v>
      </c>
    </row>
    <row r="22824" ht="15.75" customHeight="1">
      <c r="A22824" s="2" t="s">
        <v>22824</v>
      </c>
      <c r="B22824" s="2" t="str">
        <f>IFERROR(__xludf.DUMMYFUNCTION("GOOGLETRANSLATE(A22824, ""en"", ""mt"")"),"Lhudi")</f>
        <v>Lhudi</v>
      </c>
    </row>
    <row r="22825" ht="15.75" customHeight="1">
      <c r="A22825" s="2" t="s">
        <v>22825</v>
      </c>
      <c r="B22825" s="2" t="str">
        <f>IFERROR(__xludf.DUMMYFUNCTION("GOOGLETRANSLATE(A22825, ""en"", ""mt"")"),"awtomatikament devolut")</f>
        <v>awtomatikament devolut</v>
      </c>
    </row>
    <row r="22826" ht="15.75" customHeight="1">
      <c r="A22826" s="2" t="s">
        <v>22826</v>
      </c>
      <c r="B22826" s="2" t="str">
        <f>IFERROR(__xludf.DUMMYFUNCTION("GOOGLETRANSLATE(A22826, ""en"", ""mt"")"),"74,000 (bp")</f>
        <v>74,000 (bp</v>
      </c>
    </row>
    <row r="22827" ht="15.75" customHeight="1">
      <c r="A22827" s="2" t="s">
        <v>22827</v>
      </c>
      <c r="B22827" s="2" t="str">
        <f>IFERROR(__xludf.DUMMYFUNCTION("GOOGLETRANSLATE(A22827, ""en"", ""mt"")"),"Ma żżewweġ lil Berengaria ta 'Navarra?")</f>
        <v>Ma żżewweġ lil Berengaria ta 'Navarra?</v>
      </c>
    </row>
    <row r="22828" ht="15.75" customHeight="1">
      <c r="A22828" s="2" t="s">
        <v>22828</v>
      </c>
      <c r="B22828" s="2" t="str">
        <f>IFERROR(__xludf.DUMMYFUNCTION("GOOGLETRANSLATE(A22828, ""en"", ""mt"")"),"Donald F. Turner")</f>
        <v>Donald F. Turner</v>
      </c>
    </row>
    <row r="22829" ht="15.75" customHeight="1">
      <c r="A22829" s="2" t="s">
        <v>22829</v>
      </c>
      <c r="B22829" s="2" t="str">
        <f>IFERROR(__xludf.DUMMYFUNCTION("GOOGLETRANSLATE(A22829, ""en"", ""mt"")"),"10% u 18%")</f>
        <v>10% u 18%</v>
      </c>
    </row>
    <row r="22830" ht="15.75" customHeight="1">
      <c r="A22830" s="2" t="s">
        <v>22830</v>
      </c>
      <c r="B22830" s="2" t="str">
        <f>IFERROR(__xludf.DUMMYFUNCTION("GOOGLETRANSLATE(A22830, ""en"", ""mt"")"),"Pressjoni osmotika")</f>
        <v>Pressjoni osmotika</v>
      </c>
    </row>
    <row r="22831" ht="15.75" customHeight="1">
      <c r="A22831" s="2" t="s">
        <v>22831</v>
      </c>
      <c r="B22831" s="2" t="str">
        <f>IFERROR(__xludf.DUMMYFUNCTION("GOOGLETRANSLATE(A22831, ""en"", ""mt"")"),"ostaklu naturali")</f>
        <v>ostaklu naturali</v>
      </c>
    </row>
    <row r="22832" ht="15.75" customHeight="1">
      <c r="A22832" s="2" t="s">
        <v>22832</v>
      </c>
      <c r="B22832" s="2" t="str">
        <f>IFERROR(__xludf.DUMMYFUNCTION("GOOGLETRANSLATE(A22832, ""en"", ""mt"")"),"Van gend en loos v Nederlandse Administratie der Belastingen")</f>
        <v>Van gend en loos v Nederlandse Administratie der Belastingen</v>
      </c>
    </row>
    <row r="22833" ht="15.75" customHeight="1">
      <c r="A22833" s="2" t="s">
        <v>22833</v>
      </c>
      <c r="B22833" s="2" t="str">
        <f>IFERROR(__xludf.DUMMYFUNCTION("GOOGLETRANSLATE(A22833, ""en"", ""mt"")"),"Seklu 20")</f>
        <v>Seklu 20</v>
      </c>
    </row>
    <row r="22834" ht="15.75" customHeight="1">
      <c r="A22834" s="2" t="s">
        <v>22834</v>
      </c>
      <c r="B22834" s="2" t="str">
        <f>IFERROR(__xludf.DUMMYFUNCTION("GOOGLETRANSLATE(A22834, ""en"", ""mt"")"),"Ix-Xmara Isfar")</f>
        <v>Ix-Xmara Isfar</v>
      </c>
    </row>
    <row r="22835" ht="15.75" customHeight="1">
      <c r="A22835" s="2" t="s">
        <v>22835</v>
      </c>
      <c r="B22835" s="2" t="str">
        <f>IFERROR(__xludf.DUMMYFUNCTION("GOOGLETRANSLATE(A22835, ""en"", ""mt"")"),"Fi strutturi kumplessi ramifikati, lineari, jew kumplessi oħra")</f>
        <v>Fi strutturi kumplessi ramifikati, lineari, jew kumplessi oħra</v>
      </c>
    </row>
    <row r="22836" ht="15.75" customHeight="1">
      <c r="A22836" s="2" t="s">
        <v>22836</v>
      </c>
      <c r="B22836" s="2" t="str">
        <f>IFERROR(__xludf.DUMMYFUNCTION("GOOGLETRANSLATE(A22836, ""en"", ""mt"")"),"X'inhu l-isem tal-propjetà li tinnomina numru bħala prim jew le?")</f>
        <v>X'inhu l-isem tal-propjetà li tinnomina numru bħala prim jew le?</v>
      </c>
    </row>
    <row r="22837" ht="15.75" customHeight="1">
      <c r="A22837" s="2" t="s">
        <v>22837</v>
      </c>
      <c r="B22837" s="2" t="str">
        <f>IFERROR(__xludf.DUMMYFUNCTION("GOOGLETRANSLATE(A22837, ""en"", ""mt"")"),"magħluq")</f>
        <v>magħluq</v>
      </c>
    </row>
    <row r="22838" ht="15.75" customHeight="1">
      <c r="A22838" s="2" t="s">
        <v>22838</v>
      </c>
      <c r="B22838" s="2" t="str">
        <f>IFERROR(__xludf.DUMMYFUNCTION("GOOGLETRANSLATE(A22838, ""en"", ""mt"")"),"Dħul għall-Istandard Wieħed")</f>
        <v>Dħul għall-Istandard Wieħed</v>
      </c>
    </row>
    <row r="22839" ht="15.75" customHeight="1">
      <c r="A22839" s="2" t="s">
        <v>22839</v>
      </c>
      <c r="B22839" s="2" t="str">
        <f>IFERROR(__xludf.DUMMYFUNCTION("GOOGLETRANSLATE(A22839, ""en"", ""mt"")"),"Fejn bil-massa huwa l-ossiġnu parti ewlenija?")</f>
        <v>Fejn bil-massa huwa l-ossiġnu parti ewlenija?</v>
      </c>
    </row>
    <row r="22840" ht="15.75" customHeight="1">
      <c r="A22840" s="2" t="s">
        <v>22840</v>
      </c>
      <c r="B22840" s="2" t="str">
        <f>IFERROR(__xludf.DUMMYFUNCTION("GOOGLETRANSLATE(A22840, ""en"", ""mt"")"),"L-erba 'skedi ta' żmien li ġejjin juru l-iskala tal-ħin ġeoloġiku. L-ewwel juri l-ħin kollu mill-formazzjoni tad-dinja sal-preżent, iżda dan jikkompressa l-iktar eon riċenti. Għalhekk, it-tieni skala turi l-aktar EON riċenti bi skala estiża. It-tieni skal"&amp;"a tikkompressa l-iktar era riċenti, u għalhekk l-iktar era riċenti hija estiża fit-tielet skala. Peress li l-kwaternarju huwa perjodu qasir ħafna b'epoki qosra, dan jitwessa 'aktar fir-raba' skala. It-tieni, it-tielet, u r-raba 'skedi ta' żmien huma għalh"&amp;"ekk kull subartikolu tal-iskeda ta 'żmien preċedenti kif indikat mill-asteriski. L-Oloken (l-aħħar epoka) huwa żgħir wisq biex jintwera b'mod ċar fuq it-tielet skeda ta 'żmien fuq il-lemin, raġuni oħra għall-espansjoni tar-raba' skala. L-epoka tal-Pleisto"&amp;"cene (P). Q tfisser il-perjodu kwaternarju.")</f>
        <v>L-erba 'skedi ta' żmien li ġejjin juru l-iskala tal-ħin ġeoloġiku. L-ewwel juri l-ħin kollu mill-formazzjoni tad-dinja sal-preżent, iżda dan jikkompressa l-iktar eon riċenti. Għalhekk, it-tieni skala turi l-aktar EON riċenti bi skala estiża. It-tieni skala tikkompressa l-iktar era riċenti, u għalhekk l-iktar era riċenti hija estiża fit-tielet skala. Peress li l-kwaternarju huwa perjodu qasir ħafna b'epoki qosra, dan jitwessa 'aktar fir-raba' skala. It-tieni, it-tielet, u r-raba 'skedi ta' żmien huma għalhekk kull subartikolu tal-iskeda ta 'żmien preċedenti kif indikat mill-asteriski. L-Oloken (l-aħħar epoka) huwa żgħir wisq biex jintwera b'mod ċar fuq it-tielet skeda ta 'żmien fuq il-lemin, raġuni oħra għall-espansjoni tar-raba' skala. L-epoka tal-Pleistocene (P). Q tfisser il-perjodu kwaternarju.</v>
      </c>
    </row>
    <row r="22841" ht="15.75" customHeight="1">
      <c r="A22841" s="2" t="s">
        <v>22841</v>
      </c>
      <c r="B22841" s="2" t="str">
        <f>IFERROR(__xludf.DUMMYFUNCTION("GOOGLETRANSLATE(A22841, ""en"", ""mt"")"),"Fil-forma tripletta, o
2 molekuli huma paramagnetiċi. Jiġifieri, jagħtu karattru manjetiku lill-ossiġnu meta jkun fil-preżenza ta 'kamp manjetiku, minħabba l-mumenti manjetiċi spin ta' l-elettroni mhux imqabbla fil-molekula, u l-enerġija negattiva tal-isk"&amp;"ambju bejn l-O ġirien
2 molekuli. L-ossiġnu likwidu huwa attirat minn kalamita sa ċertu punt li, f'dimostrazzjonijiet tal-laboratorju, pont ta 'ossiġnu likwidu jista' jkun sostnut kontra l-piż tiegħu stess bejn l-arbli ta 'kalamita qawwija. [C]")</f>
        <v>Fil-forma tripletta, o
2 molekuli huma paramagnetiċi. Jiġifieri, jagħtu karattru manjetiku lill-ossiġnu meta jkun fil-preżenza ta 'kamp manjetiku, minħabba l-mumenti manjetiċi spin ta' l-elettroni mhux imqabbla fil-molekula, u l-enerġija negattiva tal-iskambju bejn l-O ġirien
2 molekuli. L-ossiġnu likwidu huwa attirat minn kalamita sa ċertu punt li, f'dimostrazzjonijiet tal-laboratorju, pont ta 'ossiġnu likwidu jista' jkun sostnut kontra l-piż tiegħu stess bejn l-arbli ta 'kalamita qawwija. [C]</v>
      </c>
    </row>
    <row r="22842" ht="15.75" customHeight="1">
      <c r="A22842" s="2" t="s">
        <v>22842</v>
      </c>
      <c r="B22842" s="2" t="str">
        <f>IFERROR(__xludf.DUMMYFUNCTION("GOOGLETRANSLATE(A22842, ""en"", ""mt"")"),"Status ta 'osservatur")</f>
        <v>Status ta 'osservatur</v>
      </c>
    </row>
    <row r="22843" ht="15.75" customHeight="1">
      <c r="A22843" s="2" t="s">
        <v>22843</v>
      </c>
      <c r="B22843" s="2" t="str">
        <f>IFERROR(__xludf.DUMMYFUNCTION("GOOGLETRANSLATE(A22843, ""en"", ""mt"")"),"X'tip ta 'dawl mhuwiex adegwat għall-kloroplasti biex jinqasmu?")</f>
        <v>X'tip ta 'dawl mhuwiex adegwat għall-kloroplasti biex jinqasmu?</v>
      </c>
    </row>
    <row r="22844" ht="15.75" customHeight="1">
      <c r="A22844" s="2" t="s">
        <v>22844</v>
      </c>
      <c r="B22844" s="2" t="str">
        <f>IFERROR(__xludf.DUMMYFUNCTION("GOOGLETRANSLATE(A22844, ""en"", ""mt"")"),"Liema Papa fittex li jdgħajjef it-teoriji ta 'Luther?")</f>
        <v>Liema Papa fittex li jdgħajjef it-teoriji ta 'Luther?</v>
      </c>
    </row>
    <row r="22845" ht="15.75" customHeight="1">
      <c r="A22845" s="2" t="s">
        <v>22845</v>
      </c>
      <c r="B22845" s="2" t="str">
        <f>IFERROR(__xludf.DUMMYFUNCTION("GOOGLETRANSLATE(A22845, ""en"", ""mt"")"),"L-ekonomija tar-Rabat hija diversifikata ħafna: setturi tas-servizzi li jinkludu servizzi finanzjarji u tal-propjetà, saħħa, edukazzjoni, bejgħ bl-ingrossa, bejgħ bl-imnut, ospitalità u manifattura jikkostitwixxu l-maġġoranza tal-impjiegi. Il-prodott tota"&amp;"li ta 'l-istat gross ta' Victoria (GSP) huwa kklassifikat it-tieni fl-Awstralja, għalkemm ir-Rabat hija kklassifikata r-raba 'f'termini ta' GSP per capita minħabba l-attività limitata tagħha tal-minjieri. Kulturalment, Melbourne hija dar għal numru ta 'mu"&amp;"żewijiet, galleriji tal-arti u teatri u hija deskritta wkoll bħala l- ""kapitali sportiva tal-Awstralja"". Il-Melbourne Cricket Ground huwa l-akbar grawnd fl-Awstralja, u l-ospitanti tal-Olimpjadi tas-Sajf tal-1956 u l-Logħob tal-Commonwealth tal-2006. L-"&amp;"art hija meqjusa wkoll bħala d- ""dar spiritwali"" tal-cricket Awstraljan u r-regoli Awstraljani tal-futbol, ​​u tospita l-finali tal-Lega tal-Futbol Awstraljan (AFL) kull sena, ġeneralment tiġbed folol ta 'aktar minn 95,000 persuna. Ir-Rabat tinkludi tmi"&amp;"en universitajiet pubbliċi, bl-eqdem, l-Università ta ’Melbourne, wara li twaqqfet fl-1853.")</f>
        <v>L-ekonomija tar-Rabat hija diversifikata ħafna: setturi tas-servizzi li jinkludu servizzi finanzjarji u tal-propjetà, saħħa, edukazzjoni, bejgħ bl-ingrossa, bejgħ bl-imnut, ospitalità u manifattura jikkostitwixxu l-maġġoranza tal-impjiegi. Il-prodott totali ta 'l-istat gross ta' Victoria (GSP) huwa kklassifikat it-tieni fl-Awstralja, għalkemm ir-Rabat hija kklassifikata r-raba 'f'termini ta' GSP per capita minħabba l-attività limitata tagħha tal-minjieri. Kulturalment, Melbourne hija dar għal numru ta 'mużewijiet, galleriji tal-arti u teatri u hija deskritta wkoll bħala l- "kapitali sportiva tal-Awstralja". Il-Melbourne Cricket Ground huwa l-akbar grawnd fl-Awstralja, u l-ospitanti tal-Olimpjadi tas-Sajf tal-1956 u l-Logħob tal-Commonwealth tal-2006. L-art hija meqjusa wkoll bħala d- "dar spiritwali" tal-cricket Awstraljan u r-regoli Awstraljani tal-futbol, ​​u tospita l-finali tal-Lega tal-Futbol Awstraljan (AFL) kull sena, ġeneralment tiġbed folol ta 'aktar minn 95,000 persuna. Ir-Rabat tinkludi tmien universitajiet pubbliċi, bl-eqdem, l-Università ta ’Melbourne, wara li twaqqfet fl-1853.</v>
      </c>
    </row>
    <row r="22846" ht="15.75" customHeight="1">
      <c r="A22846" s="2" t="s">
        <v>22846</v>
      </c>
      <c r="B22846" s="2" t="str">
        <f>IFERROR(__xludf.DUMMYFUNCTION("GOOGLETRANSLATE(A22846, ""en"", ""mt"")"),"Libertarju")</f>
        <v>Libertarju</v>
      </c>
    </row>
    <row r="22847" ht="15.75" customHeight="1">
      <c r="A22847" s="2" t="s">
        <v>22847</v>
      </c>
      <c r="B22847" s="2" t="str">
        <f>IFERROR(__xludf.DUMMYFUNCTION("GOOGLETRANSLATE(A22847, ""en"", ""mt"")"),"Legrande")</f>
        <v>Legrande</v>
      </c>
    </row>
    <row r="22848" ht="15.75" customHeight="1">
      <c r="A22848" s="2" t="s">
        <v>22848</v>
      </c>
      <c r="B22848" s="2" t="str">
        <f>IFERROR(__xludf.DUMMYFUNCTION("GOOGLETRANSLATE(A22848, ""en"", ""mt"")"),"Eukaryote mhux fotosintetiku ħakem alka li fiha l-kloroplast iżda naqset milli tiddiġerixxiha")</f>
        <v>Eukaryote mhux fotosintetiku ħakem alka li fiha l-kloroplast iżda naqset milli tiddiġerixxiha</v>
      </c>
    </row>
    <row r="22849" ht="15.75" customHeight="1">
      <c r="A22849" s="2" t="s">
        <v>22849</v>
      </c>
      <c r="B22849" s="2" t="str">
        <f>IFERROR(__xludf.DUMMYFUNCTION("GOOGLETRANSLATE(A22849, ""en"", ""mt"")"),"Kif jissejjaħ il-famuż blat li r-Rhine joħroġ?")</f>
        <v>Kif jissejjaħ il-famuż blat li r-Rhine joħroġ?</v>
      </c>
    </row>
    <row r="22850" ht="15.75" customHeight="1">
      <c r="A22850" s="2" t="s">
        <v>22850</v>
      </c>
      <c r="B22850" s="2" t="str">
        <f>IFERROR(__xludf.DUMMYFUNCTION("GOOGLETRANSLATE(A22850, ""en"", ""mt"")"),"Meta bdiet il-kriżi taż-żejt tal-1973?")</f>
        <v>Meta bdiet il-kriżi taż-żejt tal-1973?</v>
      </c>
    </row>
    <row r="22851" ht="15.75" customHeight="1">
      <c r="A22851" s="2" t="s">
        <v>22851</v>
      </c>
      <c r="B22851" s="2" t="str">
        <f>IFERROR(__xludf.DUMMYFUNCTION("GOOGLETRANSLATE(A22851, ""en"", ""mt"")"),"Liema knisja tinsab fil-kantuniera tar-4 u toroq ġodda f'Piladelfja?")</f>
        <v>Liema knisja tinsab fil-kantuniera tar-4 u toroq ġodda f'Piladelfja?</v>
      </c>
    </row>
    <row r="22852" ht="15.75" customHeight="1">
      <c r="A22852" s="2" t="s">
        <v>22852</v>
      </c>
      <c r="B22852" s="2" t="str">
        <f>IFERROR(__xludf.DUMMYFUNCTION("GOOGLETRANSLATE(A22852, ""en"", ""mt"")"),"X'inhu eżempju komuni ta 'miżura ta' kumplessità kritika?")</f>
        <v>X'inhu eżempju komuni ta 'miżura ta' kumplessità kritika?</v>
      </c>
    </row>
    <row r="22853" ht="15.75" customHeight="1">
      <c r="A22853" s="2" t="s">
        <v>22853</v>
      </c>
      <c r="B22853" s="2" t="str">
        <f>IFERROR(__xludf.DUMMYFUNCTION("GOOGLETRANSLATE(A22853, ""en"", ""mt"")"),"4")</f>
        <v>4</v>
      </c>
    </row>
    <row r="22854" ht="15.75" customHeight="1">
      <c r="A22854" s="2" t="s">
        <v>22854</v>
      </c>
      <c r="B22854" s="2" t="str">
        <f>IFERROR(__xludf.DUMMYFUNCTION("GOOGLETRANSLATE(A22854, ""en"", ""mt"")"),"Università ta 'Riċerka Privata")</f>
        <v>Università ta 'Riċerka Privata</v>
      </c>
    </row>
    <row r="22855" ht="15.75" customHeight="1">
      <c r="A22855" s="2" t="s">
        <v>22855</v>
      </c>
      <c r="B22855" s="2" t="str">
        <f>IFERROR(__xludf.DUMMYFUNCTION("GOOGLETRANSLATE(A22855, ""en"", ""mt"")"),"1961")</f>
        <v>1961</v>
      </c>
    </row>
    <row r="22856" ht="15.75" customHeight="1">
      <c r="A22856" s="2" t="s">
        <v>22856</v>
      </c>
      <c r="B22856" s="2" t="str">
        <f>IFERROR(__xludf.DUMMYFUNCTION("GOOGLETRANSLATE(A22856, ""en"", ""mt"")"),"X'inhuma r-riżervi ta 'Harvard Pell Grant?")</f>
        <v>X'inhuma r-riżervi ta 'Harvard Pell Grant?</v>
      </c>
    </row>
    <row r="22857" ht="15.75" customHeight="1">
      <c r="A22857" s="2" t="s">
        <v>22857</v>
      </c>
      <c r="B22857" s="2" t="str">
        <f>IFERROR(__xludf.DUMMYFUNCTION("GOOGLETRANSLATE(A22857, ""en"", ""mt"")"),"Liema Voyager qal li Mombasa kienet port kbir u snajja żgħar u vapuri kbar?")</f>
        <v>Liema Voyager qal li Mombasa kienet port kbir u snajja żgħar u vapuri kbar?</v>
      </c>
    </row>
    <row r="22858" ht="15.75" customHeight="1">
      <c r="A22858" s="2" t="s">
        <v>22858</v>
      </c>
      <c r="B22858" s="2" t="str">
        <f>IFERROR(__xludf.DUMMYFUNCTION("GOOGLETRANSLATE(A22858, ""en"", ""mt"")"),"logħob tal-ażżard")</f>
        <v>logħob tal-ażżard</v>
      </c>
    </row>
    <row r="22859" ht="15.75" customHeight="1">
      <c r="A22859" s="2" t="s">
        <v>22859</v>
      </c>
      <c r="B22859" s="2" t="str">
        <f>IFERROR(__xludf.DUMMYFUNCTION("GOOGLETRANSLATE(A22859, ""en"", ""mt"")"),"Liema sena ġie ffirmat it-Trattat Maastricht?")</f>
        <v>Liema sena ġie ffirmat it-Trattat Maastricht?</v>
      </c>
    </row>
    <row r="22860" ht="15.75" customHeight="1">
      <c r="A22860" s="2" t="s">
        <v>22860</v>
      </c>
      <c r="B22860" s="2" t="str">
        <f>IFERROR(__xludf.DUMMYFUNCTION("GOOGLETRANSLATE(A22860, ""en"", ""mt"")"),"Biex tħares kontra gruppi armati")</f>
        <v>Biex tħares kontra gruppi armati</v>
      </c>
    </row>
    <row r="22861" ht="15.75" customHeight="1">
      <c r="A22861" s="2" t="s">
        <v>22861</v>
      </c>
      <c r="B22861" s="2" t="str">
        <f>IFERROR(__xludf.DUMMYFUNCTION("GOOGLETRANSLATE(A22861, ""en"", ""mt"")"),"Min wera l-bajda ta 'Columbus?")</f>
        <v>Min wera l-bajda ta 'Columbus?</v>
      </c>
    </row>
    <row r="22862" ht="15.75" customHeight="1">
      <c r="A22862" s="2" t="s">
        <v>22862</v>
      </c>
      <c r="B22862" s="2" t="str">
        <f>IFERROR(__xludf.DUMMYFUNCTION("GOOGLETRANSLATE(A22862, ""en"", ""mt"")"),"Strettament min kien inkluż fid-DataNet 1")</f>
        <v>Strettament min kien inkluż fid-DataNet 1</v>
      </c>
    </row>
    <row r="22863" ht="15.75" customHeight="1">
      <c r="A22863" s="2" t="s">
        <v>22863</v>
      </c>
      <c r="B22863" s="2" t="str">
        <f>IFERROR(__xludf.DUMMYFUNCTION("GOOGLETRANSLATE(A22863, ""en"", ""mt"")"),"Matt Smith")</f>
        <v>Matt Smith</v>
      </c>
    </row>
    <row r="22864" ht="15.75" customHeight="1">
      <c r="A22864" s="2" t="s">
        <v>22864</v>
      </c>
      <c r="B22864" s="2" t="str">
        <f>IFERROR(__xludf.DUMMYFUNCTION("GOOGLETRANSLATE(A22864, ""en"", ""mt"")"),"1390")</f>
        <v>1390</v>
      </c>
    </row>
    <row r="22865" ht="15.75" customHeight="1">
      <c r="A22865" s="2" t="s">
        <v>22865</v>
      </c>
      <c r="B22865" s="2" t="str">
        <f>IFERROR(__xludf.DUMMYFUNCTION("GOOGLETRANSLATE(A22865, ""en"", ""mt"")"),"Kunsill Ġenerali tat-Tagħlim għall-Iskozja")</f>
        <v>Kunsill Ġenerali tat-Tagħlim għall-Iskozja</v>
      </c>
    </row>
    <row r="22866" ht="15.75" customHeight="1">
      <c r="A22866" s="2" t="s">
        <v>22866</v>
      </c>
      <c r="B22866" s="2" t="str">
        <f>IFERROR(__xludf.DUMMYFUNCTION("GOOGLETRANSLATE(A22866, ""en"", ""mt"")"),"tifqigħat tad-deni isfar")</f>
        <v>tifqigħat tad-deni isfar</v>
      </c>
    </row>
    <row r="22867" ht="15.75" customHeight="1">
      <c r="A22867" s="2" t="s">
        <v>22867</v>
      </c>
      <c r="B22867" s="2" t="str">
        <f>IFERROR(__xludf.DUMMYFUNCTION("GOOGLETRANSLATE(A22867, ""en"", ""mt"")"),"Liema kwistjonijiet jistgħu jipprevjenu lin-nisa milli jaħdmu barra d-dar jew jirċievu edukazzjoni?")</f>
        <v>Liema kwistjonijiet jistgħu jipprevjenu lin-nisa milli jaħdmu barra d-dar jew jirċievu edukazzjoni?</v>
      </c>
    </row>
    <row r="22868" ht="15.75" customHeight="1">
      <c r="A22868" s="2" t="s">
        <v>22868</v>
      </c>
      <c r="B22868" s="2" t="str">
        <f>IFERROR(__xludf.DUMMYFUNCTION("GOOGLETRANSLATE(A22868, ""en"", ""mt"")"),"Is-Sindku W. Haydon Burns '")</f>
        <v>Is-Sindku W. Haydon Burns '</v>
      </c>
    </row>
    <row r="22869" ht="15.75" customHeight="1">
      <c r="A22869" s="2" t="s">
        <v>22869</v>
      </c>
      <c r="B22869" s="2" t="str">
        <f>IFERROR(__xludf.DUMMYFUNCTION("GOOGLETRANSLATE(A22869, ""en"", ""mt"")"),"X'għandhom il-kloroplasti ħodor minflok il-phycobilisomes?")</f>
        <v>X'għandhom il-kloroplasti ħodor minflok il-phycobilisomes?</v>
      </c>
    </row>
    <row r="22870" ht="15.75" customHeight="1">
      <c r="A22870" s="2" t="s">
        <v>22870</v>
      </c>
      <c r="B22870" s="2" t="str">
        <f>IFERROR(__xludf.DUMMYFUNCTION("GOOGLETRANSLATE(A22870, ""en"", ""mt"")"),"Il-membri tal-ġeneru Dinophysis għandhom kloroplast li fih il-phycobilin meħud minn kriptofita. Madankollu, il-kriptofita mhix endosymbiont - biss il-kloroplast jidher li ttieħed, u l-kloroplast ġie mneħħi min-nukleomorf tiegħu u l-iktar 'il bogħod żewġ m"&amp;"embrani, u jħalli biss kloroplast b'żewġ membrani. Il-kloroplasti tal-kriptofiti jirrikjedu li n-nukleomorf tagħhom iżommu lilhom infushom, u l-ispeċijiet tad-dinofisi mkabbra fil-kultura taċ-ċelluli biss ma jistgħux jibqgħu ħajjin, u għalhekk huwa possib"&amp;"bli (iżda mhux ikkonfermat) li l-kloroplast tad-dinofisi huwa kleptoplast - jekk hekk, il-kloroplasti tad-dinofisi jilbsu u l-ispeċijiet tad-dinofisi għandhom jinħadmu kontinwament. Kriptofiti biex jiksbu kloroplasti ġodda biex jissostitwixxu dawk qodma.")</f>
        <v>Il-membri tal-ġeneru Dinophysis għandhom kloroplast li fih il-phycobilin meħud minn kriptofita. Madankollu, il-kriptofita mhix endosymbiont - biss il-kloroplast jidher li ttieħed, u l-kloroplast ġie mneħħi min-nukleomorf tiegħu u l-iktar 'il bogħod żewġ membrani, u jħalli biss kloroplast b'żewġ membrani. Il-kloroplasti tal-kriptofiti jirrikjedu li n-nukleomorf tagħhom iżommu lilhom infushom, u l-ispeċijiet tad-dinofisi mkabbra fil-kultura taċ-ċelluli biss ma jistgħux jibqgħu ħajjin, u għalhekk huwa possibbli (iżda mhux ikkonfermat) li l-kloroplast tad-dinofisi huwa kleptoplast - jekk hekk, il-kloroplasti tad-dinofisi jilbsu u l-ispeċijiet tad-dinofisi għandhom jinħadmu kontinwament. Kriptofiti biex jiksbu kloroplasti ġodda biex jissostitwixxu dawk qodma.</v>
      </c>
    </row>
    <row r="22871" ht="15.75" customHeight="1">
      <c r="A22871" s="2" t="s">
        <v>22871</v>
      </c>
      <c r="B22871" s="2" t="str">
        <f>IFERROR(__xludf.DUMMYFUNCTION("GOOGLETRANSLATE(A22871, ""en"", ""mt"")"),"L-imperi Asante u Lunda kienu f'liema reġjun?")</f>
        <v>L-imperi Asante u Lunda kienu f'liema reġjun?</v>
      </c>
    </row>
    <row r="22872" ht="15.75" customHeight="1">
      <c r="A22872" s="2" t="s">
        <v>22872</v>
      </c>
      <c r="B22872" s="2" t="str">
        <f>IFERROR(__xludf.DUMMYFUNCTION("GOOGLETRANSLATE(A22872, ""en"", ""mt"")"),"Daniel Burke telaq minn Capital Cities / ABC fi Frar 1994, bi Thomas Murphy jieħu postu bħala president qabel ma ċeda l-kontroll lil Robert Iger. Settembru 1994 ra d-debutt ta 'NYPD Blue, pulizija mrammla proċedurali minn Steven Bochco (li ħoloq Doogie Ho"&amp;"wser, M.D. u l-cop rock pilloried b'mod kritiku għal ABC aktar kmieni fid-deċennju); Dawk għaxar staġuni, id-drama saret magħrufa għall-imbuttar tal-konfini tal-istandards tat-televiżjoni tan-netwerk (partikolarment l-użu okkażjonali tagħha ta 'lingwa gra"&amp;"fika u nudiżmu ta' wara), li wasslet lil xi affiljati biex inizjalment jirrifjutaw li jxandru l-ispettaklu fl-ewwel staġun tiegħu.")</f>
        <v>Daniel Burke telaq minn Capital Cities / ABC fi Frar 1994, bi Thomas Murphy jieħu postu bħala president qabel ma ċeda l-kontroll lil Robert Iger. Settembru 1994 ra d-debutt ta 'NYPD Blue, pulizija mrammla proċedurali minn Steven Bochco (li ħoloq Doogie Howser, M.D. u l-cop rock pilloried b'mod kritiku għal ABC aktar kmieni fid-deċennju); Dawk għaxar staġuni, id-drama saret magħrufa għall-imbuttar tal-konfini tal-istandards tat-televiżjoni tan-netwerk (partikolarment l-użu okkażjonali tagħha ta 'lingwa grafika u nudiżmu ta' wara), li wasslet lil xi affiljati biex inizjalment jirrifjutaw li jxandru l-ispettaklu fl-ewwel staġun tiegħu.</v>
      </c>
    </row>
    <row r="22873" ht="15.75" customHeight="1">
      <c r="A22873" s="2" t="s">
        <v>22873</v>
      </c>
      <c r="B22873" s="2" t="str">
        <f>IFERROR(__xludf.DUMMYFUNCTION("GOOGLETRANSLATE(A22873, ""en"", ""mt"")"),"Kemm awturi ewlenin għandu kapitolu ta 'rapport tal-IPCC?")</f>
        <v>Kemm awturi ewlenin għandu kapitolu ta 'rapport tal-IPCC?</v>
      </c>
    </row>
    <row r="22874" ht="15.75" customHeight="1">
      <c r="A22874" s="2" t="s">
        <v>22874</v>
      </c>
      <c r="B22874" s="2" t="str">
        <f>IFERROR(__xludf.DUMMYFUNCTION("GOOGLETRANSLATE(A22874, ""en"", ""mt"")"),"Min sab li l-Protestanti vvutaw għan-Nazi aktar mill-Kattoliċi?")</f>
        <v>Min sab li l-Protestanti vvutaw għan-Nazi aktar mill-Kattoliċi?</v>
      </c>
    </row>
    <row r="22875" ht="15.75" customHeight="1">
      <c r="A22875" s="2" t="s">
        <v>22875</v>
      </c>
      <c r="B22875" s="2" t="str">
        <f>IFERROR(__xludf.DUMMYFUNCTION("GOOGLETRANSLATE(A22875, ""en"", ""mt"")"),"Wara l-fondazzjoni tal-kolonja ta ’New South Wales fl-1788, l-Awstralja kienet maqsuma f’nofs tal-Lvant bl-isem ta’ New South Wales u nofs tal-Punent bl-isem ta ’New Holland, taħt l-amministrazzjoni tal-gvern kolonjali f’Sydney. L-ewwel soluzzjoni Ewropea"&amp;" fiż-żona aktar tard magħrufa bħala Victoria ġiet stabbilita f'Ottubru 1803 taħt il-Logutenent-Gvernatur David Collins fil-Bajja ta 'Sullivan fuq Port Phillip. Kien jikkonsisti minn 402 persuna (5 uffiċjali tal-gvern, 9 uffiċjali tal-Baħar, 2 drummers, u "&amp;"39 privat, 5 nisa tas-suldati, u tifel, 307 ikkundannati, 17-il mara tal-ħatja, u 7 itfal). Huma ntbagħtu mill-Ingilterra fl-HMS Calcutta taħt il-kmand tal-Kaptan Daniel Woodriff, prinċipalment minħabba l-biża 'li l-Franċiżi, li kienu qed jesploraw iż-żon"&amp;"a, jistgħu jistabbilixxu l-ftehim tagħhom stess u b'hekk jisfidaw id-drittijiet Ingliżi għall-kontinent.")</f>
        <v>Wara l-fondazzjoni tal-kolonja ta ’New South Wales fl-1788, l-Awstralja kienet maqsuma f’nofs tal-Lvant bl-isem ta’ New South Wales u nofs tal-Punent bl-isem ta ’New Holland, taħt l-amministrazzjoni tal-gvern kolonjali f’Sydney. L-ewwel soluzzjoni Ewropea fiż-żona aktar tard magħrufa bħala Victoria ġiet stabbilita f'Ottubru 1803 taħt il-Logutenent-Gvernatur David Collins fil-Bajja ta 'Sullivan fuq Port Phillip. Kien jikkonsisti minn 402 persuna (5 uffiċjali tal-gvern, 9 uffiċjali tal-Baħar, 2 drummers, u 39 privat, 5 nisa tas-suldati, u tifel, 307 ikkundannati, 17-il mara tal-ħatja, u 7 itfal). Huma ntbagħtu mill-Ingilterra fl-HMS Calcutta taħt il-kmand tal-Kaptan Daniel Woodriff, prinċipalment minħabba l-biża 'li l-Franċiżi, li kienu qed jesploraw iż-żona, jistgħu jistabbilixxu l-ftehim tagħhom stess u b'hekk jisfidaw id-drittijiet Ingliżi għall-kontinent.</v>
      </c>
    </row>
    <row r="22876" ht="15.75" customHeight="1">
      <c r="A22876" s="2" t="s">
        <v>22876</v>
      </c>
      <c r="B22876" s="2" t="str">
        <f>IFERROR(__xludf.DUMMYFUNCTION("GOOGLETRANSLATE(A22876, ""en"", ""mt"")"),"riċevitur")</f>
        <v>riċevitur</v>
      </c>
    </row>
    <row r="22877" ht="15.75" customHeight="1">
      <c r="A22877" s="2" t="s">
        <v>22877</v>
      </c>
      <c r="B22877" s="2" t="str">
        <f>IFERROR(__xludf.DUMMYFUNCTION("GOOGLETRANSLATE(A22877, ""en"", ""mt"")"),"Kemm iddum din il-koalizzjoni?")</f>
        <v>Kemm iddum din il-koalizzjoni?</v>
      </c>
    </row>
    <row r="22878" ht="15.75" customHeight="1">
      <c r="A22878" s="2" t="s">
        <v>22878</v>
      </c>
      <c r="B22878" s="2" t="str">
        <f>IFERROR(__xludf.DUMMYFUNCTION("GOOGLETRANSLATE(A22878, ""en"", ""mt"")"),"""Logħba kbira tan-Negozji ż-Żgħar""")</f>
        <v>"Logħba kbira tan-Negozji ż-Żgħar"</v>
      </c>
    </row>
    <row r="22879" ht="15.75" customHeight="1">
      <c r="A22879" s="2" t="s">
        <v>22879</v>
      </c>
      <c r="B22879" s="2" t="str">
        <f>IFERROR(__xludf.DUMMYFUNCTION("GOOGLETRANSLATE(A22879, ""en"", ""mt"")"),"Kif huma ġeneralment iffurmati kloroplasti fil-pjanti tal-art?")</f>
        <v>Kif huma ġeneralment iffurmati kloroplasti fil-pjanti tal-art?</v>
      </c>
    </row>
    <row r="22880" ht="15.75" customHeight="1">
      <c r="A22880" s="2" t="s">
        <v>22880</v>
      </c>
      <c r="B22880" s="2" t="str">
        <f>IFERROR(__xludf.DUMMYFUNCTION("GOOGLETRANSLATE(A22880, ""en"", ""mt"")"),"pubbliku")</f>
        <v>pubbliku</v>
      </c>
    </row>
    <row r="22881" ht="15.75" customHeight="1">
      <c r="A22881" s="2" t="s">
        <v>22881</v>
      </c>
      <c r="B22881" s="2" t="str">
        <f>IFERROR(__xludf.DUMMYFUNCTION("GOOGLETRANSLATE(A22881, ""en"", ""mt"")"),"Taħt kundizzjonijiet bħal konċentrazzjonijiet għoljin ta 'CO2 atmosferiċi,")</f>
        <v>Taħt kundizzjonijiet bħal konċentrazzjonijiet għoljin ta 'CO2 atmosferiċi,</v>
      </c>
    </row>
    <row r="22882" ht="15.75" customHeight="1">
      <c r="A22882" s="2" t="s">
        <v>22882</v>
      </c>
      <c r="B22882" s="2" t="str">
        <f>IFERROR(__xludf.DUMMYFUNCTION("GOOGLETRANSLATE(A22882, ""en"", ""mt"")"),"Disa 'membri,")</f>
        <v>Disa 'membri,</v>
      </c>
    </row>
    <row r="22883" ht="15.75" customHeight="1">
      <c r="A22883" s="2" t="s">
        <v>22883</v>
      </c>
      <c r="B22883" s="2" t="str">
        <f>IFERROR(__xludf.DUMMYFUNCTION("GOOGLETRANSLATE(A22883, ""en"", ""mt"")"),"Stampi mixtrija għax-xandir")</f>
        <v>Stampi mixtrija għax-xandir</v>
      </c>
    </row>
    <row r="22884" ht="15.75" customHeight="1">
      <c r="A22884" s="2" t="s">
        <v>22884</v>
      </c>
      <c r="B22884" s="2" t="str">
        <f>IFERROR(__xludf.DUMMYFUNCTION("GOOGLETRANSLATE(A22884, ""en"", ""mt"")"),"Wara n-nar ta 'Jacksonville, x'għamel il-gvernatur ta' Florida?")</f>
        <v>Wara n-nar ta 'Jacksonville, x'għamel il-gvernatur ta' Florida?</v>
      </c>
    </row>
    <row r="22885" ht="15.75" customHeight="1">
      <c r="A22885" s="2" t="s">
        <v>22885</v>
      </c>
      <c r="B22885" s="2" t="str">
        <f>IFERROR(__xludf.DUMMYFUNCTION("GOOGLETRANSLATE(A22885, ""en"", ""mt"")"),"Il-popolazzjoni tal-firien ma kinitx biżżejjed biex tagħti kont ta 'pandemija tal-pesta bubonika")</f>
        <v>Il-popolazzjoni tal-firien ma kinitx biżżejjed biex tagħti kont ta 'pandemija tal-pesta bubonika</v>
      </c>
    </row>
    <row r="22886" ht="15.75" customHeight="1">
      <c r="A22886" s="2" t="s">
        <v>22886</v>
      </c>
      <c r="B22886" s="2" t="str">
        <f>IFERROR(__xludf.DUMMYFUNCTION("GOOGLETRANSLATE(A22886, ""en"", ""mt"")"),"Liema tabib irritorna għall-ispettaklu ""Children in Need""?")</f>
        <v>Liema tabib irritorna għall-ispettaklu "Children in Need"?</v>
      </c>
    </row>
    <row r="22887" ht="15.75" customHeight="1">
      <c r="A22887" s="2" t="s">
        <v>22887</v>
      </c>
      <c r="B22887" s="2" t="str">
        <f>IFERROR(__xludf.DUMMYFUNCTION("GOOGLETRANSLATE(A22887, ""en"", ""mt"")"),"Nifhmu l-motivazzjonijiet tar-rivali tiegħu")</f>
        <v>Nifhmu l-motivazzjonijiet tar-rivali tiegħu</v>
      </c>
    </row>
    <row r="22888" ht="15.75" customHeight="1">
      <c r="A22888" s="2" t="s">
        <v>22888</v>
      </c>
      <c r="B22888" s="2" t="str">
        <f>IFERROR(__xludf.DUMMYFUNCTION("GOOGLETRANSLATE(A22888, ""en"", ""mt"")"),"Algoritmi Deterministiċi")</f>
        <v>Algoritmi Deterministiċi</v>
      </c>
    </row>
    <row r="22889" ht="15.75" customHeight="1">
      <c r="A22889" s="2" t="s">
        <v>22889</v>
      </c>
      <c r="B22889" s="2" t="str">
        <f>IFERROR(__xludf.DUMMYFUNCTION("GOOGLETRANSLATE(A22889, ""en"", ""mt"")"),"L-istil tal-ħġieġ Art Noveau huwa rrappreżentat minn liema żewġ artisti?")</f>
        <v>L-istil tal-ħġieġ Art Noveau huwa rrappreżentat minn liema żewġ artisti?</v>
      </c>
    </row>
    <row r="22890" ht="15.75" customHeight="1">
      <c r="A22890" s="2" t="s">
        <v>22890</v>
      </c>
      <c r="B22890" s="2" t="str">
        <f>IFERROR(__xludf.DUMMYFUNCTION("GOOGLETRANSLATE(A22890, ""en"", ""mt"")"),"X'se jkollha soċjetà b'aktar ugwaljanza?")</f>
        <v>X'se jkollha soċjetà b'aktar ugwaljanza?</v>
      </c>
    </row>
    <row r="22891" ht="15.75" customHeight="1">
      <c r="A22891" s="2" t="s">
        <v>22891</v>
      </c>
      <c r="B22891" s="2" t="str">
        <f>IFERROR(__xludf.DUMMYFUNCTION("GOOGLETRANSLATE(A22891, ""en"", ""mt"")"),"Meta jsir il-weekend tal-Gallerija ta 'Varsavja?")</f>
        <v>Meta jsir il-weekend tal-Gallerija ta 'Varsavja?</v>
      </c>
    </row>
    <row r="22892" ht="15.75" customHeight="1">
      <c r="A22892" s="2" t="s">
        <v>22892</v>
      </c>
      <c r="B22892" s="2" t="str">
        <f>IFERROR(__xludf.DUMMYFUNCTION("GOOGLETRANSLATE(A22892, ""en"", ""mt"")"),"Liema klabb rebaħ 118 tournaments u 15-il kampjonat nazzjonali?")</f>
        <v>Liema klabb rebaħ 118 tournaments u 15-il kampjonat nazzjonali?</v>
      </c>
    </row>
    <row r="22893" ht="15.75" customHeight="1">
      <c r="A22893" s="2" t="s">
        <v>22893</v>
      </c>
      <c r="B22893" s="2" t="str">
        <f>IFERROR(__xludf.DUMMYFUNCTION("GOOGLETRANSLATE(A22893, ""en"", ""mt"")"),"pieni")</f>
        <v>pieni</v>
      </c>
    </row>
    <row r="22894" ht="15.75" customHeight="1">
      <c r="A22894" s="2" t="s">
        <v>22894</v>
      </c>
      <c r="B22894" s="2" t="str">
        <f>IFERROR(__xludf.DUMMYFUNCTION("GOOGLETRANSLATE(A22894, ""en"", ""mt"")"),"Kemm huma ħoxnin il-kloroplasti fil-pjanti tal-art?")</f>
        <v>Kemm huma ħoxnin il-kloroplasti fil-pjanti tal-art?</v>
      </c>
    </row>
    <row r="22895" ht="15.75" customHeight="1">
      <c r="A22895" s="2" t="s">
        <v>22895</v>
      </c>
      <c r="B22895" s="2" t="str">
        <f>IFERROR(__xludf.DUMMYFUNCTION("GOOGLETRANSLATE(A22895, ""en"", ""mt"")"),"fil-kumitat jew kumitati rilevanti")</f>
        <v>fil-kumitat jew kumitati rilevanti</v>
      </c>
    </row>
    <row r="22896" ht="15.75" customHeight="1">
      <c r="A22896" s="2" t="s">
        <v>22896</v>
      </c>
      <c r="B22896" s="2" t="str">
        <f>IFERROR(__xludf.DUMMYFUNCTION("GOOGLETRANSLATE(A22896, ""en"", ""mt"")"),"Tard tas-snin 1960")</f>
        <v>Tard tas-snin 1960</v>
      </c>
    </row>
    <row r="22897" ht="15.75" customHeight="1">
      <c r="A22897" s="2" t="s">
        <v>22897</v>
      </c>
      <c r="B22897" s="2" t="str">
        <f>IFERROR(__xludf.DUMMYFUNCTION("GOOGLETRANSLATE(A22897, ""en"", ""mt"")"),"L-invażjoni ta 'liema pajjiż turi l-insigurtà tal-Lvant Nofsani?")</f>
        <v>L-invażjoni ta 'liema pajjiż turi l-insigurtà tal-Lvant Nofsani?</v>
      </c>
    </row>
    <row r="22898" ht="15.75" customHeight="1">
      <c r="A22898" s="2" t="s">
        <v>22898</v>
      </c>
      <c r="B22898" s="2" t="str">
        <f>IFERROR(__xludf.DUMMYFUNCTION("GOOGLETRANSLATE(A22898, ""en"", ""mt"")"),"Rotta tal-Istat 41")</f>
        <v>Rotta tal-Istat 41</v>
      </c>
    </row>
    <row r="22899" ht="15.75" customHeight="1">
      <c r="A22899" s="2" t="s">
        <v>22899</v>
      </c>
      <c r="B22899" s="2" t="str">
        <f>IFERROR(__xludf.DUMMYFUNCTION("GOOGLETRANSLATE(A22899, ""en"", ""mt"")"),"Xogħol tax-xitan,")</f>
        <v>Xogħol tax-xitan,</v>
      </c>
    </row>
    <row r="22900" ht="15.75" customHeight="1">
      <c r="A22900" s="2" t="s">
        <v>22900</v>
      </c>
      <c r="B22900" s="2" t="str">
        <f>IFERROR(__xludf.DUMMYFUNCTION("GOOGLETRANSLATE(A22900, ""en"", ""mt"")"),"Show Doctor Who li fih Vincent Van Gogh kien rikonoxxut minn liema premju?")</f>
        <v>Show Doctor Who li fih Vincent Van Gogh kien rikonoxxut minn liema premju?</v>
      </c>
    </row>
    <row r="22901" ht="15.75" customHeight="1">
      <c r="A22901" s="2" t="s">
        <v>22901</v>
      </c>
      <c r="B22901" s="2" t="str">
        <f>IFERROR(__xludf.DUMMYFUNCTION("GOOGLETRANSLATE(A22901, ""en"", ""mt"")"),"X'tip ta 'swieq serva l-aħmar NBC?")</f>
        <v>X'tip ta 'swieq serva l-aħmar NBC?</v>
      </c>
    </row>
    <row r="22902" ht="15.75" customHeight="1">
      <c r="A22902" s="2" t="s">
        <v>22902</v>
      </c>
      <c r="B22902" s="2" t="str">
        <f>IFERROR(__xludf.DUMMYFUNCTION("GOOGLETRANSLATE(A22902, ""en"", ""mt"")"),"Fl-1937")</f>
        <v>Fl-1937</v>
      </c>
    </row>
    <row r="22903" ht="15.75" customHeight="1">
      <c r="A22903" s="2" t="s">
        <v>22903</v>
      </c>
      <c r="B22903" s="2" t="str">
        <f>IFERROR(__xludf.DUMMYFUNCTION("GOOGLETRANSLATE(A22903, ""en"", ""mt"")"),"Taxxi inġusti")</f>
        <v>Taxxi inġusti</v>
      </c>
    </row>
    <row r="22904" ht="15.75" customHeight="1">
      <c r="A22904" s="2" t="s">
        <v>22904</v>
      </c>
      <c r="B22904" s="2" t="str">
        <f>IFERROR(__xludf.DUMMYFUNCTION("GOOGLETRANSLATE(A22904, ""en"", ""mt"")"),"Mużika tal-Isferi")</f>
        <v>Mużika tal-Isferi</v>
      </c>
    </row>
    <row r="22905" ht="15.75" customHeight="1">
      <c r="A22905" s="2" t="s">
        <v>22905</v>
      </c>
      <c r="B22905" s="2" t="str">
        <f>IFERROR(__xludf.DUMMYFUNCTION("GOOGLETRANSLATE(A22905, ""en"", ""mt"")"),"Kif tirreplika d-D-Loop li tirreplika?")</f>
        <v>Kif tirreplika d-D-Loop li tirreplika?</v>
      </c>
    </row>
    <row r="22906" ht="15.75" customHeight="1">
      <c r="A22906" s="2" t="s">
        <v>22906</v>
      </c>
      <c r="B22906" s="2" t="str">
        <f>IFERROR(__xludf.DUMMYFUNCTION("GOOGLETRANSLATE(A22906, ""en"", ""mt"")"),"Fresno hija l-akbar belt ta 'l-Istati Uniti li mhix marbuta direttament ma' awtostrada bejn l-istati. Meta s-sistema tal-awtostrada bejn l-istati nħolqot fl-1950, ittieħdet id-deċiżjoni biex tinbena dak li issa huwa l-Interstate 5 fuq in-naħa tal-punent t"&amp;"al-Wied Ċentrali, u b'hekk tevita ħafna miċ-ċentri tal-popolazzjoni fir-reġjun, minflok ma ttejjeb dak li issa huwa l-istat Rotta 99. Minħabba li tgħolli malajr il-popolazzjoni u t-traffiku fl-ibliet tul l-SR 99, kif ukoll ix-xewqa ta 'finanzjament federa"&amp;"li, saret ħafna diskussjoni biex taġġornaha għall-istandards bejn l-istati u eventwalment tinkorporaha fis-sistema interstatali, x'aktarx bħala l-Interstate 9 . Titjib maġġuri għas-sinjali, wisa 'tal-karreġġjata, separazzjoni medjana, tneħħija vertikali, "&amp;"u tħassib ieħor bħalissa għaddejjin.")</f>
        <v>Fresno hija l-akbar belt ta 'l-Istati Uniti li mhix marbuta direttament ma' awtostrada bejn l-istati. Meta s-sistema tal-awtostrada bejn l-istati nħolqot fl-1950, ittieħdet id-deċiżjoni biex tinbena dak li issa huwa l-Interstate 5 fuq in-naħa tal-punent tal-Wied Ċentrali, u b'hekk tevita ħafna miċ-ċentri tal-popolazzjoni fir-reġjun, minflok ma ttejjeb dak li issa huwa l-istat Rotta 99. Minħabba li tgħolli malajr il-popolazzjoni u t-traffiku fl-ibliet tul l-SR 99, kif ukoll ix-xewqa ta 'finanzjament federali, saret ħafna diskussjoni biex taġġornaha għall-istandards bejn l-istati u eventwalment tinkorporaha fis-sistema interstatali, x'aktarx bħala l-Interstate 9 . Titjib maġġuri għas-sinjali, wisa 'tal-karreġġjata, separazzjoni medjana, tneħħija vertikali, u tħassib ieħor bħalissa għaddejjin.</v>
      </c>
    </row>
    <row r="22907" ht="15.75" customHeight="1">
      <c r="A22907" s="2" t="s">
        <v>22907</v>
      </c>
      <c r="B22907" s="2" t="str">
        <f>IFERROR(__xludf.DUMMYFUNCTION("GOOGLETRANSLATE(A22907, ""en"", ""mt"")"),"Perit")</f>
        <v>Perit</v>
      </c>
    </row>
    <row r="22908" ht="15.75" customHeight="1">
      <c r="A22908" s="2" t="s">
        <v>22908</v>
      </c>
      <c r="B22908" s="2" t="str">
        <f>IFERROR(__xludf.DUMMYFUNCTION("GOOGLETRANSLATE(A22908, ""en"", ""mt"")"),"Tul liema karatteristika ġeografika jinsabu disa 'djar residenzjali?")</f>
        <v>Tul liema karatteristika ġeografika jinsabu disa 'djar residenzjali?</v>
      </c>
    </row>
    <row r="22909" ht="15.75" customHeight="1">
      <c r="A22909" s="2" t="s">
        <v>22909</v>
      </c>
      <c r="B22909" s="2" t="str">
        <f>IFERROR(__xludf.DUMMYFUNCTION("GOOGLETRANSLATE(A22909, ""en"", ""mt"")"),"Dak li kiteb alumni ""Il-Gwerra t-Tajba""?")</f>
        <v>Dak li kiteb alumni "Il-Gwerra t-Tajba"?</v>
      </c>
    </row>
    <row r="22910" ht="15.75" customHeight="1">
      <c r="A22910" s="2" t="s">
        <v>22910</v>
      </c>
      <c r="B22910" s="2" t="str">
        <f>IFERROR(__xludf.DUMMYFUNCTION("GOOGLETRANSLATE(A22910, ""en"", ""mt"")"),"40")</f>
        <v>40</v>
      </c>
    </row>
    <row r="22911" ht="15.75" customHeight="1">
      <c r="A22911" s="2" t="s">
        <v>22911</v>
      </c>
      <c r="B22911" s="2" t="str">
        <f>IFERROR(__xludf.DUMMYFUNCTION("GOOGLETRANSLATE(A22911, ""en"", ""mt"")"),"era storika")</f>
        <v>era storika</v>
      </c>
    </row>
    <row r="22912" ht="15.75" customHeight="1">
      <c r="A22912" s="2" t="s">
        <v>22912</v>
      </c>
      <c r="B22912" s="2" t="str">
        <f>IFERROR(__xludf.DUMMYFUNCTION("GOOGLETRANSLATE(A22912, ""en"", ""mt"")"),"cpDNA")</f>
        <v>cpDNA</v>
      </c>
    </row>
    <row r="22913" ht="15.75" customHeight="1">
      <c r="A22913" s="2" t="s">
        <v>22913</v>
      </c>
      <c r="B22913" s="2" t="str">
        <f>IFERROR(__xludf.DUMMYFUNCTION("GOOGLETRANSLATE(A22913, ""en"", ""mt"")"),"Kitba ta 'Ktieb ta' Ħames Volum")</f>
        <v>Kitba ta 'Ktieb ta' Ħames Volum</v>
      </c>
    </row>
    <row r="22914" ht="15.75" customHeight="1">
      <c r="A22914" s="2" t="s">
        <v>22914</v>
      </c>
      <c r="B22914" s="2" t="str">
        <f>IFERROR(__xludf.DUMMYFUNCTION("GOOGLETRANSLATE(A22914, ""en"", ""mt"")"),"Kif tista 'tipprotesta kontra kumpaniji kbar b'mod mhux vjolenti?")</f>
        <v>Kif tista 'tipprotesta kontra kumpaniji kbar b'mod mhux vjolenti?</v>
      </c>
    </row>
    <row r="22915" ht="15.75" customHeight="1">
      <c r="A22915" s="2" t="s">
        <v>22915</v>
      </c>
      <c r="B22915" s="2" t="str">
        <f>IFERROR(__xludf.DUMMYFUNCTION("GOOGLETRANSLATE(A22915, ""en"", ""mt"")"),"Flimkien ma 'xewqa għal aktar pressjoni tal-fwar, x'kienu s-sewwieqa bikrija li qed ifittxu li jiġġeneraw meta waqqfu valvi ta' sigurtà 'l isfel?")</f>
        <v>Flimkien ma 'xewqa għal aktar pressjoni tal-fwar, x'kienu s-sewwieqa bikrija li qed ifittxu li jiġġeneraw meta waqqfu valvi ta' sigurtà 'l isfel?</v>
      </c>
    </row>
    <row r="22916" ht="15.75" customHeight="1">
      <c r="A22916" s="2" t="s">
        <v>22916</v>
      </c>
      <c r="B22916" s="2" t="str">
        <f>IFERROR(__xludf.DUMMYFUNCTION("GOOGLETRANSLATE(A22916, ""en"", ""mt"")"),"Liema kummidjant għamel parodija fejn jidher Dalek?")</f>
        <v>Liema kummidjant għamel parodija fejn jidher Dalek?</v>
      </c>
    </row>
    <row r="22917" ht="15.75" customHeight="1">
      <c r="A22917" s="2" t="s">
        <v>22917</v>
      </c>
      <c r="B22917" s="2" t="str">
        <f>IFERROR(__xludf.DUMMYFUNCTION("GOOGLETRANSLATE(A22917, ""en"", ""mt"")"),"X'jista 'jagħmel għalliem b'25 sena ta' esperjenza, f'euro?")</f>
        <v>X'jista 'jagħmel għalliem b'25 sena ta' esperjenza, f'euro?</v>
      </c>
    </row>
    <row r="22918" ht="15.75" customHeight="1">
      <c r="A22918" s="2" t="s">
        <v>22918</v>
      </c>
      <c r="B22918" s="2" t="str">
        <f>IFERROR(__xludf.DUMMYFUNCTION("GOOGLETRANSLATE(A22918, ""en"", ""mt"")"),"Meta bdiet il-vjolenza fil-gwerra?")</f>
        <v>Meta bdiet il-vjolenza fil-gwerra?</v>
      </c>
    </row>
    <row r="22919" ht="15.75" customHeight="1">
      <c r="A22919" s="2" t="s">
        <v>22919</v>
      </c>
      <c r="B22919" s="2" t="str">
        <f>IFERROR(__xludf.DUMMYFUNCTION("GOOGLETRANSLATE(A22919, ""en"", ""mt"")"),"X'qal Roland Bainton dwar il-pożizzjoni ta 'Luther fuq il-Lhud?")</f>
        <v>X'qal Roland Bainton dwar il-pożizzjoni ta 'Luther fuq il-Lhud?</v>
      </c>
    </row>
    <row r="22920" ht="15.75" customHeight="1">
      <c r="A22920" s="2" t="s">
        <v>22920</v>
      </c>
      <c r="B22920" s="2" t="str">
        <f>IFERROR(__xludf.DUMMYFUNCTION("GOOGLETRANSLATE(A22920, ""en"", ""mt"")"),"X'intemm l-ambizzjonijiet Imperjali Torok?")</f>
        <v>X'intemm l-ambizzjonijiet Imperjali Torok?</v>
      </c>
    </row>
    <row r="22921" ht="15.75" customHeight="1">
      <c r="A22921" s="2" t="s">
        <v>22921</v>
      </c>
      <c r="B22921" s="2" t="str">
        <f>IFERROR(__xludf.DUMMYFUNCTION("GOOGLETRANSLATE(A22921, ""en"", ""mt"")"),"labirint ta 'problemi semantiċi u niceties grammatikali")</f>
        <v>labirint ta 'problemi semantiċi u niceties grammatikali</v>
      </c>
    </row>
    <row r="22922" ht="15.75" customHeight="1">
      <c r="A22922" s="2" t="s">
        <v>22922</v>
      </c>
      <c r="B22922" s="2" t="str">
        <f>IFERROR(__xludf.DUMMYFUNCTION("GOOGLETRANSLATE(A22922, ""en"", ""mt"")"),"Ġinevra")</f>
        <v>Ġinevra</v>
      </c>
    </row>
    <row r="22923" ht="15.75" customHeight="1">
      <c r="A22923" s="2" t="s">
        <v>22923</v>
      </c>
      <c r="B22923" s="2" t="str">
        <f>IFERROR(__xludf.DUMMYFUNCTION("GOOGLETRANSLATE(A22923, ""en"", ""mt"")"),"Meta Varsavja kienet ikklassifikata bħala t-32 belt l-iktar ħajjin fid-dinja?")</f>
        <v>Meta Varsavja kienet ikklassifikata bħala t-32 belt l-iktar ħajjin fid-dinja?</v>
      </c>
    </row>
    <row r="22924" ht="15.75" customHeight="1">
      <c r="A22924" s="2" t="s">
        <v>22924</v>
      </c>
      <c r="B22924" s="2" t="str">
        <f>IFERROR(__xludf.DUMMYFUNCTION("GOOGLETRANSLATE(A22924, ""en"", ""mt"")"),"X'inhi l-klassifikazzjoni tal-forzi militari f'Jacksonville?")</f>
        <v>X'inhi l-klassifikazzjoni tal-forzi militari f'Jacksonville?</v>
      </c>
    </row>
    <row r="22925" ht="15.75" customHeight="1">
      <c r="A22925" s="2" t="s">
        <v>22925</v>
      </c>
      <c r="B22925" s="2" t="str">
        <f>IFERROR(__xludf.DUMMYFUNCTION("GOOGLETRANSLATE(A22925, ""en"", ""mt"")"),"F'liema lukanda qagħdu l-Panthers matul is-Super Bowl 50?")</f>
        <v>F'liema lukanda qagħdu l-Panthers matul is-Super Bowl 50?</v>
      </c>
    </row>
    <row r="22926" ht="15.75" customHeight="1">
      <c r="A22926" s="2" t="s">
        <v>22926</v>
      </c>
      <c r="B22926" s="2" t="str">
        <f>IFERROR(__xludf.DUMMYFUNCTION("GOOGLETRANSLATE(A22926, ""en"", ""mt"")"),"sapun sponża")</f>
        <v>sapun sponża</v>
      </c>
    </row>
    <row r="22927" ht="15.75" customHeight="1">
      <c r="A22927" s="2" t="s">
        <v>22927</v>
      </c>
      <c r="B22927" s="2" t="str">
        <f>IFERROR(__xludf.DUMMYFUNCTION("GOOGLETRANSLATE(A22927, ""en"", ""mt"")"),"Min mar il-Fort Dusquesne f'Ġunju 1755?")</f>
        <v>Min mar il-Fort Dusquesne f'Ġunju 1755?</v>
      </c>
    </row>
    <row r="22928" ht="15.75" customHeight="1">
      <c r="A22928" s="2" t="s">
        <v>22928</v>
      </c>
      <c r="B22928" s="2" t="str">
        <f>IFERROR(__xludf.DUMMYFUNCTION("GOOGLETRANSLATE(A22928, ""en"", ""mt"")"),"Bejn wieħed u ieħor kontemporanju ma 'Maududi kien il-fondazzjoni tal-Fratellanza Musulmana f'Ismailiyah, l-Eġittu fl-1928 minn Hassan Al Banna. Huwa bla dubju tiegħu l-ewwel, l-akbar u l-iktar influwenti organizzazzjoni politika / reliġjuża moderna. Taħt"&amp;" il-motto ""Il-Koran huwa l-Kostituzzjoni tagħna,"" fittex qawmien mill-ġdid Iżlamiku permezz tal-predikazzjoni u wkoll billi pprovda servizzi bażiċi tal-komunità inklużi skejjel, moskej, u workshops. Bħal Maududi, Al Banna emmen fil-ħtieġa ta ’regola tal"&amp;"-gvern ibbażata fuq il-liġi tax-Shariah implimentat gradwalment u bil-persważjoni, u li telimina l-influwenza imperjalista kollha fid-dinja Musulmana.")</f>
        <v>Bejn wieħed u ieħor kontemporanju ma 'Maududi kien il-fondazzjoni tal-Fratellanza Musulmana f'Ismailiyah, l-Eġittu fl-1928 minn Hassan Al Banna. Huwa bla dubju tiegħu l-ewwel, l-akbar u l-iktar influwenti organizzazzjoni politika / reliġjuża moderna. Taħt il-motto "Il-Koran huwa l-Kostituzzjoni tagħna," fittex qawmien mill-ġdid Iżlamiku permezz tal-predikazzjoni u wkoll billi pprovda servizzi bażiċi tal-komunità inklużi skejjel, moskej, u workshops. Bħal Maududi, Al Banna emmen fil-ħtieġa ta ’regola tal-gvern ibbażata fuq il-liġi tax-Shariah implimentat gradwalment u bil-persważjoni, u li telimina l-influwenza imperjalista kollha fid-dinja Musulmana.</v>
      </c>
    </row>
    <row r="22929" ht="15.75" customHeight="1">
      <c r="A22929" s="2" t="s">
        <v>22929</v>
      </c>
      <c r="B22929" s="2" t="str">
        <f>IFERROR(__xludf.DUMMYFUNCTION("GOOGLETRANSLATE(A22929, ""en"", ""mt"")"),"X'għandha xxandret is-CBS tas-Super Bowl 50 għall-websajt tagħha, xi apps u plejers tal-midja?")</f>
        <v>X'għandha xxandret is-CBS tas-Super Bowl 50 għall-websajt tagħha, xi apps u plejers tal-midja?</v>
      </c>
    </row>
    <row r="22930" ht="15.75" customHeight="1">
      <c r="A22930" s="2" t="s">
        <v>22930</v>
      </c>
      <c r="B22930" s="2" t="str">
        <f>IFERROR(__xludf.DUMMYFUNCTION("GOOGLETRANSLATE(A22930, ""en"", ""mt"")"),"Albany f'Diċembru 1755")</f>
        <v>Albany f'Diċembru 1755</v>
      </c>
    </row>
    <row r="22931" ht="15.75" customHeight="1">
      <c r="A22931" s="2" t="s">
        <v>22931</v>
      </c>
      <c r="B22931" s="2" t="str">
        <f>IFERROR(__xludf.DUMMYFUNCTION("GOOGLETRANSLATE(A22931, ""en"", ""mt"")"),"Galileo Ferraris")</f>
        <v>Galileo Ferraris</v>
      </c>
    </row>
    <row r="22932" ht="15.75" customHeight="1">
      <c r="A22932" s="2" t="s">
        <v>22932</v>
      </c>
      <c r="B22932" s="2" t="str">
        <f>IFERROR(__xludf.DUMMYFUNCTION("GOOGLETRANSLATE(A22932, ""en"", ""mt"")"),"X'ikUan il-Yuan biex jistampa l-flus tiegħu qabel il-pjanċi tal-bronż?")</f>
        <v>X'ikUan il-Yuan biex jistampa l-flus tiegħu qabel il-pjanċi tal-bronż?</v>
      </c>
    </row>
    <row r="22933" ht="15.75" customHeight="1">
      <c r="A22933" s="2" t="s">
        <v>22933</v>
      </c>
      <c r="B22933" s="2" t="str">
        <f>IFERROR(__xludf.DUMMYFUNCTION("GOOGLETRANSLATE(A22933, ""en"", ""mt"")"),"Is-Sierra Freeway")</f>
        <v>Is-Sierra Freeway</v>
      </c>
    </row>
    <row r="22934" ht="15.75" customHeight="1">
      <c r="A22934" s="2" t="s">
        <v>22934</v>
      </c>
      <c r="B22934" s="2" t="str">
        <f>IFERROR(__xludf.DUMMYFUNCTION("GOOGLETRANSLATE(A22934, ""en"", ""mt"")"),"WLS")</f>
        <v>WLS</v>
      </c>
    </row>
    <row r="22935" ht="15.75" customHeight="1">
      <c r="A22935" s="2" t="s">
        <v>22935</v>
      </c>
      <c r="B22935" s="2" t="str">
        <f>IFERROR(__xludf.DUMMYFUNCTION("GOOGLETRANSLATE(A22935, ""en"", ""mt"")"),"Meta nqatel in-nofs ħuh ta 'Temüjin maqtula?")</f>
        <v>Meta nqatel in-nofs ħuh ta 'Temüjin maqtula?</v>
      </c>
    </row>
    <row r="22936" ht="15.75" customHeight="1">
      <c r="A22936" s="2" t="s">
        <v>22936</v>
      </c>
      <c r="B22936" s="2" t="str">
        <f>IFERROR(__xludf.DUMMYFUNCTION("GOOGLETRANSLATE(A22936, ""en"", ""mt"")"),"żieda fil-pagi")</f>
        <v>żieda fil-pagi</v>
      </c>
    </row>
    <row r="22937" ht="15.75" customHeight="1">
      <c r="A22937" s="2" t="s">
        <v>22937</v>
      </c>
      <c r="B22937" s="2" t="str">
        <f>IFERROR(__xludf.DUMMYFUNCTION("GOOGLETRANSLATE(A22937, ""en"", ""mt"")"),"Tardis")</f>
        <v>Tardis</v>
      </c>
    </row>
    <row r="22938" ht="15.75" customHeight="1">
      <c r="A22938" s="2" t="s">
        <v>22938</v>
      </c>
      <c r="B22938" s="2" t="str">
        <f>IFERROR(__xludf.DUMMYFUNCTION("GOOGLETRANSLATE(A22938, ""en"", ""mt"")"),"Preżentata reċiproka")</f>
        <v>Preżentata reċiproka</v>
      </c>
    </row>
    <row r="22939" ht="15.75" customHeight="1">
      <c r="A22939" s="2" t="s">
        <v>22939</v>
      </c>
      <c r="B22939" s="2" t="str">
        <f>IFERROR(__xludf.DUMMYFUNCTION("GOOGLETRANSLATE(A22939, ""en"", ""mt"")"),"Liema bini huwa l-iktar interessanti tal-arkitettura tard tas-seklu 19?")</f>
        <v>Liema bini huwa l-iktar interessanti tal-arkitettura tard tas-seklu 19?</v>
      </c>
    </row>
    <row r="22940" ht="15.75" customHeight="1">
      <c r="A22940" s="2" t="s">
        <v>22940</v>
      </c>
      <c r="B22940" s="2" t="str">
        <f>IFERROR(__xludf.DUMMYFUNCTION("GOOGLETRANSLATE(A22940, ""en"", ""mt"")"),"Il-blat tal-qoxra tad-Dinja")</f>
        <v>Il-blat tal-qoxra tad-Dinja</v>
      </c>
    </row>
    <row r="22941" ht="15.75" customHeight="1">
      <c r="A22941" s="2" t="s">
        <v>22941</v>
      </c>
      <c r="B22941" s="2" t="str">
        <f>IFERROR(__xludf.DUMMYFUNCTION("GOOGLETRANSLATE(A22941, ""en"", ""mt"")"),"Min inizjalment ħa f'idejh bħala president ta 'Capital Cities / ABC wara li telaq Daniel Burke?")</f>
        <v>Min inizjalment ħa f'idejh bħala president ta 'Capital Cities / ABC wara li telaq Daniel Burke?</v>
      </c>
    </row>
    <row r="22942" ht="15.75" customHeight="1">
      <c r="A22942" s="2" t="s">
        <v>22942</v>
      </c>
      <c r="B22942" s="2" t="str">
        <f>IFERROR(__xludf.DUMMYFUNCTION("GOOGLETRANSLATE(A22942, ""en"", ""mt"")"),"Liema perċentili ta 'prodott domestiku gross huwa magħmul minn kostruzzjoni?")</f>
        <v>Liema perċentili ta 'prodott domestiku gross huwa magħmul minn kostruzzjoni?</v>
      </c>
    </row>
    <row r="22943" ht="15.75" customHeight="1">
      <c r="A22943" s="2" t="s">
        <v>22943</v>
      </c>
      <c r="B22943" s="2" t="str">
        <f>IFERROR(__xludf.DUMMYFUNCTION("GOOGLETRANSLATE(A22943, ""en"", ""mt"")"),"X'inhi l-forma tas-soltu ta 'komposti marbuta mal-ossiġnu?")</f>
        <v>X'inhi l-forma tas-soltu ta 'komposti marbuta mal-ossiġnu?</v>
      </c>
    </row>
    <row r="22944" ht="15.75" customHeight="1">
      <c r="A22944" s="2" t="s">
        <v>22944</v>
      </c>
      <c r="B22944" s="2" t="str">
        <f>IFERROR(__xludf.DUMMYFUNCTION("GOOGLETRANSLATE(A22944, ""en"", ""mt"")"),"Kemm nies mietu bil-pesta fi Newcastle fis-snin 1630?")</f>
        <v>Kemm nies mietu bil-pesta fi Newcastle fis-snin 1630?</v>
      </c>
    </row>
    <row r="22945" ht="15.75" customHeight="1">
      <c r="A22945" s="2" t="s">
        <v>22945</v>
      </c>
      <c r="B22945" s="2" t="str">
        <f>IFERROR(__xludf.DUMMYFUNCTION("GOOGLETRANSLATE(A22945, ""en"", ""mt"")"),"F'liema sena nħoloq il-foresta tal-foresta?")</f>
        <v>F'liema sena nħoloq il-foresta tal-foresta?</v>
      </c>
    </row>
    <row r="22946" ht="15.75" customHeight="1">
      <c r="A22946" s="2" t="s">
        <v>22946</v>
      </c>
      <c r="B22946" s="2" t="str">
        <f>IFERROR(__xludf.DUMMYFUNCTION("GOOGLETRANSLATE(A22946, ""en"", ""mt"")"),"Turabi kif bena bażi ekonomika qawwija?")</f>
        <v>Turabi kif bena bażi ekonomika qawwija?</v>
      </c>
    </row>
    <row r="22947" ht="15.75" customHeight="1">
      <c r="A22947" s="2" t="s">
        <v>22947</v>
      </c>
      <c r="B22947" s="2" t="str">
        <f>IFERROR(__xludf.DUMMYFUNCTION("GOOGLETRANSLATE(A22947, ""en"", ""mt"")"),"Kemm id-deheb ipproduċa Victoria fis-snin tal-1851-1860?")</f>
        <v>Kemm id-deheb ipproduċa Victoria fis-snin tal-1851-1860?</v>
      </c>
    </row>
    <row r="22948" ht="15.75" customHeight="1">
      <c r="A22948" s="2" t="s">
        <v>22948</v>
      </c>
      <c r="B22948" s="2" t="str">
        <f>IFERROR(__xludf.DUMMYFUNCTION("GOOGLETRANSLATE(A22948, ""en"", ""mt"")"),"20%")</f>
        <v>20%</v>
      </c>
    </row>
    <row r="22949" ht="15.75" customHeight="1">
      <c r="A22949" s="2" t="s">
        <v>22949</v>
      </c>
      <c r="B22949" s="2" t="str">
        <f>IFERROR(__xludf.DUMMYFUNCTION("GOOGLETRANSLATE(A22949, ""en"", ""mt"")"),"Ġnien tal-Palazz Krasiński")</f>
        <v>Ġnien tal-Palazz Krasiński</v>
      </c>
    </row>
    <row r="22950" ht="15.75" customHeight="1">
      <c r="A22950" s="2" t="s">
        <v>22950</v>
      </c>
      <c r="B22950" s="2" t="str">
        <f>IFERROR(__xludf.DUMMYFUNCTION("GOOGLETRANSLATE(A22950, ""en"", ""mt"")"),"Quddiem l-iskrivanija tal-uffiċjali li jippresiedu hemm il-mace parlamentari, li huwa magħmul mill-fidda u intarsjat bid-deheb imqabbad mix-xmajjar Skoċċiżi u miktub bil-kliem: għerf, kompassjoni, ġustizzja u integrità. Il-kliem li jkun hemm il-Parlament "&amp;"Skoċċiż, li huma l-ewwel kliem tal-Att tal-Iskozja, huma miktuba madwar il-kap tal-Mace, li għandu rwol ċerimonjali formali fil-laqgħat tal-Parlament, li jsaħħaħ l-awtorità tal-Parlament fil-kapaċità tiegħu tagħmel liġijiet. Ippreżentat lill-Parlament Sko"&amp;"ċċiż mir-Reġina wara l-ftuħ uffiċjali tagħha f'Lulju 1999, il-mace hija murija f'każ tal-ħġieġ sospiż mill-għatu. Fil-bidu ta 'kull seduta fil-kamra, l-għatu tal-każ huwa mdawwar sabiex il-mace tkun' il fuq mill-ħġieġ, biex tissimbolizza li qed isseħħ laq"&amp;"għa sħiħa tal-Parlament.")</f>
        <v>Quddiem l-iskrivanija tal-uffiċjali li jippresiedu hemm il-mace parlamentari, li huwa magħmul mill-fidda u intarsjat bid-deheb imqabbad mix-xmajjar Skoċċiżi u miktub bil-kliem: għerf, kompassjoni, ġustizzja u integrità. Il-kliem li jkun hemm il-Parlament Skoċċiż, li huma l-ewwel kliem tal-Att tal-Iskozja, huma miktuba madwar il-kap tal-Mace, li għandu rwol ċerimonjali formali fil-laqgħat tal-Parlament, li jsaħħaħ l-awtorità tal-Parlament fil-kapaċità tiegħu tagħmel liġijiet. Ippreżentat lill-Parlament Skoċċiż mir-Reġina wara l-ftuħ uffiċjali tagħha f'Lulju 1999, il-mace hija murija f'każ tal-ħġieġ sospiż mill-għatu. Fil-bidu ta 'kull seduta fil-kamra, l-għatu tal-każ huwa mdawwar sabiex il-mace tkun' il fuq mill-ħġieġ, biex tissimbolizza li qed isseħħ laqgħa sħiħa tal-Parlament.</v>
      </c>
    </row>
    <row r="22951" ht="15.75" customHeight="1">
      <c r="A22951" s="2" t="s">
        <v>22951</v>
      </c>
      <c r="B22951" s="2" t="str">
        <f>IFERROR(__xludf.DUMMYFUNCTION("GOOGLETRANSLATE(A22951, ""en"", ""mt"")"),"inqas ċivilizzat")</f>
        <v>inqas ċivilizzat</v>
      </c>
    </row>
    <row r="22952" ht="15.75" customHeight="1">
      <c r="A22952" s="2" t="s">
        <v>22952</v>
      </c>
      <c r="B22952" s="2" t="str">
        <f>IFERROR(__xludf.DUMMYFUNCTION("GOOGLETRANSLATE(A22952, ""en"", ""mt"")"),"Liema referendums ta 'żewġ pajjiżi waqqfu kostituzzjoni għall-Ewropa?")</f>
        <v>Liema referendums ta 'żewġ pajjiżi waqqfu kostituzzjoni għall-Ewropa?</v>
      </c>
    </row>
    <row r="22953" ht="15.75" customHeight="1">
      <c r="A22953" s="2" t="s">
        <v>22953</v>
      </c>
      <c r="B22953" s="2" t="str">
        <f>IFERROR(__xludf.DUMMYFUNCTION("GOOGLETRANSLATE(A22953, ""en"", ""mt"")"),"X'inhu l-isem tal-aħħar epoka?")</f>
        <v>X'inhu l-isem tal-aħħar epoka?</v>
      </c>
    </row>
    <row r="22954" ht="15.75" customHeight="1">
      <c r="A22954" s="2" t="s">
        <v>22954</v>
      </c>
      <c r="B22954" s="2" t="str">
        <f>IFERROR(__xludf.DUMMYFUNCTION("GOOGLETRANSLATE(A22954, ""en"", ""mt"")"),"X’jagħmlu l-partitarji tal-Iżlamiżmu li jirriflettu l-fehmiet tagħhom?")</f>
        <v>X’jagħmlu l-partitarji tal-Iżlamiżmu li jirriflettu l-fehmiet tagħhom?</v>
      </c>
    </row>
    <row r="22955" ht="15.75" customHeight="1">
      <c r="A22955" s="2" t="s">
        <v>22955</v>
      </c>
      <c r="B22955" s="2" t="str">
        <f>IFERROR(__xludf.DUMMYFUNCTION("GOOGLETRANSLATE(A22955, ""en"", ""mt"")"),"kontrogrammazzjoni")</f>
        <v>kontrogrammazzjoni</v>
      </c>
    </row>
    <row r="22956" ht="15.75" customHeight="1">
      <c r="A22956" s="2" t="s">
        <v>22956</v>
      </c>
      <c r="B22956" s="2" t="str">
        <f>IFERROR(__xludf.DUMMYFUNCTION("GOOGLETRANSLATE(A22956, ""en"", ""mt"")"),"1960 u 1970")</f>
        <v>1960 u 1970</v>
      </c>
    </row>
    <row r="22957" ht="15.75" customHeight="1">
      <c r="A22957" s="2" t="s">
        <v>22957</v>
      </c>
      <c r="B22957" s="2" t="str">
        <f>IFERROR(__xludf.DUMMYFUNCTION("GOOGLETRANSLATE(A22957, ""en"", ""mt"")"),"X'inhuma Los Angeles, Orange, San Diego, San Bernardino u Riverside?")</f>
        <v>X'inhuma Los Angeles, Orange, San Diego, San Bernardino u Riverside?</v>
      </c>
    </row>
    <row r="22958" ht="15.75" customHeight="1">
      <c r="A22958" s="2" t="s">
        <v>22958</v>
      </c>
      <c r="B22958" s="2" t="str">
        <f>IFERROR(__xludf.DUMMYFUNCTION("GOOGLETRANSLATE(A22958, ""en"", ""mt"")"),"Knisja Kattolika Medjevali tard")</f>
        <v>Knisja Kattolika Medjevali tard</v>
      </c>
    </row>
    <row r="22959" ht="15.75" customHeight="1">
      <c r="A22959" s="2" t="s">
        <v>22959</v>
      </c>
      <c r="B22959" s="2" t="str">
        <f>IFERROR(__xludf.DUMMYFUNCTION("GOOGLETRANSLATE(A22959, ""en"", ""mt"")"),"qtugħ tal-enerġija")</f>
        <v>qtugħ tal-enerġija</v>
      </c>
    </row>
    <row r="22960" ht="15.75" customHeight="1">
      <c r="A22960" s="2" t="s">
        <v>22960</v>
      </c>
      <c r="B22960" s="2" t="str">
        <f>IFERROR(__xludf.DUMMYFUNCTION("GOOGLETRANSLATE(A22960, ""en"", ""mt"")"),"Liema riċetturi għandhom ċelloli tat-tumur spiss ikollhom konċentrazzjonijiet imnaqqsa?")</f>
        <v>Liema riċetturi għandhom ċelloli tat-tumur spiss ikollhom konċentrazzjonijiet imnaqqsa?</v>
      </c>
    </row>
    <row r="22961" ht="15.75" customHeight="1">
      <c r="A22961" s="2" t="s">
        <v>22961</v>
      </c>
      <c r="B22961" s="2" t="str">
        <f>IFERROR(__xludf.DUMMYFUNCTION("GOOGLETRANSLATE(A22961, ""en"", ""mt"")"),"Toghrul")</f>
        <v>Toghrul</v>
      </c>
    </row>
    <row r="22962" ht="15.75" customHeight="1">
      <c r="A22962" s="2" t="s">
        <v>22962</v>
      </c>
      <c r="B22962" s="2" t="str">
        <f>IFERROR(__xludf.DUMMYFUNCTION("GOOGLETRANSLATE(A22962, ""en"", ""mt"")"),"iżolati")</f>
        <v>iżolati</v>
      </c>
    </row>
    <row r="22963" ht="15.75" customHeight="1">
      <c r="A22963" s="2" t="s">
        <v>22963</v>
      </c>
      <c r="B22963" s="2" t="str">
        <f>IFERROR(__xludf.DUMMYFUNCTION("GOOGLETRANSLATE(A22963, ""en"", ""mt"")"),"Shoreditch")</f>
        <v>Shoreditch</v>
      </c>
    </row>
    <row r="22964" ht="15.75" customHeight="1">
      <c r="A22964" s="2" t="s">
        <v>22964</v>
      </c>
      <c r="B22964" s="2" t="str">
        <f>IFERROR(__xludf.DUMMYFUNCTION("GOOGLETRANSLATE(A22964, ""en"", ""mt"")"),"Ġiħad Iżlamiku Eġizzjan")</f>
        <v>Ġiħad Iżlamiku Eġizzjan</v>
      </c>
    </row>
    <row r="22965" ht="15.75" customHeight="1">
      <c r="A22965" s="2" t="s">
        <v>22965</v>
      </c>
      <c r="B22965" s="2" t="str">
        <f>IFERROR(__xludf.DUMMYFUNCTION("GOOGLETRANSLATE(A22965, ""en"", ""mt"")"),"Terrestri diġitali")</f>
        <v>Terrestri diġitali</v>
      </c>
    </row>
    <row r="22966" ht="15.75" customHeight="1">
      <c r="A22966" s="2" t="s">
        <v>22966</v>
      </c>
      <c r="B22966" s="2" t="str">
        <f>IFERROR(__xludf.DUMMYFUNCTION("GOOGLETRANSLATE(A22966, ""en"", ""mt"")"),"Kif jittieħdu d-deċiżjonijiet dwar kif iġibu ruħhom mill-UE?")</f>
        <v>Kif jittieħdu d-deċiżjonijiet dwar kif iġibu ruħhom mill-UE?</v>
      </c>
    </row>
    <row r="22967" ht="15.75" customHeight="1">
      <c r="A22967" s="2" t="s">
        <v>22967</v>
      </c>
      <c r="B22967" s="2" t="str">
        <f>IFERROR(__xludf.DUMMYFUNCTION("GOOGLETRANSLATE(A22967, ""en"", ""mt"")"),"kommutatur")</f>
        <v>kommutatur</v>
      </c>
    </row>
    <row r="22968" ht="15.75" customHeight="1">
      <c r="A22968" s="2" t="s">
        <v>22968</v>
      </c>
      <c r="B22968" s="2" t="str">
        <f>IFERROR(__xludf.DUMMYFUNCTION("GOOGLETRANSLATE(A22968, ""en"", ""mt"")"),"President tad-Diviżjoni tax-Xandir ta 'ABC")</f>
        <v>President tad-Diviżjoni tax-Xandir ta 'ABC</v>
      </c>
    </row>
    <row r="22969" ht="15.75" customHeight="1">
      <c r="A22969" s="2" t="s">
        <v>22969</v>
      </c>
      <c r="B22969" s="2" t="str">
        <f>IFERROR(__xludf.DUMMYFUNCTION("GOOGLETRANSLATE(A22969, ""en"", ""mt"")"),"privileġġ sostanzjali")</f>
        <v>privileġġ sostanzjali</v>
      </c>
    </row>
    <row r="22970" ht="15.75" customHeight="1">
      <c r="A22970" s="2" t="s">
        <v>22970</v>
      </c>
      <c r="B22970" s="2" t="str">
        <f>IFERROR(__xludf.DUMMYFUNCTION("GOOGLETRANSLATE(A22970, ""en"", ""mt"")"),"Storikament, ir-Rabat kienet il-bażi għall-impjanti tal-manifattura tal-marki tal-karozzi ewlenin Ford, Toyota u Holden; Madankollu, avviżi ta 'għeluq mit-tliet kumpaniji kollha fis-seklu 21 se jfissru li l-Awstralja ma tibqax bażi għall-industrija tal-ka"&amp;"rozzi globali, bid-dikjarazzjoni ta' Toyota fi Frar 2014 li tiddeskrivi sena ta 'għeluq ta' l-2017. L-aħbar ta 'Holden seħħet f'Mejju 2013, segwita minn Id-deċiżjoni ta 'Ford f'Diċembru tal-istess sena (il-pjanti Vittorjani ta' Ford - fil-Broadmeadows u G"&amp;"eelong - se jagħlqu f'Ottubru 2016).")</f>
        <v>Storikament, ir-Rabat kienet il-bażi għall-impjanti tal-manifattura tal-marki tal-karozzi ewlenin Ford, Toyota u Holden; Madankollu, avviżi ta 'għeluq mit-tliet kumpaniji kollha fis-seklu 21 se jfissru li l-Awstralja ma tibqax bażi għall-industrija tal-karozzi globali, bid-dikjarazzjoni ta' Toyota fi Frar 2014 li tiddeskrivi sena ta 'għeluq ta' l-2017. L-aħbar ta 'Holden seħħet f'Mejju 2013, segwita minn Id-deċiżjoni ta 'Ford f'Diċembru tal-istess sena (il-pjanti Vittorjani ta' Ford - fil-Broadmeadows u Geelong - se jagħlqu f'Ottubru 2016).</v>
      </c>
    </row>
    <row r="22971" ht="15.75" customHeight="1">
      <c r="A22971" s="2" t="s">
        <v>22971</v>
      </c>
      <c r="B22971" s="2" t="str">
        <f>IFERROR(__xludf.DUMMYFUNCTION("GOOGLETRANSLATE(A22971, ""en"", ""mt"")"),"Il-fossili misjuba fil-Kenja jissuġġerixxu li l-primati jimirħu ż-żona iktar minn 20 miljun sena ilu. Sejbiet riċenti qrib il-Lag Turkana jindikaw li ominidi bħal Homo habilis (1.8 u 2.5 miljun sena ilu) u Homo erectus (1.8 miljun sa 350,000 sena ilu) hum"&amp;"a antenati diretti possibbli ta 'Homo sapiens moderni, u għexu fil-Kenja fl-epoka tal-Pleistocene. Waqt l-iskavi fil-Lag Turkana fl-1984, il-paleoantropologu Richard Leakey assistit minn Kamoya Kimeu skopra t-tifel Turkana, fossili ta '1.6 miljun sena li "&amp;"jappartjeni għal Homo erectus. Riċerka preċedenti dwar ominidi bikrija hija partikolarment identifikata ma 'Mary Leakey u Louis Leakey, li kienu responsabbli għar-riċerka arkeoloġika preliminari f'Olorgesailie u Hyrax Hill. Aktar tard ix-xogħol fis-sit ta"&amp;" 'qabel sar minn Glynn Isaac.")</f>
        <v>Il-fossili misjuba fil-Kenja jissuġġerixxu li l-primati jimirħu ż-żona iktar minn 20 miljun sena ilu. Sejbiet riċenti qrib il-Lag Turkana jindikaw li ominidi bħal Homo habilis (1.8 u 2.5 miljun sena ilu) u Homo erectus (1.8 miljun sa 350,000 sena ilu) huma antenati diretti possibbli ta 'Homo sapiens moderni, u għexu fil-Kenja fl-epoka tal-Pleistocene. Waqt l-iskavi fil-Lag Turkana fl-1984, il-paleoantropologu Richard Leakey assistit minn Kamoya Kimeu skopra t-tifel Turkana, fossili ta '1.6 miljun sena li jappartjeni għal Homo erectus. Riċerka preċedenti dwar ominidi bikrija hija partikolarment identifikata ma 'Mary Leakey u Louis Leakey, li kienu responsabbli għar-riċerka arkeoloġika preliminari f'Olorgesailie u Hyrax Hill. Aktar tard ix-xogħol fis-sit ta 'qabel sar minn Glynn Isaac.</v>
      </c>
    </row>
    <row r="22972" ht="15.75" customHeight="1">
      <c r="A22972" s="2" t="s">
        <v>22972</v>
      </c>
      <c r="B22972" s="2" t="str">
        <f>IFERROR(__xludf.DUMMYFUNCTION("GOOGLETRANSLATE(A22972, ""en"", ""mt"")"),"ġustizzja u prosperità")</f>
        <v>ġustizzja u prosperità</v>
      </c>
    </row>
    <row r="22973" ht="15.75" customHeight="1">
      <c r="A22973" s="2" t="s">
        <v>22973</v>
      </c>
      <c r="B22973" s="2" t="str">
        <f>IFERROR(__xludf.DUMMYFUNCTION("GOOGLETRANSLATE(A22973, ""en"", ""mt"")"),"Liema netwerk imxandar Super Bowl 50 fl-Istati Uniti?")</f>
        <v>Liema netwerk imxandar Super Bowl 50 fl-Istati Uniti?</v>
      </c>
    </row>
    <row r="22974" ht="15.75" customHeight="1">
      <c r="A22974" s="2" t="s">
        <v>22974</v>
      </c>
      <c r="B22974" s="2" t="str">
        <f>IFERROR(__xludf.DUMMYFUNCTION("GOOGLETRANSLATE(A22974, ""en"", ""mt"")"),"Fejn huma wħud mill-aqwa faċilitajiet mediċi fl-Ewropa tal-Lvant-Ċentrali?")</f>
        <v>Fejn huma wħud mill-aqwa faċilitajiet mediċi fl-Ewropa tal-Lvant-Ċentrali?</v>
      </c>
    </row>
    <row r="22975" ht="15.75" customHeight="1">
      <c r="A22975" s="2" t="s">
        <v>22975</v>
      </c>
      <c r="B22975" s="2" t="str">
        <f>IFERROR(__xludf.DUMMYFUNCTION("GOOGLETRANSLATE(A22975, ""en"", ""mt"")"),"7.5")</f>
        <v>7.5</v>
      </c>
    </row>
    <row r="22976" ht="15.75" customHeight="1">
      <c r="A22976" s="2" t="s">
        <v>22976</v>
      </c>
      <c r="B22976" s="2" t="str">
        <f>IFERROR(__xludf.DUMMYFUNCTION("GOOGLETRANSLATE(A22976, ""en"", ""mt"")"),"F'Diċembru 1901, Marconi trażmess b'suċċess l-ittra S mill-Ingilterra għal Newfoundland, u temm ir-relazzjoni ta 'Tesla ma' Morgan. [Sintesi mhux xierqa?] Matul il-ħames snin li ġejjin, Tesla kitbet aktar minn 50 ittra lil Morgan, billi wieġeb għal u talb"&amp;"et fondi addizzjonali biex tlesti l-kostruzzjoni ta 'Wardenclyffe. Tesla kompliet il-proġett għal disa 'xhur oħra. It-torri nbena sal-187 pied sħiħ tiegħu (57 m). F'Lulju 1903, Tesla kitbet lil Morgan li minbarra l-komunikazzjoni mingħajr fili, Wardenclyf"&amp;"fe tkun kapaċi tittrasmetti bla fili ta 'enerġija elettrika. Fl-14 ta 'Ottubru 1904, Morgan fl-aħħar wieġeb permezz tas-segretarju tiegħu, u ddikjara, ""Se jkun impossibbli għal [lili] li nagħmel xi ħaġa fil-kwistjoni,"" wara li Tesla kienet kitbet lil Mo"&amp;"rgan meta l-finanzjatur kien jiltaqa' mal-Arċisqof ta 'Canterbury f'attentat biex tappella għall-ispirtu Nisrani tiegħu.")</f>
        <v>F'Diċembru 1901, Marconi trażmess b'suċċess l-ittra S mill-Ingilterra għal Newfoundland, u temm ir-relazzjoni ta 'Tesla ma' Morgan. [Sintesi mhux xierqa?] Matul il-ħames snin li ġejjin, Tesla kitbet aktar minn 50 ittra lil Morgan, billi wieġeb għal u talbet fondi addizzjonali biex tlesti l-kostruzzjoni ta 'Wardenclyffe. Tesla kompliet il-proġett għal disa 'xhur oħra. It-torri nbena sal-187 pied sħiħ tiegħu (57 m). F'Lulju 1903, Tesla kitbet lil Morgan li minbarra l-komunikazzjoni mingħajr fili, Wardenclyffe tkun kapaċi tittrasmetti bla fili ta 'enerġija elettrika. Fl-14 ta 'Ottubru 1904, Morgan fl-aħħar wieġeb permezz tas-segretarju tiegħu, u ddikjara, "Se jkun impossibbli għal [lili] li nagħmel xi ħaġa fil-kwistjoni," wara li Tesla kienet kitbet lil Morgan meta l-finanzjatur kien jiltaqa' mal-Arċisqof ta 'Canterbury f'attentat biex tappella għall-ispirtu Nisrani tiegħu.</v>
      </c>
    </row>
    <row r="22977" ht="15.75" customHeight="1">
      <c r="A22977" s="2" t="s">
        <v>22977</v>
      </c>
      <c r="B22977" s="2" t="str">
        <f>IFERROR(__xludf.DUMMYFUNCTION("GOOGLETRANSLATE(A22977, ""en"", ""mt"")"),"Midalja Rumford")</f>
        <v>Midalja Rumford</v>
      </c>
    </row>
    <row r="22978" ht="15.75" customHeight="1">
      <c r="A22978" s="2" t="s">
        <v>22978</v>
      </c>
      <c r="B22978" s="2" t="str">
        <f>IFERROR(__xludf.DUMMYFUNCTION("GOOGLETRANSLATE(A22978, ""en"", ""mt"")"),"Liema università għandha l-oriġini tagħha fi skola li tittratta l-mediċina u l-kirurġija?")</f>
        <v>Liema università għandha l-oriġini tagħha fi skola li tittratta l-mediċina u l-kirurġija?</v>
      </c>
    </row>
    <row r="22979" ht="15.75" customHeight="1">
      <c r="A22979" s="2" t="s">
        <v>22979</v>
      </c>
      <c r="B22979" s="2" t="str">
        <f>IFERROR(__xludf.DUMMYFUNCTION("GOOGLETRANSLATE(A22979, ""en"", ""mt"")"),"Il-kunflitt Għarbi-Iżraeljan ħareġ il-pressjoni ekonomika sottostanti fuq il-prezzijiet taż-żejt")</f>
        <v>Il-kunflitt Għarbi-Iżraeljan ħareġ il-pressjoni ekonomika sottostanti fuq il-prezzijiet taż-żejt</v>
      </c>
    </row>
    <row r="22980" ht="15.75" customHeight="1">
      <c r="A22980" s="2" t="s">
        <v>22980</v>
      </c>
      <c r="B22980" s="2" t="str">
        <f>IFERROR(__xludf.DUMMYFUNCTION("GOOGLETRANSLATE(A22980, ""en"", ""mt"")"),"Meta ż-żejt beda jiġi pprezzat fit-termini tad-deheb?")</f>
        <v>Meta ż-żejt beda jiġi pprezzat fit-termini tad-deheb?</v>
      </c>
    </row>
    <row r="22981" ht="15.75" customHeight="1">
      <c r="A22981" s="2" t="s">
        <v>22981</v>
      </c>
      <c r="B22981" s="2" t="str">
        <f>IFERROR(__xludf.DUMMYFUNCTION("GOOGLETRANSLATE(A22981, ""en"", ""mt"")"),"Cypiddids mhumiex xiex?")</f>
        <v>Cypiddids mhumiex xiex?</v>
      </c>
    </row>
    <row r="22982" ht="15.75" customHeight="1">
      <c r="A22982" s="2" t="s">
        <v>22982</v>
      </c>
      <c r="B22982" s="2" t="str">
        <f>IFERROR(__xludf.DUMMYFUNCTION("GOOGLETRANSLATE(A22982, ""en"", ""mt"")"),"X'ġara fil-laboratorju tiegħu?")</f>
        <v>X'ġara fil-laboratorju tiegħu?</v>
      </c>
    </row>
    <row r="22983" ht="15.75" customHeight="1">
      <c r="A22983" s="2" t="s">
        <v>22983</v>
      </c>
      <c r="B22983" s="2" t="str">
        <f>IFERROR(__xludf.DUMMYFUNCTION("GOOGLETRANSLATE(A22983, ""en"", ""mt"")"),"Hendrix v Istitut tal-Assigurazzjoni tal-Impjegati")</f>
        <v>Hendrix v Istitut tal-Assigurazzjoni tal-Impjegati</v>
      </c>
    </row>
    <row r="22984" ht="15.75" customHeight="1">
      <c r="A22984" s="2" t="s">
        <v>22984</v>
      </c>
      <c r="B22984" s="2" t="str">
        <f>IFERROR(__xludf.DUMMYFUNCTION("GOOGLETRANSLATE(A22984, ""en"", ""mt"")"),"il-kolja Tesla.")</f>
        <v>il-kolja Tesla.</v>
      </c>
    </row>
    <row r="22985" ht="15.75" customHeight="1">
      <c r="A22985" s="2" t="s">
        <v>22985</v>
      </c>
      <c r="B22985" s="2" t="str">
        <f>IFERROR(__xludf.DUMMYFUNCTION("GOOGLETRANSLATE(A22985, ""en"", ""mt"")"),"Dak li daħal fis-seħħ wara li l-kostituzzjoni l-ġdida ġiet Herald?")</f>
        <v>Dak li daħal fis-seħħ wara li l-kostituzzjoni l-ġdida ġiet Herald?</v>
      </c>
    </row>
    <row r="22986" ht="15.75" customHeight="1">
      <c r="A22986" s="2" t="s">
        <v>22986</v>
      </c>
      <c r="B22986" s="2" t="str">
        <f>IFERROR(__xludf.DUMMYFUNCTION("GOOGLETRANSLATE(A22986, ""en"", ""mt"")"),"Il-grazzja li tqaddes hija dik il-grazzja ta ’Alla li ssostni lil dawk li jemmnu fil-vjaġġ lejn il-perfezzjoni Nisranija: imħabba ġenwina ta’ Alla b’qalb, ruħ, moħħ, u saħħa, u mħabba ġenwina tal-ġirien tagħna bħala nfusna. Il-grazzja li tqaddes tippermet"&amp;"tilna nirrispondu għal Alla billi nmexxu ħajja mimlija spirtu u bħal Kristu mmirata lejn l-imħabba. Wesley qatt ma ddikjara dan l-istat ta ’perfezzjoni għalih innifsu iżda minflok insista li l-kisba tal-perfezzjoni kienet possibbli għall-insara kollha. Ha"&amp;"wnhekk ir-Riformatur Ingliż qassam kumpanija kemm ma 'Luther kif ukoll ma' Calvin, li ċaħdu li raġel qatt kien se jilħaq stat f'din il-ħajja li fih ma setax jaqa 'fid-dnub. Raġel bħal dan jista 'jitlef l-inklinazzjoni kollha lejn il-ħażen u jista' jikseb "&amp;"perfezzjoni f'din il-ħajja.")</f>
        <v>Il-grazzja li tqaddes hija dik il-grazzja ta ’Alla li ssostni lil dawk li jemmnu fil-vjaġġ lejn il-perfezzjoni Nisranija: imħabba ġenwina ta’ Alla b’qalb, ruħ, moħħ, u saħħa, u mħabba ġenwina tal-ġirien tagħna bħala nfusna. Il-grazzja li tqaddes tippermettilna nirrispondu għal Alla billi nmexxu ħajja mimlija spirtu u bħal Kristu mmirata lejn l-imħabba. Wesley qatt ma ddikjara dan l-istat ta ’perfezzjoni għalih innifsu iżda minflok insista li l-kisba tal-perfezzjoni kienet possibbli għall-insara kollha. Hawnhekk ir-Riformatur Ingliż qassam kumpanija kemm ma 'Luther kif ukoll ma' Calvin, li ċaħdu li raġel qatt kien se jilħaq stat f'din il-ħajja li fih ma setax jaqa 'fid-dnub. Raġel bħal dan jista 'jitlef l-inklinazzjoni kollha lejn il-ħażen u jista' jikseb perfezzjoni f'din il-ħajja.</v>
      </c>
    </row>
    <row r="22987" ht="15.75" customHeight="1">
      <c r="A22987" s="2" t="s">
        <v>22987</v>
      </c>
      <c r="B22987" s="2" t="str">
        <f>IFERROR(__xludf.DUMMYFUNCTION("GOOGLETRANSLATE(A22987, ""en"", ""mt"")"),"sponża tas-sapun")</f>
        <v>sponża tas-sapun</v>
      </c>
    </row>
    <row r="22988" ht="15.75" customHeight="1">
      <c r="A22988" s="2" t="s">
        <v>22988</v>
      </c>
      <c r="B22988" s="2" t="str">
        <f>IFERROR(__xludf.DUMMYFUNCTION("GOOGLETRANSLATE(A22988, ""en"", ""mt"")"),"X'kien l-isem Iroquois ta 'William Johnson?")</f>
        <v>X'kien l-isem Iroquois ta 'William Johnson?</v>
      </c>
    </row>
    <row r="22989" ht="15.75" customHeight="1">
      <c r="A22989" s="2" t="s">
        <v>22989</v>
      </c>
      <c r="B22989" s="2" t="str">
        <f>IFERROR(__xludf.DUMMYFUNCTION("GOOGLETRANSLATE(A22989, ""en"", ""mt"")"),"X'ġorr l-ewwel stadji inizjali tat-testijiet ta 'Saturn I?")</f>
        <v>X'ġorr l-ewwel stadji inizjali tat-testijiet ta 'Saturn I?</v>
      </c>
    </row>
    <row r="22990" ht="15.75" customHeight="1">
      <c r="A22990" s="2" t="s">
        <v>22990</v>
      </c>
      <c r="B22990" s="2" t="str">
        <f>IFERROR(__xludf.DUMMYFUNCTION("GOOGLETRANSLATE(A22990, ""en"", ""mt"")"),"la l-isforz massimu u lanqas il-kisba tar-riżultati meħtieġa")</f>
        <v>la l-isforz massimu u lanqas il-kisba tar-riżultati meħtieġa</v>
      </c>
    </row>
    <row r="22991" ht="15.75" customHeight="1">
      <c r="A22991" s="2" t="s">
        <v>22991</v>
      </c>
      <c r="B22991" s="2" t="str">
        <f>IFERROR(__xludf.DUMMYFUNCTION("GOOGLETRANSLATE(A22991, ""en"", ""mt"")"),"Kif tissejjaħ din id-duttrina ta ’Alla li ħatret l-awtoritajiet?")</f>
        <v>Kif tissejjaħ din id-duttrina ta ’Alla li ħatret l-awtoritajiet?</v>
      </c>
    </row>
    <row r="22992" ht="15.75" customHeight="1">
      <c r="A22992" s="2" t="s">
        <v>22992</v>
      </c>
      <c r="B22992" s="2" t="str">
        <f>IFERROR(__xludf.DUMMYFUNCTION("GOOGLETRANSLATE(A22992, ""en"", ""mt"")"),"Saħħa aħjar u ħajja itwal")</f>
        <v>Saħħa aħjar u ħajja itwal</v>
      </c>
    </row>
    <row r="22993" ht="15.75" customHeight="1">
      <c r="A22993" s="2" t="s">
        <v>22993</v>
      </c>
      <c r="B22993" s="2" t="str">
        <f>IFERROR(__xludf.DUMMYFUNCTION("GOOGLETRANSLATE(A22993, ""en"", ""mt"")"),"X'għamel il-fiżika parzjali biex tiddeskrivi l-forzi sub-atomiċi?")</f>
        <v>X'għamel il-fiżika parzjali biex tiddeskrivi l-forzi sub-atomiċi?</v>
      </c>
    </row>
    <row r="22994" ht="15.75" customHeight="1">
      <c r="A22994" s="2" t="s">
        <v>22994</v>
      </c>
      <c r="B22994" s="2" t="str">
        <f>IFERROR(__xludf.DUMMYFUNCTION("GOOGLETRANSLATE(A22994, ""en"", ""mt"")"),"Il-proġett ta 'tiġdid urban kien maħsub biex jgħin lir-residenti ta' liema lokal?")</f>
        <v>Il-proġett ta 'tiġdid urban kien maħsub biex jgħin lir-residenti ta' liema lokal?</v>
      </c>
    </row>
    <row r="22995" ht="15.75" customHeight="1">
      <c r="A22995" s="2" t="s">
        <v>22995</v>
      </c>
      <c r="B22995" s="2" t="str">
        <f>IFERROR(__xludf.DUMMYFUNCTION("GOOGLETRANSLATE(A22995, ""en"", ""mt"")"),"il-ħdax-il tabib")</f>
        <v>il-ħdax-il tabib</v>
      </c>
    </row>
    <row r="22996" ht="15.75" customHeight="1">
      <c r="A22996" s="2" t="s">
        <v>22996</v>
      </c>
      <c r="B22996" s="2" t="str">
        <f>IFERROR(__xludf.DUMMYFUNCTION("GOOGLETRANSLATE(A22996, ""en"", ""mt"")"),"Liema stazzjon spazjali appoġġa tliet missjonijiet ekwivalenti fl-1973-1974?")</f>
        <v>Liema stazzjon spazjali appoġġa tliet missjonijiet ekwivalenti fl-1973-1974?</v>
      </c>
    </row>
    <row r="22997" ht="15.75" customHeight="1">
      <c r="A22997" s="2" t="s">
        <v>22997</v>
      </c>
      <c r="B22997" s="2" t="str">
        <f>IFERROR(__xludf.DUMMYFUNCTION("GOOGLETRANSLATE(A22997, ""en"", ""mt"")"),"Liema tim kien iċ-champion tal-AFC?")</f>
        <v>Liema tim kien iċ-champion tal-AFC?</v>
      </c>
    </row>
    <row r="22998" ht="15.75" customHeight="1">
      <c r="A22998" s="2" t="s">
        <v>22998</v>
      </c>
      <c r="B22998" s="2" t="str">
        <f>IFERROR(__xludf.DUMMYFUNCTION("GOOGLETRANSLATE(A22998, ""en"", ""mt"")"),"komun")</f>
        <v>komun</v>
      </c>
    </row>
    <row r="22999" ht="15.75" customHeight="1">
      <c r="A22999" s="2" t="s">
        <v>22999</v>
      </c>
      <c r="B22999" s="2" t="str">
        <f>IFERROR(__xludf.DUMMYFUNCTION("GOOGLETRANSLATE(A22999, ""en"", ""mt"")"),"Min kienu l-analisti tal-kulur tal-Westwood One?")</f>
        <v>Min kienu l-analisti tal-kulur tal-Westwood One?</v>
      </c>
    </row>
    <row r="23000" ht="15.75" customHeight="1">
      <c r="A23000" s="2" t="s">
        <v>23000</v>
      </c>
      <c r="B23000" s="2" t="str">
        <f>IFERROR(__xludf.DUMMYFUNCTION("GOOGLETRANSLATE(A23000, ""en"", ""mt"")"),"TRIBE TRIO")</f>
        <v>TRIBE TRIO</v>
      </c>
    </row>
    <row r="23001" ht="15.75" customHeight="1">
      <c r="A23001" s="2" t="s">
        <v>23001</v>
      </c>
      <c r="B23001" s="2" t="str">
        <f>IFERROR(__xludf.DUMMYFUNCTION("GOOGLETRANSLATE(A23001, ""en"", ""mt"")"),"Kemm-il darba l-Forza ta 'Difiża ta' Denver fi Newton f 'fatturat?")</f>
        <v>Kemm-il darba l-Forza ta 'Difiża ta' Denver fi Newton f 'fatturat?</v>
      </c>
    </row>
    <row r="23002" ht="15.75" customHeight="1">
      <c r="A23002" s="2" t="s">
        <v>23002</v>
      </c>
      <c r="B23002" s="2" t="str">
        <f>IFERROR(__xludf.DUMMYFUNCTION("GOOGLETRANSLATE(A23002, ""en"", ""mt"")"),"importanza dejjem tiżdied tal-kapital uman fl-iżvilupp")</f>
        <v>importanza dejjem tiżdied tal-kapital uman fl-iżvilupp</v>
      </c>
    </row>
    <row r="23003" ht="15.75" customHeight="1">
      <c r="A23003" s="2" t="s">
        <v>23003</v>
      </c>
      <c r="B23003" s="2" t="str">
        <f>IFERROR(__xludf.DUMMYFUNCTION("GOOGLETRANSLATE(A23003, ""en"", ""mt"")"),"Id-dinastija Yuan kienet l-ewwel darba li l-poplu Ċiniż mhux nattiv iddeċieda ċ-Ċina kollha. Fl-istorijografija tal-Mongolja, ġeneralment huwa meqjus bħala t-tkomplija tal-imperu Mongoljan. Il-Mongoli huma magħrufa ħafna li jaduraw is-sema eterna, u skont"&amp;" l-ideoloġija tradizzjonali Mongoljana, il-wan huwa meqjus bħala ""l-bidu ta 'numru infinit ta' bnedmin, il-pedament tal-paċi u l-kuntentizza, il-poter tal-istat, il-ħolma ta 'ħafna popli, minbarraha M'hemm xejn kbir jew prezzjuż. "" Fl-istorijografija tr"&amp;"adizzjonali taċ-Ċina, min-naħa l-oħra, id-dinastija Yuan ġeneralment hija meqjusa bħala d-dinastija leġittima bejn id-dinastija tal-kanzunetta u d-dinastija Ming. Innota, madankollu, id-dinastija Yuan hija tradizzjonalment estiża biex tkopri l-imperu Mong"&amp;"oljan qabel l-istabbiliment formali ta 'Kublai Khan tal-Yuan fl-1271, parzjalment minħabba li Kublai kellu n-nannu tiegħu Genghis Khan poġġa fir-rekord uffiċjali bħala l-fundatur tad-Dynasty jew Taizu (Ċiniż:太祖). Minkejja l-istorijografija tradizzjonali k"&amp;"if ukoll il-fehmiet uffiċjali (inkluża l-gvern tad-dinastija Ming li ħakem id-dinastija Yuan), jeżistu wkoll nies Ċiniżi [li?] Li ma kkunsidrawx id-dinastija Yuan bħala dinastija leġittima taċ-Ċina, iżda pjuttost Bħala perjodu ta 'dominazzjoni barranija. "&amp;"Dawn tal-aħħar jemmnu li Han Ċiniż ġew ittrattati bħala ċittadini tat-tieni klassi, [ċitazzjoni meħtieġa] u li ċ-Ċina staġnaw ekonomikament u xjentifikament.")</f>
        <v>Id-dinastija Yuan kienet l-ewwel darba li l-poplu Ċiniż mhux nattiv iddeċieda ċ-Ċina kollha. Fl-istorijografija tal-Mongolja, ġeneralment huwa meqjus bħala t-tkomplija tal-imperu Mongoljan. Il-Mongoli huma magħrufa ħafna li jaduraw is-sema eterna, u skont l-ideoloġija tradizzjonali Mongoljana, il-wan huwa meqjus bħala "l-bidu ta 'numru infinit ta' bnedmin, il-pedament tal-paċi u l-kuntentizza, il-poter tal-istat, il-ħolma ta 'ħafna popli, minbarraha M'hemm xejn kbir jew prezzjuż. " Fl-istorijografija tradizzjonali taċ-Ċina, min-naħa l-oħra, id-dinastija Yuan ġeneralment hija meqjusa bħala d-dinastija leġittima bejn id-dinastija tal-kanzunetta u d-dinastija Ming. Innota, madankollu, id-dinastija Yuan hija tradizzjonalment estiża biex tkopri l-imperu Mongoljan qabel l-istabbiliment formali ta 'Kublai Khan tal-Yuan fl-1271, parzjalment minħabba li Kublai kellu n-nannu tiegħu Genghis Khan poġġa fir-rekord uffiċjali bħala l-fundatur tad-Dynasty jew Taizu (Ċiniż:太祖). Minkejja l-istorijografija tradizzjonali kif ukoll il-fehmiet uffiċjali (inkluża l-gvern tad-dinastija Ming li ħakem id-dinastija Yuan), jeżistu wkoll nies Ċiniżi [li?] Li ma kkunsidrawx id-dinastija Yuan bħala dinastija leġittima taċ-Ċina, iżda pjuttost Bħala perjodu ta 'dominazzjoni barranija. Dawn tal-aħħar jemmnu li Han Ċiniż ġew ittrattati bħala ċittadini tat-tieni klassi, [ċitazzjoni meħtieġa] u li ċ-Ċina staġnaw ekonomikament u xjentifikament.</v>
      </c>
    </row>
    <row r="23004" ht="15.75" customHeight="1">
      <c r="A23004" s="2" t="s">
        <v>23004</v>
      </c>
      <c r="B23004" s="2" t="str">
        <f>IFERROR(__xludf.DUMMYFUNCTION("GOOGLETRANSLATE(A23004, ""en"", ""mt"")"),"Fejn jiffurmaw diks?")</f>
        <v>Fejn jiffurmaw diks?</v>
      </c>
    </row>
    <row r="23005" ht="15.75" customHeight="1">
      <c r="A23005" s="2" t="s">
        <v>23005</v>
      </c>
      <c r="B23005" s="2" t="str">
        <f>IFERROR(__xludf.DUMMYFUNCTION("GOOGLETRANSLATE(A23005, ""en"", ""mt"")"),"Erba 'rġiel li jattendu l-Kulleġġ Harvard għal kull mara")</f>
        <v>Erba 'rġiel li jattendu l-Kulleġġ Harvard għal kull mara</v>
      </c>
    </row>
    <row r="23006" ht="15.75" customHeight="1">
      <c r="A23006" s="2" t="s">
        <v>23006</v>
      </c>
      <c r="B23006" s="2" t="str">
        <f>IFERROR(__xludf.DUMMYFUNCTION("GOOGLETRANSLATE(A23006, ""en"", ""mt"")"),"Il-membri parlamentari li jirrappreżentaw kostitwenzi Ingliżi jistgħu biss jivverifikaw il-liġijiet li jaffettwaw liema pajjiż?")</f>
        <v>Il-membri parlamentari li jirrappreżentaw kostitwenzi Ingliżi jistgħu biss jivverifikaw il-liġijiet li jaffettwaw liema pajjiż?</v>
      </c>
    </row>
    <row r="23007" ht="15.75" customHeight="1">
      <c r="A23007" s="2" t="s">
        <v>23007</v>
      </c>
      <c r="B23007" s="2" t="str">
        <f>IFERROR(__xludf.DUMMYFUNCTION("GOOGLETRANSLATE(A23007, ""en"", ""mt"")"),"F'liema moviment il-fiera li saret f'Ġunju kellha l-oriġini tagħha?")</f>
        <v>F'liema moviment il-fiera li saret f'Ġunju kellha l-oriġini tagħha?</v>
      </c>
    </row>
    <row r="23008" ht="15.75" customHeight="1">
      <c r="A23008" s="2" t="s">
        <v>23008</v>
      </c>
      <c r="B23008" s="2" t="str">
        <f>IFERROR(__xludf.DUMMYFUNCTION("GOOGLETRANSLATE(A23008, ""en"", ""mt"")"),"Kemm terremoti jesperjenzaw in-Nofsinhar ta 'California f'sena?")</f>
        <v>Kemm terremoti jesperjenzaw in-Nofsinhar ta 'California f'sena?</v>
      </c>
    </row>
    <row r="23009" ht="15.75" customHeight="1">
      <c r="A23009" s="2" t="s">
        <v>23009</v>
      </c>
      <c r="B23009" s="2" t="str">
        <f>IFERROR(__xludf.DUMMYFUNCTION("GOOGLETRANSLATE(A23009, ""en"", ""mt"")"),"Kemm-il darba Doctor Who rebaħ il-Hugo għall-aħjar preżentazzjoni drammatika?")</f>
        <v>Kemm-il darba Doctor Who rebaħ il-Hugo għall-aħjar preżentazzjoni drammatika?</v>
      </c>
    </row>
    <row r="23010" ht="15.75" customHeight="1">
      <c r="A23010" s="2" t="s">
        <v>23010</v>
      </c>
      <c r="B23010" s="2" t="str">
        <f>IFERROR(__xludf.DUMMYFUNCTION("GOOGLETRANSLATE(A23010, ""en"", ""mt"")"),"L-imperjalizmu huwa konfuż ma 'liema terminu ieħor?")</f>
        <v>L-imperjalizmu huwa konfuż ma 'liema terminu ieħor?</v>
      </c>
    </row>
    <row r="23011" ht="15.75" customHeight="1">
      <c r="A23011" s="2" t="s">
        <v>23011</v>
      </c>
      <c r="B23011" s="2" t="str">
        <f>IFERROR(__xludf.DUMMYFUNCTION("GOOGLETRANSLATE(A23011, ""en"", ""mt"")"),"X'tip ta 'allegazzjonijiet tressqu wara l-elezzjoni tal-2007?")</f>
        <v>X'tip ta 'allegazzjonijiet tressqu wara l-elezzjoni tal-2007?</v>
      </c>
    </row>
    <row r="23012" ht="15.75" customHeight="1">
      <c r="A23012" s="2" t="s">
        <v>23012</v>
      </c>
      <c r="B23012" s="2" t="str">
        <f>IFERROR(__xludf.DUMMYFUNCTION("GOOGLETRANSLATE(A23012, ""en"", ""mt"")"),"Minn min kiseb l-SNP 16-il siġġu?")</f>
        <v>Minn min kiseb l-SNP 16-il siġġu?</v>
      </c>
    </row>
    <row r="23013" ht="15.75" customHeight="1">
      <c r="A23013" s="2" t="s">
        <v>23013</v>
      </c>
      <c r="B23013" s="2" t="str">
        <f>IFERROR(__xludf.DUMMYFUNCTION("GOOGLETRANSLATE(A23013, ""en"", ""mt"")"),"Maria Skłodowska-Curie Institute of Onkology")</f>
        <v>Maria Skłodowska-Curie Institute of Onkology</v>
      </c>
    </row>
    <row r="23014" ht="15.75" customHeight="1">
      <c r="A23014" s="2" t="s">
        <v>23014</v>
      </c>
      <c r="B23014" s="2" t="str">
        <f>IFERROR(__xludf.DUMMYFUNCTION("GOOGLETRANSLATE(A23014, ""en"", ""mt"")"),"Assoċjazzjoni Internazzjonali ta 'Skejjel, Kulleġġi u Universitajiet relatati mal-Metodisti")</f>
        <v>Assoċjazzjoni Internazzjonali ta 'Skejjel, Kulleġġi u Universitajiet relatati mal-Metodisti</v>
      </c>
    </row>
    <row r="23015" ht="15.75" customHeight="1">
      <c r="A23015" s="2" t="s">
        <v>23015</v>
      </c>
      <c r="B23015" s="2" t="str">
        <f>IFERROR(__xludf.DUMMYFUNCTION("GOOGLETRANSLATE(A23015, ""en"", ""mt"")"),"It-tfittxija infinita")</f>
        <v>It-tfittxija infinita</v>
      </c>
    </row>
    <row r="23016" ht="15.75" customHeight="1">
      <c r="A23016" s="2" t="s">
        <v>23016</v>
      </c>
      <c r="B23016" s="2" t="str">
        <f>IFERROR(__xludf.DUMMYFUNCTION("GOOGLETRANSLATE(A23016, ""en"", ""mt"")"),"undulating ġisimhom")</f>
        <v>undulating ġisimhom</v>
      </c>
    </row>
    <row r="23017" ht="15.75" customHeight="1">
      <c r="A23017" s="2" t="s">
        <v>23017</v>
      </c>
      <c r="B23017" s="2" t="str">
        <f>IFERROR(__xludf.DUMMYFUNCTION("GOOGLETRANSLATE(A23017, ""en"", ""mt"")"),"Tesla meta telqet minn Colorado Springs?")</f>
        <v>Tesla meta telqet minn Colorado Springs?</v>
      </c>
    </row>
    <row r="23018" ht="15.75" customHeight="1">
      <c r="A23018" s="2" t="s">
        <v>23018</v>
      </c>
      <c r="B23018" s="2" t="str">
        <f>IFERROR(__xludf.DUMMYFUNCTION("GOOGLETRANSLATE(A23018, ""en"", ""mt"")"),"Mnemiopsis")</f>
        <v>Mnemiopsis</v>
      </c>
    </row>
    <row r="23019" ht="15.75" customHeight="1">
      <c r="A23019" s="2" t="s">
        <v>23019</v>
      </c>
      <c r="B23019" s="2" t="str">
        <f>IFERROR(__xludf.DUMMYFUNCTION("GOOGLETRANSLATE(A23019, ""en"", ""mt"")"),"Tesla kien magħruf għall-kisbiet u l-wirja tiegħu, li eventwalment kiseb reputazzjoni fil-kultura popolari bħala ""xjenzat ġenn"" arketipali. Il-privattivi tiegħu qalgħu ammont konsiderevoli ta 'flus, li ħafna minnhom intużaw biex jiffinanzjaw il-proġetti"&amp;" tiegħu stess bi gradi differenti ta' suċċess. Tesla miet fis-7 ta 'Jannar 1943. Ix-xogħol tiegħu waqa' f'oskurità relattiva wara mewtu, iżda fl-1960 il-Konferenza Ġenerali dwar il-Piżijiet u l-Miżuri bl-isem tal-Unità SI ta 'Densità tal-Fluss Manjetiku t"&amp;"at-Tesla fl-Unur tiegħu. Kien hemm qawmien mill-ġdid fl-interess popolari fit-Tesla mis-snin disgħin.")</f>
        <v>Tesla kien magħruf għall-kisbiet u l-wirja tiegħu, li eventwalment kiseb reputazzjoni fil-kultura popolari bħala "xjenzat ġenn" arketipali. Il-privattivi tiegħu qalgħu ammont konsiderevoli ta 'flus, li ħafna minnhom intużaw biex jiffinanzjaw il-proġetti tiegħu stess bi gradi differenti ta' suċċess. Tesla miet fis-7 ta 'Jannar 1943. Ix-xogħol tiegħu waqa' f'oskurità relattiva wara mewtu, iżda fl-1960 il-Konferenza Ġenerali dwar il-Piżijiet u l-Miżuri bl-isem tal-Unità SI ta 'Densità tal-Fluss Manjetiku tat-Tesla fl-Unur tiegħu. Kien hemm qawmien mill-ġdid fl-interess popolari fit-Tesla mis-snin disgħin.</v>
      </c>
    </row>
    <row r="23020" ht="15.75" customHeight="1">
      <c r="A23020" s="2" t="s">
        <v>23020</v>
      </c>
      <c r="B23020" s="2" t="str">
        <f>IFERROR(__xludf.DUMMYFUNCTION("GOOGLETRANSLATE(A23020, ""en"", ""mt"")"),"Kumpanija Edison Kontinentali")</f>
        <v>Kumpanija Edison Kontinentali</v>
      </c>
    </row>
    <row r="23021" ht="15.75" customHeight="1">
      <c r="A23021" s="2" t="s">
        <v>23021</v>
      </c>
      <c r="B23021" s="2" t="str">
        <f>IFERROR(__xludf.DUMMYFUNCTION("GOOGLETRANSLATE(A23021, ""en"", ""mt"")"),"Min hu s-satelliti li l-istazzjonijiet il-ġodda bla ħlas jiġu mxandra?")</f>
        <v>Min hu s-satelliti li l-istazzjonijiet il-ġodda bla ħlas jiġu mxandra?</v>
      </c>
    </row>
    <row r="23022" ht="15.75" customHeight="1">
      <c r="A23022" s="2" t="s">
        <v>23022</v>
      </c>
      <c r="B23022" s="2" t="str">
        <f>IFERROR(__xludf.DUMMYFUNCTION("GOOGLETRANSLATE(A23022, ""en"", ""mt"")"),"X'inhi t-tieni skola akkademika tat-teknoloġija fil-Polonja?")</f>
        <v>X'inhi t-tieni skola akkademika tat-teknoloġija fil-Polonja?</v>
      </c>
    </row>
    <row r="23023" ht="15.75" customHeight="1">
      <c r="A23023" s="2" t="s">
        <v>23023</v>
      </c>
      <c r="B23023" s="2" t="str">
        <f>IFERROR(__xludf.DUMMYFUNCTION("GOOGLETRANSLATE(A23023, ""en"", ""mt"")"),"Id-desegregazzjoni tal-iskola fl-Istati Uniti wasslet għal numru akbar ta 'studenti ta' liema etniċità fl-iskejjel pubbliċi?")</f>
        <v>Id-desegregazzjoni tal-iskola fl-Istati Uniti wasslet għal numru akbar ta 'studenti ta' liema etniċità fl-iskejjel pubbliċi?</v>
      </c>
    </row>
    <row r="23024" ht="15.75" customHeight="1">
      <c r="A23024" s="2" t="s">
        <v>23024</v>
      </c>
      <c r="B23024" s="2" t="str">
        <f>IFERROR(__xludf.DUMMYFUNCTION("GOOGLETRANSLATE(A23024, ""en"", ""mt"")"),"kompletament imnaqqas")</f>
        <v>kompletament imnaqqas</v>
      </c>
    </row>
    <row r="23025" ht="15.75" customHeight="1">
      <c r="A23025" s="2" t="s">
        <v>23025</v>
      </c>
      <c r="B23025" s="2" t="str">
        <f>IFERROR(__xludf.DUMMYFUNCTION("GOOGLETRANSLATE(A23025, ""en"", ""mt"")"),"Immedjatament wara l-ħin tad-deċiżjoni, isir ""dibattitu dwar il-membri"", li jdum 45 minuta. In-negozju tal-Membri huwa dibattitu dwar mozzjoni proposta minn MSP li mhux ministru Skoċċiż. Dawn il-mozzjonijiet huma fuq kwistjonijiet li jistgħu jkunu ta 'i"&amp;"nteress għal qasam partikolari bħal kostitwenza ta' membru stess, avveniment li jmiss jew tal-passat jew kwalunkwe oġġett ieħor li altrimenti ma jingħatax ħin parlamentari uffiċjali. Kif ukoll il-proponent, membri oħra normalment jikkontribwixxu għad-diba"&amp;"ttitu. Il-ministru rilevanti, li d-dipartiment tiegħu d-dibattitu u l-mozzjoni għandhom x'jaqsmu ma '""jispiċċaw"" id-dibattitu billi jitkellem wara l-parteċipanti l-oħra kollha.")</f>
        <v>Immedjatament wara l-ħin tad-deċiżjoni, isir "dibattitu dwar il-membri", li jdum 45 minuta. In-negozju tal-Membri huwa dibattitu dwar mozzjoni proposta minn MSP li mhux ministru Skoċċiż. Dawn il-mozzjonijiet huma fuq kwistjonijiet li jistgħu jkunu ta 'interess għal qasam partikolari bħal kostitwenza ta' membru stess, avveniment li jmiss jew tal-passat jew kwalunkwe oġġett ieħor li altrimenti ma jingħatax ħin parlamentari uffiċjali. Kif ukoll il-proponent, membri oħra normalment jikkontribwixxu għad-dibattitu. Il-ministru rilevanti, li d-dipartiment tiegħu d-dibattitu u l-mozzjoni għandhom x'jaqsmu ma '"jispiċċaw" id-dibattitu billi jitkellem wara l-parteċipanti l-oħra kollha.</v>
      </c>
    </row>
    <row r="23026" ht="15.75" customHeight="1">
      <c r="A23026" s="2" t="s">
        <v>23026</v>
      </c>
      <c r="B23026" s="2" t="str">
        <f>IFERROR(__xludf.DUMMYFUNCTION("GOOGLETRANSLATE(A23026, ""en"", ""mt"")"),"Liema tobba ġew enfasizzati fuq l-ewwel rilaxxi tal-awdjo fuq CD?")</f>
        <v>Liema tobba ġew enfasizzati fuq l-ewwel rilaxxi tal-awdjo fuq CD?</v>
      </c>
    </row>
    <row r="23027" ht="15.75" customHeight="1">
      <c r="A23027" s="2" t="s">
        <v>23027</v>
      </c>
      <c r="B23027" s="2" t="str">
        <f>IFERROR(__xludf.DUMMYFUNCTION("GOOGLETRANSLATE(A23027, ""en"", ""mt"")"),"Gilgamesh ta 'uruk u atilla l-hun")</f>
        <v>Gilgamesh ta 'uruk u atilla l-hun</v>
      </c>
    </row>
    <row r="23028" ht="15.75" customHeight="1">
      <c r="A23028" s="2" t="s">
        <v>23028</v>
      </c>
      <c r="B23028" s="2" t="str">
        <f>IFERROR(__xludf.DUMMYFUNCTION("GOOGLETRANSLATE(A23028, ""en"", ""mt"")"),"Skoċċiż")</f>
        <v>Skoċċiż</v>
      </c>
    </row>
    <row r="23029" ht="15.75" customHeight="1">
      <c r="A23029" s="2" t="s">
        <v>23029</v>
      </c>
      <c r="B23029" s="2" t="str">
        <f>IFERROR(__xludf.DUMMYFUNCTION("GOOGLETRANSLATE(A23029, ""en"", ""mt"")"),"Min ipproduċa l-illuminazzjoni għall-Karta tal-1524 li tinsab fl-Arkivju tal-Librerija V&amp;A?")</f>
        <v>Min ipproduċa l-illuminazzjoni għall-Karta tal-1524 li tinsab fl-Arkivju tal-Librerija V&amp;A?</v>
      </c>
    </row>
    <row r="23030" ht="15.75" customHeight="1">
      <c r="A23030" s="2" t="s">
        <v>23030</v>
      </c>
      <c r="B23030" s="2" t="str">
        <f>IFERROR(__xludf.DUMMYFUNCTION("GOOGLETRANSLATE(A23030, ""en"", ""mt"")"),"L-Iskola tan-Negozju ta 'Harvard u ħafna mill-faċilitajiet tal-atletika tal-università, inkluż Harvard Stadium, jinsabu fuq kampus ta' 358-acre (145 ha) faċċata tal-kampus ta 'Cambridge f'Allston. Il-Pont John W. Weeks huwa pont pedonali fuq ix-Xmara Char"&amp;"les li jgħaqqad iż-żewġ kampus. L-Iskola Medika ta 'Harvard, l-Iskola ta' Harvard tal-Mediċina Dentali, u l-Iskola tas-Saħħa Pubblika ta 'Harvard jinsabu fuq kampus ta' 21-acre (8.5 ha) fiż-żona medika u akkademika ta 'Longwood madwar 3.3 mili (5.3 km) fi"&amp;"l-Lbiċ ta' Downtown Boston u 3.3 Miles (5.3 km) fin-nofsinhar tal-kampus ta ’Cambridge.")</f>
        <v>L-Iskola tan-Negozju ta 'Harvard u ħafna mill-faċilitajiet tal-atletika tal-università, inkluż Harvard Stadium, jinsabu fuq kampus ta' 358-acre (145 ha) faċċata tal-kampus ta 'Cambridge f'Allston. Il-Pont John W. Weeks huwa pont pedonali fuq ix-Xmara Charles li jgħaqqad iż-żewġ kampus. L-Iskola Medika ta 'Harvard, l-Iskola ta' Harvard tal-Mediċina Dentali, u l-Iskola tas-Saħħa Pubblika ta 'Harvard jinsabu fuq kampus ta' 21-acre (8.5 ha) fiż-żona medika u akkademika ta 'Longwood madwar 3.3 mili (5.3 km) fil-Lbiċ ta' Downtown Boston u 3.3 Miles (5.3 km) fin-nofsinhar tal-kampus ta ’Cambridge.</v>
      </c>
    </row>
    <row r="23031" ht="15.75" customHeight="1">
      <c r="A23031" s="2" t="s">
        <v>23031</v>
      </c>
      <c r="B23031" s="2" t="str">
        <f>IFERROR(__xludf.DUMMYFUNCTION("GOOGLETRANSLATE(A23031, ""en"", ""mt"")"),"Min kien ir-rivali ta 'Guy?")</f>
        <v>Min kien ir-rivali ta 'Guy?</v>
      </c>
    </row>
    <row r="23032" ht="15.75" customHeight="1">
      <c r="A23032" s="2" t="s">
        <v>23032</v>
      </c>
      <c r="B23032" s="2" t="str">
        <f>IFERROR(__xludf.DUMMYFUNCTION("GOOGLETRANSLATE(A23032, ""en"", ""mt"")"),"f'żoni li qed jiġu deformati b'mod attiv")</f>
        <v>f'żoni li qed jiġu deformati b'mod attiv</v>
      </c>
    </row>
    <row r="23033" ht="15.75" customHeight="1">
      <c r="A23033" s="2" t="s">
        <v>23033</v>
      </c>
      <c r="B23033" s="2" t="str">
        <f>IFERROR(__xludf.DUMMYFUNCTION("GOOGLETRANSLATE(A23033, ""en"", ""mt"")"),"familji ta ’aħwa")</f>
        <v>familji ta ’aħwa</v>
      </c>
    </row>
    <row r="23034" ht="15.75" customHeight="1">
      <c r="A23034" s="2" t="s">
        <v>23034</v>
      </c>
      <c r="B23034" s="2" t="str">
        <f>IFERROR(__xludf.DUMMYFUNCTION("GOOGLETRANSLATE(A23034, ""en"", ""mt"")"),"Kemm ilu abitat ir-reġjun Afrikan tal-Lagi l-Kbar?")</f>
        <v>Kemm ilu abitat ir-reġjun Afrikan tal-Lagi l-Kbar?</v>
      </c>
    </row>
    <row r="23035" ht="15.75" customHeight="1">
      <c r="A23035" s="2" t="s">
        <v>23035</v>
      </c>
      <c r="B23035" s="2" t="str">
        <f>IFERROR(__xludf.DUMMYFUNCTION("GOOGLETRANSLATE(A23035, ""en"", ""mt"")"),"it-tixrid tal-mard mill-Ewropa")</f>
        <v>it-tixrid tal-mard mill-Ewropa</v>
      </c>
    </row>
    <row r="23036" ht="15.75" customHeight="1">
      <c r="A23036" s="2" t="s">
        <v>23036</v>
      </c>
      <c r="B23036" s="2" t="str">
        <f>IFERROR(__xludf.DUMMYFUNCTION("GOOGLETRANSLATE(A23036, ""en"", ""mt"")"),"Dokumenti preċedenti li jistudjaw problemi solvibbli minn magni tat-Turing b'riżorsi speċifiċi li jinkludu d-definizzjoni ta 'John Myhill ta' Automata Linear Limitat (Myhill 1960), l-istudju ta 'Raymond Smullyan dwar is-settijiet rudimentarji (1961), kif "&amp;"ukoll il-karta ta' Hisao Yamada dwar komputazzjonijiet f'ħin reali (1962). Xi ftit qabel, Boris Trakhtenbrot (1956), pijunier fil-qasam mill-USSR, studja miżura oħra ta 'kumplessità speċifika. Kif jiftakar:")</f>
        <v>Dokumenti preċedenti li jistudjaw problemi solvibbli minn magni tat-Turing b'riżorsi speċifiċi li jinkludu d-definizzjoni ta 'John Myhill ta' Automata Linear Limitat (Myhill 1960), l-istudju ta 'Raymond Smullyan dwar is-settijiet rudimentarji (1961), kif ukoll il-karta ta' Hisao Yamada dwar komputazzjonijiet f'ħin reali (1962). Xi ftit qabel, Boris Trakhtenbrot (1956), pijunier fil-qasam mill-USSR, studja miżura oħra ta 'kumplessità speċifika. Kif jiftakar:</v>
      </c>
    </row>
    <row r="23037" ht="15.75" customHeight="1">
      <c r="A23037" s="2" t="s">
        <v>23037</v>
      </c>
      <c r="B23037" s="2" t="str">
        <f>IFERROR(__xludf.DUMMYFUNCTION("GOOGLETRANSLATE(A23037, ""en"", ""mt"")"),"Kemm speċi invertebrati huma magħrufa biss fil-Brażil?")</f>
        <v>Kemm speċi invertebrati huma magħrufa biss fil-Brażil?</v>
      </c>
    </row>
    <row r="23038" ht="15.75" customHeight="1">
      <c r="A23038" s="2" t="s">
        <v>23038</v>
      </c>
      <c r="B23038" s="2" t="str">
        <f>IFERROR(__xludf.DUMMYFUNCTION("GOOGLETRANSLATE(A23038, ""en"", ""mt"")"),"Min hu d-Direttur tal-Qasam tal-NFL?")</f>
        <v>Min hu d-Direttur tal-Qasam tal-NFL?</v>
      </c>
    </row>
    <row r="23039" ht="15.75" customHeight="1">
      <c r="A23039" s="2" t="s">
        <v>23039</v>
      </c>
      <c r="B23039" s="2" t="str">
        <f>IFERROR(__xludf.DUMMYFUNCTION("GOOGLETRANSLATE(A23039, ""en"", ""mt"")"),"parteċipanti ġodda għall-professjoni tat-tagħlim")</f>
        <v>parteċipanti ġodda għall-professjoni tat-tagħlim</v>
      </c>
    </row>
    <row r="23040" ht="15.75" customHeight="1">
      <c r="A23040" s="2" t="s">
        <v>23040</v>
      </c>
      <c r="B23040" s="2" t="str">
        <f>IFERROR(__xludf.DUMMYFUNCTION("GOOGLETRANSLATE(A23040, ""en"", ""mt"")"),"Il-Konvenzjoni Ewropea dwar id-Drittijiet tal-Bniedem")</f>
        <v>Il-Konvenzjoni Ewropea dwar id-Drittijiet tal-Bniedem</v>
      </c>
    </row>
    <row r="23041" ht="15.75" customHeight="1">
      <c r="A23041" s="2" t="s">
        <v>23041</v>
      </c>
      <c r="B23041" s="2" t="str">
        <f>IFERROR(__xludf.DUMMYFUNCTION("GOOGLETRANSLATE(A23041, ""en"", ""mt"")"),"Gandhi spiss irrefera l-poeżija ta 'Shelley fl-isforzi tiegħu biex jagħmel xiex?")</f>
        <v>Gandhi spiss irrefera l-poeżija ta 'Shelley fl-isforzi tiegħu biex jagħmel xiex?</v>
      </c>
    </row>
    <row r="23042" ht="15.75" customHeight="1">
      <c r="A23042" s="2" t="s">
        <v>23042</v>
      </c>
      <c r="B23042" s="2" t="str">
        <f>IFERROR(__xludf.DUMMYFUNCTION("GOOGLETRANSLATE(A23042, ""en"", ""mt"")"),"Kontra liema pajjiż kien is-superjorità promettenti Kennedy?")</f>
        <v>Kontra liema pajjiż kien is-superjorità promettenti Kennedy?</v>
      </c>
    </row>
    <row r="23043" ht="15.75" customHeight="1">
      <c r="A23043" s="2" t="s">
        <v>23043</v>
      </c>
      <c r="B23043" s="2" t="str">
        <f>IFERROR(__xludf.DUMMYFUNCTION("GOOGLETRANSLATE(A23043, ""en"", ""mt"")"),"Xogħol tax-xitan")</f>
        <v>Xogħol tax-xitan</v>
      </c>
    </row>
    <row r="23044" ht="15.75" customHeight="1">
      <c r="A23044" s="2" t="s">
        <v>23044</v>
      </c>
      <c r="B23044" s="2" t="str">
        <f>IFERROR(__xludf.DUMMYFUNCTION("GOOGLETRANSLATE(A23044, ""en"", ""mt"")"),"Magni tal-fwar")</f>
        <v>Magni tal-fwar</v>
      </c>
    </row>
    <row r="23045" ht="15.75" customHeight="1">
      <c r="A23045" s="2" t="s">
        <v>23045</v>
      </c>
      <c r="B23045" s="2" t="str">
        <f>IFERROR(__xludf.DUMMYFUNCTION("GOOGLETRANSLATE(A23045, ""en"", ""mt"")"),"Inkarnazzjoni mhux magħrufa minnu nnifsu")</f>
        <v>Inkarnazzjoni mhux magħrufa minnu nnifsu</v>
      </c>
    </row>
    <row r="23046" ht="15.75" customHeight="1">
      <c r="A23046" s="2" t="s">
        <v>23046</v>
      </c>
      <c r="B23046" s="2" t="str">
        <f>IFERROR(__xludf.DUMMYFUNCTION("GOOGLETRANSLATE(A23046, ""en"", ""mt"")"),"Lenti waħda mudlama")</f>
        <v>Lenti waħda mudlama</v>
      </c>
    </row>
    <row r="23047" ht="15.75" customHeight="1">
      <c r="A23047" s="2" t="s">
        <v>23047</v>
      </c>
      <c r="B23047" s="2" t="str">
        <f>IFERROR(__xludf.DUMMYFUNCTION("GOOGLETRANSLATE(A23047, ""en"", ""mt"")"),"L-effett tal-intervent ta 'Luther kien immedjat. Wara s-sitt priedka, il-ġurista Wittenberg Jerome Schurf kiteb lill-elettur: ""Oh, liema ferħ ir-ritorn ta 'Dr Martin jinfirex fostna! Il-kliem tiegħu, permezz tal-ħniena divina, qed iġibu lura kuljum nies "&amp;"żbaljati fil-mod tal-verità. """)</f>
        <v>L-effett tal-intervent ta 'Luther kien immedjat. Wara s-sitt priedka, il-ġurista Wittenberg Jerome Schurf kiteb lill-elettur: "Oh, liema ferħ ir-ritorn ta 'Dr Martin jinfirex fostna! Il-kliem tiegħu, permezz tal-ħniena divina, qed iġibu lura kuljum nies żbaljati fil-mod tal-verità. "</v>
      </c>
    </row>
    <row r="23048" ht="15.75" customHeight="1">
      <c r="A23048" s="2" t="s">
        <v>23048</v>
      </c>
      <c r="B23048" s="2" t="str">
        <f>IFERROR(__xludf.DUMMYFUNCTION("GOOGLETRANSLATE(A23048, ""en"", ""mt"")"),"Min kien wieħed Kattoliku Ruman favur ir-Riforma Franċiża tas-seklu 15?")</f>
        <v>Min kien wieħed Kattoliku Ruman favur ir-Riforma Franċiża tas-seklu 15?</v>
      </c>
    </row>
    <row r="23049" ht="15.75" customHeight="1">
      <c r="A23049" s="2" t="s">
        <v>23049</v>
      </c>
      <c r="B23049" s="2" t="str">
        <f>IFERROR(__xludf.DUMMYFUNCTION("GOOGLETRANSLATE(A23049, ""en"", ""mt"")"),"Torok ""(Musulmani) u Kattoliċi")</f>
        <v>Torok "(Musulmani) u Kattoliċi</v>
      </c>
    </row>
    <row r="23050" ht="15.75" customHeight="1">
      <c r="A23050" s="2" t="s">
        <v>23050</v>
      </c>
      <c r="B23050" s="2" t="str">
        <f>IFERROR(__xludf.DUMMYFUNCTION("GOOGLETRANSLATE(A23050, ""en"", ""mt"")"),"F'liema proċess ġeneralment ikun iffurmat l-ossiġnu singlet?")</f>
        <v>F'liema proċess ġeneralment ikun iffurmat l-ossiġnu singlet?</v>
      </c>
    </row>
    <row r="23051" ht="15.75" customHeight="1">
      <c r="A23051" s="2" t="s">
        <v>23051</v>
      </c>
      <c r="B23051" s="2" t="str">
        <f>IFERROR(__xludf.DUMMYFUNCTION("GOOGLETRANSLATE(A23051, ""en"", ""mt"")"),"X'inhi l-ispiża stmata tal-Gallerija tad-ditta V&amp;A?")</f>
        <v>X'inhi l-ispiża stmata tal-Gallerija tad-ditta V&amp;A?</v>
      </c>
    </row>
    <row r="23052" ht="15.75" customHeight="1">
      <c r="A23052" s="2" t="s">
        <v>23052</v>
      </c>
      <c r="B23052" s="2" t="str">
        <f>IFERROR(__xludf.DUMMYFUNCTION("GOOGLETRANSLATE(A23052, ""en"", ""mt"")"),"X'inhu l-isem tal-papyrus Eġizzjan li jissuġġerixxi li setgħu kellhom għarfien tan-numri ewlenin?")</f>
        <v>X'inhu l-isem tal-papyrus Eġizzjan li jissuġġerixxi li setgħu kellhom għarfien tan-numri ewlenin?</v>
      </c>
    </row>
    <row r="23053" ht="15.75" customHeight="1">
      <c r="A23053" s="2" t="s">
        <v>23053</v>
      </c>
      <c r="B23053" s="2" t="str">
        <f>IFERROR(__xludf.DUMMYFUNCTION("GOOGLETRANSLATE(A23053, ""en"", ""mt"")"),"Il-predaturi taċ-ctenophores huma, veġetarjani jew parassitiċi?")</f>
        <v>Il-predaturi taċ-ctenophores huma, veġetarjani jew parassitiċi?</v>
      </c>
    </row>
    <row r="23054" ht="15.75" customHeight="1">
      <c r="A23054" s="2" t="s">
        <v>23054</v>
      </c>
      <c r="B23054" s="2" t="str">
        <f>IFERROR(__xludf.DUMMYFUNCTION("GOOGLETRANSLATE(A23054, ""en"", ""mt"")"),"minn dawk li jħossu li t-tobba biss jistgħu jivvalutaw b'mod affidabbli l-kontraindikazzjonijiet, il-proporzjonijiet tar-riskju / benefiċċju, u l-adegwatezza ġenerali ta 'individwu għall-użu ta' medikazzjoni")</f>
        <v>minn dawk li jħossu li t-tobba biss jistgħu jivvalutaw b'mod affidabbli l-kontraindikazzjonijiet, il-proporzjonijiet tar-riskju / benefiċċju, u l-adegwatezza ġenerali ta 'individwu għall-użu ta' medikazzjoni</v>
      </c>
    </row>
    <row r="23055" ht="15.75" customHeight="1">
      <c r="A23055" s="2" t="s">
        <v>23055</v>
      </c>
      <c r="B23055" s="2" t="str">
        <f>IFERROR(__xludf.DUMMYFUNCTION("GOOGLETRANSLATE(A23055, ""en"", ""mt"")"),"apicomplexans")</f>
        <v>apicomplexans</v>
      </c>
    </row>
    <row r="23056" ht="15.75" customHeight="1">
      <c r="A23056" s="2" t="s">
        <v>23056</v>
      </c>
      <c r="B23056" s="2" t="str">
        <f>IFERROR(__xludf.DUMMYFUNCTION("GOOGLETRANSLATE(A23056, ""en"", ""mt"")"),"Edgar Scherick")</f>
        <v>Edgar Scherick</v>
      </c>
    </row>
    <row r="23057" ht="15.75" customHeight="1">
      <c r="A23057" s="2" t="s">
        <v>23057</v>
      </c>
      <c r="B23057" s="2" t="str">
        <f>IFERROR(__xludf.DUMMYFUNCTION("GOOGLETRANSLATE(A23057, ""en"", ""mt"")"),"21")</f>
        <v>21</v>
      </c>
    </row>
    <row r="23058" ht="15.75" customHeight="1">
      <c r="A23058" s="2" t="s">
        <v>23058</v>
      </c>
      <c r="B23058" s="2" t="str">
        <f>IFERROR(__xludf.DUMMYFUNCTION("GOOGLETRANSLATE(A23058, ""en"", ""mt"")"),"Għal xiex kien l-akronimu LMP rigward il-pożizzjonijiet ta 'tnedija tal-Blokk II?")</f>
        <v>Għal xiex kien l-akronimu LMP rigward il-pożizzjonijiet ta 'tnedija tal-Blokk II?</v>
      </c>
    </row>
    <row r="23059" ht="15.75" customHeight="1">
      <c r="A23059" s="2" t="s">
        <v>23059</v>
      </c>
      <c r="B23059" s="2" t="str">
        <f>IFERROR(__xludf.DUMMYFUNCTION("GOOGLETRANSLATE(A23059, ""en"", ""mt"")"),"Jekk ir-rimjiet ta 'l-anġjosperma ma jkunux esposti għad-dawl meħtieġ għall-formazzjoni tal-kloroplast, il-proplastidi jistgħu jiżviluppaw fi stadju ta' etioplast qabel ma jsiru kloroplasti. Etioplast huwa plastid li jonqosha klorofilla, u għandu invagina"&amp;"zzjonijiet ta 'membrana ta' ġewwa li jiffurmaw kannizzata ta 'tubi fl-istoma tagħhom, imsejħa korp prolamellari. Filwaqt li l-etioplasti m'għandhomx klorofilla, huma għandhom prekursur tal-klorofilla isfar. Fi ftit minuti mill-esponiment tad-dawl, il-korp"&amp;" prolamellari jibda jerġa 'jorganizza f'munzelli ta' thylakoids, u l-klorofilla tibda tiġi prodotta. Dan il-proċess, fejn l-etioplast isir kloroplast, jieħu diversi sigħat. Gymnosperms ma jeħtiġux dawl biex jiffurmaw kloroplasti.")</f>
        <v>Jekk ir-rimjiet ta 'l-anġjosperma ma jkunux esposti għad-dawl meħtieġ għall-formazzjoni tal-kloroplast, il-proplastidi jistgħu jiżviluppaw fi stadju ta' etioplast qabel ma jsiru kloroplasti. Etioplast huwa plastid li jonqosha klorofilla, u għandu invaginazzjonijiet ta 'membrana ta' ġewwa li jiffurmaw kannizzata ta 'tubi fl-istoma tagħhom, imsejħa korp prolamellari. Filwaqt li l-etioplasti m'għandhomx klorofilla, huma għandhom prekursur tal-klorofilla isfar. Fi ftit minuti mill-esponiment tad-dawl, il-korp prolamellari jibda jerġa 'jorganizza f'munzelli ta' thylakoids, u l-klorofilla tibda tiġi prodotta. Dan il-proċess, fejn l-etioplast isir kloroplast, jieħu diversi sigħat. Gymnosperms ma jeħtiġux dawl biex jiffurmaw kloroplasti.</v>
      </c>
    </row>
    <row r="23060" ht="15.75" customHeight="1">
      <c r="A23060" s="2" t="s">
        <v>23060</v>
      </c>
      <c r="B23060" s="2" t="str">
        <f>IFERROR(__xludf.DUMMYFUNCTION("GOOGLETRANSLATE(A23060, ""en"", ""mt"")"),"L-evoluzzjoni tas-sistema immunitarja adattiva seħħet f'antenat tal-vertebrati tax-xedaq. Ħafna mill-molekuli klassiċi tas-sistema immuni adatta (per eżempju, immunoglobulini u riċetturi taċ-ċelloli T) jeżistu biss fil-vertebrati tax-xedaq. Madankollu, ġi"&amp;"et skoperta molekula derivata minn limfoċiti distinta fil-vertebrati primittivi tax-xedaq, bħalma huma l-lamprey u l-hagfish. Dawn l-annimali għandhom firxa kbira ta 'molekuli msejħa riċetturi ta' limfoċiti varjabbli (VLRs) li, bħar-riċetturi tal-antiġen "&amp;"tal-vertebrati tax-xedaq, huma prodotti minn numru żgħir biss (wieħed jew tnejn) ta 'ġeni. Dawn il-molekuli huma maħsuba li jorbtu antiġeni patoġeniċi b'mod simili għal antikorpi, u bl-istess grad ta 'speċifiċità.")</f>
        <v>L-evoluzzjoni tas-sistema immunitarja adattiva seħħet f'antenat tal-vertebrati tax-xedaq. Ħafna mill-molekuli klassiċi tas-sistema immuni adatta (per eżempju, immunoglobulini u riċetturi taċ-ċelloli T) jeżistu biss fil-vertebrati tax-xedaq. Madankollu, ġiet skoperta molekula derivata minn limfoċiti distinta fil-vertebrati primittivi tax-xedaq, bħalma huma l-lamprey u l-hagfish. Dawn l-annimali għandhom firxa kbira ta 'molekuli msejħa riċetturi ta' limfoċiti varjabbli (VLRs) li, bħar-riċetturi tal-antiġen tal-vertebrati tax-xedaq, huma prodotti minn numru żgħir biss (wieħed jew tnejn) ta 'ġeni. Dawn il-molekuli huma maħsuba li jorbtu antiġeni patoġeniċi b'mod simili għal antikorpi, u bl-istess grad ta 'speċifiċità.</v>
      </c>
    </row>
    <row r="23061" ht="15.75" customHeight="1">
      <c r="A23061" s="2" t="s">
        <v>23061</v>
      </c>
      <c r="B23061" s="2" t="str">
        <f>IFERROR(__xludf.DUMMYFUNCTION("GOOGLETRANSLATE(A23061, ""en"", ""mt"")"),"Fit-23 ta ’April, 1968, il-Knisja Metodista Magħquda nħolqot meta l-Knisja Evanġelika ta’ Ħutna (irrappreżentata mill-Isqof Reuben H. Mueller) u l-Knisja Metodista (irrappreżentata mill-Isqof Lloyd Christ Wicke) ingħaqdu f’idejhom fil-konferenza ġenerali "&amp;"li kostitwixxa f’Dallas, Texas - Bil-kliem, ""Mulej tal-Knisja, aħna magħqudin fik, fil-knisja tiegħek u issa fil-Knisja Metodista Magħquda"" id-denominazzjoni l-ġdida twelled miż-żewġ knejjes li kellhom storiji distinti u ministeri influwenti f'diversi p"&amp;"artijiet tad-dinja -")</f>
        <v>Fit-23 ta ’April, 1968, il-Knisja Metodista Magħquda nħolqot meta l-Knisja Evanġelika ta’ Ħutna (irrappreżentata mill-Isqof Reuben H. Mueller) u l-Knisja Metodista (irrappreżentata mill-Isqof Lloyd Christ Wicke) ingħaqdu f’idejhom fil-konferenza ġenerali li kostitwixxa f’Dallas, Texas - Bil-kliem, "Mulej tal-Knisja, aħna magħqudin fik, fil-knisja tiegħek u issa fil-Knisja Metodista Magħquda" id-denominazzjoni l-ġdida twelled miż-żewġ knejjes li kellhom storiji distinti u ministeri influwenti f'diversi partijiet tad-dinja -</v>
      </c>
    </row>
    <row r="23062" ht="15.75" customHeight="1">
      <c r="A23062" s="2" t="s">
        <v>23062</v>
      </c>
      <c r="B23062" s="2" t="str">
        <f>IFERROR(__xludf.DUMMYFUNCTION("GOOGLETRANSLATE(A23062, ""en"", ""mt"")"),"Patoġenesi intraċellulari")</f>
        <v>Patoġenesi intraċellulari</v>
      </c>
    </row>
    <row r="23063" ht="15.75" customHeight="1">
      <c r="A23063" s="2" t="s">
        <v>23063</v>
      </c>
      <c r="B23063" s="2" t="str">
        <f>IFERROR(__xludf.DUMMYFUNCTION("GOOGLETRANSLATE(A23063, ""en"", ""mt"")"),"komponenti indipendenti")</f>
        <v>komponenti indipendenti</v>
      </c>
    </row>
    <row r="23064" ht="15.75" customHeight="1">
      <c r="A23064" s="2" t="s">
        <v>23064</v>
      </c>
      <c r="B23064" s="2" t="str">
        <f>IFERROR(__xludf.DUMMYFUNCTION("GOOGLETRANSLATE(A23064, ""en"", ""mt"")"),"Kemm ġabru flus il-kumitat?")</f>
        <v>Kemm ġabru flus il-kumitat?</v>
      </c>
    </row>
    <row r="23065" ht="15.75" customHeight="1">
      <c r="A23065" s="2" t="s">
        <v>23065</v>
      </c>
      <c r="B23065" s="2" t="str">
        <f>IFERROR(__xludf.DUMMYFUNCTION("GOOGLETRANSLATE(A23065, ""en"", ""mt"")"),"21 minuta")</f>
        <v>21 minuta</v>
      </c>
    </row>
    <row r="23066" ht="15.75" customHeight="1">
      <c r="A23066" s="2" t="s">
        <v>23066</v>
      </c>
      <c r="B23066" s="2" t="str">
        <f>IFERROR(__xludf.DUMMYFUNCTION("GOOGLETRANSLATE(A23066, ""en"", ""mt"")"),"1562")</f>
        <v>1562</v>
      </c>
    </row>
    <row r="23067" ht="15.75" customHeight="1">
      <c r="A23067" s="2" t="s">
        <v>23067</v>
      </c>
      <c r="B23067" s="2" t="str">
        <f>IFERROR(__xludf.DUMMYFUNCTION("GOOGLETRANSLATE(A23067, ""en"", ""mt"")"),"1226")</f>
        <v>1226</v>
      </c>
    </row>
    <row r="23068" ht="15.75" customHeight="1">
      <c r="A23068" s="2" t="s">
        <v>23068</v>
      </c>
      <c r="B23068" s="2" t="str">
        <f>IFERROR(__xludf.DUMMYFUNCTION("GOOGLETRANSLATE(A23068, ""en"", ""mt"")"),"L-ispiżeriji tal-isptar ġeneralment jaħżnu firxa akbar ta 'mediċini, inklużi mediċini aktar speċjalizzati")</f>
        <v>L-ispiżeriji tal-isptar ġeneralment jaħżnu firxa akbar ta 'mediċini, inklużi mediċini aktar speċjalizzati</v>
      </c>
    </row>
    <row r="23069" ht="15.75" customHeight="1">
      <c r="A23069" s="2" t="s">
        <v>23069</v>
      </c>
      <c r="B23069" s="2" t="str">
        <f>IFERROR(__xludf.DUMMYFUNCTION("GOOGLETRANSLATE(A23069, ""en"", ""mt"")"),"Time Lord")</f>
        <v>Time Lord</v>
      </c>
    </row>
    <row r="23070" ht="15.75" customHeight="1">
      <c r="A23070" s="2" t="s">
        <v>23070</v>
      </c>
      <c r="B23070" s="2" t="str">
        <f>IFERROR(__xludf.DUMMYFUNCTION("GOOGLETRANSLATE(A23070, ""en"", ""mt"")"),"fażi ta 'setup f'kull nodu involut qabel ma jiġi trasferit kwalunkwe pakkett biex jistabbilixxi l-parametri tal-komunikazzjoni")</f>
        <v>fażi ta 'setup f'kull nodu involut qabel ma jiġi trasferit kwalunkwe pakkett biex jistabbilixxi l-parametri tal-komunikazzjoni</v>
      </c>
    </row>
    <row r="23071" ht="15.75" customHeight="1">
      <c r="A23071" s="2" t="s">
        <v>23071</v>
      </c>
      <c r="B23071" s="2" t="str">
        <f>IFERROR(__xludf.DUMMYFUNCTION("GOOGLETRANSLATE(A23071, ""en"", ""mt"")"),"Il-ġurnata preżenti upstate New York u l-pajjiż Ohio")</f>
        <v>Il-ġurnata preżenti upstate New York u l-pajjiż Ohio</v>
      </c>
    </row>
    <row r="23072" ht="15.75" customHeight="1">
      <c r="A23072" s="2" t="s">
        <v>23072</v>
      </c>
      <c r="B23072" s="2" t="str">
        <f>IFERROR(__xludf.DUMMYFUNCTION("GOOGLETRANSLATE(A23072, ""en"", ""mt"")"),"Otrar")</f>
        <v>Otrar</v>
      </c>
    </row>
    <row r="23073" ht="15.75" customHeight="1">
      <c r="A23073" s="2" t="s">
        <v>23073</v>
      </c>
      <c r="B23073" s="2" t="str">
        <f>IFERROR(__xludf.DUMMYFUNCTION("GOOGLETRANSLATE(A23073, ""en"", ""mt"")"),"Fay")</f>
        <v>Fay</v>
      </c>
    </row>
    <row r="23074" ht="15.75" customHeight="1">
      <c r="A23074" s="2" t="s">
        <v>23074</v>
      </c>
      <c r="B23074" s="2" t="str">
        <f>IFERROR(__xludf.DUMMYFUNCTION("GOOGLETRANSLATE(A23074, ""en"", ""mt"")"),"Min rebaħ il-Kampjonat Ekstraklasa fl-2000?")</f>
        <v>Min rebaħ il-Kampjonat Ekstraklasa fl-2000?</v>
      </c>
    </row>
    <row r="23075" ht="15.75" customHeight="1">
      <c r="A23075" s="2" t="s">
        <v>23075</v>
      </c>
      <c r="B23075" s="2" t="str">
        <f>IFERROR(__xludf.DUMMYFUNCTION("GOOGLETRANSLATE(A23075, ""en"", ""mt"")"),"X'kienu l-fossili li nstabu li jirrappreżentaw ctenphores nieqsa minn dak il-kurrent li għandhom?")</f>
        <v>X'kienu l-fossili li nstabu li jirrappreżentaw ctenphores nieqsa minn dak il-kurrent li għandhom?</v>
      </c>
    </row>
    <row r="23076" ht="15.75" customHeight="1">
      <c r="A23076" s="2" t="s">
        <v>23076</v>
      </c>
      <c r="B23076" s="2" t="str">
        <f>IFERROR(__xludf.DUMMYFUNCTION("GOOGLETRANSLATE(A23076, ""en"", ""mt"")"),"ħarab")</f>
        <v>ħarab</v>
      </c>
    </row>
    <row r="23077" ht="15.75" customHeight="1">
      <c r="A23077" s="2" t="s">
        <v>23077</v>
      </c>
      <c r="B23077" s="2" t="str">
        <f>IFERROR(__xludf.DUMMYFUNCTION("GOOGLETRANSLATE(A23077, ""en"", ""mt"")"),"il-pressjonijiet totali baxxi użati")</f>
        <v>il-pressjonijiet totali baxxi użati</v>
      </c>
    </row>
    <row r="23078" ht="15.75" customHeight="1">
      <c r="A23078" s="2" t="s">
        <v>23078</v>
      </c>
      <c r="B23078" s="2" t="str">
        <f>IFERROR(__xludf.DUMMYFUNCTION("GOOGLETRANSLATE(A23078, ""en"", ""mt"")"),"Torri ta 'Wardenclyffe")</f>
        <v>Torri ta 'Wardenclyffe</v>
      </c>
    </row>
    <row r="23079" ht="15.75" customHeight="1">
      <c r="A23079" s="2" t="s">
        <v>23079</v>
      </c>
      <c r="B23079" s="2" t="str">
        <f>IFERROR(__xludf.DUMMYFUNCTION("GOOGLETRANSLATE(A23079, ""en"", ""mt"")"),"Kwistjonijiet relatati mas-sustanza tad-dikjarazzjoni")</f>
        <v>Kwistjonijiet relatati mas-sustanza tad-dikjarazzjoni</v>
      </c>
    </row>
    <row r="23080" ht="15.75" customHeight="1">
      <c r="A23080" s="2" t="s">
        <v>23080</v>
      </c>
      <c r="B23080" s="2" t="str">
        <f>IFERROR(__xludf.DUMMYFUNCTION("GOOGLETRANSLATE(A23080, ""en"", ""mt"")"),"Iroquois")</f>
        <v>Iroquois</v>
      </c>
    </row>
    <row r="23081" ht="15.75" customHeight="1">
      <c r="A23081" s="2" t="s">
        <v>23081</v>
      </c>
      <c r="B23081" s="2" t="str">
        <f>IFERROR(__xludf.DUMMYFUNCTION("GOOGLETRANSLATE(A23081, ""en"", ""mt"")"),"X'inhi l-petroloġija?")</f>
        <v>X'inhi l-petroloġija?</v>
      </c>
    </row>
    <row r="23082" ht="15.75" customHeight="1">
      <c r="A23082" s="2" t="s">
        <v>23082</v>
      </c>
      <c r="B23082" s="2" t="str">
        <f>IFERROR(__xludf.DUMMYFUNCTION("GOOGLETRANSLATE(A23082, ""en"", ""mt"")"),"It-Tyneside Flat")</f>
        <v>It-Tyneside Flat</v>
      </c>
    </row>
    <row r="23083" ht="15.75" customHeight="1">
      <c r="A23083" s="2" t="s">
        <v>23083</v>
      </c>
      <c r="B23083" s="2" t="str">
        <f>IFERROR(__xludf.DUMMYFUNCTION("GOOGLETRANSLATE(A23083, ""en"", ""mt"")"),"Liema trasportatur ċellulari kellu l-uniku kuntratt għas-Super Bowl biex jintwera fuq smartphones?")</f>
        <v>Liema trasportatur ċellulari kellu l-uniku kuntratt għas-Super Bowl biex jintwera fuq smartphones?</v>
      </c>
    </row>
    <row r="23084" ht="15.75" customHeight="1">
      <c r="A23084" s="2" t="s">
        <v>23084</v>
      </c>
      <c r="B23084" s="2" t="str">
        <f>IFERROR(__xludf.DUMMYFUNCTION("GOOGLETRANSLATE(A23084, ""en"", ""mt"")"),"arja ħażina")</f>
        <v>arja ħażina</v>
      </c>
    </row>
    <row r="23085" ht="15.75" customHeight="1">
      <c r="A23085" s="2" t="s">
        <v>23085</v>
      </c>
      <c r="B23085" s="2" t="str">
        <f>IFERROR(__xludf.DUMMYFUNCTION("GOOGLETRANSLATE(A23085, ""en"", ""mt"")"),"Katekiżmu akbar")</f>
        <v>Katekiżmu akbar</v>
      </c>
    </row>
    <row r="23086" ht="15.75" customHeight="1">
      <c r="A23086" s="2" t="s">
        <v>23086</v>
      </c>
      <c r="B23086" s="2" t="str">
        <f>IFERROR(__xludf.DUMMYFUNCTION("GOOGLETRANSLATE(A23086, ""en"", ""mt"")"),"Waterford preżenti, Pennsylvania")</f>
        <v>Waterford preżenti, Pennsylvania</v>
      </c>
    </row>
    <row r="23087" ht="15.75" customHeight="1">
      <c r="A23087" s="2" t="s">
        <v>23087</v>
      </c>
      <c r="B23087" s="2" t="str">
        <f>IFERROR(__xludf.DUMMYFUNCTION("GOOGLETRANSLATE(A23087, ""en"", ""mt"")"),"26 sena")</f>
        <v>26 sena</v>
      </c>
    </row>
    <row r="23088" ht="15.75" customHeight="1">
      <c r="A23088" s="2" t="s">
        <v>23088</v>
      </c>
      <c r="B23088" s="2" t="str">
        <f>IFERROR(__xludf.DUMMYFUNCTION("GOOGLETRANSLATE(A23088, ""en"", ""mt"")"),"Meta Luther huwa kkommemorat mill-Knisja tal-Ingilterra?")</f>
        <v>Meta Luther huwa kkommemorat mill-Knisja tal-Ingilterra?</v>
      </c>
    </row>
    <row r="23089" ht="15.75" customHeight="1">
      <c r="A23089" s="2" t="s">
        <v>23089</v>
      </c>
      <c r="B23089" s="2" t="str">
        <f>IFERROR(__xludf.DUMMYFUNCTION("GOOGLETRANSLATE(A23089, ""en"", ""mt"")"),"Ma 'min għamel l-internet2 ma'")</f>
        <v>Ma 'min għamel l-internet2 ma'</v>
      </c>
    </row>
    <row r="23090" ht="15.75" customHeight="1">
      <c r="A23090" s="2" t="s">
        <v>23090</v>
      </c>
      <c r="B23090" s="2" t="str">
        <f>IFERROR(__xludf.DUMMYFUNCTION("GOOGLETRANSLATE(A23090, ""en"", ""mt"")"),"Minn min, lil Luther, kienet il-ġustifikazzjoni għal kollox ix-xogħol?")</f>
        <v>Minn min, lil Luther, kienet il-ġustifikazzjoni għal kollox ix-xogħol?</v>
      </c>
    </row>
    <row r="23091" ht="15.75" customHeight="1">
      <c r="A23091" s="2" t="s">
        <v>23091</v>
      </c>
      <c r="B23091" s="2" t="str">
        <f>IFERROR(__xludf.DUMMYFUNCTION("GOOGLETRANSLATE(A23091, ""en"", ""mt"")"),"Bibbja Tyndale")</f>
        <v>Bibbja Tyndale</v>
      </c>
    </row>
    <row r="23092" ht="15.75" customHeight="1">
      <c r="A23092" s="2" t="s">
        <v>23092</v>
      </c>
      <c r="B23092" s="2" t="str">
        <f>IFERROR(__xludf.DUMMYFUNCTION("GOOGLETRANSLATE(A23092, ""en"", ""mt"")"),"tmien snin")</f>
        <v>tmien snin</v>
      </c>
    </row>
    <row r="23093" ht="15.75" customHeight="1">
      <c r="A23093" s="2" t="s">
        <v>23093</v>
      </c>
      <c r="B23093" s="2" t="str">
        <f>IFERROR(__xludf.DUMMYFUNCTION("GOOGLETRANSLATE(A23093, ""en"", ""mt"")"),"Il-ħtieġa għall-ekonomiji kapitalisti biex jespandu kontinwament l-investiment, ir-riżorsi materjali u l-ħaddiema b'tali mod li kien jeħtieġ espansjoni kolonjali.")</f>
        <v>Il-ħtieġa għall-ekonomiji kapitalisti biex jespandu kontinwament l-investiment, ir-riżorsi materjali u l-ħaddiema b'tali mod li kien jeħtieġ espansjoni kolonjali.</v>
      </c>
    </row>
    <row r="23094" ht="15.75" customHeight="1">
      <c r="A23094" s="2" t="s">
        <v>23094</v>
      </c>
      <c r="B23094" s="2" t="str">
        <f>IFERROR(__xludf.DUMMYFUNCTION("GOOGLETRANSLATE(A23094, ""en"", ""mt"")"),"Obdi l-kuxjenza tagħha aktar milli l-liġi umana")</f>
        <v>Obdi l-kuxjenza tagħha aktar milli l-liġi umana</v>
      </c>
    </row>
    <row r="23095" ht="15.75" customHeight="1">
      <c r="A23095" s="2" t="s">
        <v>23095</v>
      </c>
      <c r="B23095" s="2" t="str">
        <f>IFERROR(__xludf.DUMMYFUNCTION("GOOGLETRANSLATE(A23095, ""en"", ""mt"")"),"skateboard")</f>
        <v>skateboard</v>
      </c>
    </row>
    <row r="23096" ht="15.75" customHeight="1">
      <c r="A23096" s="2" t="s">
        <v>23096</v>
      </c>
      <c r="B23096" s="2" t="str">
        <f>IFERROR(__xludf.DUMMYFUNCTION("GOOGLETRANSLATE(A23096, ""en"", ""mt"")"),"jistgħu jinterpretaw it-trattati, iżda ma jistgħux jiddeċiedu fuq il-validità tagħhom")</f>
        <v>jistgħu jinterpretaw it-trattati, iżda ma jistgħux jiddeċiedu fuq il-validità tagħhom</v>
      </c>
    </row>
    <row r="23097" ht="15.75" customHeight="1">
      <c r="A23097" s="2" t="s">
        <v>23097</v>
      </c>
      <c r="B23097" s="2" t="str">
        <f>IFERROR(__xludf.DUMMYFUNCTION("GOOGLETRANSLATE(A23097, ""en"", ""mt"")"),"Dominanza politika u monetarja")</f>
        <v>Dominanza politika u monetarja</v>
      </c>
    </row>
    <row r="23098" ht="15.75" customHeight="1">
      <c r="A23098" s="2" t="s">
        <v>23098</v>
      </c>
      <c r="B23098" s="2" t="str">
        <f>IFERROR(__xludf.DUMMYFUNCTION("GOOGLETRANSLATE(A23098, ""en"", ""mt"")"),"Deher ċar ukoll li Apollo se jegħleb il-faċilitajiet ta 'tnedija ta' Canaveral fi Florida. Iż-żewġ kumplessi l-aktar ġodda tal-varar kienu diġà qed jinbnew għar-rokits Saturn I u IB fit-tarf tat-tramuntana: LC-34 u LC-37. Iżda faċilità saħansitra akbar tk"&amp;"un meħtieġa għar-rokit Mammoth meħtieġ għall-missjoni lunari mgħammra, u għalhekk l-akkwist tal-art beda f'Lulju 1961 għal Ċentru ta 'Operazzjonijiet ta' Tnedija (LOC) immedjatament fit-tramuntana ta 'Canaveral fil-Gżira Merritt. Id-disinn, l-iżvilupp u l"&amp;"-kostruzzjoni taċ-ċentru tmexxew minn Kurt H. Debus, membru tat-tim oriġinali tal-Inġinerija tar-Rocket V-2 ta 'Dr Wernher Von Braun. Debus ġie msemmi l-ewwel direttur tal-LOC. Il-kostruzzjoni bdiet f'Novembru tal-1962. Mal-mewt ta 'Kennedy, il-President "&amp;"Johnson ħareġ ordni eżekuttiva fid-29 ta' Novembru, 1963, biex jismu mill-ġdid il-Loc u l-Cape Canaveral ad unur Kennedy.")</f>
        <v>Deher ċar ukoll li Apollo se jegħleb il-faċilitajiet ta 'tnedija ta' Canaveral fi Florida. Iż-żewġ kumplessi l-aktar ġodda tal-varar kienu diġà qed jinbnew għar-rokits Saturn I u IB fit-tarf tat-tramuntana: LC-34 u LC-37. Iżda faċilità saħansitra akbar tkun meħtieġa għar-rokit Mammoth meħtieġ għall-missjoni lunari mgħammra, u għalhekk l-akkwist tal-art beda f'Lulju 1961 għal Ċentru ta 'Operazzjonijiet ta' Tnedija (LOC) immedjatament fit-tramuntana ta 'Canaveral fil-Gżira Merritt. Id-disinn, l-iżvilupp u l-kostruzzjoni taċ-ċentru tmexxew minn Kurt H. Debus, membru tat-tim oriġinali tal-Inġinerija tar-Rocket V-2 ta 'Dr Wernher Von Braun. Debus ġie msemmi l-ewwel direttur tal-LOC. Il-kostruzzjoni bdiet f'Novembru tal-1962. Mal-mewt ta 'Kennedy, il-President Johnson ħareġ ordni eżekuttiva fid-29 ta' Novembru, 1963, biex jismu mill-ġdid il-Loc u l-Cape Canaveral ad unur Kennedy.</v>
      </c>
    </row>
    <row r="23099" ht="15.75" customHeight="1">
      <c r="A23099" s="2" t="s">
        <v>23099</v>
      </c>
      <c r="B23099" s="2" t="str">
        <f>IFERROR(__xludf.DUMMYFUNCTION("GOOGLETRANSLATE(A23099, ""en"", ""mt"")"),"X'kien l-iskor finali tal-logħba bejn il-Panthers u l-Seahawks?")</f>
        <v>X'kien l-iskor finali tal-logħba bejn il-Panthers u l-Seahawks?</v>
      </c>
    </row>
    <row r="23100" ht="15.75" customHeight="1">
      <c r="A23100" s="2" t="s">
        <v>23100</v>
      </c>
      <c r="B23100" s="2" t="str">
        <f>IFERROR(__xludf.DUMMYFUNCTION("GOOGLETRANSLATE(A23100, ""en"", ""mt"")"),"X'inhu kastig komuni f'Singapore?")</f>
        <v>X'inhu kastig komuni f'Singapore?</v>
      </c>
    </row>
    <row r="23101" ht="15.75" customHeight="1">
      <c r="A23101" s="2" t="s">
        <v>23101</v>
      </c>
      <c r="B23101" s="2" t="str">
        <f>IFERROR(__xludf.DUMMYFUNCTION("GOOGLETRANSLATE(A23101, ""en"", ""mt"")"),"Tfal tad-Dinja")</f>
        <v>Tfal tad-Dinja</v>
      </c>
    </row>
    <row r="23102" ht="15.75" customHeight="1">
      <c r="A23102" s="2" t="s">
        <v>23102</v>
      </c>
      <c r="B23102" s="2" t="str">
        <f>IFERROR(__xludf.DUMMYFUNCTION("GOOGLETRANSLATE(A23102, ""en"", ""mt"")"),"Ċirku kommutattiv Noeterjan")</f>
        <v>Ċirku kommutattiv Noeterjan</v>
      </c>
    </row>
    <row r="23103" ht="15.75" customHeight="1">
      <c r="A23103" s="2" t="s">
        <v>23103</v>
      </c>
      <c r="B23103" s="2" t="str">
        <f>IFERROR(__xludf.DUMMYFUNCTION("GOOGLETRANSLATE(A23103, ""en"", ""mt"")"),"Min mexxa t-tielet diviżjoni f'Khwarezmia flimkien ma 'Genghis Khan innifsu?")</f>
        <v>Min mexxa t-tielet diviżjoni f'Khwarezmia flimkien ma 'Genghis Khan innifsu?</v>
      </c>
    </row>
    <row r="23104" ht="15.75" customHeight="1">
      <c r="A23104" s="2" t="s">
        <v>23104</v>
      </c>
      <c r="B23104" s="2" t="str">
        <f>IFERROR(__xludf.DUMMYFUNCTION("GOOGLETRANSLATE(A23104, ""en"", ""mt"")"),"awtorizzata taxxa fuq il-bejgħ ta 'nofs penny")</f>
        <v>awtorizzata taxxa fuq il-bejgħ ta 'nofs penny</v>
      </c>
    </row>
    <row r="23105" ht="15.75" customHeight="1">
      <c r="A23105" s="2" t="s">
        <v>23105</v>
      </c>
      <c r="B23105" s="2" t="str">
        <f>IFERROR(__xludf.DUMMYFUNCTION("GOOGLETRANSLATE(A23105, ""en"", ""mt"")"),"illustrazzjoni tal-għaxar kmandamenti,")</f>
        <v>illustrazzjoni tal-għaxar kmandamenti,</v>
      </c>
    </row>
    <row r="23106" ht="15.75" customHeight="1">
      <c r="A23106" s="2" t="s">
        <v>23106</v>
      </c>
      <c r="B23106" s="2" t="str">
        <f>IFERROR(__xludf.DUMMYFUNCTION("GOOGLETRANSLATE(A23106, ""en"", ""mt"")"),"Dak li jipprovdi soluzzjoni għal-lista ta 'numri interi pprovduti bħala input li ned li għandu jiġi magħżul?")</f>
        <v>Dak li jipprovdi soluzzjoni għal-lista ta 'numri interi pprovduti bħala input li ned li għandu jiġi magħżul?</v>
      </c>
    </row>
    <row r="23107" ht="15.75" customHeight="1">
      <c r="A23107" s="2" t="s">
        <v>23107</v>
      </c>
      <c r="B23107" s="2" t="str">
        <f>IFERROR(__xludf.DUMMYFUNCTION("GOOGLETRANSLATE(A23107, ""en"", ""mt"")"),"Min iddisinja s-sistemi ta 'illuminazzjoni li Tesla Electric Light &amp; Manufacturing installati?")</f>
        <v>Min iddisinja s-sistemi ta 'illuminazzjoni li Tesla Electric Light &amp; Manufacturing installati?</v>
      </c>
    </row>
    <row r="23108" ht="15.75" customHeight="1">
      <c r="A23108" s="2" t="s">
        <v>23108</v>
      </c>
      <c r="B23108" s="2" t="str">
        <f>IFERROR(__xludf.DUMMYFUNCTION("GOOGLETRANSLATE(A23108, ""en"", ""mt"")"),"poteri li huma ""riservati"" lill-Parlament tar-Renju Unit")</f>
        <v>poteri li huma "riservati" lill-Parlament tar-Renju Unit</v>
      </c>
    </row>
    <row r="23109" ht="15.75" customHeight="1">
      <c r="A23109" s="2" t="s">
        <v>23109</v>
      </c>
      <c r="B23109" s="2" t="str">
        <f>IFERROR(__xludf.DUMMYFUNCTION("GOOGLETRANSLATE(A23109, ""en"", ""mt"")"),"kunjomijiet")</f>
        <v>kunjomijiet</v>
      </c>
    </row>
    <row r="23110" ht="15.75" customHeight="1">
      <c r="A23110" s="2" t="s">
        <v>23110</v>
      </c>
      <c r="B23110" s="2" t="str">
        <f>IFERROR(__xludf.DUMMYFUNCTION("GOOGLETRANSLATE(A23110, ""en"", ""mt"")"),"X'inhu stromule?")</f>
        <v>X'inhu stromule?</v>
      </c>
    </row>
    <row r="23111" ht="15.75" customHeight="1">
      <c r="A23111" s="2" t="s">
        <v>23111</v>
      </c>
      <c r="B23111" s="2" t="str">
        <f>IFERROR(__xludf.DUMMYFUNCTION("GOOGLETRANSLATE(A23111, ""en"", ""mt"")"),"Diversi kuntratturi D&amp;B")</f>
        <v>Diversi kuntratturi D&amp;B</v>
      </c>
    </row>
    <row r="23112" ht="15.75" customHeight="1">
      <c r="A23112" s="2" t="s">
        <v>23112</v>
      </c>
      <c r="B23112" s="2" t="str">
        <f>IFERROR(__xludf.DUMMYFUNCTION("GOOGLETRANSLATE(A23112, ""en"", ""mt"")"),"Salafism jippreżenta li d-demokrazija hija responsabbli għal liema tip ta 'avvenimenti horrible tas-seklu 20?")</f>
        <v>Salafism jippreżenta li d-demokrazija hija responsabbli għal liema tip ta 'avvenimenti horrible tas-seklu 20?</v>
      </c>
    </row>
    <row r="23113" ht="15.75" customHeight="1">
      <c r="A23113" s="2" t="s">
        <v>23113</v>
      </c>
      <c r="B23113" s="2" t="str">
        <f>IFERROR(__xludf.DUMMYFUNCTION("GOOGLETRANSLATE(A23113, ""en"", ""mt"")"),"Ħsad fqir")</f>
        <v>Ħsad fqir</v>
      </c>
    </row>
    <row r="23114" ht="15.75" customHeight="1">
      <c r="A23114" s="2" t="s">
        <v>23114</v>
      </c>
      <c r="B23114" s="2" t="str">
        <f>IFERROR(__xludf.DUMMYFUNCTION("GOOGLETRANSLATE(A23114, ""en"", ""mt"")"),"L-MSPs eletti")</f>
        <v>L-MSPs eletti</v>
      </c>
    </row>
    <row r="23115" ht="15.75" customHeight="1">
      <c r="A23115" s="2" t="s">
        <v>23115</v>
      </c>
      <c r="B23115" s="2" t="str">
        <f>IFERROR(__xludf.DUMMYFUNCTION("GOOGLETRANSLATE(A23115, ""en"", ""mt"")"),"qalulhom biex jitilqu")</f>
        <v>qalulhom biex jitilqu</v>
      </c>
    </row>
    <row r="23116" ht="15.75" customHeight="1">
      <c r="A23116" s="2" t="s">
        <v>23116</v>
      </c>
      <c r="B23116" s="2" t="str">
        <f>IFERROR(__xludf.DUMMYFUNCTION("GOOGLETRANSLATE(A23116, ""en"", ""mt"")"),"Sala tal-Assemblea Ġenerali tal-Knisja tal-Iskozja")</f>
        <v>Sala tal-Assemblea Ġenerali tal-Knisja tal-Iskozja</v>
      </c>
    </row>
    <row r="23117" ht="15.75" customHeight="1">
      <c r="A23117" s="2" t="s">
        <v>23117</v>
      </c>
      <c r="B23117" s="2" t="str">
        <f>IFERROR(__xludf.DUMMYFUNCTION("GOOGLETRANSLATE(A23117, ""en"", ""mt"")"),"20")</f>
        <v>20</v>
      </c>
    </row>
    <row r="23118" ht="15.75" customHeight="1">
      <c r="A23118" s="2" t="s">
        <v>23118</v>
      </c>
      <c r="B23118" s="2" t="str">
        <f>IFERROR(__xludf.DUMMYFUNCTION("GOOGLETRANSLATE(A23118, ""en"", ""mt"")"),"F'liema sena Jerónimo de Ayanz y Beaumont irċieva brevett tal-magna bil-fwar?")</f>
        <v>F'liema sena Jerónimo de Ayanz y Beaumont irċieva brevett tal-magna bil-fwar?</v>
      </c>
    </row>
    <row r="23119" ht="15.75" customHeight="1">
      <c r="A23119" s="2" t="s">
        <v>23119</v>
      </c>
      <c r="B23119" s="2" t="str">
        <f>IFERROR(__xludf.DUMMYFUNCTION("GOOGLETRANSLATE(A23119, ""en"", ""mt"")"),"QuickBooks")</f>
        <v>QuickBooks</v>
      </c>
    </row>
    <row r="23120" ht="15.75" customHeight="1">
      <c r="A23120" s="2" t="s">
        <v>23120</v>
      </c>
      <c r="B23120" s="2" t="str">
        <f>IFERROR(__xludf.DUMMYFUNCTION("GOOGLETRANSLATE(A23120, ""en"", ""mt"")"),"id-differenza fl-enerġija potenzjali bejn żewġ postijiet differenti fl-ispazju")</f>
        <v>id-differenza fl-enerġija potenzjali bejn żewġ postijiet differenti fl-ispazju</v>
      </c>
    </row>
    <row r="23121" ht="15.75" customHeight="1">
      <c r="A23121" s="2" t="s">
        <v>23121</v>
      </c>
      <c r="B23121" s="2" t="str">
        <f>IFERROR(__xludf.DUMMYFUNCTION("GOOGLETRANSLATE(A23121, ""en"", ""mt"")"),"X’tpej lill-Tesla li setgħet tittrasmetti?")</f>
        <v>X’tpej lill-Tesla li setgħet tittrasmetti?</v>
      </c>
    </row>
    <row r="23122" ht="15.75" customHeight="1">
      <c r="A23122" s="2" t="s">
        <v>23122</v>
      </c>
      <c r="B23122" s="2" t="str">
        <f>IFERROR(__xludf.DUMMYFUNCTION("GOOGLETRANSLATE(A23122, ""en"", ""mt"")"),"Estinzjoni Kretaċeja-Paleogene")</f>
        <v>Estinzjoni Kretaċeja-Paleogene</v>
      </c>
    </row>
    <row r="23123" ht="15.75" customHeight="1">
      <c r="A23123" s="2" t="s">
        <v>23123</v>
      </c>
      <c r="B23123" s="2" t="str">
        <f>IFERROR(__xludf.DUMMYFUNCTION("GOOGLETRANSLATE(A23123, ""en"", ""mt"")"),"mistoqsijiet u tweġibiet fil-katekiżmu sabiex il-punti bażiċi tal-fidi Nisranija")</f>
        <v>mistoqsijiet u tweġibiet fil-katekiżmu sabiex il-punti bażiċi tal-fidi Nisranija</v>
      </c>
    </row>
    <row r="23124" ht="15.75" customHeight="1">
      <c r="A23124" s="2" t="s">
        <v>23124</v>
      </c>
      <c r="B23124" s="2" t="str">
        <f>IFERROR(__xludf.DUMMYFUNCTION("GOOGLETRANSLATE(A23124, ""en"", ""mt"")"),"Uża l-proċeduri bħala forum biex tinforma lill-ġurija u lill-pubbliku dwar iċ-ċirkostanzi politiċi")</f>
        <v>Uża l-proċeduri bħala forum biex tinforma lill-ġurija u lill-pubbliku dwar iċ-ċirkostanzi politiċi</v>
      </c>
    </row>
    <row r="23125" ht="15.75" customHeight="1">
      <c r="A23125" s="2" t="s">
        <v>23125</v>
      </c>
      <c r="B23125" s="2" t="str">
        <f>IFERROR(__xludf.DUMMYFUNCTION("GOOGLETRANSLATE(A23125, ""en"", ""mt"")"),"titjira bajda")</f>
        <v>titjira bajda</v>
      </c>
    </row>
    <row r="23126" ht="15.75" customHeight="1">
      <c r="A23126" s="2" t="s">
        <v>23126</v>
      </c>
      <c r="B23126" s="2" t="str">
        <f>IFERROR(__xludf.DUMMYFUNCTION("GOOGLETRANSLATE(A23126, ""en"", ""mt"")"),"Peyton Manning sar l-ewwel quarterback li qatt mexxa żewġ timijiet differenti għal Super Bowls multipli. Huwa wkoll l-eqdem quarterback li qatt lagħab fis-Super Bowl fl-età ta '39. Ir-rekord tal-passat kien miżmum minn John Elway, li wassal lill-Broncos g"&amp;"ħar-rebħa fis-Super Bowl XXXIII fl-età ta '38 sena u bħalissa huwa l-viċi president eżekuttiv ta' Denver ta 'Operazzjonijiet tal-Futbol u Maniġer ġenerali.")</f>
        <v>Peyton Manning sar l-ewwel quarterback li qatt mexxa żewġ timijiet differenti għal Super Bowls multipli. Huwa wkoll l-eqdem quarterback li qatt lagħab fis-Super Bowl fl-età ta '39. Ir-rekord tal-passat kien miżmum minn John Elway, li wassal lill-Broncos għar-rebħa fis-Super Bowl XXXIII fl-età ta '38 sena u bħalissa huwa l-viċi president eżekuttiv ta' Denver ta 'Operazzjonijiet tal-Futbol u Maniġer ġenerali.</v>
      </c>
    </row>
    <row r="23127" ht="15.75" customHeight="1">
      <c r="A23127" s="2" t="s">
        <v>23127</v>
      </c>
      <c r="B23127" s="2" t="str">
        <f>IFERROR(__xludf.DUMMYFUNCTION("GOOGLETRANSLATE(A23127, ""en"", ""mt"")"),"unanimità")</f>
        <v>unanimità</v>
      </c>
    </row>
    <row r="23128" ht="15.75" customHeight="1">
      <c r="A23128" s="2" t="s">
        <v>23128</v>
      </c>
      <c r="B23128" s="2" t="str">
        <f>IFERROR(__xludf.DUMMYFUNCTION("GOOGLETRANSLATE(A23128, ""en"", ""mt"")"),"Tnax")</f>
        <v>Tnax</v>
      </c>
    </row>
    <row r="23129" ht="15.75" customHeight="1">
      <c r="A23129" s="2" t="s">
        <v>23129</v>
      </c>
      <c r="B23129" s="2" t="str">
        <f>IFERROR(__xludf.DUMMYFUNCTION("GOOGLETRANSLATE(A23129, ""en"", ""mt"")"),"Għal liema mudell ta 'skola hija notevoli l-Isvezja?")</f>
        <v>Għal liema mudell ta 'skola hija notevoli l-Isvezja?</v>
      </c>
    </row>
    <row r="23130" ht="15.75" customHeight="1">
      <c r="A23130" s="2" t="s">
        <v>23130</v>
      </c>
      <c r="B23130" s="2" t="str">
        <f>IFERROR(__xludf.DUMMYFUNCTION("GOOGLETRANSLATE(A23130, ""en"", ""mt"")"),"50% aktar")</f>
        <v>50% aktar</v>
      </c>
    </row>
    <row r="23131" ht="15.75" customHeight="1">
      <c r="A23131" s="2" t="s">
        <v>23131</v>
      </c>
      <c r="B23131" s="2" t="str">
        <f>IFERROR(__xludf.DUMMYFUNCTION("GOOGLETRANSLATE(A23131, ""en"", ""mt"")"),"X'inhuma ż-żewġ affiljati ABC għal Kansas City, Missouri?")</f>
        <v>X'inhuma ż-żewġ affiljati ABC għal Kansas City, Missouri?</v>
      </c>
    </row>
    <row r="23132" ht="15.75" customHeight="1">
      <c r="A23132" s="2" t="s">
        <v>23132</v>
      </c>
      <c r="B23132" s="2" t="str">
        <f>IFERROR(__xludf.DUMMYFUNCTION("GOOGLETRANSLATE(A23132, ""en"", ""mt"")"),"X'tip ta 'teatru huwa l-Fotoplastikon ta' Varsavja?")</f>
        <v>X'tip ta 'teatru huwa l-Fotoplastikon ta' Varsavja?</v>
      </c>
    </row>
    <row r="23133" ht="15.75" customHeight="1">
      <c r="A23133" s="2" t="s">
        <v>23133</v>
      </c>
      <c r="B23133" s="2" t="str">
        <f>IFERROR(__xludf.DUMMYFUNCTION("GOOGLETRANSLATE(A23133, ""en"", ""mt"")"),"Tesla Coil")</f>
        <v>Tesla Coil</v>
      </c>
    </row>
    <row r="23134" ht="15.75" customHeight="1">
      <c r="A23134" s="2" t="s">
        <v>23134</v>
      </c>
      <c r="B23134" s="2" t="str">
        <f>IFERROR(__xludf.DUMMYFUNCTION("GOOGLETRANSLATE(A23134, ""en"", ""mt"")"),"Ċentru tad-Distribuzzjoni tad-Dejta u l-Programm Nazzjonali tal-Inventar tal-Gass Serra")</f>
        <v>Ċentru tad-Distribuzzjoni tad-Dejta u l-Programm Nazzjonali tal-Inventar tal-Gass Serra</v>
      </c>
    </row>
    <row r="23135" ht="15.75" customHeight="1">
      <c r="A23135" s="2" t="s">
        <v>23135</v>
      </c>
      <c r="B23135" s="2" t="str">
        <f>IFERROR(__xludf.DUMMYFUNCTION("GOOGLETRANSLATE(A23135, ""en"", ""mt"")"),"1991")</f>
        <v>1991</v>
      </c>
    </row>
    <row r="23136" ht="15.75" customHeight="1">
      <c r="A23136" s="2" t="s">
        <v>23136</v>
      </c>
      <c r="B23136" s="2" t="str">
        <f>IFERROR(__xludf.DUMMYFUNCTION("GOOGLETRANSLATE(A23136, ""en"", ""mt"")"),"Żigarelli ħomor fil-logo intużaw biex jirrappreżentaw liema diviżjoni ta 'ABC?")</f>
        <v>Żigarelli ħomor fil-logo intużaw biex jirrappreżentaw liema diviżjoni ta 'ABC?</v>
      </c>
    </row>
    <row r="23137" ht="15.75" customHeight="1">
      <c r="A23137" s="2" t="s">
        <v>23137</v>
      </c>
      <c r="B23137" s="2" t="str">
        <f>IFERROR(__xludf.DUMMYFUNCTION("GOOGLETRANSLATE(A23137, ""en"", ""mt"")"),"Unità ta 'Difensuri Torok")</f>
        <v>Unità ta 'Difensuri Torok</v>
      </c>
    </row>
    <row r="23138" ht="15.75" customHeight="1">
      <c r="A23138" s="2" t="s">
        <v>23138</v>
      </c>
      <c r="B23138" s="2" t="str">
        <f>IFERROR(__xludf.DUMMYFUNCTION("GOOGLETRANSLATE(A23138, ""en"", ""mt"")"),"Liema produttur taż-żejt huwa alleat mill-qrib tal-Istati Uniti?")</f>
        <v>Liema produttur taż-żejt huwa alleat mill-qrib tal-Istati Uniti?</v>
      </c>
    </row>
    <row r="23139" ht="15.75" customHeight="1">
      <c r="A23139" s="2" t="s">
        <v>23139</v>
      </c>
      <c r="B23139" s="2" t="str">
        <f>IFERROR(__xludf.DUMMYFUNCTION("GOOGLETRANSLATE(A23139, ""en"", ""mt"")"),"Minkejja r-rebħa tiegħu f'Wittenberg, Luther ma setax joħnoq ir-radikaliżmu aktar 'il bogħod. Predikaturi bħall-Profeta Zwickau Nicholas Storch u Thomas Müntzer għenu biex jinbdew il-gwerra tal-bdiewa Ġermaniżi tal-1524-25, li matulha kienu impenjati ħafn"&amp;"a atroċitajiet, ħafna drabi fl-isem ta 'Luther. Kien hemm rewwixti mill-kampanja fuq skala iżgħar sa mis-seklu 15. Il-fuljetti ta 'Luther kontra l-knisja u l-ġerarkija, ħafna drabi fformulati bil-frażijoloġija ""liberali"", issa wasslu lil ħafna bdiewa bi"&amp;"ex jemmnu li se jappoġġja attakk fuq il-klassijiet ta' fuq b'mod ġenerali. Ir-rewwixti faqqgħu fi Franconia, is-Swabia, u t-Turingija fl-1524, anke billi ġabu appoġġ minn nobbli diżaffettati, li ħafna minnhom kienu fid-dejn. Meta kiseb il-momentum taħt it"&amp;"-tmexxija ta 'radikali bħal Müntzer fit-Turingia u Michael Gaismair fit-Tirol, ir-rewwixti nbidlu fi gwerra.")</f>
        <v>Minkejja r-rebħa tiegħu f'Wittenberg, Luther ma setax joħnoq ir-radikaliżmu aktar 'il bogħod. Predikaturi bħall-Profeta Zwickau Nicholas Storch u Thomas Müntzer għenu biex jinbdew il-gwerra tal-bdiewa Ġermaniżi tal-1524-25, li matulha kienu impenjati ħafna atroċitajiet, ħafna drabi fl-isem ta 'Luther. Kien hemm rewwixti mill-kampanja fuq skala iżgħar sa mis-seklu 15. Il-fuljetti ta 'Luther kontra l-knisja u l-ġerarkija, ħafna drabi fformulati bil-frażijoloġija "liberali", issa wasslu lil ħafna bdiewa biex jemmnu li se jappoġġja attakk fuq il-klassijiet ta' fuq b'mod ġenerali. Ir-rewwixti faqqgħu fi Franconia, is-Swabia, u t-Turingija fl-1524, anke billi ġabu appoġġ minn nobbli diżaffettati, li ħafna minnhom kienu fid-dejn. Meta kiseb il-momentum taħt it-tmexxija ta 'radikali bħal Müntzer fit-Turingia u Michael Gaismair fit-Tirol, ir-rewwixti nbidlu fi gwerra.</v>
      </c>
    </row>
    <row r="23140" ht="15.75" customHeight="1">
      <c r="A23140" s="2" t="s">
        <v>23140</v>
      </c>
      <c r="B23140" s="2" t="str">
        <f>IFERROR(__xludf.DUMMYFUNCTION("GOOGLETRANSLATE(A23140, ""en"", ""mt"")"),"Il-gvern ta 'Kublai ffaċċja diffikultajiet finanzjarji wara 1279. Il-gwerer u l-proġetti ta' kostruzzjoni kienu xorbu t-Teżor tal-Mongolja. L-isforzi biex jinġabru u jinġabru d-dħul mit-taxxa kienu affetwati mill-korruzzjoni u l-iskandli politiċi. L-isped"&amp;"izzjonijiet militari mmaniġġjati ħażin segwew il-problemi finanzjarji. It-tieni invażjoni ta 'Kublai fil-Ġappun fl-1281 falliet minħabba tifun inauspicious. Kublai botched il-kampanji tiegħu kontra Annam, Champa, u Java, iżda rebaħ rebħa pirrika kontra Bu"&amp;"rma. L-ispedizzjonijiet kienu mxekkla mill-marda, klima inospitabbli, u art tropikali mhux xierqa għall-gwerra mmuntata tal-Mongoli. Id-dinastija Tran li ddeċidiet lil Annam (Dai Viet) mgħaffeġ u għelbet lill-Mongoli fil-battalja ta ’Bạch ằng (1288). Ir-r"&amp;"eġjun Ċiniż ta 'Fujian kien id-dar oriġinali tal-klan Tran (Chen) Ċiniż qabel ma emigraw taħt Trần Kinh (陳京, Chén Jīng) lejn Dai Viet u li d-dixxendenti tagħhom stabbilixxew id-dinastija Trần li ddeċidiet il-Vjetnam ạại Việt, u ċerti membri ta' Il-klann x"&amp;"orta jista 'jitkellem Ċiniż bħal meta mibgħut dinastija Yuan kellu laqgħa mal-Prinċep Trần li jitkellmu Ċiniż Trần Quốc Tuấn (aktar tard ir-Re Trần Hưng ạo) fl-1282. Il-Professur Liam Kelley innota li n-nies mid-Dynasty Song Dynasty bħal Zhao Zhong u Xu Z"&amp;"ongdao ħarab lejn it-Tran Dynasty iddeċidiet il-Vjetnam wara l-invażjoni tal-kanzunetta Mongolja u għenu lill-ġlieda kontra t-Tran kontra l-invażjoni tal-Mongolja. Id-dinastija Tran oriġinat mir-reġjun tal-Fujian taċ-Ċina kif għamlet il-kleru Daoist Xu Zo"&amp;"ngdao li rreġistra l-invażjoni tal-Mongolja u rrefera għalihom bħala ""banditi tat-tramuntana"". Annam, Burma, u Champa għarfu l-eġemonija tal-Mongol u stabbilixxew relazzjonijiet tributarji mad-dinastija Yuan.")</f>
        <v>Il-gvern ta 'Kublai ffaċċja diffikultajiet finanzjarji wara 1279. Il-gwerer u l-proġetti ta' kostruzzjoni kienu xorbu t-Teżor tal-Mongolja. L-isforzi biex jinġabru u jinġabru d-dħul mit-taxxa kienu affetwati mill-korruzzjoni u l-iskandli politiċi. L-ispedizzjonijiet militari mmaniġġjati ħażin segwew il-problemi finanzjarji. It-tieni invażjoni ta 'Kublai fil-Ġappun fl-1281 falliet minħabba tifun inauspicious. Kublai botched il-kampanji tiegħu kontra Annam, Champa, u Java, iżda rebaħ rebħa pirrika kontra Burma. L-ispedizzjonijiet kienu mxekkla mill-marda, klima inospitabbli, u art tropikali mhux xierqa għall-gwerra mmuntata tal-Mongoli. Id-dinastija Tran li ddeċidiet lil Annam (Dai Viet) mgħaffeġ u għelbet lill-Mongoli fil-battalja ta ’Bạch ằng (1288). Ir-reġjun Ċiniż ta 'Fujian kien id-dar oriġinali tal-klan Tran (Chen) Ċiniż qabel ma emigraw taħt Trần Kinh (陳京, Chén Jīng) lejn Dai Viet u li d-dixxendenti tagħhom stabbilixxew id-dinastija Trần li ddeċidiet il-Vjetnam ạại Việt, u ċerti membri ta' Il-klann xorta jista 'jitkellem Ċiniż bħal meta mibgħut dinastija Yuan kellu laqgħa mal-Prinċep Trần li jitkellmu Ċiniż Trần Quốc Tuấn (aktar tard ir-Re Trần Hưng ạo) fl-1282. Il-Professur Liam Kelley innota li n-nies mid-Dynasty Song Dynasty bħal Zhao Zhong u Xu Zongdao ħarab lejn it-Tran Dynasty iddeċidiet il-Vjetnam wara l-invażjoni tal-kanzunetta Mongolja u għenu lill-ġlieda kontra t-Tran kontra l-invażjoni tal-Mongolja. Id-dinastija Tran oriġinat mir-reġjun tal-Fujian taċ-Ċina kif għamlet il-kleru Daoist Xu Zongdao li rreġistra l-invażjoni tal-Mongolja u rrefera għalihom bħala "banditi tat-tramuntana". Annam, Burma, u Champa għarfu l-eġemonija tal-Mongol u stabbilixxew relazzjonijiet tributarji mad-dinastija Yuan.</v>
      </c>
    </row>
    <row r="23141" ht="15.75" customHeight="1">
      <c r="A23141" s="2" t="s">
        <v>23141</v>
      </c>
      <c r="B23141" s="2" t="str">
        <f>IFERROR(__xludf.DUMMYFUNCTION("GOOGLETRANSLATE(A23141, ""en"", ""mt"")"),"1599")</f>
        <v>1599</v>
      </c>
    </row>
    <row r="23142" ht="15.75" customHeight="1">
      <c r="A23142" s="2" t="s">
        <v>23142</v>
      </c>
      <c r="B23142" s="2" t="str">
        <f>IFERROR(__xludf.DUMMYFUNCTION("GOOGLETRANSLATE(A23142, ""en"", ""mt"")"),"il-problema ta 'fatturizzazzjoni sħiħa")</f>
        <v>il-problema ta 'fatturizzazzjoni sħiħa</v>
      </c>
    </row>
    <row r="23143" ht="15.75" customHeight="1">
      <c r="A23143" s="2" t="s">
        <v>23143</v>
      </c>
      <c r="B23143" s="2" t="str">
        <f>IFERROR(__xludf.DUMMYFUNCTION("GOOGLETRANSLATE(A23143, ""en"", ""mt"")"),"Min ħoloq indiċi ta 'problemi tas-saħħa u soċjali?")</f>
        <v>Min ħoloq indiċi ta 'problemi tas-saħħa u soċjali?</v>
      </c>
    </row>
    <row r="23144" ht="15.75" customHeight="1">
      <c r="A23144" s="2" t="s">
        <v>23144</v>
      </c>
      <c r="B23144" s="2" t="str">
        <f>IFERROR(__xludf.DUMMYFUNCTION("GOOGLETRANSLATE(A23144, ""en"", ""mt"")"),"pixxini kbar ta 'kumpens")</f>
        <v>pixxini kbar ta 'kumpens</v>
      </c>
    </row>
    <row r="23145" ht="15.75" customHeight="1">
      <c r="A23145" s="2" t="s">
        <v>23145</v>
      </c>
      <c r="B23145" s="2" t="str">
        <f>IFERROR(__xludf.DUMMYFUNCTION("GOOGLETRANSLATE(A23145, ""en"", ""mt"")"),"Sainte-Foy")</f>
        <v>Sainte-Foy</v>
      </c>
    </row>
    <row r="23146" ht="15.75" customHeight="1">
      <c r="A23146" s="2" t="s">
        <v>23146</v>
      </c>
      <c r="B23146" s="2" t="str">
        <f>IFERROR(__xludf.DUMMYFUNCTION("GOOGLETRANSLATE(A23146, ""en"", ""mt"")"),"mhux ugwali")</f>
        <v>mhux ugwali</v>
      </c>
    </row>
    <row r="23147" ht="15.75" customHeight="1">
      <c r="A23147" s="2" t="s">
        <v>23147</v>
      </c>
      <c r="B23147" s="2" t="str">
        <f>IFERROR(__xludf.DUMMYFUNCTION("GOOGLETRANSLATE(A23147, ""en"", ""mt"")"),"It-tielet riġenerazzjoni tat-tabib fuq l-iskrin")</f>
        <v>It-tielet riġenerazzjoni tat-tabib fuq l-iskrin</v>
      </c>
    </row>
    <row r="23148" ht="15.75" customHeight="1">
      <c r="A23148" s="2" t="s">
        <v>23148</v>
      </c>
      <c r="B23148" s="2" t="str">
        <f>IFERROR(__xludf.DUMMYFUNCTION("GOOGLETRANSLATE(A23148, ""en"", ""mt"")"),"X'kienet l-ispiża medja għal kummerċ ta '30 sekonda matul Super Bowl 50?")</f>
        <v>X'kienet l-ispiża medja għal kummerċ ta '30 sekonda matul Super Bowl 50?</v>
      </c>
    </row>
    <row r="23149" ht="15.75" customHeight="1">
      <c r="A23149" s="2" t="s">
        <v>23149</v>
      </c>
      <c r="B23149" s="2" t="str">
        <f>IFERROR(__xludf.DUMMYFUNCTION("GOOGLETRANSLATE(A23149, ""en"", ""mt"")"),"il-kap tal-istat u l-kap tal-gvern")</f>
        <v>il-kap tal-istat u l-kap tal-gvern</v>
      </c>
    </row>
    <row r="23150" ht="15.75" customHeight="1">
      <c r="A23150" s="2" t="s">
        <v>23150</v>
      </c>
      <c r="B23150" s="2" t="str">
        <f>IFERROR(__xludf.DUMMYFUNCTION("GOOGLETRANSLATE(A23150, ""en"", ""mt"")"),"kavallier jirbaħ bout")</f>
        <v>kavallier jirbaħ bout</v>
      </c>
    </row>
    <row r="23151" ht="15.75" customHeight="1">
      <c r="A23151" s="2" t="s">
        <v>23151</v>
      </c>
      <c r="B23151" s="2" t="str">
        <f>IFERROR(__xludf.DUMMYFUNCTION("GOOGLETRANSLATE(A23151, ""en"", ""mt"")"),"Festival taċ-ċikliżmu")</f>
        <v>Festival taċ-ċikliżmu</v>
      </c>
    </row>
    <row r="23152" ht="15.75" customHeight="1">
      <c r="A23152" s="2" t="s">
        <v>23152</v>
      </c>
      <c r="B23152" s="2" t="str">
        <f>IFERROR(__xludf.DUMMYFUNCTION("GOOGLETRANSLATE(A23152, ""en"", ""mt"")"),"mill-inqas 11,000 sena")</f>
        <v>mill-inqas 11,000 sena</v>
      </c>
    </row>
    <row r="23153" ht="15.75" customHeight="1">
      <c r="A23153" s="2" t="s">
        <v>23153</v>
      </c>
      <c r="B23153" s="2" t="str">
        <f>IFERROR(__xludf.DUMMYFUNCTION("GOOGLETRANSLATE(A23153, ""en"", ""mt"")"),"1973")</f>
        <v>1973</v>
      </c>
    </row>
    <row r="23154" ht="15.75" customHeight="1">
      <c r="A23154" s="2" t="s">
        <v>23154</v>
      </c>
      <c r="B23154" s="2" t="str">
        <f>IFERROR(__xludf.DUMMYFUNCTION("GOOGLETRANSLATE(A23154, ""en"", ""mt"")"),"Kunsill Metodist Dinji")</f>
        <v>Kunsill Metodist Dinji</v>
      </c>
    </row>
    <row r="23155" ht="15.75" customHeight="1">
      <c r="A23155" s="2" t="s">
        <v>23155</v>
      </c>
      <c r="B23155" s="2" t="str">
        <f>IFERROR(__xludf.DUMMYFUNCTION("GOOGLETRANSLATE(A23155, ""en"", ""mt"")"),"Minn liema tip ta 'materjali għandu jkun separat l-ossiġnu likwidu?")</f>
        <v>Minn liema tip ta 'materjali għandu jkun separat l-ossiġnu likwidu?</v>
      </c>
    </row>
    <row r="23156" ht="15.75" customHeight="1">
      <c r="A23156" s="2" t="s">
        <v>23156</v>
      </c>
      <c r="B23156" s="2" t="str">
        <f>IFERROR(__xludf.DUMMYFUNCTION("GOOGLETRANSLATE(A23156, ""en"", ""mt"")"),"Dak li hu maħsub li ġara lill-y. Pestis li kkawża l-mewt sewda?")</f>
        <v>Dak li hu maħsub li ġara lill-y. Pestis li kkawża l-mewt sewda?</v>
      </c>
    </row>
    <row r="23157" ht="15.75" customHeight="1">
      <c r="A23157" s="2" t="s">
        <v>23157</v>
      </c>
      <c r="B23157" s="2" t="str">
        <f>IFERROR(__xludf.DUMMYFUNCTION("GOOGLETRANSLATE(A23157, ""en"", ""mt"")"),"Kemm għamlet tajjeb il-Kenja fl-Olimpjadi ta 'Beijing?")</f>
        <v>Kemm għamlet tajjeb il-Kenja fl-Olimpjadi ta 'Beijing?</v>
      </c>
    </row>
    <row r="23158" ht="15.75" customHeight="1">
      <c r="A23158" s="2" t="s">
        <v>23158</v>
      </c>
      <c r="B23158" s="2" t="str">
        <f>IFERROR(__xludf.DUMMYFUNCTION("GOOGLETRANSLATE(A23158, ""en"", ""mt"")"),"Gymnosperms")</f>
        <v>Gymnosperms</v>
      </c>
    </row>
    <row r="23159" ht="15.75" customHeight="1">
      <c r="A23159" s="2" t="s">
        <v>23159</v>
      </c>
      <c r="B23159" s="2" t="str">
        <f>IFERROR(__xludf.DUMMYFUNCTION("GOOGLETRANSLATE(A23159, ""en"", ""mt"")"),"Il-Kenja kif titrażżan il-corruzzjoni?")</f>
        <v>Il-Kenja kif titrażżan il-corruzzjoni?</v>
      </c>
    </row>
    <row r="23160" ht="15.75" customHeight="1">
      <c r="A23160" s="2" t="s">
        <v>23160</v>
      </c>
      <c r="B23160" s="2" t="str">
        <f>IFERROR(__xludf.DUMMYFUNCTION("GOOGLETRANSLATE(A23160, ""en"", ""mt"")"),"sentenzi sospiżi")</f>
        <v>sentenzi sospiżi</v>
      </c>
    </row>
    <row r="23161" ht="15.75" customHeight="1">
      <c r="A23161" s="2" t="s">
        <v>23161</v>
      </c>
      <c r="B23161" s="2" t="str">
        <f>IFERROR(__xludf.DUMMYFUNCTION("GOOGLETRANSLATE(A23161, ""en"", ""mt"")"),"Triq D’Olier hija msejħa wara min?")</f>
        <v>Triq D’Olier hija msejħa wara min?</v>
      </c>
    </row>
    <row r="23162" ht="15.75" customHeight="1">
      <c r="A23162" s="2" t="s">
        <v>23162</v>
      </c>
      <c r="B23162" s="2" t="str">
        <f>IFERROR(__xludf.DUMMYFUNCTION("GOOGLETRANSLATE(A23162, ""en"", ""mt"")"),"Għaliex l-università rat waqgħa fl-applikanti?")</f>
        <v>Għaliex l-università rat waqgħa fl-applikanti?</v>
      </c>
    </row>
    <row r="23163" ht="15.75" customHeight="1">
      <c r="A23163" s="2" t="s">
        <v>23163</v>
      </c>
      <c r="B23163" s="2" t="str">
        <f>IFERROR(__xludf.DUMMYFUNCTION("GOOGLETRANSLATE(A23163, ""en"", ""mt"")"),"It-Triq tal-Ħarir")</f>
        <v>It-Triq tal-Ħarir</v>
      </c>
    </row>
    <row r="23164" ht="15.75" customHeight="1">
      <c r="A23164" s="2" t="s">
        <v>23164</v>
      </c>
      <c r="B23164" s="2" t="str">
        <f>IFERROR(__xludf.DUMMYFUNCTION("GOOGLETRANSLATE(A23164, ""en"", ""mt"")"),"il-movimenti tan-natura")</f>
        <v>il-movimenti tan-natura</v>
      </c>
    </row>
    <row r="23165" ht="15.75" customHeight="1">
      <c r="A23165" s="2" t="s">
        <v>23165</v>
      </c>
      <c r="B23165" s="2" t="str">
        <f>IFERROR(__xludf.DUMMYFUNCTION("GOOGLETRANSLATE(A23165, ""en"", ""mt"")"),"X'tip ta 'kwistjonijiet huma membri tipikament jitħallew jivvutaw kif jixtiequ?")</f>
        <v>X'tip ta 'kwistjonijiet huma membri tipikament jitħallew jivvutaw kif jixtiequ?</v>
      </c>
    </row>
    <row r="23166" ht="15.75" customHeight="1">
      <c r="A23166" s="2" t="s">
        <v>23166</v>
      </c>
      <c r="B23166" s="2" t="str">
        <f>IFERROR(__xludf.DUMMYFUNCTION("GOOGLETRANSLATE(A23166, ""en"", ""mt"")"),"Fl-aħħar tas-seklu 17, Robert Boyle wera li l-arja hija meħtieġa għall-kombustjoni. L-ispiżjar Ingliż John Mayow (1641-1679) irfina dan ix-xogħol billi juri li n-nar jirrikjedi biss parti mill-arja li hu sejjaħ Spiritus Nitroeereus jew biss Nitroaereus. F"&amp;"’esperiment wieħed huwa sab li t-tqegħid ta ’ġurdien jew xemgħa mixgħula f’kontenitur magħluq fuq l-ilma kkawża li l-ilma jogħla u jissostitwixxi wieħed mill-firxa tal-volum tal-arja qabel ma jitfu s-suġġetti. Minn dan huwa ħabbar li Nitroaereus huwa kkun"&amp;"smat kemm fir-respirazzjoni kif ukoll fil-kombustjoni.")</f>
        <v>Fl-aħħar tas-seklu 17, Robert Boyle wera li l-arja hija meħtieġa għall-kombustjoni. L-ispiżjar Ingliż John Mayow (1641-1679) irfina dan ix-xogħol billi juri li n-nar jirrikjedi biss parti mill-arja li hu sejjaħ Spiritus Nitroeereus jew biss Nitroaereus. F’esperiment wieħed huwa sab li t-tqegħid ta ’ġurdien jew xemgħa mixgħula f’kontenitur magħluq fuq l-ilma kkawża li l-ilma jogħla u jissostitwixxi wieħed mill-firxa tal-volum tal-arja qabel ma jitfu s-suġġetti. Minn dan huwa ħabbar li Nitroaereus huwa kkunsmat kemm fir-respirazzjoni kif ukoll fil-kombustjoni.</v>
      </c>
    </row>
    <row r="23167" ht="15.75" customHeight="1">
      <c r="A23167" s="2" t="s">
        <v>23167</v>
      </c>
      <c r="B23167" s="2" t="str">
        <f>IFERROR(__xludf.DUMMYFUNCTION("GOOGLETRANSLATE(A23167, ""en"", ""mt"")"),"Skala Saffir-Simpson")</f>
        <v>Skala Saffir-Simpson</v>
      </c>
    </row>
    <row r="23168" ht="15.75" customHeight="1">
      <c r="A23168" s="2" t="s">
        <v>23168</v>
      </c>
      <c r="B23168" s="2" t="str">
        <f>IFERROR(__xludf.DUMMYFUNCTION("GOOGLETRANSLATE(A23168, ""en"", ""mt"")"),"Għaliex l-arċipelagos tal-gżira jinkludu numru iżgħar ta 'eletturi?")</f>
        <v>Għaliex l-arċipelagos tal-gżira jinkludu numru iżgħar ta 'eletturi?</v>
      </c>
    </row>
    <row r="23169" ht="15.75" customHeight="1">
      <c r="A23169" s="2" t="s">
        <v>23169</v>
      </c>
      <c r="B23169" s="2" t="str">
        <f>IFERROR(__xludf.DUMMYFUNCTION("GOOGLETRANSLATE(A23169, ""en"", ""mt"")"),"ossiġnu gassuż.")</f>
        <v>ossiġnu gassuż.</v>
      </c>
    </row>
    <row r="23170" ht="15.75" customHeight="1">
      <c r="A23170" s="2" t="s">
        <v>23170</v>
      </c>
      <c r="B23170" s="2" t="str">
        <f>IFERROR(__xludf.DUMMYFUNCTION("GOOGLETRANSLATE(A23170, ""en"", ""mt"")"),"Varsavja")</f>
        <v>Varsavja</v>
      </c>
    </row>
    <row r="23171" ht="15.75" customHeight="1">
      <c r="A23171" s="2" t="s">
        <v>23171</v>
      </c>
      <c r="B23171" s="2" t="str">
        <f>IFERROR(__xludf.DUMMYFUNCTION("GOOGLETRANSLATE(A23171, ""en"", ""mt"")"),"Mediċini li jgħaqqdu / iqassmu")</f>
        <v>Mediċini li jgħaqqdu / iqassmu</v>
      </c>
    </row>
    <row r="23172" ht="15.75" customHeight="1">
      <c r="A23172" s="2" t="s">
        <v>23172</v>
      </c>
      <c r="B23172" s="2" t="str">
        <f>IFERROR(__xludf.DUMMYFUNCTION("GOOGLETRANSLATE(A23172, ""en"", ""mt"")"),"Santa Eliżabetta")</f>
        <v>Santa Eliżabetta</v>
      </c>
    </row>
    <row r="23173" ht="15.75" customHeight="1">
      <c r="A23173" s="2" t="s">
        <v>23173</v>
      </c>
      <c r="B23173" s="2" t="str">
        <f>IFERROR(__xludf.DUMMYFUNCTION("GOOGLETRANSLATE(A23173, ""en"", ""mt"")"),"Ta 'liema forma huma Sophie Germain Primes?")</f>
        <v>Ta 'liema forma huma Sophie Germain Primes?</v>
      </c>
    </row>
    <row r="23174" ht="15.75" customHeight="1">
      <c r="A23174" s="2" t="s">
        <v>23174</v>
      </c>
      <c r="B23174" s="2" t="str">
        <f>IFERROR(__xludf.DUMMYFUNCTION("GOOGLETRANSLATE(A23174, ""en"", ""mt"")"),"F'liema qafas ta 'Tesla jiżen kważi eżattament l-istess ammont?")</f>
        <v>F'liema qafas ta 'Tesla jiżen kważi eżattament l-istess ammont?</v>
      </c>
    </row>
    <row r="23175" ht="15.75" customHeight="1">
      <c r="A23175" s="2" t="s">
        <v>23175</v>
      </c>
      <c r="B23175" s="2" t="str">
        <f>IFERROR(__xludf.DUMMYFUNCTION("GOOGLETRANSLATE(A23175, ""en"", ""mt"")"),"Super Bowl xxxviii.")</f>
        <v>Super Bowl xxxviii.</v>
      </c>
    </row>
    <row r="23176" ht="15.75" customHeight="1">
      <c r="A23176" s="2" t="s">
        <v>23176</v>
      </c>
      <c r="B23176" s="2" t="str">
        <f>IFERROR(__xludf.DUMMYFUNCTION("GOOGLETRANSLATE(A23176, ""en"", ""mt"")"),"Phillips")</f>
        <v>Phillips</v>
      </c>
    </row>
    <row r="23177" ht="15.75" customHeight="1">
      <c r="A23177" s="2" t="s">
        <v>23177</v>
      </c>
      <c r="B23177" s="2" t="str">
        <f>IFERROR(__xludf.DUMMYFUNCTION("GOOGLETRANSLATE(A23177, ""en"", ""mt"")"),"Problemi li jistgħu jiġu solvuti fit-teorija (per eżempju, minħabba ħin kbir iżda finit), iżda li fil-prattika jdumu wisq biex is-soluzzjonijiet tagħhom ikunu utli, huma magħrufa bħala problemi intrattabbli. Fit-teorija tal-kumplessità, problemi li m'għan"&amp;"dhomx soluzzjonijiet ta 'ħin polinomjali huma kkunsidrati li huma intrattabbli għal aktar mill-iżgħar inputs. Fil-fatt, it-teżi ta 'Cobham-Edmonds tiddikjara li dawk il-problemi biss li jistgħu jissolvew fi żmien polinomjali jistgħu jiġu kkalkulati b'mod "&amp;"fattibbli fuq xi apparat komputazzjonali. Problemi li huma magħrufa li huma intrattabbli f'dan is-sens jinkludu dawk li huma iebsa. Jekk NP ma jkunx l-istess bħal P, allura l-problemi kompluti NP huma wkoll intrattabbli f'dan is-sens. Biex tara għaliex l-"&amp;"algoritmi ta 'ħin esponenzjali jistgħu ma jistgħux jintużaw fil-prattika, ikkunsidra programm li jagħmel operazzjonijiet 2N qabel ma jieqaf. Għal N żgħar, ngħidu 100, u jekk wieħed jassumi għall-finijiet ta 'eżempju li l-kompjuter jagħmel 1012 operazzjoni"&amp;"jiet kull sekonda, il-programm jibqa' għaddej għal madwar 4 × 1010 snin, li huwa l-istess ordni ta 'kobor bħall-età tal-univers. Anke b'kompjuter ferm aktar mgħaġġel, il-programm ikun utli biss għal każijiet żgħar ħafna u f'dak is-sens l-intrattabilità ta"&amp;" 'problema hija kemmxejn indipendenti mill-progress teknoloġiku. Madankollu, algoritmu ta 'ħin polinomjali mhux dejjem huwa prattiku. Jekk il-ħin ta 'tħaddim tiegħu huwa, ngħidu aħna, N15, huwa raġonevoli li tikkunsidrah effiċjenti u għadu inutli ħlief fu"&amp;"q każijiet żgħar.")</f>
        <v>Problemi li jistgħu jiġu solvuti fit-teorija (per eżempju, minħabba ħin kbir iżda finit), iżda li fil-prattika jdumu wisq biex is-soluzzjonijiet tagħhom ikunu utli, huma magħrufa bħala problemi intrattabbli. Fit-teorija tal-kumplessità, problemi li m'għandhomx soluzzjonijiet ta 'ħin polinomjali huma kkunsidrati li huma intrattabbli għal aktar mill-iżgħar inputs. Fil-fatt, it-teżi ta 'Cobham-Edmonds tiddikjara li dawk il-problemi biss li jistgħu jissolvew fi żmien polinomjali jistgħu jiġu kkalkulati b'mod fattibbli fuq xi apparat komputazzjonali. Problemi li huma magħrufa li huma intrattabbli f'dan is-sens jinkludu dawk li huma iebsa. Jekk NP ma jkunx l-istess bħal P, allura l-problemi kompluti NP huma wkoll intrattabbli f'dan is-sens. Biex tara għaliex l-algoritmi ta 'ħin esponenzjali jistgħu ma jistgħux jintużaw fil-prattika, ikkunsidra programm li jagħmel operazzjonijiet 2N qabel ma jieqaf. Għal N żgħar, ngħidu 100, u jekk wieħed jassumi għall-finijiet ta 'eżempju li l-kompjuter jagħmel 1012 operazzjonijiet kull sekonda, il-programm jibqa' għaddej għal madwar 4 × 1010 snin, li huwa l-istess ordni ta 'kobor bħall-età tal-univers. Anke b'kompjuter ferm aktar mgħaġġel, il-programm ikun utli biss għal każijiet żgħar ħafna u f'dak is-sens l-intrattabilità ta 'problema hija kemmxejn indipendenti mill-progress teknoloġiku. Madankollu, algoritmu ta 'ħin polinomjali mhux dejjem huwa prattiku. Jekk il-ħin ta 'tħaddim tiegħu huwa, ngħidu aħna, N15, huwa raġonevoli li tikkunsidrah effiċjenti u għadu inutli ħlief fuq każijiet żgħar.</v>
      </c>
    </row>
    <row r="23178" ht="15.75" customHeight="1">
      <c r="A23178" s="2" t="s">
        <v>23178</v>
      </c>
      <c r="B23178" s="2" t="str">
        <f>IFERROR(__xludf.DUMMYFUNCTION("GOOGLETRANSLATE(A23178, ""en"", ""mt"")"),"X'inhi l-unità tal-forza użata rarament daqs elf newtons?")</f>
        <v>X'inhi l-unità tal-forza użata rarament daqs elf newtons?</v>
      </c>
    </row>
    <row r="23179" ht="15.75" customHeight="1">
      <c r="A23179" s="2" t="s">
        <v>23179</v>
      </c>
      <c r="B23179" s="2" t="str">
        <f>IFERROR(__xludf.DUMMYFUNCTION("GOOGLETRANSLATE(A23179, ""en"", ""mt"")"),"X'kienu l-ordnijiet tal-legat papali mill-Papa?")</f>
        <v>X'kienu l-ordnijiet tal-legat papali mill-Papa?</v>
      </c>
    </row>
    <row r="23180" ht="15.75" customHeight="1">
      <c r="A23180" s="2" t="s">
        <v>23180</v>
      </c>
      <c r="B23180" s="2" t="str">
        <f>IFERROR(__xludf.DUMMYFUNCTION("GOOGLETRANSLATE(A23180, ""en"", ""mt"")"),"Industrija tal-bjankerija Irlandiża")</f>
        <v>Industrija tal-bjankerija Irlandiża</v>
      </c>
    </row>
    <row r="23181" ht="15.75" customHeight="1">
      <c r="A23181" s="2" t="s">
        <v>23181</v>
      </c>
      <c r="B23181" s="2" t="str">
        <f>IFERROR(__xludf.DUMMYFUNCTION("GOOGLETRANSLATE(A23181, ""en"", ""mt"")"),"fit-tessut tal-collenchyma")</f>
        <v>fit-tessut tal-collenchyma</v>
      </c>
    </row>
    <row r="23182" ht="15.75" customHeight="1">
      <c r="A23182" s="2" t="s">
        <v>23182</v>
      </c>
      <c r="B23182" s="2" t="str">
        <f>IFERROR(__xludf.DUMMYFUNCTION("GOOGLETRANSLATE(A23182, ""en"", ""mt"")"),"Isaac Komnenos")</f>
        <v>Isaac Komnenos</v>
      </c>
    </row>
    <row r="23183" ht="15.75" customHeight="1">
      <c r="A23183" s="2" t="s">
        <v>23183</v>
      </c>
      <c r="B23183" s="2" t="str">
        <f>IFERROR(__xludf.DUMMYFUNCTION("GOOGLETRANSLATE(A23183, ""en"", ""mt"")"),"ragħaj")</f>
        <v>ragħaj</v>
      </c>
    </row>
    <row r="23184" ht="15.75" customHeight="1">
      <c r="A23184" s="2" t="s">
        <v>23184</v>
      </c>
      <c r="B23184" s="2" t="str">
        <f>IFERROR(__xludf.DUMMYFUNCTION("GOOGLETRANSLATE(A23184, ""en"", ""mt"")"),"Quantum")</f>
        <v>Quantum</v>
      </c>
    </row>
    <row r="23185" ht="15.75" customHeight="1">
      <c r="A23185" s="2" t="s">
        <v>23185</v>
      </c>
      <c r="B23185" s="2" t="str">
        <f>IFERROR(__xludf.DUMMYFUNCTION("GOOGLETRANSLATE(A23185, ""en"", ""mt"")"),"Għaliex Tetzel kien qed ifittex flus fil-Ġermanja?")</f>
        <v>Għaliex Tetzel kien qed ifittex flus fil-Ġermanja?</v>
      </c>
    </row>
    <row r="23186" ht="15.75" customHeight="1">
      <c r="A23186" s="2" t="s">
        <v>23186</v>
      </c>
      <c r="B23186" s="2" t="str">
        <f>IFERROR(__xludf.DUMMYFUNCTION("GOOGLETRANSLATE(A23186, ""en"", ""mt"")"),"X'inhu l-għan ta 'gruppi Iżlamisti bħal Hezbollah u Hamas?")</f>
        <v>X'inhu l-għan ta 'gruppi Iżlamisti bħal Hezbollah u Hamas?</v>
      </c>
    </row>
    <row r="23187" ht="15.75" customHeight="1">
      <c r="A23187" s="2" t="s">
        <v>23187</v>
      </c>
      <c r="B23187" s="2" t="str">
        <f>IFERROR(__xludf.DUMMYFUNCTION("GOOGLETRANSLATE(A23187, ""en"", ""mt"")"),"Kif jiġi ddeterminat il-proċess tal-allokazzjoni tas-sedili sakemm ikunu ġew determinati s-sedili kollha disponibbli?")</f>
        <v>Kif jiġi ddeterminat il-proċess tal-allokazzjoni tas-sedili sakemm ikunu ġew determinati s-sedili kollha disponibbli?</v>
      </c>
    </row>
    <row r="23188" ht="15.75" customHeight="1">
      <c r="A23188" s="2" t="s">
        <v>23188</v>
      </c>
      <c r="B23188" s="2" t="str">
        <f>IFERROR(__xludf.DUMMYFUNCTION("GOOGLETRANSLATE(A23188, ""en"", ""mt"")"),"Erbatax")</f>
        <v>Erbatax</v>
      </c>
    </row>
    <row r="23189" ht="15.75" customHeight="1">
      <c r="A23189" s="2" t="s">
        <v>23189</v>
      </c>
      <c r="B23189" s="2" t="str">
        <f>IFERROR(__xludf.DUMMYFUNCTION("GOOGLETRANSLATE(A23189, ""en"", ""mt"")"),"Bħala protesta")</f>
        <v>Bħala protesta</v>
      </c>
    </row>
    <row r="23190" ht="15.75" customHeight="1">
      <c r="A23190" s="2" t="s">
        <v>23190</v>
      </c>
      <c r="B23190" s="2" t="str">
        <f>IFERROR(__xludf.DUMMYFUNCTION("GOOGLETRANSLATE(A23190, ""en"", ""mt"")"),"Wesel-Datteln Canal")</f>
        <v>Wesel-Datteln Canal</v>
      </c>
    </row>
    <row r="23191" ht="15.75" customHeight="1">
      <c r="A23191" s="2" t="s">
        <v>23191</v>
      </c>
      <c r="B23191" s="2" t="str">
        <f>IFERROR(__xludf.DUMMYFUNCTION("GOOGLETRANSLATE(A23191, ""en"", ""mt"")"),"ġimagħtejn wara")</f>
        <v>ġimagħtejn wara</v>
      </c>
    </row>
    <row r="23192" ht="15.75" customHeight="1">
      <c r="A23192" s="2" t="s">
        <v>23192</v>
      </c>
      <c r="B23192" s="2" t="str">
        <f>IFERROR(__xludf.DUMMYFUNCTION("GOOGLETRANSLATE(A23192, ""en"", ""mt"")"),"Li")</f>
        <v>Li</v>
      </c>
    </row>
    <row r="23193" ht="15.75" customHeight="1">
      <c r="A23193" s="2" t="s">
        <v>23193</v>
      </c>
      <c r="B23193" s="2" t="str">
        <f>IFERROR(__xludf.DUMMYFUNCTION("GOOGLETRANSLATE(A23193, ""en"", ""mt"")"),"1560")</f>
        <v>1560</v>
      </c>
    </row>
    <row r="23194" ht="15.75" customHeight="1">
      <c r="A23194" s="2" t="s">
        <v>23194</v>
      </c>
      <c r="B23194" s="2" t="str">
        <f>IFERROR(__xludf.DUMMYFUNCTION("GOOGLETRANSLATE(A23194, ""en"", ""mt"")"),"1934")</f>
        <v>1934</v>
      </c>
    </row>
    <row r="23195" ht="15.75" customHeight="1">
      <c r="A23195" s="2" t="s">
        <v>23195</v>
      </c>
      <c r="B23195" s="2" t="str">
        <f>IFERROR(__xludf.DUMMYFUNCTION("GOOGLETRANSLATE(A23195, ""en"", ""mt"")"),"F'liema espressjoni wieħed jista 'jistenna li jsib dtime (n)")</f>
        <v>F'liema espressjoni wieħed jista 'jistenna li jsib dtime (n)</v>
      </c>
    </row>
    <row r="23196" ht="15.75" customHeight="1">
      <c r="A23196" s="2" t="s">
        <v>23196</v>
      </c>
      <c r="B23196" s="2" t="str">
        <f>IFERROR(__xludf.DUMMYFUNCTION("GOOGLETRANSLATE(A23196, ""en"", ""mt"")"),"Organizzazzjoni terroristika")</f>
        <v>Organizzazzjoni terroristika</v>
      </c>
    </row>
    <row r="23197" ht="15.75" customHeight="1">
      <c r="A23197" s="2" t="s">
        <v>23197</v>
      </c>
      <c r="B23197" s="2" t="str">
        <f>IFERROR(__xludf.DUMMYFUNCTION("GOOGLETRANSLATE(A23197, ""en"", ""mt"")"),"F'liema sportivi huma attivi l-Kenjani?")</f>
        <v>F'liema sportivi huma attivi l-Kenjani?</v>
      </c>
    </row>
    <row r="23198" ht="15.75" customHeight="1">
      <c r="A23198" s="2" t="s">
        <v>23198</v>
      </c>
      <c r="B23198" s="2" t="str">
        <f>IFERROR(__xludf.DUMMYFUNCTION("GOOGLETRANSLATE(A23198, ""en"", ""mt"")"),"Kemm membri jistgħu jagħżlu l-votanti li jirrappreżentaw il-kostitwenza?")</f>
        <v>Kemm membri jistgħu jagħżlu l-votanti li jirrappreżentaw il-kostitwenza?</v>
      </c>
    </row>
    <row r="23199" ht="15.75" customHeight="1">
      <c r="A23199" s="2" t="s">
        <v>23199</v>
      </c>
      <c r="B23199" s="2" t="str">
        <f>IFERROR(__xludf.DUMMYFUNCTION("GOOGLETRANSLATE(A23199, ""en"", ""mt"")"),"farinġi")</f>
        <v>farinġi</v>
      </c>
    </row>
    <row r="23200" ht="15.75" customHeight="1">
      <c r="A23200" s="2" t="s">
        <v>23200</v>
      </c>
      <c r="B23200" s="2" t="str">
        <f>IFERROR(__xludf.DUMMYFUNCTION("GOOGLETRANSLATE(A23200, ""en"", ""mt"")"),"Numeriku")</f>
        <v>Numeriku</v>
      </c>
    </row>
    <row r="23201" ht="15.75" customHeight="1">
      <c r="A23201" s="2" t="s">
        <v>23201</v>
      </c>
      <c r="B23201" s="2" t="str">
        <f>IFERROR(__xludf.DUMMYFUNCTION("GOOGLETRANSLATE(A23201, ""en"", ""mt"")"),"is-sistema immuni innata")</f>
        <v>is-sistema immuni innata</v>
      </c>
    </row>
    <row r="23202" ht="15.75" customHeight="1">
      <c r="A23202" s="2" t="s">
        <v>23202</v>
      </c>
      <c r="B23202" s="2" t="str">
        <f>IFERROR(__xludf.DUMMYFUNCTION("GOOGLETRANSLATE(A23202, ""en"", ""mt"")"),"L-ispjegazzjoni dominanti għall-mewt sewda hija t-teorija tal-pesta, li tattribwixxi t-tifqigħa lil Yersinia pestis, responsabbli wkoll għal epidemija li bdiet fin-Nofsinhar taċ-Ċina fl-1865, li eventwalment tinfirex lejn l-Indja. L-investigazzjoni tal-pa"&amp;"toġen li kkawżat il-pesta tas-seklu 19 kienet bdiet minn timijiet ta 'xjenzati li żaru Ħong Kong fl-1894, li fosthom kien il-batterjologu Franċiż-Żvizzeru Alexandre Yersin, li wara li l-patoġen kien imsemmi Yersinia Pestis. Il-mekkaniżmu li bih Y. pestis "&amp;"kien ġeneralment trasmess ġie stabbilit fl-1898 minn Paul-Louis Simond u nstab li jinvolvi l-gdim tal-briegħed li l-midguts tagħhom kienu ostakolati billi rreplikaw lil Y. pestis diversi jiem wara t-tmigħ fuq ospitanti infettati. Dan l-imblukkar jirriżult"&amp;"a fil-ġuħ u l-imġieba aggressiva tal-għalf mill-briegħed, li ripetutament jippruvaw jikklerjaw l-imblukkar tagħhom permezz ta 'regurgitation, li jirriżulta f'eluf ta' batterji tal-pesta li qed jiġu mlaħalħa fis-sit tat-tmigħ, li jinfettaw lill-ospitanti. "&amp;"Il-mekkaniżmu tal-pesta bubonika kien jiddependi wkoll fuq żewġ popolazzjonijiet ta 'annimali gerriema: waħda reżistenti għall-marda, li jaġixxu bħala ospiti, iżommu l-marda endemika, u t-tieni li m'għandhomx reżistenza. Meta t-tieni popolazzjoni tmut, il"&amp;"-briegħed jimxu fuq ospiti oħra, inklużi nies, u b'hekk joħolqu epidemija umana.")</f>
        <v>L-ispjegazzjoni dominanti għall-mewt sewda hija t-teorija tal-pesta, li tattribwixxi t-tifqigħa lil Yersinia pestis, responsabbli wkoll għal epidemija li bdiet fin-Nofsinhar taċ-Ċina fl-1865, li eventwalment tinfirex lejn l-Indja. L-investigazzjoni tal-patoġen li kkawżat il-pesta tas-seklu 19 kienet bdiet minn timijiet ta 'xjenzati li żaru Ħong Kong fl-1894, li fosthom kien il-batterjologu Franċiż-Żvizzeru Alexandre Yersin, li wara li l-patoġen kien imsemmi Yersinia Pestis. Il-mekkaniżmu li bih Y. pestis kien ġeneralment trasmess ġie stabbilit fl-1898 minn Paul-Louis Simond u nstab li jinvolvi l-gdim tal-briegħed li l-midguts tagħhom kienu ostakolati billi rreplikaw lil Y. pestis diversi jiem wara t-tmigħ fuq ospitanti infettati. Dan l-imblukkar jirriżulta fil-ġuħ u l-imġieba aggressiva tal-għalf mill-briegħed, li ripetutament jippruvaw jikklerjaw l-imblukkar tagħhom permezz ta 'regurgitation, li jirriżulta f'eluf ta' batterji tal-pesta li qed jiġu mlaħalħa fis-sit tat-tmigħ, li jinfettaw lill-ospitanti. Il-mekkaniżmu tal-pesta bubonika kien jiddependi wkoll fuq żewġ popolazzjonijiet ta 'annimali gerriema: waħda reżistenti għall-marda, li jaġixxu bħala ospiti, iżommu l-marda endemika, u t-tieni li m'għandhomx reżistenza. Meta t-tieni popolazzjoni tmut, il-briegħed jimxu fuq ospiti oħra, inklużi nies, u b'hekk joħolqu epidemija umana.</v>
      </c>
    </row>
    <row r="23203" ht="15.75" customHeight="1">
      <c r="A23203" s="2" t="s">
        <v>23203</v>
      </c>
      <c r="B23203" s="2" t="str">
        <f>IFERROR(__xludf.DUMMYFUNCTION("GOOGLETRANSLATE(A23203, ""en"", ""mt"")"),"Liema kategorija ewlenija ta 'konservazzjoni tirriżulta f'oġġett li huwa aktar attraenti u aktar komprensibbli għat-telespettatur?")</f>
        <v>Liema kategorija ewlenija ta 'konservazzjoni tirriżulta f'oġġett li huwa aktar attraenti u aktar komprensibbli għat-telespettatur?</v>
      </c>
    </row>
    <row r="23204" ht="15.75" customHeight="1">
      <c r="A23204" s="2" t="s">
        <v>23204</v>
      </c>
      <c r="B23204" s="2" t="str">
        <f>IFERROR(__xludf.DUMMYFUNCTION("GOOGLETRANSLATE(A23204, ""en"", ""mt"")"),"Min kienu responsabbli għad-dekorazzjonijiet ta 'ġewwa tal-kamra tal-pranzu aħdar?")</f>
        <v>Min kienu responsabbli għad-dekorazzjonijiet ta 'ġewwa tal-kamra tal-pranzu aħdar?</v>
      </c>
    </row>
    <row r="23205" ht="15.75" customHeight="1">
      <c r="A23205" s="2" t="s">
        <v>23205</v>
      </c>
      <c r="B23205" s="2" t="str">
        <f>IFERROR(__xludf.DUMMYFUNCTION("GOOGLETRANSLATE(A23205, ""en"", ""mt"")"),"Min wera li l-arja hija meħtieġa għall-kombustjoni?")</f>
        <v>Min wera li l-arja hija meħtieġa għall-kombustjoni?</v>
      </c>
    </row>
    <row r="23206" ht="15.75" customHeight="1">
      <c r="A23206" s="2" t="s">
        <v>23206</v>
      </c>
      <c r="B23206" s="2" t="str">
        <f>IFERROR(__xludf.DUMMYFUNCTION("GOOGLETRANSLATE(A23206, ""en"", ""mt"")"),"X'inhi t-temperatura approssimattiva tal-kondensatur fit-turbina?")</f>
        <v>X'inhi t-temperatura approssimattiva tal-kondensatur fit-turbina?</v>
      </c>
    </row>
    <row r="23207" ht="15.75" customHeight="1">
      <c r="A23207" s="2" t="s">
        <v>23207</v>
      </c>
      <c r="B23207" s="2" t="str">
        <f>IFERROR(__xludf.DUMMYFUNCTION("GOOGLETRANSLATE(A23207, ""en"", ""mt"")"),"Kemm kienet popolari Triq l-Inkurunazzjoni fl-aħħar tas-snin 80?")</f>
        <v>Kemm kienet popolari Triq l-Inkurunazzjoni fl-aħħar tas-snin 80?</v>
      </c>
    </row>
    <row r="23208" ht="15.75" customHeight="1">
      <c r="A23208" s="2" t="s">
        <v>23208</v>
      </c>
      <c r="B23208" s="2" t="str">
        <f>IFERROR(__xludf.DUMMYFUNCTION("GOOGLETRANSLATE(A23208, ""en"", ""mt"")"),"Sferi separati ta 'għarfien")</f>
        <v>Sferi separati ta 'għarfien</v>
      </c>
    </row>
    <row r="23209" ht="15.75" customHeight="1">
      <c r="A23209" s="2" t="s">
        <v>23209</v>
      </c>
      <c r="B23209" s="2" t="str">
        <f>IFERROR(__xludf.DUMMYFUNCTION("GOOGLETRANSLATE(A23209, ""en"", ""mt"")"),"Chargers")</f>
        <v>Chargers</v>
      </c>
    </row>
    <row r="23210" ht="15.75" customHeight="1">
      <c r="A23210" s="2" t="s">
        <v>23210</v>
      </c>
      <c r="B23210" s="2" t="str">
        <f>IFERROR(__xludf.DUMMYFUNCTION("GOOGLETRANSLATE(A23210, ""en"", ""mt"")"),"Aċidi amminiċi idrofiliċi")</f>
        <v>Aċidi amminiċi idrofiliċi</v>
      </c>
    </row>
    <row r="23211" ht="15.75" customHeight="1">
      <c r="A23211" s="2" t="s">
        <v>23211</v>
      </c>
      <c r="B23211" s="2" t="str">
        <f>IFERROR(__xludf.DUMMYFUNCTION("GOOGLETRANSLATE(A23211, ""en"", ""mt"")"),"Liema żona preżenti kienet din is-soluzzjoni qrib?")</f>
        <v>Liema żona preżenti kienet din is-soluzzjoni qrib?</v>
      </c>
    </row>
    <row r="23212" ht="15.75" customHeight="1">
      <c r="A23212" s="2" t="s">
        <v>23212</v>
      </c>
      <c r="B23212" s="2" t="str">
        <f>IFERROR(__xludf.DUMMYFUNCTION("GOOGLETRANSLATE(A23212, ""en"", ""mt"")"),"elju")</f>
        <v>elju</v>
      </c>
    </row>
    <row r="23213" ht="15.75" customHeight="1">
      <c r="A23213" s="2" t="s">
        <v>23213</v>
      </c>
      <c r="B23213" s="2" t="str">
        <f>IFERROR(__xludf.DUMMYFUNCTION("GOOGLETRANSLATE(A23213, ""en"", ""mt"")"),"aġenziji pubbliċi")</f>
        <v>aġenziji pubbliċi</v>
      </c>
    </row>
    <row r="23214" ht="15.75" customHeight="1">
      <c r="A23214" s="2" t="s">
        <v>23214</v>
      </c>
      <c r="B23214" s="2" t="str">
        <f>IFERROR(__xludf.DUMMYFUNCTION("GOOGLETRANSLATE(A23214, ""en"", ""mt"")"),"Sorċerija")</f>
        <v>Sorċerija</v>
      </c>
    </row>
    <row r="23215" ht="15.75" customHeight="1">
      <c r="A23215" s="2" t="s">
        <v>23215</v>
      </c>
      <c r="B23215" s="2" t="str">
        <f>IFERROR(__xludf.DUMMYFUNCTION("GOOGLETRANSLATE(A23215, ""en"", ""mt"")"),"X'tip ta 'tagħlim jgħin l-iktar bil-ħajja ta' kuljum?")</f>
        <v>X'tip ta 'tagħlim jgħin l-iktar bil-ħajja ta' kuljum?</v>
      </c>
    </row>
    <row r="23216" ht="15.75" customHeight="1">
      <c r="A23216" s="2" t="s">
        <v>23216</v>
      </c>
      <c r="B23216" s="2" t="str">
        <f>IFERROR(__xludf.DUMMYFUNCTION("GOOGLETRANSLATE(A23216, ""en"", ""mt"")"),"Meta l-Baċin tad-Drenaġġ tal-Amażon kien maħsub li nqasam f'nofs l-Amerika t'Isfel?")</f>
        <v>Meta l-Baċin tad-Drenaġġ tal-Amażon kien maħsub li nqasam f'nofs l-Amerika t'Isfel?</v>
      </c>
    </row>
    <row r="23217" ht="15.75" customHeight="1">
      <c r="A23217" s="2" t="s">
        <v>23217</v>
      </c>
      <c r="B23217" s="2" t="str">
        <f>IFERROR(__xludf.DUMMYFUNCTION("GOOGLETRANSLATE(A23217, ""en"", ""mt"")"),"F’liema konkwista ewlenija Tancred kellha roll?")</f>
        <v>F’liema konkwista ewlenija Tancred kellha roll?</v>
      </c>
    </row>
    <row r="23218" ht="15.75" customHeight="1">
      <c r="A23218" s="2" t="s">
        <v>23218</v>
      </c>
      <c r="B23218" s="2" t="str">
        <f>IFERROR(__xludf.DUMMYFUNCTION("GOOGLETRANSLATE(A23218, ""en"", ""mt"")"),"Għana ta 'Croesus")</f>
        <v>Għana ta 'Croesus</v>
      </c>
    </row>
    <row r="23219" ht="15.75" customHeight="1">
      <c r="A23219" s="2" t="s">
        <v>23219</v>
      </c>
      <c r="B23219" s="2" t="str">
        <f>IFERROR(__xludf.DUMMYFUNCTION("GOOGLETRANSLATE(A23219, ""en"", ""mt"")"),"Wara l-Gwerra Franko-Ġermaniża,")</f>
        <v>Wara l-Gwerra Franko-Ġermaniża,</v>
      </c>
    </row>
    <row r="23220" ht="15.75" customHeight="1">
      <c r="A23220" s="2" t="s">
        <v>23220</v>
      </c>
      <c r="B23220" s="2" t="str">
        <f>IFERROR(__xludf.DUMMYFUNCTION("GOOGLETRANSLATE(A23220, ""en"", ""mt"")"),"Liema data saret il-lejl tal-ftuħ tas-Super Bowl?")</f>
        <v>Liema data saret il-lejl tal-ftuħ tas-Super Bowl?</v>
      </c>
    </row>
    <row r="23221" ht="15.75" customHeight="1">
      <c r="A23221" s="2" t="s">
        <v>23221</v>
      </c>
      <c r="B23221" s="2" t="str">
        <f>IFERROR(__xludf.DUMMYFUNCTION("GOOGLETRANSLATE(A23221, ""en"", ""mt"")"),"Sal-aħħar tas-seklu 19 ix-xjenzati rrealizzaw li l-arja tista 'tkun likwifikata, u l-komponenti tagħha iżolati, billi jikkompressaw u jkessħuha. Bl-użu ta 'metodu tal-kaskata, l-ispiżjar Żvizzeru u l-fiżiċista Raoul Pierre Pictet evapora dijossidu tal-kub"&amp;"rit likwidu sabiex jinxtegħel id-dijossidu tal-karbonju, li mbagħad ġie evaporat biex ikessaħ il-gass tal-ossiġnu biżżejjed biex likwifikah. Huwa bagħat telegramma fit-22 ta 'Diċembru, 1877 lill-Akkademja Franċiża tax-Xjenzi f'Pariġi li ħabbar l-iskoperta"&amp;" tiegħu ta' ossiġnu likwidu. Jumejn biss wara, il-fiżiċista Franċiż Louis Paul Cailletet ħabbar il-metodu tiegħu stess ta 'likwidazzjoni molekulari ossiġenu. Ftit qtar tal-likwidu biss ġew prodotti fl-ebda każ u għalhekk ma tista 'titwettaq analiżi sinifi"&amp;"kanti. L-ossiġnu kien likwifikat fi stat stabbli għall-ewwel darba fid-29 ta 'Marzu, 1883 minn xjenzati Pollakki mill-Università Jagiellonian, Zygmunt Wróblewski u Karol Olszewski.")</f>
        <v>Sal-aħħar tas-seklu 19 ix-xjenzati rrealizzaw li l-arja tista 'tkun likwifikata, u l-komponenti tagħha iżolati, billi jikkompressaw u jkessħuha. Bl-użu ta 'metodu tal-kaskata, l-ispiżjar Żvizzeru u l-fiżiċista Raoul Pierre Pictet evapora dijossidu tal-kubrit likwidu sabiex jinxtegħel id-dijossidu tal-karbonju, li mbagħad ġie evaporat biex ikessaħ il-gass tal-ossiġnu biżżejjed biex likwifikah. Huwa bagħat telegramma fit-22 ta 'Diċembru, 1877 lill-Akkademja Franċiża tax-Xjenzi f'Pariġi li ħabbar l-iskoperta tiegħu ta' ossiġnu likwidu. Jumejn biss wara, il-fiżiċista Franċiż Louis Paul Cailletet ħabbar il-metodu tiegħu stess ta 'likwidazzjoni molekulari ossiġenu. Ftit qtar tal-likwidu biss ġew prodotti fl-ebda każ u għalhekk ma tista 'titwettaq analiżi sinifikanti. L-ossiġnu kien likwifikat fi stat stabbli għall-ewwel darba fid-29 ta 'Marzu, 1883 minn xjenzati Pollakki mill-Università Jagiellonian, Zygmunt Wróblewski u Karol Olszewski.</v>
      </c>
    </row>
    <row r="23222" ht="15.75" customHeight="1">
      <c r="A23222" s="2" t="s">
        <v>23222</v>
      </c>
      <c r="B23222" s="2" t="str">
        <f>IFERROR(__xludf.DUMMYFUNCTION("GOOGLETRANSLATE(A23222, ""en"", ""mt"")"),"Reġistrazzjoni Provviżorja")</f>
        <v>Reġistrazzjoni Provviżorja</v>
      </c>
    </row>
    <row r="23223" ht="15.75" customHeight="1">
      <c r="A23223" s="2" t="s">
        <v>23223</v>
      </c>
      <c r="B23223" s="2" t="str">
        <f>IFERROR(__xludf.DUMMYFUNCTION("GOOGLETRANSLATE(A23223, ""en"", ""mt"")"),"Kummissjoni dwar l-Etika u l-Kontra l-Korruzzjoni")</f>
        <v>Kummissjoni dwar l-Etika u l-Kontra l-Korruzzjoni</v>
      </c>
    </row>
    <row r="23224" ht="15.75" customHeight="1">
      <c r="A23224" s="2" t="s">
        <v>23224</v>
      </c>
      <c r="B23224" s="2" t="str">
        <f>IFERROR(__xludf.DUMMYFUNCTION("GOOGLETRANSLATE(A23224, ""en"", ""mt"")"),"Min kien il-mexxej tar-Russja fis-snin 1960?")</f>
        <v>Min kien il-mexxej tar-Russja fis-snin 1960?</v>
      </c>
    </row>
    <row r="23225" ht="15.75" customHeight="1">
      <c r="A23225" s="2" t="s">
        <v>23225</v>
      </c>
      <c r="B23225" s="2" t="str">
        <f>IFERROR(__xludf.DUMMYFUNCTION("GOOGLETRANSLATE(A23225, ""en"", ""mt"")"),"OnDemar Dias")</f>
        <v>OnDemar Dias</v>
      </c>
    </row>
    <row r="23226" ht="15.75" customHeight="1">
      <c r="A23226" s="2" t="s">
        <v>23226</v>
      </c>
      <c r="B23226" s="2" t="str">
        <f>IFERROR(__xludf.DUMMYFUNCTION("GOOGLETRANSLATE(A23226, ""en"", ""mt"")"),"Min ir-regola tal-FCC favur fit-tilwima ta 'April 2000 bejn Time Warner Cable u ABC?")</f>
        <v>Min ir-regola tal-FCC favur fit-tilwima ta 'April 2000 bejn Time Warner Cable u ABC?</v>
      </c>
    </row>
    <row r="23227" ht="15.75" customHeight="1">
      <c r="A23227" s="2" t="s">
        <v>23227</v>
      </c>
      <c r="B23227" s="2" t="str">
        <f>IFERROR(__xludf.DUMMYFUNCTION("GOOGLETRANSLATE(A23227, ""en"", ""mt"")"),"kleru")</f>
        <v>kleru</v>
      </c>
    </row>
    <row r="23228" ht="15.75" customHeight="1">
      <c r="A23228" s="2" t="s">
        <v>23228</v>
      </c>
      <c r="B23228" s="2" t="str">
        <f>IFERROR(__xludf.DUMMYFUNCTION("GOOGLETRANSLATE(A23228, ""en"", ""mt"")"),"Kummentaturi Ingliżi jinkludu, Darren Fletcher, Rocky Boiman u min iktar?")</f>
        <v>Kummentaturi Ingliżi jinkludu, Darren Fletcher, Rocky Boiman u min iktar?</v>
      </c>
    </row>
    <row r="23229" ht="15.75" customHeight="1">
      <c r="A23229" s="2" t="s">
        <v>23229</v>
      </c>
      <c r="B23229" s="2" t="str">
        <f>IFERROR(__xludf.DUMMYFUNCTION("GOOGLETRANSLATE(A23229, ""en"", ""mt"")"),"Meta l-għaqda bejn l-ABC u l-bliet kapitali kisbet l-approvazzjoni federali?")</f>
        <v>Meta l-għaqda bejn l-ABC u l-bliet kapitali kisbet l-approvazzjoni federali?</v>
      </c>
    </row>
    <row r="23230" ht="15.75" customHeight="1">
      <c r="A23230" s="2" t="s">
        <v>23230</v>
      </c>
      <c r="B23230" s="2" t="str">
        <f>IFERROR(__xludf.DUMMYFUNCTION("GOOGLETRANSLATE(A23230, ""en"", ""mt"")"),"Tabib tat-Teoloġija")</f>
        <v>Tabib tat-Teoloġija</v>
      </c>
    </row>
    <row r="23231" ht="15.75" customHeight="1">
      <c r="A23231" s="2" t="s">
        <v>23231</v>
      </c>
      <c r="B23231" s="2" t="str">
        <f>IFERROR(__xludf.DUMMYFUNCTION("GOOGLETRANSLATE(A23231, ""en"", ""mt"")"),"Għall-bosta snin li ġejjin, Hoelun u wliedha kienu jgħixu fil-faqar, baqgħu ħajjin primarjament fuq frott selvaġġ u karkassi tal-ox, marmots, u kaċċa żgħira oħra maqtula minn Temüjin u ħutu. Begter, nofs ħuh anzjan ta 'Temujin, beda jeżerċita l-poter ta' "&amp;"l-akbar raġel fil-familja u eventwalment omm Hoelun ta 'Temujin (omm mhux Begter) kienet ikollha taċċettah bħala żewġha jekk u meta sar adult. Ir-riżentiment ta 'Temujin faqqa waqt eskursjoni waħda tal-kaċċa li Temüjin u ħuh Khasar qatlu l-begter tagħhom "&amp;"nofs ħuhom.")</f>
        <v>Għall-bosta snin li ġejjin, Hoelun u wliedha kienu jgħixu fil-faqar, baqgħu ħajjin primarjament fuq frott selvaġġ u karkassi tal-ox, marmots, u kaċċa żgħira oħra maqtula minn Temüjin u ħutu. Begter, nofs ħuh anzjan ta 'Temujin, beda jeżerċita l-poter ta' l-akbar raġel fil-familja u eventwalment omm Hoelun ta 'Temujin (omm mhux Begter) kienet ikollha taċċettah bħala żewġha jekk u meta sar adult. Ir-riżentiment ta 'Temujin faqqa waqt eskursjoni waħda tal-kaċċa li Temüjin u ħuh Khasar qatlu l-begter tagħhom nofs ħuhom.</v>
      </c>
    </row>
    <row r="23232" ht="15.75" customHeight="1">
      <c r="A23232" s="2" t="s">
        <v>23232</v>
      </c>
      <c r="B23232" s="2" t="str">
        <f>IFERROR(__xludf.DUMMYFUNCTION("GOOGLETRANSLATE(A23232, ""en"", ""mt"")"),"In-Normanni wara dan adottaw id-duttrini feudali dejjem jikbru tal-bqija ta 'Franza, u ħadmuhom f'sistema ġerarkika funzjonali kemm fin-Normandija kif ukoll fl-Ingilterra. Il-kbarat Norman il-ġodda kienu kulturalment u etnikament distinti mill-aristokrazi"&amp;"ja Franċiża l-qadima, li ħafna minnhom traċċaw in-nisel tagħhom għal franki tad-dinastija Karolingjana. Il-biċċa l-kbira tal-kavallieri Norman baqgħu fqar u bil-ġuħ tal-art, u sal-1066 in-Normandija kienet qed tesporta ġlieda kontra l-ġlied għal aktar min"&amp;"n ġenerazzjoni. Ħafna Normanni tal-Italja, Franza u l-Ingilterra eventwalment servew bħala kruċjati akkaniti taħt il-Prinċep Italo-Norman Bohemund I u r-Re Anglo-Norman Richard Richard il-Qalb tal-Iljun.")</f>
        <v>In-Normanni wara dan adottaw id-duttrini feudali dejjem jikbru tal-bqija ta 'Franza, u ħadmuhom f'sistema ġerarkika funzjonali kemm fin-Normandija kif ukoll fl-Ingilterra. Il-kbarat Norman il-ġodda kienu kulturalment u etnikament distinti mill-aristokrazija Franċiża l-qadima, li ħafna minnhom traċċaw in-nisel tagħhom għal franki tad-dinastija Karolingjana. Il-biċċa l-kbira tal-kavallieri Norman baqgħu fqar u bil-ġuħ tal-art, u sal-1066 in-Normandija kienet qed tesporta ġlieda kontra l-ġlied għal aktar minn ġenerazzjoni. Ħafna Normanni tal-Italja, Franza u l-Ingilterra eventwalment servew bħala kruċjati akkaniti taħt il-Prinċep Italo-Norman Bohemund I u r-Re Anglo-Norman Richard Richard il-Qalb tal-Iljun.</v>
      </c>
    </row>
    <row r="23233" ht="15.75" customHeight="1">
      <c r="A23233" s="2" t="s">
        <v>23233</v>
      </c>
      <c r="B23233" s="2" t="str">
        <f>IFERROR(__xludf.DUMMYFUNCTION("GOOGLETRANSLATE(A23233, ""en"", ""mt"")"),"Għaliex in-nodu huwa meħtieġ biex tfittex")</f>
        <v>Għaliex in-nodu huwa meħtieġ biex tfittex</v>
      </c>
    </row>
    <row r="23234" ht="15.75" customHeight="1">
      <c r="A23234" s="2" t="s">
        <v>23234</v>
      </c>
      <c r="B23234" s="2" t="str">
        <f>IFERROR(__xludf.DUMMYFUNCTION("GOOGLETRANSLATE(A23234, ""en"", ""mt"")"),"Tliet korpi ta 'ilma")</f>
        <v>Tliet korpi ta 'ilma</v>
      </c>
    </row>
    <row r="23235" ht="15.75" customHeight="1">
      <c r="A23235" s="2" t="s">
        <v>23235</v>
      </c>
      <c r="B23235" s="2" t="str">
        <f>IFERROR(__xludf.DUMMYFUNCTION("GOOGLETRANSLATE(A23235, ""en"", ""mt"")"),"Meta ġie eżegwit QUTB?")</f>
        <v>Meta ġie eżegwit QUTB?</v>
      </c>
    </row>
    <row r="23236" ht="15.75" customHeight="1">
      <c r="A23236" s="2" t="s">
        <v>23236</v>
      </c>
      <c r="B23236" s="2" t="str">
        <f>IFERROR(__xludf.DUMMYFUNCTION("GOOGLETRANSLATE(A23236, ""en"", ""mt"")"),"formalizmu")</f>
        <v>formalizmu</v>
      </c>
    </row>
    <row r="23237" ht="15.75" customHeight="1">
      <c r="A23237" s="2" t="s">
        <v>23237</v>
      </c>
      <c r="B23237" s="2" t="str">
        <f>IFERROR(__xludf.DUMMYFUNCTION("GOOGLETRANSLATE(A23237, ""en"", ""mt"")"),"Liema ferroviji taħt l-art ikopru ħafna minn Tyne u jilbsu?")</f>
        <v>Liema ferroviji taħt l-art ikopru ħafna minn Tyne u jilbsu?</v>
      </c>
    </row>
    <row r="23238" ht="15.75" customHeight="1">
      <c r="A23238" s="2" t="s">
        <v>23238</v>
      </c>
      <c r="B23238" s="2" t="str">
        <f>IFERROR(__xludf.DUMMYFUNCTION("GOOGLETRANSLATE(A23238, ""en"", ""mt"")"),"turbina konnessa ma 'ġeneratur elettriku")</f>
        <v>turbina konnessa ma 'ġeneratur elettriku</v>
      </c>
    </row>
    <row r="23239" ht="15.75" customHeight="1">
      <c r="A23239" s="2" t="s">
        <v>23239</v>
      </c>
      <c r="B23239" s="2" t="str">
        <f>IFERROR(__xludf.DUMMYFUNCTION("GOOGLETRANSLATE(A23239, ""en"", ""mt"")"),"In-nies indiġeni tal-Amazon Peruvjani qed jitħabtu fl-Amażonja, x'inhu grupp ieħor?")</f>
        <v>In-nies indiġeni tal-Amazon Peruvjani qed jitħabtu fl-Amażonja, x'inhu grupp ieħor?</v>
      </c>
    </row>
    <row r="23240" ht="15.75" customHeight="1">
      <c r="A23240" s="2" t="s">
        <v>23240</v>
      </c>
      <c r="B23240" s="2" t="str">
        <f>IFERROR(__xludf.DUMMYFUNCTION("GOOGLETRANSLATE(A23240, ""en"", ""mt"")"),"Divinità ta ’Ġesù")</f>
        <v>Divinità ta ’Ġesù</v>
      </c>
    </row>
    <row r="23241" ht="15.75" customHeight="1">
      <c r="A23241" s="2" t="s">
        <v>23241</v>
      </c>
      <c r="B23241" s="2" t="str">
        <f>IFERROR(__xludf.DUMMYFUNCTION("GOOGLETRANSLATE(A23241, ""en"", ""mt"")"),"Ħin ta 'Cambrian")</f>
        <v>Ħin ta 'Cambrian</v>
      </c>
    </row>
    <row r="23242" ht="15.75" customHeight="1">
      <c r="A23242" s="2" t="s">
        <v>23242</v>
      </c>
      <c r="B23242" s="2" t="str">
        <f>IFERROR(__xludf.DUMMYFUNCTION("GOOGLETRANSLATE(A23242, ""en"", ""mt"")"),"Kif jissejħu komunement it-tnixxijiet?")</f>
        <v>Kif jissejħu komunement it-tnixxijiet?</v>
      </c>
    </row>
    <row r="23243" ht="15.75" customHeight="1">
      <c r="A23243" s="2" t="s">
        <v>23243</v>
      </c>
      <c r="B23243" s="2" t="str">
        <f>IFERROR(__xludf.DUMMYFUNCTION("GOOGLETRANSLATE(A23243, ""en"", ""mt"")"),"L-Università ta 'Chicago College Bowl Team")</f>
        <v>L-Università ta 'Chicago College Bowl Team</v>
      </c>
    </row>
    <row r="23244" ht="15.75" customHeight="1">
      <c r="A23244" s="2" t="s">
        <v>23244</v>
      </c>
      <c r="B23244" s="2" t="str">
        <f>IFERROR(__xludf.DUMMYFUNCTION("GOOGLETRANSLATE(A23244, ""en"", ""mt"")"),"Huwa aktar tard attribwixxa d-deċiżjoni tiegħu għal avveniment: Fit-2 ta 'Lulju 1505, huwa kien qed jirritorna l-università fuq żiemel wara vjaġġ id-dar. Waqt maltempata, sajjetti laqtu ħdejh. Aktar tard qal lil missieru li kien imdejjaq bil-mewt u l-ġudi"&amp;"zzju divin, huwa għajjat, ""Għajnuna! Santa Anna, se nsir monk!"" Huwa daħal biex jara l-għajta tiegħu għall-għajnuna bħala wegħda li qatt ma seta 'jkisser. Huwa telaq mill-iskola tal-liġi, biegħ il-kotba tiegħu, u daħal fi kustodju Agostinjan magħluq f'E"&amp;"rfurt fis-17 ta 'Lulju 1505. Ħabib wieħed waħħal id-deċiżjoni dwar id-dwejjaq ta' Luther fuq l-imwiet ta 'żewġ ħbieb. Luther innifsu deher imdejjaq bil-mossa. Dawk li attendew ikla ta ’tislima telqu lejn il-bieb tal-kustodju s-sewda. ""Din il-ġurnata tara"&amp;" lili, u allura, mhux għal darb'oħra,"" qal. Missieru kien furious fuq dak li ra bħala ħela ta 'edukazzjoni ta' Luther.")</f>
        <v>Huwa aktar tard attribwixxa d-deċiżjoni tiegħu għal avveniment: Fit-2 ta 'Lulju 1505, huwa kien qed jirritorna l-università fuq żiemel wara vjaġġ id-dar. Waqt maltempata, sajjetti laqtu ħdejh. Aktar tard qal lil missieru li kien imdejjaq bil-mewt u l-ġudizzju divin, huwa għajjat, "Għajnuna! Santa Anna, se nsir monk!" Huwa daħal biex jara l-għajta tiegħu għall-għajnuna bħala wegħda li qatt ma seta 'jkisser. Huwa telaq mill-iskola tal-liġi, biegħ il-kotba tiegħu, u daħal fi kustodju Agostinjan magħluq f'Erfurt fis-17 ta 'Lulju 1505. Ħabib wieħed waħħal id-deċiżjoni dwar id-dwejjaq ta' Luther fuq l-imwiet ta 'żewġ ħbieb. Luther innifsu deher imdejjaq bil-mossa. Dawk li attendew ikla ta ’tislima telqu lejn il-bieb tal-kustodju s-sewda. "Din il-ġurnata tara lili, u allura, mhux għal darb'oħra," qal. Missieru kien furious fuq dak li ra bħala ħela ta 'edukazzjoni ta' Luther.</v>
      </c>
    </row>
    <row r="23245" ht="15.75" customHeight="1">
      <c r="A23245" s="2" t="s">
        <v>23245</v>
      </c>
      <c r="B23245" s="2" t="str">
        <f>IFERROR(__xludf.DUMMYFUNCTION("GOOGLETRANSLATE(A23245, ""en"", ""mt"")"),"Jean Auguste Dominique Ingres")</f>
        <v>Jean Auguste Dominique Ingres</v>
      </c>
    </row>
    <row r="23246" ht="15.75" customHeight="1">
      <c r="A23246" s="2" t="s">
        <v>23246</v>
      </c>
      <c r="B23246" s="2" t="str">
        <f>IFERROR(__xludf.DUMMYFUNCTION("GOOGLETRANSLATE(A23246, ""en"", ""mt"")"),"It-terminu ""imperjalizmu"" ħafna drabi huwa magħluq ma '""kolonjaliżmu"", madankollu ħafna studjużi argumentaw li kull wieħed għandu d-definizzjoni distinta tagħhom stess. L-imperjalizmu u l-kolonjaliżmu intużaw sabiex jiddeskrivu s-superjorità, il-ħakma"&amp;" u l-influwenza ta 'wieħed fuq persuna jew grupp ta' nies. Robert Young jikteb li filwaqt li l-imperjalizmu jopera miċ-Ċentru, huwa politika tal-istat u huwa żviluppat għal raġunijiet ideoloġiċi kif ukoll finanzjarji, il-kolonjaliżmu huwa sempliċement l-i"&amp;"żvilupp għal soluzzjoni jew intenzjonijiet kummerċjali. Il-kolonjaliżmu fl-użu modern għandu wkoll it-tendenza li jimplika grad ta 'separazzjoni ġeografika bejn il-kolonja u l-qawwa imperjali. Partikolarment, Edward qal li jiddistingwi d-differenza bejn l"&amp;"-imperjalizmu u l-kolonjaliżmu billi jiddikjara; ""L-imperjalizmu kien jinvolvi"" l-prattika, it-teorija u l-attitudnijiet ta 'ċentru metropolitani dominanti li jiddeċiedi territorju' l bogħod "", filwaqt li l-kolonjaliżmu jirreferi għall-impjant ta 'l-in"&amp;"sedjamenti fuq territorju' l bogħod."" Imperi tal-art kontigwi bħar-Russu jew l-Ottoman huma ġeneralment esklużi minn diskussjonijiet dwar il-kolonjaliżmu. Spjegazzjoni meħtieġa]")</f>
        <v>It-terminu "imperjalizmu" ħafna drabi huwa magħluq ma '"kolonjaliżmu", madankollu ħafna studjużi argumentaw li kull wieħed għandu d-definizzjoni distinta tagħhom stess. L-imperjalizmu u l-kolonjaliżmu intużaw sabiex jiddeskrivu s-superjorità, il-ħakma u l-influwenza ta 'wieħed fuq persuna jew grupp ta' nies. Robert Young jikteb li filwaqt li l-imperjalizmu jopera miċ-Ċentru, huwa politika tal-istat u huwa żviluppat għal raġunijiet ideoloġiċi kif ukoll finanzjarji, il-kolonjaliżmu huwa sempliċement l-iżvilupp għal soluzzjoni jew intenzjonijiet kummerċjali. Il-kolonjaliżmu fl-użu modern għandu wkoll it-tendenza li jimplika grad ta 'separazzjoni ġeografika bejn il-kolonja u l-qawwa imperjali. Partikolarment, Edward qal li jiddistingwi d-differenza bejn l-imperjalizmu u l-kolonjaliżmu billi jiddikjara; "L-imperjalizmu kien jinvolvi" l-prattika, it-teorija u l-attitudnijiet ta 'ċentru metropolitani dominanti li jiddeċiedi territorju' l bogħod ", filwaqt li l-kolonjaliżmu jirreferi għall-impjant ta 'l-insedjamenti fuq territorju' l bogħod." Imperi tal-art kontigwi bħar-Russu jew l-Ottoman huma ġeneralment esklużi minn diskussjonijiet dwar il-kolonjaliżmu. Spjegazzjoni meħtieġa]</v>
      </c>
    </row>
    <row r="23247" ht="15.75" customHeight="1">
      <c r="A23247" s="2" t="s">
        <v>23247</v>
      </c>
      <c r="B23247" s="2" t="str">
        <f>IFERROR(__xludf.DUMMYFUNCTION("GOOGLETRANSLATE(A23247, ""en"", ""mt"")"),"Fejn hi l-massa tal-oġġett, hija l-veloċità tal-oġġett u hija d-distanza għaċ-ċentru tal-passaġġ ċirkolari u hija l-vettur tal-unità li jipponta fid-direzzjoni radjali 'l barra miċ-ċentru. Dan ifisser li l-forza ċentripetali żbilanċjata li tinħass minn kw"&amp;"alunkwe oġġett hija dejjem diretta lejn iċ-ċentru tal-passaġġ mgħawweġ. Il-forzi bħal dawn jaġixxu perpendikulari mal-vettur tal-veloċità assoċjat mal-moviment ta 'oġġett, u għalhekk ma jbiddlux il-veloċità tal-oġġett (kobor tal-veloċità), iżda biss id-di"&amp;"rezzjoni tal-vettur tal-veloċità. Il-forza żbilanċjata li taċċellera oġġett tista 'tissolva f'komponent li huwa perpendikulari mal-passaġġ, u waħda li hija tanġenzjali għall-passaġġ. Dan jagħti kemm il-forza tanġenzjali, li taċċellera l-oġġett billi tnaqq"&amp;"asha jew tħaffefha, u l-forza radjali (ċentripetali), li tbiddel id-direzzjoni tagħha.")</f>
        <v>Fejn hi l-massa tal-oġġett, hija l-veloċità tal-oġġett u hija d-distanza għaċ-ċentru tal-passaġġ ċirkolari u hija l-vettur tal-unità li jipponta fid-direzzjoni radjali 'l barra miċ-ċentru. Dan ifisser li l-forza ċentripetali żbilanċjata li tinħass minn kwalunkwe oġġett hija dejjem diretta lejn iċ-ċentru tal-passaġġ mgħawweġ. Il-forzi bħal dawn jaġixxu perpendikulari mal-vettur tal-veloċità assoċjat mal-moviment ta 'oġġett, u għalhekk ma jbiddlux il-veloċità tal-oġġett (kobor tal-veloċità), iżda biss id-direzzjoni tal-vettur tal-veloċità. Il-forza żbilanċjata li taċċellera oġġett tista 'tissolva f'komponent li huwa perpendikulari mal-passaġġ, u waħda li hija tanġenzjali għall-passaġġ. Dan jagħti kemm il-forza tanġenzjali, li taċċellera l-oġġett billi tnaqqasha jew tħaffefha, u l-forza radjali (ċentripetali), li tbiddel id-direzzjoni tagħha.</v>
      </c>
    </row>
    <row r="23248" ht="15.75" customHeight="1">
      <c r="A23248" s="2" t="s">
        <v>23248</v>
      </c>
      <c r="B23248" s="2" t="str">
        <f>IFERROR(__xludf.DUMMYFUNCTION("GOOGLETRANSLATE(A23248, ""en"", ""mt"")"),"Fejn joriġina l-Ħamas?")</f>
        <v>Fejn joriġina l-Ħamas?</v>
      </c>
    </row>
    <row r="23249" ht="15.75" customHeight="1">
      <c r="A23249" s="2" t="s">
        <v>23249</v>
      </c>
      <c r="B23249" s="2" t="str">
        <f>IFERROR(__xludf.DUMMYFUNCTION("GOOGLETRANSLATE(A23249, ""en"", ""mt"")"),"194")</f>
        <v>194</v>
      </c>
    </row>
    <row r="23250" ht="15.75" customHeight="1">
      <c r="A23250" s="2" t="s">
        <v>23250</v>
      </c>
      <c r="B23250" s="2" t="str">
        <f>IFERROR(__xludf.DUMMYFUNCTION("GOOGLETRANSLATE(A23250, ""en"", ""mt"")"),"Il-Kenja tinsab baxxa fuq l-Indiċi tal-Perċezzjoni tal-Korruzzjoni ta 'Transparency International (CPI), metrika li tipprova tkejjel il-prevalenza tal-korruzzjoni tas-settur pubbliku f'diversi pajjiżi. Fl-2012, in-nazzjon poġġa 139th minn 176 pajjiż total"&amp;"i fl-IPK, bi skor ta '27 / 100. Madankollu, hemm bosta żviluppi pjuttost sinifikanti fir-rigward tat-trażżin tal-korruzzjoni mill-gvern tal-Kenja, pereżempju, it-twaqqif ta 'kummissjoni ta' etika u anti-korruzzjoni ġdida u indipendenti (EACC).")</f>
        <v>Il-Kenja tinsab baxxa fuq l-Indiċi tal-Perċezzjoni tal-Korruzzjoni ta 'Transparency International (CPI), metrika li tipprova tkejjel il-prevalenza tal-korruzzjoni tas-settur pubbliku f'diversi pajjiżi. Fl-2012, in-nazzjon poġġa 139th minn 176 pajjiż totali fl-IPK, bi skor ta '27 / 100. Madankollu, hemm bosta żviluppi pjuttost sinifikanti fir-rigward tat-trażżin tal-korruzzjoni mill-gvern tal-Kenja, pereżempju, it-twaqqif ta 'kummissjoni ta' etika u anti-korruzzjoni ġdida u indipendenti (EACC).</v>
      </c>
    </row>
    <row r="23251" ht="15.75" customHeight="1">
      <c r="A23251" s="2" t="s">
        <v>23251</v>
      </c>
      <c r="B23251" s="2" t="str">
        <f>IFERROR(__xludf.DUMMYFUNCTION("GOOGLETRANSLATE(A23251, ""en"", ""mt"")"),"Jay Berwanger")</f>
        <v>Jay Berwanger</v>
      </c>
    </row>
    <row r="23252" ht="15.75" customHeight="1">
      <c r="A23252" s="2" t="s">
        <v>23252</v>
      </c>
      <c r="B23252" s="2" t="str">
        <f>IFERROR(__xludf.DUMMYFUNCTION("GOOGLETRANSLATE(A23252, ""en"", ""mt"")"),"Hans Hillerbrand")</f>
        <v>Hans Hillerbrand</v>
      </c>
    </row>
    <row r="23253" ht="15.75" customHeight="1">
      <c r="A23253" s="2" t="s">
        <v>23253</v>
      </c>
      <c r="B23253" s="2" t="str">
        <f>IFERROR(__xludf.DUMMYFUNCTION("GOOGLETRANSLATE(A23253, ""en"", ""mt"")"),"Xi jfisser Kitab Rudjdjar bl-Ingliż?")</f>
        <v>Xi jfisser Kitab Rudjdjar bl-Ingliż?</v>
      </c>
    </row>
    <row r="23254" ht="15.75" customHeight="1">
      <c r="A23254" s="2" t="s">
        <v>23254</v>
      </c>
      <c r="B23254" s="2" t="str">
        <f>IFERROR(__xludf.DUMMYFUNCTION("GOOGLETRANSLATE(A23254, ""en"", ""mt"")"),"fl-1050s")</f>
        <v>fl-1050s</v>
      </c>
    </row>
    <row r="23255" ht="15.75" customHeight="1">
      <c r="A23255" s="2" t="s">
        <v>23255</v>
      </c>
      <c r="B23255" s="2" t="str">
        <f>IFERROR(__xludf.DUMMYFUNCTION("GOOGLETRANSLATE(A23255, ""en"", ""mt"")"),"X'inhu l-isem imqassar tat-tellieqa tal-jott annwali li sseħħ?")</f>
        <v>X'inhu l-isem imqassar tat-tellieqa tal-jott annwali li sseħħ?</v>
      </c>
    </row>
    <row r="23256" ht="15.75" customHeight="1">
      <c r="A23256" s="2" t="s">
        <v>23256</v>
      </c>
      <c r="B23256" s="2" t="str">
        <f>IFERROR(__xludf.DUMMYFUNCTION("GOOGLETRANSLATE(A23256, ""en"", ""mt"")"),"tiċkien")</f>
        <v>tiċkien</v>
      </c>
    </row>
    <row r="23257" ht="15.75" customHeight="1">
      <c r="A23257" s="2" t="s">
        <v>23257</v>
      </c>
      <c r="B23257" s="2" t="str">
        <f>IFERROR(__xludf.DUMMYFUNCTION("GOOGLETRANSLATE(A23257, ""en"", ""mt"")"),"Triq Collingwood")</f>
        <v>Triq Collingwood</v>
      </c>
    </row>
    <row r="23258" ht="15.75" customHeight="1">
      <c r="A23258" s="2" t="s">
        <v>23258</v>
      </c>
      <c r="B23258" s="2" t="str">
        <f>IFERROR(__xludf.DUMMYFUNCTION("GOOGLETRANSLATE(A23258, ""en"", ""mt"")"),"Kemm mill-popolazzjoni fil-Lvant Nofsani mietet bil-pesta?")</f>
        <v>Kemm mill-popolazzjoni fil-Lvant Nofsani mietet bil-pesta?</v>
      </c>
    </row>
    <row r="23259" ht="15.75" customHeight="1">
      <c r="A23259" s="2" t="s">
        <v>23259</v>
      </c>
      <c r="B23259" s="2" t="str">
        <f>IFERROR(__xludf.DUMMYFUNCTION("GOOGLETRANSLATE(A23259, ""en"", ""mt"")"),"X'jista 'jiġi attribwit għall-aċċellerazzjoni tal-gravità madwar id-dinja?")</f>
        <v>X'jista 'jiġi attribwit għall-aċċellerazzjoni tal-gravità madwar id-dinja?</v>
      </c>
    </row>
    <row r="23260" ht="15.75" customHeight="1">
      <c r="A23260" s="2" t="s">
        <v>23260</v>
      </c>
      <c r="B23260" s="2" t="str">
        <f>IFERROR(__xludf.DUMMYFUNCTION("GOOGLETRANSLATE(A23260, ""en"", ""mt"")"),"Moraine")</f>
        <v>Moraine</v>
      </c>
    </row>
    <row r="23261" ht="15.75" customHeight="1">
      <c r="A23261" s="2" t="s">
        <v>23261</v>
      </c>
      <c r="B23261" s="2" t="str">
        <f>IFERROR(__xludf.DUMMYFUNCTION("GOOGLETRANSLATE(A23261, ""en"", ""mt"")"),"Ġbir ta 'fondi professjonali")</f>
        <v>Ġbir ta 'fondi professjonali</v>
      </c>
    </row>
    <row r="23262" ht="15.75" customHeight="1">
      <c r="A23262" s="2" t="s">
        <v>23262</v>
      </c>
      <c r="B23262" s="2" t="str">
        <f>IFERROR(__xludf.DUMMYFUNCTION("GOOGLETRANSLATE(A23262, ""en"", ""mt"")"),"Liema ċertifikat ta 'spiss jinkiseb wara li jiggradwa l-iskola sekondarja?")</f>
        <v>Liema ċertifikat ta 'spiss jinkiseb wara li jiggradwa l-iskola sekondarja?</v>
      </c>
    </row>
    <row r="23263" ht="15.75" customHeight="1">
      <c r="A23263" s="2" t="s">
        <v>23263</v>
      </c>
      <c r="B23263" s="2" t="str">
        <f>IFERROR(__xludf.DUMMYFUNCTION("GOOGLETRANSLATE(A23263, ""en"", ""mt"")"),"tifforma sħubijiet kummerċjali ma 'tobba jew tagħtihom ħlasijiet ""kickback""")</f>
        <v>tifforma sħubijiet kummerċjali ma 'tobba jew tagħtihom ħlasijiet "kickback"</v>
      </c>
    </row>
    <row r="23264" ht="15.75" customHeight="1">
      <c r="A23264" s="2" t="s">
        <v>23264</v>
      </c>
      <c r="B23264" s="2" t="str">
        <f>IFERROR(__xludf.DUMMYFUNCTION("GOOGLETRANSLATE(A23264, ""en"", ""mt"")"),"Liema proklamazzjoni aboliet il-Protestantiżmu fi Franza?")</f>
        <v>Liema proklamazzjoni aboliet il-Protestantiżmu fi Franza?</v>
      </c>
    </row>
    <row r="23265" ht="15.75" customHeight="1">
      <c r="A23265" s="2" t="s">
        <v>23265</v>
      </c>
      <c r="B23265" s="2" t="str">
        <f>IFERROR(__xludf.DUMMYFUNCTION("GOOGLETRANSLATE(A23265, ""en"", ""mt"")"),"Slug metrika")</f>
        <v>Slug metrika</v>
      </c>
    </row>
    <row r="23266" ht="15.75" customHeight="1">
      <c r="A23266" s="2" t="s">
        <v>23266</v>
      </c>
      <c r="B23266" s="2" t="str">
        <f>IFERROR(__xludf.DUMMYFUNCTION("GOOGLETRANSLATE(A23266, ""en"", ""mt"")"),"Liema netwerk xandar il-50 logħba Super Bowl?")</f>
        <v>Liema netwerk xandar il-50 logħba Super Bowl?</v>
      </c>
    </row>
    <row r="23267" ht="15.75" customHeight="1">
      <c r="A23267" s="2" t="s">
        <v>23267</v>
      </c>
      <c r="B23267" s="2" t="str">
        <f>IFERROR(__xludf.DUMMYFUNCTION("GOOGLETRANSLATE(A23267, ""en"", ""mt"")"),"WABM-DT2 / WDBB-DT2 fis-Suq ta 'Birmingham")</f>
        <v>WABM-DT2 / WDBB-DT2 fis-Suq ta 'Birmingham</v>
      </c>
    </row>
    <row r="23268" ht="15.75" customHeight="1">
      <c r="A23268" s="2" t="s">
        <v>23268</v>
      </c>
      <c r="B23268" s="2" t="str">
        <f>IFERROR(__xludf.DUMMYFUNCTION("GOOGLETRANSLATE(A23268, ""en"", ""mt"")"),"Edward Burne-Jones")</f>
        <v>Edward Burne-Jones</v>
      </c>
    </row>
    <row r="23269" ht="15.75" customHeight="1">
      <c r="A23269" s="2" t="s">
        <v>23269</v>
      </c>
      <c r="B23269" s="2" t="str">
        <f>IFERROR(__xludf.DUMMYFUNCTION("GOOGLETRANSLATE(A23269, ""en"", ""mt"")"),"Juris Hartmanis u Richard Stearns")</f>
        <v>Juris Hartmanis u Richard Stearns</v>
      </c>
    </row>
    <row r="23270" ht="15.75" customHeight="1">
      <c r="A23270" s="2" t="s">
        <v>23270</v>
      </c>
      <c r="B23270" s="2" t="str">
        <f>IFERROR(__xludf.DUMMYFUNCTION("GOOGLETRANSLATE(A23270, ""en"", ""mt"")"),"Meta r-Renju Unit jissottoskrivi formalment għall-ftehim dwar il-politika soċjali?")</f>
        <v>Meta r-Renju Unit jissottoskrivi formalment għall-ftehim dwar il-politika soċjali?</v>
      </c>
    </row>
    <row r="23271" ht="15.75" customHeight="1">
      <c r="A23271" s="2" t="s">
        <v>23271</v>
      </c>
      <c r="B23271" s="2" t="str">
        <f>IFERROR(__xludf.DUMMYFUNCTION("GOOGLETRANSLATE(A23271, ""en"", ""mt"")"),"Hillman")</f>
        <v>Hillman</v>
      </c>
    </row>
    <row r="23272" ht="15.75" customHeight="1">
      <c r="A23272" s="2" t="s">
        <v>23272</v>
      </c>
      <c r="B23272" s="2" t="str">
        <f>IFERROR(__xludf.DUMMYFUNCTION("GOOGLETRANSLATE(A23272, ""en"", ""mt"")"),"Programm ta 'Ambjent tan-Nazzjonijiet Uniti (UNEP) u l-Organizzazzjoni Meteoroloġika Dinjija (WMO)")</f>
        <v>Programm ta 'Ambjent tan-Nazzjonijiet Uniti (UNEP) u l-Organizzazzjoni Meteoroloġika Dinjija (WMO)</v>
      </c>
    </row>
    <row r="23273" ht="15.75" customHeight="1">
      <c r="A23273" s="2" t="s">
        <v>23273</v>
      </c>
      <c r="B23273" s="2" t="str">
        <f>IFERROR(__xludf.DUMMYFUNCTION("GOOGLETRANSLATE(A23273, ""en"", ""mt"")"),"1901")</f>
        <v>1901</v>
      </c>
    </row>
    <row r="23274" ht="15.75" customHeight="1">
      <c r="A23274" s="2" t="s">
        <v>23274</v>
      </c>
      <c r="B23274" s="2" t="str">
        <f>IFERROR(__xludf.DUMMYFUNCTION("GOOGLETRANSLATE(A23274, ""en"", ""mt"")"),"Sky Q Hub")</f>
        <v>Sky Q Hub</v>
      </c>
    </row>
    <row r="23275" ht="15.75" customHeight="1">
      <c r="A23275" s="2" t="s">
        <v>23275</v>
      </c>
      <c r="B23275" s="2" t="str">
        <f>IFERROR(__xludf.DUMMYFUNCTION("GOOGLETRANSLATE(A23275, ""en"", ""mt"")"),"Lollipop tar-Radju")</f>
        <v>Lollipop tar-Radju</v>
      </c>
    </row>
    <row r="23276" ht="15.75" customHeight="1">
      <c r="A23276" s="2" t="s">
        <v>23276</v>
      </c>
      <c r="B23276" s="2" t="str">
        <f>IFERROR(__xludf.DUMMYFUNCTION("GOOGLETRANSLATE(A23276, ""en"", ""mt"")"),"F'liema ħin ir-rivalità ta 'Harvard-Yale titwarrab?")</f>
        <v>F'liema ħin ir-rivalità ta 'Harvard-Yale titwarrab?</v>
      </c>
    </row>
    <row r="23277" ht="15.75" customHeight="1">
      <c r="A23277" s="2" t="s">
        <v>23277</v>
      </c>
      <c r="B23277" s="2" t="str">
        <f>IFERROR(__xludf.DUMMYFUNCTION("GOOGLETRANSLATE(A23277, ""en"", ""mt"")"),"Liema serje ta 'azzjoni ABC telgħet kontra l-wirjiet tal-varjetà tal-NBC fil-ħarifa tal-1957?")</f>
        <v>Liema serje ta 'azzjoni ABC telgħet kontra l-wirjiet tal-varjetà tal-NBC fil-ħarifa tal-1957?</v>
      </c>
    </row>
    <row r="23278" ht="15.75" customHeight="1">
      <c r="A23278" s="2" t="s">
        <v>23278</v>
      </c>
      <c r="B23278" s="2" t="str">
        <f>IFERROR(__xludf.DUMMYFUNCTION("GOOGLETRANSLATE(A23278, ""en"", ""mt"")"),"F'din l-ekwazzjoni, kostanti dimensjonali tintuża biex tiddeskrivi s-saħħa relattiva tal-gravità. Din il-kostanti saret magħrufa bħala l-kostanti tal-gravitazzjoni universali ta 'Newton, għalkemm il-valur tagħha ma kienx magħruf f'ħajja ta' Newton. Mhux s"&amp;"al-1798 kien Henry Cavendish kapaċi jagħmel l-ewwel kejl tal-użu ta 'bilanċ tat-torsjoni; Dan kien irrappurtat b'mod wiesa 'fl-istampa bħala kejl tal-massa tad-dinja peress li jaf jista' jippermetti li wieħed isolvi għall-massa tad-dinja minħabba l-ekwazz"&amp;"joni ta 'hawn fuq. Newton, madankollu, induna li peress li l-korpi ċelesti kollha segwew l-istess liġijiet tal-mozzjoni, il-liġi tal-gravità tiegħu kellha tkun universali. Iddikjarat b'mod konċiż, il-liġi ta 'gravitazzjoni ta' Newton tiddikjara li l-forza"&amp;" fuq oġġett sferiku ta 'massa minħabba l-ġibda gravitazzjonali tal-massa hija")</f>
        <v>F'din l-ekwazzjoni, kostanti dimensjonali tintuża biex tiddeskrivi s-saħħa relattiva tal-gravità. Din il-kostanti saret magħrufa bħala l-kostanti tal-gravitazzjoni universali ta 'Newton, għalkemm il-valur tagħha ma kienx magħruf f'ħajja ta' Newton. Mhux sal-1798 kien Henry Cavendish kapaċi jagħmel l-ewwel kejl tal-użu ta 'bilanċ tat-torsjoni; Dan kien irrappurtat b'mod wiesa 'fl-istampa bħala kejl tal-massa tad-dinja peress li jaf jista' jippermetti li wieħed isolvi għall-massa tad-dinja minħabba l-ekwazzjoni ta 'hawn fuq. Newton, madankollu, induna li peress li l-korpi ċelesti kollha segwew l-istess liġijiet tal-mozzjoni, il-liġi tal-gravità tiegħu kellha tkun universali. Iddikjarat b'mod konċiż, il-liġi ta 'gravitazzjoni ta' Newton tiddikjara li l-forza fuq oġġett sferiku ta 'massa minħabba l-ġibda gravitazzjonali tal-massa hija</v>
      </c>
    </row>
    <row r="23279" ht="15.75" customHeight="1">
      <c r="A23279" s="2" t="s">
        <v>23279</v>
      </c>
      <c r="B23279" s="2" t="str">
        <f>IFERROR(__xludf.DUMMYFUNCTION("GOOGLETRANSLATE(A23279, ""en"", ""mt"")"),"Fejn inżamm is-Super Bowl 50?")</f>
        <v>Fejn inżamm is-Super Bowl 50?</v>
      </c>
    </row>
    <row r="23280" ht="15.75" customHeight="1">
      <c r="A23280" s="2" t="s">
        <v>23280</v>
      </c>
      <c r="B23280" s="2" t="str">
        <f>IFERROR(__xludf.DUMMYFUNCTION("GOOGLETRANSLATE(A23280, ""en"", ""mt"")"),"battalji f'Lagos u Quiberon Bay")</f>
        <v>battalji f'Lagos u Quiberon Bay</v>
      </c>
    </row>
    <row r="23281" ht="15.75" customHeight="1">
      <c r="A23281" s="2" t="s">
        <v>23281</v>
      </c>
      <c r="B23281" s="2" t="str">
        <f>IFERROR(__xludf.DUMMYFUNCTION("GOOGLETRANSLATE(A23281, ""en"", ""mt"")"),"mistoqsijiet u tweġibiet")</f>
        <v>mistoqsijiet u tweġibiet</v>
      </c>
    </row>
    <row r="23282" ht="15.75" customHeight="1">
      <c r="A23282" s="2" t="s">
        <v>23282</v>
      </c>
      <c r="B23282" s="2" t="str">
        <f>IFERROR(__xludf.DUMMYFUNCTION("GOOGLETRANSLATE(A23282, ""en"", ""mt"")"),"L-awtostradi mibnija fl-Amazon Rainforest inbnew primarjament għal x'tip ta 'bdiewa?")</f>
        <v>L-awtostradi mibnija fl-Amazon Rainforest inbnew primarjament għal x'tip ta 'bdiewa?</v>
      </c>
    </row>
    <row r="23283" ht="15.75" customHeight="1">
      <c r="A23283" s="2" t="s">
        <v>23283</v>
      </c>
      <c r="B23283" s="2" t="str">
        <f>IFERROR(__xludf.DUMMYFUNCTION("GOOGLETRANSLATE(A23283, ""en"", ""mt"")"),"Mewt taċ-ċellula programmata")</f>
        <v>Mewt taċ-ċellula programmata</v>
      </c>
    </row>
    <row r="23284" ht="15.75" customHeight="1">
      <c r="A23284" s="2" t="s">
        <v>23284</v>
      </c>
      <c r="B23284" s="2" t="str">
        <f>IFERROR(__xludf.DUMMYFUNCTION("GOOGLETRANSLATE(A23284, ""en"", ""mt"")"),"F'liema każ raġel Ġermaniż talab id-dritt li jgħix fl-Olanda fejn kien plumber volontarju?")</f>
        <v>F'liema każ raġel Ġermaniż talab id-dritt li jgħix fl-Olanda fejn kien plumber volontarju?</v>
      </c>
    </row>
    <row r="23285" ht="15.75" customHeight="1">
      <c r="A23285" s="2" t="s">
        <v>23285</v>
      </c>
      <c r="B23285" s="2" t="str">
        <f>IFERROR(__xludf.DUMMYFUNCTION("GOOGLETRANSLATE(A23285, ""en"", ""mt"")"),"X'inhuma ż-żewġ simboli li jfissru l-ispiżerija f'pajjiżi li jitkellmu bl-Ingliż?")</f>
        <v>X'inhuma ż-żewġ simboli li jfissru l-ispiżerija f'pajjiżi li jitkellmu bl-Ingliż?</v>
      </c>
    </row>
    <row r="23286" ht="15.75" customHeight="1">
      <c r="A23286" s="2" t="s">
        <v>23286</v>
      </c>
      <c r="B23286" s="2" t="str">
        <f>IFERROR(__xludf.DUMMYFUNCTION("GOOGLETRANSLATE(A23286, ""en"", ""mt"")"),"l-iktar siġġijiet fl-assemblea leġiżlattiva")</f>
        <v>l-iktar siġġijiet fl-assemblea leġiżlattiva</v>
      </c>
    </row>
    <row r="23287" ht="15.75" customHeight="1">
      <c r="A23287" s="2" t="s">
        <v>23287</v>
      </c>
      <c r="B23287" s="2" t="str">
        <f>IFERROR(__xludf.DUMMYFUNCTION("GOOGLETRANSLATE(A23287, ""en"", ""mt"")"),"Liema reliġjon kienu n-Normanni")</f>
        <v>Liema reliġjon kienu n-Normanni</v>
      </c>
    </row>
    <row r="23288" ht="15.75" customHeight="1">
      <c r="A23288" s="2" t="s">
        <v>23288</v>
      </c>
      <c r="B23288" s="2" t="str">
        <f>IFERROR(__xludf.DUMMYFUNCTION("GOOGLETRANSLATE(A23288, ""en"", ""mt"")"),"Fuq liema tip ta 'mediċina ffokat fuq Otachi?")</f>
        <v>Fuq liema tip ta 'mediċina ffokat fuq Otachi?</v>
      </c>
    </row>
    <row r="23289" ht="15.75" customHeight="1">
      <c r="A23289" s="2" t="s">
        <v>23289</v>
      </c>
      <c r="B23289" s="2" t="str">
        <f>IFERROR(__xludf.DUMMYFUNCTION("GOOGLETRANSLATE(A23289, ""en"", ""mt"")"),"Id-Dinastija Yuan (Ċiniż: 元 朝; Pinyin: Yuán Cháo), uffiċjalment il-Yuan il-Kbir (Ċiniż: 大 大; pinyin: Dà Yuán; Mongoljan: Yehe Yuan Ulus [A]), kien l-imperu jew id-dinastija li tiddeċiedi taċ-Ċina stabbilita mill-Kublija Khan, mexxej tal-klann Borjigin Mon"&amp;"goljan. Għalkemm il-Mongoli kienu ddeċidew territorji inklużi ċ-Ċina tat-Tramuntana tal-lum għal għexieren ta ’snin, ma kienx sal-1271 li Kublai Khan ipproklama uffiċjalment id-dinastija fl-istil tradizzjonali Ċiniż. L-isfera tiegħu kienet, minn dan il-pu"&amp;"nt, iżolata mill-Khanates l-oħra u kkontrollat ​​il-biċċa l-kbira taċ-Ċina preżenti u ż-żoni tal-madwar tagħha, inklużi l-Mongolja moderna u l-Korea. Kienet l-ewwel dinastija barranija li ddeċidiet iċ-Ċina kollha u damet sal-1368, u wara l-ħakkiema Genghi"&amp;"sid tagħha rritornaw lejn art twelidhom u komplew jiddeċiedu d-dinastija tat-tramuntana tal-Yuan. Uħud mill-imperaturi Mongoljani tal-Yuan ħasbu l-lingwa Ċiniża, filwaqt li oħrajn użaw biss il-lingwa nattiva tagħhom (i.e. Mongoljani) u l-iskrittura 'Phags"&amp;"-Pa.")</f>
        <v>Id-Dinastija Yuan (Ċiniż: 元 朝; Pinyin: Yuán Cháo), uffiċjalment il-Yuan il-Kbir (Ċiniż: 大 大; pinyin: Dà Yuán; Mongoljan: Yehe Yuan Ulus [A]), kien l-imperu jew id-dinastija li tiddeċiedi taċ-Ċina stabbilita mill-Kublija Khan, mexxej tal-klann Borjigin Mongoljan. Għalkemm il-Mongoli kienu ddeċidew territorji inklużi ċ-Ċina tat-Tramuntana tal-lum għal għexieren ta ’snin, ma kienx sal-1271 li Kublai Khan ipproklama uffiċjalment id-dinastija fl-istil tradizzjonali Ċiniż. L-isfera tiegħu kienet, minn dan il-punt, iżolata mill-Khanates l-oħra u kkontrollat ​​il-biċċa l-kbira taċ-Ċina preżenti u ż-żoni tal-madwar tagħha, inklużi l-Mongolja moderna u l-Korea. Kienet l-ewwel dinastija barranija li ddeċidiet iċ-Ċina kollha u damet sal-1368, u wara l-ħakkiema Genghisid tagħha rritornaw lejn art twelidhom u komplew jiddeċiedu d-dinastija tat-tramuntana tal-Yuan. Uħud mill-imperaturi Mongoljani tal-Yuan ħasbu l-lingwa Ċiniża, filwaqt li oħrajn użaw biss il-lingwa nattiva tagħhom (i.e. Mongoljani) u l-iskrittura 'Phags-Pa.</v>
      </c>
    </row>
    <row r="23290" ht="15.75" customHeight="1">
      <c r="A23290" s="2" t="s">
        <v>23290</v>
      </c>
      <c r="B23290" s="2" t="str">
        <f>IFERROR(__xludf.DUMMYFUNCTION("GOOGLETRANSLATE(A23290, ""en"", ""mt"")"),"suburbani")</f>
        <v>suburbani</v>
      </c>
    </row>
    <row r="23291" ht="15.75" customHeight="1">
      <c r="A23291" s="2" t="s">
        <v>23291</v>
      </c>
      <c r="B23291" s="2" t="str">
        <f>IFERROR(__xludf.DUMMYFUNCTION("GOOGLETRANSLATE(A23291, ""en"", ""mt"")"),"fir-respirazzjoni ċellulari")</f>
        <v>fir-respirazzjoni ċellulari</v>
      </c>
    </row>
    <row r="23292" ht="15.75" customHeight="1">
      <c r="A23292" s="2" t="s">
        <v>23292</v>
      </c>
      <c r="B23292" s="2" t="str">
        <f>IFERROR(__xludf.DUMMYFUNCTION("GOOGLETRANSLATE(A23292, ""en"", ""mt"")"),"X'inhu fattur wieħed li jżid l-importanza tal-ispiżerija li twettaq f'livell għoli?")</f>
        <v>X'inhu fattur wieħed li jżid l-importanza tal-ispiżerija li twettaq f'livell għoli?</v>
      </c>
    </row>
    <row r="23293" ht="15.75" customHeight="1">
      <c r="A23293" s="2" t="s">
        <v>23293</v>
      </c>
      <c r="B23293" s="2" t="str">
        <f>IFERROR(__xludf.DUMMYFUNCTION("GOOGLETRANSLATE(A23293, ""en"", ""mt"")"),"Ħolqien ta 'stati moderni tal-Balkani u tal-Lvant Nofsani")</f>
        <v>Ħolqien ta 'stati moderni tal-Balkani u tal-Lvant Nofsani</v>
      </c>
    </row>
    <row r="23294" ht="15.75" customHeight="1">
      <c r="A23294" s="2" t="s">
        <v>23294</v>
      </c>
      <c r="B23294" s="2" t="str">
        <f>IFERROR(__xludf.DUMMYFUNCTION("GOOGLETRANSLATE(A23294, ""en"", ""mt"")"),"X'inhu CSNET")</f>
        <v>X'inhu CSNET</v>
      </c>
    </row>
    <row r="23295" ht="15.75" customHeight="1">
      <c r="A23295" s="2" t="s">
        <v>23295</v>
      </c>
      <c r="B23295" s="2" t="str">
        <f>IFERROR(__xludf.DUMMYFUNCTION("GOOGLETRANSLATE(A23295, ""en"", ""mt"")"),"Kemm skejjel u istituzzjonijiet il-knisja topera barra?")</f>
        <v>Kemm skejjel u istituzzjonijiet il-knisja topera barra?</v>
      </c>
    </row>
    <row r="23296" ht="15.75" customHeight="1">
      <c r="A23296" s="2" t="s">
        <v>23296</v>
      </c>
      <c r="B23296" s="2" t="str">
        <f>IFERROR(__xludf.DUMMYFUNCTION("GOOGLETRANSLATE(A23296, ""en"", ""mt"")"),"John iweġġa '")</f>
        <v>John iweġġa '</v>
      </c>
    </row>
    <row r="23297" ht="15.75" customHeight="1">
      <c r="A23297" s="2" t="s">
        <v>23297</v>
      </c>
      <c r="B23297" s="2" t="str">
        <f>IFERROR(__xludf.DUMMYFUNCTION("GOOGLETRANSLATE(A23297, ""en"", ""mt"")"),"Liema katidral jinsab f'Fenham?")</f>
        <v>Liema katidral jinsab f'Fenham?</v>
      </c>
    </row>
    <row r="23298" ht="15.75" customHeight="1">
      <c r="A23298" s="2" t="s">
        <v>23298</v>
      </c>
      <c r="B23298" s="2" t="str">
        <f>IFERROR(__xludf.DUMMYFUNCTION("GOOGLETRANSLATE(A23298, ""en"", ""mt"")"),"Ministri Puritani")</f>
        <v>Ministri Puritani</v>
      </c>
    </row>
    <row r="23299" ht="15.75" customHeight="1">
      <c r="A23299" s="2" t="s">
        <v>23299</v>
      </c>
      <c r="B23299" s="2" t="str">
        <f>IFERROR(__xludf.DUMMYFUNCTION("GOOGLETRANSLATE(A23299, ""en"", ""mt"")"),"Il-friefet ġew elettrifikati")</f>
        <v>Il-friefet ġew elettrifikati</v>
      </c>
    </row>
    <row r="23300" ht="15.75" customHeight="1">
      <c r="A23300" s="2" t="s">
        <v>23300</v>
      </c>
      <c r="B23300" s="2" t="str">
        <f>IFERROR(__xludf.DUMMYFUNCTION("GOOGLETRANSLATE(A23300, ""en"", ""mt"")"),"L-istrateġija evoluzzjonarja użata minn cicadas tal-ġeneru Magicicada tagħmel użu minn numri ewlenin. Dawn l-insetti jqattgħu ħafna minn ħajjithom bħala grubs taħt l-art. Huma biss ibatu u mbagħad joħorġu mill-ħwienet tagħhom wara 7, 13 jew 17-il sena, f'"&amp;"liema punt itiru, jitrabbew, u mbagħad imutu wara ftit ġimgħat l-aktar. Il-loġika għal dan huwa maħsub li hija li l-intervalli tan-numru ewlieni bejn il-emerġenzi jagħmluha diffiċli ħafna għall-predaturi li jevolvu li jistgħu jispeċjalizzaw bħala predatur"&amp;"i fuq il-magicadas. Jekk MagicIcadas deher f'intervalli ta 'numru mhux prim, ngħidu kull 12-il sena, allura l-predaturi li jidhru kull 2, 3, 4, 6, jew 12-il sena jkunu żgur li jiltaqgħu magħhom. Matul perjodu ta '200 sena, popolazzjonijiet ta' predaturi m"&amp;"edji waqt tifqigħat ipotetiċi ta 'cicadas ta' 14 u 15-il sena jkunu sa 2% ogħla milli waqt tifqigħat ta 'cicadas ta' 13- u 17-il sena. Għalkemm żgħir, dan il-vantaġġ jidher li kien biżżejjed biex isuq l-għażla naturali favur ċiklu tal-ħajja tan-numru ewli"&amp;"eni għal dawn l-insetti.")</f>
        <v>L-istrateġija evoluzzjonarja użata minn cicadas tal-ġeneru Magicicada tagħmel użu minn numri ewlenin. Dawn l-insetti jqattgħu ħafna minn ħajjithom bħala grubs taħt l-art. Huma biss ibatu u mbagħad joħorġu mill-ħwienet tagħhom wara 7, 13 jew 17-il sena, f'liema punt itiru, jitrabbew, u mbagħad imutu wara ftit ġimgħat l-aktar. Il-loġika għal dan huwa maħsub li hija li l-intervalli tan-numru ewlieni bejn il-emerġenzi jagħmluha diffiċli ħafna għall-predaturi li jevolvu li jistgħu jispeċjalizzaw bħala predaturi fuq il-magicadas. Jekk MagicIcadas deher f'intervalli ta 'numru mhux prim, ngħidu kull 12-il sena, allura l-predaturi li jidhru kull 2, 3, 4, 6, jew 12-il sena jkunu żgur li jiltaqgħu magħhom. Matul perjodu ta '200 sena, popolazzjonijiet ta' predaturi medji waqt tifqigħat ipotetiċi ta 'cicadas ta' 14 u 15-il sena jkunu sa 2% ogħla milli waqt tifqigħat ta 'cicadas ta' 13- u 17-il sena. Għalkemm żgħir, dan il-vantaġġ jidher li kien biżżejjed biex isuq l-għażla naturali favur ċiklu tal-ħajja tan-numru ewlieni għal dawn l-insetti.</v>
      </c>
    </row>
    <row r="23301" ht="15.75" customHeight="1">
      <c r="A23301" s="2" t="s">
        <v>23301</v>
      </c>
      <c r="B23301" s="2" t="str">
        <f>IFERROR(__xludf.DUMMYFUNCTION("GOOGLETRANSLATE(A23301, ""en"", ""mt"")"),"pagi jew salarju")</f>
        <v>pagi jew salarju</v>
      </c>
    </row>
    <row r="23302" ht="15.75" customHeight="1">
      <c r="A23302" s="2" t="s">
        <v>23302</v>
      </c>
      <c r="B23302" s="2" t="str">
        <f>IFERROR(__xludf.DUMMYFUNCTION("GOOGLETRANSLATE(A23302, ""en"", ""mt"")"),"""Effiċjenza Distributtiva""")</f>
        <v>"Effiċjenza Distributtiva"</v>
      </c>
    </row>
    <row r="23303" ht="15.75" customHeight="1">
      <c r="A23303" s="2" t="s">
        <v>23303</v>
      </c>
      <c r="B23303" s="2" t="str">
        <f>IFERROR(__xludf.DUMMYFUNCTION("GOOGLETRANSLATE(A23303, ""en"", ""mt"")"),"X'inhi t-traduzzjoni bl-Ingliż ta 'Tawhid?")</f>
        <v>X'inhi t-traduzzjoni bl-Ingliż ta 'Tawhid?</v>
      </c>
    </row>
    <row r="23304" ht="15.75" customHeight="1">
      <c r="A23304" s="2" t="s">
        <v>23304</v>
      </c>
      <c r="B23304" s="2" t="str">
        <f>IFERROR(__xludf.DUMMYFUNCTION("GOOGLETRANSLATE(A23304, ""en"", ""mt"")"),"Il-Profeta Mohammad u s-suċċessuri tiegħu")</f>
        <v>Il-Profeta Mohammad u s-suċċessuri tiegħu</v>
      </c>
    </row>
    <row r="23305" ht="15.75" customHeight="1">
      <c r="A23305" s="2" t="s">
        <v>23305</v>
      </c>
      <c r="B23305" s="2" t="str">
        <f>IFERROR(__xludf.DUMMYFUNCTION("GOOGLETRANSLATE(A23305, ""en"", ""mt"")"),"Min ordna lil Dinwiddie biex jindirizza l-Franċiż fit-territorju ta 'Virginia?")</f>
        <v>Min ordna lil Dinwiddie biex jindirizza l-Franċiż fit-territorju ta 'Virginia?</v>
      </c>
    </row>
    <row r="23306" ht="15.75" customHeight="1">
      <c r="A23306" s="2" t="s">
        <v>23306</v>
      </c>
      <c r="B23306" s="2" t="str">
        <f>IFERROR(__xludf.DUMMYFUNCTION("GOOGLETRANSLATE(A23306, ""en"", ""mt"")"),"L-Arabja Sawdita")</f>
        <v>L-Arabja Sawdita</v>
      </c>
    </row>
    <row r="23307" ht="15.75" customHeight="1">
      <c r="A23307" s="2" t="s">
        <v>23307</v>
      </c>
      <c r="B23307" s="2" t="str">
        <f>IFERROR(__xludf.DUMMYFUNCTION("GOOGLETRANSLATE(A23307, ""en"", ""mt"")"),"Kemm mill-elettorat Skoċċiż għandu bżonn għalih fuq ir-referendum?")</f>
        <v>Kemm mill-elettorat Skoċċiż għandu bżonn għalih fuq ir-referendum?</v>
      </c>
    </row>
    <row r="23308" ht="15.75" customHeight="1">
      <c r="A23308" s="2" t="s">
        <v>23308</v>
      </c>
      <c r="B23308" s="2" t="str">
        <f>IFERROR(__xludf.DUMMYFUNCTION("GOOGLETRANSLATE(A23308, ""en"", ""mt"")"),"icosahedral")</f>
        <v>icosahedral</v>
      </c>
    </row>
    <row r="23309" ht="15.75" customHeight="1">
      <c r="A23309" s="2" t="s">
        <v>23309</v>
      </c>
      <c r="B23309" s="2" t="str">
        <f>IFERROR(__xludf.DUMMYFUNCTION("GOOGLETRANSLATE(A23309, ""en"", ""mt"")"),"Stoker mekkaniku")</f>
        <v>Stoker mekkaniku</v>
      </c>
    </row>
    <row r="23310" ht="15.75" customHeight="1">
      <c r="A23310" s="2" t="s">
        <v>23310</v>
      </c>
      <c r="B23310" s="2" t="str">
        <f>IFERROR(__xludf.DUMMYFUNCTION("GOOGLETRANSLATE(A23310, ""en"", ""mt"")"),"1249")</f>
        <v>1249</v>
      </c>
    </row>
    <row r="23311" ht="15.75" customHeight="1">
      <c r="A23311" s="2" t="s">
        <v>23311</v>
      </c>
      <c r="B23311" s="2" t="str">
        <f>IFERROR(__xludf.DUMMYFUNCTION("GOOGLETRANSLATE(A23311, ""en"", ""mt"")"),"Liema pajjiż qed jiddiskuti dan is-suġġett tat-tagħlim?")</f>
        <v>Liema pajjiż qed jiddiskuti dan is-suġġett tat-tagħlim?</v>
      </c>
    </row>
    <row r="23312" ht="15.75" customHeight="1">
      <c r="A23312" s="2" t="s">
        <v>23312</v>
      </c>
      <c r="B23312" s="2" t="str">
        <f>IFERROR(__xludf.DUMMYFUNCTION("GOOGLETRANSLATE(A23312, ""en"", ""mt"")"),"Xmara Kalka")</f>
        <v>Xmara Kalka</v>
      </c>
    </row>
    <row r="23313" ht="15.75" customHeight="1">
      <c r="A23313" s="2" t="s">
        <v>23313</v>
      </c>
      <c r="B23313" s="2" t="str">
        <f>IFERROR(__xludf.DUMMYFUNCTION("GOOGLETRANSLATE(A23313, ""en"", ""mt"")"),"Liema pajjiż minbarra l-Kuba l-Istati Uniti ppruvaw jannessu fl-1898?")</f>
        <v>Liema pajjiż minbarra l-Kuba l-Istati Uniti ppruvaw jannessu fl-1898?</v>
      </c>
    </row>
    <row r="23314" ht="15.75" customHeight="1">
      <c r="A23314" s="2" t="s">
        <v>23314</v>
      </c>
      <c r="B23314" s="2" t="str">
        <f>IFERROR(__xludf.DUMMYFUNCTION("GOOGLETRANSLATE(A23314, ""en"", ""mt"")"),"Indianapolis Colts")</f>
        <v>Indianapolis Colts</v>
      </c>
    </row>
    <row r="23315" ht="15.75" customHeight="1">
      <c r="A23315" s="2" t="s">
        <v>23315</v>
      </c>
      <c r="B23315" s="2" t="str">
        <f>IFERROR(__xludf.DUMMYFUNCTION("GOOGLETRANSLATE(A23315, ""en"", ""mt"")"),"Kemm hemm abitanti li fih iż-żona ta 'Los Angeles?")</f>
        <v>Kemm hemm abitanti li fih iż-żona ta 'Los Angeles?</v>
      </c>
    </row>
    <row r="23316" ht="15.75" customHeight="1">
      <c r="A23316" s="2" t="s">
        <v>23316</v>
      </c>
      <c r="B23316" s="2" t="str">
        <f>IFERROR(__xludf.DUMMYFUNCTION("GOOGLETRANSLATE(A23316, ""en"", ""mt"")"),"aktar minn 600,000")</f>
        <v>aktar minn 600,000</v>
      </c>
    </row>
    <row r="23317" ht="15.75" customHeight="1">
      <c r="A23317" s="2" t="s">
        <v>23317</v>
      </c>
      <c r="B23317" s="2" t="str">
        <f>IFERROR(__xludf.DUMMYFUNCTION("GOOGLETRANSLATE(A23317, ""en"", ""mt"")"),"Min kellu l-idea ta 'stat naturali għal oġġetti waqt il-mistrieħ?")</f>
        <v>Min kellu l-idea ta 'stat naturali għal oġġetti waqt il-mistrieħ?</v>
      </c>
    </row>
    <row r="23318" ht="15.75" customHeight="1">
      <c r="A23318" s="2" t="s">
        <v>23318</v>
      </c>
      <c r="B23318" s="2" t="str">
        <f>IFERROR(__xludf.DUMMYFUNCTION("GOOGLETRANSLATE(A23318, ""en"", ""mt"")"),"F'żoni l-forzi tagħha okkupati fl-Ewropa tal-Lvant")</f>
        <v>F'żoni l-forzi tagħha okkupati fl-Ewropa tal-Lvant</v>
      </c>
    </row>
    <row r="23319" ht="15.75" customHeight="1">
      <c r="A23319" s="2" t="s">
        <v>23319</v>
      </c>
      <c r="B23319" s="2" t="str">
        <f>IFERROR(__xludf.DUMMYFUNCTION("GOOGLETRANSLATE(A23319, ""en"", ""mt"")"),"Liema pożizzjoni fil-gvern għandu Robert Gates?")</f>
        <v>Liema pożizzjoni fil-gvern għandu Robert Gates?</v>
      </c>
    </row>
    <row r="23320" ht="15.75" customHeight="1">
      <c r="A23320" s="2" t="s">
        <v>23320</v>
      </c>
      <c r="B23320" s="2" t="str">
        <f>IFERROR(__xludf.DUMMYFUNCTION("GOOGLETRANSLATE(A23320, ""en"", ""mt"")"),"Kif huma xi kultant deskritti ċ-ċjanobatterji?")</f>
        <v>Kif huma xi kultant deskritti ċ-ċjanobatterji?</v>
      </c>
    </row>
    <row r="23321" ht="15.75" customHeight="1">
      <c r="A23321" s="2" t="s">
        <v>23321</v>
      </c>
      <c r="B23321" s="2" t="str">
        <f>IFERROR(__xludf.DUMMYFUNCTION("GOOGLETRANSLATE(A23321, ""en"", ""mt"")"),"simbolikament preżenti.")</f>
        <v>simbolikament preżenti.</v>
      </c>
    </row>
    <row r="23322" ht="15.75" customHeight="1">
      <c r="A23322" s="2" t="s">
        <v>23322</v>
      </c>
      <c r="B23322" s="2" t="str">
        <f>IFERROR(__xludf.DUMMYFUNCTION("GOOGLETRANSLATE(A23322, ""en"", ""mt"")"),"għajbien ta 'alleat qawwi u kontrapiż għall-espansjoni Ingliża")</f>
        <v>għajbien ta 'alleat qawwi u kontrapiż għall-espansjoni Ingliża</v>
      </c>
    </row>
    <row r="23323" ht="15.75" customHeight="1">
      <c r="A23323" s="2" t="s">
        <v>23323</v>
      </c>
      <c r="B23323" s="2" t="str">
        <f>IFERROR(__xludf.DUMMYFUNCTION("GOOGLETRANSLATE(A23323, ""en"", ""mt"")"),"Tlieta")</f>
        <v>Tlieta</v>
      </c>
    </row>
    <row r="23324" ht="15.75" customHeight="1">
      <c r="A23324" s="2" t="s">
        <v>23324</v>
      </c>
      <c r="B23324" s="2" t="str">
        <f>IFERROR(__xludf.DUMMYFUNCTION("GOOGLETRANSLATE(A23324, ""en"", ""mt"")"),"Qorti Ewropea tal-Ġustizzja")</f>
        <v>Qorti Ewropea tal-Ġustizzja</v>
      </c>
    </row>
    <row r="23325" ht="15.75" customHeight="1">
      <c r="A23325" s="2" t="s">
        <v>23325</v>
      </c>
      <c r="B23325" s="2" t="str">
        <f>IFERROR(__xludf.DUMMYFUNCTION("GOOGLETRANSLATE(A23325, ""en"", ""mt"")"),"Il-Parlament Skoċċiż")</f>
        <v>Il-Parlament Skoċċiż</v>
      </c>
    </row>
    <row r="23326" ht="15.75" customHeight="1">
      <c r="A23326" s="2" t="s">
        <v>23326</v>
      </c>
      <c r="B23326" s="2" t="str">
        <f>IFERROR(__xludf.DUMMYFUNCTION("GOOGLETRANSLATE(A23326, ""en"", ""mt"")"),"Kumitat")</f>
        <v>Kumitat</v>
      </c>
    </row>
    <row r="23327" ht="15.75" customHeight="1">
      <c r="A23327" s="2" t="s">
        <v>23327</v>
      </c>
      <c r="B23327" s="2" t="str">
        <f>IFERROR(__xludf.DUMMYFUNCTION("GOOGLETRANSLATE(A23327, ""en"", ""mt"")"),"X'inhu t-tieni port tal-kontejners l-aktar traffikuż fl-Istati Uniti?")</f>
        <v>X'inhu t-tieni port tal-kontejners l-aktar traffikuż fl-Istati Uniti?</v>
      </c>
    </row>
    <row r="23328" ht="15.75" customHeight="1">
      <c r="A23328" s="2" t="s">
        <v>23328</v>
      </c>
      <c r="B23328" s="2" t="str">
        <f>IFERROR(__xludf.DUMMYFUNCTION("GOOGLETRANSLATE(A23328, ""en"", ""mt"")"),"Ma 'liema għadd il-Prinċep laqat arranġament?")</f>
        <v>Ma 'liema għadd il-Prinċep laqat arranġament?</v>
      </c>
    </row>
    <row r="23329" ht="15.75" customHeight="1">
      <c r="A23329" s="2" t="s">
        <v>23329</v>
      </c>
      <c r="B23329" s="2" t="str">
        <f>IFERROR(__xludf.DUMMYFUNCTION("GOOGLETRANSLATE(A23329, ""en"", ""mt"")"),"Awtorità tal-Pulizija Metropolitana")</f>
        <v>Awtorità tal-Pulizija Metropolitana</v>
      </c>
    </row>
    <row r="23330" ht="15.75" customHeight="1">
      <c r="A23330" s="2" t="s">
        <v>23330</v>
      </c>
      <c r="B23330" s="2" t="str">
        <f>IFERROR(__xludf.DUMMYFUNCTION("GOOGLETRANSLATE(A23330, ""en"", ""mt"")"),"Teorija tal-kumplessità tal-komputazzjoni")</f>
        <v>Teorija tal-kumplessità tal-komputazzjoni</v>
      </c>
    </row>
    <row r="23331" ht="15.75" customHeight="1">
      <c r="A23331" s="2" t="s">
        <v>23331</v>
      </c>
      <c r="B23331" s="2" t="str">
        <f>IFERROR(__xludf.DUMMYFUNCTION("GOOGLETRANSLATE(A23331, ""en"", ""mt"")"),"Min kien wieħed mill-aktar nies famużi li twieldu f'Varsavja?")</f>
        <v>Min kien wieħed mill-aktar nies famużi li twieldu f'Varsavja?</v>
      </c>
    </row>
    <row r="23332" ht="15.75" customHeight="1">
      <c r="A23332" s="2" t="s">
        <v>23332</v>
      </c>
      <c r="B23332" s="2" t="str">
        <f>IFERROR(__xludf.DUMMYFUNCTION("GOOGLETRANSLATE(A23332, ""en"", ""mt"")"),"1530")</f>
        <v>1530</v>
      </c>
    </row>
    <row r="23333" ht="15.75" customHeight="1">
      <c r="A23333" s="2" t="s">
        <v>23333</v>
      </c>
      <c r="B23333" s="2" t="str">
        <f>IFERROR(__xludf.DUMMYFUNCTION("GOOGLETRANSLATE(A23333, ""en"", ""mt"")"),"ġdid adeżjat")</f>
        <v>ġdid adeżjat</v>
      </c>
    </row>
    <row r="23334" ht="15.75" customHeight="1">
      <c r="A23334" s="2" t="s">
        <v>23334</v>
      </c>
      <c r="B23334" s="2" t="str">
        <f>IFERROR(__xludf.DUMMYFUNCTION("GOOGLETRANSLATE(A23334, ""en"", ""mt"")"),"Hulagu Khan")</f>
        <v>Hulagu Khan</v>
      </c>
    </row>
    <row r="23335" ht="15.75" customHeight="1">
      <c r="A23335" s="2" t="s">
        <v>23335</v>
      </c>
      <c r="B23335" s="2" t="str">
        <f>IFERROR(__xludf.DUMMYFUNCTION("GOOGLETRANSLATE(A23335, ""en"", ""mt"")"),"Min ġġieled l-Olandiż fir-rewwixta Olandiża?")</f>
        <v>Min ġġieled l-Olandiż fir-rewwixta Olandiża?</v>
      </c>
    </row>
    <row r="23336" ht="15.75" customHeight="1">
      <c r="A23336" s="2" t="s">
        <v>23336</v>
      </c>
      <c r="B23336" s="2" t="str">
        <f>IFERROR(__xludf.DUMMYFUNCTION("GOOGLETRANSLATE(A23336, ""en"", ""mt"")"),"Kif kienet is-saħħa ta 'Luther għas-snin tal-1531 sal-1546?")</f>
        <v>Kif kienet is-saħħa ta 'Luther għas-snin tal-1531 sal-1546?</v>
      </c>
    </row>
    <row r="23337" ht="15.75" customHeight="1">
      <c r="A23337" s="2" t="s">
        <v>23337</v>
      </c>
      <c r="B23337" s="2" t="str">
        <f>IFERROR(__xludf.DUMMYFUNCTION("GOOGLETRANSLATE(A23337, ""en"", ""mt"")"),"Beroida huma magħrufa minn liema isem ieħor?")</f>
        <v>Beroida huma magħrufa minn liema isem ieħor?</v>
      </c>
    </row>
    <row r="23338" ht="15.75" customHeight="1">
      <c r="A23338" s="2" t="s">
        <v>23338</v>
      </c>
      <c r="B23338" s="2" t="str">
        <f>IFERROR(__xludf.DUMMYFUNCTION("GOOGLETRANSLATE(A23338, ""en"", ""mt"")"),"L-iskejjel privati ​​huma spiss Anglikani, bħal King's College u Djoċesan School for Girls f'Auckland, St Paul's Collegiate School f'Hamilton, St Peter's School f'Cambridge, Samuel Marsden Collegiate School f'Wellington, u Christ's College u St Margaret's"&amp;" College fi Christchurch; jew Presbyterian, bħall-Kulleġġ Saint Kentigern u l-Kulleġġ ta 'St Cuthbert f'Auckland, il-Kulleġġ Skoċċiż u l-Kulleġġ tar-Reġina Margaret f'Wellington, u St Andrew's College u Rangi Ruru Girls' School fi Christchurch. Akkademiċi"&amp;" Colleges Group huwa grupp riċenti ta 'skejjel privati ​​mmexxija bħala negozju, bi skejjel madwar Auckland, inkluż ACG Senior College fil-CBD ta' Auckland, ACG Parnell College f'Parnell, u l-Iskola Internazzjonali ACG New Zealand College College. Hemm tl"&amp;"iet skejjel privati ​​(inkluża l-iskola sekondarja, St Dominic's College) imħaddma mill-grupp skismatiku Kattoliku, is-Soċjetà ta ’San Piju X f’Wanganui.")</f>
        <v>L-iskejjel privati ​​huma spiss Anglikani, bħal King's College u Djoċesan School for Girls f'Auckland, St Paul's Collegiate School f'Hamilton, St Peter's School f'Cambridge, Samuel Marsden Collegiate School f'Wellington, u Christ's College u St Margaret's College fi Christchurch; jew Presbyterian, bħall-Kulleġġ Saint Kentigern u l-Kulleġġ ta 'St Cuthbert f'Auckland, il-Kulleġġ Skoċċiż u l-Kulleġġ tar-Reġina Margaret f'Wellington, u St Andrew's College u Rangi Ruru Girls' School fi Christchurch. Akkademiċi Colleges Group huwa grupp riċenti ta 'skejjel privati ​​mmexxija bħala negozju, bi skejjel madwar Auckland, inkluż ACG Senior College fil-CBD ta' Auckland, ACG Parnell College f'Parnell, u l-Iskola Internazzjonali ACG New Zealand College College. Hemm tliet skejjel privati ​​(inkluża l-iskola sekondarja, St Dominic's College) imħaddma mill-grupp skismatiku Kattoliku, is-Soċjetà ta ’San Piju X f’Wanganui.</v>
      </c>
    </row>
    <row r="23339" ht="15.75" customHeight="1">
      <c r="A23339" s="2" t="s">
        <v>23339</v>
      </c>
      <c r="B23339" s="2" t="str">
        <f>IFERROR(__xludf.DUMMYFUNCTION("GOOGLETRANSLATE(A23339, ""en"", ""mt"")"),"Liema tekniki inkludew il-mediċina Ċiniża?")</f>
        <v>Liema tekniki inkludew il-mediċina Ċiniża?</v>
      </c>
    </row>
    <row r="23340" ht="15.75" customHeight="1">
      <c r="A23340" s="2" t="s">
        <v>23340</v>
      </c>
      <c r="B23340" s="2" t="str">
        <f>IFERROR(__xludf.DUMMYFUNCTION("GOOGLETRANSLATE(A23340, ""en"", ""mt"")"),"Fil-kwart tal-ħarifa tal-2014, kemm studenti ffirmaw għall-kulleġġ?")</f>
        <v>Fil-kwart tal-ħarifa tal-2014, kemm studenti ffirmaw għall-kulleġġ?</v>
      </c>
    </row>
    <row r="23341" ht="15.75" customHeight="1">
      <c r="A23341" s="2" t="s">
        <v>23341</v>
      </c>
      <c r="B23341" s="2" t="str">
        <f>IFERROR(__xludf.DUMMYFUNCTION("GOOGLETRANSLATE(A23341, ""en"", ""mt"")"),"L-istaġun 2013–14 kien titjib żgħir għal ABC bi tliet hits ġodda fil-Goldbergs, aġenti ta ’S.H.I.E.L.D. u l-irxoxt, li kollha ġew imġedda; Madankollu, dak l-istaġun ra l-kanċellazzjonijiet ta 'holdovers tal-ġirien (li nħalqu fl-islott il-ġdid tal-Ġimgħa l"&amp;"-Ġimgħa minkejja li ġew imfissra mill-Last Man wieqaf u l-klieb il-baħar) u suburgatorji. L-NBC, li baqa 'lura wara ABC għal tmien snin, temm l-istaġun fl-ewwel post fid-demografija 18-49 għall-ewwel darba mill-2004, u fit-tieni post fit-telespettazzjoni "&amp;"totali wara CBS dominanti fit-tul. ABC innifsu kien se jispiċċa l-istaġun fit-tielet post hekk kif Fox ġġarraf għar-raba 'fiż-żewġ demografiji.")</f>
        <v>L-istaġun 2013–14 kien titjib żgħir għal ABC bi tliet hits ġodda fil-Goldbergs, aġenti ta ’S.H.I.E.L.D. u l-irxoxt, li kollha ġew imġedda; Madankollu, dak l-istaġun ra l-kanċellazzjonijiet ta 'holdovers tal-ġirien (li nħalqu fl-islott il-ġdid tal-Ġimgħa l-Ġimgħa minkejja li ġew imfissra mill-Last Man wieqaf u l-klieb il-baħar) u suburgatorji. L-NBC, li baqa 'lura wara ABC għal tmien snin, temm l-istaġun fl-ewwel post fid-demografija 18-49 għall-ewwel darba mill-2004, u fit-tieni post fit-telespettazzjoni totali wara CBS dominanti fit-tul. ABC innifsu kien se jispiċċa l-istaġun fit-tielet post hekk kif Fox ġġarraf għar-raba 'fiż-żewġ demografiji.</v>
      </c>
    </row>
    <row r="23342" ht="15.75" customHeight="1">
      <c r="A23342" s="2" t="s">
        <v>23342</v>
      </c>
      <c r="B23342" s="2" t="str">
        <f>IFERROR(__xludf.DUMMYFUNCTION("GOOGLETRANSLATE(A23342, ""en"", ""mt"")"),"X'inhu r-rwol ta 'Odinga fil-gvern?")</f>
        <v>X'inhu r-rwol ta 'Odinga fil-gvern?</v>
      </c>
    </row>
    <row r="23343" ht="15.75" customHeight="1">
      <c r="A23343" s="2" t="s">
        <v>23343</v>
      </c>
      <c r="B23343" s="2" t="str">
        <f>IFERROR(__xludf.DUMMYFUNCTION("GOOGLETRANSLATE(A23343, ""en"", ""mt"")"),"X'għandu jsir biex tagħmel il-liġi mhux pubblika rikonoxxuta bħala diżubbidjenza ċivili?")</f>
        <v>X'għandu jsir biex tagħmel il-liġi mhux pubblika rikonoxxuta bħala diżubbidjenza ċivili?</v>
      </c>
    </row>
    <row r="23344" ht="15.75" customHeight="1">
      <c r="A23344" s="2" t="s">
        <v>23344</v>
      </c>
      <c r="B23344" s="2" t="str">
        <f>IFERROR(__xludf.DUMMYFUNCTION("GOOGLETRANSLATE(A23344, ""en"", ""mt"")"),"Biex tindika territorju mhux magħruf jew mhux esplorat")</f>
        <v>Biex tindika territorju mhux magħruf jew mhux esplorat</v>
      </c>
    </row>
    <row r="23345" ht="15.75" customHeight="1">
      <c r="A23345" s="2" t="s">
        <v>23345</v>
      </c>
      <c r="B23345" s="2" t="str">
        <f>IFERROR(__xludf.DUMMYFUNCTION("GOOGLETRANSLATE(A23345, ""en"", ""mt"")"),"It-trasport ferrovjarju fir-Rabat huwa pprovdut minn diversi operaturi tal-ferrovija privati ​​u pubbliċi li joperaw fuq linji tal-gvern. Operaturi ewlenin jinkludu: Metro Trains Melbourne li tmexxi sistema estensiva, elettrifikata, tal-passiġġieri madwar"&amp;" Melbourne u subborgi; V / linja li issa hija proprjetà tal-gvern Vittorjan, topera servizz ikkonċentrat għal ċentri reġjonali ewlenin, kif ukoll servizzi fuq distanza twila fuq linji oħra; Nazzjonali tal-Paċifiku, CFCL Australia li joperaw servizzi tal-m"&amp;"erkanzija; Ferrovija tan-Nofsinhar kbira li topera l-Overland Melbourne - Adelaide; u NSW Trainlink li jopera XPTS Melbourne - Sydney.")</f>
        <v>It-trasport ferrovjarju fir-Rabat huwa pprovdut minn diversi operaturi tal-ferrovija privati ​​u pubbliċi li joperaw fuq linji tal-gvern. Operaturi ewlenin jinkludu: Metro Trains Melbourne li tmexxi sistema estensiva, elettrifikata, tal-passiġġieri madwar Melbourne u subborgi; V / linja li issa hija proprjetà tal-gvern Vittorjan, topera servizz ikkonċentrat għal ċentri reġjonali ewlenin, kif ukoll servizzi fuq distanza twila fuq linji oħra; Nazzjonali tal-Paċifiku, CFCL Australia li joperaw servizzi tal-merkanzija; Ferrovija tan-Nofsinhar kbira li topera l-Overland Melbourne - Adelaide; u NSW Trainlink li jopera XPTS Melbourne - Sydney.</v>
      </c>
    </row>
    <row r="23346" ht="15.75" customHeight="1">
      <c r="A23346" s="2" t="s">
        <v>23346</v>
      </c>
      <c r="B23346" s="2" t="str">
        <f>IFERROR(__xludf.DUMMYFUNCTION("GOOGLETRANSLATE(A23346, ""en"", ""mt"")"),"N2 + 1.")</f>
        <v>N2 + 1.</v>
      </c>
    </row>
    <row r="23347" ht="15.75" customHeight="1">
      <c r="A23347" s="2" t="s">
        <v>23347</v>
      </c>
      <c r="B23347" s="2" t="str">
        <f>IFERROR(__xludf.DUMMYFUNCTION("GOOGLETRANSLATE(A23347, ""en"", ""mt"")"),"Stephen Kemble")</f>
        <v>Stephen Kemble</v>
      </c>
    </row>
    <row r="23348" ht="15.75" customHeight="1">
      <c r="A23348" s="2" t="s">
        <v>23348</v>
      </c>
      <c r="B23348" s="2" t="str">
        <f>IFERROR(__xludf.DUMMYFUNCTION("GOOGLETRANSLATE(A23348, ""en"", ""mt"")"),"Min ħa l-kmand tal-Franċiż fir-rebbiegħa tal-1753?")</f>
        <v>Min ħa l-kmand tal-Franċiż fir-rebbiegħa tal-1753?</v>
      </c>
    </row>
    <row r="23349" ht="15.75" customHeight="1">
      <c r="A23349" s="2" t="s">
        <v>23349</v>
      </c>
      <c r="B23349" s="2" t="str">
        <f>IFERROR(__xludf.DUMMYFUNCTION("GOOGLETRANSLATE(A23349, ""en"", ""mt"")"),"Għal liema sena l-galleriji l-ġodda tal-iskultura issa jinkludu?")</f>
        <v>Għal liema sena l-galleriji l-ġodda tal-iskultura issa jinkludu?</v>
      </c>
    </row>
    <row r="23350" ht="15.75" customHeight="1">
      <c r="A23350" s="2" t="s">
        <v>23350</v>
      </c>
      <c r="B23350" s="2" t="str">
        <f>IFERROR(__xludf.DUMMYFUNCTION("GOOGLETRANSLATE(A23350, ""en"", ""mt"")"),"joffru kwalità ogħla ta 'edukazzjoni")</f>
        <v>joffru kwalità ogħla ta 'edukazzjoni</v>
      </c>
    </row>
    <row r="23351" ht="15.75" customHeight="1">
      <c r="A23351" s="2" t="s">
        <v>23351</v>
      </c>
      <c r="B23351" s="2" t="str">
        <f>IFERROR(__xludf.DUMMYFUNCTION("GOOGLETRANSLATE(A23351, ""en"", ""mt"")"),"X'kien maħsub biex jieħu CSM u LM, kompletament imsaħħaħ, lejn il-qamar?")</f>
        <v>X'kien maħsub biex jieħu CSM u LM, kompletament imsaħħaħ, lejn il-qamar?</v>
      </c>
    </row>
    <row r="23352" ht="15.75" customHeight="1">
      <c r="A23352" s="2" t="s">
        <v>23352</v>
      </c>
      <c r="B23352" s="2" t="str">
        <f>IFERROR(__xludf.DUMMYFUNCTION("GOOGLETRANSLATE(A23352, ""en"", ""mt"")"),"Meta seħħ it-tkabbir taż-żona ta 'Varsavja?")</f>
        <v>Meta seħħ it-tkabbir taż-żona ta 'Varsavja?</v>
      </c>
    </row>
    <row r="23353" ht="15.75" customHeight="1">
      <c r="A23353" s="2" t="s">
        <v>23353</v>
      </c>
      <c r="B23353" s="2" t="str">
        <f>IFERROR(__xludf.DUMMYFUNCTION("GOOGLETRANSLATE(A23353, ""en"", ""mt"")"),"Maskri tal-ossiġnu")</f>
        <v>Maskri tal-ossiġnu</v>
      </c>
    </row>
    <row r="23354" ht="15.75" customHeight="1">
      <c r="A23354" s="2" t="s">
        <v>23354</v>
      </c>
      <c r="B23354" s="2" t="str">
        <f>IFERROR(__xludf.DUMMYFUNCTION("GOOGLETRANSLATE(A23354, ""en"", ""mt"")"),"Davros")</f>
        <v>Davros</v>
      </c>
    </row>
    <row r="23355" ht="15.75" customHeight="1">
      <c r="A23355" s="2" t="s">
        <v>23355</v>
      </c>
      <c r="B23355" s="2" t="str">
        <f>IFERROR(__xludf.DUMMYFUNCTION("GOOGLETRANSLATE(A23355, ""en"", ""mt"")"),"X’għamel Luther għall-Lhud?")</f>
        <v>X’għamel Luther għall-Lhud?</v>
      </c>
    </row>
    <row r="23356" ht="15.75" customHeight="1">
      <c r="A23356" s="2" t="s">
        <v>23356</v>
      </c>
      <c r="B23356" s="2" t="str">
        <f>IFERROR(__xludf.DUMMYFUNCTION("GOOGLETRANSLATE(A23356, ""en"", ""mt"")"),"X'inhi l-inugwaljanza tad-dħul bejn is-sessi fil-Baħrejn?")</f>
        <v>X'inhi l-inugwaljanza tad-dħul bejn is-sessi fil-Baħrejn?</v>
      </c>
    </row>
    <row r="23357" ht="15.75" customHeight="1">
      <c r="A23357" s="2" t="s">
        <v>23357</v>
      </c>
      <c r="B23357" s="2" t="str">
        <f>IFERROR(__xludf.DUMMYFUNCTION("GOOGLETRANSLATE(A23357, ""en"", ""mt"")"),"Infezzjonijiet rikorrenti u li jheddu l-ħajja")</f>
        <v>Infezzjonijiet rikorrenti u li jheddu l-ħajja</v>
      </c>
    </row>
    <row r="23358" ht="15.75" customHeight="1">
      <c r="A23358" s="2" t="s">
        <v>23358</v>
      </c>
      <c r="B23358" s="2" t="str">
        <f>IFERROR(__xludf.DUMMYFUNCTION("GOOGLETRANSLATE(A23358, ""en"", ""mt"")"),"kompost")</f>
        <v>kompost</v>
      </c>
    </row>
    <row r="23359" ht="15.75" customHeight="1">
      <c r="A23359" s="2" t="s">
        <v>23359</v>
      </c>
      <c r="B23359" s="2" t="str">
        <f>IFERROR(__xludf.DUMMYFUNCTION("GOOGLETRANSLATE(A23359, ""en"", ""mt"")"),"Kif jiġu rilaxxati l-bajd u l-isperma?")</f>
        <v>Kif jiġu rilaxxati l-bajd u l-isperma?</v>
      </c>
    </row>
    <row r="23360" ht="15.75" customHeight="1">
      <c r="A23360" s="2" t="s">
        <v>23360</v>
      </c>
      <c r="B23360" s="2" t="str">
        <f>IFERROR(__xludf.DUMMYFUNCTION("GOOGLETRANSLATE(A23360, ""en"", ""mt"")"),"Amazon_rainforest")</f>
        <v>Amazon_rainforest</v>
      </c>
    </row>
    <row r="23361" ht="15.75" customHeight="1">
      <c r="A23361" s="2" t="s">
        <v>23361</v>
      </c>
      <c r="B23361" s="2" t="str">
        <f>IFERROR(__xludf.DUMMYFUNCTION("GOOGLETRANSLATE(A23361, ""en"", ""mt"")"),"Liema tim tal-NFL 2015 wieħed mill-playoff tal-AFC?")</f>
        <v>Liema tim tal-NFL 2015 wieħed mill-playoff tal-AFC?</v>
      </c>
    </row>
    <row r="23362" ht="15.75" customHeight="1">
      <c r="A23362" s="2" t="s">
        <v>23362</v>
      </c>
      <c r="B23362" s="2" t="str">
        <f>IFERROR(__xludf.DUMMYFUNCTION("GOOGLETRANSLATE(A23362, ""en"", ""mt"")"),"Eugenics")</f>
        <v>Eugenics</v>
      </c>
    </row>
    <row r="23363" ht="15.75" customHeight="1">
      <c r="A23363" s="2" t="s">
        <v>23363</v>
      </c>
      <c r="B23363" s="2" t="str">
        <f>IFERROR(__xludf.DUMMYFUNCTION("GOOGLETRANSLATE(A23363, ""en"", ""mt"")"),"Awtoritajiet sekulari.")</f>
        <v>Awtoritajiet sekulari.</v>
      </c>
    </row>
    <row r="23364" ht="15.75" customHeight="1">
      <c r="A23364" s="2" t="s">
        <v>23364</v>
      </c>
      <c r="B23364" s="2" t="str">
        <f>IFERROR(__xludf.DUMMYFUNCTION("GOOGLETRANSLATE(A23364, ""en"", ""mt"")"),"Johannes Bugenhagen u Philipp Melanchthon")</f>
        <v>Johannes Bugenhagen u Philipp Melanchthon</v>
      </c>
    </row>
    <row r="23365" ht="15.75" customHeight="1">
      <c r="A23365" s="2" t="s">
        <v>23365</v>
      </c>
      <c r="B23365" s="2" t="str">
        <f>IFERROR(__xludf.DUMMYFUNCTION("GOOGLETRANSLATE(A23365, ""en"", ""mt"")"),"Twieqi tal-qawwa")</f>
        <v>Twieqi tal-qawwa</v>
      </c>
    </row>
    <row r="23366" ht="15.75" customHeight="1">
      <c r="A23366" s="2" t="s">
        <v>23366</v>
      </c>
      <c r="B23366" s="2" t="str">
        <f>IFERROR(__xludf.DUMMYFUNCTION("GOOGLETRANSLATE(A23366, ""en"", ""mt"")"),"Wieħed mill-mudell li jikkompetu għar-replikazzjoni ta 'cpDNA jafferma li l-biċċa l-kbira ta' cpDNA huwa lineari u jipparteċipa fi strutturi ta 'rikombinazzjoni u replikazzjoni omologi simili għall-batterjofage T4. Ġie stabbilit li xi pjanti għandhom cpDN"&amp;"A lineari, bħall-qamħirrum, u li aktar speċi għadhom fihom strutturi kumplessi li x-xjenzati għadhom ma jifhmux. Meta ġew imwettqa l-esperimenti oriġinali fuq cpDNA, ix-xjentisti nnotaw strutturi lineari; Madankollu, huma attribwew dawn il-forom lineari l"&amp;"il ċrieki miksura. Jekk l-istrutturi ramifikati u kumplessi li jidhru fl-esperimenti ta 'cpDNA huma reali u mhux artifatti ta' DNA ċirkolari kkonċatenati jew ċrieki miksura, allura mekkaniżmu ta 'replikazzjoni b'ċirkwit D huwa insuffiċjenti biex jispjega "&amp;"kif dawk l-istrutturi jirreplikaw. Fl-istess ħin, rikombinazzjoni omologa ma tespandix il-multipli a -&gt; g gradjenti li dehru fil-plastomi. Minħabba n-nuqqas li jispjega l-gradjent tad-deamination kif ukoll l-ispeċijiet tal-pjanti numerużi li ntwerew li għ"&amp;"andhom cpDNA ċirkolari, it-teorija predominanti tkompli żżomm li l-biċċa l-kbira ta 'cpDNA hija ċirkolari u x'aktarx tirreplika permezz ta' mekkaniżmu ta 'linja D.")</f>
        <v>Wieħed mill-mudell li jikkompetu għar-replikazzjoni ta 'cpDNA jafferma li l-biċċa l-kbira ta' cpDNA huwa lineari u jipparteċipa fi strutturi ta 'rikombinazzjoni u replikazzjoni omologi simili għall-batterjofage T4. Ġie stabbilit li xi pjanti għandhom cpDNA lineari, bħall-qamħirrum, u li aktar speċi għadhom fihom strutturi kumplessi li x-xjenzati għadhom ma jifhmux. Meta ġew imwettqa l-esperimenti oriġinali fuq cpDNA, ix-xjentisti nnotaw strutturi lineari; Madankollu, huma attribwew dawn il-forom lineari lil ċrieki miksura. Jekk l-istrutturi ramifikati u kumplessi li jidhru fl-esperimenti ta 'cpDNA huma reali u mhux artifatti ta' DNA ċirkolari kkonċatenati jew ċrieki miksura, allura mekkaniżmu ta 'replikazzjoni b'ċirkwit D huwa insuffiċjenti biex jispjega kif dawk l-istrutturi jirreplikaw. Fl-istess ħin, rikombinazzjoni omologa ma tespandix il-multipli a -&gt; g gradjenti li dehru fil-plastomi. Minħabba n-nuqqas li jispjega l-gradjent tad-deamination kif ukoll l-ispeċijiet tal-pjanti numerużi li ntwerew li għandhom cpDNA ċirkolari, it-teorija predominanti tkompli żżomm li l-biċċa l-kbira ta 'cpDNA hija ċirkolari u x'aktarx tirreplika permezz ta' mekkaniżmu ta 'linja D.</v>
      </c>
    </row>
    <row r="23367" ht="15.75" customHeight="1">
      <c r="A23367" s="2" t="s">
        <v>23367</v>
      </c>
      <c r="B23367" s="2" t="str">
        <f>IFERROR(__xludf.DUMMYFUNCTION("GOOGLETRANSLATE(A23367, ""en"", ""mt"")"),"X'inhu konsiderazzjonijiet ta 'Malum f'SE?")</f>
        <v>X'inhu konsiderazzjonijiet ta 'Malum f'SE?</v>
      </c>
    </row>
    <row r="23368" ht="15.75" customHeight="1">
      <c r="A23368" s="2" t="s">
        <v>23368</v>
      </c>
      <c r="B23368" s="2" t="str">
        <f>IFERROR(__xludf.DUMMYFUNCTION("GOOGLETRANSLATE(A23368, ""en"", ""mt"")"),"in-nobbli")</f>
        <v>in-nobbli</v>
      </c>
    </row>
    <row r="23369" ht="15.75" customHeight="1">
      <c r="A23369" s="2" t="s">
        <v>23369</v>
      </c>
      <c r="B23369" s="2" t="str">
        <f>IFERROR(__xludf.DUMMYFUNCTION("GOOGLETRANSLATE(A23369, ""en"", ""mt"")"),"Liema speċi jiċċaqlaq b'moviment ta 'darting?")</f>
        <v>Liema speċi jiċċaqlaq b'moviment ta 'darting?</v>
      </c>
    </row>
    <row r="23370" ht="15.75" customHeight="1">
      <c r="A23370" s="2" t="s">
        <v>23370</v>
      </c>
      <c r="B23370" s="2" t="str">
        <f>IFERROR(__xludf.DUMMYFUNCTION("GOOGLETRANSLATE(A23370, ""en"", ""mt"")"),"Meta ddebutta l-Untouchables fuq ABC?")</f>
        <v>Meta ddebutta l-Untouchables fuq ABC?</v>
      </c>
    </row>
    <row r="23371" ht="15.75" customHeight="1">
      <c r="A23371" s="2" t="s">
        <v>23371</v>
      </c>
      <c r="B23371" s="2" t="str">
        <f>IFERROR(__xludf.DUMMYFUNCTION("GOOGLETRANSLATE(A23371, ""en"", ""mt"")"),"jgħin ħafna proteini jorbtu l-polipeptide")</f>
        <v>jgħin ħafna proteini jorbtu l-polipeptide</v>
      </c>
    </row>
    <row r="23372" ht="15.75" customHeight="1">
      <c r="A23372" s="2" t="s">
        <v>23372</v>
      </c>
      <c r="B23372" s="2" t="str">
        <f>IFERROR(__xludf.DUMMYFUNCTION("GOOGLETRANSLATE(A23372, ""en"", ""mt"")"),"X'tip ta 'konservazzjoni jinkludu li jipprovdu pariri dwar l-immaniġġjar ta' oġġetti?")</f>
        <v>X'tip ta 'konservazzjoni jinkludu li jipprovdu pariri dwar l-immaniġġjar ta' oġġetti?</v>
      </c>
    </row>
    <row r="23373" ht="15.75" customHeight="1">
      <c r="A23373" s="2" t="s">
        <v>23373</v>
      </c>
      <c r="B23373" s="2" t="str">
        <f>IFERROR(__xludf.DUMMYFUNCTION("GOOGLETRANSLATE(A23373, ""en"", ""mt"")"),"X'inhu xogħol ta 'Thomas Piketty?")</f>
        <v>X'inhu xogħol ta 'Thomas Piketty?</v>
      </c>
    </row>
    <row r="23374" ht="15.75" customHeight="1">
      <c r="A23374" s="2" t="s">
        <v>23374</v>
      </c>
      <c r="B23374" s="2" t="str">
        <f>IFERROR(__xludf.DUMMYFUNCTION("GOOGLETRANSLATE(A23374, ""en"", ""mt"")"),"(sa elf darba daqs ħafna) ġewwa s-sistema tat-tilakoid milli fl-istoma")</f>
        <v>(sa elf darba daqs ħafna) ġewwa s-sistema tat-tilakoid milli fl-istoma</v>
      </c>
    </row>
    <row r="23375" ht="15.75" customHeight="1">
      <c r="A23375" s="2" t="s">
        <v>23375</v>
      </c>
      <c r="B23375" s="2" t="str">
        <f>IFERROR(__xludf.DUMMYFUNCTION("GOOGLETRANSLATE(A23375, ""en"", ""mt"")"),"sa tmiem il-parlament attwali jew jekk xi waħda mill-partijiet tirtira mill-ftehim qabel dakinhar")</f>
        <v>sa tmiem il-parlament attwali jew jekk xi waħda mill-partijiet tirtira mill-ftehim qabel dakinhar</v>
      </c>
    </row>
    <row r="23376" ht="15.75" customHeight="1">
      <c r="A23376" s="2" t="s">
        <v>23376</v>
      </c>
      <c r="B23376" s="2" t="str">
        <f>IFERROR(__xludf.DUMMYFUNCTION("GOOGLETRANSLATE(A23376, ""en"", ""mt"")"),"Minn xiex jirriżulta l-bond doppju kovalenti?")</f>
        <v>Minn xiex jirriżulta l-bond doppju kovalenti?</v>
      </c>
    </row>
    <row r="23377" ht="15.75" customHeight="1">
      <c r="A23377" s="2" t="s">
        <v>23377</v>
      </c>
      <c r="B23377" s="2" t="str">
        <f>IFERROR(__xludf.DUMMYFUNCTION("GOOGLETRANSLATE(A23377, ""en"", ""mt"")"),"Eleutherian Gunpowder Mills")</f>
        <v>Eleutherian Gunpowder Mills</v>
      </c>
    </row>
    <row r="23378" ht="15.75" customHeight="1">
      <c r="A23378" s="2" t="s">
        <v>23378</v>
      </c>
      <c r="B23378" s="2" t="str">
        <f>IFERROR(__xludf.DUMMYFUNCTION("GOOGLETRANSLATE(A23378, ""en"", ""mt"")"),"il-kummentarji dwar il-klassika tal-bidliet")</f>
        <v>il-kummentarji dwar il-klassika tal-bidliet</v>
      </c>
    </row>
    <row r="23379" ht="15.75" customHeight="1">
      <c r="A23379" s="2" t="s">
        <v>23379</v>
      </c>
      <c r="B23379" s="2" t="str">
        <f>IFERROR(__xludf.DUMMYFUNCTION("GOOGLETRANSLATE(A23379, ""en"", ""mt"")"),"Permezz tar-Renju tal-Qocho u l-Intermedjarji Tibetani")</f>
        <v>Permezz tar-Renju tal-Qocho u l-Intermedjarji Tibetani</v>
      </c>
    </row>
    <row r="23380" ht="15.75" customHeight="1">
      <c r="A23380" s="2" t="s">
        <v>23380</v>
      </c>
      <c r="B23380" s="2" t="str">
        <f>IFERROR(__xludf.DUMMYFUNCTION("GOOGLETRANSLATE(A23380, ""en"", ""mt"")"),"512")</f>
        <v>512</v>
      </c>
    </row>
    <row r="23381" ht="15.75" customHeight="1">
      <c r="A23381" s="2" t="s">
        <v>23381</v>
      </c>
      <c r="B23381" s="2" t="str">
        <f>IFERROR(__xludf.DUMMYFUNCTION("GOOGLETRANSLATE(A23381, ""en"", ""mt"")"),"Liema politika kien fih ir-rapport ta 'Kelven?")</f>
        <v>Liema politika kien fih ir-rapport ta 'Kelven?</v>
      </c>
    </row>
    <row r="23382" ht="15.75" customHeight="1">
      <c r="A23382" s="2" t="s">
        <v>23382</v>
      </c>
      <c r="B23382" s="2" t="str">
        <f>IFERROR(__xludf.DUMMYFUNCTION("GOOGLETRANSLATE(A23382, ""en"", ""mt"")"),"Kif tidher l-inugwaljanza tad-dħul ġeneralment mill-ħaddiema?")</f>
        <v>Kif tidher l-inugwaljanza tad-dħul ġeneralment mill-ħaddiema?</v>
      </c>
    </row>
    <row r="23383" ht="15.75" customHeight="1">
      <c r="A23383" s="2" t="s">
        <v>23383</v>
      </c>
      <c r="B23383" s="2" t="str">
        <f>IFERROR(__xludf.DUMMYFUNCTION("GOOGLETRANSLATE(A23383, ""en"", ""mt"")"),"Liema pjaneta dehret il-liġijiet gravitazzjonali ta 'Buck Newton?")</f>
        <v>Liema pjaneta dehret il-liġijiet gravitazzjonali ta 'Buck Newton?</v>
      </c>
    </row>
    <row r="23384" ht="15.75" customHeight="1">
      <c r="A23384" s="2" t="s">
        <v>23384</v>
      </c>
      <c r="B23384" s="2" t="str">
        <f>IFERROR(__xludf.DUMMYFUNCTION("GOOGLETRANSLATE(A23384, ""en"", ""mt"")"),"Min issuġġerixxa li l-imperjalizmu kien l-ogħla forma ta 'kapitaliżmu?")</f>
        <v>Min issuġġerixxa li l-imperjalizmu kien l-ogħla forma ta 'kapitaliżmu?</v>
      </c>
    </row>
    <row r="23385" ht="15.75" customHeight="1">
      <c r="A23385" s="2" t="s">
        <v>23385</v>
      </c>
      <c r="B23385" s="2" t="str">
        <f>IFERROR(__xludf.DUMMYFUNCTION("GOOGLETRANSLATE(A23385, ""en"", ""mt"")"),"X'inhuma ż-żewġ eżempji ta 'entitajiet mhux ta' entitajiet skond it-teorija ta 'Frank Burnet?")</f>
        <v>X'inhuma ż-żewġ eżempji ta 'entitajiet mhux ta' entitajiet skond it-teorija ta 'Frank Burnet?</v>
      </c>
    </row>
    <row r="23386" ht="15.75" customHeight="1">
      <c r="A23386" s="2" t="s">
        <v>23386</v>
      </c>
      <c r="B23386" s="2" t="str">
        <f>IFERROR(__xludf.DUMMYFUNCTION("GOOGLETRANSLATE(A23386, ""en"", ""mt"")"),"sett fiss ta 'regoli biex jiddetermina l-azzjonijiet futuri tiegħu")</f>
        <v>sett fiss ta 'regoli biex jiddetermina l-azzjonijiet futuri tiegħu</v>
      </c>
    </row>
    <row r="23387" ht="15.75" customHeight="1">
      <c r="A23387" s="2" t="s">
        <v>23387</v>
      </c>
      <c r="B23387" s="2" t="str">
        <f>IFERROR(__xludf.DUMMYFUNCTION("GOOGLETRANSLATE(A23387, ""en"", ""mt"")"),"In-numri ewlenin jagħtu lok għal żewġ kunċetti ġenerali oħra li japplikaw għal elementi ta 'kwalunkwe ċirku kommutattiv, struttura alġebrika fejn iż-żieda, it-tnaqqis u l-multiplikazzjoni huma definiti: elementi ewlenin u elementi irreducibbli. Element p "&amp;"ta 'r jissejjaħ element ewlieni jekk la huwa żero u lanqas unità (i.e., m'għandux invers multiplikattiv) u jissodisfa r-rekwiżit li ġej: mogħti x u y f'R tali li P jaqsam il-prodott xy, allura p jaqsam x jew y. Element huwa irreducibbli jekk ma jkunx unit"&amp;"à u ma jistax jinkiteb bħala prodott ta 'żewġ elementi taċ-ċirku li mhumiex unitajiet. Fiċ-ċirku z ta 'numru sħiħ, is-sett ta' elementi ewlenin huwa daqs is-sett ta 'elementi irreducibbli, li huwa")</f>
        <v>In-numri ewlenin jagħtu lok għal żewġ kunċetti ġenerali oħra li japplikaw għal elementi ta 'kwalunkwe ċirku kommutattiv, struttura alġebrika fejn iż-żieda, it-tnaqqis u l-multiplikazzjoni huma definiti: elementi ewlenin u elementi irreducibbli. Element p ta 'r jissejjaħ element ewlieni jekk la huwa żero u lanqas unità (i.e., m'għandux invers multiplikattiv) u jissodisfa r-rekwiżit li ġej: mogħti x u y f'R tali li P jaqsam il-prodott xy, allura p jaqsam x jew y. Element huwa irreducibbli jekk ma jkunx unità u ma jistax jinkiteb bħala prodott ta 'żewġ elementi taċ-ċirku li mhumiex unitajiet. Fiċ-ċirku z ta 'numru sħiħ, is-sett ta' elementi ewlenin huwa daqs is-sett ta 'elementi irreducibbli, li huwa</v>
      </c>
    </row>
    <row r="23388" ht="15.75" customHeight="1">
      <c r="A23388" s="2" t="s">
        <v>23388</v>
      </c>
      <c r="B23388" s="2" t="str">
        <f>IFERROR(__xludf.DUMMYFUNCTION("GOOGLETRANSLATE(A23388, ""en"", ""mt"")"),"L-armata ta 'Shah kienet maqsuma minn feuds interna differenti u bid-deċiżjoni ta' Shah li taqsam l-armata tiegħu fi gruppi żgħar ikkonċentrati f'diversi bliet. Din il-frammentazzjoni kienet deċiżiva fit-telfiet ta 'Khwarezmia, peress li ppermettiet lill-"&amp;"Mongoli, għalkemm eżawriti mill-vjaġġ twil, biex immedjatament waqqfu l-frazzjonijiet żgħar tal-forzi ta' Khwarzemi minflok ma jiffaċċjaw difiża unifikata. L-armata Mongoljana malajr ħatfet il-belt ta 'Otrar, billi sserraħ fuq strateġija u tattiċi superju"&amp;"ri. Genghis Khan ordna l-massakru bl-ingrossa ta 'ħafna miċ-ċivili, skjavja l-kumplament tal-popolazzjoni u eżegwiet Inalchuq billi tferra fidda mdewweb fil-widnejn u l-għajnejn tiegħu, bħala ritribuzzjoni għall-azzjonijiet tiegħu. Qrib it-tmiem tal-batta"&amp;"lja l-Shah ħarab minflok iċedi. Genghis Khan ordna lil Subutai u Jebe biex jikkaċċjawh, u tathom 20,000 irġiel u sentejn biex jagħmlu dan. Ix-Shah miet taħt ċirkostanzi misterjużi fuq gżira żgħira fl-imperu tiegħu.")</f>
        <v>L-armata ta 'Shah kienet maqsuma minn feuds interna differenti u bid-deċiżjoni ta' Shah li taqsam l-armata tiegħu fi gruppi żgħar ikkonċentrati f'diversi bliet. Din il-frammentazzjoni kienet deċiżiva fit-telfiet ta 'Khwarezmia, peress li ppermettiet lill-Mongoli, għalkemm eżawriti mill-vjaġġ twil, biex immedjatament waqqfu l-frazzjonijiet żgħar tal-forzi ta' Khwarzemi minflok ma jiffaċċjaw difiża unifikata. L-armata Mongoljana malajr ħatfet il-belt ta 'Otrar, billi sserraħ fuq strateġija u tattiċi superjuri. Genghis Khan ordna l-massakru bl-ingrossa ta 'ħafna miċ-ċivili, skjavja l-kumplament tal-popolazzjoni u eżegwiet Inalchuq billi tferra fidda mdewweb fil-widnejn u l-għajnejn tiegħu, bħala ritribuzzjoni għall-azzjonijiet tiegħu. Qrib it-tmiem tal-battalja l-Shah ħarab minflok iċedi. Genghis Khan ordna lil Subutai u Jebe biex jikkaċċjawh, u tathom 20,000 irġiel u sentejn biex jagħmlu dan. Ix-Shah miet taħt ċirkostanzi misterjużi fuq gżira żgħira fl-imperu tiegħu.</v>
      </c>
    </row>
    <row r="23389" ht="15.75" customHeight="1">
      <c r="A23389" s="2" t="s">
        <v>23389</v>
      </c>
      <c r="B23389" s="2" t="str">
        <f>IFERROR(__xludf.DUMMYFUNCTION("GOOGLETRANSLATE(A23389, ""en"", ""mt"")"),"X’ingħata bħala l-kawża tal-mewt?")</f>
        <v>X’ingħata bħala l-kawża tal-mewt?</v>
      </c>
    </row>
    <row r="23390" ht="15.75" customHeight="1">
      <c r="A23390" s="2" t="s">
        <v>23390</v>
      </c>
      <c r="B23390" s="2" t="str">
        <f>IFERROR(__xludf.DUMMYFUNCTION("GOOGLETRANSLATE(A23390, ""en"", ""mt"")"),"np≡N (mod p) għal kwalunkwe n jekk p huwa numru ewlieni")</f>
        <v>np≡N (mod p) għal kwalunkwe n jekk p huwa numru ewlieni</v>
      </c>
    </row>
    <row r="23391" ht="15.75" customHeight="1">
      <c r="A23391" s="2" t="s">
        <v>23391</v>
      </c>
      <c r="B23391" s="2" t="str">
        <f>IFERROR(__xludf.DUMMYFUNCTION("GOOGLETRANSLATE(A23391, ""en"", ""mt"")"),"X'jagħmel xi ħadd li jagħmel diżubbidjenti ċivily fil-qorti?")</f>
        <v>X'jagħmel xi ħadd li jagħmel diżubbidjenti ċivily fil-qorti?</v>
      </c>
    </row>
    <row r="23392" ht="15.75" customHeight="1">
      <c r="A23392" s="2" t="s">
        <v>23392</v>
      </c>
      <c r="B23392" s="2" t="str">
        <f>IFERROR(__xludf.DUMMYFUNCTION("GOOGLETRANSLATE(A23392, ""en"", ""mt"")"),"Problemi Tekniċi")</f>
        <v>Problemi Tekniċi</v>
      </c>
    </row>
    <row r="23393" ht="15.75" customHeight="1">
      <c r="A23393" s="2" t="s">
        <v>23393</v>
      </c>
      <c r="B23393" s="2" t="str">
        <f>IFERROR(__xludf.DUMMYFUNCTION("GOOGLETRANSLATE(A23393, ""en"", ""mt"")"),"DVB-S2")</f>
        <v>DVB-S2</v>
      </c>
    </row>
    <row r="23394" ht="15.75" customHeight="1">
      <c r="A23394" s="2" t="s">
        <v>23394</v>
      </c>
      <c r="B23394" s="2" t="str">
        <f>IFERROR(__xludf.DUMMYFUNCTION("GOOGLETRANSLATE(A23394, ""en"", ""mt"")"),"Valur marġinali miżjud ta 'kull attur ekonomiku")</f>
        <v>Valur marġinali miżjud ta 'kull attur ekonomiku</v>
      </c>
    </row>
    <row r="23395" ht="15.75" customHeight="1">
      <c r="A23395" s="2" t="s">
        <v>23395</v>
      </c>
      <c r="B23395" s="2" t="str">
        <f>IFERROR(__xludf.DUMMYFUNCTION("GOOGLETRANSLATE(A23395, ""en"", ""mt"")"),"Eurocities")</f>
        <v>Eurocities</v>
      </c>
    </row>
    <row r="23396" ht="15.75" customHeight="1">
      <c r="A23396" s="2" t="s">
        <v>23396</v>
      </c>
      <c r="B23396" s="2" t="str">
        <f>IFERROR(__xludf.DUMMYFUNCTION("GOOGLETRANSLATE(A23396, ""en"", ""mt"")"),"kwantitajiet skalari")</f>
        <v>kwantitajiet skalari</v>
      </c>
    </row>
    <row r="23397" ht="15.75" customHeight="1">
      <c r="A23397" s="2" t="s">
        <v>23397</v>
      </c>
      <c r="B23397" s="2" t="str">
        <f>IFERROR(__xludf.DUMMYFUNCTION("GOOGLETRANSLATE(A23397, ""en"", ""mt"")"),"Dawl")</f>
        <v>Dawl</v>
      </c>
    </row>
    <row r="23398" ht="15.75" customHeight="1">
      <c r="A23398" s="2" t="s">
        <v>23398</v>
      </c>
      <c r="B23398" s="2" t="str">
        <f>IFERROR(__xludf.DUMMYFUNCTION("GOOGLETRANSLATE(A23398, ""en"", ""mt"")"),"F’liema kundizzjonijiet il-forzi ġew imkejla l-ewwel storikament?")</f>
        <v>F’liema kundizzjonijiet il-forzi ġew imkejla l-ewwel storikament?</v>
      </c>
    </row>
    <row r="23399" ht="15.75" customHeight="1">
      <c r="A23399" s="2" t="s">
        <v>23399</v>
      </c>
      <c r="B23399" s="2" t="str">
        <f>IFERROR(__xludf.DUMMYFUNCTION("GOOGLETRANSLATE(A23399, ""en"", ""mt"")"),"X'inhi kelma oħra għal diatom?")</f>
        <v>X'inhi kelma oħra għal diatom?</v>
      </c>
    </row>
    <row r="23400" ht="15.75" customHeight="1">
      <c r="A23400" s="2" t="s">
        <v>23400</v>
      </c>
      <c r="B23400" s="2" t="str">
        <f>IFERROR(__xludf.DUMMYFUNCTION("GOOGLETRANSLATE(A23400, ""en"", ""mt"")"),"Trattat dwar l-Unjoni Ewropea (TEU) u t-Trattat dwar il-Funzjonament tal-Unjoni Ewropea (TFEU)")</f>
        <v>Trattat dwar l-Unjoni Ewropea (TEU) u t-Trattat dwar il-Funzjonament tal-Unjoni Ewropea (TFEU)</v>
      </c>
    </row>
    <row r="23401" ht="15.75" customHeight="1">
      <c r="A23401" s="2" t="s">
        <v>23401</v>
      </c>
      <c r="B23401" s="2" t="str">
        <f>IFERROR(__xludf.DUMMYFUNCTION("GOOGLETRANSLATE(A23401, ""en"", ""mt"")"),"Sitt ta 'fuq")</f>
        <v>Sitt ta 'fuq</v>
      </c>
    </row>
    <row r="23402" ht="15.75" customHeight="1">
      <c r="A23402" s="2" t="s">
        <v>23402</v>
      </c>
      <c r="B23402" s="2" t="str">
        <f>IFERROR(__xludf.DUMMYFUNCTION("GOOGLETRANSLATE(A23402, ""en"", ""mt"")"),"distribuzzjoni")</f>
        <v>distribuzzjoni</v>
      </c>
    </row>
    <row r="23403" ht="15.75" customHeight="1">
      <c r="A23403" s="2" t="s">
        <v>23403</v>
      </c>
      <c r="B23403" s="2" t="str">
        <f>IFERROR(__xludf.DUMMYFUNCTION("GOOGLETRANSLATE(A23403, ""en"", ""mt"")"),"Trevor Martin")</f>
        <v>Trevor Martin</v>
      </c>
    </row>
    <row r="23404" ht="15.75" customHeight="1">
      <c r="A23404" s="2" t="s">
        <v>23404</v>
      </c>
      <c r="B23404" s="2" t="str">
        <f>IFERROR(__xludf.DUMMYFUNCTION("GOOGLETRANSLATE(A23404, ""en"", ""mt"")"),"Greenland")</f>
        <v>Greenland</v>
      </c>
    </row>
    <row r="23405" ht="15.75" customHeight="1">
      <c r="A23405" s="2" t="s">
        <v>23405</v>
      </c>
      <c r="B23405" s="2" t="str">
        <f>IFERROR(__xludf.DUMMYFUNCTION("GOOGLETRANSLATE(A23405, ""en"", ""mt"")"),"huwa inferjuri")</f>
        <v>huwa inferjuri</v>
      </c>
    </row>
    <row r="23406" ht="15.75" customHeight="1">
      <c r="A23406" s="2" t="s">
        <v>23406</v>
      </c>
      <c r="B23406" s="2" t="str">
        <f>IFERROR(__xludf.DUMMYFUNCTION("GOOGLETRANSLATE(A23406, ""en"", ""mt"")"),"Coldplay.")</f>
        <v>Coldplay.</v>
      </c>
    </row>
    <row r="23407" ht="15.75" customHeight="1">
      <c r="A23407" s="2" t="s">
        <v>23407</v>
      </c>
      <c r="B23407" s="2" t="str">
        <f>IFERROR(__xludf.DUMMYFUNCTION("GOOGLETRANSLATE(A23407, ""en"", ""mt"")"),"826")</f>
        <v>826</v>
      </c>
    </row>
    <row r="23408" ht="15.75" customHeight="1">
      <c r="A23408" s="2" t="s">
        <v>23408</v>
      </c>
      <c r="B23408" s="2" t="str">
        <f>IFERROR(__xludf.DUMMYFUNCTION("GOOGLETRANSLATE(A23408, ""en"", ""mt"")"),"Destinazzjonijiet tax-xiri")</f>
        <v>Destinazzjonijiet tax-xiri</v>
      </c>
    </row>
    <row r="23409" ht="15.75" customHeight="1">
      <c r="A23409" s="2" t="s">
        <v>23409</v>
      </c>
      <c r="B23409" s="2" t="str">
        <f>IFERROR(__xludf.DUMMYFUNCTION("GOOGLETRANSLATE(A23409, ""en"", ""mt"")"),"Liema sena rritorna iqbal f'Lahore?")</f>
        <v>Liema sena rritorna iqbal f'Lahore?</v>
      </c>
    </row>
    <row r="23410" ht="15.75" customHeight="1">
      <c r="A23410" s="2" t="s">
        <v>23410</v>
      </c>
      <c r="B23410" s="2" t="str">
        <f>IFERROR(__xludf.DUMMYFUNCTION("GOOGLETRANSLATE(A23410, ""en"", ""mt"")"),"Kemm mill-fluss tal-ilma jikseb il-waal mir-Rhine?")</f>
        <v>Kemm mill-fluss tal-ilma jikseb il-waal mir-Rhine?</v>
      </c>
    </row>
    <row r="23411" ht="15.75" customHeight="1">
      <c r="A23411" s="2" t="s">
        <v>23411</v>
      </c>
      <c r="B23411" s="2" t="str">
        <f>IFERROR(__xludf.DUMMYFUNCTION("GOOGLETRANSLATE(A23411, ""en"", ""mt"")"),"22,392 km2 jew 8,646 sq mi")</f>
        <v>22,392 km2 jew 8,646 sq mi</v>
      </c>
    </row>
    <row r="23412" ht="15.75" customHeight="1">
      <c r="A23412" s="2" t="s">
        <v>23412</v>
      </c>
      <c r="B23412" s="2" t="str">
        <f>IFERROR(__xludf.DUMMYFUNCTION("GOOGLETRANSLATE(A23412, ""en"", ""mt"")"),"Il-Papa Leo X kien użat għar-riformaturi u l-eretiċi, u huwa wieġeb bil-mod, ""b'attenzjoni kbira kif inhu xieraq."" Matul it-tliet snin li ġejjin huwa skjera serje ta 'teologi papali u mibgħuta kontra Luther, li servew biss biex jibbiesu t-teoloġija anti"&amp;"-papali tar-riformatur. L-ewwel, it-teologu Dumnikan Sylvester Mazzolini fassal każ ta 'ereżija kontra Luther, li Leo mbagħad issejjaħ lil Ruma. L-Elettur Frederick ikkonvinċa lill-Papa biex Luther eżamina f'Augsburg, fejn saret id-Dieta Imperjali. Hemm, "&amp;"f'Ottubru 1518, taħt interrogazzjoni mill-legat papali Kardinal Cajetan Luther iddikjara li ma kkunsidrax il-parti tal-papat tal-knisja bibliċi minħabba li l-interpretazzjoni storistika tal-profezija tal-Bibbja kkonkludiet li l-papat kien l-Antichrist. Il"&amp;"-profeziji li jikkonċernaw l-Antikrist dalwaqt saru ċ-ċentru tal-kontroversja. Is-seduti deġeneraw f'partita ta 'għajjat. Aktar mill-kitba tiegħu l-95 teżi, il-konfront ta 'Luther mal-knisja tefgħuh bħala ghadu tal-Papa. L-istruzzjonijiet oriġinali ta 'Ca"&amp;"jetan kienu li jarrestaw lil Luther jekk ma rnexxielux jerġa' jibda, iżda l-legat ma jridx jagħmel hekk. Luther niżel mill-belt bil-lejl, mhux magħruf ma 'Cajetan.")</f>
        <v>Il-Papa Leo X kien użat għar-riformaturi u l-eretiċi, u huwa wieġeb bil-mod, "b'attenzjoni kbira kif inhu xieraq." Matul it-tliet snin li ġejjin huwa skjera serje ta 'teologi papali u mibgħuta kontra Luther, li servew biss biex jibbiesu t-teoloġija anti-papali tar-riformatur. L-ewwel, it-teologu Dumnikan Sylvester Mazzolini fassal każ ta 'ereżija kontra Luther, li Leo mbagħad issejjaħ lil Ruma. L-Elettur Frederick ikkonvinċa lill-Papa biex Luther eżamina f'Augsburg, fejn saret id-Dieta Imperjali. Hemm, f'Ottubru 1518, taħt interrogazzjoni mill-legat papali Kardinal Cajetan Luther iddikjara li ma kkunsidrax il-parti tal-papat tal-knisja bibliċi minħabba li l-interpretazzjoni storistika tal-profezija tal-Bibbja kkonkludiet li l-papat kien l-Antichrist. Il-profeziji li jikkonċernaw l-Antikrist dalwaqt saru ċ-ċentru tal-kontroversja. Is-seduti deġeneraw f'partita ta 'għajjat. Aktar mill-kitba tiegħu l-95 teżi, il-konfront ta 'Luther mal-knisja tefgħuh bħala ghadu tal-Papa. L-istruzzjonijiet oriġinali ta 'Cajetan kienu li jarrestaw lil Luther jekk ma rnexxielux jerġa' jibda, iżda l-legat ma jridx jagħmel hekk. Luther niżel mill-belt bil-lejl, mhux magħruf ma 'Cajetan.</v>
      </c>
    </row>
    <row r="23413" ht="15.75" customHeight="1">
      <c r="A23413" s="2" t="s">
        <v>23413</v>
      </c>
      <c r="B23413" s="2" t="str">
        <f>IFERROR(__xludf.DUMMYFUNCTION("GOOGLETRANSLATE(A23413, ""en"", ""mt"")"),"Tkeċċija tal-Akkadjani")</f>
        <v>Tkeċċija tal-Akkadjani</v>
      </c>
    </row>
    <row r="23414" ht="15.75" customHeight="1">
      <c r="A23414" s="2" t="s">
        <v>23414</v>
      </c>
      <c r="B23414" s="2" t="str">
        <f>IFERROR(__xludf.DUMMYFUNCTION("GOOGLETRANSLATE(A23414, ""en"", ""mt"")"),"Min hu proprjetà tal-videoguard?")</f>
        <v>Min hu proprjetà tal-videoguard?</v>
      </c>
    </row>
    <row r="23415" ht="15.75" customHeight="1">
      <c r="A23415" s="2" t="s">
        <v>23415</v>
      </c>
      <c r="B23415" s="2" t="str">
        <f>IFERROR(__xludf.DUMMYFUNCTION("GOOGLETRANSLATE(A23415, ""en"", ""mt"")"),"Meta kien hemm tentattiv biex tirriforma l-liġi tal-UE?")</f>
        <v>Meta kien hemm tentattiv biex tirriforma l-liġi tal-UE?</v>
      </c>
    </row>
    <row r="23416" ht="15.75" customHeight="1">
      <c r="A23416" s="2" t="s">
        <v>23416</v>
      </c>
      <c r="B23416" s="2" t="str">
        <f>IFERROR(__xludf.DUMMYFUNCTION("GOOGLETRANSLATE(A23416, ""en"", ""mt"")"),"1 A.M.")</f>
        <v>1 A.M.</v>
      </c>
    </row>
    <row r="23417" ht="15.75" customHeight="1">
      <c r="A23417" s="2" t="s">
        <v>23417</v>
      </c>
      <c r="B23417" s="2" t="str">
        <f>IFERROR(__xludf.DUMMYFUNCTION("GOOGLETRANSLATE(A23417, ""en"", ""mt"")"),"94 libbra")</f>
        <v>94 libbra</v>
      </c>
    </row>
    <row r="23418" ht="15.75" customHeight="1">
      <c r="A23418" s="2" t="s">
        <v>23418</v>
      </c>
      <c r="B23418" s="2" t="str">
        <f>IFERROR(__xludf.DUMMYFUNCTION("GOOGLETRANSLATE(A23418, ""en"", ""mt"")"),"Min kien Tesla jipprova jirritratta meta aċċidentalment ħa l-immaġni tar-raġġi X?")</f>
        <v>Min kien Tesla jipprova jirritratta meta aċċidentalment ħa l-immaġni tar-raġġi X?</v>
      </c>
    </row>
    <row r="23419" ht="15.75" customHeight="1">
      <c r="A23419" s="2" t="s">
        <v>23419</v>
      </c>
      <c r="B23419" s="2" t="str">
        <f>IFERROR(__xludf.DUMMYFUNCTION("GOOGLETRANSLATE(A23419, ""en"", ""mt"")"),"Jekk mudell tal-kompjuter wieħed jirriżulta korrett, sa liema sena jkun hemm telf kważi komplet ta 'foresta tropikali fil-baċin tal-Amażonja?")</f>
        <v>Jekk mudell tal-kompjuter wieħed jirriżulta korrett, sa liema sena jkun hemm telf kważi komplet ta 'foresta tropikali fil-baċin tal-Amażonja?</v>
      </c>
    </row>
    <row r="23420" ht="15.75" customHeight="1">
      <c r="A23420" s="2" t="s">
        <v>23420</v>
      </c>
      <c r="B23420" s="2" t="str">
        <f>IFERROR(__xludf.DUMMYFUNCTION("GOOGLETRANSLATE(A23420, ""en"", ""mt"")"),"Skond ix-xewqat ta 'missieru, Luther irreġistra fl-iskola tal-liġi fl-istess università dik is-sena iżda waqa' kważi immedjatament, billi jemmen li l-liġi kienet tirrappreżenta inċertezza. Luther fittxet assigurazzjonijiet dwar il-ħajja u nġibed lejn it-t"&amp;"eoloġija u l-filosofija, li esprima interess partikolari f'Aristotile, William ta 'Ockham, u Gabriel Biel. Huwa kien influwenzat profondament minn żewġ tuturi, Bartholomaeus Arnoldi von bl-użu ta 'Jodocus Trutfetter, li għallmuh ikun suspettuż anke mill-i"&amp;"kbar ħassieba u biex jittestja kollox innifsu bl-esperjenza. Il-filosofija wriet li mhix sodisfaċenti, li toffri assigurazzjoni dwar l-użu tar-raġuni iżda ħadd dwar l-imħabba ta 'Alla, li għal Luther kien iktar importanti. Ir-raġuni ma setgħetx twassal li"&amp;"ll-irġiel lejn Alla, huwa ħass, u wara żviluppa relazzjoni ta 'mħabba-mibegħda ma' Aristotile fuq l-enfasi ta 'dan tal-aħħar fuq ir-raġuni. Għal Luther, ir-raġuni tista 'tintuża biex tiddubita l-irġiel u l-istituzzjonijiet, imma mhux minn Alla. Il-bnedmin"&amp;" setgħu jitgħallmu dwar Alla biss permezz ta ’rivelazzjoni divina, huwa emmen, u l-Iskrittura għalhekk saret dejjem iktar importanti għalih.")</f>
        <v>Skond ix-xewqat ta 'missieru, Luther irreġistra fl-iskola tal-liġi fl-istess università dik is-sena iżda waqa' kważi immedjatament, billi jemmen li l-liġi kienet tirrappreżenta inċertezza. Luther fittxet assigurazzjonijiet dwar il-ħajja u nġibed lejn it-teoloġija u l-filosofija, li esprima interess partikolari f'Aristotile, William ta 'Ockham, u Gabriel Biel. Huwa kien influwenzat profondament minn żewġ tuturi, Bartholomaeus Arnoldi von bl-użu ta 'Jodocus Trutfetter, li għallmuh ikun suspettuż anke mill-ikbar ħassieba u biex jittestja kollox innifsu bl-esperjenza. Il-filosofija wriet li mhix sodisfaċenti, li toffri assigurazzjoni dwar l-użu tar-raġuni iżda ħadd dwar l-imħabba ta 'Alla, li għal Luther kien iktar importanti. Ir-raġuni ma setgħetx twassal lill-irġiel lejn Alla, huwa ħass, u wara żviluppa relazzjoni ta 'mħabba-mibegħda ma' Aristotile fuq l-enfasi ta 'dan tal-aħħar fuq ir-raġuni. Għal Luther, ir-raġuni tista 'tintuża biex tiddubita l-irġiel u l-istituzzjonijiet, imma mhux minn Alla. Il-bnedmin setgħu jitgħallmu dwar Alla biss permezz ta ’rivelazzjoni divina, huwa emmen, u l-Iskrittura għalhekk saret dejjem iktar importanti għalih.</v>
      </c>
    </row>
    <row r="23421" ht="15.75" customHeight="1">
      <c r="A23421" s="2" t="s">
        <v>23421</v>
      </c>
      <c r="B23421" s="2" t="str">
        <f>IFERROR(__xludf.DUMMYFUNCTION("GOOGLETRANSLATE(A23421, ""en"", ""mt"")"),"Il-Forzi Armati tal-Kenja")</f>
        <v>Il-Forzi Armati tal-Kenja</v>
      </c>
    </row>
    <row r="23422" ht="15.75" customHeight="1">
      <c r="A23422" s="2" t="s">
        <v>23422</v>
      </c>
      <c r="B23422" s="2" t="str">
        <f>IFERROR(__xludf.DUMMYFUNCTION("GOOGLETRANSLATE(A23422, ""en"", ""mt"")"),"Liġi Olandiża qalet li nies biss stabbiliti fl-Olanda jistgħu jagħtu pariri legali")</f>
        <v>Liġi Olandiża qalet li nies biss stabbiliti fl-Olanda jistgħu jagħtu pariri legali</v>
      </c>
    </row>
    <row r="23423" ht="15.75" customHeight="1">
      <c r="A23423" s="2" t="s">
        <v>23423</v>
      </c>
      <c r="B23423" s="2" t="str">
        <f>IFERROR(__xludf.DUMMYFUNCTION("GOOGLETRANSLATE(A23423, ""en"", ""mt"")"),"X'ġara lill-bozoz tad-dawl fil-qrib?")</f>
        <v>X'ġara lill-bozoz tad-dawl fil-qrib?</v>
      </c>
    </row>
    <row r="23424" ht="15.75" customHeight="1">
      <c r="A23424" s="2" t="s">
        <v>23424</v>
      </c>
      <c r="B23424" s="2" t="str">
        <f>IFERROR(__xludf.DUMMYFUNCTION("GOOGLETRANSLATE(A23424, ""en"", ""mt"")"),"Halle")</f>
        <v>Halle</v>
      </c>
    </row>
    <row r="23425" ht="15.75" customHeight="1">
      <c r="A23425" s="2" t="s">
        <v>23425</v>
      </c>
      <c r="B23425" s="2" t="str">
        <f>IFERROR(__xludf.DUMMYFUNCTION("GOOGLETRANSLATE(A23425, ""en"", ""mt"")"),"Meta twaqqfet il-Victoria and Albert Museum?")</f>
        <v>Meta twaqqfet il-Victoria and Albert Museum?</v>
      </c>
    </row>
    <row r="23426" ht="15.75" customHeight="1">
      <c r="A23426" s="2" t="s">
        <v>23426</v>
      </c>
      <c r="B23426" s="2" t="str">
        <f>IFERROR(__xludf.DUMMYFUNCTION("GOOGLETRANSLATE(A23426, ""en"", ""mt"")"),"Pressjonijiet parzjali elevati")</f>
        <v>Pressjonijiet parzjali elevati</v>
      </c>
    </row>
    <row r="23427" ht="15.75" customHeight="1">
      <c r="A23427" s="2" t="s">
        <v>23427</v>
      </c>
      <c r="B23427" s="2" t="str">
        <f>IFERROR(__xludf.DUMMYFUNCTION("GOOGLETRANSLATE(A23427, ""en"", ""mt"")"),"Kamra tal-Altitudni")</f>
        <v>Kamra tal-Altitudni</v>
      </c>
    </row>
    <row r="23428" ht="15.75" customHeight="1">
      <c r="A23428" s="2" t="s">
        <v>23428</v>
      </c>
      <c r="B23428" s="2" t="str">
        <f>IFERROR(__xludf.DUMMYFUNCTION("GOOGLETRANSLATE(A23428, ""en"", ""mt"")"),"Meta l-kolonji differenti ngħaqdu flimkien u jiffurmaw il-Kenja?")</f>
        <v>Meta l-kolonji differenti ngħaqdu flimkien u jiffurmaw il-Kenja?</v>
      </c>
    </row>
    <row r="23429" ht="15.75" customHeight="1">
      <c r="A23429" s="2" t="s">
        <v>23429</v>
      </c>
      <c r="B23429" s="2" t="str">
        <f>IFERROR(__xludf.DUMMYFUNCTION("GOOGLETRANSLATE(A23429, ""en"", ""mt"")"),"Il-gvern ta 'Kublai wara l-1262 kien kompromess bejn il-preservazzjoni tal-interessi Mongoljani fiċ-Ċina u li jissodisfa t-talbiet tas-suġġetti Ċiniżi tiegħu. Huwa stabbilixxa r-riformi proposti mill-konsulenti Ċiniżi tiegħu billi jiċċentralizza l-burokra"&amp;"zija, jespandi ċ-ċirkolazzjoni tal-flus tal-karta, u żamm il-monopolji tradizzjonali fuq il-melħ u l-ħadid. Huwa rrestawra s-Segretarjat Imperjali u ħalla l-istruttura amministrattiva lokali tad-dinastiji Ċiniżi tal-passat mhux mibdula. Madankollu, Kublai"&amp;" ċaħad il-pjanijiet biex terġa 'titqajjem l-eżamijiet Imperjali Confucian u s-soċjetà tal-wan maqsuma fi tlieta, aktar tard erbgħa, klassijiet maċ-Ċiniżi Han li jokkupaw l-inqas grad. Il-konsulenti Ċiniżi ta 'Kublai għadhom għamlu poter sinifikanti fil-gv"&amp;"ern, iżda l-grad uffiċjali tagħhom kien nebulous.")</f>
        <v>Il-gvern ta 'Kublai wara l-1262 kien kompromess bejn il-preservazzjoni tal-interessi Mongoljani fiċ-Ċina u li jissodisfa t-talbiet tas-suġġetti Ċiniżi tiegħu. Huwa stabbilixxa r-riformi proposti mill-konsulenti Ċiniżi tiegħu billi jiċċentralizza l-burokrazija, jespandi ċ-ċirkolazzjoni tal-flus tal-karta, u żamm il-monopolji tradizzjonali fuq il-melħ u l-ħadid. Huwa rrestawra s-Segretarjat Imperjali u ħalla l-istruttura amministrattiva lokali tad-dinastiji Ċiniżi tal-passat mhux mibdula. Madankollu, Kublai ċaħad il-pjanijiet biex terġa 'titqajjem l-eżamijiet Imperjali Confucian u s-soċjetà tal-wan maqsuma fi tlieta, aktar tard erbgħa, klassijiet maċ-Ċiniżi Han li jokkupaw l-inqas grad. Il-konsulenti Ċiniżi ta 'Kublai għadhom għamlu poter sinifikanti fil-gvern, iżda l-grad uffiċjali tagħhom kien nebulous.</v>
      </c>
    </row>
    <row r="23430" ht="15.75" customHeight="1">
      <c r="A23430" s="2" t="s">
        <v>23430</v>
      </c>
      <c r="B23430" s="2" t="str">
        <f>IFERROR(__xludf.DUMMYFUNCTION("GOOGLETRANSLATE(A23430, ""en"", ""mt"")"),"Telenet ġie inkorporat fl-1973 u beda jopera fl-1975. Huwa sar pubbliku fl-1979 u mbagħad inbiegħ lil GTE")</f>
        <v>Telenet ġie inkorporat fl-1973 u beda jopera fl-1975. Huwa sar pubbliku fl-1979 u mbagħad inbiegħ lil GTE</v>
      </c>
    </row>
    <row r="23431" ht="15.75" customHeight="1">
      <c r="A23431" s="2" t="s">
        <v>23431</v>
      </c>
      <c r="B23431" s="2" t="str">
        <f>IFERROR(__xludf.DUMMYFUNCTION("GOOGLETRANSLATE(A23431, ""en"", ""mt"")"),"Minn fejn kien jemmen Tesla t-talenti tiegħu?")</f>
        <v>Minn fejn kien jemmen Tesla t-talenti tiegħu?</v>
      </c>
    </row>
    <row r="23432" ht="15.75" customHeight="1">
      <c r="A23432" s="2" t="s">
        <v>23432</v>
      </c>
      <c r="B23432" s="2" t="str">
        <f>IFERROR(__xludf.DUMMYFUNCTION("GOOGLETRANSLATE(A23432, ""en"", ""mt"")"),"Fejn tinsab il-Kenja?")</f>
        <v>Fejn tinsab il-Kenja?</v>
      </c>
    </row>
    <row r="23433" ht="15.75" customHeight="1">
      <c r="A23433" s="2" t="s">
        <v>23433</v>
      </c>
      <c r="B23433" s="2" t="str">
        <f>IFERROR(__xludf.DUMMYFUNCTION("GOOGLETRANSLATE(A23433, ""en"", ""mt"")"),"X'ġara bħala riżultat tal-gwerra Russo-Ġappuniża?")</f>
        <v>X'ġara bħala riżultat tal-gwerra Russo-Ġappuniża?</v>
      </c>
    </row>
    <row r="23434" ht="15.75" customHeight="1">
      <c r="A23434" s="2" t="s">
        <v>23434</v>
      </c>
      <c r="B23434" s="2" t="str">
        <f>IFERROR(__xludf.DUMMYFUNCTION("GOOGLETRANSLATE(A23434, ""en"", ""mt"")"),"Duttrina tal-Ġustifikazzjoni")</f>
        <v>Duttrina tal-Ġustifikazzjoni</v>
      </c>
    </row>
    <row r="23435" ht="15.75" customHeight="1">
      <c r="A23435" s="2" t="s">
        <v>23435</v>
      </c>
      <c r="B23435" s="2" t="str">
        <f>IFERROR(__xludf.DUMMYFUNCTION("GOOGLETRANSLATE(A23435, ""en"", ""mt"")"),"fi bliet reġjonali")</f>
        <v>fi bliet reġjonali</v>
      </c>
    </row>
    <row r="23436" ht="15.75" customHeight="1">
      <c r="A23436" s="2" t="s">
        <v>23436</v>
      </c>
      <c r="B23436" s="2" t="str">
        <f>IFERROR(__xludf.DUMMYFUNCTION("GOOGLETRANSLATE(A23436, ""en"", ""mt"")"),"Thomas Reid u Dugald Stewart")</f>
        <v>Thomas Reid u Dugald Stewart</v>
      </c>
    </row>
    <row r="23437" ht="15.75" customHeight="1">
      <c r="A23437" s="2" t="s">
        <v>23437</v>
      </c>
      <c r="B23437" s="2" t="str">
        <f>IFERROR(__xludf.DUMMYFUNCTION("GOOGLETRANSLATE(A23437, ""en"", ""mt"")"),"Kemm hemm fraternitajiet li jiffurmaw il-Kunsill tal-Interfraternità tal-Università ta 'Chicago?")</f>
        <v>Kemm hemm fraternitajiet li jiffurmaw il-Kunsill tal-Interfraternità tal-Università ta 'Chicago?</v>
      </c>
    </row>
    <row r="23438" ht="15.75" customHeight="1">
      <c r="A23438" s="2" t="s">
        <v>23438</v>
      </c>
      <c r="B23438" s="2" t="str">
        <f>IFERROR(__xludf.DUMMYFUNCTION("GOOGLETRANSLATE(A23438, ""en"", ""mt"")"),"X'jagħmel Luther jikteb li din il-ħajja m'għandhiex?")</f>
        <v>X'jagħmel Luther jikteb li din il-ħajja m'għandhiex?</v>
      </c>
    </row>
    <row r="23439" ht="15.75" customHeight="1">
      <c r="A23439" s="2" t="s">
        <v>23439</v>
      </c>
      <c r="B23439" s="2" t="str">
        <f>IFERROR(__xludf.DUMMYFUNCTION("GOOGLETRANSLATE(A23439, ""en"", ""mt"")"),"L-organizzazzjonijiet kollha tal-istudenti rikonoxxuti, mill-Università ta ’Chicago Scavenger Hunt sal-mudell tan-NU, minbarra timijiet akkademiċi, klabb sportiv, gruppi tal-arti, u aktar huma ffinanzjati mill-gvern tal-istudenti tal-Università ta’ Chicag"&amp;"o. Il-gvern tal-istudenti huwa magħmul minn studenti gradwati u li għadhom ma ggradwawx eletti biex jirrappreżentaw lill-membri mill-unità akkademika rispettiva tagħhom. Huwa mmexxi minn kumitat eżekuttiv, ippresedut minn president bl-għajnuna ta 'żewġ vi"&amp;"ċi presidenti, wieħed għall-amministrazzjoni u l-ieħor għall-ħajja tal-istudenti, elett flimkien bħala lavanja mill-korp tal-istudenti kull rebbiegħa. Il-baġit annwali tiegħu huwa akbar minn $ 2 miljun.")</f>
        <v>L-organizzazzjonijiet kollha tal-istudenti rikonoxxuti, mill-Università ta ’Chicago Scavenger Hunt sal-mudell tan-NU, minbarra timijiet akkademiċi, klabb sportiv, gruppi tal-arti, u aktar huma ffinanzjati mill-gvern tal-istudenti tal-Università ta’ Chicago. Il-gvern tal-istudenti huwa magħmul minn studenti gradwati u li għadhom ma ggradwawx eletti biex jirrappreżentaw lill-membri mill-unità akkademika rispettiva tagħhom. Huwa mmexxi minn kumitat eżekuttiv, ippresedut minn president bl-għajnuna ta 'żewġ viċi presidenti, wieħed għall-amministrazzjoni u l-ieħor għall-ħajja tal-istudenti, elett flimkien bħala lavanja mill-korp tal-istudenti kull rebbiegħa. Il-baġit annwali tiegħu huwa akbar minn $ 2 miljun.</v>
      </c>
    </row>
    <row r="23440" ht="15.75" customHeight="1">
      <c r="A23440" s="2" t="s">
        <v>23440</v>
      </c>
      <c r="B23440" s="2" t="str">
        <f>IFERROR(__xludf.DUMMYFUNCTION("GOOGLETRANSLATE(A23440, ""en"", ""mt"")"),"Il-Beroida")</f>
        <v>Il-Beroida</v>
      </c>
    </row>
    <row r="23441" ht="15.75" customHeight="1">
      <c r="A23441" s="2" t="s">
        <v>23441</v>
      </c>
      <c r="B23441" s="2" t="str">
        <f>IFERROR(__xludf.DUMMYFUNCTION("GOOGLETRANSLATE(A23441, ""en"", ""mt"")"),"waqt ikla fl-unur tiegħu")</f>
        <v>waqt ikla fl-unur tiegħu</v>
      </c>
    </row>
    <row r="23442" ht="15.75" customHeight="1">
      <c r="A23442" s="2" t="s">
        <v>23442</v>
      </c>
      <c r="B23442" s="2" t="str">
        <f>IFERROR(__xludf.DUMMYFUNCTION("GOOGLETRANSLATE(A23442, ""en"", ""mt"")"),"Kreditu aktar faċli lil dawk li jaqilgħu bi dħul aktar baxx u medju")</f>
        <v>Kreditu aktar faċli lil dawk li jaqilgħu bi dħul aktar baxx u medju</v>
      </c>
    </row>
    <row r="23443" ht="15.75" customHeight="1">
      <c r="A23443" s="2" t="s">
        <v>23443</v>
      </c>
      <c r="B23443" s="2" t="str">
        <f>IFERROR(__xludf.DUMMYFUNCTION("GOOGLETRANSLATE(A23443, ""en"", ""mt"")"),"Wtsp")</f>
        <v>Wtsp</v>
      </c>
    </row>
    <row r="23444" ht="15.75" customHeight="1">
      <c r="A23444" s="2" t="s">
        <v>23444</v>
      </c>
      <c r="B23444" s="2" t="str">
        <f>IFERROR(__xludf.DUMMYFUNCTION("GOOGLETRANSLATE(A23444, ""en"", ""mt"")"),"soluzzjonijiet aktar effiċjenti")</f>
        <v>soluzzjonijiet aktar effiċjenti</v>
      </c>
    </row>
    <row r="23445" ht="15.75" customHeight="1">
      <c r="A23445" s="2" t="s">
        <v>23445</v>
      </c>
      <c r="B23445" s="2" t="str">
        <f>IFERROR(__xludf.DUMMYFUNCTION("GOOGLETRANSLATE(A23445, ""en"", ""mt"")"),"kull sena f'Ġunju")</f>
        <v>kull sena f'Ġunju</v>
      </c>
    </row>
    <row r="23446" ht="15.75" customHeight="1">
      <c r="A23446" s="2" t="s">
        <v>23446</v>
      </c>
      <c r="B23446" s="2" t="str">
        <f>IFERROR(__xludf.DUMMYFUNCTION("GOOGLETRANSLATE(A23446, ""en"", ""mt"")"),"Liema konsulent tal-Prim Ministru Brittaniku huwa wkoll membru tal-alumni tal-università?")</f>
        <v>Liema konsulent tal-Prim Ministru Brittaniku huwa wkoll membru tal-alumni tal-università?</v>
      </c>
    </row>
    <row r="23447" ht="15.75" customHeight="1">
      <c r="A23447" s="2" t="s">
        <v>23447</v>
      </c>
      <c r="B23447" s="2" t="str">
        <f>IFERROR(__xludf.DUMMYFUNCTION("GOOGLETRANSLATE(A23447, ""en"", ""mt"")"),"Min ivvota fuq il-post għal Super Bowl 50?")</f>
        <v>Min ivvota fuq il-post għal Super Bowl 50?</v>
      </c>
    </row>
    <row r="23448" ht="15.75" customHeight="1">
      <c r="A23448" s="2" t="s">
        <v>23448</v>
      </c>
      <c r="B23448" s="2" t="str">
        <f>IFERROR(__xludf.DUMMYFUNCTION("GOOGLETRANSLATE(A23448, ""en"", ""mt"")"),"klijent")</f>
        <v>klijent</v>
      </c>
    </row>
    <row r="23449" ht="15.75" customHeight="1">
      <c r="A23449" s="2" t="s">
        <v>23449</v>
      </c>
      <c r="B23449" s="2" t="str">
        <f>IFERROR(__xludf.DUMMYFUNCTION("GOOGLETRANSLATE(A23449, ""en"", ""mt"")"),"X'tip ta 'sistemi immuni jinstabu fil-pjanti u l-annimali kollha?")</f>
        <v>X'tip ta 'sistemi immuni jinstabu fil-pjanti u l-annimali kollha?</v>
      </c>
    </row>
    <row r="23450" ht="15.75" customHeight="1">
      <c r="A23450" s="2" t="s">
        <v>23450</v>
      </c>
      <c r="B23450" s="2" t="str">
        <f>IFERROR(__xludf.DUMMYFUNCTION("GOOGLETRANSLATE(A23450, ""en"", ""mt"")"),"x'imkien bejn")</f>
        <v>x'imkien bejn</v>
      </c>
    </row>
    <row r="23451" ht="15.75" customHeight="1">
      <c r="A23451" s="2" t="s">
        <v>23451</v>
      </c>
      <c r="B23451" s="2" t="str">
        <f>IFERROR(__xludf.DUMMYFUNCTION("GOOGLETRANSLATE(A23451, ""en"", ""mt"")"),"X'għamel Disney Remisse Capital City / ABC wara li akkwista l-ewwel kumpanija?")</f>
        <v>X'għamel Disney Remisse Capital City / ABC wara li akkwista l-ewwel kumpanija?</v>
      </c>
    </row>
    <row r="23452" ht="15.75" customHeight="1">
      <c r="A23452" s="2" t="s">
        <v>23452</v>
      </c>
      <c r="B23452" s="2" t="str">
        <f>IFERROR(__xludf.DUMMYFUNCTION("GOOGLETRANSLATE(A23452, ""en"", ""mt"")"),"Ħin ta 'deċiżjoni")</f>
        <v>Ħin ta 'deċiżjoni</v>
      </c>
    </row>
    <row r="23453" ht="15.75" customHeight="1">
      <c r="A23453" s="2" t="s">
        <v>23453</v>
      </c>
      <c r="B23453" s="2" t="str">
        <f>IFERROR(__xludf.DUMMYFUNCTION("GOOGLETRANSLATE(A23453, ""en"", ""mt"")"),"Min immaniġġja kopertura ta 'qabel il-logħba fuq Westwood One?")</f>
        <v>Min immaniġġja kopertura ta 'qabel il-logħba fuq Westwood One?</v>
      </c>
    </row>
    <row r="23454" ht="15.75" customHeight="1">
      <c r="A23454" s="2" t="s">
        <v>23454</v>
      </c>
      <c r="B23454" s="2" t="str">
        <f>IFERROR(__xludf.DUMMYFUNCTION("GOOGLETRANSLATE(A23454, ""en"", ""mt"")"),"Kemm timijiet rebħu 15-il logħba tal-istaġun regolari minn meta ġiet adottata l-iskeda ta '16 -il logħba?")</f>
        <v>Kemm timijiet rebħu 15-il logħba tal-istaġun regolari minn meta ġiet adottata l-iskeda ta '16 -il logħba?</v>
      </c>
    </row>
    <row r="23455" ht="15.75" customHeight="1">
      <c r="A23455" s="2" t="s">
        <v>23455</v>
      </c>
      <c r="B23455" s="2" t="str">
        <f>IFERROR(__xludf.DUMMYFUNCTION("GOOGLETRANSLATE(A23455, ""en"", ""mt"")"),"X'inhi l-karta miktuba minn Richard Karp fl-1972 li wasslet f'era ġdida ta 'fehim bejn il-intrattabilità u l-problemi kompluti NP?")</f>
        <v>X'inhi l-karta miktuba minn Richard Karp fl-1972 li wasslet f'era ġdida ta 'fehim bejn il-intrattabilità u l-problemi kompluti NP?</v>
      </c>
    </row>
    <row r="23456" ht="15.75" customHeight="1">
      <c r="A23456" s="2" t="s">
        <v>23456</v>
      </c>
      <c r="B23456" s="2" t="str">
        <f>IFERROR(__xludf.DUMMYFUNCTION("GOOGLETRANSLATE(A23456, ""en"", ""mt"")"),"Il-verżjoni tal-1538 tal-Luther tal-1538 tat-Talb tal-Mulej, ""Vater Unser Im Himmelreich"", tikkorrispondi eżattament għall-ispjegazzjoni ta 'Luther dwar it-talb fil-katekiżmu żgħir, bi stanza waħda għal kull waħda mis-seba' petizzjonijiet ta 'talb, flim"&amp;"kien ma' ftuħ u għeluq stanzji. L-innu jaħdem kemm bħala ambjent liturġiku tat-talb tal-Mulej kif ukoll bħala mezz biex jeżamina kandidati dwar mistoqsijiet speċifiċi tal-katekiżmu. Il-manuskritt eżistenti juri reviżjonijiet multipli, li juri t-tħassib ta"&amp;" 'Luther biex jiċċara u jsaħħaħ it-test u jipprovdi melodija ta' talb b'mod xieraq. Versifikazzjonijiet oħra tas-seklu 16 u 20 tat-talb tal-Mulej adottaw l-intonazzjoni ta 'Luther, għalkemm it-testi moderni huma konsiderevolment iqsar.")</f>
        <v>Il-verżjoni tal-1538 tal-Luther tal-1538 tat-Talb tal-Mulej, "Vater Unser Im Himmelreich", tikkorrispondi eżattament għall-ispjegazzjoni ta 'Luther dwar it-talb fil-katekiżmu żgħir, bi stanza waħda għal kull waħda mis-seba' petizzjonijiet ta 'talb, flimkien ma' ftuħ u għeluq stanzji. L-innu jaħdem kemm bħala ambjent liturġiku tat-talb tal-Mulej kif ukoll bħala mezz biex jeżamina kandidati dwar mistoqsijiet speċifiċi tal-katekiżmu. Il-manuskritt eżistenti juri reviżjonijiet multipli, li juri t-tħassib ta 'Luther biex jiċċara u jsaħħaħ it-test u jipprovdi melodija ta' talb b'mod xieraq. Versifikazzjonijiet oħra tas-seklu 16 u 20 tat-talb tal-Mulej adottaw l-intonazzjoni ta 'Luther, għalkemm it-testi moderni huma konsiderevolment iqsar.</v>
      </c>
    </row>
    <row r="23457" ht="15.75" customHeight="1">
      <c r="A23457" s="2" t="s">
        <v>23457</v>
      </c>
      <c r="B23457" s="2" t="str">
        <f>IFERROR(__xludf.DUMMYFUNCTION("GOOGLETRANSLATE(A23457, ""en"", ""mt"")"),"Cyanobacterium fotosintetiku li kien maħkum minn ċellola ewkarjotika bikrija")</f>
        <v>Cyanobacterium fotosintetiku li kien maħkum minn ċellola ewkarjotika bikrija</v>
      </c>
    </row>
    <row r="23458" ht="15.75" customHeight="1">
      <c r="A23458" s="2" t="s">
        <v>23458</v>
      </c>
      <c r="B23458" s="2" t="str">
        <f>IFERROR(__xludf.DUMMYFUNCTION("GOOGLETRANSLATE(A23458, ""en"", ""mt"")"),"Għal liema apparat huwa t-torri tat-tkessiħ niexef simili għal?")</f>
        <v>Għal liema apparat huwa t-torri tat-tkessiħ niexef simili għal?</v>
      </c>
    </row>
    <row r="23459" ht="15.75" customHeight="1">
      <c r="A23459" s="2" t="s">
        <v>23459</v>
      </c>
      <c r="B23459" s="2" t="str">
        <f>IFERROR(__xludf.DUMMYFUNCTION("GOOGLETRANSLATE(A23459, ""en"", ""mt"")"),"Bilanċ tal-popolazzjonijiet mikrobjali")</f>
        <v>Bilanċ tal-popolazzjonijiet mikrobjali</v>
      </c>
    </row>
    <row r="23460" ht="15.75" customHeight="1">
      <c r="A23460" s="2" t="s">
        <v>23460</v>
      </c>
      <c r="B23460" s="2" t="str">
        <f>IFERROR(__xludf.DUMMYFUNCTION("GOOGLETRANSLATE(A23460, ""en"", ""mt"")"),"X'inhuma l-proteini li l-organiżmi jużaw biex jidentifikaw molekuli assoċjati ma 'patoġeni?")</f>
        <v>X'inhuma l-proteini li l-organiżmi jużaw biex jidentifikaw molekuli assoċjati ma 'patoġeni?</v>
      </c>
    </row>
    <row r="23461" ht="15.75" customHeight="1">
      <c r="A23461" s="2" t="s">
        <v>23461</v>
      </c>
      <c r="B23461" s="2" t="str">
        <f>IFERROR(__xludf.DUMMYFUNCTION("GOOGLETRANSLATE(A23461, ""en"", ""mt"")"),"Evidenza jew avvenimenti ġodda sinifikanti li jibdlu l-fehim tagħna tax-xjenza tal-klima")</f>
        <v>Evidenza jew avvenimenti ġodda sinifikanti li jibdlu l-fehim tagħna tax-xjenza tal-klima</v>
      </c>
    </row>
    <row r="23462" ht="15.75" customHeight="1">
      <c r="A23462" s="2" t="s">
        <v>23462</v>
      </c>
      <c r="B23462" s="2" t="str">
        <f>IFERROR(__xludf.DUMMYFUNCTION("GOOGLETRANSLATE(A23462, ""en"", ""mt"")"),"X'inhu Decnet")</f>
        <v>X'inhu Decnet</v>
      </c>
    </row>
    <row r="23463" ht="15.75" customHeight="1">
      <c r="A23463" s="2" t="s">
        <v>23463</v>
      </c>
      <c r="B23463" s="2" t="str">
        <f>IFERROR(__xludf.DUMMYFUNCTION("GOOGLETRANSLATE(A23463, ""en"", ""mt"")"),"Il-problema ta 'fatturizzazzjoni sħiħa hija l-problema tal-komputazzjoni li tiddetermina l-fatturizzazzjoni ewlenija ta' numru sħiħ partikolari. Frased bħala problema ta 'deċiżjoni, hija l-problema li tiddeċiedi jekk l-input għandux fattur inqas minn k. L"&amp;"-ebda algoritmu ta 'fatturizzazzjoni sħiħ effiċjenti mhu magħruf, u dan il-fatt jifforma l-bażi ta' bosta sistemi kriptografiċi moderni, bħall-algoritmu RSA. Il-problema ta 'fatturizzazzjoni sħiħa hija f'NP u f'CO-NP (u anke f'UP u CO-UP). Jekk il-problem"&amp;"a hija kompluta NP, il-ġerarkija tal-ħin polinomjali se tiġġarraf għall-ewwel livell tagħha (i.e., NP se jkun indaqs ko-NP). L-aħjar algoritmu magħruf għall-fatturizzazzjoni sħiħa huwa l-passatur tal-qasam tan-numru ġenerali, li jieħu ż-żmien O (E (64/9) "&amp;"1/3 (n.log 2) 1/3 (log (n.log 2)) 2/3) Biex tiffranka numru sħiħ ta 'n-bit. Madankollu, l-iktar algoritmu kwantistiku magħruf għal din il-problema, l-algoritmu ta 'Shor, jaħdem fi żmien polinomjali. Sfortunatament, dan il-fatt ma jgħidx ħafna dwar fejn ti"&amp;"nsab il-problema fir-rigward ta 'klassijiet ta' kumplessità mhux kwanti.")</f>
        <v>Il-problema ta 'fatturizzazzjoni sħiħa hija l-problema tal-komputazzjoni li tiddetermina l-fatturizzazzjoni ewlenija ta' numru sħiħ partikolari. Frased bħala problema ta 'deċiżjoni, hija l-problema li tiddeċiedi jekk l-input għandux fattur inqas minn k. L-ebda algoritmu ta 'fatturizzazzjoni sħiħ effiċjenti mhu magħruf, u dan il-fatt jifforma l-bażi ta' bosta sistemi kriptografiċi moderni, bħall-algoritmu RSA. Il-problema ta 'fatturizzazzjoni sħiħa hija f'NP u f'CO-NP (u anke f'UP u CO-UP). Jekk il-problema hija kompluta NP, il-ġerarkija tal-ħin polinomjali se tiġġarraf għall-ewwel livell tagħha (i.e., NP se jkun indaqs ko-NP). L-aħjar algoritmu magħruf għall-fatturizzazzjoni sħiħa huwa l-passatur tal-qasam tan-numru ġenerali, li jieħu ż-żmien O (E (64/9) 1/3 (n.log 2) 1/3 (log (n.log 2)) 2/3) Biex tiffranka numru sħiħ ta 'n-bit. Madankollu, l-iktar algoritmu kwantistiku magħruf għal din il-problema, l-algoritmu ta 'Shor, jaħdem fi żmien polinomjali. Sfortunatament, dan il-fatt ma jgħidx ħafna dwar fejn tinsab il-problema fir-rigward ta 'klassijiet ta' kumplessità mhux kwanti.</v>
      </c>
    </row>
    <row r="23464" ht="15.75" customHeight="1">
      <c r="A23464" s="2" t="s">
        <v>23464</v>
      </c>
      <c r="B23464" s="2" t="str">
        <f>IFERROR(__xludf.DUMMYFUNCTION("GOOGLETRANSLATE(A23464, ""en"", ""mt"")"),"bħala irrazzjonali u lura")</f>
        <v>bħala irrazzjonali u lura</v>
      </c>
    </row>
    <row r="23465" ht="15.75" customHeight="1">
      <c r="A23465" s="2" t="s">
        <v>23465</v>
      </c>
      <c r="B23465" s="2" t="str">
        <f>IFERROR(__xludf.DUMMYFUNCTION("GOOGLETRANSLATE(A23465, ""en"", ""mt"")"),"Liema kulturi huma rappreżentati fil-kollezzjonijiet ta 'V&amp;A?")</f>
        <v>Liema kulturi huma rappreżentati fil-kollezzjonijiet ta 'V&amp;A?</v>
      </c>
    </row>
    <row r="23466" ht="15.75" customHeight="1">
      <c r="A23466" s="2" t="s">
        <v>23466</v>
      </c>
      <c r="B23466" s="2" t="str">
        <f>IFERROR(__xludf.DUMMYFUNCTION("GOOGLETRANSLATE(A23466, ""en"", ""mt"")"),"Jones et al. u Rikostruzzjonijiet ta 'Briffa")</f>
        <v>Jones et al. u Rikostruzzjonijiet ta 'Briffa</v>
      </c>
    </row>
    <row r="23467" ht="15.75" customHeight="1">
      <c r="A23467" s="2" t="s">
        <v>23467</v>
      </c>
      <c r="B23467" s="2" t="str">
        <f>IFERROR(__xludf.DUMMYFUNCTION("GOOGLETRANSLATE(A23467, ""en"", ""mt"")"),"X'numru l-Griegi bikrija ma kkunsidrawx bħala numru veru?")</f>
        <v>X'numru l-Griegi bikrija ma kkunsidrawx bħala numru veru?</v>
      </c>
    </row>
    <row r="23468" ht="15.75" customHeight="1">
      <c r="A23468" s="2" t="s">
        <v>23468</v>
      </c>
      <c r="B23468" s="2" t="str">
        <f>IFERROR(__xludf.DUMMYFUNCTION("GOOGLETRANSLATE(A23468, ""en"", ""mt"")"),"xandir")</f>
        <v>xandir</v>
      </c>
    </row>
    <row r="23469" ht="15.75" customHeight="1">
      <c r="A23469" s="2" t="s">
        <v>23469</v>
      </c>
      <c r="B23469" s="2" t="str">
        <f>IFERROR(__xludf.DUMMYFUNCTION("GOOGLETRANSLATE(A23469, ""en"", ""mt"")"),"X'għandu jistrieħ fuq il-kastig minflok f'soċjetà ġusta?")</f>
        <v>X'għandu jistrieħ fuq il-kastig minflok f'soċjetà ġusta?</v>
      </c>
    </row>
    <row r="23470" ht="15.75" customHeight="1">
      <c r="A23470" s="2" t="s">
        <v>23470</v>
      </c>
      <c r="B23470" s="2" t="str">
        <f>IFERROR(__xludf.DUMMYFUNCTION("GOOGLETRANSLATE(A23470, ""en"", ""mt"")"),"X'kienet miżjuda l-kontea l-aktar ġdida mal-lista?")</f>
        <v>X'kienet miżjuda l-kontea l-aktar ġdida mal-lista?</v>
      </c>
    </row>
    <row r="23471" ht="15.75" customHeight="1">
      <c r="A23471" s="2" t="s">
        <v>23471</v>
      </c>
      <c r="B23471" s="2" t="str">
        <f>IFERROR(__xludf.DUMMYFUNCTION("GOOGLETRANSLATE(A23471, ""en"", ""mt"")"),"Waqt li tipproduċi l-ossiġnu, liema gass jassorbi l-għarbiel taż-żeoliti?")</f>
        <v>Waqt li tipproduċi l-ossiġnu, liema gass jassorbi l-għarbiel taż-żeoliti?</v>
      </c>
    </row>
    <row r="23472" ht="15.75" customHeight="1">
      <c r="A23472" s="2" t="s">
        <v>23472</v>
      </c>
      <c r="B23472" s="2" t="str">
        <f>IFERROR(__xludf.DUMMYFUNCTION("GOOGLETRANSLATE(A23472, ""en"", ""mt"")"),"kamp manjetiku")</f>
        <v>kamp manjetiku</v>
      </c>
    </row>
    <row r="23473" ht="15.75" customHeight="1">
      <c r="A23473" s="2" t="s">
        <v>23473</v>
      </c>
      <c r="B23473" s="2" t="str">
        <f>IFERROR(__xludf.DUMMYFUNCTION("GOOGLETRANSLATE(A23473, ""en"", ""mt"")"),"L-intestatura tal-pakkett tista 'tkun żgħira, peress li teħtieġ biss li tinkludi dan il-kodiċi u kwalunkwe informazzjoni, bħal tul, timestamp, jew numru tas-sekwenza")</f>
        <v>L-intestatura tal-pakkett tista 'tkun żgħira, peress li teħtieġ biss li tinkludi dan il-kodiċi u kwalunkwe informazzjoni, bħal tul, timestamp, jew numru tas-sekwenza</v>
      </c>
    </row>
    <row r="23474" ht="15.75" customHeight="1">
      <c r="A23474" s="2" t="s">
        <v>23474</v>
      </c>
      <c r="B23474" s="2" t="str">
        <f>IFERROR(__xludf.DUMMYFUNCTION("GOOGLETRANSLATE(A23474, ""en"", ""mt"")"),"il-Pac-12")</f>
        <v>il-Pac-12</v>
      </c>
    </row>
    <row r="23475" ht="15.75" customHeight="1">
      <c r="A23475" s="2" t="s">
        <v>23475</v>
      </c>
      <c r="B23475" s="2" t="str">
        <f>IFERROR(__xludf.DUMMYFUNCTION("GOOGLETRANSLATE(A23475, ""en"", ""mt"")"),"Ir-Rumani żammew tmien leġjuni f’ħames bażijiet tul ir-Renu. In-numru attwali ta 'leġjuni preżenti fi kwalunkwe bażi jew b'kollox, kien jiddependi fuq jekk hemmx stat jew theddida ta' gwerra. Bejn madwar l-14 u l-180, l-assenjazzjoni ta 'leġjuni kienet ki"&amp;"f ġej: Għall-Armata ta' Germania inferjuri, żewġ leġjuni fil-Vetera (Xanten), I Germanica u XX Valeria (truppi Pannonian); Żewġ leġjuni f'Oppidum Ubiorum (""Belt ta 'l-Ubii""), li ġiet imsejħa mill-ġdid lil Colonia Agrippina, li tinżel għal Cologne, v Ala"&amp;"udae, leġjun Ċeltiku reklutat minn Gallia narbonensis u XXI, possibilment leġjun Galatian min-naħa l-oħra tal-imperu.")</f>
        <v>Ir-Rumani żammew tmien leġjuni f’ħames bażijiet tul ir-Renu. In-numru attwali ta 'leġjuni preżenti fi kwalunkwe bażi jew b'kollox, kien jiddependi fuq jekk hemmx stat jew theddida ta' gwerra. Bejn madwar l-14 u l-180, l-assenjazzjoni ta 'leġjuni kienet kif ġej: Għall-Armata ta' Germania inferjuri, żewġ leġjuni fil-Vetera (Xanten), I Germanica u XX Valeria (truppi Pannonian); Żewġ leġjuni f'Oppidum Ubiorum ("Belt ta 'l-Ubii"), li ġiet imsejħa mill-ġdid lil Colonia Agrippina, li tinżel għal Cologne, v Alaudae, leġjun Ċeltiku reklutat minn Gallia narbonensis u XXI, possibilment leġjun Galatian min-naħa l-oħra tal-imperu.</v>
      </c>
    </row>
    <row r="23476" ht="15.75" customHeight="1">
      <c r="A23476" s="2" t="s">
        <v>23476</v>
      </c>
      <c r="B23476" s="2" t="str">
        <f>IFERROR(__xludf.DUMMYFUNCTION("GOOGLETRANSLATE(A23476, ""en"", ""mt"")"),"pseudorandom")</f>
        <v>pseudorandom</v>
      </c>
    </row>
    <row r="23477" ht="15.75" customHeight="1">
      <c r="A23477" s="2" t="s">
        <v>23477</v>
      </c>
      <c r="B23477" s="2" t="str">
        <f>IFERROR(__xludf.DUMMYFUNCTION("GOOGLETRANSLATE(A23477, ""en"", ""mt"")"),"Florida")</f>
        <v>Florida</v>
      </c>
    </row>
    <row r="23478" ht="15.75" customHeight="1">
      <c r="A23478" s="2" t="s">
        <v>23478</v>
      </c>
      <c r="B23478" s="2" t="str">
        <f>IFERROR(__xludf.DUMMYFUNCTION("GOOGLETRANSLATE(A23478, ""en"", ""mt"")"),"L-istorja tal-magna tal-fwar tinfirex lura sa l-ewwel seklu WK; L-ewwel magna tal-fwar rudimentarja rreġistrata hija l-eolipile deskritta mill-eroj tal-matematiku Grieg ta ’Lixandra. Fis-sekli li ġejjin, il-ftit ""magni"" li jaħdmu bil-fwar kienu magħrufa"&amp;", bħall-apparat ta 'l-eolipile, essenzjalment sperimentali użati mill-inventuri biex juru l-proprjetajiet tal-fwar. Apparat rudimentarju tat-turbina tal-fwar ġie deskritt minn Taqi al-Din fl-1551 u minn Giovanni Branca fl-1629. Jerónimo de Ayanz y Beaumon"&amp;"t irċieva privattivi fl-1606 għal ħamsin invenzjonijiet li jaħdmu bil-fwar, inkluża pompa tal-ilma biex tixxotta l-minjieri inundati. Denis Papin, refuġjat Huguenot, għamel xi xogħol utli fuq il-fwar diġestur fl-1679, u l-ewwel uża pistun biex jgħolli l-p"&amp;"iżijiet fl-1690.")</f>
        <v>L-istorja tal-magna tal-fwar tinfirex lura sa l-ewwel seklu WK; L-ewwel magna tal-fwar rudimentarja rreġistrata hija l-eolipile deskritta mill-eroj tal-matematiku Grieg ta ’Lixandra. Fis-sekli li ġejjin, il-ftit "magni" li jaħdmu bil-fwar kienu magħrufa, bħall-apparat ta 'l-eolipile, essenzjalment sperimentali użati mill-inventuri biex juru l-proprjetajiet tal-fwar. Apparat rudimentarju tat-turbina tal-fwar ġie deskritt minn Taqi al-Din fl-1551 u minn Giovanni Branca fl-1629. Jerónimo de Ayanz y Beaumont irċieva privattivi fl-1606 għal ħamsin invenzjonijiet li jaħdmu bil-fwar, inkluża pompa tal-ilma biex tixxotta l-minjieri inundati. Denis Papin, refuġjat Huguenot, għamel xi xogħol utli fuq il-fwar diġestur fl-1679, u l-ewwel uża pistun biex jgħolli l-piżijiet fl-1690.</v>
      </c>
    </row>
    <row r="23479" ht="15.75" customHeight="1">
      <c r="A23479" s="2" t="s">
        <v>23479</v>
      </c>
      <c r="B23479" s="2" t="str">
        <f>IFERROR(__xludf.DUMMYFUNCTION("GOOGLETRANSLATE(A23479, ""en"", ""mt"")"),"1518")</f>
        <v>1518</v>
      </c>
    </row>
    <row r="23480" ht="15.75" customHeight="1">
      <c r="A23480" s="2" t="s">
        <v>23480</v>
      </c>
      <c r="B23480" s="2" t="str">
        <f>IFERROR(__xludf.DUMMYFUNCTION("GOOGLETRANSLATE(A23480, ""en"", ""mt"")"),"Il-Knisja Metodista Magħquda, flimkien ma 'knejjes Metodisti oħra, tikkundanna l-piena kapitali, u tgħid li ma tistax taċċetta ritribuzzjoni jew vendetta soċjali bħala raġuni biex tieħu l-ħajja tal-bniedem. Il-knisja tgħid ukoll li l-piena tal-mewt taqa '"&amp;"b'mod inġust u mhux ugwali fuq persuni emarġinati inklużi l-foqra, il-minoranzi mhux edukati, etniċi u reliġjużi, u persuni b'mard mentali u emozzjonali. Il-Knisja Metodista Magħquda temmen ukoll li Ġesù rrifjuta b’mod espliċitu l-Lex Talionis f’Mattew 5:"&amp;" 38-39 u abolixxa l-piena tal-mewt fi Ġwanni 8: 7. Il-Konferenza Ġenerali tal-Knisja Metodista Magħquda titlob li l-isqfijiet tagħha jżommu l-oppożizzjoni għall-piena kapitali u biex il-gvernijiet jippromulgaw moratorju immedjat fit-twettiq tas-sentenza t"&amp;"al-piena tal-mewt.")</f>
        <v>Il-Knisja Metodista Magħquda, flimkien ma 'knejjes Metodisti oħra, tikkundanna l-piena kapitali, u tgħid li ma tistax taċċetta ritribuzzjoni jew vendetta soċjali bħala raġuni biex tieħu l-ħajja tal-bniedem. Il-knisja tgħid ukoll li l-piena tal-mewt taqa 'b'mod inġust u mhux ugwali fuq persuni emarġinati inklużi l-foqra, il-minoranzi mhux edukati, etniċi u reliġjużi, u persuni b'mard mentali u emozzjonali. Il-Knisja Metodista Magħquda temmen ukoll li Ġesù rrifjuta b’mod espliċitu l-Lex Talionis f’Mattew 5: 38-39 u abolixxa l-piena tal-mewt fi Ġwanni 8: 7. Il-Konferenza Ġenerali tal-Knisja Metodista Magħquda titlob li l-isqfijiet tagħha jżommu l-oppożizzjoni għall-piena kapitali u biex il-gvernijiet jippromulgaw moratorju immedjat fit-twettiq tas-sentenza tal-piena tal-mewt.</v>
      </c>
    </row>
    <row r="23481" ht="15.75" customHeight="1">
      <c r="A23481" s="2" t="s">
        <v>23481</v>
      </c>
      <c r="B23481" s="2" t="str">
        <f>IFERROR(__xludf.DUMMYFUNCTION("GOOGLETRANSLATE(A23481, ""en"", ""mt"")"),"Liema karta hija komunement ikkunsidrata bħala l-bellwether li joħroġ fi studji sistematiċi kumplessità tal-komputazzjoni?")</f>
        <v>Liema karta hija komunement ikkunsidrata bħala l-bellwether li joħroġ fi studji sistematiċi kumplessità tal-komputazzjoni?</v>
      </c>
    </row>
    <row r="23482" ht="15.75" customHeight="1">
      <c r="A23482" s="2" t="s">
        <v>23482</v>
      </c>
      <c r="B23482" s="2" t="str">
        <f>IFERROR(__xludf.DUMMYFUNCTION("GOOGLETRANSLATE(A23482, ""en"", ""mt"")"),"X'inhu l-isem għal O3 l-iktar spiss użat?")</f>
        <v>X'inhu l-isem għal O3 l-iktar spiss użat?</v>
      </c>
    </row>
    <row r="23483" ht="15.75" customHeight="1">
      <c r="A23483" s="2" t="s">
        <v>23483</v>
      </c>
      <c r="B23483" s="2" t="str">
        <f>IFERROR(__xludf.DUMMYFUNCTION("GOOGLETRANSLATE(A23483, ""en"", ""mt"")"),"Mużew Horniman")</f>
        <v>Mużew Horniman</v>
      </c>
    </row>
    <row r="23484" ht="15.75" customHeight="1">
      <c r="A23484" s="2" t="s">
        <v>23484</v>
      </c>
      <c r="B23484" s="2" t="str">
        <f>IFERROR(__xludf.DUMMYFUNCTION("GOOGLETRANSLATE(A23484, ""en"", ""mt"")"),"Tqabbil abjad")</f>
        <v>Tqabbil abjad</v>
      </c>
    </row>
    <row r="23485" ht="15.75" customHeight="1">
      <c r="A23485" s="2" t="s">
        <v>23485</v>
      </c>
      <c r="B23485" s="2" t="str">
        <f>IFERROR(__xludf.DUMMYFUNCTION("GOOGLETRANSLATE(A23485, ""en"", ""mt"")"),"L-astronawti Apollo ġew magħżula mill-proġett Mercury u Gemini Veterans, flimkien ma 'żewġ gruppi ta' astronawti aktar tard. Il-missjonijiet kollha ġew ikkmandati minn Gemini jew Veterani tal-Merkurju. Ekwipaġġi fuq it-titjiriet kollha ta 'żvilupp (minbar"&amp;"ra t-titjiriet ta' żvilupp CSM Orbit tad-Dinja) permezz tal-ewwel żewġ inżul fuq Apollo 11 u Apollo 12, inkludew mill-inqas żewġ (xi kultant tliet) veterani tal-Gemini. Dr Harrison Schmitt, ġeologu, kien l-ewwel astronawt xjentist tan-NASA li ttir fl-ispa"&amp;"zju, u żbarka fuq il-qamar fl-aħħar missjoni, Apollo 17. Schmitt ipparteċipa fit-taħriġ tal-ġeoloġija lunari tal-ekwipaġġi kollha tal-inżul ta 'Apollo.")</f>
        <v>L-astronawti Apollo ġew magħżula mill-proġett Mercury u Gemini Veterans, flimkien ma 'żewġ gruppi ta' astronawti aktar tard. Il-missjonijiet kollha ġew ikkmandati minn Gemini jew Veterani tal-Merkurju. Ekwipaġġi fuq it-titjiriet kollha ta 'żvilupp (minbarra t-titjiriet ta' żvilupp CSM Orbit tad-Dinja) permezz tal-ewwel żewġ inżul fuq Apollo 11 u Apollo 12, inkludew mill-inqas żewġ (xi kultant tliet) veterani tal-Gemini. Dr Harrison Schmitt, ġeologu, kien l-ewwel astronawt xjentist tan-NASA li ttir fl-ispazju, u żbarka fuq il-qamar fl-aħħar missjoni, Apollo 17. Schmitt ipparteċipa fit-taħriġ tal-ġeoloġija lunari tal-ekwipaġġi kollha tal-inżul ta 'Apollo.</v>
      </c>
    </row>
    <row r="23486" ht="15.75" customHeight="1">
      <c r="A23486" s="2" t="s">
        <v>23486</v>
      </c>
      <c r="B23486" s="2" t="str">
        <f>IFERROR(__xludf.DUMMYFUNCTION("GOOGLETRANSLATE(A23486, ""en"", ""mt"")"),"L-awtorità aħħarija tal-istati membri, l-impenn fattwali tagħha għad-drittijiet tal-bniedem, u r-rieda demokratika tal-poplu.")</f>
        <v>L-awtorità aħħarija tal-istati membri, l-impenn fattwali tagħha għad-drittijiet tal-bniedem, u r-rieda demokratika tal-poplu.</v>
      </c>
    </row>
    <row r="23487" ht="15.75" customHeight="1">
      <c r="A23487" s="2" t="s">
        <v>23487</v>
      </c>
      <c r="B23487" s="2" t="str">
        <f>IFERROR(__xludf.DUMMYFUNCTION("GOOGLETRANSLATE(A23487, ""en"", ""mt"")"),"X'tip ta 'foresta hija l-foresta tropikali tal-Amażonja?")</f>
        <v>X'tip ta 'foresta hija l-foresta tropikali tal-Amażonja?</v>
      </c>
    </row>
    <row r="23488" ht="15.75" customHeight="1">
      <c r="A23488" s="2" t="s">
        <v>23488</v>
      </c>
      <c r="B23488" s="2" t="str">
        <f>IFERROR(__xludf.DUMMYFUNCTION("GOOGLETRANSLATE(A23488, ""en"", ""mt"")"),"semantika")</f>
        <v>semantika</v>
      </c>
    </row>
    <row r="23489" ht="15.75" customHeight="1">
      <c r="A23489" s="2" t="s">
        <v>23489</v>
      </c>
      <c r="B23489" s="2" t="str">
        <f>IFERROR(__xludf.DUMMYFUNCTION("GOOGLETRANSLATE(A23489, ""en"", ""mt"")"),"Liema tipi ta 'pompi huma tipikament użati fil-bojlers industrijali?")</f>
        <v>Liema tipi ta 'pompi huma tipikament użati fil-bojlers industrijali?</v>
      </c>
    </row>
    <row r="23490" ht="15.75" customHeight="1">
      <c r="A23490" s="2" t="s">
        <v>23490</v>
      </c>
      <c r="B23490" s="2" t="str">
        <f>IFERROR(__xludf.DUMMYFUNCTION("GOOGLETRANSLATE(A23490, ""en"", ""mt"")"),"Preżentazzjoni tal-antiġen")</f>
        <v>Preżentazzjoni tal-antiġen</v>
      </c>
    </row>
    <row r="23491" ht="15.75" customHeight="1">
      <c r="A23491" s="2" t="s">
        <v>23491</v>
      </c>
      <c r="B23491" s="2" t="str">
        <f>IFERROR(__xludf.DUMMYFUNCTION("GOOGLETRANSLATE(A23491, ""en"", ""mt"")"),"X'ġara lill-Kumpanija tal-Kummerċ tal-Indja tal-Lvant fl-1767?")</f>
        <v>X'ġara lill-Kumpanija tal-Kummerċ tal-Indja tal-Lvant fl-1767?</v>
      </c>
    </row>
    <row r="23492" ht="15.75" customHeight="1">
      <c r="A23492" s="2" t="s">
        <v>23492</v>
      </c>
      <c r="B23492" s="2" t="str">
        <f>IFERROR(__xludf.DUMMYFUNCTION("GOOGLETRANSLATE(A23492, ""en"", ""mt"")"),"X'inhu t-tieni l-iktar element abbundanti?")</f>
        <v>X'inhu t-tieni l-iktar element abbundanti?</v>
      </c>
    </row>
    <row r="23493" ht="15.75" customHeight="1">
      <c r="A23493" s="2" t="s">
        <v>23493</v>
      </c>
      <c r="B23493" s="2" t="str">
        <f>IFERROR(__xludf.DUMMYFUNCTION("GOOGLETRANSLATE(A23493, ""en"", ""mt"")"),"Liema pożizzjoni kellha Rivera fis-Super Bowl XX?")</f>
        <v>Liema pożizzjoni kellha Rivera fis-Super Bowl XX?</v>
      </c>
    </row>
    <row r="23494" ht="15.75" customHeight="1">
      <c r="A23494" s="2" t="s">
        <v>23494</v>
      </c>
      <c r="B23494" s="2" t="str">
        <f>IFERROR(__xludf.DUMMYFUNCTION("GOOGLETRANSLATE(A23494, ""en"", ""mt"")"),"Liema nuqqas ta 'qbil kellhom Montcalm u l-Indjani?")</f>
        <v>Liema nuqqas ta 'qbil kellhom Montcalm u l-Indjani?</v>
      </c>
    </row>
    <row r="23495" ht="15.75" customHeight="1">
      <c r="A23495" s="2" t="s">
        <v>23495</v>
      </c>
      <c r="B23495" s="2" t="str">
        <f>IFERROR(__xludf.DUMMYFUNCTION("GOOGLETRANSLATE(A23495, ""en"", ""mt"")"),"821.784")</f>
        <v>821.784</v>
      </c>
    </row>
    <row r="23496" ht="15.75" customHeight="1">
      <c r="A23496" s="2" t="s">
        <v>23496</v>
      </c>
      <c r="B23496" s="2" t="str">
        <f>IFERROR(__xludf.DUMMYFUNCTION("GOOGLETRANSLATE(A23496, ""en"", ""mt"")"),"L-Unjoni Nazzjonali Afrikana tal-Kenja (Kanu) ta 'Jomo Kenyatta")</f>
        <v>L-Unjoni Nazzjonali Afrikana tal-Kenja (Kanu) ta 'Jomo Kenyatta</v>
      </c>
    </row>
    <row r="23497" ht="15.75" customHeight="1">
      <c r="A23497" s="2" t="s">
        <v>23497</v>
      </c>
      <c r="B23497" s="2" t="str">
        <f>IFERROR(__xludf.DUMMYFUNCTION("GOOGLETRANSLATE(A23497, ""en"", ""mt"")"),"7,000")</f>
        <v>7,000</v>
      </c>
    </row>
    <row r="23498" ht="15.75" customHeight="1">
      <c r="A23498" s="2" t="s">
        <v>23498</v>
      </c>
      <c r="B23498" s="2" t="str">
        <f>IFERROR(__xludf.DUMMYFUNCTION("GOOGLETRANSLATE(A23498, ""en"", ""mt"")"),"Primes Fermat")</f>
        <v>Primes Fermat</v>
      </c>
    </row>
    <row r="23499" ht="15.75" customHeight="1">
      <c r="A23499" s="2" t="s">
        <v>23499</v>
      </c>
      <c r="B23499" s="2" t="str">
        <f>IFERROR(__xludf.DUMMYFUNCTION("GOOGLETRANSLATE(A23499, ""en"", ""mt"")"),"Liema perit femminili waħdu elenkat hawn fuq huwa rrappreżentat fil-kollezzjoni?")</f>
        <v>Liema perit femminili waħdu elenkat hawn fuq huwa rrappreżentat fil-kollezzjoni?</v>
      </c>
    </row>
    <row r="23500" ht="15.75" customHeight="1">
      <c r="A23500" s="2" t="s">
        <v>23500</v>
      </c>
      <c r="B23500" s="2" t="str">
        <f>IFERROR(__xludf.DUMMYFUNCTION("GOOGLETRANSLATE(A23500, ""en"", ""mt"")"),"18-il miljun volum")</f>
        <v>18-il miljun volum</v>
      </c>
    </row>
    <row r="23501" ht="15.75" customHeight="1">
      <c r="A23501" s="2" t="s">
        <v>23501</v>
      </c>
      <c r="B23501" s="2" t="str">
        <f>IFERROR(__xludf.DUMMYFUNCTION("GOOGLETRANSLATE(A23501, ""en"", ""mt"")"),"Regolamenti finanzjarji u regoli tal-WMO")</f>
        <v>Regolamenti finanzjarji u regoli tal-WMO</v>
      </c>
    </row>
    <row r="23502" ht="15.75" customHeight="1">
      <c r="A23502" s="2" t="s">
        <v>23502</v>
      </c>
      <c r="B23502" s="2" t="str">
        <f>IFERROR(__xludf.DUMMYFUNCTION("GOOGLETRANSLATE(A23502, ""en"", ""mt"")"),"F'liema rriżultaw it-tliet drives li ġejjin?")</f>
        <v>F'liema rriżultaw it-tliet drives li ġejjin?</v>
      </c>
    </row>
    <row r="23503" ht="15.75" customHeight="1">
      <c r="A23503" s="2" t="s">
        <v>23503</v>
      </c>
      <c r="B23503" s="2" t="str">
        <f>IFERROR(__xludf.DUMMYFUNCTION("GOOGLETRANSLATE(A23503, ""en"", ""mt"")"),"X'inhu mod wieħed kif jistgħu jiġu kkodifikati graffs?")</f>
        <v>X'inhu mod wieħed kif jistgħu jiġu kkodifikati graffs?</v>
      </c>
    </row>
    <row r="23504" ht="15.75" customHeight="1">
      <c r="A23504" s="2" t="s">
        <v>23504</v>
      </c>
      <c r="B23504" s="2" t="str">
        <f>IFERROR(__xludf.DUMMYFUNCTION("GOOGLETRANSLATE(A23504, ""en"", ""mt"")"),"Il-patoġeni jistgħu jevolvu malajr u jadattaw")</f>
        <v>Il-patoġeni jistgħu jevolvu malajr u jadattaw</v>
      </c>
    </row>
    <row r="23505" ht="15.75" customHeight="1">
      <c r="A23505" s="2" t="s">
        <v>23505</v>
      </c>
      <c r="B23505" s="2" t="str">
        <f>IFERROR(__xludf.DUMMYFUNCTION("GOOGLETRANSLATE(A23505, ""en"", ""mt"")"),"Baran żviluppa l-kunċett ta 'blokka ta' messaġġi adattivi distribwiti waqt ir-riċerka tiegħu fil-Korporazzjoni RAND għall-Forza tal-Ajru tal-Istati Uniti f'netwerks ta 'komunikazzjonijiet sopraviventi, ippreżentat għall-ewwel darba lill-Forza tal-Ajru fis"&amp;"-sajf tal-1961 bħala Briefing B-265, aktar tard ippubblikat bħala RAND RAPPORT -2626 fl-1962, u finalment fir-Rapport RM 3420 fl-1964. Ir-rapport P-2626 iddeskriva arkitettura ġenerali għal netwerk ta 'komunikazzjoni fuq skala kbira, imqassma u li jista' "&amp;"jibqa '. Ix-xogħol jiffoka fuq tliet ideat ewlenin: l-użu ta 'netwerk deċentralizzat b'ħafna mogħdijiet bejn kwalunkwe żewġ punti, li jaqsmu messaġġi ta' l-utent fi blokki ta 'messaġġi, aktar tard imsejħa pakketti, u konsenja ta' dawn il-messaġġi bil-maħż"&amp;"en u l-iswiċċjar 'il quddiem.")</f>
        <v>Baran żviluppa l-kunċett ta 'blokka ta' messaġġi adattivi distribwiti waqt ir-riċerka tiegħu fil-Korporazzjoni RAND għall-Forza tal-Ajru tal-Istati Uniti f'netwerks ta 'komunikazzjonijiet sopraviventi, ippreżentat għall-ewwel darba lill-Forza tal-Ajru fis-sajf tal-1961 bħala Briefing B-265, aktar tard ippubblikat bħala RAND RAPPORT -2626 fl-1962, u finalment fir-Rapport RM 3420 fl-1964. Ir-rapport P-2626 iddeskriva arkitettura ġenerali għal netwerk ta 'komunikazzjoni fuq skala kbira, imqassma u li jista' jibqa '. Ix-xogħol jiffoka fuq tliet ideat ewlenin: l-użu ta 'netwerk deċentralizzat b'ħafna mogħdijiet bejn kwalunkwe żewġ punti, li jaqsmu messaġġi ta' l-utent fi blokki ta 'messaġġi, aktar tard imsejħa pakketti, u konsenja ta' dawn il-messaġġi bil-maħżen u l-iswiċċjar 'il quddiem.</v>
      </c>
    </row>
    <row r="23506" ht="15.75" customHeight="1">
      <c r="A23506" s="2" t="s">
        <v>23506</v>
      </c>
      <c r="B23506" s="2" t="str">
        <f>IFERROR(__xludf.DUMMYFUNCTION("GOOGLETRANSLATE(A23506, ""en"", ""mt"")"),"L-ispeċjalitajiet 2008-2010")</f>
        <v>L-ispeċjalitajiet 2008-2010</v>
      </c>
    </row>
    <row r="23507" ht="15.75" customHeight="1">
      <c r="A23507" s="2" t="s">
        <v>23507</v>
      </c>
      <c r="B23507" s="2" t="str">
        <f>IFERROR(__xludf.DUMMYFUNCTION("GOOGLETRANSLATE(A23507, ""en"", ""mt"")"),"X'tip ta 'azzjonijiet jittieħdu kultant fid-diżubbidjenza ċivili?")</f>
        <v>X'tip ta 'azzjonijiet jittieħdu kultant fid-diżubbidjenza ċivili?</v>
      </c>
    </row>
    <row r="23508" ht="15.75" customHeight="1">
      <c r="A23508" s="2" t="s">
        <v>23508</v>
      </c>
      <c r="B23508" s="2" t="str">
        <f>IFERROR(__xludf.DUMMYFUNCTION("GOOGLETRANSLATE(A23508, ""en"", ""mt"")"),"X'indika l-analiżi mid-depożiti tas-sedimenti?")</f>
        <v>X'indika l-analiżi mid-depożiti tas-sedimenti?</v>
      </c>
    </row>
    <row r="23509" ht="15.75" customHeight="1">
      <c r="A23509" s="2" t="s">
        <v>23509</v>
      </c>
      <c r="B23509" s="2" t="str">
        <f>IFERROR(__xludf.DUMMYFUNCTION("GOOGLETRANSLATE(A23509, ""en"", ""mt"")"),"It-temperaturi żdiedu fuq il-bażi ta 'evidenza dokumentarja ta' vinji medjevali fl-Ingilterra")</f>
        <v>It-temperaturi żdiedu fuq il-bażi ta 'evidenza dokumentarja ta' vinji medjevali fl-Ingilterra</v>
      </c>
    </row>
    <row r="23510" ht="15.75" customHeight="1">
      <c r="A23510" s="2" t="s">
        <v>23510</v>
      </c>
      <c r="B23510" s="2" t="str">
        <f>IFERROR(__xludf.DUMMYFUNCTION("GOOGLETRANSLATE(A23510, ""en"", ""mt"")"),"Fil-Filippini, is-settur privat kien fornitur ewlieni ta ’servizzi edukattivi, li jammonta għal madwar 7.5% tal-iskrizzjoni primarja, 32% tal-iskrizzjoni sekondarja u madwar 80% tal-iskrizzjoni terzjarja. L-iskejjel privati ​​wrew li huma effiċjenti fl-uż"&amp;"u tar-riżorsi. Għal kull unità ta 'spejjeż fi skejjel privati ​​huma ġeneralment aktar baxxi meta mqabbla ma' skejjel pubbliċi. Din is-sitwazzjoni hija iktar evidenti fil-livell terzjarju. Ir-regolamenti tal-Gvern taw lill-edukazzjoni privata aktar flessi"&amp;"bilità u awtonomija f'dawn l-aħħar snin, l-aktar billi jneħħu l-moratorju fuq applikazzjonijiet għal korsijiet ġodda, skejjel ġodda u konverżjonijiet, billi liberalizzaw il-politika ta 'miżata ta' tagħlim għal skejjel privati, billi ħadu post l-edukazzjon"&amp;"i tal-valuri għat-tielet u r-raba 'snin bl-Ingliż , il-matematika u x-xjenza naturali fl-għażla tal-iskola, u billi joħorġu l-manwal rivedut tar-regolamenti għal skejjel privati ​​f'Awwissu 1992.")</f>
        <v>Fil-Filippini, is-settur privat kien fornitur ewlieni ta ’servizzi edukattivi, li jammonta għal madwar 7.5% tal-iskrizzjoni primarja, 32% tal-iskrizzjoni sekondarja u madwar 80% tal-iskrizzjoni terzjarja. L-iskejjel privati ​​wrew li huma effiċjenti fl-użu tar-riżorsi. Għal kull unità ta 'spejjeż fi skejjel privati ​​huma ġeneralment aktar baxxi meta mqabbla ma' skejjel pubbliċi. Din is-sitwazzjoni hija iktar evidenti fil-livell terzjarju. Ir-regolamenti tal-Gvern taw lill-edukazzjoni privata aktar flessibilità u awtonomija f'dawn l-aħħar snin, l-aktar billi jneħħu l-moratorju fuq applikazzjonijiet għal korsijiet ġodda, skejjel ġodda u konverżjonijiet, billi liberalizzaw il-politika ta 'miżata ta' tagħlim għal skejjel privati, billi ħadu post l-edukazzjoni tal-valuri għat-tielet u r-raba 'snin bl-Ingliż , il-matematika u x-xjenza naturali fl-għażla tal-iskola, u billi joħorġu l-manwal rivedut tar-regolamenti għal skejjel privati ​​f'Awwissu 1992.</v>
      </c>
    </row>
    <row r="23511" ht="15.75" customHeight="1">
      <c r="A23511" s="2" t="s">
        <v>23511</v>
      </c>
      <c r="B23511" s="2" t="str">
        <f>IFERROR(__xludf.DUMMYFUNCTION("GOOGLETRANSLATE(A23511, ""en"", ""mt"")"),"Liema isem jingħata lil xi numru ewlieni akbar minn 2?")</f>
        <v>Liema isem jingħata lil xi numru ewlieni akbar minn 2?</v>
      </c>
    </row>
    <row r="23512" ht="15.75" customHeight="1">
      <c r="A23512" s="2" t="s">
        <v>23512</v>
      </c>
      <c r="B23512" s="2" t="str">
        <f>IFERROR(__xludf.DUMMYFUNCTION("GOOGLETRANSLATE(A23512, ""en"", ""mt"")"),"Ikkonverti")</f>
        <v>Ikkonverti</v>
      </c>
    </row>
    <row r="23513" ht="15.75" customHeight="1">
      <c r="A23513" s="2" t="s">
        <v>23513</v>
      </c>
      <c r="B23513" s="2" t="str">
        <f>IFERROR(__xludf.DUMMYFUNCTION("GOOGLETRANSLATE(A23513, ""en"", ""mt"")"),"Wara l-qawmien mill-ġdid tas-serje fl-2005")</f>
        <v>Wara l-qawmien mill-ġdid tas-serje fl-2005</v>
      </c>
    </row>
    <row r="23514" ht="15.75" customHeight="1">
      <c r="A23514" s="2" t="s">
        <v>23514</v>
      </c>
      <c r="B23514" s="2" t="str">
        <f>IFERROR(__xludf.DUMMYFUNCTION("GOOGLETRANSLATE(A23514, ""en"", ""mt"")"),"Telespettaturi tad-dar li għamlu reġistrazzjonijiet tat-tejp")</f>
        <v>Telespettaturi tad-dar li għamlu reġistrazzjonijiet tat-tejp</v>
      </c>
    </row>
    <row r="23515" ht="15.75" customHeight="1">
      <c r="A23515" s="2" t="s">
        <v>23515</v>
      </c>
      <c r="B23515" s="2" t="str">
        <f>IFERROR(__xludf.DUMMYFUNCTION("GOOGLETRANSLATE(A23515, ""en"", ""mt"")"),"X’forma Luther fl-1525 sal-1529?")</f>
        <v>X’forma Luther fl-1525 sal-1529?</v>
      </c>
    </row>
    <row r="23516" ht="15.75" customHeight="1">
      <c r="A23516" s="2" t="s">
        <v>23516</v>
      </c>
      <c r="B23516" s="2" t="str">
        <f>IFERROR(__xludf.DUMMYFUNCTION("GOOGLETRANSLATE(A23516, ""en"", ""mt"")"),"Ir-Reġistru tal-Oqsma tas-Sess")</f>
        <v>Ir-Reġistru tal-Oqsma tas-Sess</v>
      </c>
    </row>
    <row r="23517" ht="15.75" customHeight="1">
      <c r="A23517" s="2" t="s">
        <v>23517</v>
      </c>
      <c r="B23517" s="2" t="str">
        <f>IFERROR(__xludf.DUMMYFUNCTION("GOOGLETRANSLATE(A23517, ""en"", ""mt"")"),"X'inhu d-dmir ewlieni tal-GPHC?")</f>
        <v>X'inhu d-dmir ewlieni tal-GPHC?</v>
      </c>
    </row>
    <row r="23518" ht="15.75" customHeight="1">
      <c r="A23518" s="2" t="s">
        <v>23518</v>
      </c>
      <c r="B23518" s="2" t="str">
        <f>IFERROR(__xludf.DUMMYFUNCTION("GOOGLETRANSLATE(A23518, ""en"", ""mt"")"),"Għalkemm huwa ġeneralment aċċettat li l-liġi tal-UE għandha l-preminenza, mhux il-liġijiet kollha tal-UE jagħtu liċ-ċittadini biex iġibu talbiet: jiġifieri, mhux il-liġijiet kollha tal-UE għandhom ""effett dirett"". Fil-Van Gend en Loos vs Nederlandse Amm"&amp;"inistratie der Belastingen Ġie kkonstatat li d-dispożizzjonijiet tat-trattati (u r-regolamenti tal-UE) huma direttament effettivi, jekk huma (1) ċari u mhux ambigwi (2) inkondizzjonati, u (3) ma kellhomx bżonn l-UE jew awtoritajiet nazzjonali biex jieħdu "&amp;"aktar azzjoni biex jimplimentawhom. Van Gend En Loos, kumpanija postali, sostniet li dak li issa huwa l-Artikolu 30 TFEU evitat lill-awtoritajiet tad-dwana Olandiżi jiċċarġjaw tariffi, meta importaw il-plastik tal-urea-formaldehyde mill-Ġermanja għall-Ola"&amp;"nda. Wara li qorti Olandiża għamlet referenza, il-Qorti tal-Ġustizzja ddeċidiet li minkejja li t-trattati ma ""espressament"" jagħtu dritt liċ-ċittadini jew kumpaniji biex iġibu talbiet, huma jistgħu jagħmlu dan. Storikament, it-trattati internazzjonali k"&amp;"ienu ppermettew biss lill-istati biex ikollhom talbiet legali għall-infurzar tagħhom, iżda l-Qorti tal-Ġustizzja pproklamat ""il-komunità tikkostitwixxi ordni legali ġdida tal-liġi internazzjonali"". Minħabba li l-Artikolu 30 b'mod ċar, mingħajr kundizzjo"&amp;"ni u immedjatament iddikjara li l-ebda restrizzjoni kwantitattiva ma tista 'titpoġġa fuq il-kummerċ, mingħajr ġustifikazzjoni tajba, van gend en loos jista' jirkupra l-flus li ħallas għat-tariffa. Ir-regolamenti tal-UE huma l-istess bħad-dispożizzjonijiet"&amp;" tat-trattati f'dan is-sens, għaliex kif l-Artikolu 288 TFEU jiddikjara, huma ""applikabbli direttament fl-Istati Membri kollha"". Barra minn hekk, l-Istati Membri jaqgħu taħt id-dmir li ma jirreplikawx ir-regolamenti fil-liġi tagħhom stess, sabiex jevita"&amp;"w konfużjoni. Pereżempju, fil-Kummissjoni v l-Italja l-Qorti tal-Ġustizzja ddeċidiet li l-Italja kisret dmir taħt it-trattati, kemm billi naqset milli topera skema biex tħallas il-bdiewa primjum biex toqtol il-baqar (biex tnaqqas il-produzzjoni żejda tal-"&amp;"ħalib), u billi tirriproduċi r-regoli fi Digriet b'diversi żidiet. ""Regolamenti,"" żammew il-Qorti tal-Ġustizzja, ""jidħlu fis-seħħ biss bis-saħħa tal-pubblikazzjoni tagħhom"" u l-implimentazzjoni jista 'jkollha l-effett li ""tipperikola l-applikazzjoni "&amp;"simultanja u uniformi tagħhom fl-Unjoni kollha."" Min-naħa l-oħra, xi regolamenti jistgħu huma stess jeħtieġu espressament miżuri ta 'implimentazzjoni, f'liema każ għandhom jiġu segwiti dawk ir-regoli speċifiċi.")</f>
        <v>Għalkemm huwa ġeneralment aċċettat li l-liġi tal-UE għandha l-preminenza, mhux il-liġijiet kollha tal-UE jagħtu liċ-ċittadini biex iġibu talbiet: jiġifieri, mhux il-liġijiet kollha tal-UE għandhom "effett dirett". Fil-Van Gend en Loos vs Nederlandse Amministratie der Belastingen Ġie kkonstatat li d-dispożizzjonijiet tat-trattati (u r-regolamenti tal-UE) huma direttament effettivi, jekk huma (1) ċari u mhux ambigwi (2) inkondizzjonati, u (3) ma kellhomx bżonn l-UE jew awtoritajiet nazzjonali biex jieħdu aktar azzjoni biex jimplimentawhom. Van Gend En Loos, kumpanija postali, sostniet li dak li issa huwa l-Artikolu 30 TFEU evitat lill-awtoritajiet tad-dwana Olandiżi jiċċarġjaw tariffi, meta importaw il-plastik tal-urea-formaldehyde mill-Ġermanja għall-Olanda. Wara li qorti Olandiża għamlet referenza, il-Qorti tal-Ġustizzja ddeċidiet li minkejja li t-trattati ma "espressament" jagħtu dritt liċ-ċittadini jew kumpaniji biex iġibu talbiet, huma jistgħu jagħmlu dan. Storikament, it-trattati internazzjonali kienu ppermettew biss lill-istati biex ikollhom talbiet legali għall-infurzar tagħhom, iżda l-Qorti tal-Ġustizzja pproklamat "il-komunità tikkostitwixxi ordni legali ġdida tal-liġi internazzjonali". Minħabba li l-Artikolu 30 b'mod ċar, mingħajr kundizzjoni u immedjatament iddikjara li l-ebda restrizzjoni kwantitattiva ma tista 'titpoġġa fuq il-kummerċ, mingħajr ġustifikazzjoni tajba, van gend en loos jista' jirkupra l-flus li ħallas għat-tariffa. Ir-regolamenti tal-UE huma l-istess bħad-dispożizzjonijiet tat-trattati f'dan is-sens, għaliex kif l-Artikolu 288 TFEU jiddikjara, huma "applikabbli direttament fl-Istati Membri kollha". Barra minn hekk, l-Istati Membri jaqgħu taħt id-dmir li ma jirreplikawx ir-regolamenti fil-liġi tagħhom stess, sabiex jevitaw konfużjoni. Pereżempju, fil-Kummissjoni v l-Italja l-Qorti tal-Ġustizzja ddeċidiet li l-Italja kisret dmir taħt it-trattati, kemm billi naqset milli topera skema biex tħallas il-bdiewa primjum biex toqtol il-baqar (biex tnaqqas il-produzzjoni żejda tal-ħalib), u billi tirriproduċi r-regoli fi Digriet b'diversi żidiet. "Regolamenti," żammew il-Qorti tal-Ġustizzja, "jidħlu fis-seħħ biss bis-saħħa tal-pubblikazzjoni tagħhom" u l-implimentazzjoni jista 'jkollha l-effett li "tipperikola l-applikazzjoni simultanja u uniformi tagħhom fl-Unjoni kollha." Min-naħa l-oħra, xi regolamenti jistgħu huma stess jeħtieġu espressament miżuri ta 'implimentazzjoni, f'liema każ għandhom jiġu segwiti dawk ir-regoli speċifiċi.</v>
      </c>
    </row>
    <row r="23519" ht="15.75" customHeight="1">
      <c r="A23519" s="2" t="s">
        <v>23519</v>
      </c>
      <c r="B23519" s="2" t="str">
        <f>IFERROR(__xludf.DUMMYFUNCTION("GOOGLETRANSLATE(A23519, ""en"", ""mt"")"),"Liema xahar u sena ġie mniedi Apollo 13?")</f>
        <v>Liema xahar u sena ġie mniedi Apollo 13?</v>
      </c>
    </row>
    <row r="23520" ht="15.75" customHeight="1">
      <c r="A23520" s="2" t="s">
        <v>23520</v>
      </c>
      <c r="B23520" s="2" t="str">
        <f>IFERROR(__xludf.DUMMYFUNCTION("GOOGLETRANSLATE(A23520, ""en"", ""mt"")"),"Is-servizz beda fl-1 ta 'Settembru 1993 ibbażat fuq l-idea mill-uffiċjal kap eżekuttiv ta' dak iż-żmien, Sam Chisholm u Rupert Murdoch, li jikkonvertu l-istrateġija tan-negozju tal-kumpanija għal kunċett kompletament ibbażat fuq il-ħlas. Il-pakkett il-ġdi"&amp;"d kien jinkludi erba 'kanali li qabel kienu disponibbli free-to-air, ixandru fuq is-satelliti ta' Astra, kif ukoll l-introduzzjoni ta 'stazzjonijiet ġodda. Is-servizz kompla sal-għeluq tas-servizz analogu ta 'BSKYB fis-27 ta' Settembru 2001, minħabba t-tn"&amp;"edija u l-espansjoni tal-pjattaforma diġitali Sky. Uħud mill-kanali xxandru jew fil-kriptat ċar jew artab (li bih decoder tal-vidjokript kien meħtieġ li jiddekowdja, mingħajr karta ta 'abbonament) qabel iż-żieda tagħhom mal-pakkett ta' Multichannels Sky. "&amp;"Fi żmien xahrejn mit-tnedija, BSKYB kisbet 400,000 abbonat ġdid, bil-maġġoranza tieħu mill-inqas kanal premium wieħed ukoll, li għen lil BSKYB jilħaq 3.5 miljun familja sa nofs l-1994. Michael Grad ikkritika l-operazzjonijiet quddiem il-Kumitat Magħżul dw"&amp;"ar il-Wirt Nazzjonali, l-aktar għan-nuqqas ta ’programmazzjoni oriġinali fuq ħafna mill-kanali l-ġodda.")</f>
        <v>Is-servizz beda fl-1 ta 'Settembru 1993 ibbażat fuq l-idea mill-uffiċjal kap eżekuttiv ta' dak iż-żmien, Sam Chisholm u Rupert Murdoch, li jikkonvertu l-istrateġija tan-negozju tal-kumpanija għal kunċett kompletament ibbażat fuq il-ħlas. Il-pakkett il-ġdid kien jinkludi erba 'kanali li qabel kienu disponibbli free-to-air, ixandru fuq is-satelliti ta' Astra, kif ukoll l-introduzzjoni ta 'stazzjonijiet ġodda. Is-servizz kompla sal-għeluq tas-servizz analogu ta 'BSKYB fis-27 ta' Settembru 2001, minħabba t-tnedija u l-espansjoni tal-pjattaforma diġitali Sky. Uħud mill-kanali xxandru jew fil-kriptat ċar jew artab (li bih decoder tal-vidjokript kien meħtieġ li jiddekowdja, mingħajr karta ta 'abbonament) qabel iż-żieda tagħhom mal-pakkett ta' Multichannels Sky. Fi żmien xahrejn mit-tnedija, BSKYB kisbet 400,000 abbonat ġdid, bil-maġġoranza tieħu mill-inqas kanal premium wieħed ukoll, li għen lil BSKYB jilħaq 3.5 miljun familja sa nofs l-1994. Michael Grad ikkritika l-operazzjonijiet quddiem il-Kumitat Magħżul dwar il-Wirt Nazzjonali, l-aktar għan-nuqqas ta ’programmazzjoni oriġinali fuq ħafna mill-kanali l-ġodda.</v>
      </c>
    </row>
    <row r="23521" ht="15.75" customHeight="1">
      <c r="A23521" s="2" t="s">
        <v>23521</v>
      </c>
      <c r="B23521" s="2" t="str">
        <f>IFERROR(__xludf.DUMMYFUNCTION("GOOGLETRANSLATE(A23521, ""en"", ""mt"")"),"Bibbja")</f>
        <v>Bibbja</v>
      </c>
    </row>
    <row r="23522" ht="15.75" customHeight="1">
      <c r="A23522" s="2" t="s">
        <v>23522</v>
      </c>
      <c r="B23522" s="2" t="str">
        <f>IFERROR(__xludf.DUMMYFUNCTION("GOOGLETRANSLATE(A23522, ""en"", ""mt"")"),"Kemm is-settur tas-servizzi jikkontribwixxi għall-PGD?")</f>
        <v>Kemm is-settur tas-servizzi jikkontribwixxi għall-PGD?</v>
      </c>
    </row>
    <row r="23523" ht="15.75" customHeight="1">
      <c r="A23523" s="2" t="s">
        <v>23523</v>
      </c>
      <c r="B23523" s="2" t="str">
        <f>IFERROR(__xludf.DUMMYFUNCTION("GOOGLETRANSLATE(A23523, ""en"", ""mt"")"),"Il-kolonizzaturi kif ipproteġu l-interessi tagħhom?")</f>
        <v>Il-kolonizzaturi kif ipproteġu l-interessi tagħhom?</v>
      </c>
    </row>
    <row r="23524" ht="15.75" customHeight="1">
      <c r="A23524" s="2" t="s">
        <v>23524</v>
      </c>
      <c r="B23524" s="2" t="str">
        <f>IFERROR(__xludf.DUMMYFUNCTION("GOOGLETRANSLATE(A23524, ""en"", ""mt"")"),"Hemm kategoriji oħra għal xiex?")</f>
        <v>Hemm kategoriji oħra għal xiex?</v>
      </c>
    </row>
    <row r="23525" ht="15.75" customHeight="1">
      <c r="A23525" s="2" t="s">
        <v>23525</v>
      </c>
      <c r="B23525" s="2" t="str">
        <f>IFERROR(__xludf.DUMMYFUNCTION("GOOGLETRANSLATE(A23525, ""en"", ""mt"")"),"Kemm kienu involuti nies fl-istudju?")</f>
        <v>Kemm kienu involuti nies fl-istudju?</v>
      </c>
    </row>
    <row r="23526" ht="15.75" customHeight="1">
      <c r="A23526" s="2" t="s">
        <v>23526</v>
      </c>
      <c r="B23526" s="2" t="str">
        <f>IFERROR(__xludf.DUMMYFUNCTION("GOOGLETRANSLATE(A23526, ""en"", ""mt"")"),"Sabiex tifhem aħjar l-orjentazzjonijiet tal-ħsarat u l-jingħalaq, il-ġeoloġi strutturali jagħmlu xiex bil-kejl ta 'strutturi ġeoloġiċi?")</f>
        <v>Sabiex tifhem aħjar l-orjentazzjonijiet tal-ħsarat u l-jingħalaq, il-ġeoloġi strutturali jagħmlu xiex bil-kejl ta 'strutturi ġeoloġiċi?</v>
      </c>
    </row>
    <row r="23527" ht="15.75" customHeight="1">
      <c r="A23527" s="2" t="s">
        <v>23527</v>
      </c>
      <c r="B23527" s="2" t="str">
        <f>IFERROR(__xludf.DUMMYFUNCTION("GOOGLETRANSLATE(A23527, ""en"", ""mt"")"),"Magna Probabilistika tat-Turing")</f>
        <v>Magna Probabilistika tat-Turing</v>
      </c>
    </row>
    <row r="23528" ht="15.75" customHeight="1">
      <c r="A23528" s="2" t="s">
        <v>23528</v>
      </c>
      <c r="B23528" s="2" t="str">
        <f>IFERROR(__xludf.DUMMYFUNCTION("GOOGLETRANSLATE(A23528, ""en"", ""mt"")"),"Tliet kmamar tal-piż")</f>
        <v>Tliet kmamar tal-piż</v>
      </c>
    </row>
    <row r="23529" ht="15.75" customHeight="1">
      <c r="A23529" s="2" t="s">
        <v>23529</v>
      </c>
      <c r="B23529" s="2" t="str">
        <f>IFERROR(__xludf.DUMMYFUNCTION("GOOGLETRANSLATE(A23529, ""en"", ""mt"")"),"X'inhu l-prinċipju li jiddikjara li bil-blat sedimentarji, l-inklużjonijiet għandhom ikunu eqdem mill-formazzjoni li fiha?")</f>
        <v>X'inhu l-prinċipju li jiddikjara li bil-blat sedimentarji, l-inklużjonijiet għandhom ikunu eqdem mill-formazzjoni li fiha?</v>
      </c>
    </row>
    <row r="23530" ht="15.75" customHeight="1">
      <c r="A23530" s="2" t="s">
        <v>23530</v>
      </c>
      <c r="B23530" s="2" t="str">
        <f>IFERROR(__xludf.DUMMYFUNCTION("GOOGLETRANSLATE(A23530, ""en"", ""mt"")"),"pari ta 'primes bid-differenza 2")</f>
        <v>pari ta 'primes bid-differenza 2</v>
      </c>
    </row>
    <row r="23531" ht="15.75" customHeight="1">
      <c r="A23531" s="2" t="s">
        <v>23531</v>
      </c>
      <c r="B23531" s="2" t="str">
        <f>IFERROR(__xludf.DUMMYFUNCTION("GOOGLETRANSLATE(A23531, ""en"", ""mt"")"),"Liema skop ikollu Luther biex ma riedx jipprojbixxi l-Koran?")</f>
        <v>Liema skop ikollu Luther biex ma riedx jipprojbixxi l-Koran?</v>
      </c>
    </row>
    <row r="23532" ht="15.75" customHeight="1">
      <c r="A23532" s="2" t="s">
        <v>23532</v>
      </c>
      <c r="B23532" s="2" t="str">
        <f>IFERROR(__xludf.DUMMYFUNCTION("GOOGLETRANSLATE(A23532, ""en"", ""mt"")"),"1540s")</f>
        <v>1540s</v>
      </c>
    </row>
    <row r="23533" ht="15.75" customHeight="1">
      <c r="A23533" s="2" t="s">
        <v>23533</v>
      </c>
      <c r="B23533" s="2" t="str">
        <f>IFERROR(__xludf.DUMMYFUNCTION("GOOGLETRANSLATE(A23533, ""en"", ""mt"")"),"Minn liema sena kienu disponibbli 10000 magni tal-horsepower?")</f>
        <v>Minn liema sena kienu disponibbli 10000 magni tal-horsepower?</v>
      </c>
    </row>
    <row r="23534" ht="15.75" customHeight="1">
      <c r="A23534" s="2" t="s">
        <v>23534</v>
      </c>
      <c r="B23534" s="2" t="str">
        <f>IFERROR(__xludf.DUMMYFUNCTION("GOOGLETRANSLATE(A23534, ""en"", ""mt"")"),"Programmi ta 'Liċenzjar Alternattivi")</f>
        <v>Programmi ta 'Liċenzjar Alternattivi</v>
      </c>
    </row>
    <row r="23535" ht="15.75" customHeight="1">
      <c r="A23535" s="2" t="s">
        <v>23535</v>
      </c>
      <c r="B23535" s="2" t="str">
        <f>IFERROR(__xludf.DUMMYFUNCTION("GOOGLETRANSLATE(A23535, ""en"", ""mt"")"),"Monatomic")</f>
        <v>Monatomic</v>
      </c>
    </row>
    <row r="23536" ht="15.75" customHeight="1">
      <c r="A23536" s="2" t="s">
        <v>23536</v>
      </c>
      <c r="B23536" s="2" t="str">
        <f>IFERROR(__xludf.DUMMYFUNCTION("GOOGLETRANSLATE(A23536, ""en"", ""mt"")"),"Wara li kkanċella l-ispettaklu, x’qal il-BBC lill-pubbliku?")</f>
        <v>Wara li kkanċella l-ispettaklu, x’qal il-BBC lill-pubbliku?</v>
      </c>
    </row>
    <row r="23537" ht="15.75" customHeight="1">
      <c r="A23537" s="2" t="s">
        <v>23537</v>
      </c>
      <c r="B23537" s="2" t="str">
        <f>IFERROR(__xludf.DUMMYFUNCTION("GOOGLETRANSLATE(A23537, ""en"", ""mt"")"),"Il-privattiva ta 'Tesla probabbilment tikkontrolla s-suq")</f>
        <v>Il-privattiva ta 'Tesla probabbilment tikkontrolla s-suq</v>
      </c>
    </row>
    <row r="23538" ht="15.75" customHeight="1">
      <c r="A23538" s="2" t="s">
        <v>23538</v>
      </c>
      <c r="B23538" s="2" t="str">
        <f>IFERROR(__xludf.DUMMYFUNCTION("GOOGLETRANSLATE(A23538, ""en"", ""mt"")"),"Is-Sala tal-Assemblea Ġenerali tal-Knisja tal-Iskozja")</f>
        <v>Is-Sala tal-Assemblea Ġenerali tal-Knisja tal-Iskozja</v>
      </c>
    </row>
    <row r="23539" ht="15.75" customHeight="1">
      <c r="A23539" s="2" t="s">
        <v>23539</v>
      </c>
      <c r="B23539" s="2" t="str">
        <f>IFERROR(__xludf.DUMMYFUNCTION("GOOGLETRANSLATE(A23539, ""en"", ""mt"")"),"interċettaw l-esperimenti Ewropej ta 'Marconi")</f>
        <v>interċettaw l-esperimenti Ewropej ta 'Marconi</v>
      </c>
    </row>
    <row r="23540" ht="15.75" customHeight="1">
      <c r="A23540" s="2" t="s">
        <v>23540</v>
      </c>
      <c r="B23540" s="2" t="str">
        <f>IFERROR(__xludf.DUMMYFUNCTION("GOOGLETRANSLATE(A23540, ""en"", ""mt"")"),"3.5 biljun")</f>
        <v>3.5 biljun</v>
      </c>
    </row>
    <row r="23541" ht="15.75" customHeight="1">
      <c r="A23541" s="2" t="s">
        <v>23541</v>
      </c>
      <c r="B23541" s="2" t="str">
        <f>IFERROR(__xludf.DUMMYFUNCTION("GOOGLETRANSLATE(A23541, ""en"", ""mt"")"),"Min qal li l-kloroplasti huma simili għal cyanobacteria?")</f>
        <v>Min qal li l-kloroplasti huma simili għal cyanobacteria?</v>
      </c>
    </row>
    <row r="23542" ht="15.75" customHeight="1">
      <c r="A23542" s="2" t="s">
        <v>23542</v>
      </c>
      <c r="B23542" s="2" t="str">
        <f>IFERROR(__xludf.DUMMYFUNCTION("GOOGLETRANSLATE(A23542, ""en"", ""mt"")"),"Lexus")</f>
        <v>Lexus</v>
      </c>
    </row>
    <row r="23543" ht="15.75" customHeight="1">
      <c r="A23543" s="2" t="s">
        <v>23543</v>
      </c>
      <c r="B23543" s="2" t="str">
        <f>IFERROR(__xludf.DUMMYFUNCTION("GOOGLETRANSLATE(A23543, ""en"", ""mt"")"),"Sostitwit mill-Protokoll tal-Internet (IP) fis-saff tan-netwerk, u l-mod ta 'trasferiment mhux sinkroniku (ATM) u jew jew verżjonijiet ta' swiċċjar tat-tikketta multi-protokol")</f>
        <v>Sostitwit mill-Protokoll tal-Internet (IP) fis-saff tan-netwerk, u l-mod ta 'trasferiment mhux sinkroniku (ATM) u jew jew verżjonijiet ta' swiċċjar tat-tikketta multi-protokol</v>
      </c>
    </row>
    <row r="23544" ht="15.75" customHeight="1">
      <c r="A23544" s="2" t="s">
        <v>23544</v>
      </c>
      <c r="B23544" s="2" t="str">
        <f>IFERROR(__xludf.DUMMYFUNCTION("GOOGLETRANSLATE(A23544, ""en"", ""mt"")"),"Liema kwistjoni pesta l-letteratura dwar id-diżubbidjenza ċivili?")</f>
        <v>Liema kwistjoni pesta l-letteratura dwar id-diżubbidjenza ċivili?</v>
      </c>
    </row>
    <row r="23545" ht="15.75" customHeight="1">
      <c r="A23545" s="2" t="s">
        <v>23545</v>
      </c>
      <c r="B23545" s="2" t="str">
        <f>IFERROR(__xludf.DUMMYFUNCTION("GOOGLETRANSLATE(A23545, ""en"", ""mt"")"),"imxarrab")</f>
        <v>imxarrab</v>
      </c>
    </row>
    <row r="23546" ht="15.75" customHeight="1">
      <c r="A23546" s="2" t="s">
        <v>23546</v>
      </c>
      <c r="B23546" s="2" t="str">
        <f>IFERROR(__xludf.DUMMYFUNCTION("GOOGLETRANSLATE(A23546, ""en"", ""mt"")"),"Bħala inċentiv għall-ubbidjenza assoluta u wara l-istat tad-dritt tiegħu, il-Kodiċi Yassa, Temüjin wiegħed lill-ġid ċivili u suldati mill-imħassra futura tal-gwerra. Hekk kif għeleb it-tribujiet rivali, huwa ma mexxax is-suldati tal-għadu u jabbanduna l-k"&amp;"umplament. Minflok, huwa ħa t-tribù maħkuma taħt il-protezzjoni tiegħu u integra l-membri tiegħu fit-tribù tiegħu stess. Huwa kien saħansitra jkollu lil ommu tadotta orfni mit-tribù maħkuma, u ġġibhom fil-familja tiegħu. Dawn l-innovazzjonijiet politiċi i"&amp;"spiraw lealtà kbira fost in-nies maħkuma, u jagħmlu lil Temüjin aktar b'saħħtu ma 'kull rebħa.")</f>
        <v>Bħala inċentiv għall-ubbidjenza assoluta u wara l-istat tad-dritt tiegħu, il-Kodiċi Yassa, Temüjin wiegħed lill-ġid ċivili u suldati mill-imħassra futura tal-gwerra. Hekk kif għeleb it-tribujiet rivali, huwa ma mexxax is-suldati tal-għadu u jabbanduna l-kumplament. Minflok, huwa ħa t-tribù maħkuma taħt il-protezzjoni tiegħu u integra l-membri tiegħu fit-tribù tiegħu stess. Huwa kien saħansitra jkollu lil ommu tadotta orfni mit-tribù maħkuma, u ġġibhom fil-familja tiegħu. Dawn l-innovazzjonijiet politiċi ispiraw lealtà kbira fost in-nies maħkuma, u jagħmlu lil Temüjin aktar b'saħħtu ma 'kull rebħa.</v>
      </c>
    </row>
    <row r="23547" ht="15.75" customHeight="1">
      <c r="A23547" s="2" t="s">
        <v>23547</v>
      </c>
      <c r="B23547" s="2" t="str">
        <f>IFERROR(__xludf.DUMMYFUNCTION("GOOGLETRANSLATE(A23547, ""en"", ""mt"")"),"Aktar ATP minn NADPH")</f>
        <v>Aktar ATP minn NADPH</v>
      </c>
    </row>
    <row r="23548" ht="15.75" customHeight="1">
      <c r="A23548" s="2" t="s">
        <v>23548</v>
      </c>
      <c r="B23548" s="2" t="str">
        <f>IFERROR(__xludf.DUMMYFUNCTION("GOOGLETRANSLATE(A23548, ""en"", ""mt"")"),"Kemm tunnellata ta 'karbonju jiġu assorbiti l-Amażonja f'sena tipika?")</f>
        <v>Kemm tunnellata ta 'karbonju jiġu assorbiti l-Amażonja f'sena tipika?</v>
      </c>
    </row>
    <row r="23549" ht="15.75" customHeight="1">
      <c r="A23549" s="2" t="s">
        <v>23549</v>
      </c>
      <c r="B23549" s="2" t="str">
        <f>IFERROR(__xludf.DUMMYFUNCTION("GOOGLETRANSLATE(A23549, ""en"", ""mt"")"),"Newton waslet biex tirrealizza li l-effetti tal-gravità jistgħu jiġu osservati b’modi differenti f’distanzi akbar. B'mod partikolari, Newton iddetermina li l-aċċellerazzjoni tal-qamar madwar id-dinja tista 'tiġi attribwita għall-istess forza tal-gravità j"&amp;"ekk l-aċċellerazzjoni minħabba l-gravità naqset bħala liġi kwadra inversa. Barra minn hekk, Newton induna li l-aċċellerazzjoni minħabba l-gravità hija proporzjonali għall-massa tal-korp li jattira. Li tgħaqqad dawn l-ideat tagħti formula li tirrelata l-ma"&amp;"ssa () u r-raġġ () tad-dinja mal-aċċelerazzjoni gravitazzjonali:")</f>
        <v>Newton waslet biex tirrealizza li l-effetti tal-gravità jistgħu jiġu osservati b’modi differenti f’distanzi akbar. B'mod partikolari, Newton iddetermina li l-aċċellerazzjoni tal-qamar madwar id-dinja tista 'tiġi attribwita għall-istess forza tal-gravità jekk l-aċċellerazzjoni minħabba l-gravità naqset bħala liġi kwadra inversa. Barra minn hekk, Newton induna li l-aċċellerazzjoni minħabba l-gravità hija proporzjonali għall-massa tal-korp li jattira. Li tgħaqqad dawn l-ideat tagħti formula li tirrelata l-massa () u r-raġġ () tad-dinja mal-aċċelerazzjoni gravitazzjonali:</v>
      </c>
    </row>
    <row r="23550" ht="15.75" customHeight="1">
      <c r="A23550" s="2" t="s">
        <v>23550</v>
      </c>
      <c r="B23550" s="2" t="str">
        <f>IFERROR(__xludf.DUMMYFUNCTION("GOOGLETRANSLATE(A23550, ""en"", ""mt"")"),"sitt itfal")</f>
        <v>sitt itfal</v>
      </c>
    </row>
    <row r="23551" ht="15.75" customHeight="1">
      <c r="A23551" s="2" t="s">
        <v>23551</v>
      </c>
      <c r="B23551" s="2" t="str">
        <f>IFERROR(__xludf.DUMMYFUNCTION("GOOGLETRANSLATE(A23551, ""en"", ""mt"")"),"Ir-rita tax-xama '")</f>
        <v>Ir-rita tax-xama '</v>
      </c>
    </row>
    <row r="23552" ht="15.75" customHeight="1">
      <c r="A23552" s="2" t="s">
        <v>23552</v>
      </c>
      <c r="B23552" s="2" t="str">
        <f>IFERROR(__xludf.DUMMYFUNCTION("GOOGLETRANSLATE(A23552, ""en"", ""mt"")"),"Liema triq tintefa 'ballun' il fuq u 'l isfel f'vettura li tiċċaqlaq meta tidher minn osservatur ta' barra?")</f>
        <v>Liema triq tintefa 'ballun' il fuq u 'l isfel f'vettura li tiċċaqlaq meta tidher minn osservatur ta' barra?</v>
      </c>
    </row>
    <row r="23553" ht="15.75" customHeight="1">
      <c r="A23553" s="2" t="s">
        <v>23553</v>
      </c>
      <c r="B23553" s="2" t="str">
        <f>IFERROR(__xludf.DUMMYFUNCTION("GOOGLETRANSLATE(A23553, ""en"", ""mt"")"),"Liema stazzjon tal-kejbil Kanadiż beda juri lil Doctor Who fl-2009?")</f>
        <v>Liema stazzjon tal-kejbil Kanadiż beda juri lil Doctor Who fl-2009?</v>
      </c>
    </row>
    <row r="23554" ht="15.75" customHeight="1">
      <c r="A23554" s="2" t="s">
        <v>23554</v>
      </c>
      <c r="B23554" s="2" t="str">
        <f>IFERROR(__xludf.DUMMYFUNCTION("GOOGLETRANSLATE(A23554, ""en"", ""mt"")"),"Uffiċjal li jippresiedi")</f>
        <v>Uffiċjal li jippresiedi</v>
      </c>
    </row>
    <row r="23555" ht="15.75" customHeight="1">
      <c r="A23555" s="2" t="s">
        <v>23555</v>
      </c>
      <c r="B23555" s="2" t="str">
        <f>IFERROR(__xludf.DUMMYFUNCTION("GOOGLETRANSLATE(A23555, ""en"", ""mt"")"),"L-iskeda ta 'bi nhar ta' ABC bħalissa tinkludi talk shows The View and The Chew, u l-Isptar Ġenerali tas-Soap Opera, li l-aħħar huwa l-itwal programm ta 'divertiment li għaddej fl-istorja tan-netwerk tat-televiżjoni ABC, wara li xandar mill-1963. ABC ixan"&amp;"dar ukoll filgħodu Programm tal-aħbarijiet Good Morning America u għamel hekk mill-1975, għalkemm dak il-programm mhuwiex ikkunsidrat li huwa parti mill-blokka tal-ABC bi nhar. Minbarra t-tfal kollha li ilhom għaddejjin (1970-2011) u One Life to Live (196"&amp;"8-2012), sapun tal-passat notevoli li jidher fuq il-formazzjoni ta 'bi nhar jinkludu Ryan's Hope, Dark Shadows, Loving, The City, The City u Port Charles. ABC xandar ukoll l-aħħar disa 'snin tal-procter &amp; gamble SOAP The Edge of Night, wara l-kanċellazzjo"&amp;"ni tagħha minn CBS fl-1975. ABC Daytime xandar ukoll numru ta' wirjiet tal-logħob, inkluża l-logħba tad-dating, il-logħba li għadha kemm ġiet A Deal, Password, Split Second, $ 10,000 / $ 20,000 Piramida, Family Feud, The Better Sex, Trivia Trap, All-Star "&amp;"Blitz u Hot Streak.")</f>
        <v>L-iskeda ta 'bi nhar ta' ABC bħalissa tinkludi talk shows The View and The Chew, u l-Isptar Ġenerali tas-Soap Opera, li l-aħħar huwa l-itwal programm ta 'divertiment li għaddej fl-istorja tan-netwerk tat-televiżjoni ABC, wara li xandar mill-1963. ABC ixandar ukoll filgħodu Programm tal-aħbarijiet Good Morning America u għamel hekk mill-1975, għalkemm dak il-programm mhuwiex ikkunsidrat li huwa parti mill-blokka tal-ABC bi nhar. Minbarra t-tfal kollha li ilhom għaddejjin (1970-2011) u One Life to Live (1968-2012), sapun tal-passat notevoli li jidher fuq il-formazzjoni ta 'bi nhar jinkludu Ryan's Hope, Dark Shadows, Loving, The City, The City u Port Charles. ABC xandar ukoll l-aħħar disa 'snin tal-procter &amp; gamble SOAP The Edge of Night, wara l-kanċellazzjoni tagħha minn CBS fl-1975. ABC Daytime xandar ukoll numru ta' wirjiet tal-logħob, inkluża l-logħba tad-dating, il-logħba li għadha kemm ġiet A Deal, Password, Split Second, $ 10,000 / $ 20,000 Piramida, Family Feud, The Better Sex, Trivia Trap, All-Star Blitz u Hot Streak.</v>
      </c>
    </row>
    <row r="23556" ht="15.75" customHeight="1">
      <c r="A23556" s="2" t="s">
        <v>23556</v>
      </c>
      <c r="B23556" s="2" t="str">
        <f>IFERROR(__xludf.DUMMYFUNCTION("GOOGLETRANSLATE(A23556, ""en"", ""mt"")"),"Għal liema ċiviltà kienet il-fuħħar?")</f>
        <v>Għal liema ċiviltà kienet il-fuħħar?</v>
      </c>
    </row>
    <row r="23557" ht="15.75" customHeight="1">
      <c r="A23557" s="2" t="s">
        <v>23557</v>
      </c>
      <c r="B23557" s="2" t="str">
        <f>IFERROR(__xludf.DUMMYFUNCTION("GOOGLETRANSLATE(A23557, ""en"", ""mt"")"),"Fi kloroplasti qodma jew stressati")</f>
        <v>Fi kloroplasti qodma jew stressati</v>
      </c>
    </row>
    <row r="23558" ht="15.75" customHeight="1">
      <c r="A23558" s="2" t="s">
        <v>23558</v>
      </c>
      <c r="B23558" s="2" t="str">
        <f>IFERROR(__xludf.DUMMYFUNCTION("GOOGLETRANSLATE(A23558, ""en"", ""mt"")"),"lineari")</f>
        <v>lineari</v>
      </c>
    </row>
    <row r="23559" ht="15.75" customHeight="1">
      <c r="A23559" s="2" t="s">
        <v>23559</v>
      </c>
      <c r="B23559" s="2" t="str">
        <f>IFERROR(__xludf.DUMMYFUNCTION("GOOGLETRANSLATE(A23559, ""en"", ""mt"")"),"Quarterbacks")</f>
        <v>Quarterbacks</v>
      </c>
    </row>
    <row r="23560" ht="15.75" customHeight="1">
      <c r="A23560" s="2" t="s">
        <v>23560</v>
      </c>
      <c r="B23560" s="2" t="str">
        <f>IFERROR(__xludf.DUMMYFUNCTION("GOOGLETRANSLATE(A23560, ""en"", ""mt"")"),"Tiěmùzhēn")</f>
        <v>Tiěmùzhēn</v>
      </c>
    </row>
    <row r="23561" ht="15.75" customHeight="1">
      <c r="A23561" s="2" t="s">
        <v>23561</v>
      </c>
      <c r="B23561" s="2" t="str">
        <f>IFERROR(__xludf.DUMMYFUNCTION("GOOGLETRANSLATE(A23561, ""en"", ""mt"")"),"15 ta 'Jannar 1954")</f>
        <v>15 ta 'Jannar 1954</v>
      </c>
    </row>
    <row r="23562" ht="15.75" customHeight="1">
      <c r="A23562" s="2" t="s">
        <v>23562</v>
      </c>
      <c r="B23562" s="2" t="str">
        <f>IFERROR(__xludf.DUMMYFUNCTION("GOOGLETRANSLATE(A23562, ""en"", ""mt"")"),"Ir-rata tal-kriminalità ntweriet ukoll li hija korrelata mal-inugwaljanza fis-soċjetà. Ħafna studji li qed ifittxu r-relazzjoni kkonċentraw fuq l-omiċidi - billi l-omiċidi huma kważi definiti b'mod identiku bejn in-nazzjonijiet u l-ġurisdizzjonijiet kollh"&amp;"a. Kien hemm aktar minn ħamsin studju li juru tendenzi biex il-vjolenza tkun aktar komuni f'soċjetajiet fejn id-differenzi fid-dħul huma akbar. Twettqet riċerka meta tqabbel pajjiżi żviluppati ma 'pajjiżi mhux żviluppati, kif ukoll studju ta' żoni f'pajji"&amp;"żi. Daly et al. L-2001 sab li fost l-istati tal-Istati Uniti u l-provinċji Kanadiżi hemm differenza b'għaxar darbiet fir-rati ta 'omiċidji relatati ma' l-inugwaljanza. Huma stmaw li madwar nofs il-varjazzjoni kollha fir-rati ta 'omiċidji jistgħu jiġu kkon"&amp;"tabilizzati minn differenzi fl-ammont ta' inugwaljanza f'kull provinċja jew stat. Fajnzylber et al. (2002) sab relazzjoni simili mad-dinja kollha. Fost kummenti fil-letteratura akkademika dwar ir-relazzjoni bejn l-omiċidi u l-inugwaljanza hemm:")</f>
        <v>Ir-rata tal-kriminalità ntweriet ukoll li hija korrelata mal-inugwaljanza fis-soċjetà. Ħafna studji li qed ifittxu r-relazzjoni kkonċentraw fuq l-omiċidi - billi l-omiċidi huma kważi definiti b'mod identiku bejn in-nazzjonijiet u l-ġurisdizzjonijiet kollha. Kien hemm aktar minn ħamsin studju li juru tendenzi biex il-vjolenza tkun aktar komuni f'soċjetajiet fejn id-differenzi fid-dħul huma akbar. Twettqet riċerka meta tqabbel pajjiżi żviluppati ma 'pajjiżi mhux żviluppati, kif ukoll studju ta' żoni f'pajjiżi. Daly et al. L-2001 sab li fost l-istati tal-Istati Uniti u l-provinċji Kanadiżi hemm differenza b'għaxar darbiet fir-rati ta 'omiċidji relatati ma' l-inugwaljanza. Huma stmaw li madwar nofs il-varjazzjoni kollha fir-rati ta 'omiċidji jistgħu jiġu kkontabilizzati minn differenzi fl-ammont ta' inugwaljanza f'kull provinċja jew stat. Fajnzylber et al. (2002) sab relazzjoni simili mad-dinja kollha. Fost kummenti fil-letteratura akkademika dwar ir-relazzjoni bejn l-omiċidi u l-inugwaljanza hemm:</v>
      </c>
    </row>
    <row r="23563" ht="15.75" customHeight="1">
      <c r="A23563" s="2" t="s">
        <v>23563</v>
      </c>
      <c r="B23563" s="2" t="str">
        <f>IFERROR(__xludf.DUMMYFUNCTION("GOOGLETRANSLATE(A23563, ""en"", ""mt"")"),"""Varjazzjonijiet ta 'borra u silġ fil-passat u fil-preżent fuq skala globali u reġjonali""")</f>
        <v>"Varjazzjonijiet ta 'borra u silġ fil-passat u fil-preżent fuq skala globali u reġjonali"</v>
      </c>
    </row>
    <row r="23564" ht="15.75" customHeight="1">
      <c r="A23564" s="2" t="s">
        <v>23564</v>
      </c>
      <c r="B23564" s="2" t="str">
        <f>IFERROR(__xludf.DUMMYFUNCTION("GOOGLETRANSLATE(A23564, ""en"", ""mt"")"),"X'inhu kkontrollat ​​mis-suq u l-ekonomija?")</f>
        <v>X'inhu kkontrollat ​​mis-suq u l-ekonomija?</v>
      </c>
    </row>
    <row r="23565" ht="15.75" customHeight="1">
      <c r="A23565" s="2" t="s">
        <v>23565</v>
      </c>
      <c r="B23565" s="2" t="str">
        <f>IFERROR(__xludf.DUMMYFUNCTION("GOOGLETRANSLATE(A23565, ""en"", ""mt"")"),"Fermilab")</f>
        <v>Fermilab</v>
      </c>
    </row>
    <row r="23566" ht="15.75" customHeight="1">
      <c r="A23566" s="2" t="s">
        <v>23566</v>
      </c>
      <c r="B23566" s="2" t="str">
        <f>IFERROR(__xludf.DUMMYFUNCTION("GOOGLETRANSLATE(A23566, ""en"", ""mt"")"),"Sidelines")</f>
        <v>Sidelines</v>
      </c>
    </row>
    <row r="23567" ht="15.75" customHeight="1">
      <c r="A23567" s="2" t="s">
        <v>23567</v>
      </c>
      <c r="B23567" s="2" t="str">
        <f>IFERROR(__xludf.DUMMYFUNCTION("GOOGLETRANSLATE(A23567, ""en"", ""mt"")"),"Dritt Divin tas-Slaten")</f>
        <v>Dritt Divin tas-Slaten</v>
      </c>
    </row>
    <row r="23568" ht="15.75" customHeight="1">
      <c r="A23568" s="2" t="s">
        <v>23568</v>
      </c>
      <c r="B23568" s="2" t="str">
        <f>IFERROR(__xludf.DUMMYFUNCTION("GOOGLETRANSLATE(A23568, ""en"", ""mt"")"),"Liema suq preċedenti ħa post is-suq ta 'Grainger?")</f>
        <v>Liema suq preċedenti ħa post is-suq ta 'Grainger?</v>
      </c>
    </row>
    <row r="23569" ht="15.75" customHeight="1">
      <c r="A23569" s="2" t="s">
        <v>23569</v>
      </c>
      <c r="B23569" s="2" t="str">
        <f>IFERROR(__xludf.DUMMYFUNCTION("GOOGLETRANSLATE(A23569, ""en"", ""mt"")"),"Kanada")</f>
        <v>Kanada</v>
      </c>
    </row>
    <row r="23570" ht="15.75" customHeight="1">
      <c r="A23570" s="2" t="s">
        <v>23570</v>
      </c>
      <c r="B23570" s="2" t="str">
        <f>IFERROR(__xludf.DUMMYFUNCTION("GOOGLETRANSLATE(A23570, ""en"", ""mt"")"),"Min għen iħallas għall-ewwel struttura tal-bini tal-università?")</f>
        <v>Min għen iħallas għall-ewwel struttura tal-bini tal-università?</v>
      </c>
    </row>
    <row r="23571" ht="15.75" customHeight="1">
      <c r="A23571" s="2" t="s">
        <v>23571</v>
      </c>
      <c r="B23571" s="2" t="str">
        <f>IFERROR(__xludf.DUMMYFUNCTION("GOOGLETRANSLATE(A23571, ""en"", ""mt"")"),"Kif xi kultant jissejjaħ iċ-ċiklu Rankine?")</f>
        <v>Kif xi kultant jissejjaħ iċ-ċiklu Rankine?</v>
      </c>
    </row>
    <row r="23572" ht="15.75" customHeight="1">
      <c r="A23572" s="2" t="s">
        <v>23572</v>
      </c>
      <c r="B23572" s="2" t="str">
        <f>IFERROR(__xludf.DUMMYFUNCTION("GOOGLETRANSLATE(A23572, ""en"", ""mt"")"),"X'imkien fil-Mongolja f'post mhux magħruf")</f>
        <v>X'imkien fil-Mongolja f'post mhux magħruf</v>
      </c>
    </row>
    <row r="23573" ht="15.75" customHeight="1">
      <c r="A23573" s="2" t="s">
        <v>23573</v>
      </c>
      <c r="B23573" s="2" t="str">
        <f>IFERROR(__xludf.DUMMYFUNCTION("GOOGLETRANSLATE(A23573, ""en"", ""mt"")"),"stroma")</f>
        <v>stroma</v>
      </c>
    </row>
    <row r="23574" ht="15.75" customHeight="1">
      <c r="A23574" s="2" t="s">
        <v>23574</v>
      </c>
      <c r="B23574" s="2" t="str">
        <f>IFERROR(__xludf.DUMMYFUNCTION("GOOGLETRANSLATE(A23574, ""en"", ""mt"")"),"Rhine-Meuse")</f>
        <v>Rhine-Meuse</v>
      </c>
    </row>
    <row r="23575" ht="15.75" customHeight="1">
      <c r="A23575" s="2" t="s">
        <v>23575</v>
      </c>
      <c r="B23575" s="2" t="str">
        <f>IFERROR(__xludf.DUMMYFUNCTION("GOOGLETRANSLATE(A23575, ""en"", ""mt"")"),"Plastoglobulus, xi kultant spelt plastoglobula (i)")</f>
        <v>Plastoglobulus, xi kultant spelt plastoglobula (i)</v>
      </c>
    </row>
    <row r="23576" ht="15.75" customHeight="1">
      <c r="A23576" s="2" t="s">
        <v>23576</v>
      </c>
      <c r="B23576" s="2" t="str">
        <f>IFERROR(__xludf.DUMMYFUNCTION("GOOGLETRANSLATE(A23576, ""en"", ""mt"")"),"Ċentru Athletic Malkin")</f>
        <v>Ċentru Athletic Malkin</v>
      </c>
    </row>
    <row r="23577" ht="15.75" customHeight="1">
      <c r="A23577" s="2" t="s">
        <v>23577</v>
      </c>
      <c r="B23577" s="2" t="str">
        <f>IFERROR(__xludf.DUMMYFUNCTION("GOOGLETRANSLATE(A23577, ""en"", ""mt"")"),"Min hu l-fundatur revered tal-Metodiżmu?")</f>
        <v>Min hu l-fundatur revered tal-Metodiżmu?</v>
      </c>
    </row>
    <row r="23578" ht="15.75" customHeight="1">
      <c r="A23578" s="2" t="s">
        <v>23578</v>
      </c>
      <c r="B23578" s="2" t="str">
        <f>IFERROR(__xludf.DUMMYFUNCTION("GOOGLETRANSLATE(A23578, ""en"", ""mt"")"),"F'magna atmosferika, xi tfisser il-pressjoni ta 'l-arja?")</f>
        <v>F'magna atmosferika, xi tfisser il-pressjoni ta 'l-arja?</v>
      </c>
    </row>
    <row r="23579" ht="15.75" customHeight="1">
      <c r="A23579" s="2" t="s">
        <v>23579</v>
      </c>
      <c r="B23579" s="2" t="str">
        <f>IFERROR(__xludf.DUMMYFUNCTION("GOOGLETRANSLATE(A23579, ""en"", ""mt"")"),"John Ruskin")</f>
        <v>John Ruskin</v>
      </c>
    </row>
    <row r="23580" ht="15.75" customHeight="1">
      <c r="A23580" s="2" t="s">
        <v>23580</v>
      </c>
      <c r="B23580" s="2" t="str">
        <f>IFERROR(__xludf.DUMMYFUNCTION("GOOGLETRANSLATE(A23580, ""en"", ""mt"")"),"L-università stabbilixxiet ċentru f'Beijing f'liema sena?")</f>
        <v>L-università stabbilixxiet ċentru f'Beijing f'liema sena?</v>
      </c>
    </row>
    <row r="23581" ht="15.75" customHeight="1">
      <c r="A23581" s="2" t="s">
        <v>23581</v>
      </c>
      <c r="B23581" s="2" t="str">
        <f>IFERROR(__xludf.DUMMYFUNCTION("GOOGLETRANSLATE(A23581, ""en"", ""mt"")"),"Il-Kastell Royal Ujazdów tas-seklu 17 bħalissa fih iċ-Ċentru għall-Arti Kontemporanja, b'xi wirjiet permanenti u temporanji, kunċerti, wirjiet u workshops kreattivi. Iċ-ċentru bħalissa jirrealizza madwar 500 proġett fis-sena. Zachęta National Gallery of A"&amp;"rt, l-eqdem sit tal-wirja f'Varsavja, bi tradizzjoni li tiġbed lura lejn nofs is-seklu 19 jorganizza esibizzjonijiet ta 'arti moderna minn artisti Pollakki u internazzjonali u tippromwovi l-arti f'ħafna modi oħra. Mill-2011 Weekend tal-Gallerija ta ’Varsa"&amp;"vja sar fil-weekend li għadda ta’ Settembru.")</f>
        <v>Il-Kastell Royal Ujazdów tas-seklu 17 bħalissa fih iċ-Ċentru għall-Arti Kontemporanja, b'xi wirjiet permanenti u temporanji, kunċerti, wirjiet u workshops kreattivi. Iċ-ċentru bħalissa jirrealizza madwar 500 proġett fis-sena. Zachęta National Gallery of Art, l-eqdem sit tal-wirja f'Varsavja, bi tradizzjoni li tiġbed lura lejn nofs is-seklu 19 jorganizza esibizzjonijiet ta 'arti moderna minn artisti Pollakki u internazzjonali u tippromwovi l-arti f'ħafna modi oħra. Mill-2011 Weekend tal-Gallerija ta ’Varsavja sar fil-weekend li għadda ta’ Settembru.</v>
      </c>
    </row>
    <row r="23582" ht="15.75" customHeight="1">
      <c r="A23582" s="2" t="s">
        <v>23582</v>
      </c>
      <c r="B23582" s="2" t="str">
        <f>IFERROR(__xludf.DUMMYFUNCTION("GOOGLETRANSLATE(A23582, ""en"", ""mt"")"),"X'tip ta 'numeral uża l-aħħar Super Bowl biex jinnomina n-numru tal-logħob?")</f>
        <v>X'tip ta 'numeral uża l-aħħar Super Bowl biex jinnomina n-numru tal-logħob?</v>
      </c>
    </row>
    <row r="23583" ht="15.75" customHeight="1">
      <c r="A23583" s="2" t="s">
        <v>23583</v>
      </c>
      <c r="B23583" s="2" t="str">
        <f>IFERROR(__xludf.DUMMYFUNCTION("GOOGLETRANSLATE(A23583, ""en"", ""mt"")"),"F'liema sena l-FCC ivvota għar-regoli ta 'interess finanzjarju u sindikazzjoni?")</f>
        <v>F'liema sena l-FCC ivvota għar-regoli ta 'interess finanzjarju u sindikazzjoni?</v>
      </c>
    </row>
    <row r="23584" ht="15.75" customHeight="1">
      <c r="A23584" s="2" t="s">
        <v>23584</v>
      </c>
      <c r="B23584" s="2" t="str">
        <f>IFERROR(__xludf.DUMMYFUNCTION("GOOGLETRANSLATE(A23584, ""en"", ""mt"")"),"Seahawks")</f>
        <v>Seahawks</v>
      </c>
    </row>
    <row r="23585" ht="15.75" customHeight="1">
      <c r="A23585" s="2" t="s">
        <v>23585</v>
      </c>
      <c r="B23585" s="2" t="str">
        <f>IFERROR(__xludf.DUMMYFUNCTION("GOOGLETRANSLATE(A23585, ""en"", ""mt"")"),"Rüdesheim Am Rhein")</f>
        <v>Rüdesheim Am Rhein</v>
      </c>
    </row>
    <row r="23586" ht="15.75" customHeight="1">
      <c r="A23586" s="2" t="s">
        <v>23586</v>
      </c>
      <c r="B23586" s="2" t="str">
        <f>IFERROR(__xludf.DUMMYFUNCTION("GOOGLETRANSLATE(A23586, ""en"", ""mt"")"),"elettriku")</f>
        <v>elettriku</v>
      </c>
    </row>
    <row r="23587" ht="15.75" customHeight="1">
      <c r="A23587" s="2" t="s">
        <v>23587</v>
      </c>
      <c r="B23587" s="2" t="str">
        <f>IFERROR(__xludf.DUMMYFUNCTION("GOOGLETRANSLATE(A23587, ""en"", ""mt"")"),"inqas minn ħin kwadratiku")</f>
        <v>inqas minn ħin kwadratiku</v>
      </c>
    </row>
    <row r="23588" ht="15.75" customHeight="1">
      <c r="A23588" s="2" t="s">
        <v>23588</v>
      </c>
      <c r="B23588" s="2" t="str">
        <f>IFERROR(__xludf.DUMMYFUNCTION("GOOGLETRANSLATE(A23588, ""en"", ""mt"")"),"jikkostitwixxu diżubbidjenza ċivili")</f>
        <v>jikkostitwixxu diżubbidjenza ċivili</v>
      </c>
    </row>
    <row r="23589" ht="15.75" customHeight="1">
      <c r="A23589" s="2" t="s">
        <v>23589</v>
      </c>
      <c r="B23589" s="2" t="str">
        <f>IFERROR(__xludf.DUMMYFUNCTION("GOOGLETRANSLATE(A23589, ""en"", ""mt"")"),"Supretendenti Distrettwali")</f>
        <v>Supretendenti Distrettwali</v>
      </c>
    </row>
    <row r="23590" ht="15.75" customHeight="1">
      <c r="A23590" s="2" t="s">
        <v>23590</v>
      </c>
      <c r="B23590" s="2" t="str">
        <f>IFERROR(__xludf.DUMMYFUNCTION("GOOGLETRANSLATE(A23590, ""en"", ""mt"")"),"Magnetophon")</f>
        <v>Magnetophon</v>
      </c>
    </row>
    <row r="23591" ht="15.75" customHeight="1">
      <c r="A23591" s="2" t="s">
        <v>23591</v>
      </c>
      <c r="B23591" s="2" t="str">
        <f>IFERROR(__xludf.DUMMYFUNCTION("GOOGLETRANSLATE(A23591, ""en"", ""mt"")"),"Min ipprovda kummentarju bil-lingwa Spanjola flimkien ma 'Raul Allegre?")</f>
        <v>Min ipprovda kummentarju bil-lingwa Spanjola flimkien ma 'Raul Allegre?</v>
      </c>
    </row>
    <row r="23592" ht="15.75" customHeight="1">
      <c r="A23592" s="2" t="s">
        <v>23592</v>
      </c>
      <c r="B23592" s="2" t="str">
        <f>IFERROR(__xludf.DUMMYFUNCTION("GOOGLETRANSLATE(A23592, ""en"", ""mt"")"),"Kemm-il volt jistgħu jiġu ċċarġjati partiċelli fid-disinn tal-arma tiegħu?")</f>
        <v>Kemm-il volt jistgħu jiġu ċċarġjati partiċelli fid-disinn tal-arma tiegħu?</v>
      </c>
    </row>
    <row r="23593" ht="15.75" customHeight="1">
      <c r="A23593" s="2" t="s">
        <v>23593</v>
      </c>
      <c r="B23593" s="2" t="str">
        <f>IFERROR(__xludf.DUMMYFUNCTION("GOOGLETRANSLATE(A23593, ""en"", ""mt"")"),"Opinjonijiet Luterani")</f>
        <v>Opinjonijiet Luterani</v>
      </c>
    </row>
    <row r="23594" ht="15.75" customHeight="1">
      <c r="A23594" s="2" t="s">
        <v>23594</v>
      </c>
      <c r="B23594" s="2" t="str">
        <f>IFERROR(__xludf.DUMMYFUNCTION("GOOGLETRANSLATE(A23594, ""en"", ""mt"")"),"Fis-7 ta 'Jannar, 2016, ġie kkonfermat dak li l-bidu jingħaqad ma' Coldplay għall-ispettaklu tal-mistrieħ?")</f>
        <v>Fis-7 ta 'Jannar, 2016, ġie kkonfermat dak li l-bidu jingħaqad ma' Coldplay għall-ispettaklu tal-mistrieħ?</v>
      </c>
    </row>
    <row r="23595" ht="15.75" customHeight="1">
      <c r="A23595" s="2" t="s">
        <v>23595</v>
      </c>
      <c r="B23595" s="2" t="str">
        <f>IFERROR(__xludf.DUMMYFUNCTION("GOOGLETRANSLATE(A23595, ""en"", ""mt"")"),"Hulu")</f>
        <v>Hulu</v>
      </c>
    </row>
    <row r="23596" ht="15.75" customHeight="1">
      <c r="A23596" s="2" t="s">
        <v>23596</v>
      </c>
      <c r="B23596" s="2" t="str">
        <f>IFERROR(__xludf.DUMMYFUNCTION("GOOGLETRANSLATE(A23596, ""en"", ""mt"")"),"Kemm art tuża l-irziezet fir-Rabat?")</f>
        <v>Kemm art tuża l-irziezet fir-Rabat?</v>
      </c>
    </row>
    <row r="23597" ht="15.75" customHeight="1">
      <c r="A23597" s="2" t="s">
        <v>23597</v>
      </c>
      <c r="B23597" s="2" t="str">
        <f>IFERROR(__xludf.DUMMYFUNCTION("GOOGLETRANSLATE(A23597, ""en"", ""mt"")"),"F'liema seklu seħħew żviluppi importanti tal-mużika klassika fin-Normandija?")</f>
        <v>F'liema seklu seħħew żviluppi importanti tal-mużika klassika fin-Normandija?</v>
      </c>
    </row>
    <row r="23598" ht="15.75" customHeight="1">
      <c r="A23598" s="2" t="s">
        <v>23598</v>
      </c>
      <c r="B23598" s="2" t="str">
        <f>IFERROR(__xludf.DUMMYFUNCTION("GOOGLETRANSLATE(A23598, ""en"", ""mt"")"),"F'liema temperatura se jikkondensa l-ossiġnu?")</f>
        <v>F'liema temperatura se jikkondensa l-ossiġnu?</v>
      </c>
    </row>
    <row r="23599" ht="15.75" customHeight="1">
      <c r="A23599" s="2" t="s">
        <v>23599</v>
      </c>
      <c r="B23599" s="2" t="str">
        <f>IFERROR(__xludf.DUMMYFUNCTION("GOOGLETRANSLATE(A23599, ""en"", ""mt"")"),"Kemm interċezzjonijiet huma kkreditati d-difiża tal-Panthers fl-2015?")</f>
        <v>Kemm interċezzjonijiet huma kkreditati d-difiża tal-Panthers fl-2015?</v>
      </c>
    </row>
    <row r="23600" ht="15.75" customHeight="1">
      <c r="A23600" s="2" t="s">
        <v>23600</v>
      </c>
      <c r="B23600" s="2" t="str">
        <f>IFERROR(__xludf.DUMMYFUNCTION("GOOGLETRANSLATE(A23600, ""en"", ""mt"")"),"Matul liema perjodu ta 'żmien inugwaljanza fid-dħul naqset fl-Istati Uniti?")</f>
        <v>Matul liema perjodu ta 'żmien inugwaljanza fid-dħul naqset fl-Istati Uniti?</v>
      </c>
    </row>
    <row r="23601" ht="15.75" customHeight="1">
      <c r="A23601" s="2" t="s">
        <v>23601</v>
      </c>
      <c r="B23601" s="2" t="str">
        <f>IFERROR(__xludf.DUMMYFUNCTION("GOOGLETRANSLATE(A23601, ""en"", ""mt"")"),"Bħala ewforika kif jintuża l-ossiġnu fil-vireg?")</f>
        <v>Bħala ewforika kif jintuża l-ossiġnu fil-vireg?</v>
      </c>
    </row>
    <row r="23602" ht="15.75" customHeight="1">
      <c r="A23602" s="2" t="s">
        <v>23602</v>
      </c>
      <c r="B23602" s="2" t="str">
        <f>IFERROR(__xludf.DUMMYFUNCTION("GOOGLETRANSLATE(A23602, ""en"", ""mt"")"),"Liema tim telfa l-Panthers?")</f>
        <v>Liema tim telfa l-Panthers?</v>
      </c>
    </row>
    <row r="23603" ht="15.75" customHeight="1">
      <c r="A23603" s="2" t="s">
        <v>23603</v>
      </c>
      <c r="B23603" s="2" t="str">
        <f>IFERROR(__xludf.DUMMYFUNCTION("GOOGLETRANSLATE(A23603, ""en"", ""mt"")"),"Templar tal-Kavallieri")</f>
        <v>Templar tal-Kavallieri</v>
      </c>
    </row>
    <row r="23604" ht="15.75" customHeight="1">
      <c r="A23604" s="2" t="s">
        <v>23604</v>
      </c>
      <c r="B23604" s="2" t="str">
        <f>IFERROR(__xludf.DUMMYFUNCTION("GOOGLETRANSLATE(A23604, ""en"", ""mt"")"),"Kemm hemm volumi totali fis-sistema tal-librerija ta 'Harvard?")</f>
        <v>Kemm hemm volumi totali fis-sistema tal-librerija ta 'Harvard?</v>
      </c>
    </row>
    <row r="23605" ht="15.75" customHeight="1">
      <c r="A23605" s="2" t="s">
        <v>23605</v>
      </c>
      <c r="B23605" s="2" t="str">
        <f>IFERROR(__xludf.DUMMYFUNCTION("GOOGLETRANSLATE(A23605, ""en"", ""mt"")"),"difiża u ġustifikazzjoni tal-bini tal-imperu")</f>
        <v>difiża u ġustifikazzjoni tal-bini tal-imperu</v>
      </c>
    </row>
    <row r="23606" ht="15.75" customHeight="1">
      <c r="A23606" s="2" t="s">
        <v>23606</v>
      </c>
      <c r="B23606" s="2" t="str">
        <f>IFERROR(__xludf.DUMMYFUNCTION("GOOGLETRANSLATE(A23606, ""en"", ""mt"")"),"""Kumitat ta 'Konċiljazzjoni""")</f>
        <v>"Kumitat ta 'Konċiljazzjoni"</v>
      </c>
    </row>
    <row r="23607" ht="15.75" customHeight="1">
      <c r="A23607" s="2" t="s">
        <v>23607</v>
      </c>
      <c r="B23607" s="2" t="str">
        <f>IFERROR(__xludf.DUMMYFUNCTION("GOOGLETRANSLATE(A23607, ""en"", ""mt"")"),"Għaliex ir-Rhine ġie mqassar?")</f>
        <v>Għaliex ir-Rhine ġie mqassar?</v>
      </c>
    </row>
    <row r="23608" ht="15.75" customHeight="1">
      <c r="A23608" s="2" t="s">
        <v>23608</v>
      </c>
      <c r="B23608" s="2" t="str">
        <f>IFERROR(__xludf.DUMMYFUNCTION("GOOGLETRANSLATE(A23608, ""en"", ""mt"")"),"Siġill ta 'Approvazzjoni fuq Żwieġ Klerikali")</f>
        <v>Siġill ta 'Approvazzjoni fuq Żwieġ Klerikali</v>
      </c>
    </row>
    <row r="23609" ht="15.75" customHeight="1">
      <c r="A23609" s="2" t="s">
        <v>23609</v>
      </c>
      <c r="B23609" s="2" t="str">
        <f>IFERROR(__xludf.DUMMYFUNCTION("GOOGLETRANSLATE(A23609, ""en"", ""mt"")"),"Preskrizzjonijiet tal-pazjenti u kwistjonijiet ta 'sigurtà tal-pazjent")</f>
        <v>Preskrizzjonijiet tal-pazjenti u kwistjonijiet ta 'sigurtà tal-pazjent</v>
      </c>
    </row>
    <row r="23610" ht="15.75" customHeight="1">
      <c r="A23610" s="2" t="s">
        <v>23610</v>
      </c>
      <c r="B23610" s="2" t="str">
        <f>IFERROR(__xludf.DUMMYFUNCTION("GOOGLETRANSLATE(A23610, ""en"", ""mt"")"),"L-ewwel xokk taż-żejt")</f>
        <v>L-ewwel xokk taż-żejt</v>
      </c>
    </row>
    <row r="23611" ht="15.75" customHeight="1">
      <c r="A23611" s="2" t="s">
        <v>23611</v>
      </c>
      <c r="B23611" s="2" t="str">
        <f>IFERROR(__xludf.DUMMYFUNCTION("GOOGLETRANSLATE(A23611, ""en"", ""mt"")"),"Liema pajjiż tal-Punent għadu permess il-kastig korporali?")</f>
        <v>Liema pajjiż tal-Punent għadu permess il-kastig korporali?</v>
      </c>
    </row>
    <row r="23612" ht="15.75" customHeight="1">
      <c r="A23612" s="2" t="s">
        <v>23612</v>
      </c>
      <c r="B23612" s="2" t="str">
        <f>IFERROR(__xludf.DUMMYFUNCTION("GOOGLETRANSLATE(A23612, ""en"", ""mt"")"),"iTunes")</f>
        <v>iTunes</v>
      </c>
    </row>
    <row r="23613" ht="15.75" customHeight="1">
      <c r="A23613" s="2" t="s">
        <v>23613</v>
      </c>
      <c r="B23613" s="2" t="str">
        <f>IFERROR(__xludf.DUMMYFUNCTION("GOOGLETRANSLATE(A23613, ""en"", ""mt"")"),"Bob Gallion")</f>
        <v>Bob Gallion</v>
      </c>
    </row>
    <row r="23614" ht="15.75" customHeight="1">
      <c r="A23614" s="2" t="s">
        <v>23614</v>
      </c>
      <c r="B23614" s="2" t="str">
        <f>IFERROR(__xludf.DUMMYFUNCTION("GOOGLETRANSLATE(A23614, ""en"", ""mt"")"),"edukazzjoni għolja")</f>
        <v>edukazzjoni għolja</v>
      </c>
    </row>
    <row r="23615" ht="15.75" customHeight="1">
      <c r="A23615" s="2" t="s">
        <v>23615</v>
      </c>
      <c r="B23615" s="2" t="str">
        <f>IFERROR(__xludf.DUMMYFUNCTION("GOOGLETRANSLATE(A23615, ""en"", ""mt"")"),"Liema ktieb iddiskuta t-teorija dwar popolazzjonijiet baxxi fil-foresta tropikali tal-Amażonja?")</f>
        <v>Liema ktieb iddiskuta t-teorija dwar popolazzjonijiet baxxi fil-foresta tropikali tal-Amażonja?</v>
      </c>
    </row>
    <row r="23616" ht="15.75" customHeight="1">
      <c r="A23616" s="2" t="s">
        <v>23616</v>
      </c>
      <c r="B23616" s="2" t="str">
        <f>IFERROR(__xludf.DUMMYFUNCTION("GOOGLETRANSLATE(A23616, ""en"", ""mt"")"),"260 kilometru")</f>
        <v>260 kilometru</v>
      </c>
    </row>
    <row r="23617" ht="15.75" customHeight="1">
      <c r="A23617" s="2" t="s">
        <v>23617</v>
      </c>
      <c r="B23617" s="2" t="str">
        <f>IFERROR(__xludf.DUMMYFUNCTION("GOOGLETRANSLATE(A23617, ""en"", ""mt"")"),"Żona ġeografika li tkopri kif ukoll il-frekwenza tal-laqgħa. Il-kleru huma membri tal-konferenza annwali tagħhom aktar milli ta 'xi kongregazzjoni lokali,")</f>
        <v>Żona ġeografika li tkopri kif ukoll il-frekwenza tal-laqgħa. Il-kleru huma membri tal-konferenza annwali tagħhom aktar milli ta 'xi kongregazzjoni lokali,</v>
      </c>
    </row>
    <row r="23618" ht="15.75" customHeight="1">
      <c r="A23618" s="2" t="s">
        <v>23618</v>
      </c>
      <c r="B23618" s="2" t="str">
        <f>IFERROR(__xludf.DUMMYFUNCTION("GOOGLETRANSLATE(A23618, ""en"", ""mt"")"),"Fejn ir-Rhine tbattal?")</f>
        <v>Fejn ir-Rhine tbattal?</v>
      </c>
    </row>
    <row r="23619" ht="15.75" customHeight="1">
      <c r="A23619" s="2" t="s">
        <v>23619</v>
      </c>
      <c r="B23619" s="2" t="str">
        <f>IFERROR(__xludf.DUMMYFUNCTION("GOOGLETRANSLATE(A23619, ""en"", ""mt"")"),"Fejn l-istandard Megalopolis tan-Nofsinhar ta 'California f'termini ta' popolazzjoni fuq livell nazzjonali?")</f>
        <v>Fejn l-istandard Megalopolis tan-Nofsinhar ta 'California f'termini ta' popolazzjoni fuq livell nazzjonali?</v>
      </c>
    </row>
    <row r="23620" ht="15.75" customHeight="1">
      <c r="A23620" s="2" t="s">
        <v>23620</v>
      </c>
      <c r="B23620" s="2" t="str">
        <f>IFERROR(__xludf.DUMMYFUNCTION("GOOGLETRANSLATE(A23620, ""en"", ""mt"")"),"definizzjonijiet ikkumplikati")</f>
        <v>definizzjonijiet ikkumplikati</v>
      </c>
    </row>
    <row r="23621" ht="15.75" customHeight="1">
      <c r="A23621" s="2" t="s">
        <v>23621</v>
      </c>
      <c r="B23621" s="2" t="str">
        <f>IFERROR(__xludf.DUMMYFUNCTION("GOOGLETRANSLATE(A23621, ""en"", ""mt"")"),"Liema età tibda l-edukazzjoni bażika?")</f>
        <v>Liema età tibda l-edukazzjoni bażika?</v>
      </c>
    </row>
    <row r="23622" ht="15.75" customHeight="1">
      <c r="A23622" s="2" t="s">
        <v>23622</v>
      </c>
      <c r="B23622" s="2" t="str">
        <f>IFERROR(__xludf.DUMMYFUNCTION("GOOGLETRANSLATE(A23622, ""en"", ""mt"")"),"Kunsill Reġjonali Lothian")</f>
        <v>Kunsill Reġjonali Lothian</v>
      </c>
    </row>
    <row r="23623" ht="15.75" customHeight="1">
      <c r="A23623" s="2" t="s">
        <v>23623</v>
      </c>
      <c r="B23623" s="2" t="str">
        <f>IFERROR(__xludf.DUMMYFUNCTION("GOOGLETRANSLATE(A23623, ""en"", ""mt"")"),"Liema fergħa hija indipendenti mill-fergħat l-oħra?")</f>
        <v>Liema fergħa hija indipendenti mill-fergħat l-oħra?</v>
      </c>
    </row>
    <row r="23624" ht="15.75" customHeight="1">
      <c r="A23624" s="2" t="s">
        <v>23624</v>
      </c>
      <c r="B23624" s="2" t="str">
        <f>IFERROR(__xludf.DUMMYFUNCTION("GOOGLETRANSLATE(A23624, ""en"", ""mt"")"),"Tlieta sa ħamsa")</f>
        <v>Tlieta sa ħamsa</v>
      </c>
    </row>
    <row r="23625" ht="15.75" customHeight="1">
      <c r="A23625" s="2" t="s">
        <v>23625</v>
      </c>
      <c r="B23625" s="2" t="str">
        <f>IFERROR(__xludf.DUMMYFUNCTION("GOOGLETRANSLATE(A23625, ""en"", ""mt"")"),"Anheuser-Busch InBev")</f>
        <v>Anheuser-Busch InBev</v>
      </c>
    </row>
    <row r="23626" ht="15.75" customHeight="1">
      <c r="A23626" s="2" t="s">
        <v>23626</v>
      </c>
      <c r="B23626" s="2" t="str">
        <f>IFERROR(__xludf.DUMMYFUNCTION("GOOGLETRANSLATE(A23626, ""en"", ""mt"")"),"Liema aġenzija tal-gvern issorvelja l-patrijiet Buddisti?")</f>
        <v>Liema aġenzija tal-gvern issorvelja l-patrijiet Buddisti?</v>
      </c>
    </row>
    <row r="23627" ht="15.75" customHeight="1">
      <c r="A23627" s="2" t="s">
        <v>23627</v>
      </c>
      <c r="B23627" s="2" t="str">
        <f>IFERROR(__xludf.DUMMYFUNCTION("GOOGLETRANSLATE(A23627, ""en"", ""mt"")"),"Għaliex iseħħu dawn id-difetti?")</f>
        <v>Għaliex iseħħu dawn id-difetti?</v>
      </c>
    </row>
    <row r="23628" ht="15.75" customHeight="1">
      <c r="A23628" s="2" t="s">
        <v>23628</v>
      </c>
      <c r="B23628" s="2" t="str">
        <f>IFERROR(__xludf.DUMMYFUNCTION("GOOGLETRANSLATE(A23628, ""en"", ""mt"")"),"L-Ungeriżi wettqu din id-diżubbidjenza ċivili taħt id-direzzjoni ta ’liema persuna?")</f>
        <v>L-Ungeriżi wettqu din id-diżubbidjenza ċivili taħt id-direzzjoni ta ’liema persuna?</v>
      </c>
    </row>
    <row r="23629" ht="15.75" customHeight="1">
      <c r="A23629" s="2" t="s">
        <v>23629</v>
      </c>
      <c r="B23629" s="2" t="str">
        <f>IFERROR(__xludf.DUMMYFUNCTION("GOOGLETRANSLATE(A23629, ""en"", ""mt"")"),"Portugiż")</f>
        <v>Portugiż</v>
      </c>
    </row>
    <row r="23630" ht="15.75" customHeight="1">
      <c r="A23630" s="2" t="s">
        <v>23630</v>
      </c>
      <c r="B23630" s="2" t="str">
        <f>IFERROR(__xludf.DUMMYFUNCTION("GOOGLETRANSLATE(A23630, ""en"", ""mt"")"),"Għall-eżistenza tal-kloroplast mitluf")</f>
        <v>Għall-eżistenza tal-kloroplast mitluf</v>
      </c>
    </row>
    <row r="23631" ht="15.75" customHeight="1">
      <c r="A23631" s="2" t="s">
        <v>23631</v>
      </c>
      <c r="B23631" s="2" t="str">
        <f>IFERROR(__xludf.DUMMYFUNCTION("GOOGLETRANSLATE(A23631, ""en"", ""mt"")"),"Dak li huwa komunement maħsub li huwa r-relazzjoni ta 'valur bejn p u ko-np")</f>
        <v>Dak li huwa komunement maħsub li huwa r-relazzjoni ta 'valur bejn p u ko-np</v>
      </c>
    </row>
    <row r="23632" ht="15.75" customHeight="1">
      <c r="A23632" s="2" t="s">
        <v>23632</v>
      </c>
      <c r="B23632" s="2" t="str">
        <f>IFERROR(__xludf.DUMMYFUNCTION("GOOGLETRANSLATE(A23632, ""en"", ""mt"")"),"Liema ħaġa assoċjata mal-futbol bdiet għand Justin Herman Plaza f'Jannar?")</f>
        <v>Liema ħaġa assoċjata mal-futbol bdiet għand Justin Herman Plaza f'Jannar?</v>
      </c>
    </row>
    <row r="23633" ht="15.75" customHeight="1">
      <c r="A23633" s="2" t="s">
        <v>23633</v>
      </c>
      <c r="B23633" s="2" t="str">
        <f>IFERROR(__xludf.DUMMYFUNCTION("GOOGLETRANSLATE(A23633, ""en"", ""mt"")"),"1910–1911")</f>
        <v>1910–1911</v>
      </c>
    </row>
    <row r="23634" ht="15.75" customHeight="1">
      <c r="A23634" s="2" t="s">
        <v>23634</v>
      </c>
      <c r="B23634" s="2" t="str">
        <f>IFERROR(__xludf.DUMMYFUNCTION("GOOGLETRANSLATE(A23634, ""en"", ""mt"")"),"f'kuntatt mal-istoma")</f>
        <v>f'kuntatt mal-istoma</v>
      </c>
    </row>
    <row r="23635" ht="15.75" customHeight="1">
      <c r="A23635" s="2" t="s">
        <v>23635</v>
      </c>
      <c r="B23635" s="2" t="str">
        <f>IFERROR(__xludf.DUMMYFUNCTION("GOOGLETRANSLATE(A23635, ""en"", ""mt"")"),"mhux funzjonali")</f>
        <v>mhux funzjonali</v>
      </c>
    </row>
    <row r="23636" ht="15.75" customHeight="1">
      <c r="A23636" s="2" t="s">
        <v>23636</v>
      </c>
      <c r="B23636" s="2" t="str">
        <f>IFERROR(__xludf.DUMMYFUNCTION("GOOGLETRANSLATE(A23636, ""en"", ""mt"")"),"IVA")</f>
        <v>IVA</v>
      </c>
    </row>
    <row r="23637" ht="15.75" customHeight="1">
      <c r="A23637" s="2" t="s">
        <v>23637</v>
      </c>
      <c r="B23637" s="2" t="str">
        <f>IFERROR(__xludf.DUMMYFUNCTION("GOOGLETRANSLATE(A23637, ""en"", ""mt"")"),"Royal Shakespeare")</f>
        <v>Royal Shakespeare</v>
      </c>
    </row>
    <row r="23638" ht="15.75" customHeight="1">
      <c r="A23638" s="2" t="s">
        <v>23638</v>
      </c>
      <c r="B23638" s="2" t="str">
        <f>IFERROR(__xludf.DUMMYFUNCTION("GOOGLETRANSLATE(A23638, ""en"", ""mt"")"),"Il-Parlament Skoċċiż jista 'jilleġiżla billi jogħġob sakemm il-poteri ma jkunux diġà riservati minn fejn?")</f>
        <v>Il-Parlament Skoċċiż jista 'jilleġiżla billi jogħġob sakemm il-poteri ma jkunux diġà riservati minn fejn?</v>
      </c>
    </row>
    <row r="23639" ht="15.75" customHeight="1">
      <c r="A23639" s="2" t="s">
        <v>23639</v>
      </c>
      <c r="B23639" s="2" t="str">
        <f>IFERROR(__xludf.DUMMYFUNCTION("GOOGLETRANSLATE(A23639, ""en"", ""mt"")"),"X'kien il-vantaġġ tas-sistema b'żewġ fażijiet")</f>
        <v>X'kien il-vantaġġ tas-sistema b'żewġ fażijiet</v>
      </c>
    </row>
    <row r="23640" ht="15.75" customHeight="1">
      <c r="A23640" s="2" t="s">
        <v>23640</v>
      </c>
      <c r="B23640" s="2" t="str">
        <f>IFERROR(__xludf.DUMMYFUNCTION("GOOGLETRANSLATE(A23640, ""en"", ""mt"")"),"Wb")</f>
        <v>Wb</v>
      </c>
    </row>
    <row r="23641" ht="15.75" customHeight="1">
      <c r="A23641" s="2" t="s">
        <v>23641</v>
      </c>
      <c r="B23641" s="2" t="str">
        <f>IFERROR(__xludf.DUMMYFUNCTION("GOOGLETRANSLATE(A23641, ""en"", ""mt"")"),"Liema gvernatur inkarigat minn Franza l-ġdida miet fl-1752?")</f>
        <v>Liema gvernatur inkarigat minn Franza l-ġdida miet fl-1752?</v>
      </c>
    </row>
    <row r="23642" ht="15.75" customHeight="1">
      <c r="A23642" s="2" t="s">
        <v>23642</v>
      </c>
      <c r="B23642" s="2" t="str">
        <f>IFERROR(__xludf.DUMMYFUNCTION("GOOGLETRANSLATE(A23642, ""en"", ""mt"")"),"Liema magni tal-baħar kienu inqas effiċjenti minn turbini tal-fwar?")</f>
        <v>Liema magni tal-baħar kienu inqas effiċjenti minn turbini tal-fwar?</v>
      </c>
    </row>
    <row r="23643" ht="15.75" customHeight="1">
      <c r="A23643" s="2" t="s">
        <v>23643</v>
      </c>
      <c r="B23643" s="2" t="str">
        <f>IFERROR(__xludf.DUMMYFUNCTION("GOOGLETRANSLATE(A23643, ""en"", ""mt"")"),"Thomas Vasey u Richard Whatcoat.")</f>
        <v>Thomas Vasey u Richard Whatcoat.</v>
      </c>
    </row>
    <row r="23644" ht="15.75" customHeight="1">
      <c r="A23644" s="2" t="s">
        <v>23644</v>
      </c>
      <c r="B23644" s="2" t="str">
        <f>IFERROR(__xludf.DUMMYFUNCTION("GOOGLETRANSLATE(A23644, ""en"", ""mt"")"),"L-esperjenza annwali tal-NFL saret fiċ-Ċentru Moscone f'San Francisco. Barra minn hekk, ""Super Bowl City"" infetħet fit-30 ta 'Jannar f'Justin Herman Plaza fuq l-Embarcadero, li tinkludi logħob u attivitajiet li jenfasizzaw it-teknoloġija tal-Bajja, il-k"&amp;"reazzjonijiet kulinari, u d-diversità kulturali. Aktar minn miljun persuna huma mistennija jattendu l-festi f'San Francisco matul il-ġimgħa tas-Super Bowl. Is-Sindku ta 'San Francisco Ed Lee qal dwar il-preżenza viżibbli ħafna bla saqaf f'dan il-qasam ""l"&amp;"i se jkollhom jitilqu"". Is-Superviżur tal-Belt ta 'San Francisco Jane Kim għamlet pressjoni bla suċċess għall-NFL biex tirrimborża San Francisco għas-servizzi tal-belt fl-ammont ta' $ 5 miljun.")</f>
        <v>L-esperjenza annwali tal-NFL saret fiċ-Ċentru Moscone f'San Francisco. Barra minn hekk, "Super Bowl City" infetħet fit-30 ta 'Jannar f'Justin Herman Plaza fuq l-Embarcadero, li tinkludi logħob u attivitajiet li jenfasizzaw it-teknoloġija tal-Bajja, il-kreazzjonijiet kulinari, u d-diversità kulturali. Aktar minn miljun persuna huma mistennija jattendu l-festi f'San Francisco matul il-ġimgħa tas-Super Bowl. Is-Sindku ta 'San Francisco Ed Lee qal dwar il-preżenza viżibbli ħafna bla saqaf f'dan il-qasam "li se jkollhom jitilqu". Is-Superviżur tal-Belt ta 'San Francisco Jane Kim għamlet pressjoni bla suċċess għall-NFL biex tirrimborża San Francisco għas-servizzi tal-belt fl-ammont ta' $ 5 miljun.</v>
      </c>
    </row>
    <row r="23645" ht="15.75" customHeight="1">
      <c r="A23645" s="2" t="s">
        <v>23645</v>
      </c>
      <c r="B23645" s="2" t="str">
        <f>IFERROR(__xludf.DUMMYFUNCTION("GOOGLETRANSLATE(A23645, ""en"", ""mt"")"),"Minbarra Firebox, x'inhu isem ieħor għall-ispazju li fih materjal kombustibbli jinħaraq fil-magna?")</f>
        <v>Minbarra Firebox, x'inhu isem ieħor għall-ispazju li fih materjal kombustibbli jinħaraq fil-magna?</v>
      </c>
    </row>
    <row r="23646" ht="15.75" customHeight="1">
      <c r="A23646" s="2" t="s">
        <v>23646</v>
      </c>
      <c r="B23646" s="2" t="str">
        <f>IFERROR(__xludf.DUMMYFUNCTION("GOOGLETRANSLATE(A23646, ""en"", ""mt"")"),"F'liema post l-esperjenza tal-NFL saret?")</f>
        <v>F'liema post l-esperjenza tal-NFL saret?</v>
      </c>
    </row>
    <row r="23647" ht="15.75" customHeight="1">
      <c r="A23647" s="2" t="s">
        <v>23647</v>
      </c>
      <c r="B23647" s="2" t="str">
        <f>IFERROR(__xludf.DUMMYFUNCTION("GOOGLETRANSLATE(A23647, ""en"", ""mt"")"),"Fit-30 ta 'Lulju 1891, fl-età ta '35 sena, Tesla saret ċittadin naturalizzat ta' l-Istati Uniti, u stabbilixxa l-laboratorju tiegħu fin-Nofsinhar tal-Ħames Vjal, u aktar tard ieħor fi 46 Triq E. Houston, fi New York. Huwa mixgħul lampi elettriċi mingħajr "&amp;"fili fiż-żewġ postijiet, li juru l-potenzjal ta 'trasmissjoni ta' enerġija mingħajr fili. Fl-istess sena, huwa brevettat il-kolja Tesla.")</f>
        <v>Fit-30 ta 'Lulju 1891, fl-età ta '35 sena, Tesla saret ċittadin naturalizzat ta' l-Istati Uniti, u stabbilixxa l-laboratorju tiegħu fin-Nofsinhar tal-Ħames Vjal, u aktar tard ieħor fi 46 Triq E. Houston, fi New York. Huwa mixgħul lampi elettriċi mingħajr fili fiż-żewġ postijiet, li juru l-potenzjal ta 'trasmissjoni ta' enerġija mingħajr fili. Fl-istess sena, huwa brevettat il-kolja Tesla.</v>
      </c>
    </row>
    <row r="23648" ht="15.75" customHeight="1">
      <c r="A23648" s="2" t="s">
        <v>23648</v>
      </c>
      <c r="B23648" s="2" t="str">
        <f>IFERROR(__xludf.DUMMYFUNCTION("GOOGLETRANSLATE(A23648, ""en"", ""mt"")"),"Liema qarib tat-tabib li vvjaġġa miegħu fl-episodji bikrija?")</f>
        <v>Liema qarib tat-tabib li vvjaġġa miegħu fl-episodji bikrija?</v>
      </c>
    </row>
    <row r="23649" ht="15.75" customHeight="1">
      <c r="A23649" s="2" t="s">
        <v>23649</v>
      </c>
      <c r="B23649" s="2" t="str">
        <f>IFERROR(__xludf.DUMMYFUNCTION("GOOGLETRANSLATE(A23649, ""en"", ""mt"")"),"Hemm evidenza li kien hemm bidliet sinifikanti fil-veġetazzjoni tal-foresta tropikali tal-Amazon matul dawn l-aħħar 21,000 sena sa l-aħħar massimu glaċjali (LGM) u d-deglakjazzjoni sussegwenti. L-analiżi tad-depożiti tas-sedimenti mill-paleolakes tal-baċi"&amp;"n tal-Amazon u mill-fann tal-Amazon jindikaw li x-xita fil-baċin waqt l-LGM kienet inqas minn dik tal-preżent, u dan kien kważi ċertament assoċjat ma 'kopertura ta' veġetazzjoni tropikali niedja mnaqqsa fil-baċin. Hemm dibattitu, madankollu, dwar kemm kie"&amp;"n estensiv dan it-tnaqqis. Xi xjenzati jargumentaw li l-foresta tropikali tnaqqset għal refugia żgħira u iżolata separata mill-foresta miftuħa u l-ħaxix; Xjentisti oħra jargumentaw li l-foresta tropikali baqgħet fil-biċċa l-kbira intatta iżda estiża inqas"&amp;" lejn it-tramuntana, in-nofsinhar u l-lvant milli tidher illum. Dan id-dibattitu wera diffiċli biex jiġi solvut minħabba li l-limitazzjonijiet prattiċi tal-ħidma fil-foresta tropikali jfissru li l-kampjunar tad-dejta huwa preġudikat 'il bogħod miċ-ċentru "&amp;"tal-baċin tal-Amażonja, u ż-żewġ spjegazzjonijiet huma raġonevolment appoġġjati tajjeb mid-dejta disponibbli.")</f>
        <v>Hemm evidenza li kien hemm bidliet sinifikanti fil-veġetazzjoni tal-foresta tropikali tal-Amazon matul dawn l-aħħar 21,000 sena sa l-aħħar massimu glaċjali (LGM) u d-deglakjazzjoni sussegwenti. L-analiżi tad-depożiti tas-sedimenti mill-paleolakes tal-baċin tal-Amazon u mill-fann tal-Amazon jindikaw li x-xita fil-baċin waqt l-LGM kienet inqas minn dik tal-preżent, u dan kien kważi ċertament assoċjat ma 'kopertura ta' veġetazzjoni tropikali niedja mnaqqsa fil-baċin. Hemm dibattitu, madankollu, dwar kemm kien estensiv dan it-tnaqqis. Xi xjenzati jargumentaw li l-foresta tropikali tnaqqset għal refugia żgħira u iżolata separata mill-foresta miftuħa u l-ħaxix; Xjentisti oħra jargumentaw li l-foresta tropikali baqgħet fil-biċċa l-kbira intatta iżda estiża inqas lejn it-tramuntana, in-nofsinhar u l-lvant milli tidher illum. Dan id-dibattitu wera diffiċli biex jiġi solvut minħabba li l-limitazzjonijiet prattiċi tal-ħidma fil-foresta tropikali jfissru li l-kampjunar tad-dejta huwa preġudikat 'il bogħod miċ-ċentru tal-baċin tal-Amażonja, u ż-żewġ spjegazzjonijiet huma raġonevolment appoġġjati tajjeb mid-dejta disponibbli.</v>
      </c>
    </row>
    <row r="23650" ht="15.75" customHeight="1">
      <c r="A23650" s="2" t="s">
        <v>23650</v>
      </c>
      <c r="B23650" s="2" t="str">
        <f>IFERROR(__xludf.DUMMYFUNCTION("GOOGLETRANSLATE(A23650, ""en"", ""mt"")"),"X'tip ta 'ħajt taċ-ċellula għandhom ċjanobatterji?")</f>
        <v>X'tip ta 'ħajt taċ-ċellula għandhom ċjanobatterji?</v>
      </c>
    </row>
    <row r="23651" ht="15.75" customHeight="1">
      <c r="A23651" s="2" t="s">
        <v>23651</v>
      </c>
      <c r="B23651" s="2" t="str">
        <f>IFERROR(__xludf.DUMMYFUNCTION("GOOGLETRANSLATE(A23651, ""en"", ""mt"")"),"Bidla tal-Qalb")</f>
        <v>Bidla tal-Qalb</v>
      </c>
    </row>
    <row r="23652" ht="15.75" customHeight="1">
      <c r="A23652" s="2" t="s">
        <v>23652</v>
      </c>
      <c r="B23652" s="2" t="str">
        <f>IFERROR(__xludf.DUMMYFUNCTION("GOOGLETRANSLATE(A23652, ""en"", ""mt"")"),"Kemm hemm lagi f'Varsavja?")</f>
        <v>Kemm hemm lagi f'Varsavja?</v>
      </c>
    </row>
    <row r="23653" ht="15.75" customHeight="1">
      <c r="A23653" s="2" t="s">
        <v>23653</v>
      </c>
      <c r="B23653" s="2" t="str">
        <f>IFERROR(__xludf.DUMMYFUNCTION("GOOGLETRANSLATE(A23653, ""en"", ""mt"")"),"Fi tmiem dan id-diskors, Luther għolla driegħu ""fis-salut tradizzjonali ta 'kavallier li rebaħ bout."" Michael Mullett iqis dan id-diskors bħala ""klassika dinjija ta 'oratorju li jagħmel l-epoka.""")</f>
        <v>Fi tmiem dan id-diskors, Luther għolla driegħu "fis-salut tradizzjonali ta 'kavallier li rebaħ bout." Michael Mullett iqis dan id-diskors bħala "klassika dinjija ta 'oratorju li jagħmel l-epoka."</v>
      </c>
    </row>
    <row r="23654" ht="15.75" customHeight="1">
      <c r="A23654" s="2" t="s">
        <v>23654</v>
      </c>
      <c r="B23654" s="2" t="str">
        <f>IFERROR(__xludf.DUMMYFUNCTION("GOOGLETRANSLATE(A23654, ""en"", ""mt"")"),"Min spiss jopera l-ispiżeriji tal-internet?")</f>
        <v>Min spiss jopera l-ispiżeriji tal-internet?</v>
      </c>
    </row>
    <row r="23655" ht="15.75" customHeight="1">
      <c r="A23655" s="2" t="s">
        <v>23655</v>
      </c>
      <c r="B23655" s="2" t="str">
        <f>IFERROR(__xludf.DUMMYFUNCTION("GOOGLETRANSLATE(A23655, ""en"", ""mt"")"),"frizzjoni kinetika")</f>
        <v>frizzjoni kinetika</v>
      </c>
    </row>
    <row r="23656" ht="15.75" customHeight="1">
      <c r="A23656" s="2" t="s">
        <v>23656</v>
      </c>
      <c r="B23656" s="2" t="str">
        <f>IFERROR(__xludf.DUMMYFUNCTION("GOOGLETRANSLATE(A23656, ""en"", ""mt"")"),"Għal x'jista 'jiġi trasferit l-oqsma globali ġenerali għal jew minn?")</f>
        <v>Għal x'jista 'jiġi trasferit l-oqsma globali ġenerali għal jew minn?</v>
      </c>
    </row>
    <row r="23657" ht="15.75" customHeight="1">
      <c r="A23657" s="2" t="s">
        <v>23657</v>
      </c>
      <c r="B23657" s="2" t="str">
        <f>IFERROR(__xludf.DUMMYFUNCTION("GOOGLETRANSLATE(A23657, ""en"", ""mt"")"),"Ossidu Merkuriku (HGO)")</f>
        <v>Ossidu Merkuriku (HGO)</v>
      </c>
    </row>
    <row r="23658" ht="15.75" customHeight="1">
      <c r="A23658" s="2" t="s">
        <v>23658</v>
      </c>
      <c r="B23658" s="2" t="str">
        <f>IFERROR(__xludf.DUMMYFUNCTION("GOOGLETRANSLATE(A23658, ""en"", ""mt"")"),"Xi jfisser ir-rilaxx ta 'Helper T Cell meta jeħel mal-kumpless MHC: antiġen taċ-ċellula B?")</f>
        <v>Xi jfisser ir-rilaxx ta 'Helper T Cell meta jeħel mal-kumpless MHC: antiġen taċ-ċellula B?</v>
      </c>
    </row>
    <row r="23659" ht="15.75" customHeight="1">
      <c r="A23659" s="2" t="s">
        <v>23659</v>
      </c>
      <c r="B23659" s="2" t="str">
        <f>IFERROR(__xludf.DUMMYFUNCTION("GOOGLETRANSLATE(A23659, ""en"", ""mt"")"),"Min kienu l-ħabbaturi tas-Super Bowl 50?")</f>
        <v>Min kienu l-ħabbaturi tas-Super Bowl 50?</v>
      </c>
    </row>
    <row r="23660" ht="15.75" customHeight="1">
      <c r="A23660" s="2" t="s">
        <v>23660</v>
      </c>
      <c r="B23660" s="2" t="str">
        <f>IFERROR(__xludf.DUMMYFUNCTION("GOOGLETRANSLATE(A23660, ""en"", ""mt"")"),"Il-biċċa l-kbira tal-aspetti tas-sigurtà tat-trasport huwa ttrattat suġġett minn min?")</f>
        <v>Il-biċċa l-kbira tal-aspetti tas-sigurtà tat-trasport huwa ttrattat suġġett minn min?</v>
      </c>
    </row>
    <row r="23661" ht="15.75" customHeight="1">
      <c r="A23661" s="2" t="s">
        <v>23661</v>
      </c>
      <c r="B23661" s="2" t="str">
        <f>IFERROR(__xludf.DUMMYFUNCTION("GOOGLETRANSLATE(A23661, ""en"", ""mt"")"),"X'tip ta 'magna tat-Turing tista' tkun ikkaratterizzata billi tiċċekkja possibbiltajiet multipli fl-istess ħin?")</f>
        <v>X'tip ta 'magna tat-Turing tista' tkun ikkaratterizzata billi tiċċekkja possibbiltajiet multipli fl-istess ħin?</v>
      </c>
    </row>
    <row r="23662" ht="15.75" customHeight="1">
      <c r="A23662" s="2" t="s">
        <v>23662</v>
      </c>
      <c r="B23662" s="2" t="str">
        <f>IFERROR(__xludf.DUMMYFUNCTION("GOOGLETRANSLATE(A23662, ""en"", ""mt"")"),"Fejn inbnew il-linji tal-ferrovija tal-kejl dojoq fir-Rabat?")</f>
        <v>Fejn inbnew il-linji tal-ferrovija tal-kejl dojoq fir-Rabat?</v>
      </c>
    </row>
    <row r="23663" ht="15.75" customHeight="1">
      <c r="A23663" s="2" t="s">
        <v>23663</v>
      </c>
      <c r="B23663" s="2" t="str">
        <f>IFERROR(__xludf.DUMMYFUNCTION("GOOGLETRANSLATE(A23663, ""en"", ""mt"")"),"Liema ġeneru huwa meqjus bħala ""zija"" ta 'ctenophores?")</f>
        <v>Liema ġeneru huwa meqjus bħala "zija" ta 'ctenophores?</v>
      </c>
    </row>
    <row r="23664" ht="15.75" customHeight="1">
      <c r="A23664" s="2" t="s">
        <v>23664</v>
      </c>
      <c r="B23664" s="2" t="str">
        <f>IFERROR(__xludf.DUMMYFUNCTION("GOOGLETRANSLATE(A23664, ""en"", ""mt"")"),"X'kien ir-rwol ta 'Robert Watson fl-IPCC?")</f>
        <v>X'kien ir-rwol ta 'Robert Watson fl-IPCC?</v>
      </c>
    </row>
    <row r="23665" ht="15.75" customHeight="1">
      <c r="A23665" s="2" t="s">
        <v>23665</v>
      </c>
      <c r="B23665" s="2" t="str">
        <f>IFERROR(__xludf.DUMMYFUNCTION("GOOGLETRANSLATE(A23665, ""en"", ""mt"")"),"vjolenti")</f>
        <v>vjolenti</v>
      </c>
    </row>
    <row r="23666" ht="15.75" customHeight="1">
      <c r="A23666" s="2" t="s">
        <v>23666</v>
      </c>
      <c r="B23666" s="2" t="str">
        <f>IFERROR(__xludf.DUMMYFUNCTION("GOOGLETRANSLATE(A23666, ""en"", ""mt"")"),"Dimostrazzjoni ta 'protesta legali, diżubbidjenza ċivili mhux vjolenti, u diżubbidjenza ċivili vjolenti")</f>
        <v>Dimostrazzjoni ta 'protesta legali, diżubbidjenza ċivili mhux vjolenti, u diżubbidjenza ċivili vjolenti</v>
      </c>
    </row>
    <row r="23667" ht="15.75" customHeight="1">
      <c r="A23667" s="2" t="s">
        <v>23667</v>
      </c>
      <c r="B23667" s="2" t="str">
        <f>IFERROR(__xludf.DUMMYFUNCTION("GOOGLETRANSLATE(A23667, ""en"", ""mt"")"),"nofs is-snin 2000")</f>
        <v>nofs is-snin 2000</v>
      </c>
    </row>
    <row r="23668" ht="15.75" customHeight="1">
      <c r="A23668" s="2" t="s">
        <v>23668</v>
      </c>
      <c r="B23668" s="2" t="str">
        <f>IFERROR(__xludf.DUMMYFUNCTION("GOOGLETRANSLATE(A23668, ""en"", ""mt"")"),"X'inhi settiċemija?")</f>
        <v>X'inhi settiċemija?</v>
      </c>
    </row>
    <row r="23669" ht="15.75" customHeight="1">
      <c r="A23669" s="2" t="s">
        <v>23669</v>
      </c>
      <c r="B23669" s="2" t="str">
        <f>IFERROR(__xludf.DUMMYFUNCTION("GOOGLETRANSLATE(A23669, ""en"", ""mt"")"),"Bid-dawl tax-xemx, liema kompost kien ikkonċentra Priestley biex jagħmel il-gass li hu sejjaħ ""arja deflogistizzata""?")</f>
        <v>Bid-dawl tax-xemx, liema kompost kien ikkonċentra Priestley biex jagħmel il-gass li hu sejjaħ "arja deflogistizzata"?</v>
      </c>
    </row>
    <row r="23670" ht="15.75" customHeight="1">
      <c r="A23670" s="2" t="s">
        <v>23670</v>
      </c>
      <c r="B23670" s="2" t="str">
        <f>IFERROR(__xludf.DUMMYFUNCTION("GOOGLETRANSLATE(A23670, ""en"", ""mt"")"),"Nies li jġibu ruħhom bid-diżubbidjenza ċivili li mhix vjolenti jingħad li jagħmlu s-soċjetà għandha iktar minn xiex?")</f>
        <v>Nies li jġibu ruħhom bid-diżubbidjenza ċivili li mhix vjolenti jingħad li jagħmlu s-soċjetà għandha iktar minn xiex?</v>
      </c>
    </row>
    <row r="23671" ht="15.75" customHeight="1">
      <c r="A23671" s="2" t="s">
        <v>23671</v>
      </c>
      <c r="B23671" s="2" t="str">
        <f>IFERROR(__xludf.DUMMYFUNCTION("GOOGLETRANSLATE(A23671, ""en"", ""mt"")"),"Ċentru tar-Riċerka dwar il-Woods Hole")</f>
        <v>Ċentru tar-Riċerka dwar il-Woods Hole</v>
      </c>
    </row>
    <row r="23672" ht="15.75" customHeight="1">
      <c r="A23672" s="2" t="s">
        <v>23672</v>
      </c>
      <c r="B23672" s="2" t="str">
        <f>IFERROR(__xludf.DUMMYFUNCTION("GOOGLETRANSLATE(A23672, ""en"", ""mt"")"),"tqiegħedhom fuq il-fidi profetika.")</f>
        <v>tqiegħedhom fuq il-fidi profetika.</v>
      </c>
    </row>
    <row r="23673" ht="15.75" customHeight="1">
      <c r="A23673" s="2" t="s">
        <v>23673</v>
      </c>
      <c r="B23673" s="2" t="str">
        <f>IFERROR(__xludf.DUMMYFUNCTION("GOOGLETRANSLATE(A23673, ""en"", ""mt"")"),"Bħalissa, New Jersey, Rhode Island u Delaware huma l-uniċi stati ta 'l-Istati Uniti fejn ABC m'għandux affiljat liċenzjat lokalment (New Jersey huwa servut minn New York City O&amp;O WABC-TV u Philadelphia O&amp;O WPVI-TV; Rhode Island hija servuta minn New Bedfo"&amp;"rd , Massachusetts-licensed WLNE; u Delaware huwa servut minn WPVI u Salisbury, Maryland affiljat WMDT). ABC iżomm affiljazzjonijiet ma 'stazzjonijiet ta' enerġija baxxa (ixandru jew f'analog jew diġitali) fi ftit swieq, bħal Birmingham, Alabama (WBMA-LD)"&amp;", Lima, Ohio (WLQP-LP) u South Bend, Indiana (WBND-LD) - F’xi swieq, inklużi l-ewwel tnejn imsemmija, dawn l-istazzjonijiet iżommu wkoll simulcasts diġitali fuq subchannel ta ’stazzjon tat-televiżjoni full-power ko-proprjetà / ko-ġestita.")</f>
        <v>Bħalissa, New Jersey, Rhode Island u Delaware huma l-uniċi stati ta 'l-Istati Uniti fejn ABC m'għandux affiljat liċenzjat lokalment (New Jersey huwa servut minn New York City O&amp;O WABC-TV u Philadelphia O&amp;O WPVI-TV; Rhode Island hija servuta minn New Bedford , Massachusetts-licensed WLNE; u Delaware huwa servut minn WPVI u Salisbury, Maryland affiljat WMDT). ABC iżomm affiljazzjonijiet ma 'stazzjonijiet ta' enerġija baxxa (ixandru jew f'analog jew diġitali) fi ftit swieq, bħal Birmingham, Alabama (WBMA-LD), Lima, Ohio (WLQP-LP) u South Bend, Indiana (WBND-LD) - F’xi swieq, inklużi l-ewwel tnejn imsemmija, dawn l-istazzjonijiet iżommu wkoll simulcasts diġitali fuq subchannel ta ’stazzjon tat-televiżjoni full-power ko-proprjetà / ko-ġestita.</v>
      </c>
    </row>
    <row r="23674" ht="15.75" customHeight="1">
      <c r="A23674" s="2" t="s">
        <v>23674</v>
      </c>
      <c r="B23674" s="2" t="str">
        <f>IFERROR(__xludf.DUMMYFUNCTION("GOOGLETRANSLATE(A23674, ""en"", ""mt"")"),"Attakk fuq il-kapitali l-ġdida ta 'Franza, Quebec")</f>
        <v>Attakk fuq il-kapitali l-ġdida ta 'Franza, Quebec</v>
      </c>
    </row>
    <row r="23675" ht="15.75" customHeight="1">
      <c r="A23675" s="2" t="s">
        <v>23675</v>
      </c>
      <c r="B23675" s="2" t="str">
        <f>IFERROR(__xludf.DUMMYFUNCTION("GOOGLETRANSLATE(A23675, ""en"", ""mt"")"),"It-Tielet Liġi ta 'Newton")</f>
        <v>It-Tielet Liġi ta 'Newton</v>
      </c>
    </row>
    <row r="23676" ht="15.75" customHeight="1">
      <c r="A23676" s="2" t="s">
        <v>23676</v>
      </c>
      <c r="B23676" s="2" t="str">
        <f>IFERROR(__xludf.DUMMYFUNCTION("GOOGLETRANSLATE(A23676, ""en"", ""mt"")"),"Min kien l-artist ewlieni fl-ispettaklu tal-mistrieħ ta 'din is-sena?")</f>
        <v>Min kien l-artist ewlieni fl-ispettaklu tal-mistrieħ ta 'din is-sena?</v>
      </c>
    </row>
    <row r="23677" ht="15.75" customHeight="1">
      <c r="A23677" s="2" t="s">
        <v>23677</v>
      </c>
      <c r="B23677" s="2" t="str">
        <f>IFERROR(__xludf.DUMMYFUNCTION("GOOGLETRANSLATE(A23677, ""en"", ""mt"")"),"X'tip ta 'klima għandu l-Kenja?")</f>
        <v>X'tip ta 'klima għandu l-Kenja?</v>
      </c>
    </row>
    <row r="23678" ht="15.75" customHeight="1">
      <c r="A23678" s="2" t="s">
        <v>23678</v>
      </c>
      <c r="B23678" s="2" t="str">
        <f>IFERROR(__xludf.DUMMYFUNCTION("GOOGLETRANSLATE(A23678, ""en"", ""mt"")"),"1,160,000")</f>
        <v>1,160,000</v>
      </c>
    </row>
    <row r="23679" ht="15.75" customHeight="1">
      <c r="A23679" s="2" t="s">
        <v>23679</v>
      </c>
      <c r="B23679" s="2" t="str">
        <f>IFERROR(__xludf.DUMMYFUNCTION("GOOGLETRANSLATE(A23679, ""en"", ""mt"")"),"karotenojd aħmar-oranġjo aħmar jgħajjat")</f>
        <v>karotenojd aħmar-oranġjo aħmar jgħajjat</v>
      </c>
    </row>
    <row r="23680" ht="15.75" customHeight="1">
      <c r="A23680" s="2" t="s">
        <v>23680</v>
      </c>
      <c r="B23680" s="2" t="str">
        <f>IFERROR(__xludf.DUMMYFUNCTION("GOOGLETRANSLATE(A23680, ""en"", ""mt"")"),"Revoluzzjoni industrijali")</f>
        <v>Revoluzzjoni industrijali</v>
      </c>
    </row>
    <row r="23681" ht="15.75" customHeight="1">
      <c r="A23681" s="2" t="s">
        <v>23681</v>
      </c>
      <c r="B23681" s="2" t="str">
        <f>IFERROR(__xludf.DUMMYFUNCTION("GOOGLETRANSLATE(A23681, ""en"", ""mt"")"),"Meta l-isem Black Death ħa uffiċjalment l-għeruq fl-Ingilterra?")</f>
        <v>Meta l-isem Black Death ħa uffiċjalment l-għeruq fl-Ingilterra?</v>
      </c>
    </row>
    <row r="23682" ht="15.75" customHeight="1">
      <c r="A23682" s="2" t="s">
        <v>23682</v>
      </c>
      <c r="B23682" s="2" t="str">
        <f>IFERROR(__xludf.DUMMYFUNCTION("GOOGLETRANSLATE(A23682, ""en"", ""mt"")"),"Għal xiex tintuża l-biċċa l-kbira tal-art ikklerjata fir-reġjun tal-Amażonja?")</f>
        <v>Għal xiex tintuża l-biċċa l-kbira tal-art ikklerjata fir-reġjun tal-Amażonja?</v>
      </c>
    </row>
    <row r="23683" ht="15.75" customHeight="1">
      <c r="A23683" s="2" t="s">
        <v>23683</v>
      </c>
      <c r="B23683" s="2" t="str">
        <f>IFERROR(__xludf.DUMMYFUNCTION("GOOGLETRANSLATE(A23683, ""en"", ""mt"")"),"wieħed mill-ifqar pajjiżi fid-dinja")</f>
        <v>wieħed mill-ifqar pajjiżi fid-dinja</v>
      </c>
    </row>
    <row r="23684" ht="15.75" customHeight="1">
      <c r="A23684" s="2" t="s">
        <v>23684</v>
      </c>
      <c r="B23684" s="2" t="str">
        <f>IFERROR(__xludf.DUMMYFUNCTION("GOOGLETRANSLATE(A23684, ""en"", ""mt"")"),"Madwar 2.5 biljun sena ilu")</f>
        <v>Madwar 2.5 biljun sena ilu</v>
      </c>
    </row>
    <row r="23685" ht="15.75" customHeight="1">
      <c r="A23685" s="2" t="s">
        <v>23685</v>
      </c>
      <c r="B23685" s="2" t="str">
        <f>IFERROR(__xludf.DUMMYFUNCTION("GOOGLETRANSLATE(A23685, ""en"", ""mt"")"),"Fiżista Taljan")</f>
        <v>Fiżista Taljan</v>
      </c>
    </row>
    <row r="23686" ht="15.75" customHeight="1">
      <c r="A23686" s="2" t="s">
        <v>23686</v>
      </c>
      <c r="B23686" s="2" t="str">
        <f>IFERROR(__xludf.DUMMYFUNCTION("GOOGLETRANSLATE(A23686, ""en"", ""mt"")"),"It-tellieqa Dalek")</f>
        <v>It-tellieqa Dalek</v>
      </c>
    </row>
    <row r="23687" ht="15.75" customHeight="1">
      <c r="A23687" s="2" t="s">
        <v>23687</v>
      </c>
      <c r="B23687" s="2" t="str">
        <f>IFERROR(__xludf.DUMMYFUNCTION("GOOGLETRANSLATE(A23687, ""en"", ""mt"")"),"Organizzazzjoni Meteoroloġika Dinjija (WMO) u l-Programm tal-Ambjent tan-Nazzjonijiet Uniti (UNEP),")</f>
        <v>Organizzazzjoni Meteoroloġika Dinjija (WMO) u l-Programm tal-Ambjent tan-Nazzjonijiet Uniti (UNEP),</v>
      </c>
    </row>
    <row r="23688" ht="15.75" customHeight="1">
      <c r="A23688" s="2" t="s">
        <v>23688</v>
      </c>
      <c r="B23688" s="2" t="str">
        <f>IFERROR(__xludf.DUMMYFUNCTION("GOOGLETRANSLATE(A23688, ""en"", ""mt"")"),"impjegati taċ-ċivil")</f>
        <v>impjegati taċ-ċivil</v>
      </c>
    </row>
    <row r="23689" ht="15.75" customHeight="1">
      <c r="A23689" s="2" t="s">
        <v>23689</v>
      </c>
      <c r="B23689" s="2" t="str">
        <f>IFERROR(__xludf.DUMMYFUNCTION("GOOGLETRANSLATE(A23689, ""en"", ""mt"")"),"Radar modern")</f>
        <v>Radar modern</v>
      </c>
    </row>
    <row r="23690" ht="15.75" customHeight="1">
      <c r="A23690" s="2" t="s">
        <v>23690</v>
      </c>
      <c r="B23690" s="2" t="str">
        <f>IFERROR(__xludf.DUMMYFUNCTION("GOOGLETRANSLATE(A23690, ""en"", ""mt"")"),"X’tpejtiet Tesla li tipperfezzjona waqt li kienet fl-iskambju?")</f>
        <v>X’tpejtiet Tesla li tipperfezzjona waqt li kienet fl-iskambju?</v>
      </c>
    </row>
    <row r="23691" ht="15.75" customHeight="1">
      <c r="A23691" s="2" t="s">
        <v>23691</v>
      </c>
      <c r="B23691" s="2" t="str">
        <f>IFERROR(__xludf.DUMMYFUNCTION("GOOGLETRANSLATE(A23691, ""en"", ""mt"")"),"X'inhu l-isem uffiċjali sħiħ tal-belt ta 'Varsavja?")</f>
        <v>X'inhu l-isem uffiċjali sħiħ tal-belt ta 'Varsavja?</v>
      </c>
    </row>
    <row r="23692" ht="15.75" customHeight="1">
      <c r="A23692" s="2" t="s">
        <v>23692</v>
      </c>
      <c r="B23692" s="2" t="str">
        <f>IFERROR(__xludf.DUMMYFUNCTION("GOOGLETRANSLATE(A23692, ""en"", ""mt"")"),"9 ta 'Frar, 1832")</f>
        <v>9 ta 'Frar, 1832</v>
      </c>
    </row>
    <row r="23693" ht="15.75" customHeight="1">
      <c r="A23693" s="2" t="s">
        <v>23693</v>
      </c>
      <c r="B23693" s="2" t="str">
        <f>IFERROR(__xludf.DUMMYFUNCTION("GOOGLETRANSLATE(A23693, ""en"", ""mt"")"),"It-tieni l-iktar komunement")</f>
        <v>It-tieni l-iktar komunement</v>
      </c>
    </row>
    <row r="23694" ht="15.75" customHeight="1">
      <c r="A23694" s="2" t="s">
        <v>23694</v>
      </c>
      <c r="B23694" s="2" t="str">
        <f>IFERROR(__xludf.DUMMYFUNCTION("GOOGLETRANSLATE(A23694, ""en"", ""mt"")"),"X'inhu l-Protokoll UserDatagram Gaurentee")</f>
        <v>X'inhu l-Protokoll UserDatagram Gaurentee</v>
      </c>
    </row>
    <row r="23695" ht="15.75" customHeight="1">
      <c r="A23695" s="2" t="s">
        <v>23695</v>
      </c>
      <c r="B23695" s="2" t="str">
        <f>IFERROR(__xludf.DUMMYFUNCTION("GOOGLETRANSLATE(A23695, ""en"", ""mt"")"),"Tilwim dwar il-Kontroll tal-Konfluwenza tax-Xmajjar ta 'Allegheny u Monongahela, imsejħa l-Forks of the Ohio")</f>
        <v>Tilwim dwar il-Kontroll tal-Konfluwenza tax-Xmajjar ta 'Allegheny u Monongahela, imsejħa l-Forks of the Ohio</v>
      </c>
    </row>
    <row r="23696" ht="15.75" customHeight="1">
      <c r="A23696" s="2" t="s">
        <v>23696</v>
      </c>
      <c r="B23696" s="2" t="str">
        <f>IFERROR(__xludf.DUMMYFUNCTION("GOOGLETRANSLATE(A23696, ""en"", ""mt"")"),"X'inhi l-kimika li timmedja l-ipersensittività tat-tip 1?")</f>
        <v>X'inhi l-kimika li timmedja l-ipersensittività tat-tip 1?</v>
      </c>
    </row>
    <row r="23697" ht="15.75" customHeight="1">
      <c r="A23697" s="2" t="s">
        <v>23697</v>
      </c>
      <c r="B23697" s="2" t="str">
        <f>IFERROR(__xludf.DUMMYFUNCTION("GOOGLETRANSLATE(A23697, ""en"", ""mt"")"),"Mediċini ġodda")</f>
        <v>Mediċini ġodda</v>
      </c>
    </row>
    <row r="23698" ht="15.75" customHeight="1">
      <c r="A23698" s="2" t="s">
        <v>23698</v>
      </c>
      <c r="B23698" s="2" t="str">
        <f>IFERROR(__xludf.DUMMYFUNCTION("GOOGLETRANSLATE(A23698, ""en"", ""mt"")"),"X'tip ta 'organiżmu huwa Cyanophora?")</f>
        <v>X'tip ta 'organiżmu huwa Cyanophora?</v>
      </c>
    </row>
    <row r="23699" ht="15.75" customHeight="1">
      <c r="A23699" s="2" t="s">
        <v>23699</v>
      </c>
      <c r="B23699" s="2" t="str">
        <f>IFERROR(__xludf.DUMMYFUNCTION("GOOGLETRANSLATE(A23699, ""en"", ""mt"")"),"Mur id-dar u ibdel")</f>
        <v>Mur id-dar u ibdel</v>
      </c>
    </row>
    <row r="23700" ht="15.75" customHeight="1">
      <c r="A23700" s="2" t="s">
        <v>23700</v>
      </c>
      <c r="B23700" s="2" t="str">
        <f>IFERROR(__xludf.DUMMYFUNCTION("GOOGLETRANSLATE(A23700, ""en"", ""mt"")"),"Għal liema tim lagħab Rivera fis-Super Bowl XX?")</f>
        <v>Għal liema tim lagħab Rivera fis-Super Bowl XX?</v>
      </c>
    </row>
    <row r="23701" ht="15.75" customHeight="1">
      <c r="A23701" s="2" t="s">
        <v>23701</v>
      </c>
      <c r="B23701" s="2" t="str">
        <f>IFERROR(__xludf.DUMMYFUNCTION("GOOGLETRANSLATE(A23701, ""en"", ""mt"")"),"Dati ta 'prova tal-qorti kriminali internazzjonali")</f>
        <v>Dati ta 'prova tal-qorti kriminali internazzjonali</v>
      </c>
    </row>
    <row r="23702" ht="15.75" customHeight="1">
      <c r="A23702" s="2" t="s">
        <v>23702</v>
      </c>
      <c r="B23702" s="2" t="str">
        <f>IFERROR(__xludf.DUMMYFUNCTION("GOOGLETRANSLATE(A23702, ""en"", ""mt"")"),"Liema entità tal-gvern għenet tħallas għall-festi, lil hinn minn negozji u individwi?")</f>
        <v>Liema entità tal-gvern għenet tħallas għall-festi, lil hinn minn negozji u individwi?</v>
      </c>
    </row>
    <row r="23703" ht="15.75" customHeight="1">
      <c r="A23703" s="2" t="s">
        <v>23703</v>
      </c>
      <c r="B23703" s="2" t="str">
        <f>IFERROR(__xludf.DUMMYFUNCTION("GOOGLETRANSLATE(A23703, ""en"", ""mt"")"),"X'tip ta 'kumitat ikkunsidra leġislazzjoni dwar l-iżvilupp tan-Netwerk tat-Tram ta' Edinburgu?")</f>
        <v>X'tip ta 'kumitat ikkunsidra leġislazzjoni dwar l-iżvilupp tan-Netwerk tat-Tram ta' Edinburgu?</v>
      </c>
    </row>
    <row r="23704" ht="15.75" customHeight="1">
      <c r="A23704" s="2" t="s">
        <v>23704</v>
      </c>
      <c r="B23704" s="2" t="str">
        <f>IFERROR(__xludf.DUMMYFUNCTION("GOOGLETRANSLATE(A23704, ""en"", ""mt"")"),"11 ta 'Lulju, 1962")</f>
        <v>11 ta 'Lulju, 1962</v>
      </c>
    </row>
    <row r="23705" ht="15.75" customHeight="1">
      <c r="A23705" s="2" t="s">
        <v>23705</v>
      </c>
      <c r="B23705" s="2" t="str">
        <f>IFERROR(__xludf.DUMMYFUNCTION("GOOGLETRANSLATE(A23705, ""en"", ""mt"")"),"Kelma u immaġni")</f>
        <v>Kelma u immaġni</v>
      </c>
    </row>
    <row r="23706" ht="15.75" customHeight="1">
      <c r="A23706" s="2" t="s">
        <v>23706</v>
      </c>
      <c r="B23706" s="2" t="str">
        <f>IFERROR(__xludf.DUMMYFUNCTION("GOOGLETRANSLATE(A23706, ""en"", ""mt"")"),"Lulju 1969")</f>
        <v>Lulju 1969</v>
      </c>
    </row>
    <row r="23707" ht="15.75" customHeight="1">
      <c r="A23707" s="2" t="s">
        <v>23707</v>
      </c>
      <c r="B23707" s="2" t="str">
        <f>IFERROR(__xludf.DUMMYFUNCTION("GOOGLETRANSLATE(A23707, ""en"", ""mt"")"),"Artiġjani u nies tas-sengħa")</f>
        <v>Artiġjani u nies tas-sengħa</v>
      </c>
    </row>
    <row r="23708" ht="15.75" customHeight="1">
      <c r="A23708" s="2" t="s">
        <v>23708</v>
      </c>
      <c r="B23708" s="2" t="str">
        <f>IFERROR(__xludf.DUMMYFUNCTION("GOOGLETRANSLATE(A23708, ""en"", ""mt"")"),"66 miljun sena ilu")</f>
        <v>66 miljun sena ilu</v>
      </c>
    </row>
    <row r="23709" ht="15.75" customHeight="1">
      <c r="A23709" s="2" t="s">
        <v>23709</v>
      </c>
      <c r="B23709" s="2" t="str">
        <f>IFERROR(__xludf.DUMMYFUNCTION("GOOGLETRANSLATE(A23709, ""en"", ""mt"")"),"Matul liema snin ma ttieħed l-ebda ċensiment?")</f>
        <v>Matul liema snin ma ttieħed l-ebda ċensiment?</v>
      </c>
    </row>
    <row r="23710" ht="15.75" customHeight="1">
      <c r="A23710" s="2" t="s">
        <v>23710</v>
      </c>
      <c r="B23710" s="2" t="str">
        <f>IFERROR(__xludf.DUMMYFUNCTION("GOOGLETRANSLATE(A23710, ""en"", ""mt"")"),"79")</f>
        <v>79</v>
      </c>
    </row>
    <row r="23711" ht="15.75" customHeight="1">
      <c r="A23711" s="2" t="s">
        <v>23711</v>
      </c>
      <c r="B23711" s="2" t="str">
        <f>IFERROR(__xludf.DUMMYFUNCTION("GOOGLETRANSLATE(A23711, ""en"", ""mt"")"),"Kemm kellu tifel Turkana?")</f>
        <v>Kemm kellu tifel Turkana?</v>
      </c>
    </row>
    <row r="23712" ht="15.75" customHeight="1">
      <c r="A23712" s="2" t="s">
        <v>23712</v>
      </c>
      <c r="B23712" s="2" t="str">
        <f>IFERROR(__xludf.DUMMYFUNCTION("GOOGLETRANSLATE(A23712, ""en"", ""mt"")"),"X'inhuma l-kromoplasti?")</f>
        <v>X'inhuma l-kromoplasti?</v>
      </c>
    </row>
    <row r="23713" ht="15.75" customHeight="1">
      <c r="A23713" s="2" t="s">
        <v>23713</v>
      </c>
      <c r="B23713" s="2" t="str">
        <f>IFERROR(__xludf.DUMMYFUNCTION("GOOGLETRANSLATE(A23713, ""en"", ""mt"")"),"eċċentrika")</f>
        <v>eċċentrika</v>
      </c>
    </row>
    <row r="23714" ht="15.75" customHeight="1">
      <c r="A23714" s="2" t="s">
        <v>23714</v>
      </c>
      <c r="B23714" s="2" t="str">
        <f>IFERROR(__xludf.DUMMYFUNCTION("GOOGLETRANSLATE(A23714, ""en"", ""mt"")"),"Borża ta 'Varsavja")</f>
        <v>Borża ta 'Varsavja</v>
      </c>
    </row>
    <row r="23715" ht="15.75" customHeight="1">
      <c r="A23715" s="2" t="s">
        <v>23715</v>
      </c>
      <c r="B23715" s="2" t="str">
        <f>IFERROR(__xludf.DUMMYFUNCTION("GOOGLETRANSLATE(A23715, ""en"", ""mt"")"),"Faċilità tat-Telekomunikazzjoni bla fili Trans-Atlantiku")</f>
        <v>Faċilità tat-Telekomunikazzjoni bla fili Trans-Atlantiku</v>
      </c>
    </row>
    <row r="23716" ht="15.75" customHeight="1">
      <c r="A23716" s="2" t="s">
        <v>23716</v>
      </c>
      <c r="B23716" s="2" t="str">
        <f>IFERROR(__xludf.DUMMYFUNCTION("GOOGLETRANSLATE(A23716, ""en"", ""mt"")"),"Rich")</f>
        <v>Rich</v>
      </c>
    </row>
    <row r="23717" ht="15.75" customHeight="1">
      <c r="A23717" s="2" t="s">
        <v>23717</v>
      </c>
      <c r="B23717" s="2" t="str">
        <f>IFERROR(__xludf.DUMMYFUNCTION("GOOGLETRANSLATE(A23717, ""en"", ""mt"")"),"Turkija,")</f>
        <v>Turkija,</v>
      </c>
    </row>
    <row r="23718" ht="15.75" customHeight="1">
      <c r="A23718" s="2" t="s">
        <v>23718</v>
      </c>
      <c r="B23718" s="2" t="str">
        <f>IFERROR(__xludf.DUMMYFUNCTION("GOOGLETRANSLATE(A23718, ""en"", ""mt"")"),"bidla organizzattiva, relazzjonijiet ma 'studenti, għalliema sħabhom, u persunal amministrattiv, ambjent tax-xogħol, aspettattivi biex tissostitwixxi, sigħat twal")</f>
        <v>bidla organizzattiva, relazzjonijiet ma 'studenti, għalliema sħabhom, u persunal amministrattiv, ambjent tax-xogħol, aspettattivi biex tissostitwixxi, sigħat twal</v>
      </c>
    </row>
    <row r="23719" ht="15.75" customHeight="1">
      <c r="A23719" s="2" t="s">
        <v>23719</v>
      </c>
      <c r="B23719" s="2" t="str">
        <f>IFERROR(__xludf.DUMMYFUNCTION("GOOGLETRANSLATE(A23719, ""en"", ""mt"")"),"Min notevolment tejjeb il-pompa tal-ilma tas-salvataġġ?")</f>
        <v>Min notevolment tejjeb il-pompa tal-ilma tas-salvataġġ?</v>
      </c>
    </row>
    <row r="23720" ht="15.75" customHeight="1">
      <c r="A23720" s="2" t="s">
        <v>23720</v>
      </c>
      <c r="B23720" s="2" t="str">
        <f>IFERROR(__xludf.DUMMYFUNCTION("GOOGLETRANSLATE(A23720, ""en"", ""mt"")"),"L-omm li fiha kienet concubine?")</f>
        <v>L-omm li fiha kienet concubine?</v>
      </c>
    </row>
    <row r="23721" ht="15.75" customHeight="1">
      <c r="A23721" s="2" t="s">
        <v>23721</v>
      </c>
      <c r="B23721" s="2" t="str">
        <f>IFERROR(__xludf.DUMMYFUNCTION("GOOGLETRANSLATE(A23721, ""en"", ""mt"")"),"Krater tal-impatt tal-mikrometeoroid")</f>
        <v>Krater tal-impatt tal-mikrometeoroid</v>
      </c>
    </row>
    <row r="23722" ht="15.75" customHeight="1">
      <c r="A23722" s="2" t="s">
        <v>23722</v>
      </c>
      <c r="B23722" s="2" t="str">
        <f>IFERROR(__xludf.DUMMYFUNCTION("GOOGLETRANSLATE(A23722, ""en"", ""mt"")"),"Kompetizzjoni fost il-ħaddiema")</f>
        <v>Kompetizzjoni fost il-ħaddiema</v>
      </c>
    </row>
    <row r="23723" ht="15.75" customHeight="1">
      <c r="A23723" s="2" t="s">
        <v>23723</v>
      </c>
      <c r="B23723" s="2" t="str">
        <f>IFERROR(__xludf.DUMMYFUNCTION("GOOGLETRANSLATE(A23723, ""en"", ""mt"")"),"Għaliex il-pjanti tal-art għandhom kloroplasti aktar u iżgħar?")</f>
        <v>Għaliex il-pjanti tal-art għandhom kloroplasti aktar u iżgħar?</v>
      </c>
    </row>
    <row r="23724" ht="15.75" customHeight="1">
      <c r="A23724" s="2" t="s">
        <v>23724</v>
      </c>
      <c r="B23724" s="2" t="str">
        <f>IFERROR(__xludf.DUMMYFUNCTION("GOOGLETRANSLATE(A23724, ""en"", ""mt"")"),"Sankt Goarshausen")</f>
        <v>Sankt Goarshausen</v>
      </c>
    </row>
    <row r="23725" ht="15.75" customHeight="1">
      <c r="A23725" s="2" t="s">
        <v>23725</v>
      </c>
      <c r="B23725" s="2" t="str">
        <f>IFERROR(__xludf.DUMMYFUNCTION("GOOGLETRANSLATE(A23725, ""en"", ""mt"")"),"Meta vapur misjub mill-pesta nżel fin-Norveġja?")</f>
        <v>Meta vapur misjub mill-pesta nżel fin-Norveġja?</v>
      </c>
    </row>
    <row r="23726" ht="15.75" customHeight="1">
      <c r="A23726" s="2" t="s">
        <v>23726</v>
      </c>
      <c r="B23726" s="2" t="str">
        <f>IFERROR(__xludf.DUMMYFUNCTION("GOOGLETRANSLATE(A23726, ""en"", ""mt"")"),"Kokochu")</f>
        <v>Kokochu</v>
      </c>
    </row>
    <row r="23727" ht="15.75" customHeight="1">
      <c r="A23727" s="2" t="s">
        <v>23727</v>
      </c>
      <c r="B23727" s="2" t="str">
        <f>IFERROR(__xludf.DUMMYFUNCTION("GOOGLETRANSLATE(A23727, ""en"", ""mt"")"),"Dak li kien Tymnet")</f>
        <v>Dak li kien Tymnet</v>
      </c>
    </row>
    <row r="23728" ht="15.75" customHeight="1">
      <c r="A23728" s="2" t="s">
        <v>23728</v>
      </c>
      <c r="B23728" s="2" t="str">
        <f>IFERROR(__xludf.DUMMYFUNCTION("GOOGLETRANSLATE(A23728, ""en"", ""mt"")"),"Liema drama medika ġdida għenet lil ABC jaqbeż għat-tieni post fil-klassifikazzjonijiet matul l-istaġun 2004-2005?")</f>
        <v>Liema drama medika ġdida għenet lil ABC jaqbeż għat-tieni post fil-klassifikazzjonijiet matul l-istaġun 2004-2005?</v>
      </c>
    </row>
    <row r="23729" ht="15.75" customHeight="1">
      <c r="A23729" s="2" t="s">
        <v>23729</v>
      </c>
      <c r="B23729" s="2" t="str">
        <f>IFERROR(__xludf.DUMMYFUNCTION("GOOGLETRANSLATE(A23729, ""en"", ""mt"")"),"Meta spiċċat l-aħħar glaċjali?")</f>
        <v>Meta spiċċat l-aħħar glaċjali?</v>
      </c>
    </row>
    <row r="23730" ht="15.75" customHeight="1">
      <c r="A23730" s="2" t="s">
        <v>23730</v>
      </c>
      <c r="B23730" s="2" t="str">
        <f>IFERROR(__xludf.DUMMYFUNCTION("GOOGLETRANSLATE(A23730, ""en"", ""mt"")"),"X’kien fihom l-oġġetti fil-moviment sfurzat skont l-idea medjevali tard li jinfluwenzaw lil Aristotile?")</f>
        <v>X’kien fihom l-oġġetti fil-moviment sfurzat skont l-idea medjevali tard li jinfluwenzaw lil Aristotile?</v>
      </c>
    </row>
    <row r="23731" ht="15.75" customHeight="1">
      <c r="A23731" s="2" t="s">
        <v>23731</v>
      </c>
      <c r="B23731" s="2" t="str">
        <f>IFERROR(__xludf.DUMMYFUNCTION("GOOGLETRANSLATE(A23731, ""en"", ""mt"")"),"Min żviluppa l-batterija tal-jone tal-litju?")</f>
        <v>Min żviluppa l-batterija tal-jone tal-litju?</v>
      </c>
    </row>
    <row r="23732" ht="15.75" customHeight="1">
      <c r="A23732" s="2" t="s">
        <v>23732</v>
      </c>
      <c r="B23732" s="2" t="str">
        <f>IFERROR(__xludf.DUMMYFUNCTION("GOOGLETRANSLATE(A23732, ""en"", ""mt"")"),"il-linji ta 'applikazzjoni rispettivi tagħhom")</f>
        <v>il-linji ta 'applikazzjoni rispettivi tagħhom</v>
      </c>
    </row>
    <row r="23733" ht="15.75" customHeight="1">
      <c r="A23733" s="2" t="s">
        <v>23733</v>
      </c>
      <c r="B23733" s="2" t="str">
        <f>IFERROR(__xludf.DUMMYFUNCTION("GOOGLETRANSLATE(A23733, ""en"", ""mt"")"),"F'Lulju 1973, bħala parti mill-programm ta 'sensibilizzazzjoni tagħha għaż-żgħażagħ, il-V &amp; A sar l-ewwel mużew fil-Gran Brittanja li jippreżenta kunċert rock. Il-V &amp; A ppreżentat kunċert / taħdita kkombinata mill-banda progressiva tal-blat progressiva Gr"&amp;"yphon, li esplorat in-nisel tal-mużika u l-istrumentazzjoni medjevali u rrelata kif dawk ikkontribwew għall-mużika kontemporanja 500 sena wara. Dan l-approċċ innovattiv biex iġġib iż-żgħażagħ fil-mużewijiet kien il-qofol tad-direttoranza ta 'Roy Strong u "&amp;"sussegwentement ġie emulat minn xi mużewijiet Ingliżi oħra.")</f>
        <v>F'Lulju 1973, bħala parti mill-programm ta 'sensibilizzazzjoni tagħha għaż-żgħażagħ, il-V &amp; A sar l-ewwel mużew fil-Gran Brittanja li jippreżenta kunċert rock. Il-V &amp; A ppreżentat kunċert / taħdita kkombinata mill-banda progressiva tal-blat progressiva Gryphon, li esplorat in-nisel tal-mużika u l-istrumentazzjoni medjevali u rrelata kif dawk ikkontribwew għall-mużika kontemporanja 500 sena wara. Dan l-approċċ innovattiv biex iġġib iż-żgħażagħ fil-mużewijiet kien il-qofol tad-direttoranza ta 'Roy Strong u sussegwentement ġie emulat minn xi mużewijiet Ingliżi oħra.</v>
      </c>
    </row>
    <row r="23734" ht="15.75" customHeight="1">
      <c r="A23734" s="2" t="s">
        <v>23734</v>
      </c>
      <c r="B23734" s="2" t="str">
        <f>IFERROR(__xludf.DUMMYFUNCTION("GOOGLETRANSLATE(A23734, ""en"", ""mt"")"),"is-saffi tal-mesofilla")</f>
        <v>is-saffi tal-mesofilla</v>
      </c>
    </row>
    <row r="23735" ht="15.75" customHeight="1">
      <c r="A23735" s="2" t="s">
        <v>23735</v>
      </c>
      <c r="B23735" s="2" t="str">
        <f>IFERROR(__xludf.DUMMYFUNCTION("GOOGLETRANSLATE(A23735, ""en"", ""mt"")"),"kulturi")</f>
        <v>kulturi</v>
      </c>
    </row>
    <row r="23736" ht="15.75" customHeight="1">
      <c r="A23736" s="2" t="s">
        <v>23736</v>
      </c>
      <c r="B23736" s="2" t="str">
        <f>IFERROR(__xludf.DUMMYFUNCTION("GOOGLETRANSLATE(A23736, ""en"", ""mt"")"),"Unità tal-Intelliġenza Ekonomista")</f>
        <v>Unità tal-Intelliġenza Ekonomista</v>
      </c>
    </row>
    <row r="23737" ht="15.75" customHeight="1">
      <c r="A23737" s="2" t="s">
        <v>23737</v>
      </c>
      <c r="B23737" s="2" t="str">
        <f>IFERROR(__xludf.DUMMYFUNCTION("GOOGLETRANSLATE(A23737, ""en"", ""mt"")"),"Struttura Amministrattiva Lokali")</f>
        <v>Struttura Amministrattiva Lokali</v>
      </c>
    </row>
    <row r="23738" ht="15.75" customHeight="1">
      <c r="A23738" s="2" t="s">
        <v>23738</v>
      </c>
      <c r="B23738" s="2" t="str">
        <f>IFERROR(__xludf.DUMMYFUNCTION("GOOGLETRANSLATE(A23738, ""en"", ""mt"")"),"il-gvern Skoċċiż")</f>
        <v>il-gvern Skoċċiż</v>
      </c>
    </row>
    <row r="23739" ht="15.75" customHeight="1">
      <c r="A23739" s="2" t="s">
        <v>23739</v>
      </c>
      <c r="B23739" s="2" t="str">
        <f>IFERROR(__xludf.DUMMYFUNCTION("GOOGLETRANSLATE(A23739, ""en"", ""mt"")"),"1697")</f>
        <v>1697</v>
      </c>
    </row>
    <row r="23740" ht="15.75" customHeight="1">
      <c r="A23740" s="2" t="s">
        <v>23740</v>
      </c>
      <c r="B23740" s="2" t="str">
        <f>IFERROR(__xludf.DUMMYFUNCTION("GOOGLETRANSLATE(A23740, ""en"", ""mt"")"),"fit-Turkana")</f>
        <v>fit-Turkana</v>
      </c>
    </row>
    <row r="23741" ht="15.75" customHeight="1">
      <c r="A23741" s="2" t="s">
        <v>23741</v>
      </c>
      <c r="B23741" s="2" t="str">
        <f>IFERROR(__xludf.DUMMYFUNCTION("GOOGLETRANSLATE(A23741, ""en"", ""mt"")"),"Ekonomija")</f>
        <v>Ekonomija</v>
      </c>
    </row>
    <row r="23742" ht="15.75" customHeight="1">
      <c r="A23742" s="2" t="s">
        <v>23742</v>
      </c>
      <c r="B23742" s="2" t="str">
        <f>IFERROR(__xludf.DUMMYFUNCTION("GOOGLETRANSLATE(A23742, ""en"", ""mt"")"),"Liema pajjiżi saru dipendenti fuq l-assigurazzjoni tas-sigurtà tal-Istati Uniti għat-theddid?")</f>
        <v>Liema pajjiżi saru dipendenti fuq l-assigurazzjoni tas-sigurtà tal-Istati Uniti għat-theddid?</v>
      </c>
    </row>
    <row r="23743" ht="15.75" customHeight="1">
      <c r="A23743" s="2" t="s">
        <v>23743</v>
      </c>
      <c r="B23743" s="2" t="str">
        <f>IFERROR(__xludf.DUMMYFUNCTION("GOOGLETRANSLATE(A23743, ""en"", ""mt"")"),"Prinċipji tal-Ġeoloġija")</f>
        <v>Prinċipji tal-Ġeoloġija</v>
      </c>
    </row>
    <row r="23744" ht="15.75" customHeight="1">
      <c r="A23744" s="2" t="s">
        <v>23744</v>
      </c>
      <c r="B23744" s="2" t="str">
        <f>IFERROR(__xludf.DUMMYFUNCTION("GOOGLETRANSLATE(A23744, ""en"", ""mt"")"),"Fil-kwart tal-ħarifa tal-2014, kemm studenti ffirmaw għall-erba 'diviżjonijiet tal-gradwati tal-università?")</f>
        <v>Fil-kwart tal-ħarifa tal-2014, kemm studenti ffirmaw għall-erba 'diviżjonijiet tal-gradwati tal-università?</v>
      </c>
    </row>
    <row r="23745" ht="15.75" customHeight="1">
      <c r="A23745" s="2" t="s">
        <v>23745</v>
      </c>
      <c r="B23745" s="2" t="str">
        <f>IFERROR(__xludf.DUMMYFUNCTION("GOOGLETRANSLATE(A23745, ""en"", ""mt"")"),"Għaliex il-gvern Pollakk eżiljat f'Londra ordna lill-Armata tad-Dar taħt l-art biex taħtaf il-kontroll ta 'Varsavja qabel il-wasla tal-Armata l-Ħamra?")</f>
        <v>Għaliex il-gvern Pollakk eżiljat f'Londra ordna lill-Armata tad-Dar taħt l-art biex taħtaf il-kontroll ta 'Varsavja qabel il-wasla tal-Armata l-Ħamra?</v>
      </c>
    </row>
    <row r="23746" ht="15.75" customHeight="1">
      <c r="A23746" s="2" t="s">
        <v>23746</v>
      </c>
      <c r="B23746" s="2" t="str">
        <f>IFERROR(__xludf.DUMMYFUNCTION("GOOGLETRANSLATE(A23746, ""en"", ""mt"")"),"kumplessità tal-ħin u l-ispazju")</f>
        <v>kumplessità tal-ħin u l-ispazju</v>
      </c>
    </row>
    <row r="23747" ht="15.75" customHeight="1">
      <c r="A23747" s="2" t="s">
        <v>23747</v>
      </c>
      <c r="B23747" s="2" t="str">
        <f>IFERROR(__xludf.DUMMYFUNCTION("GOOGLETRANSLATE(A23747, ""en"", ""mt"")"),"X'inhi nieqsa teorija dwar il-gravità kwantistika?")</f>
        <v>X'inhi nieqsa teorija dwar il-gravità kwantistika?</v>
      </c>
    </row>
    <row r="23748" ht="15.75" customHeight="1">
      <c r="A23748" s="2" t="s">
        <v>23748</v>
      </c>
      <c r="B23748" s="2" t="str">
        <f>IFERROR(__xludf.DUMMYFUNCTION("GOOGLETRANSLATE(A23748, ""en"", ""mt"")"),"Daniels")</f>
        <v>Daniels</v>
      </c>
    </row>
    <row r="23749" ht="15.75" customHeight="1">
      <c r="A23749" s="2" t="s">
        <v>23749</v>
      </c>
      <c r="B23749" s="2" t="str">
        <f>IFERROR(__xludf.DUMMYFUNCTION("GOOGLETRANSLATE(A23749, ""en"", ""mt"")"),"X’wassal għal konfużjoni u kollass?")</f>
        <v>X’wassal għal konfużjoni u kollass?</v>
      </c>
    </row>
    <row r="23750" ht="15.75" customHeight="1">
      <c r="A23750" s="2" t="s">
        <v>23750</v>
      </c>
      <c r="B23750" s="2" t="str">
        <f>IFERROR(__xludf.DUMMYFUNCTION("GOOGLETRANSLATE(A23750, ""en"", ""mt"")"),"Liema monument Ruman tal-qedem huwa replikat fuq skala sħiħa fil-qrati mitfugħa?")</f>
        <v>Liema monument Ruman tal-qedem huwa replikat fuq skala sħiħa fil-qrati mitfugħa?</v>
      </c>
    </row>
    <row r="23751" ht="15.75" customHeight="1">
      <c r="A23751" s="2" t="s">
        <v>23751</v>
      </c>
      <c r="B23751" s="2" t="str">
        <f>IFERROR(__xludf.DUMMYFUNCTION("GOOGLETRANSLATE(A23751, ""en"", ""mt"")"),"Hillerbrand")</f>
        <v>Hillerbrand</v>
      </c>
    </row>
    <row r="23752" ht="15.75" customHeight="1">
      <c r="A23752" s="2" t="s">
        <v>23752</v>
      </c>
      <c r="B23752" s="2" t="str">
        <f>IFERROR(__xludf.DUMMYFUNCTION("GOOGLETRANSLATE(A23752, ""en"", ""mt"")"),"X'kien l-isem tal-Konti ta 'Apulia")</f>
        <v>X'kien l-isem tal-Konti ta 'Apulia</v>
      </c>
    </row>
    <row r="23753" ht="15.75" customHeight="1">
      <c r="A23753" s="2" t="s">
        <v>23753</v>
      </c>
      <c r="B23753" s="2" t="str">
        <f>IFERROR(__xludf.DUMMYFUNCTION("GOOGLETRANSLATE(A23753, ""en"", ""mt"")"),"Xiao Zhala")</f>
        <v>Xiao Zhala</v>
      </c>
    </row>
    <row r="23754" ht="15.75" customHeight="1">
      <c r="A23754" s="2" t="s">
        <v>23754</v>
      </c>
      <c r="B23754" s="2" t="str">
        <f>IFERROR(__xludf.DUMMYFUNCTION("GOOGLETRANSLATE(A23754, ""en"", ""mt"")"),"X'inhi t-teorija l-aktar ġdida, aċċettata b'mod aktar wiesa 'wara t-tixrid tal-pesta?")</f>
        <v>X'inhi t-teorija l-aktar ġdida, aċċettata b'mod aktar wiesa 'wara t-tixrid tal-pesta?</v>
      </c>
    </row>
    <row r="23755" ht="15.75" customHeight="1">
      <c r="A23755" s="2" t="s">
        <v>23755</v>
      </c>
      <c r="B23755" s="2" t="str">
        <f>IFERROR(__xludf.DUMMYFUNCTION("GOOGLETRANSLATE(A23755, ""en"", ""mt"")"),"Ir-retikolu periferali tal-kloroplast")</f>
        <v>Ir-retikolu periferali tal-kloroplast</v>
      </c>
    </row>
    <row r="23756" ht="15.75" customHeight="1">
      <c r="A23756" s="2" t="s">
        <v>23756</v>
      </c>
      <c r="B23756" s="2" t="str">
        <f>IFERROR(__xludf.DUMMYFUNCTION("GOOGLETRANSLATE(A23756, ""en"", ""mt"")"),"X'inhu l-virus fil-bnedmin li jikkawża kanċer ċervikali?")</f>
        <v>X'inhu l-virus fil-bnedmin li jikkawża kanċer ċervikali?</v>
      </c>
    </row>
    <row r="23757" ht="15.75" customHeight="1">
      <c r="A23757" s="2" t="s">
        <v>23757</v>
      </c>
      <c r="B23757" s="2" t="str">
        <f>IFERROR(__xludf.DUMMYFUNCTION("GOOGLETRANSLATE(A23757, ""en"", ""mt"")"),"imwaqqa '")</f>
        <v>imwaqqa '</v>
      </c>
    </row>
    <row r="23758" ht="15.75" customHeight="1">
      <c r="A23758" s="2" t="s">
        <v>23758</v>
      </c>
      <c r="B23758" s="2" t="str">
        <f>IFERROR(__xludf.DUMMYFUNCTION("GOOGLETRANSLATE(A23758, ""en"", ""mt"")"),"Minħabba l-ogħla kontenut ta 'ossiġnu tagħhom")</f>
        <v>Minħabba l-ogħla kontenut ta 'ossiġnu tagħhom</v>
      </c>
    </row>
    <row r="23759" ht="15.75" customHeight="1">
      <c r="A23759" s="2" t="s">
        <v>23759</v>
      </c>
      <c r="B23759" s="2" t="str">
        <f>IFERROR(__xludf.DUMMYFUNCTION("GOOGLETRANSLATE(A23759, ""en"", ""mt"")"),"melħ u ħadid")</f>
        <v>melħ u ħadid</v>
      </c>
    </row>
    <row r="23760" ht="15.75" customHeight="1">
      <c r="A23760" s="2" t="s">
        <v>23760</v>
      </c>
      <c r="B23760" s="2" t="str">
        <f>IFERROR(__xludf.DUMMYFUNCTION("GOOGLETRANSLATE(A23760, ""en"", ""mt"")"),"kienu standards miftuħa bi speċifikazzjonijiet ippubblikati, u diversi implimentazzjonijiet ġew żviluppati barra minn DEC, inkluż wieħed għal Linux")</f>
        <v>kienu standards miftuħa bi speċifikazzjonijiet ippubblikati, u diversi implimentazzjonijiet ġew żviluppati barra minn DEC, inkluż wieħed għal Linux</v>
      </c>
    </row>
    <row r="23761" ht="15.75" customHeight="1">
      <c r="A23761" s="2" t="s">
        <v>23761</v>
      </c>
      <c r="B23761" s="2" t="str">
        <f>IFERROR(__xludf.DUMMYFUNCTION("GOOGLETRANSLATE(A23761, ""en"", ""mt"")"),"Matul il-ħin tiegħu fil-laboratorju tiegħu, Tesla osservat sinjali mhux tas-soltu mir-riċevitur tiegħu li huwa kkonkluda jistgħu jkunu komunikazzjonijiet minn pjaneta oħra. Huwa semmahom f'ittra lir-reporter Julian Hawthorne fil-Philadelphia ta 'l-Amerika"&amp;" ta' Fuq fit-8 ta 'Diċembru 1899 u f'ittra ta' Diċembru 1900 dwar skoperti possibbli fis-seklu l-ġdid għas-Soċjetà tas-Salib l-Aħmar fejn irrefera għal messaġġi ""minn dinja oħra"" li qrajt "" 1 ... 2 ... 3 ... "". Ir-rappurtaturi ttrattawha bħala storja "&amp;"sensazzjonali u qabżu għall-konklużjoni li Tesla kienet qed tisma 'sinjali minn Mars. Huwa kiber fuq is-sinjali li sema 'fl-artiklu ta' kull ġimgħa ta 'Collier tad-9 ta' Frar 1901 ""Tkellem mal-Pjaneti"" fejn qal li ma kienx jidher immedjatament għalih li"&amp;" kien qed jisma '""sinjali kkontrollati b'mod intelliġenti"" u li s-sinjali jistgħu jiġu minn Mars, Venus , jew pjaneti oħra. Ġie ipotesi li huwa seta 'interċetta l-esperimenti Ewropej ta' Marconi f'Lulju 1899 - Marconi jista 'jkun trasmess l-ittra S (DOT"&amp;" / DOT / DOT) f'dimostrazzjoni navali, l-istess tliet impulsi li Tesla ħjiel fis-smigħ fil-Colorado - jew sinjali minn Esperimentatur ieħor fit-trasmissjoni bla fili.")</f>
        <v>Matul il-ħin tiegħu fil-laboratorju tiegħu, Tesla osservat sinjali mhux tas-soltu mir-riċevitur tiegħu li huwa kkonkluda jistgħu jkunu komunikazzjonijiet minn pjaneta oħra. Huwa semmahom f'ittra lir-reporter Julian Hawthorne fil-Philadelphia ta 'l-Amerika ta' Fuq fit-8 ta 'Diċembru 1899 u f'ittra ta' Diċembru 1900 dwar skoperti possibbli fis-seklu l-ġdid għas-Soċjetà tas-Salib l-Aħmar fejn irrefera għal messaġġi "minn dinja oħra" li qrajt " 1 ... 2 ... 3 ... ". Ir-rappurtaturi ttrattawha bħala storja sensazzjonali u qabżu għall-konklużjoni li Tesla kienet qed tisma 'sinjali minn Mars. Huwa kiber fuq is-sinjali li sema 'fl-artiklu ta' kull ġimgħa ta 'Collier tad-9 ta' Frar 1901 "Tkellem mal-Pjaneti" fejn qal li ma kienx jidher immedjatament għalih li kien qed jisma '"sinjali kkontrollati b'mod intelliġenti" u li s-sinjali jistgħu jiġu minn Mars, Venus , jew pjaneti oħra. Ġie ipotesi li huwa seta 'interċetta l-esperimenti Ewropej ta' Marconi f'Lulju 1899 - Marconi jista 'jkun trasmess l-ittra S (DOT / DOT / DOT) f'dimostrazzjoni navali, l-istess tliet impulsi li Tesla ħjiel fis-smigħ fil-Colorado - jew sinjali minn Esperimentatur ieħor fit-trasmissjoni bla fili.</v>
      </c>
    </row>
    <row r="23762" ht="15.75" customHeight="1">
      <c r="A23762" s="2" t="s">
        <v>23762</v>
      </c>
      <c r="B23762" s="2" t="str">
        <f>IFERROR(__xludf.DUMMYFUNCTION("GOOGLETRANSLATE(A23762, ""en"", ""mt"")"),"Programm ta 'żvilupp ekonomiku li jittama li jpoġġi l-pajjiż fl-istess kampjonat bħat-Tigers Ekonomiċi Ażjatiċi sas-sena 2030")</f>
        <v>Programm ta 'żvilupp ekonomiku li jittama li jpoġġi l-pajjiż fl-istess kampjonat bħat-Tigers Ekonomiċi Ażjatiċi sas-sena 2030</v>
      </c>
    </row>
    <row r="23763" ht="15.75" customHeight="1">
      <c r="A23763" s="2" t="s">
        <v>23763</v>
      </c>
      <c r="B23763" s="2" t="str">
        <f>IFERROR(__xludf.DUMMYFUNCTION("GOOGLETRANSLATE(A23763, ""en"", ""mt"")"),"Għal xiex hemm spinta fl-Istati Uniti biex tnaqqas l-ispejjeż tad-droga tal-konsumatur?")</f>
        <v>Għal xiex hemm spinta fl-Istati Uniti biex tnaqqas l-ispejjeż tad-droga tal-konsumatur?</v>
      </c>
    </row>
    <row r="23764" ht="15.75" customHeight="1">
      <c r="A23764" s="2" t="s">
        <v>23764</v>
      </c>
      <c r="B23764" s="2" t="str">
        <f>IFERROR(__xludf.DUMMYFUNCTION("GOOGLETRANSLATE(A23764, ""en"", ""mt"")"),"Jin")</f>
        <v>Jin</v>
      </c>
    </row>
    <row r="23765" ht="15.75" customHeight="1">
      <c r="A23765" s="2" t="s">
        <v>23765</v>
      </c>
      <c r="B23765" s="2" t="str">
        <f>IFERROR(__xludf.DUMMYFUNCTION("GOOGLETRANSLATE(A23765, ""en"", ""mt"")"),"Cydippid huma tipikament liema forma?")</f>
        <v>Cydippid huma tipikament liema forma?</v>
      </c>
    </row>
    <row r="23766" ht="15.75" customHeight="1">
      <c r="A23766" s="2" t="s">
        <v>23766</v>
      </c>
      <c r="B23766" s="2" t="str">
        <f>IFERROR(__xludf.DUMMYFUNCTION("GOOGLETRANSLATE(A23766, ""en"", ""mt"")"),"1")</f>
        <v>1</v>
      </c>
    </row>
    <row r="23767" ht="15.75" customHeight="1">
      <c r="A23767" s="2" t="s">
        <v>23767</v>
      </c>
      <c r="B23767" s="2" t="str">
        <f>IFERROR(__xludf.DUMMYFUNCTION("GOOGLETRANSLATE(A23767, ""en"", ""mt"")"),"L-Italja")</f>
        <v>L-Italja</v>
      </c>
    </row>
    <row r="23768" ht="15.75" customHeight="1">
      <c r="A23768" s="2" t="s">
        <v>23768</v>
      </c>
      <c r="B23768" s="2" t="str">
        <f>IFERROR(__xludf.DUMMYFUNCTION("GOOGLETRANSLATE(A23768, ""en"", ""mt"")"),"Biex tkompli tenfasizza d-differenza bejn problema u istanza, ikkunsidra l-istanza li ġejja tal-verżjoni tad-deċiżjoni tal-problema tal-bejjiegħ li jivvjaġġa: Hemm rotta ta 'l-aktar 2000 kilometru li jgħaddu mill-akbar 15-il belt tal-Ġermanja kollha? It-t"&amp;"weġiba kwantitattiva għal din il-problema partikolari hija ta 'użu żgħir biex tissolva każijiet oħra tal-problema, bħalma titlob vjaġġ bir-ritorn mis-siti kollha f'Milan li t-tul totali tagħhom huwa l-aktar 10 km. Għal din ir-raġuni, it-teorija tal-kumple"&amp;"ssità tindirizza problemi tal-komputazzjoni u mhux każijiet ta 'problema partikolari.")</f>
        <v>Biex tkompli tenfasizza d-differenza bejn problema u istanza, ikkunsidra l-istanza li ġejja tal-verżjoni tad-deċiżjoni tal-problema tal-bejjiegħ li jivvjaġġa: Hemm rotta ta 'l-aktar 2000 kilometru li jgħaddu mill-akbar 15-il belt tal-Ġermanja kollha? It-tweġiba kwantitattiva għal din il-problema partikolari hija ta 'użu żgħir biex tissolva każijiet oħra tal-problema, bħalma titlob vjaġġ bir-ritorn mis-siti kollha f'Milan li t-tul totali tagħhom huwa l-aktar 10 km. Għal din ir-raġuni, it-teorija tal-kumplessità tindirizza problemi tal-komputazzjoni u mhux każijiet ta 'problema partikolari.</v>
      </c>
    </row>
    <row r="23769" ht="15.75" customHeight="1">
      <c r="A23769" s="2" t="s">
        <v>23769</v>
      </c>
      <c r="B23769" s="2" t="str">
        <f>IFERROR(__xludf.DUMMYFUNCTION("GOOGLETRANSLATE(A23769, ""en"", ""mt"")"),"Qabel l-Ewwel Gwerra Dinjija, Tesla fittxet investituri barranin. Wara li bdiet il-gwerra, Tesla tilfet il-finanzjament li kien qed jirċievi mill-privattivi tiegħu f'pajjiżi Ewropej. Eventwalment, huwa biegħ Wardenclyffe għal $ 20,000 ($ 472,500 fid-dolla"&amp;"ri tal-lum). Fl-1917, madwar iż-żmien li t-Torri ta 'Wardenclyffe ġie mwaqqa' minn Boldt biex jagħmel l-art assi ta 'propjetà immobbli aktar vijabbli, Tesla rċeviet l-ogħla unur ta' Aiee, il-Midalja Edison.")</f>
        <v>Qabel l-Ewwel Gwerra Dinjija, Tesla fittxet investituri barranin. Wara li bdiet il-gwerra, Tesla tilfet il-finanzjament li kien qed jirċievi mill-privattivi tiegħu f'pajjiżi Ewropej. Eventwalment, huwa biegħ Wardenclyffe għal $ 20,000 ($ 472,500 fid-dollari tal-lum). Fl-1917, madwar iż-żmien li t-Torri ta 'Wardenclyffe ġie mwaqqa' minn Boldt biex jagħmel l-art assi ta 'propjetà immobbli aktar vijabbli, Tesla rċeviet l-ogħla unur ta' Aiee, il-Midalja Edison.</v>
      </c>
    </row>
    <row r="23770" ht="15.75" customHeight="1">
      <c r="A23770" s="2" t="s">
        <v>23770</v>
      </c>
      <c r="B23770" s="2" t="str">
        <f>IFERROR(__xludf.DUMMYFUNCTION("GOOGLETRANSLATE(A23770, ""en"", ""mt"")"),"Is-Sindku l-Qadim")</f>
        <v>Is-Sindku l-Qadim</v>
      </c>
    </row>
    <row r="23771" ht="15.75" customHeight="1">
      <c r="A23771" s="2" t="s">
        <v>23771</v>
      </c>
      <c r="B23771" s="2" t="str">
        <f>IFERROR(__xludf.DUMMYFUNCTION("GOOGLETRANSLATE(A23771, ""en"", ""mt"")"),"Walt Disney")</f>
        <v>Walt Disney</v>
      </c>
    </row>
    <row r="23772" ht="15.75" customHeight="1">
      <c r="A23772" s="2" t="s">
        <v>23772</v>
      </c>
      <c r="B23772" s="2" t="str">
        <f>IFERROR(__xludf.DUMMYFUNCTION("GOOGLETRANSLATE(A23772, ""en"", ""mt"")"),"Liema qorti hija l-ogħla qorti fl-Unjoni Ewropea?")</f>
        <v>Liema qorti hija l-ogħla qorti fl-Unjoni Ewropea?</v>
      </c>
    </row>
    <row r="23773" ht="15.75" customHeight="1">
      <c r="A23773" s="2" t="s">
        <v>23773</v>
      </c>
      <c r="B23773" s="2" t="str">
        <f>IFERROR(__xludf.DUMMYFUNCTION("GOOGLETRANSLATE(A23773, ""en"", ""mt"")"),"rapporteur")</f>
        <v>rapporteur</v>
      </c>
    </row>
    <row r="23774" ht="15.75" customHeight="1">
      <c r="A23774" s="2" t="s">
        <v>23774</v>
      </c>
      <c r="B23774" s="2" t="str">
        <f>IFERROR(__xludf.DUMMYFUNCTION("GOOGLETRANSLATE(A23774, ""en"", ""mt"")"),"Liema prodott ġie mibgħut b'mod notevoli f'bastimenti mgħammra b'magni ta 'espansjoni doppja u tripla?")</f>
        <v>Liema prodott ġie mibgħut b'mod notevoli f'bastimenti mgħammra b'magni ta 'espansjoni doppja u tripla?</v>
      </c>
    </row>
    <row r="23775" ht="15.75" customHeight="1">
      <c r="A23775" s="2" t="s">
        <v>23775</v>
      </c>
      <c r="B23775" s="2" t="str">
        <f>IFERROR(__xludf.DUMMYFUNCTION("GOOGLETRANSLATE(A23775, ""en"", ""mt"")"),"X'inhu marbut sew ma 'relazzjonijiet tajbin għall-istudenti-għalliema?")</f>
        <v>X'inhu marbut sew ma 'relazzjonijiet tajbin għall-istudenti-għalliema?</v>
      </c>
    </row>
    <row r="23776" ht="15.75" customHeight="1">
      <c r="A23776" s="2" t="s">
        <v>23776</v>
      </c>
      <c r="B23776" s="2" t="str">
        <f>IFERROR(__xludf.DUMMYFUNCTION("GOOGLETRANSLATE(A23776, ""en"", ""mt"")"),"3,792,621")</f>
        <v>3,792,621</v>
      </c>
    </row>
    <row r="23777" ht="15.75" customHeight="1">
      <c r="A23777" s="2" t="s">
        <v>23777</v>
      </c>
      <c r="B23777" s="2" t="str">
        <f>IFERROR(__xludf.DUMMYFUNCTION("GOOGLETRANSLATE(A23777, ""en"", ""mt"")"),"X'inhu użat biex jiġu stmati l-emissjonijiet?")</f>
        <v>X'inhu użat biex jiġu stmati l-emissjonijiet?</v>
      </c>
    </row>
    <row r="23778" ht="15.75" customHeight="1">
      <c r="A23778" s="2" t="s">
        <v>23778</v>
      </c>
      <c r="B23778" s="2" t="str">
        <f>IFERROR(__xludf.DUMMYFUNCTION("GOOGLETRANSLATE(A23778, ""en"", ""mt"")"),"l-akbar ġid")</f>
        <v>l-akbar ġid</v>
      </c>
    </row>
    <row r="23779" ht="15.75" customHeight="1">
      <c r="A23779" s="2" t="s">
        <v>23779</v>
      </c>
      <c r="B23779" s="2" t="str">
        <f>IFERROR(__xludf.DUMMYFUNCTION("GOOGLETRANSLATE(A23779, ""en"", ""mt"")"),"tisħin")</f>
        <v>tisħin</v>
      </c>
    </row>
    <row r="23780" ht="15.75" customHeight="1">
      <c r="A23780" s="2" t="s">
        <v>23780</v>
      </c>
      <c r="B23780" s="2" t="str">
        <f>IFERROR(__xludf.DUMMYFUNCTION("GOOGLETRANSLATE(A23780, ""en"", ""mt"")"),"ifakkru lil pajjiżu ta 'inġustizzja")</f>
        <v>ifakkru lil pajjiżu ta 'inġustizzja</v>
      </c>
    </row>
    <row r="23781" ht="15.75" customHeight="1">
      <c r="A23781" s="2" t="s">
        <v>23781</v>
      </c>
      <c r="B23781" s="2" t="str">
        <f>IFERROR(__xludf.DUMMYFUNCTION("GOOGLETRANSLATE(A23781, ""en"", ""mt"")"),"X'kienet id-distanza ta 'kuljum minn Tesla?")</f>
        <v>X'kienet id-distanza ta 'kuljum minn Tesla?</v>
      </c>
    </row>
    <row r="23782" ht="15.75" customHeight="1">
      <c r="A23782" s="2" t="s">
        <v>23782</v>
      </c>
      <c r="B23782" s="2" t="str">
        <f>IFERROR(__xludf.DUMMYFUNCTION("GOOGLETRANSLATE(A23782, ""en"", ""mt"")"),"Thomas Vasey u Richard Whatcoat")</f>
        <v>Thomas Vasey u Richard Whatcoat</v>
      </c>
    </row>
    <row r="23783" ht="15.75" customHeight="1">
      <c r="A23783" s="2" t="s">
        <v>23783</v>
      </c>
      <c r="B23783" s="2" t="str">
        <f>IFERROR(__xludf.DUMMYFUNCTION("GOOGLETRANSLATE(A23783, ""en"", ""mt"")"),"X'kienu l-istatistiċi tal-logħba rebħa / telf għall-istaġun regolari ta 'Denver Bronco fl-2015?")</f>
        <v>X'kienu l-istatistiċi tal-logħba rebħa / telf għall-istaġun regolari ta 'Denver Bronco fl-2015?</v>
      </c>
    </row>
    <row r="23784" ht="15.75" customHeight="1">
      <c r="A23784" s="2" t="s">
        <v>23784</v>
      </c>
      <c r="B23784" s="2" t="str">
        <f>IFERROR(__xludf.DUMMYFUNCTION("GOOGLETRANSLATE(A23784, ""en"", ""mt"")"),"Browlee japplika wkoll li d-diżubbidjenza ċivili hija tajba rigward?")</f>
        <v>Browlee japplika wkoll li d-diżubbidjenza ċivili hija tajba rigward?</v>
      </c>
    </row>
    <row r="23785" ht="15.75" customHeight="1">
      <c r="A23785" s="2" t="s">
        <v>23785</v>
      </c>
      <c r="B23785" s="2" t="str">
        <f>IFERROR(__xludf.DUMMYFUNCTION("GOOGLETRANSLATE(A23785, ""en"", ""mt"")"),"X'inhu kompost miż-żona ta 'provost / dekan ad d-diversi superintendenti distrettwali tad-distretti fil-konferenza annwali?")</f>
        <v>X'inhu kompost miż-żona ta 'provost / dekan ad d-diversi superintendenti distrettwali tad-distretti fil-konferenza annwali?</v>
      </c>
    </row>
    <row r="23786" ht="15.75" customHeight="1">
      <c r="A23786" s="2" t="s">
        <v>23786</v>
      </c>
      <c r="B23786" s="2" t="str">
        <f>IFERROR(__xludf.DUMMYFUNCTION("GOOGLETRANSLATE(A23786, ""en"", ""mt"")"),"In-negozjati ġew konklużi b'suċċess fis-17 ta 'Frar 1546. Wara t-8 a.m., huwa esperjenza uġigħ fis-sider. Meta mar fis-sodda tiegħu, huwa talab, ""Ġo idek nikkommetti l-ispirtu tiegħi; int fdejtni, O Mulej, Alla leali"" (Salm 31: 5), it-talb komuni tal-me"&amp;"wt. Fis-1 a.m. huwa qajjem b'aktar uġigħ fis-sider u kien imsaħħan b'xugamani sħan. Huwa rringrazzja lil Alla talli żvela lil Ibnu lilu li kien emmen. Il-kumpanji tiegħu, Justus Jonas u Michael Coelius, għajjat ​​b’ħajtejn, ""Reverend Missier, int lest li"&amp;" tmut tafda fil-Mulej Ġesù Kristu u biex tistqarr id-duttrina li għallem f’ismu?"" ""Iva"" distinta kienet ir-risposta ta 'Luther.")</f>
        <v>In-negozjati ġew konklużi b'suċċess fis-17 ta 'Frar 1546. Wara t-8 a.m., huwa esperjenza uġigħ fis-sider. Meta mar fis-sodda tiegħu, huwa talab, "Ġo idek nikkommetti l-ispirtu tiegħi; int fdejtni, O Mulej, Alla leali" (Salm 31: 5), it-talb komuni tal-mewt. Fis-1 a.m. huwa qajjem b'aktar uġigħ fis-sider u kien imsaħħan b'xugamani sħan. Huwa rringrazzja lil Alla talli żvela lil Ibnu lilu li kien emmen. Il-kumpanji tiegħu, Justus Jonas u Michael Coelius, għajjat ​​b’ħajtejn, "Reverend Missier, int lest li tmut tafda fil-Mulej Ġesù Kristu u biex tistqarr id-duttrina li għallem f’ismu?" "Iva" distinta kienet ir-risposta ta 'Luther.</v>
      </c>
    </row>
    <row r="23787" ht="15.75" customHeight="1">
      <c r="A23787" s="2" t="s">
        <v>23787</v>
      </c>
      <c r="B23787" s="2" t="str">
        <f>IFERROR(__xludf.DUMMYFUNCTION("GOOGLETRANSLATE(A23787, ""en"", ""mt"")"),"Kunsill Ġudizzjarju")</f>
        <v>Kunsill Ġudizzjarju</v>
      </c>
    </row>
    <row r="23788" ht="15.75" customHeight="1">
      <c r="A23788" s="2" t="s">
        <v>23788</v>
      </c>
      <c r="B23788" s="2" t="str">
        <f>IFERROR(__xludf.DUMMYFUNCTION("GOOGLETRANSLATE(A23788, ""en"", ""mt"")"),"George Washington")</f>
        <v>George Washington</v>
      </c>
    </row>
    <row r="23789" ht="15.75" customHeight="1">
      <c r="A23789" s="2" t="s">
        <v>23789</v>
      </c>
      <c r="B23789" s="2" t="str">
        <f>IFERROR(__xludf.DUMMYFUNCTION("GOOGLETRANSLATE(A23789, ""en"", ""mt"")"),"matriċi")</f>
        <v>matriċi</v>
      </c>
    </row>
    <row r="23790" ht="15.75" customHeight="1">
      <c r="A23790" s="2" t="s">
        <v>23790</v>
      </c>
      <c r="B23790" s="2" t="str">
        <f>IFERROR(__xludf.DUMMYFUNCTION("GOOGLETRANSLATE(A23790, ""en"", ""mt"")"),"Latin")</f>
        <v>Latin</v>
      </c>
    </row>
    <row r="23791" ht="15.75" customHeight="1">
      <c r="A23791" s="2" t="s">
        <v>23791</v>
      </c>
      <c r="B23791" s="2" t="str">
        <f>IFERROR(__xludf.DUMMYFUNCTION("GOOGLETRANSLATE(A23791, ""en"", ""mt"")"),"madwar terz.")</f>
        <v>madwar terz.</v>
      </c>
    </row>
    <row r="23792" ht="15.75" customHeight="1">
      <c r="A23792" s="2" t="s">
        <v>23792</v>
      </c>
      <c r="B23792" s="2" t="str">
        <f>IFERROR(__xludf.DUMMYFUNCTION("GOOGLETRANSLATE(A23792, ""en"", ""mt"")"),"Min iqis id-diskors ta 'Luther bħala klassiku dinji?")</f>
        <v>Min iqis id-diskors ta 'Luther bħala klassiku dinji?</v>
      </c>
    </row>
    <row r="23793" ht="15.75" customHeight="1">
      <c r="A23793" s="2" t="s">
        <v>23793</v>
      </c>
      <c r="B23793" s="2" t="str">
        <f>IFERROR(__xludf.DUMMYFUNCTION("GOOGLETRANSLATE(A23793, ""en"", ""mt"")"),"Liema żona saret attraenti għar-ristoranti?")</f>
        <v>Liema żona saret attraenti għar-ristoranti?</v>
      </c>
    </row>
    <row r="23794" ht="15.75" customHeight="1">
      <c r="A23794" s="2" t="s">
        <v>23794</v>
      </c>
      <c r="B23794" s="2" t="str">
        <f>IFERROR(__xludf.DUMMYFUNCTION("GOOGLETRANSLATE(A23794, ""en"", ""mt"")"),"Louis Comfort Tiffany u Émile Gallé")</f>
        <v>Louis Comfort Tiffany u Émile Gallé</v>
      </c>
    </row>
    <row r="23795" ht="15.75" customHeight="1">
      <c r="A23795" s="2" t="s">
        <v>23795</v>
      </c>
      <c r="B23795" s="2" t="str">
        <f>IFERROR(__xludf.DUMMYFUNCTION("GOOGLETRANSLATE(A23795, ""en"", ""mt"")"),"Min, skont it-test, ikkawża lil Cam Newton jitlef il-ballun waqt l-indirizz?")</f>
        <v>Min, skont it-test, ikkawża lil Cam Newton jitlef il-ballun waqt l-indirizz?</v>
      </c>
    </row>
    <row r="23796" ht="15.75" customHeight="1">
      <c r="A23796" s="2" t="s">
        <v>23796</v>
      </c>
      <c r="B23796" s="2" t="str">
        <f>IFERROR(__xludf.DUMMYFUNCTION("GOOGLETRANSLATE(A23796, ""en"", ""mt"")"),"Fejn żewġ mexxejja ngħaqdu f'idejhom u ""jwelldu"" għal denominazzjoni ġdida?")</f>
        <v>Fejn żewġ mexxejja ngħaqdu f'idejhom u "jwelldu" għal denominazzjoni ġdida?</v>
      </c>
    </row>
    <row r="23797" ht="15.75" customHeight="1">
      <c r="A23797" s="2" t="s">
        <v>23797</v>
      </c>
      <c r="B23797" s="2" t="str">
        <f>IFERROR(__xludf.DUMMYFUNCTION("GOOGLETRANSLATE(A23797, ""en"", ""mt"")"),"Prattiki ta 'kostruzzjoni residenzjali, teknoloġiji, u riżorsi għandhom jikkonformaw ma' xiex?")</f>
        <v>Prattiki ta 'kostruzzjoni residenzjali, teknoloġiji, u riżorsi għandhom jikkonformaw ma' xiex?</v>
      </c>
    </row>
    <row r="23798" ht="15.75" customHeight="1">
      <c r="A23798" s="2" t="s">
        <v>23798</v>
      </c>
      <c r="B23798" s="2" t="str">
        <f>IFERROR(__xludf.DUMMYFUNCTION("GOOGLETRANSLATE(A23798, ""en"", ""mt"")"),"ABC")</f>
        <v>ABC</v>
      </c>
    </row>
    <row r="23799" ht="15.75" customHeight="1">
      <c r="A23799" s="2" t="s">
        <v>23799</v>
      </c>
      <c r="B23799" s="2" t="str">
        <f>IFERROR(__xludf.DUMMYFUNCTION("GOOGLETRANSLATE(A23799, ""en"", ""mt"")"),"Fl-aħħar massimu glaċjali")</f>
        <v>Fl-aħħar massimu glaċjali</v>
      </c>
    </row>
    <row r="23800" ht="15.75" customHeight="1">
      <c r="A23800" s="2" t="s">
        <v>23800</v>
      </c>
      <c r="B23800" s="2" t="str">
        <f>IFERROR(__xludf.DUMMYFUNCTION("GOOGLETRANSLATE(A23800, ""en"", ""mt"")"),"kanċer, epatite, u artrite rewmatojde")</f>
        <v>kanċer, epatite, u artrite rewmatojde</v>
      </c>
    </row>
    <row r="23801" ht="15.75" customHeight="1">
      <c r="A23801" s="2" t="s">
        <v>23801</v>
      </c>
      <c r="B23801" s="2" t="str">
        <f>IFERROR(__xludf.DUMMYFUNCTION("GOOGLETRANSLATE(A23801, ""en"", ""mt"")"),"Fl-1993, għat-30 anniversarju tal-franchise, karità oħra speċjali, intitolata Dimensions in Time ġiet prodotta għal Children in Need, li jidhru l-atturi kollha superstiti li lagħbu t-tabib u numru ta 'kumpanji preċedenti. Dehru wkoll crossover mas-sapun t"&amp;"al-EastEnders, l-azzjoni li qed isseħħ fil-post ta 'Albert Square ta' dan tal-aħħar u madwar Greenwich. L-ispeċjal kien wieħed minn bosta programmi speċjali 3D li l-BBC ipproduċiet dak iż-żmien, bl-użu ta 'sistema 3D li għamlet użu mill-effett tal-pulfric"&amp;"h li teħtieġ nuċċalijiet b'lenti mudlama waħda; L-istampa tidher normali għal dawk it-telespettaturi li jaraw mingħajr il-ħġiġiet.")</f>
        <v>Fl-1993, għat-30 anniversarju tal-franchise, karità oħra speċjali, intitolata Dimensions in Time ġiet prodotta għal Children in Need, li jidhru l-atturi kollha superstiti li lagħbu t-tabib u numru ta 'kumpanji preċedenti. Dehru wkoll crossover mas-sapun tal-EastEnders, l-azzjoni li qed isseħħ fil-post ta 'Albert Square ta' dan tal-aħħar u madwar Greenwich. L-ispeċjal kien wieħed minn bosta programmi speċjali 3D li l-BBC ipproduċiet dak iż-żmien, bl-użu ta 'sistema 3D li għamlet użu mill-effett tal-pulfrich li teħtieġ nuċċalijiet b'lenti mudlama waħda; L-istampa tidher normali għal dawk it-telespettaturi li jaraw mingħajr il-ħġiġiet.</v>
      </c>
    </row>
    <row r="23802" ht="15.75" customHeight="1">
      <c r="A23802" s="2" t="s">
        <v>23802</v>
      </c>
      <c r="B23802" s="2" t="str">
        <f>IFERROR(__xludf.DUMMYFUNCTION("GOOGLETRANSLATE(A23802, ""en"", ""mt"")"),"Liema kwistjonijiet ma ġewx indirizzati fit-Trattat ta 'Aix-La-Chapelle?")</f>
        <v>Liema kwistjonijiet ma ġewx indirizzati fit-Trattat ta 'Aix-La-Chapelle?</v>
      </c>
    </row>
    <row r="23803" ht="15.75" customHeight="1">
      <c r="A23803" s="2" t="s">
        <v>23803</v>
      </c>
      <c r="B23803" s="2" t="str">
        <f>IFERROR(__xludf.DUMMYFUNCTION("GOOGLETRANSLATE(A23803, ""en"", ""mt"")"),"47 ° 39′N 9 ° 19′E / 47.650 ° N 9.317 ° E / 47.650; 9.317.")</f>
        <v>47 ° 39′N 9 ° 19′E / 47.650 ° N 9.317 ° E / 47.650; 9.317.</v>
      </c>
    </row>
    <row r="23804" ht="15.75" customHeight="1">
      <c r="A23804" s="2" t="s">
        <v>23804</v>
      </c>
      <c r="B23804" s="2" t="str">
        <f>IFERROR(__xludf.DUMMYFUNCTION("GOOGLETRANSLATE(A23804, ""en"", ""mt"")"),"sat-tieni kwart tas-seklu 19.")</f>
        <v>sat-tieni kwart tas-seklu 19.</v>
      </c>
    </row>
    <row r="23805" ht="15.75" customHeight="1">
      <c r="A23805" s="2" t="s">
        <v>23805</v>
      </c>
      <c r="B23805" s="2" t="str">
        <f>IFERROR(__xludf.DUMMYFUNCTION("GOOGLETRANSLATE(A23805, ""en"", ""mt"")"),"X'inhi l-grazzja li tqaddes?")</f>
        <v>X'inhi l-grazzja li tqaddes?</v>
      </c>
    </row>
    <row r="23806" ht="15.75" customHeight="1">
      <c r="A23806" s="2" t="s">
        <v>23806</v>
      </c>
      <c r="B23806" s="2" t="str">
        <f>IFERROR(__xludf.DUMMYFUNCTION("GOOGLETRANSLATE(A23806, ""en"", ""mt"")"),"Min iddisinja l-gradi tal-ħadid maħdum li ntużaw biex isebbaħ in-naħa tal-lvant tal-bini?")</f>
        <v>Min iddisinja l-gradi tal-ħadid maħdum li ntużaw biex isebbaħ in-naħa tal-lvant tal-bini?</v>
      </c>
    </row>
    <row r="23807" ht="15.75" customHeight="1">
      <c r="A23807" s="2" t="s">
        <v>23807</v>
      </c>
      <c r="B23807" s="2" t="str">
        <f>IFERROR(__xludf.DUMMYFUNCTION("GOOGLETRANSLATE(A23807, ""en"", ""mt"")"),"Liema artikolu TFEU jiddefinixxi l-proċedura leġiżlattiva ordinarja li tapplika għal maġġoranza ta 'atti ta' l-UE?")</f>
        <v>Liema artikolu TFEU jiddefinixxi l-proċedura leġiżlattiva ordinarja li tapplika għal maġġoranza ta 'atti ta' l-UE?</v>
      </c>
    </row>
    <row r="23808" ht="15.75" customHeight="1">
      <c r="A23808" s="2" t="s">
        <v>23808</v>
      </c>
      <c r="B23808" s="2" t="str">
        <f>IFERROR(__xludf.DUMMYFUNCTION("GOOGLETRANSLATE(A23808, ""en"", ""mt"")"),"Mhux unità u ma tistax tinkiteb bħala prodott ta 'żewġ elementi taċ-ċirku li mhumiex unitajiet.")</f>
        <v>Mhux unità u ma tistax tinkiteb bħala prodott ta 'żewġ elementi taċ-ċirku li mhumiex unitajiet.</v>
      </c>
    </row>
    <row r="23809" ht="15.75" customHeight="1">
      <c r="A23809" s="2" t="s">
        <v>23809</v>
      </c>
      <c r="B23809" s="2" t="str">
        <f>IFERROR(__xludf.DUMMYFUNCTION("GOOGLETRANSLATE(A23809, ""en"", ""mt"")"),"X'kien it-tim li l-Panthers Carolina lagħbu immedjatament qabel il-logħba tal-kampjonat NFC?")</f>
        <v>X'kien it-tim li l-Panthers Carolina lagħbu immedjatament qabel il-logħba tal-kampjonat NFC?</v>
      </c>
    </row>
    <row r="23810" ht="15.75" customHeight="1">
      <c r="A23810" s="2" t="s">
        <v>23810</v>
      </c>
      <c r="B23810" s="2" t="str">
        <f>IFERROR(__xludf.DUMMYFUNCTION("GOOGLETRANSLATE(A23810, ""en"", ""mt"")"),"Tnaqqis tal-faqar")</f>
        <v>Tnaqqis tal-faqar</v>
      </c>
    </row>
    <row r="23811" ht="15.75" customHeight="1">
      <c r="A23811" s="2" t="s">
        <v>23811</v>
      </c>
      <c r="B23811" s="2" t="str">
        <f>IFERROR(__xludf.DUMMYFUNCTION("GOOGLETRANSLATE(A23811, ""en"", ""mt"")"),"Ħamsa l-Kbira")</f>
        <v>Ħamsa l-Kbira</v>
      </c>
    </row>
    <row r="23812" ht="15.75" customHeight="1">
      <c r="A23812" s="2" t="s">
        <v>23812</v>
      </c>
      <c r="B23812" s="2" t="str">
        <f>IFERROR(__xludf.DUMMYFUNCTION("GOOGLETRANSLATE(A23812, ""en"", ""mt"")"),"Fil-ħarifa tal-1991, saru taħdidiet għad-drittijiet tax-xandir għall-Premier League għal perjodu ta 'ħames snin, mill-istaġun tal-1992. L-ITV kienu d-detenturi tad-drittijiet attwali, u ġġieldu ħafna biex iżommu d-drittijiet il-ġodda. L-ITV żiedet l-offer"&amp;"ta tagħha minn £ 18m għal £ 34m fis-sena biex iżżomm il-kontroll tad-drittijiet. BSKYB ingħaqad mal-BBC biex jagħmel offerta ta 'kontro. Il-BBC ingħata l-punti ewlenin tal-biċċa l-kbira tal-logħbiet, filwaqt li BSKYB li tħallas £ 304m għad-drittijiet tal-"&amp;"Premier League, kienet tagħtihom monopolju tal-logħbiet kollha ħajjin, sa 60 fis-sena mill-istaġun tal-1992. Murdoch iddeskriva l-isport bħala ""muntun li jbattal"" għat-televiżjoni bi ħlas, li jipprovdi bażi ta 'klijenti b'saħħitha. Ftit ġimgħat wara l-f"&amp;"tehim, ITV mar il-Qorti Għolja biex jikseb mandat ta ’inibizzjoni peress li kien jemmen li d-dettalji tal-offerta tagħhom kienu nixxew qabel ma ttieħdet id-deċiżjoni. ITV talab ukoll lill-Uffiċċju tal-Kummerċ Ġust biex jinvestiga peress li kien jemmen li "&amp;"l-imperu tal-midja ta 'Rupert Murdoch permezz tal-gazzetti tiegħu influwenza l-ftehim. Ftit jiem wara l-ebda azzjoni ma daħlet fis-seħħ, ITV jemmen li BSKYB ġie ċempel u infurmat bl-offerta ta '£ 262m tiegħu, u l-Premier League tat parir lil BSKYB biex iż"&amp;"id l-offerta tal-kontro.")</f>
        <v>Fil-ħarifa tal-1991, saru taħdidiet għad-drittijiet tax-xandir għall-Premier League għal perjodu ta 'ħames snin, mill-istaġun tal-1992. L-ITV kienu d-detenturi tad-drittijiet attwali, u ġġieldu ħafna biex iżommu d-drittijiet il-ġodda. L-ITV żiedet l-offerta tagħha minn £ 18m għal £ 34m fis-sena biex iżżomm il-kontroll tad-drittijiet. BSKYB ingħaqad mal-BBC biex jagħmel offerta ta 'kontro. Il-BBC ingħata l-punti ewlenin tal-biċċa l-kbira tal-logħbiet, filwaqt li BSKYB li tħallas £ 304m għad-drittijiet tal-Premier League, kienet tagħtihom monopolju tal-logħbiet kollha ħajjin, sa 60 fis-sena mill-istaġun tal-1992. Murdoch iddeskriva l-isport bħala "muntun li jbattal" għat-televiżjoni bi ħlas, li jipprovdi bażi ta 'klijenti b'saħħitha. Ftit ġimgħat wara l-ftehim, ITV mar il-Qorti Għolja biex jikseb mandat ta ’inibizzjoni peress li kien jemmen li d-dettalji tal-offerta tagħhom kienu nixxew qabel ma ttieħdet id-deċiżjoni. ITV talab ukoll lill-Uffiċċju tal-Kummerċ Ġust biex jinvestiga peress li kien jemmen li l-imperu tal-midja ta 'Rupert Murdoch permezz tal-gazzetti tiegħu influwenza l-ftehim. Ftit jiem wara l-ebda azzjoni ma daħlet fis-seħħ, ITV jemmen li BSKYB ġie ċempel u infurmat bl-offerta ta '£ 262m tiegħu, u l-Premier League tat parir lil BSKYB biex iżid l-offerta tal-kontro.</v>
      </c>
    </row>
    <row r="23813" ht="15.75" customHeight="1">
      <c r="A23813" s="2" t="s">
        <v>23813</v>
      </c>
      <c r="B23813" s="2" t="str">
        <f>IFERROR(__xludf.DUMMYFUNCTION("GOOGLETRANSLATE(A23813, ""en"", ""mt"")"),"Kif kien jissejjaħ ix-xogħol ta 'Ghandi?")</f>
        <v>Kif kien jissejjaħ ix-xogħol ta 'Ghandi?</v>
      </c>
    </row>
    <row r="23814" ht="15.75" customHeight="1">
      <c r="A23814" s="2" t="s">
        <v>23814</v>
      </c>
      <c r="B23814" s="2" t="str">
        <f>IFERROR(__xludf.DUMMYFUNCTION("GOOGLETRANSLATE(A23814, ""en"", ""mt"")"),"Meqrud Fort Frontenac")</f>
        <v>Meqrud Fort Frontenac</v>
      </c>
    </row>
    <row r="23815" ht="15.75" customHeight="1">
      <c r="A23815" s="2" t="s">
        <v>23815</v>
      </c>
      <c r="B23815" s="2" t="str">
        <f>IFERROR(__xludf.DUMMYFUNCTION("GOOGLETRANSLATE(A23815, ""en"", ""mt"")"),"Att dwar il-Kostituzzjoni tar-Rabat 1855")</f>
        <v>Att dwar il-Kostituzzjoni tar-Rabat 1855</v>
      </c>
    </row>
    <row r="23816" ht="15.75" customHeight="1">
      <c r="A23816" s="2" t="s">
        <v>23816</v>
      </c>
      <c r="B23816" s="2" t="str">
        <f>IFERROR(__xludf.DUMMYFUNCTION("GOOGLETRANSLATE(A23816, ""en"", ""mt"")"),"Il-ħamsa u disgħin teżi.")</f>
        <v>Il-ħamsa u disgħin teżi.</v>
      </c>
    </row>
    <row r="23817" ht="15.75" customHeight="1">
      <c r="A23817" s="2" t="s">
        <v>23817</v>
      </c>
      <c r="B23817" s="2" t="str">
        <f>IFERROR(__xludf.DUMMYFUNCTION("GOOGLETRANSLATE(A23817, ""en"", ""mt"")"),"Triq Konwiktorska")</f>
        <v>Triq Konwiktorska</v>
      </c>
    </row>
    <row r="23818" ht="15.75" customHeight="1">
      <c r="A23818" s="2" t="s">
        <v>23818</v>
      </c>
      <c r="B23818" s="2" t="str">
        <f>IFERROR(__xludf.DUMMYFUNCTION("GOOGLETRANSLATE(A23818, ""en"", ""mt"")"),"In-Normanni kellhom effett profond fuq il-kultura u l-istorja Irlandiża wara l-invażjoni tagħhom fil-Bajja ta 'Bannow fl-1169. Inizjalment in-Normanni żammew kultura u etniċità distinta. Madankollu, maż-żmien, huma daħlu fil-kultura Irlandiża sal-punt li "&amp;"ntqal li saru ""aktar Irlandiżi mill-Irlandiżi nfushom."" In-Normanni stabbilixxew l-aktar f'żona fil-lvant ta 'l-Irlanda, aktar tard magħrufa bħala Pale, u bnew ukoll bosta kastelli u insedjamenti fini, inklużi Trim Castle u Dublin Castle. Iż-żewġ kultur"&amp;"i mħallta, jissellfu mil-lingwa, il-kultura u l-prospetti ta 'xulxin. Id-dixxendenti Norman illum jistgħu jiġu rikonoxxuti mill-kunjomijiet tagħhom. Ismijiet bħall-Franċiż, (de) Roche, Devereux, D'Arcy, Treacy u Lacy huma partikolarment komuni fix-Xlokk t"&amp;"a 'l-Irlanda, speċjalment fil-parti tan-nofsinhar tal-Kontea ta' Wexford fejn ġew stabbiliti l-ewwel insedjamenti Norman. Ismijiet Norman oħra bħal furlong jiddominaw hemmhekk. Isem komuni ieħor Norman-Irlandiż kien Morell (Murrell) derivat mill-isem Norm"&amp;"an Franċiż Morel. Ismijiet oħra li jibdew bi Fitz (min-Norman għat-tifel) jindikaw antenati Norman. Dawn kienu jinkludu dinastija Fitzgerald, Fitzgibbons (Gibbons), Fitzmaurice. Familji oħra li għandhom kunjomijiet bħal Barry (de Barra) u de búrca (Burke)"&amp;" huma wkoll ta 'estrazzjoni Norman.")</f>
        <v>In-Normanni kellhom effett profond fuq il-kultura u l-istorja Irlandiża wara l-invażjoni tagħhom fil-Bajja ta 'Bannow fl-1169. Inizjalment in-Normanni żammew kultura u etniċità distinta. Madankollu, maż-żmien, huma daħlu fil-kultura Irlandiża sal-punt li ntqal li saru "aktar Irlandiżi mill-Irlandiżi nfushom." In-Normanni stabbilixxew l-aktar f'żona fil-lvant ta 'l-Irlanda, aktar tard magħrufa bħala Pale, u bnew ukoll bosta kastelli u insedjamenti fini, inklużi Trim Castle u Dublin Castle. Iż-żewġ kulturi mħallta, jissellfu mil-lingwa, il-kultura u l-prospetti ta 'xulxin. Id-dixxendenti Norman illum jistgħu jiġu rikonoxxuti mill-kunjomijiet tagħhom. Ismijiet bħall-Franċiż, (de) Roche, Devereux, D'Arcy, Treacy u Lacy huma partikolarment komuni fix-Xlokk ta 'l-Irlanda, speċjalment fil-parti tan-nofsinhar tal-Kontea ta' Wexford fejn ġew stabbiliti l-ewwel insedjamenti Norman. Ismijiet Norman oħra bħal furlong jiddominaw hemmhekk. Isem komuni ieħor Norman-Irlandiż kien Morell (Murrell) derivat mill-isem Norman Franċiż Morel. Ismijiet oħra li jibdew bi Fitz (min-Norman għat-tifel) jindikaw antenati Norman. Dawn kienu jinkludu dinastija Fitzgerald, Fitzgibbons (Gibbons), Fitzmaurice. Familji oħra li għandhom kunjomijiet bħal Barry (de Barra) u de búrca (Burke) huma wkoll ta 'estrazzjoni Norman.</v>
      </c>
    </row>
    <row r="23819" ht="15.75" customHeight="1">
      <c r="A23819" s="2" t="s">
        <v>23819</v>
      </c>
      <c r="B23819" s="2" t="str">
        <f>IFERROR(__xludf.DUMMYFUNCTION("GOOGLETRANSLATE(A23819, ""en"", ""mt"")"),"Huwa seta 'interċetta l-esperimenti Ewropej ta' Marconi f'Lulju 1899")</f>
        <v>Huwa seta 'interċetta l-esperimenti Ewropej ta' Marconi f'Lulju 1899</v>
      </c>
    </row>
    <row r="23820" ht="15.75" customHeight="1">
      <c r="A23820" s="2" t="s">
        <v>23820</v>
      </c>
      <c r="B23820" s="2" t="str">
        <f>IFERROR(__xludf.DUMMYFUNCTION("GOOGLETRANSLATE(A23820, ""en"", ""mt"")"),"votazzjoni sigrieta")</f>
        <v>votazzjoni sigrieta</v>
      </c>
    </row>
    <row r="23821" ht="15.75" customHeight="1">
      <c r="A23821" s="2" t="s">
        <v>23821</v>
      </c>
      <c r="B23821" s="2" t="str">
        <f>IFERROR(__xludf.DUMMYFUNCTION("GOOGLETRANSLATE(A23821, ""en"", ""mt"")"),"Ċellola b")</f>
        <v>Ċellola b</v>
      </c>
    </row>
    <row r="23822" ht="15.75" customHeight="1">
      <c r="A23822" s="2" t="s">
        <v>23822</v>
      </c>
      <c r="B23822" s="2" t="str">
        <f>IFERROR(__xludf.DUMMYFUNCTION("GOOGLETRANSLATE(A23822, ""en"", ""mt"")"),"Kemm għandu ġonna botaniċi ta 'Varsavja?")</f>
        <v>Kemm għandu ġonna botaniċi ta 'Varsavja?</v>
      </c>
    </row>
    <row r="23823" ht="15.75" customHeight="1">
      <c r="A23823" s="2" t="s">
        <v>23823</v>
      </c>
      <c r="B23823" s="2" t="str">
        <f>IFERROR(__xludf.DUMMYFUNCTION("GOOGLETRANSLATE(A23823, ""en"", ""mt"")"),"Min imexxi l-ispettaklu tal-mistrieħ tas-Super Bowl 50?")</f>
        <v>Min imexxi l-ispettaklu tal-mistrieħ tas-Super Bowl 50?</v>
      </c>
    </row>
    <row r="23824" ht="15.75" customHeight="1">
      <c r="A23824" s="2" t="s">
        <v>23824</v>
      </c>
      <c r="B23824" s="2" t="str">
        <f>IFERROR(__xludf.DUMMYFUNCTION("GOOGLETRANSLATE(A23824, ""en"", ""mt"")"),"f'Monte Gargano")</f>
        <v>f'Monte Gargano</v>
      </c>
    </row>
    <row r="23825" ht="15.75" customHeight="1">
      <c r="A23825" s="2" t="s">
        <v>23825</v>
      </c>
      <c r="B23825" s="2" t="str">
        <f>IFERROR(__xludf.DUMMYFUNCTION("GOOGLETRANSLATE(A23825, ""en"", ""mt"")"),"Iċ-ċirku ta 'numru sħiħ ta' oqsma ta 'numri kwadratiċi")</f>
        <v>Iċ-ċirku ta 'numru sħiħ ta' oqsma ta 'numri kwadratiċi</v>
      </c>
    </row>
    <row r="23826" ht="15.75" customHeight="1">
      <c r="A23826" s="2" t="s">
        <v>23826</v>
      </c>
      <c r="B23826" s="2" t="str">
        <f>IFERROR(__xludf.DUMMYFUNCTION("GOOGLETRANSLATE(A23826, ""en"", ""mt"")"),"Porifera")</f>
        <v>Porifera</v>
      </c>
    </row>
    <row r="23827" ht="15.75" customHeight="1">
      <c r="A23827" s="2" t="s">
        <v>23827</v>
      </c>
      <c r="B23827" s="2" t="str">
        <f>IFERROR(__xludf.DUMMYFUNCTION("GOOGLETRANSLATE(A23827, ""en"", ""mt"")"),"L-awturi ewlenin li jikkoordinaw")</f>
        <v>L-awturi ewlenin li jikkoordinaw</v>
      </c>
    </row>
    <row r="23828" ht="15.75" customHeight="1">
      <c r="A23828" s="2" t="s">
        <v>23828</v>
      </c>
      <c r="B23828" s="2" t="str">
        <f>IFERROR(__xludf.DUMMYFUNCTION("GOOGLETRANSLATE(A23828, ""en"", ""mt"")"),"Id-Dukes")</f>
        <v>Id-Dukes</v>
      </c>
    </row>
    <row r="23829" ht="15.75" customHeight="1">
      <c r="A23829" s="2" t="s">
        <v>23829</v>
      </c>
      <c r="B23829" s="2" t="str">
        <f>IFERROR(__xludf.DUMMYFUNCTION("GOOGLETRANSLATE(A23829, ""en"", ""mt"")"),"Kemm molekuli G3P jitilqu ċ-ċiklu?")</f>
        <v>Kemm molekuli G3P jitilqu ċ-ċiklu?</v>
      </c>
    </row>
    <row r="23830" ht="15.75" customHeight="1">
      <c r="A23830" s="2" t="s">
        <v>23830</v>
      </c>
      <c r="B23830" s="2" t="str">
        <f>IFERROR(__xludf.DUMMYFUNCTION("GOOGLETRANSLATE(A23830, ""en"", ""mt"")"),"Min iddisinja l-bibien tal-bronż użati bħala d-daħla ewlenija għall-mużew?")</f>
        <v>Min iddisinja l-bibien tal-bronż użati bħala d-daħla ewlenija għall-mużew?</v>
      </c>
    </row>
    <row r="23831" ht="15.75" customHeight="1">
      <c r="A23831" s="2" t="s">
        <v>23831</v>
      </c>
      <c r="B23831" s="2" t="str">
        <f>IFERROR(__xludf.DUMMYFUNCTION("GOOGLETRANSLATE(A23831, ""en"", ""mt"")"),"Min jara pazjent wara infermier ma jistax jgħin aktar?")</f>
        <v>Min jara pazjent wara infermier ma jistax jgħin aktar?</v>
      </c>
    </row>
    <row r="23832" ht="15.75" customHeight="1">
      <c r="A23832" s="2" t="s">
        <v>23832</v>
      </c>
      <c r="B23832" s="2" t="str">
        <f>IFERROR(__xludf.DUMMYFUNCTION("GOOGLETRANSLATE(A23832, ""en"", ""mt"")"),"Meta d-delegati fil-Kunsill Metodist Dinji vvutaw biex jadottaw id-dikjarazzjoni konġunta fuq id-duttrina tal-ġustifikazzjoni? """)</f>
        <v>Meta d-delegati fil-Kunsill Metodist Dinji vvutaw biex jadottaw id-dikjarazzjoni konġunta fuq id-duttrina tal-ġustifikazzjoni? "</v>
      </c>
    </row>
    <row r="23833" ht="15.75" customHeight="1">
      <c r="A23833" s="2" t="s">
        <v>23833</v>
      </c>
      <c r="B23833" s="2" t="str">
        <f>IFERROR(__xludf.DUMMYFUNCTION("GOOGLETRANSLATE(A23833, ""en"", ""mt"")"),"60 minuta")</f>
        <v>60 minuta</v>
      </c>
    </row>
    <row r="23834" ht="15.75" customHeight="1">
      <c r="A23834" s="2" t="s">
        <v>23834</v>
      </c>
      <c r="B23834" s="2" t="str">
        <f>IFERROR(__xludf.DUMMYFUNCTION("GOOGLETRANSLATE(A23834, ""en"", ""mt"")"),"Fejn attakka Mongke Khan id-dinastija tal-kanzunetta?")</f>
        <v>Fejn attakka Mongke Khan id-dinastija tal-kanzunetta?</v>
      </c>
    </row>
    <row r="23835" ht="15.75" customHeight="1">
      <c r="A23835" s="2" t="s">
        <v>23835</v>
      </c>
      <c r="B23835" s="2" t="str">
        <f>IFERROR(__xludf.DUMMYFUNCTION("GOOGLETRANSLATE(A23835, ""en"", ""mt"")"),"Liema professjoni kienu Ronald Robinson u John Gallagher?")</f>
        <v>Liema professjoni kienu Ronald Robinson u John Gallagher?</v>
      </c>
    </row>
    <row r="23836" ht="15.75" customHeight="1">
      <c r="A23836" s="2" t="s">
        <v>23836</v>
      </c>
      <c r="B23836" s="2" t="str">
        <f>IFERROR(__xludf.DUMMYFUNCTION("GOOGLETRANSLATE(A23836, ""en"", ""mt"")"),"Minbarra l-Ingliż, liema lingwa hija wkoll ta 'spiss mgħallma fl-iskejjel privati ​​tan-Nepali?")</f>
        <v>Minbarra l-Ingliż, liema lingwa hija wkoll ta 'spiss mgħallma fl-iskejjel privati ​​tan-Nepali?</v>
      </c>
    </row>
    <row r="23837" ht="15.75" customHeight="1">
      <c r="A23837" s="2" t="s">
        <v>23837</v>
      </c>
      <c r="B23837" s="2" t="str">
        <f>IFERROR(__xludf.DUMMYFUNCTION("GOOGLETRANSLATE(A23837, ""en"", ""mt"")"),"X'inhu n-numru ta 'MSPs ta' kostitwenza?")</f>
        <v>X'inhu n-numru ta 'MSPs ta' kostitwenza?</v>
      </c>
    </row>
    <row r="23838" ht="15.75" customHeight="1">
      <c r="A23838" s="2" t="s">
        <v>23838</v>
      </c>
      <c r="B23838" s="2" t="str">
        <f>IFERROR(__xludf.DUMMYFUNCTION("GOOGLETRANSLATE(A23838, ""en"", ""mt"")"),"Fasciitis plantar")</f>
        <v>Fasciitis plantar</v>
      </c>
    </row>
    <row r="23839" ht="15.75" customHeight="1">
      <c r="A23839" s="2" t="s">
        <v>23839</v>
      </c>
      <c r="B23839" s="2" t="str">
        <f>IFERROR(__xludf.DUMMYFUNCTION("GOOGLETRANSLATE(A23839, ""en"", ""mt"")"),"Il-produzzjoni ta 'problema funzjonali hija tipikament ikkaratterizzata minn tweġiba sempliċi jew kumplessa?")</f>
        <v>Il-produzzjoni ta 'problema funzjonali hija tipikament ikkaratterizzata minn tweġiba sempliċi jew kumplessa?</v>
      </c>
    </row>
    <row r="23840" ht="15.75" customHeight="1">
      <c r="A23840" s="2" t="s">
        <v>23840</v>
      </c>
      <c r="B23840" s="2" t="str">
        <f>IFERROR(__xludf.DUMMYFUNCTION("GOOGLETRANSLATE(A23840, ""en"", ""mt"")"),"kolonizzazzjoni")</f>
        <v>kolonizzazzjoni</v>
      </c>
    </row>
    <row r="23841" ht="15.75" customHeight="1">
      <c r="A23841" s="2" t="s">
        <v>23841</v>
      </c>
      <c r="B23841" s="2" t="str">
        <f>IFERROR(__xludf.DUMMYFUNCTION("GOOGLETRANSLATE(A23841, ""en"", ""mt"")"),"Id-Dipartiment tal-Edukazzjoni tar-Rabat")</f>
        <v>Id-Dipartiment tal-Edukazzjoni tar-Rabat</v>
      </c>
    </row>
    <row r="23842" ht="15.75" customHeight="1">
      <c r="A23842" s="2" t="s">
        <v>23842</v>
      </c>
      <c r="B23842" s="2" t="str">
        <f>IFERROR(__xludf.DUMMYFUNCTION("GOOGLETRANSLATE(A23842, ""en"", ""mt"")"),"Direttiva tal-Kunsill tax-Xogħlijiet")</f>
        <v>Direttiva tal-Kunsill tax-Xogħlijiet</v>
      </c>
    </row>
    <row r="23843" ht="15.75" customHeight="1">
      <c r="A23843" s="2" t="s">
        <v>23843</v>
      </c>
      <c r="B23843" s="2" t="str">
        <f>IFERROR(__xludf.DUMMYFUNCTION("GOOGLETRANSLATE(A23843, ""en"", ""mt"")"),"X'kien it-titlu tal-ewwel innu korali?")</f>
        <v>X'kien it-titlu tal-ewwel innu korali?</v>
      </c>
    </row>
    <row r="23844" ht="15.75" customHeight="1">
      <c r="A23844" s="2" t="s">
        <v>23844</v>
      </c>
      <c r="B23844" s="2" t="str">
        <f>IFERROR(__xludf.DUMMYFUNCTION("GOOGLETRANSLATE(A23844, ""en"", ""mt"")"),"Inalchuq")</f>
        <v>Inalchuq</v>
      </c>
    </row>
    <row r="23845" ht="15.75" customHeight="1">
      <c r="A23845" s="2" t="s">
        <v>23845</v>
      </c>
      <c r="B23845" s="2" t="str">
        <f>IFERROR(__xludf.DUMMYFUNCTION("GOOGLETRANSLATE(A23845, ""en"", ""mt"")"),"Magni tal-fwar reċiprokanti")</f>
        <v>Magni tal-fwar reċiprokanti</v>
      </c>
    </row>
    <row r="23846" ht="15.75" customHeight="1">
      <c r="A23846" s="2" t="s">
        <v>23846</v>
      </c>
      <c r="B23846" s="2" t="str">
        <f>IFERROR(__xludf.DUMMYFUNCTION("GOOGLETRANSLATE(A23846, ""en"", ""mt"")"),"Madwar ġimgħa")</f>
        <v>Madwar ġimgħa</v>
      </c>
    </row>
    <row r="23847" ht="15.75" customHeight="1">
      <c r="A23847" s="2" t="s">
        <v>23847</v>
      </c>
      <c r="B23847" s="2" t="str">
        <f>IFERROR(__xludf.DUMMYFUNCTION("GOOGLETRANSLATE(A23847, ""en"", ""mt"")"),"Kemm kienet kbira l-udjenza li qalet li Bskyb tista 'tilħaq?")</f>
        <v>Kemm kienet kbira l-udjenza li qalet li Bskyb tista 'tilħaq?</v>
      </c>
    </row>
    <row r="23848" ht="15.75" customHeight="1">
      <c r="A23848" s="2" t="s">
        <v>23848</v>
      </c>
      <c r="B23848" s="2" t="str">
        <f>IFERROR(__xludf.DUMMYFUNCTION("GOOGLETRANSLATE(A23848, ""en"", ""mt"")"),"X'jista 'jagħmel Rubisco bi żball?")</f>
        <v>X'jista 'jagħmel Rubisco bi żball?</v>
      </c>
    </row>
    <row r="23849" ht="15.75" customHeight="1">
      <c r="A23849" s="2" t="s">
        <v>23849</v>
      </c>
      <c r="B23849" s="2" t="str">
        <f>IFERROR(__xludf.DUMMYFUNCTION("GOOGLETRANSLATE(A23849, ""en"", ""mt"")"),"kostitwenza")</f>
        <v>kostitwenza</v>
      </c>
    </row>
    <row r="23850" ht="15.75" customHeight="1">
      <c r="A23850" s="2" t="s">
        <v>23850</v>
      </c>
      <c r="B23850" s="2" t="str">
        <f>IFERROR(__xludf.DUMMYFUNCTION("GOOGLETRANSLATE(A23850, ""en"", ""mt"")"),"Liema linebacker kellu l-aktar xkejjer fit-tim?")</f>
        <v>Liema linebacker kellu l-aktar xkejjer fit-tim?</v>
      </c>
    </row>
    <row r="23851" ht="15.75" customHeight="1">
      <c r="A23851" s="2" t="s">
        <v>23851</v>
      </c>
      <c r="B23851" s="2" t="str">
        <f>IFERROR(__xludf.DUMMYFUNCTION("GOOGLETRANSLATE(A23851, ""en"", ""mt"")"),"Min iddikjara Reuters rebaħ il-Premju Nobel tal-1915 fil-fiżika?")</f>
        <v>Min iddikjara Reuters rebaħ il-Premju Nobel tal-1915 fil-fiżika?</v>
      </c>
    </row>
    <row r="23852" ht="15.75" customHeight="1">
      <c r="A23852" s="2" t="s">
        <v>23852</v>
      </c>
      <c r="B23852" s="2" t="str">
        <f>IFERROR(__xludf.DUMMYFUNCTION("GOOGLETRANSLATE(A23852, ""en"", ""mt"")"),"L-istati u t-territorji individwali")</f>
        <v>L-istati u t-territorji individwali</v>
      </c>
    </row>
    <row r="23853" ht="15.75" customHeight="1">
      <c r="A23853" s="2" t="s">
        <v>23853</v>
      </c>
      <c r="B23853" s="2" t="str">
        <f>IFERROR(__xludf.DUMMYFUNCTION("GOOGLETRANSLATE(A23853, ""en"", ""mt"")"),"Kien hemm dibattiti dwar jekk id-diżubbidjenza ċivili għandhiex neċessarjament tkun mhux vjolenti. Id-Dizzjunarju tal-Liġi ta 'l-Iswed jinkludi n-non-vjolenza fid-definizzjoni tiegħu ta' diżubbidjenza ċivili. L-artikolu tal-Enċiklopedija ta 'Christian Bay"&amp;" jiddikjara li d-diżubbidjenza ċivili teħtieġ ""mezzi magħżula bir-reqqa u leġittima"", iżda jqis li m'għandhomx għalfejn ikunu mhux vjolenti. Ġie argumentat li, filwaqt li kemm id-diżubbidjenza ċivili kif ukoll ir-ribelljoni ċivili huma ġġustifikati bl-a"&amp;"ppell għal difetti kostituzzjonali, ir-ribelljoni hija ferm aktar distruttiva; Għalhekk, id-difetti li jiġġustifikaw ribelljoni għandhom ikunu ferm iktar serji minn dawk li jiġġustifikaw id-diżubbidjenza, u jekk wieħed ma jistax jiġġustifika ribelljoni ċi"&amp;"vili, allura wieħed ma jistax jiġġustifika l-użu ta 'forza u vjolenza ta' diżubbidjenti ċivili u rifjut li jissottometti għall-arrest. Id-diżubbidjenti ċivili joqogħdu mill-vjolenza jingħad ukoll biex jgħinu jippreservaw it-tolleranza tas-soċjetà ta 'diżu"&amp;"bbidjenza ċivili.")</f>
        <v>Kien hemm dibattiti dwar jekk id-diżubbidjenza ċivili għandhiex neċessarjament tkun mhux vjolenti. Id-Dizzjunarju tal-Liġi ta 'l-Iswed jinkludi n-non-vjolenza fid-definizzjoni tiegħu ta' diżubbidjenza ċivili. L-artikolu tal-Enċiklopedija ta 'Christian Bay jiddikjara li d-diżubbidjenza ċivili teħtieġ "mezzi magħżula bir-reqqa u leġittima", iżda jqis li m'għandhomx għalfejn ikunu mhux vjolenti. Ġie argumentat li, filwaqt li kemm id-diżubbidjenza ċivili kif ukoll ir-ribelljoni ċivili huma ġġustifikati bl-appell għal difetti kostituzzjonali, ir-ribelljoni hija ferm aktar distruttiva; Għalhekk, id-difetti li jiġġustifikaw ribelljoni għandhom ikunu ferm iktar serji minn dawk li jiġġustifikaw id-diżubbidjenza, u jekk wieħed ma jistax jiġġustifika ribelljoni ċivili, allura wieħed ma jistax jiġġustifika l-użu ta 'forza u vjolenza ta' diżubbidjenti ċivili u rifjut li jissottometti għall-arrest. Id-diżubbidjenti ċivili joqogħdu mill-vjolenza jingħad ukoll biex jgħinu jippreservaw it-tolleranza tas-soċjetà ta 'diżubbidjenza ċivili.</v>
      </c>
    </row>
    <row r="23854" ht="15.75" customHeight="1">
      <c r="A23854" s="2" t="s">
        <v>23854</v>
      </c>
      <c r="B23854" s="2" t="str">
        <f>IFERROR(__xludf.DUMMYFUNCTION("GOOGLETRANSLATE(A23854, ""en"", ""mt"")"),"Stewart")</f>
        <v>Stewart</v>
      </c>
    </row>
    <row r="23855" ht="15.75" customHeight="1">
      <c r="A23855" s="2" t="s">
        <v>23855</v>
      </c>
      <c r="B23855" s="2" t="str">
        <f>IFERROR(__xludf.DUMMYFUNCTION("GOOGLETRANSLATE(A23855, ""en"", ""mt"")"),"Tridha esposta għall-iskrutinju.")</f>
        <v>Tridha esposta għall-iskrutinju.</v>
      </c>
    </row>
    <row r="23856" ht="15.75" customHeight="1">
      <c r="A23856" s="2" t="s">
        <v>23856</v>
      </c>
      <c r="B23856" s="2" t="str">
        <f>IFERROR(__xludf.DUMMYFUNCTION("GOOGLETRANSLATE(A23856, ""en"", ""mt"")"),"Ir-Re ta ’Franza")</f>
        <v>Ir-Re ta ’Franza</v>
      </c>
    </row>
    <row r="23857" ht="15.75" customHeight="1">
      <c r="A23857" s="2" t="s">
        <v>23857</v>
      </c>
      <c r="B23857" s="2" t="str">
        <f>IFERROR(__xludf.DUMMYFUNCTION("GOOGLETRANSLATE(A23857, ""en"", ""mt"")"),"idrofiliku")</f>
        <v>idrofiliku</v>
      </c>
    </row>
    <row r="23858" ht="15.75" customHeight="1">
      <c r="A23858" s="2" t="s">
        <v>23858</v>
      </c>
      <c r="B23858" s="2" t="str">
        <f>IFERROR(__xludf.DUMMYFUNCTION("GOOGLETRANSLATE(A23858, ""en"", ""mt"")"),"F'Lulju 2015")</f>
        <v>F'Lulju 2015</v>
      </c>
    </row>
    <row r="23859" ht="15.75" customHeight="1">
      <c r="A23859" s="2" t="s">
        <v>23859</v>
      </c>
      <c r="B23859" s="2" t="str">
        <f>IFERROR(__xludf.DUMMYFUNCTION("GOOGLETRANSLATE(A23859, ""en"", ""mt"")"),"X'kienet il-forza ta 'Luther fi ħdan ir-Riforma?")</f>
        <v>X'kienet il-forza ta 'Luther fi ħdan ir-Riforma?</v>
      </c>
    </row>
    <row r="23860" ht="15.75" customHeight="1">
      <c r="A23860" s="2" t="s">
        <v>23860</v>
      </c>
      <c r="B23860" s="2" t="str">
        <f>IFERROR(__xludf.DUMMYFUNCTION("GOOGLETRANSLATE(A23860, ""en"", ""mt"")"),"mewġ ta 'xokk ta' pressjoni għolja")</f>
        <v>mewġ ta 'xokk ta' pressjoni għolja</v>
      </c>
    </row>
    <row r="23861" ht="15.75" customHeight="1">
      <c r="A23861" s="2" t="s">
        <v>23861</v>
      </c>
      <c r="B23861" s="2" t="str">
        <f>IFERROR(__xludf.DUMMYFUNCTION("GOOGLETRANSLATE(A23861, ""en"", ""mt"")"),"X'inhi l-attivazzjoni kumplessa ""b'żewġ sinjali"" taċ-ċelloli T?")</f>
        <v>X'inhi l-attivazzjoni kumplessa "b'żewġ sinjali" taċ-ċelloli T?</v>
      </c>
    </row>
    <row r="23862" ht="15.75" customHeight="1">
      <c r="A23862" s="2" t="s">
        <v>23862</v>
      </c>
      <c r="B23862" s="2" t="str">
        <f>IFERROR(__xludf.DUMMYFUNCTION("GOOGLETRANSLATE(A23862, ""en"", ""mt"")"),"Zaju")</f>
        <v>Zaju</v>
      </c>
    </row>
    <row r="23863" ht="15.75" customHeight="1">
      <c r="A23863" s="2" t="s">
        <v>23863</v>
      </c>
      <c r="B23863" s="2" t="str">
        <f>IFERROR(__xludf.DUMMYFUNCTION("GOOGLETRANSLATE(A23863, ""en"", ""mt"")"),"Tribujiet Nattivi")</f>
        <v>Tribujiet Nattivi</v>
      </c>
    </row>
    <row r="23864" ht="15.75" customHeight="1">
      <c r="A23864" s="2" t="s">
        <v>23864</v>
      </c>
      <c r="B23864" s="2" t="str">
        <f>IFERROR(__xludf.DUMMYFUNCTION("GOOGLETRANSLATE(A23864, ""en"", ""mt"")"),"15")</f>
        <v>15</v>
      </c>
    </row>
    <row r="23865" ht="15.75" customHeight="1">
      <c r="A23865" s="2" t="s">
        <v>23865</v>
      </c>
      <c r="B23865" s="2" t="str">
        <f>IFERROR(__xludf.DUMMYFUNCTION("GOOGLETRANSLATE(A23865, ""en"", ""mt"")"),"għandu l-abbiltà li jespandi u jiżviluppa l-liġi skont il-prinċipji li jidhirlu li huma xierqa")</f>
        <v>għandu l-abbiltà li jespandi u jiżviluppa l-liġi skont il-prinċipji li jidhirlu li huma xierqa</v>
      </c>
    </row>
    <row r="23866" ht="15.75" customHeight="1">
      <c r="A23866" s="2" t="s">
        <v>23866</v>
      </c>
      <c r="B23866" s="2" t="str">
        <f>IFERROR(__xludf.DUMMYFUNCTION("GOOGLETRANSLATE(A23866, ""en"", ""mt"")"),"Xi jħossu xi nies diżubbidjenti ċivili li jirrikonoxxu.")</f>
        <v>Xi jħossu xi nies diżubbidjenti ċivili li jirrikonoxxu.</v>
      </c>
    </row>
    <row r="23867" ht="15.75" customHeight="1">
      <c r="A23867" s="2" t="s">
        <v>23867</v>
      </c>
      <c r="B23867" s="2" t="str">
        <f>IFERROR(__xludf.DUMMYFUNCTION("GOOGLETRANSLATE(A23867, ""en"", ""mt"")"),"Ir-raba ', il-qrati nazzjonali għandhom id-dmir li jinterpretaw il-liġi domestika ""kemm jista' jkun fid-dawl tal-kliem u l-iskop tad-direttiva"". Il-kotba tat-test (għalkemm mhux il-qorti nnifisha) spiss jissejħu dan l- ""effett indirett"". Fil-marleasin"&amp;"g sa v la comercial sa l-qorti tal-ġustizzja ddeċidiet li qorti Spanjola kellha tinterpreta d-dispożizzjonijiet ġenerali tal-kodiċi ċivili tagħha, fuq kuntratti li m'għandhomx kawża jew li jeqirdu l-kredituri, biex jikkonformaw mal-ewwel Artikolu tal-Liġi"&amp;" tal-Liġi 11 tal-Kumpanija, li meħtieġa inkorporazzjonijiet ikunu biss annulifikat għal lista fissa ta 'raġunijiet. Il-Qorti tal-Ġustizzja malajr irrikonoxxiet li d-dmir ta 'interpretazzjoni ma jistax jikkontradixxi kliem sempliċi fi statut nazzjonali. Iż"&amp;"da, il-ħames, jekk stat membru naqas milli jimplimenta direttiva, ċittadin jista 'ma jkunx jista' jġib talbiet kontra partijiet oħra mhux statali, iżda jista 'jħarrek lill-Istat Membru nnifsu minħabba nuqqas ta' implimentazzjoni tal-liġi. Allura, fi Franc"&amp;"ovich vs l-Italja, il-gvern Taljan naqas milli jwaqqaf fond ta 'assigurazzjoni għall-impjegati biex jitolbu pagi mhux imħallsa jekk min iħaddemhom kienu marru insolventi, kif kienet meħtieġa d-Direttiva dwar il-Protezzjoni ta' l-Insolvenza. Francovich, l-"&amp;"ex impjegat ta 'ditta Venezjana falluta, għalhekk tħalla jitlob 6 miljun lira mill-gvern Taljan dwar danni għat-telf tiegħu. Il-Qorti tal-Ġustizzja ddeċidiet li jekk direttiva tagħti drittijiet identifikabbli fuq individwi, u hemm rabta kawżali bejn il-ks"&amp;"ur tal-istat membru tal-UE u t-telf ta 'pretendent, għandhom jitħallsu d-danni. Il-fatt li l-liġi inkompatibbli hija att tal-parlament huwa l-ebda difiża.")</f>
        <v>Ir-raba ', il-qrati nazzjonali għandhom id-dmir li jinterpretaw il-liġi domestika "kemm jista' jkun fid-dawl tal-kliem u l-iskop tad-direttiva". Il-kotba tat-test (għalkemm mhux il-qorti nnifisha) spiss jissejħu dan l- "effett indirett". Fil-marleasing sa v la comercial sa l-qorti tal-ġustizzja ddeċidiet li qorti Spanjola kellha tinterpreta d-dispożizzjonijiet ġenerali tal-kodiċi ċivili tagħha, fuq kuntratti li m'għandhomx kawża jew li jeqirdu l-kredituri, biex jikkonformaw mal-ewwel Artikolu tal-Liġi tal-Liġi 11 tal-Kumpanija, li meħtieġa inkorporazzjonijiet ikunu biss annulifikat għal lista fissa ta 'raġunijiet. Il-Qorti tal-Ġustizzja malajr irrikonoxxiet li d-dmir ta 'interpretazzjoni ma jistax jikkontradixxi kliem sempliċi fi statut nazzjonali. Iżda, il-ħames, jekk stat membru naqas milli jimplimenta direttiva, ċittadin jista 'ma jkunx jista' jġib talbiet kontra partijiet oħra mhux statali, iżda jista 'jħarrek lill-Istat Membru nnifsu minħabba nuqqas ta' implimentazzjoni tal-liġi. Allura, fi Francovich vs l-Italja, il-gvern Taljan naqas milli jwaqqaf fond ta 'assigurazzjoni għall-impjegati biex jitolbu pagi mhux imħallsa jekk min iħaddemhom kienu marru insolventi, kif kienet meħtieġa d-Direttiva dwar il-Protezzjoni ta' l-Insolvenza. Francovich, l-ex impjegat ta 'ditta Venezjana falluta, għalhekk tħalla jitlob 6 miljun lira mill-gvern Taljan dwar danni għat-telf tiegħu. Il-Qorti tal-Ġustizzja ddeċidiet li jekk direttiva tagħti drittijiet identifikabbli fuq individwi, u hemm rabta kawżali bejn il-ksur tal-istat membru tal-UE u t-telf ta 'pretendent, għandhom jitħallsu d-danni. Il-fatt li l-liġi inkompatibbli hija att tal-parlament huwa l-ebda difiża.</v>
      </c>
    </row>
    <row r="23868" ht="15.75" customHeight="1">
      <c r="A23868" s="2" t="s">
        <v>23868</v>
      </c>
      <c r="B23868" s="2" t="str">
        <f>IFERROR(__xludf.DUMMYFUNCTION("GOOGLETRANSLATE(A23868, ""en"", ""mt"")"),"Ġdid Jan Hus")</f>
        <v>Ġdid Jan Hus</v>
      </c>
    </row>
    <row r="23869" ht="15.75" customHeight="1">
      <c r="A23869" s="2" t="s">
        <v>23869</v>
      </c>
      <c r="B23869" s="2" t="str">
        <f>IFERROR(__xludf.DUMMYFUNCTION("GOOGLETRANSLATE(A23869, ""en"", ""mt"")"),"Liema netwerk kien iddisinjat mill-Franċiżi")</f>
        <v>Liema netwerk kien iddisinjat mill-Franċiżi</v>
      </c>
    </row>
    <row r="23870" ht="15.75" customHeight="1">
      <c r="A23870" s="2" t="s">
        <v>23870</v>
      </c>
      <c r="B23870" s="2" t="str">
        <f>IFERROR(__xludf.DUMMYFUNCTION("GOOGLETRANSLATE(A23870, ""en"", ""mt"")"),"riġenerazzjoni")</f>
        <v>riġenerazzjoni</v>
      </c>
    </row>
    <row r="23871" ht="15.75" customHeight="1">
      <c r="A23871" s="2" t="s">
        <v>23871</v>
      </c>
      <c r="B23871" s="2" t="str">
        <f>IFERROR(__xludf.DUMMYFUNCTION("GOOGLETRANSLATE(A23871, ""en"", ""mt"")"),"William Tyndale's")</f>
        <v>William Tyndale's</v>
      </c>
    </row>
    <row r="23872" ht="15.75" customHeight="1">
      <c r="A23872" s="2" t="s">
        <v>23872</v>
      </c>
      <c r="B23872" s="2" t="str">
        <f>IFERROR(__xludf.DUMMYFUNCTION("GOOGLETRANSLATE(A23872, ""en"", ""mt"")"),"X'beda jibdel il-mod kif jgħallmu l-għalliema fil-klassi, ġeneralment?")</f>
        <v>X'beda jibdel il-mod kif jgħallmu l-għalliema fil-klassi, ġeneralment?</v>
      </c>
    </row>
    <row r="23873" ht="15.75" customHeight="1">
      <c r="A23873" s="2" t="s">
        <v>23873</v>
      </c>
      <c r="B23873" s="2" t="str">
        <f>IFERROR(__xludf.DUMMYFUNCTION("GOOGLETRANSLATE(A23873, ""en"", ""mt"")"),"Liema suġġetti oħra tista 'tappartjeni d-diżubbidjenza ċivili?")</f>
        <v>Liema suġġetti oħra tista 'tappartjeni d-diżubbidjenza ċivili?</v>
      </c>
    </row>
    <row r="23874" ht="15.75" customHeight="1">
      <c r="A23874" s="2" t="s">
        <v>23874</v>
      </c>
      <c r="B23874" s="2" t="str">
        <f>IFERROR(__xludf.DUMMYFUNCTION("GOOGLETRANSLATE(A23874, ""en"", ""mt"")"),"X'inhu isem ieħor għat-Tabula Rogeriana?")</f>
        <v>X'inhu isem ieħor għat-Tabula Rogeriana?</v>
      </c>
    </row>
    <row r="23875" ht="15.75" customHeight="1">
      <c r="A23875" s="2" t="s">
        <v>23875</v>
      </c>
      <c r="B23875" s="2" t="str">
        <f>IFERROR(__xludf.DUMMYFUNCTION("GOOGLETRANSLATE(A23875, ""en"", ""mt"")"),"F'liema sena tnediet HMS Dreadnought?")</f>
        <v>F'liema sena tnediet HMS Dreadnought?</v>
      </c>
    </row>
    <row r="23876" ht="15.75" customHeight="1">
      <c r="A23876" s="2" t="s">
        <v>23876</v>
      </c>
      <c r="B23876" s="2" t="str">
        <f>IFERROR(__xludf.DUMMYFUNCTION("GOOGLETRANSLATE(A23876, ""en"", ""mt"")"),"Appell għal difetti kostituzzjonali")</f>
        <v>Appell għal difetti kostituzzjonali</v>
      </c>
    </row>
    <row r="23877" ht="15.75" customHeight="1">
      <c r="A23877" s="2" t="s">
        <v>23877</v>
      </c>
      <c r="B23877" s="2" t="str">
        <f>IFERROR(__xludf.DUMMYFUNCTION("GOOGLETRANSLATE(A23877, ""en"", ""mt"")"),"Liema stazzjon tar-radju ta 'Newcastle huwa bbażat fl-Isptar tat-Tfal tal-Gran North?")</f>
        <v>Liema stazzjon tar-radju ta 'Newcastle huwa bbażat fl-Isptar tat-Tfal tal-Gran North?</v>
      </c>
    </row>
    <row r="23878" ht="15.75" customHeight="1">
      <c r="A23878" s="2" t="s">
        <v>23878</v>
      </c>
      <c r="B23878" s="2" t="str">
        <f>IFERROR(__xludf.DUMMYFUNCTION("GOOGLETRANSLATE(A23878, ""en"", ""mt"")"),"superjorità teknoloġika,")</f>
        <v>superjorità teknoloġika,</v>
      </c>
    </row>
    <row r="23879" ht="15.75" customHeight="1">
      <c r="A23879" s="2" t="s">
        <v>23879</v>
      </c>
      <c r="B23879" s="2" t="str">
        <f>IFERROR(__xludf.DUMMYFUNCTION("GOOGLETRANSLATE(A23879, ""en"", ""mt"")"),"Il-ħin u l-ispazju huma t-tnejn eżempji ta 'liema tip ta' riżorsa?")</f>
        <v>Il-ħin u l-ispazju huma t-tnejn eżempji ta 'liema tip ta' riżorsa?</v>
      </c>
    </row>
    <row r="23880" ht="15.75" customHeight="1">
      <c r="A23880" s="2" t="s">
        <v>23880</v>
      </c>
      <c r="B23880" s="2" t="str">
        <f>IFERROR(__xludf.DUMMYFUNCTION("GOOGLETRANSLATE(A23880, ""en"", ""mt"")"),"Għalkemm m'hemm l-ebda definizzjoni uffiċjali għall-konfini tat-tramuntana tan-Nofsinhar ta 'California, tali diviżjoni teżisti minn meta l-Messiku ddeċieda California, u t-tilwim politiku qalbu bejn il-Californios ta' Monterey fil-parti ta 'fuq u f'Los A"&amp;"ngeles fil-parti ta' isfel ta 'Alta California Jonqos Wara l-akkwist ta 'California mill-Istati Uniti, id-diviżjoni kompliet bħala parti mill-attentat minn diversi politiċi favur l-iskjavitù biex jirranġaw id-diviżjoni ta' Alta California f'36 grad, 30 mi"&amp;"nuta, il-linja tal-kompromess ta 'Missouri. Minflok, il-mogħdija tal-kompromess tal-1850 ippermettiet lil California biex tiġi ammessa fl-unjoni bħala stat ħieles, li ma tħallix li n-Nofsinhar tal-Kalifornja ssir l-istat tal-iskjavi separat tagħha stess.")</f>
        <v>Għalkemm m'hemm l-ebda definizzjoni uffiċjali għall-konfini tat-tramuntana tan-Nofsinhar ta 'California, tali diviżjoni teżisti minn meta l-Messiku ddeċieda California, u t-tilwim politiku qalbu bejn il-Californios ta' Monterey fil-parti ta 'fuq u f'Los Angeles fil-parti ta' isfel ta 'Alta California Jonqos Wara l-akkwist ta 'California mill-Istati Uniti, id-diviżjoni kompliet bħala parti mill-attentat minn diversi politiċi favur l-iskjavitù biex jirranġaw id-diviżjoni ta' Alta California f'36 grad, 30 minuta, il-linja tal-kompromess ta 'Missouri. Minflok, il-mogħdija tal-kompromess tal-1850 ippermettiet lil California biex tiġi ammessa fl-unjoni bħala stat ħieles, li ma tħallix li n-Nofsinhar tal-Kalifornja ssir l-istat tal-iskjavi separat tagħha stess.</v>
      </c>
    </row>
    <row r="23881" ht="15.75" customHeight="1">
      <c r="A23881" s="2" t="s">
        <v>23881</v>
      </c>
      <c r="B23881" s="2" t="str">
        <f>IFERROR(__xludf.DUMMYFUNCTION("GOOGLETRANSLATE(A23881, ""en"", ""mt"")"),"It-tielet użu tal-liġi")</f>
        <v>It-tielet użu tal-liġi</v>
      </c>
    </row>
    <row r="23882" ht="15.75" customHeight="1">
      <c r="A23882" s="2" t="s">
        <v>23882</v>
      </c>
      <c r="B23882" s="2" t="str">
        <f>IFERROR(__xludf.DUMMYFUNCTION("GOOGLETRANSLATE(A23882, ""en"", ""mt"")"),"It-Tieni Gwerra Dinjija.")</f>
        <v>It-Tieni Gwerra Dinjija.</v>
      </c>
    </row>
    <row r="23883" ht="15.75" customHeight="1">
      <c r="A23883" s="2" t="s">
        <v>23883</v>
      </c>
      <c r="B23883" s="2" t="str">
        <f>IFERROR(__xludf.DUMMYFUNCTION("GOOGLETRANSLATE(A23883, ""en"", ""mt"")"),"Matul is-snin 1980 u disgħinijiet, id-domanda għal Parlament Skoċċiż kibret, parzjalment minħabba li l-gvern tar-Renju Unit kien ikkontrollat ​​mill-Partit Konservattiv, filwaqt li l-Iskozja nnifisha eletta relattivament ftit membri parlamentari Konservat"&amp;"tivi. Wara t-telfa tar-referendum tal-1979, il-kampanja għal assemblea Skoċċiża nbdiet bħala grupp ta 'pressjoni, li wassal għall-Konvenzjoni Kostituzzjonali Skoċċiża tal-1989 ma' diversi organizzazzjonijiet bħal knejjes Skoċċiżi, partiti politiċi u rappr"&amp;"eżentanti tal-industrija li qed jieħdu sehem. Pubblikazzjoni tal-blueprint tagħha għad-devoluzzjoni fl-1995, il-konvenzjoni pprovdiet ħafna mill-bażi għall-istruttura tal-Parlament.")</f>
        <v>Matul is-snin 1980 u disgħinijiet, id-domanda għal Parlament Skoċċiż kibret, parzjalment minħabba li l-gvern tar-Renju Unit kien ikkontrollat ​​mill-Partit Konservattiv, filwaqt li l-Iskozja nnifisha eletta relattivament ftit membri parlamentari Konservattivi. Wara t-telfa tar-referendum tal-1979, il-kampanja għal assemblea Skoċċiża nbdiet bħala grupp ta 'pressjoni, li wassal għall-Konvenzjoni Kostituzzjonali Skoċċiża tal-1989 ma' diversi organizzazzjonijiet bħal knejjes Skoċċiżi, partiti politiċi u rappreżentanti tal-industrija li qed jieħdu sehem. Pubblikazzjoni tal-blueprint tagħha għad-devoluzzjoni fl-1995, il-konvenzjoni pprovdiet ħafna mill-bażi għall-istruttura tal-Parlament.</v>
      </c>
    </row>
    <row r="23884" ht="15.75" customHeight="1">
      <c r="A23884" s="2" t="s">
        <v>23884</v>
      </c>
      <c r="B23884" s="2" t="str">
        <f>IFERROR(__xludf.DUMMYFUNCTION("GOOGLETRANSLATE(A23884, ""en"", ""mt"")"),"Att dwar l-Iskozja")</f>
        <v>Att dwar l-Iskozja</v>
      </c>
    </row>
    <row r="23885" ht="15.75" customHeight="1">
      <c r="A23885" s="2" t="s">
        <v>23885</v>
      </c>
      <c r="B23885" s="2" t="str">
        <f>IFERROR(__xludf.DUMMYFUNCTION("GOOGLETRANSLATE(A23885, ""en"", ""mt"")"),"Algoritmi ta 'ħin esponenzjali")</f>
        <v>Algoritmi ta 'ħin esponenzjali</v>
      </c>
    </row>
    <row r="23886" ht="15.75" customHeight="1">
      <c r="A23886" s="2" t="s">
        <v>23886</v>
      </c>
      <c r="B23886" s="2" t="str">
        <f>IFERROR(__xludf.DUMMYFUNCTION("GOOGLETRANSLATE(A23886, ""en"", ""mt"")"),"jiksbu l-appoġġ tal-Ingliżi u jerġgħu jiksbu l-awtorità fuq in-nies tiegħu stess")</f>
        <v>jiksbu l-appoġġ tal-Ingliżi u jerġgħu jiksbu l-awtorità fuq in-nies tiegħu stess</v>
      </c>
    </row>
    <row r="23887" ht="15.75" customHeight="1">
      <c r="A23887" s="2" t="s">
        <v>23887</v>
      </c>
      <c r="B23887" s="2" t="str">
        <f>IFERROR(__xludf.DUMMYFUNCTION("GOOGLETRANSLATE(A23887, ""en"", ""mt"")"),"Xi jindikaw ukoll dikjarazzjonijiet mill-PO u l-membru inkarigati mill-abbozz?")</f>
        <v>Xi jindikaw ukoll dikjarazzjonijiet mill-PO u l-membru inkarigati mill-abbozz?</v>
      </c>
    </row>
    <row r="23888" ht="15.75" customHeight="1">
      <c r="A23888" s="2" t="s">
        <v>23888</v>
      </c>
      <c r="B23888" s="2" t="str">
        <f>IFERROR(__xludf.DUMMYFUNCTION("GOOGLETRANSLATE(A23888, ""en"", ""mt"")"),"Kemm touchdowns għamlu Ronnie Hillman?")</f>
        <v>Kemm touchdowns għamlu Ronnie Hillman?</v>
      </c>
    </row>
    <row r="23889" ht="15.75" customHeight="1">
      <c r="A23889" s="2" t="s">
        <v>23889</v>
      </c>
      <c r="B23889" s="2" t="str">
        <f>IFERROR(__xludf.DUMMYFUNCTION("GOOGLETRANSLATE(A23889, ""en"", ""mt"")"),"Baċin tax-Xmara Yangzi")</f>
        <v>Baċin tax-Xmara Yangzi</v>
      </c>
    </row>
    <row r="23890" ht="15.75" customHeight="1">
      <c r="A23890" s="2" t="s">
        <v>23890</v>
      </c>
      <c r="B23890" s="2" t="str">
        <f>IFERROR(__xludf.DUMMYFUNCTION("GOOGLETRANSLATE(A23890, ""en"", ""mt"")"),"Min kien il-mexxej tad-dinastija Khwarezmian fil-bidu tas-snin 1200?")</f>
        <v>Min kien il-mexxej tad-dinastija Khwarezmian fil-bidu tas-snin 1200?</v>
      </c>
    </row>
    <row r="23891" ht="15.75" customHeight="1">
      <c r="A23891" s="2" t="s">
        <v>23891</v>
      </c>
      <c r="B23891" s="2" t="str">
        <f>IFERROR(__xludf.DUMMYFUNCTION("GOOGLETRANSLATE(A23891, ""en"", ""mt"")"),"Minn xiex kienet il-Klassifikata ta 'Varsavja s-7?")</f>
        <v>Minn xiex kienet il-Klassifikata ta 'Varsavja s-7?</v>
      </c>
    </row>
    <row r="23892" ht="15.75" customHeight="1">
      <c r="A23892" s="2" t="s">
        <v>23892</v>
      </c>
      <c r="B23892" s="2" t="str">
        <f>IFERROR(__xludf.DUMMYFUNCTION("GOOGLETRANSLATE(A23892, ""en"", ""mt"")"),"1598")</f>
        <v>1598</v>
      </c>
    </row>
    <row r="23893" ht="15.75" customHeight="1">
      <c r="A23893" s="2" t="s">
        <v>23893</v>
      </c>
      <c r="B23893" s="2" t="str">
        <f>IFERROR(__xludf.DUMMYFUNCTION("GOOGLETRANSLATE(A23893, ""en"", ""mt"")"),"fil-laboratorju tiegħu u bnadi oħra")</f>
        <v>fil-laboratorju tiegħu u bnadi oħra</v>
      </c>
    </row>
    <row r="23894" ht="15.75" customHeight="1">
      <c r="A23894" s="2" t="s">
        <v>23894</v>
      </c>
      <c r="B23894" s="2" t="str">
        <f>IFERROR(__xludf.DUMMYFUNCTION("GOOGLETRANSLATE(A23894, ""en"", ""mt"")"),"il-Papa")</f>
        <v>il-Papa</v>
      </c>
    </row>
    <row r="23895" ht="15.75" customHeight="1">
      <c r="A23895" s="2" t="s">
        <v>23895</v>
      </c>
      <c r="B23895" s="2" t="str">
        <f>IFERROR(__xludf.DUMMYFUNCTION("GOOGLETRANSLATE(A23895, ""en"", ""mt"")"),"Jacksonville, bħall-biċċa l-kbira tal-bliet kbar fl-Istati Uniti, sofra minn effetti negattivi ta 'tifrix urban rapidu wara t-Tieni Gwerra Dinjija. Il-kostruzzjoni ta 'awtostradi wasslu lir-residenti biex imorru għal akkomodazzjoni aktar ġdida fis-subborg"&amp;"i. Wara t-Tieni Gwerra Dinjija, il-gvern tal-belt ta 'Jacksonville beda jżid l-infiq biex jiffinanzja proġetti ġodda ta' bini pubbliku fil-boom li seħħ wara l-gwerra. L-istorja tas-Sindku W. Haydon Burns ta ’Jacksonville irriżultat fil-kostruzzjoni ta’ Ci"&amp;"ty Hall, awditorju ċiviku, librerija pubblika u proġetti oħra li ħolqu sens dinamiku ta ’kburija ċivika. Madankollu, l-iżvilupp ta 'subborgi u mewġa sussegwenti ta' klassi tan-nofs ""titjira bajda"" ħallew lil Jacksonville b'popolazzjoni ferm aktar fqira "&amp;"minn qabel. Il-grupp etniku l-iktar popolat tal-belt, mhux Spanjol White, naqas minn 75.8% fl-1970 għal 55.1% sal-2010.")</f>
        <v>Jacksonville, bħall-biċċa l-kbira tal-bliet kbar fl-Istati Uniti, sofra minn effetti negattivi ta 'tifrix urban rapidu wara t-Tieni Gwerra Dinjija. Il-kostruzzjoni ta 'awtostradi wasslu lir-residenti biex imorru għal akkomodazzjoni aktar ġdida fis-subborgi. Wara t-Tieni Gwerra Dinjija, il-gvern tal-belt ta 'Jacksonville beda jżid l-infiq biex jiffinanzja proġetti ġodda ta' bini pubbliku fil-boom li seħħ wara l-gwerra. L-istorja tas-Sindku W. Haydon Burns ta ’Jacksonville irriżultat fil-kostruzzjoni ta’ City Hall, awditorju ċiviku, librerija pubblika u proġetti oħra li ħolqu sens dinamiku ta ’kburija ċivika. Madankollu, l-iżvilupp ta 'subborgi u mewġa sussegwenti ta' klassi tan-nofs "titjira bajda" ħallew lil Jacksonville b'popolazzjoni ferm aktar fqira minn qabel. Il-grupp etniku l-iktar popolat tal-belt, mhux Spanjol White, naqas minn 75.8% fl-1970 għal 55.1% sal-2010.</v>
      </c>
    </row>
    <row r="23896" ht="15.75" customHeight="1">
      <c r="A23896" s="2" t="s">
        <v>23896</v>
      </c>
      <c r="B23896" s="2" t="str">
        <f>IFERROR(__xludf.DUMMYFUNCTION("GOOGLETRANSLATE(A23896, ""en"", ""mt"")"),"X'tip ta 'Saturn kien oriġinarjament se jintuża għal Apollo 8?")</f>
        <v>X'tip ta 'Saturn kien oriġinarjament se jintuża għal Apollo 8?</v>
      </c>
    </row>
    <row r="23897" ht="15.75" customHeight="1">
      <c r="A23897" s="2" t="s">
        <v>23897</v>
      </c>
      <c r="B23897" s="2" t="str">
        <f>IFERROR(__xludf.DUMMYFUNCTION("GOOGLETRANSLATE(A23897, ""en"", ""mt"")"),"X'kien l-isem tal-plejer li ħa l-ballun 'il bogħod minn Newton tard fir-raba' kwart?")</f>
        <v>X'kien l-isem tal-plejer li ħa l-ballun 'il bogħod minn Newton tard fir-raba' kwart?</v>
      </c>
    </row>
    <row r="23898" ht="15.75" customHeight="1">
      <c r="A23898" s="2" t="s">
        <v>23898</v>
      </c>
      <c r="B23898" s="2" t="str">
        <f>IFERROR(__xludf.DUMMYFUNCTION("GOOGLETRANSLATE(A23898, ""en"", ""mt"")"),"Kemm 'il bogħod minn Varsavja l-ambjent tax-Xmara Vistula jinbidel b'mod notevoli?")</f>
        <v>Kemm 'il bogħod minn Varsavja l-ambjent tax-Xmara Vistula jinbidel b'mod notevoli?</v>
      </c>
    </row>
    <row r="23899" ht="15.75" customHeight="1">
      <c r="A23899" s="2" t="s">
        <v>23899</v>
      </c>
      <c r="B23899" s="2" t="str">
        <f>IFERROR(__xludf.DUMMYFUNCTION("GOOGLETRANSLATE(A23899, ""en"", ""mt"")"),"Netwerk ta 'Komunikazzjonijiet fuq skala kbira, imqassma, li jista' jibqa 'ħaj")</f>
        <v>Netwerk ta 'Komunikazzjonijiet fuq skala kbira, imqassma, li jista' jibqa 'ħaj</v>
      </c>
    </row>
    <row r="23900" ht="15.75" customHeight="1">
      <c r="A23900" s="2" t="s">
        <v>23900</v>
      </c>
      <c r="B23900" s="2" t="str">
        <f>IFERROR(__xludf.DUMMYFUNCTION("GOOGLETRANSLATE(A23900, ""en"", ""mt"")"),"birefringenza, pleokroiżmu, ġemellaġġ, u interferenza")</f>
        <v>birefringenza, pleokroiżmu, ġemellaġġ, u interferenza</v>
      </c>
    </row>
    <row r="23901" ht="15.75" customHeight="1">
      <c r="A23901" s="2" t="s">
        <v>23901</v>
      </c>
      <c r="B23901" s="2" t="str">
        <f>IFERROR(__xludf.DUMMYFUNCTION("GOOGLETRANSLATE(A23901, ""en"", ""mt"")"),"Dak li jiddistingwi t-Tylakoids Stromali?")</f>
        <v>Dak li jiddistingwi t-Tylakoids Stromali?</v>
      </c>
    </row>
    <row r="23902" ht="15.75" customHeight="1">
      <c r="A23902" s="2" t="s">
        <v>23902</v>
      </c>
      <c r="B23902" s="2" t="str">
        <f>IFERROR(__xludf.DUMMYFUNCTION("GOOGLETRANSLATE(A23902, ""en"", ""mt"")"),"Liema qasam tax-xjenza tal-kompjuter janalizza r-rekwiżiti tar-riżorsi ta 'algoritmu speċifiku iżolat għalih innifsu fi problema partikolari?")</f>
        <v>Liema qasam tax-xjenza tal-kompjuter janalizza r-rekwiżiti tar-riżorsi ta 'algoritmu speċifiku iżolat għalih innifsu fi problema partikolari?</v>
      </c>
    </row>
    <row r="23903" ht="15.75" customHeight="1">
      <c r="A23903" s="2" t="s">
        <v>23903</v>
      </c>
      <c r="B23903" s="2" t="str">
        <f>IFERROR(__xludf.DUMMYFUNCTION("GOOGLETRANSLATE(A23903, ""en"", ""mt"")"),"Varsavja (Pollakk: Warszawa [varˈʂava] (Isma); ara wkoll ismijiet oħra) hija l-kapitali u l-ikbar belt tal-Polonja. Tinsab fuq ix-Xmara Vistula fil-Lvant-Ċentrali tal-Polonja, bejn wieħed u ieħor 260 kilometru (160 mi) mill-Baħar Baltiku u 300 kilometru ("&amp;"190 mi) mill-Muntanji tal-Karpazji. Il-popolazzjoni tagħha hija stmata għal 1.740 miljun resident f'żona metropolitana akbar ta '2.666 miljun resident, li tagħmel Varsavja l-iktar belt kapitali l-iktar popolata fl-Unjoni Ewropea. Il-limiti tal-belt ikopru"&amp;" 516.9 kilometri kwadri (199.6 sq mi), filwaqt li ż-żona metropolitana tkopri 6,100.43 kilometri kwadri (2,355.39 sq mi).")</f>
        <v>Varsavja (Pollakk: Warszawa [varˈʂava] (Isma); ara wkoll ismijiet oħra) hija l-kapitali u l-ikbar belt tal-Polonja. Tinsab fuq ix-Xmara Vistula fil-Lvant-Ċentrali tal-Polonja, bejn wieħed u ieħor 260 kilometru (160 mi) mill-Baħar Baltiku u 300 kilometru (190 mi) mill-Muntanji tal-Karpazji. Il-popolazzjoni tagħha hija stmata għal 1.740 miljun resident f'żona metropolitana akbar ta '2.666 miljun resident, li tagħmel Varsavja l-iktar belt kapitali l-iktar popolata fl-Unjoni Ewropea. Il-limiti tal-belt ikopru 516.9 kilometri kwadri (199.6 sq mi), filwaqt li ż-żona metropolitana tkopri 6,100.43 kilometri kwadri (2,355.39 sq mi).</v>
      </c>
    </row>
    <row r="23904" ht="15.75" customHeight="1">
      <c r="A23904" s="2" t="s">
        <v>23904</v>
      </c>
      <c r="B23904" s="2" t="str">
        <f>IFERROR(__xludf.DUMMYFUNCTION("GOOGLETRANSLATE(A23904, ""en"", ""mt"")"),"X'inhuma ismijiet alternattivi oħra għall-Gwerra Franċiża u Indjana?")</f>
        <v>X'inhuma ismijiet alternattivi oħra għall-Gwerra Franċiża u Indjana?</v>
      </c>
    </row>
    <row r="23905" ht="15.75" customHeight="1">
      <c r="A23905" s="2" t="s">
        <v>23905</v>
      </c>
      <c r="B23905" s="2" t="str">
        <f>IFERROR(__xludf.DUMMYFUNCTION("GOOGLETRANSLATE(A23905, ""en"", ""mt"")"),"X'kien in-numru tal-privattiva għall-aħħar privattiva ta 'Tesla?")</f>
        <v>X'kien in-numru tal-privattiva għall-aħħar privattiva ta 'Tesla?</v>
      </c>
    </row>
    <row r="23906" ht="15.75" customHeight="1">
      <c r="A23906" s="2" t="s">
        <v>23906</v>
      </c>
      <c r="B23906" s="2" t="str">
        <f>IFERROR(__xludf.DUMMYFUNCTION("GOOGLETRANSLATE(A23906, ""en"", ""mt"")"),"Liema figuri ewlenin rivoluzzjonarji futuri pparteċipaw f'dan l-attakk?")</f>
        <v>Liema figuri ewlenin rivoluzzjonarji futuri pparteċipaw f'dan l-attakk?</v>
      </c>
    </row>
    <row r="23907" ht="15.75" customHeight="1">
      <c r="A23907" s="2" t="s">
        <v>23907</v>
      </c>
      <c r="B23907" s="2" t="str">
        <f>IFERROR(__xludf.DUMMYFUNCTION("GOOGLETRANSLATE(A23907, ""en"", ""mt"")"),"Minbarra l-ijssel, fejn l-ilma mill-pannerdens kanaal redsitrubute?")</f>
        <v>Minbarra l-ijssel, fejn l-ilma mill-pannerdens kanaal redsitrubute?</v>
      </c>
    </row>
    <row r="23908" ht="15.75" customHeight="1">
      <c r="A23908" s="2" t="s">
        <v>23908</v>
      </c>
      <c r="B23908" s="2" t="str">
        <f>IFERROR(__xludf.DUMMYFUNCTION("GOOGLETRANSLATE(A23908, ""en"", ""mt"")"),"Iffoka fuq dak li hu biex itejjeb il-ħafna problemi li jinħolqu mill-prattiki ta 'spiss kompetittivi u kontradittorji fl-industrija tal-kostruzzjoni.")</f>
        <v>Iffoka fuq dak li hu biex itejjeb il-ħafna problemi li jinħolqu mill-prattiki ta 'spiss kompetittivi u kontradittorji fl-industrija tal-kostruzzjoni.</v>
      </c>
    </row>
    <row r="23909" ht="15.75" customHeight="1">
      <c r="A23909" s="2" t="s">
        <v>23909</v>
      </c>
      <c r="B23909" s="2" t="str">
        <f>IFERROR(__xludf.DUMMYFUNCTION("GOOGLETRANSLATE(A23909, ""en"", ""mt"")"),"Fil-bidu tas-seklu 13, id-dinastija Khwarazmian kienet regolata minn Shah Ala Ad-Din Muhammad. Genghis Khan ra l-vantaġġ potenzjali f'Khwarezmia bħala sieħeb kummerċjali kummerċjali bl-użu tat-Triq tal-Ħarir, u inizjalment bagħat karavana ta '500 raġel bi"&amp;"ex jistabbilixxi rabtiet kummerċjali uffiċjali mal-imperu. Madankollu, Inalchuq, il-gvernatur tal-belt ta 'Otrar Khwarezmian, attakka l-karavana li kienet ġejja mill-Mongolja, fejn sostniet li l-karavana kien fiha spiji u għalhekk kienet konspirazzjoni ko"&amp;"ntra Khwarezmia. Is-sitwazzjoni saret aktar ikkumplikata minħabba li l-gvernatur aktar tard irrifjuta li jagħmel ħlasijiet lura għall-sakkeġġi tal-karavans u l-għoti ta 'dawk li jwettqu. Genghis Khan imbagħad bagħat mill-ġdid it-tieni grupp ta 'tliet amba"&amp;"xxaturi (żewġ Mongoli u Musulmani) biex jiltaqgħu max-Shah innifsu minflok il-Gvernatur Inalchuq. Ix-Shah kellu l-irġiel kollha mqaxxra u l-Musulmani ktiehem u bagħat rasu lura maż-żewġ ambaxxaturi li fadal. Dan kien meqjus bħala affront u insult lil Geng"&amp;"his Khan. Għaddej, Genghis Khan ippjana waħda mill-ikbar kampanji ta 'invażjoni tiegħu billi organizza flimkien madwar 100,000 suldat (10 tumens), l-iktar ġeneral tiegħu kapaċi u wħud minn wliedu. Huwa ħalla kmandant u numru ta 'truppi fiċ-Ċina, innominaw"&amp;" is-suċċessuri tiegħu biex ikunu l-membri tal-familja tiegħu u x'aktarx ħatru lil Ögedei biex ikun is-suċċessur immedjat tiegħu u mbagħad ħareġ għand Khwarezmia.")</f>
        <v>Fil-bidu tas-seklu 13, id-dinastija Khwarazmian kienet regolata minn Shah Ala Ad-Din Muhammad. Genghis Khan ra l-vantaġġ potenzjali f'Khwarezmia bħala sieħeb kummerċjali kummerċjali bl-użu tat-Triq tal-Ħarir, u inizjalment bagħat karavana ta '500 raġel biex jistabbilixxi rabtiet kummerċjali uffiċjali mal-imperu. Madankollu, Inalchuq, il-gvernatur tal-belt ta 'Otrar Khwarezmian, attakka l-karavana li kienet ġejja mill-Mongolja, fejn sostniet li l-karavana kien fiha spiji u għalhekk kienet konspirazzjoni kontra Khwarezmia. Is-sitwazzjoni saret aktar ikkumplikata minħabba li l-gvernatur aktar tard irrifjuta li jagħmel ħlasijiet lura għall-sakkeġġi tal-karavans u l-għoti ta 'dawk li jwettqu. Genghis Khan imbagħad bagħat mill-ġdid it-tieni grupp ta 'tliet ambaxxaturi (żewġ Mongoli u Musulmani) biex jiltaqgħu max-Shah innifsu minflok il-Gvernatur Inalchuq. Ix-Shah kellu l-irġiel kollha mqaxxra u l-Musulmani ktiehem u bagħat rasu lura maż-żewġ ambaxxaturi li fadal. Dan kien meqjus bħala affront u insult lil Genghis Khan. Għaddej, Genghis Khan ippjana waħda mill-ikbar kampanji ta 'invażjoni tiegħu billi organizza flimkien madwar 100,000 suldat (10 tumens), l-iktar ġeneral tiegħu kapaċi u wħud minn wliedu. Huwa ħalla kmandant u numru ta 'truppi fiċ-Ċina, innominaw is-suċċessuri tiegħu biex ikunu l-membri tal-familja tiegħu u x'aktarx ħatru lil Ögedei biex ikun is-suċċessur immedjat tiegħu u mbagħad ħareġ għand Khwarezmia.</v>
      </c>
    </row>
    <row r="23910" ht="15.75" customHeight="1">
      <c r="A23910" s="2" t="s">
        <v>23910</v>
      </c>
      <c r="B23910" s="2" t="str">
        <f>IFERROR(__xludf.DUMMYFUNCTION("GOOGLETRANSLATE(A23910, ""en"", ""mt"")"),"Khongirad")</f>
        <v>Khongirad</v>
      </c>
    </row>
    <row r="23911" ht="15.75" customHeight="1">
      <c r="A23911" s="2" t="s">
        <v>23911</v>
      </c>
      <c r="B23911" s="2" t="str">
        <f>IFERROR(__xludf.DUMMYFUNCTION("GOOGLETRANSLATE(A23911, ""en"", ""mt"")"),"Partit tal-Għaqda Nazzjonali")</f>
        <v>Partit tal-Għaqda Nazzjonali</v>
      </c>
    </row>
    <row r="23912" ht="15.75" customHeight="1">
      <c r="A23912" s="2" t="s">
        <v>23912</v>
      </c>
      <c r="B23912" s="2" t="str">
        <f>IFERROR(__xludf.DUMMYFUNCTION("GOOGLETRANSLATE(A23912, ""en"", ""mt"")"),"X'wassal għar-Renju Unit biex tissottoskrivi għall-ftehim dwar il-politika soċjali?")</f>
        <v>X'wassal għar-Renju Unit biex tissottoskrivi għall-ftehim dwar il-politika soċjali?</v>
      </c>
    </row>
    <row r="23913" ht="15.75" customHeight="1">
      <c r="A23913" s="2" t="s">
        <v>23913</v>
      </c>
      <c r="B23913" s="2" t="str">
        <f>IFERROR(__xludf.DUMMYFUNCTION("GOOGLETRANSLATE(A23913, ""en"", ""mt"")"),"Meta jkun hemm ħafna ħaddiema li jikkompetu għal ftit impjiegi meqjusa bħala?")</f>
        <v>Meta jkun hemm ħafna ħaddiema li jikkompetu għal ftit impjiegi meqjusa bħala?</v>
      </c>
    </row>
    <row r="23914" ht="15.75" customHeight="1">
      <c r="A23914" s="2" t="s">
        <v>23914</v>
      </c>
      <c r="B23914" s="2" t="str">
        <f>IFERROR(__xludf.DUMMYFUNCTION("GOOGLETRANSLATE(A23914, ""en"", ""mt"")"),"Joseph Thompsons")</f>
        <v>Joseph Thompsons</v>
      </c>
    </row>
    <row r="23915" ht="15.75" customHeight="1">
      <c r="A23915" s="2" t="s">
        <v>23915</v>
      </c>
      <c r="B23915" s="2" t="str">
        <f>IFERROR(__xludf.DUMMYFUNCTION("GOOGLETRANSLATE(A23915, ""en"", ""mt"")"),"mingħajr ma teqred leġittimità storika")</f>
        <v>mingħajr ma teqred leġittimità storika</v>
      </c>
    </row>
    <row r="23916" ht="15.75" customHeight="1">
      <c r="A23916" s="2" t="s">
        <v>23916</v>
      </c>
      <c r="B23916" s="2" t="str">
        <f>IFERROR(__xludf.DUMMYFUNCTION("GOOGLETRANSLATE(A23916, ""en"", ""mt"")"),"konvetti")</f>
        <v>konvetti</v>
      </c>
    </row>
    <row r="23917" ht="15.75" customHeight="1">
      <c r="A23917" s="2" t="s">
        <v>23917</v>
      </c>
      <c r="B23917" s="2" t="str">
        <f>IFERROR(__xludf.DUMMYFUNCTION("GOOGLETRANSLATE(A23917, ""en"", ""mt"")"),"wieħed mill-aktar influwenti")</f>
        <v>wieħed mill-aktar influwenti</v>
      </c>
    </row>
    <row r="23918" ht="15.75" customHeight="1">
      <c r="A23918" s="2" t="s">
        <v>23918</v>
      </c>
      <c r="B23918" s="2" t="str">
        <f>IFERROR(__xludf.DUMMYFUNCTION("GOOGLETRANSLATE(A23918, ""en"", ""mt"")"),"aritmetika")</f>
        <v>aritmetika</v>
      </c>
    </row>
    <row r="23919" ht="15.75" customHeight="1">
      <c r="A23919" s="2" t="s">
        <v>23919</v>
      </c>
      <c r="B23919" s="2" t="str">
        <f>IFERROR(__xludf.DUMMYFUNCTION("GOOGLETRANSLATE(A23919, ""en"", ""mt"")"),"igneous")</f>
        <v>igneous</v>
      </c>
    </row>
    <row r="23920" ht="15.75" customHeight="1">
      <c r="A23920" s="2" t="s">
        <v>23920</v>
      </c>
      <c r="B23920" s="2" t="str">
        <f>IFERROR(__xludf.DUMMYFUNCTION("GOOGLETRANSLATE(A23920, ""en"", ""mt"")"),"li ma tkunx diżubbidjenti ċivili")</f>
        <v>li ma tkunx diżubbidjenti ċivili</v>
      </c>
    </row>
    <row r="23921" ht="15.75" customHeight="1">
      <c r="A23921" s="2" t="s">
        <v>23921</v>
      </c>
      <c r="B23921" s="2" t="str">
        <f>IFERROR(__xludf.DUMMYFUNCTION("GOOGLETRANSLATE(A23921, ""en"", ""mt"")"),"X’kawżaw bidliet fil-veġetazzjoni tal-Amazon Rainforest?")</f>
        <v>X’kawżaw bidliet fil-veġetazzjoni tal-Amazon Rainforest?</v>
      </c>
    </row>
    <row r="23922" ht="15.75" customHeight="1">
      <c r="A23922" s="2" t="s">
        <v>23922</v>
      </c>
      <c r="B23922" s="2" t="str">
        <f>IFERROR(__xludf.DUMMYFUNCTION("GOOGLETRANSLATE(A23922, ""en"", ""mt"")"),"pagi għoljin")</f>
        <v>pagi għoljin</v>
      </c>
    </row>
    <row r="23923" ht="15.75" customHeight="1">
      <c r="A23923" s="2" t="s">
        <v>23923</v>
      </c>
      <c r="B23923" s="2" t="str">
        <f>IFERROR(__xludf.DUMMYFUNCTION("GOOGLETRANSLATE(A23923, ""en"", ""mt"")"),"X’wassal il-waqgħa tal-produzzjoni tal-films ta ’Jacksonville?")</f>
        <v>X’wassal il-waqgħa tal-produzzjoni tal-films ta ’Jacksonville?</v>
      </c>
    </row>
    <row r="23924" ht="15.75" customHeight="1">
      <c r="A23924" s="2" t="s">
        <v>23924</v>
      </c>
      <c r="B23924" s="2" t="str">
        <f>IFERROR(__xludf.DUMMYFUNCTION("GOOGLETRANSLATE(A23924, ""en"", ""mt"")"),"Liema entità għandha monopolju dwar il-bidu tal-leġislazzjoni?")</f>
        <v>Liema entità għandha monopolju dwar il-bidu tal-leġislazzjoni?</v>
      </c>
    </row>
    <row r="23925" ht="15.75" customHeight="1">
      <c r="A23925" s="2" t="s">
        <v>23925</v>
      </c>
      <c r="B23925" s="2" t="str">
        <f>IFERROR(__xludf.DUMMYFUNCTION("GOOGLETRANSLATE(A23925, ""en"", ""mt"")"),"Ċikli tal-isplużjoni u tal-bust")</f>
        <v>Ċikli tal-isplużjoni u tal-bust</v>
      </c>
    </row>
    <row r="23926" ht="15.75" customHeight="1">
      <c r="A23926" s="2" t="s">
        <v>23926</v>
      </c>
      <c r="B23926" s="2" t="str">
        <f>IFERROR(__xludf.DUMMYFUNCTION("GOOGLETRANSLATE(A23926, ""en"", ""mt"")"),"Ben Johnston")</f>
        <v>Ben Johnston</v>
      </c>
    </row>
    <row r="23927" ht="15.75" customHeight="1">
      <c r="A23927" s="2" t="s">
        <v>23927</v>
      </c>
      <c r="B23927" s="2" t="str">
        <f>IFERROR(__xludf.DUMMYFUNCTION("GOOGLETRANSLATE(A23927, ""en"", ""mt"")"),"Għal xiex għandha reputazzjoni tan-Nofsinhar ta 'California?")</f>
        <v>Għal xiex għandha reputazzjoni tan-Nofsinhar ta 'California?</v>
      </c>
    </row>
    <row r="23928" ht="15.75" customHeight="1">
      <c r="A23928" s="2" t="s">
        <v>23928</v>
      </c>
      <c r="B23928" s="2" t="str">
        <f>IFERROR(__xludf.DUMMYFUNCTION("GOOGLETRANSLATE(A23928, ""en"", ""mt"")"),"Disney ħallset għall-ktieb tal-ġungla, Alice permezz tal-Ħarsa tal-Ħġieġ, u liema karru ieħor tal-films għandu jixxandar waqt il-logħba?")</f>
        <v>Disney ħallset għall-ktieb tal-ġungla, Alice permezz tal-Ħarsa tal-Ħġieġ, u liema karru ieħor tal-films għandu jixxandar waqt il-logħba?</v>
      </c>
    </row>
    <row r="23929" ht="15.75" customHeight="1">
      <c r="A23929" s="2" t="s">
        <v>23929</v>
      </c>
      <c r="B23929" s="2" t="str">
        <f>IFERROR(__xludf.DUMMYFUNCTION("GOOGLETRANSLATE(A23929, ""en"", ""mt"")"),"servizz lill-proxxmu fil-komuni")</f>
        <v>servizz lill-proxxmu fil-komuni</v>
      </c>
    </row>
    <row r="23930" ht="15.75" customHeight="1">
      <c r="A23930" s="2" t="s">
        <v>23930</v>
      </c>
      <c r="B23930" s="2" t="str">
        <f>IFERROR(__xludf.DUMMYFUNCTION("GOOGLETRANSLATE(A23930, ""en"", ""mt"")"),"Avenue Columbus u West 66th Street")</f>
        <v>Avenue Columbus u West 66th Street</v>
      </c>
    </row>
    <row r="23931" ht="15.75" customHeight="1">
      <c r="A23931" s="2" t="s">
        <v>23931</v>
      </c>
      <c r="B23931" s="2" t="str">
        <f>IFERROR(__xludf.DUMMYFUNCTION("GOOGLETRANSLATE(A23931, ""en"", ""mt"")"),"huwa l-prodott tal-membrana taċ-ċellula ospitanti")</f>
        <v>huwa l-prodott tal-membrana taċ-ċellula ospitanti</v>
      </c>
    </row>
    <row r="23932" ht="15.75" customHeight="1">
      <c r="A23932" s="2" t="s">
        <v>23932</v>
      </c>
      <c r="B23932" s="2" t="str">
        <f>IFERROR(__xludf.DUMMYFUNCTION("GOOGLETRANSLATE(A23932, ""en"", ""mt"")"),"Kif jissejħu wkoll l-ispiżeriji tal-internet?")</f>
        <v>Kif jissejħu wkoll l-ispiżeriji tal-internet?</v>
      </c>
    </row>
    <row r="23933" ht="15.75" customHeight="1">
      <c r="A23933" s="2" t="s">
        <v>23933</v>
      </c>
      <c r="B23933" s="2" t="str">
        <f>IFERROR(__xludf.DUMMYFUNCTION("GOOGLETRANSLATE(A23933, ""en"", ""mt"")"),"Min irid tip ta 'dixxiplina aktar konfrontazzjonali?")</f>
        <v>Min irid tip ta 'dixxiplina aktar konfrontazzjonali?</v>
      </c>
    </row>
    <row r="23934" ht="15.75" customHeight="1">
      <c r="A23934" s="2" t="s">
        <v>23934</v>
      </c>
      <c r="B23934" s="2" t="str">
        <f>IFERROR(__xludf.DUMMYFUNCTION("GOOGLETRANSLATE(A23934, ""en"", ""mt"")"),"X’tesplika l-għerq Grieg Pharmakos?")</f>
        <v>X’tesplika l-għerq Grieg Pharmakos?</v>
      </c>
    </row>
    <row r="23935" ht="15.75" customHeight="1">
      <c r="A23935" s="2" t="s">
        <v>23935</v>
      </c>
      <c r="B23935" s="2" t="str">
        <f>IFERROR(__xludf.DUMMYFUNCTION("GOOGLETRANSLATE(A23935, ""en"", ""mt"")"),"Kemm kienet twila l-mewt li tixtieq il-kafè kummerċjali?")</f>
        <v>Kemm kienet twila l-mewt li tixtieq il-kafè kummerċjali?</v>
      </c>
    </row>
    <row r="23936" ht="15.75" customHeight="1">
      <c r="A23936" s="2" t="s">
        <v>23936</v>
      </c>
      <c r="B23936" s="2" t="str">
        <f>IFERROR(__xludf.DUMMYFUNCTION("GOOGLETRANSLATE(A23936, ""en"", ""mt"")"),"Kif huwa kkaratterizzat il-bidla tal-pakketti")</f>
        <v>Kif huwa kkaratterizzat il-bidla tal-pakketti</v>
      </c>
    </row>
    <row r="23937" ht="15.75" customHeight="1">
      <c r="A23937" s="2" t="s">
        <v>23937</v>
      </c>
      <c r="B23937" s="2" t="str">
        <f>IFERROR(__xludf.DUMMYFUNCTION("GOOGLETRANSLATE(A23937, ""en"", ""mt"")"),"Wara t-telfa tal-Imperu Khwarezmian fl-1220, Genghis Khan ġabar il-forzi tiegħu fil-Persja u l-Armenja biex jirritorna fl-isteppi Mongoljani. Taħt is-suġġeriment ta 'Subutai, l-armata Mongoljana kienet maqsuma f'żewġ forzi. Genghis Khan mexxa l-armata ewl"&amp;"enija fuq rejd permezz tal-Afganistan u l-Indja tat-Tramuntana lejn il-Mongolja, filwaqt li 20,000 ieħor (żewġ tumen) kontinġenti marru mill-Kawkasu u lejn ir-Russja taħt il-Ġeneral Jebe u Subutai. Huma mbuttati fil-fond fl-Armenja u l-Azerbajġan. Il-Mong"&amp;"oli qerdu r-renju tal-Ġeorġja, keċċa l-fortizza tal-kummerċ Ġenese ta ’Caffa fil-Krimea u mdawra ħdejn il-Baħar l-Iswed. Titlu d-dar, il-forzi ta 'Subutai attakkaw il-forzi Alleati tal-Cuman-Ipchaks u t-truppi ta' 80,000 Kievan Rus 'koordinati ħażin immex"&amp;"xija minn Mstislav il-kuraġġuża ta' Halych u Mstislav III ta 'Kiev li marru jwaqqfu l-azzjonijiet tal-Mongols fiż-żona. Subutai bagħat emissarji lill-prinċpijiet Slavi li talbu paċi separata, iżda l-emissarji ġew eżegwiti. Fil-battalja tax-Xmara Kalka fl-"&amp;"1223, il-forzi ta 'Subutai għelbu lill-akbar forza ta' Kievan. Huma jistgħu wkoll iġġieldu kontra l-ġirien Volga Bulgars. M'hemm l-ebda rekord storiku ħlief kont qasir mill-istoriku Għarbi Ibn al-Athir, li kiteb f'Mosul xi 1100 mil 'il bogħod mill-avvenim"&amp;"ent. Diversi sorsi sekondarji storiċi - Morgan, Chambers, Grousset - jiddikjaraw li l-Mongoli fil-fatt għelbu lill-Bulgars, il-kmamar saħansitra sejrin sa fejn jgħidu li l-Bulgars kienu għamlu stejjer biex jirrakkontaw ir-Russi (reċentement mgħaffeġ) li h"&amp;"uma kienu għelbu lill-Mongoli u misjuqhom mit-territorju tagħhom. Il-prinċpijiet Russi mbagħad imħarrka għall-paċi. Subutai qablu iżda ma kien fl-ebda burdata li jaħfer il-prinċpijiet. Kif kienet is-soltu fis-soċjetà Mongoljana għan-nobbli, il-prinċpijiet"&amp;" Russi ngħataw mewt bla demm. Subutai kellu pjattaforma kbira tal-injam mibnija fuqha li kielu l-ikliet tiegħu flimkien mal-ġenerali l-oħra tiegħu. Sitt prinċpijiet Russi, inkluż Mstislav III ta 'Kiev, tqiegħdu taħt din il-pjattaforma u mgħaffġa għall-mew"&amp;"t.")</f>
        <v>Wara t-telfa tal-Imperu Khwarezmian fl-1220, Genghis Khan ġabar il-forzi tiegħu fil-Persja u l-Armenja biex jirritorna fl-isteppi Mongoljani. Taħt is-suġġeriment ta 'Subutai, l-armata Mongoljana kienet maqsuma f'żewġ forzi. Genghis Khan mexxa l-armata ewlenija fuq rejd permezz tal-Afganistan u l-Indja tat-Tramuntana lejn il-Mongolja, filwaqt li 20,000 ieħor (żewġ tumen) kontinġenti marru mill-Kawkasu u lejn ir-Russja taħt il-Ġeneral Jebe u Subutai. Huma mbuttati fil-fond fl-Armenja u l-Azerbajġan. Il-Mongoli qerdu r-renju tal-Ġeorġja, keċċa l-fortizza tal-kummerċ Ġenese ta ’Caffa fil-Krimea u mdawra ħdejn il-Baħar l-Iswed. Titlu d-dar, il-forzi ta 'Subutai attakkaw il-forzi Alleati tal-Cuman-Ipchaks u t-truppi ta' 80,000 Kievan Rus 'koordinati ħażin immexxija minn Mstislav il-kuraġġuża ta' Halych u Mstislav III ta 'Kiev li marru jwaqqfu l-azzjonijiet tal-Mongols fiż-żona. Subutai bagħat emissarji lill-prinċpijiet Slavi li talbu paċi separata, iżda l-emissarji ġew eżegwiti. Fil-battalja tax-Xmara Kalka fl-1223, il-forzi ta 'Subutai għelbu lill-akbar forza ta' Kievan. Huma jistgħu wkoll iġġieldu kontra l-ġirien Volga Bulgars. M'hemm l-ebda rekord storiku ħlief kont qasir mill-istoriku Għarbi Ibn al-Athir, li kiteb f'Mosul xi 1100 mil 'il bogħod mill-avveniment. Diversi sorsi sekondarji storiċi - Morgan, Chambers, Grousset - jiddikjaraw li l-Mongoli fil-fatt għelbu lill-Bulgars, il-kmamar saħansitra sejrin sa fejn jgħidu li l-Bulgars kienu għamlu stejjer biex jirrakkontaw ir-Russi (reċentement mgħaffeġ) li huma kienu għelbu lill-Mongoli u misjuqhom mit-territorju tagħhom. Il-prinċpijiet Russi mbagħad imħarrka għall-paċi. Subutai qablu iżda ma kien fl-ebda burdata li jaħfer il-prinċpijiet. Kif kienet is-soltu fis-soċjetà Mongoljana għan-nobbli, il-prinċpijiet Russi ngħataw mewt bla demm. Subutai kellu pjattaforma kbira tal-injam mibnija fuqha li kielu l-ikliet tiegħu flimkien mal-ġenerali l-oħra tiegħu. Sitt prinċpijiet Russi, inkluż Mstislav III ta 'Kiev, tqiegħdu taħt din il-pjattaforma u mgħaffġa għall-mewt.</v>
      </c>
    </row>
    <row r="23938" ht="15.75" customHeight="1">
      <c r="A23938" s="2" t="s">
        <v>23938</v>
      </c>
      <c r="B23938" s="2" t="str">
        <f>IFERROR(__xludf.DUMMYFUNCTION("GOOGLETRANSLATE(A23938, ""en"", ""mt"")"),"ġbir ta 'fondi professjonali")</f>
        <v>ġbir ta 'fondi professjonali</v>
      </c>
    </row>
    <row r="23939" ht="15.75" customHeight="1">
      <c r="A23939" s="2" t="s">
        <v>23939</v>
      </c>
      <c r="B23939" s="2" t="str">
        <f>IFERROR(__xludf.DUMMYFUNCTION("GOOGLETRANSLATE(A23939, ""en"", ""mt"")"),"Lama")</f>
        <v>Lama</v>
      </c>
    </row>
    <row r="23940" ht="15.75" customHeight="1">
      <c r="A23940" s="2" t="s">
        <v>23940</v>
      </c>
      <c r="B23940" s="2" t="str">
        <f>IFERROR(__xludf.DUMMYFUNCTION("GOOGLETRANSLATE(A23940, ""en"", ""mt"")"),"Dendriti newronali")</f>
        <v>Dendriti newronali</v>
      </c>
    </row>
    <row r="23941" ht="15.75" customHeight="1">
      <c r="A23941" s="2" t="s">
        <v>23941</v>
      </c>
      <c r="B23941" s="2" t="str">
        <f>IFERROR(__xludf.DUMMYFUNCTION("GOOGLETRANSLATE(A23941, ""en"", ""mt"")"),"1917")</f>
        <v>1917</v>
      </c>
    </row>
    <row r="23942" ht="15.75" customHeight="1">
      <c r="A23942" s="2" t="s">
        <v>23942</v>
      </c>
      <c r="B23942" s="2" t="str">
        <f>IFERROR(__xludf.DUMMYFUNCTION("GOOGLETRANSLATE(A23942, ""en"", ""mt"")"),"WABC-TV u WPVI-TV")</f>
        <v>WABC-TV u WPVI-TV</v>
      </c>
    </row>
    <row r="23943" ht="15.75" customHeight="1">
      <c r="A23943" s="2" t="s">
        <v>23943</v>
      </c>
      <c r="B23943" s="2" t="str">
        <f>IFERROR(__xludf.DUMMYFUNCTION("GOOGLETRANSLATE(A23943, ""en"", ""mt"")"),"X'kien id-dħul ta 'ABC fl-1962?")</f>
        <v>X'kien id-dħul ta 'ABC fl-1962?</v>
      </c>
    </row>
    <row r="23944" ht="15.75" customHeight="1">
      <c r="A23944" s="2" t="s">
        <v>23944</v>
      </c>
      <c r="B23944" s="2" t="str">
        <f>IFERROR(__xludf.DUMMYFUNCTION("GOOGLETRANSLATE(A23944, ""en"", ""mt"")"),"Meta l-Ġermanja bdiet tibni l-imperu kolonjali tagħha stess.")</f>
        <v>Meta l-Ġermanja bdiet tibni l-imperu kolonjali tagħha stess.</v>
      </c>
    </row>
    <row r="23945" ht="15.75" customHeight="1">
      <c r="A23945" s="2" t="s">
        <v>23945</v>
      </c>
      <c r="B23945" s="2" t="str">
        <f>IFERROR(__xludf.DUMMYFUNCTION("GOOGLETRANSLATE(A23945, ""en"", ""mt"")"),"Dak li rarament jimmuta?")</f>
        <v>Dak li rarament jimmuta?</v>
      </c>
    </row>
    <row r="23946" ht="15.75" customHeight="1">
      <c r="A23946" s="2" t="s">
        <v>23946</v>
      </c>
      <c r="B23946" s="2" t="str">
        <f>IFERROR(__xludf.DUMMYFUNCTION("GOOGLETRANSLATE(A23946, ""en"", ""mt"")"),"Liema waħda mil-lukandi ta 'Fresno ħarqu?")</f>
        <v>Liema waħda mil-lukandi ta 'Fresno ħarqu?</v>
      </c>
    </row>
    <row r="23947" ht="15.75" customHeight="1">
      <c r="A23947" s="2" t="s">
        <v>23947</v>
      </c>
      <c r="B23947" s="2" t="str">
        <f>IFERROR(__xludf.DUMMYFUNCTION("GOOGLETRANSLATE(A23947, ""en"", ""mt"")"),"eventwalment jonqos")</f>
        <v>eventwalment jonqos</v>
      </c>
    </row>
    <row r="23948" ht="15.75" customHeight="1">
      <c r="A23948" s="2" t="s">
        <v>23948</v>
      </c>
      <c r="B23948" s="2" t="str">
        <f>IFERROR(__xludf.DUMMYFUNCTION("GOOGLETRANSLATE(A23948, ""en"", ""mt"")"),"xmara")</f>
        <v>xmara</v>
      </c>
    </row>
    <row r="23949" ht="15.75" customHeight="1">
      <c r="A23949" s="2" t="s">
        <v>23949</v>
      </c>
      <c r="B23949" s="2" t="str">
        <f>IFERROR(__xludf.DUMMYFUNCTION("GOOGLETRANSLATE(A23949, ""en"", ""mt"")"),"Rotary")</f>
        <v>Rotary</v>
      </c>
    </row>
    <row r="23950" ht="15.75" customHeight="1">
      <c r="A23950" s="2" t="s">
        <v>23950</v>
      </c>
      <c r="B23950" s="2" t="str">
        <f>IFERROR(__xludf.DUMMYFUNCTION("GOOGLETRANSLATE(A23950, ""en"", ""mt"")"),"L-era pre-Kolumbjana")</f>
        <v>L-era pre-Kolumbjana</v>
      </c>
    </row>
    <row r="23951" ht="15.75" customHeight="1">
      <c r="A23951" s="2" t="s">
        <v>23951</v>
      </c>
      <c r="B23951" s="2" t="str">
        <f>IFERROR(__xludf.DUMMYFUNCTION("GOOGLETRANSLATE(A23951, ""en"", ""mt"")"),"Meta Toyota qalet li se tagħlaq l-impjant tar-Rabat tagħha?")</f>
        <v>Meta Toyota qalet li se tagħlaq l-impjant tar-Rabat tagħha?</v>
      </c>
    </row>
    <row r="23952" ht="15.75" customHeight="1">
      <c r="A23952" s="2" t="s">
        <v>23952</v>
      </c>
      <c r="B23952" s="2" t="str">
        <f>IFERROR(__xludf.DUMMYFUNCTION("GOOGLETRANSLATE(A23952, ""en"", ""mt"")"),"Liema forzi għandhom iservu bħala brejk fuq il-konċentrazzjoni tal-ġid?")</f>
        <v>Liema forzi għandhom iservu bħala brejk fuq il-konċentrazzjoni tal-ġid?</v>
      </c>
    </row>
    <row r="23953" ht="15.75" customHeight="1">
      <c r="A23953" s="2" t="s">
        <v>23953</v>
      </c>
      <c r="B23953" s="2" t="str">
        <f>IFERROR(__xludf.DUMMYFUNCTION("GOOGLETRANSLATE(A23953, ""en"", ""mt"")"),"Irħam")</f>
        <v>Irħam</v>
      </c>
    </row>
    <row r="23954" ht="15.75" customHeight="1">
      <c r="A23954" s="2" t="s">
        <v>23954</v>
      </c>
      <c r="B23954" s="2" t="str">
        <f>IFERROR(__xludf.DUMMYFUNCTION("GOOGLETRANSLATE(A23954, ""en"", ""mt"")"),"8 ta ’Frar 2007")</f>
        <v>8 ta ’Frar 2007</v>
      </c>
    </row>
    <row r="23955" ht="15.75" customHeight="1">
      <c r="A23955" s="2" t="s">
        <v>23955</v>
      </c>
      <c r="B23955" s="2" t="str">
        <f>IFERROR(__xludf.DUMMYFUNCTION("GOOGLETRANSLATE(A23955, ""en"", ""mt"")"),"Kif jivvutaw il-membri meta jkun hemm diviżjoni?")</f>
        <v>Kif jivvutaw il-membri meta jkun hemm diviżjoni?</v>
      </c>
    </row>
    <row r="23956" ht="15.75" customHeight="1">
      <c r="A23956" s="2" t="s">
        <v>23956</v>
      </c>
      <c r="B23956" s="2" t="str">
        <f>IFERROR(__xludf.DUMMYFUNCTION("GOOGLETRANSLATE(A23956, ""en"", ""mt"")"),"Subtropikali umda")</f>
        <v>Subtropikali umda</v>
      </c>
    </row>
    <row r="23957" ht="15.75" customHeight="1">
      <c r="A23957" s="2" t="s">
        <v>23957</v>
      </c>
      <c r="B23957" s="2" t="str">
        <f>IFERROR(__xludf.DUMMYFUNCTION("GOOGLETRANSLATE(A23957, ""en"", ""mt"")"),"$ 40 miljun")</f>
        <v>$ 40 miljun</v>
      </c>
    </row>
    <row r="23958" ht="15.75" customHeight="1">
      <c r="A23958" s="2" t="s">
        <v>23958</v>
      </c>
      <c r="B23958" s="2" t="str">
        <f>IFERROR(__xludf.DUMMYFUNCTION("GOOGLETRANSLATE(A23958, ""en"", ""mt"")"),"41 sentenza mill-ġdid")</f>
        <v>41 sentenza mill-ġdid</v>
      </c>
    </row>
    <row r="23959" ht="15.75" customHeight="1">
      <c r="A23959" s="2" t="s">
        <v>23959</v>
      </c>
      <c r="B23959" s="2" t="str">
        <f>IFERROR(__xludf.DUMMYFUNCTION("GOOGLETRANSLATE(A23959, ""en"", ""mt"")"),"Gwerra ta 'Seba' Snin")</f>
        <v>Gwerra ta 'Seba' Snin</v>
      </c>
    </row>
    <row r="23960" ht="15.75" customHeight="1">
      <c r="A23960" s="2" t="s">
        <v>23960</v>
      </c>
      <c r="B23960" s="2" t="str">
        <f>IFERROR(__xludf.DUMMYFUNCTION("GOOGLETRANSLATE(A23960, ""en"", ""mt"")"),"Bniedem u Kultura fi ġenna ffalsifikata")</f>
        <v>Bniedem u Kultura fi ġenna ffalsifikata</v>
      </c>
    </row>
    <row r="23961" ht="15.75" customHeight="1">
      <c r="A23961" s="2" t="s">
        <v>23961</v>
      </c>
      <c r="B23961" s="2" t="str">
        <f>IFERROR(__xludf.DUMMYFUNCTION("GOOGLETRANSLATE(A23961, ""en"", ""mt"")"),"Xi jestendi ċellola T meta tiltaqa 'ma' patoġen barrani?")</f>
        <v>Xi jestendi ċellola T meta tiltaqa 'ma' patoġen barrani?</v>
      </c>
    </row>
    <row r="23962" ht="15.75" customHeight="1">
      <c r="A23962" s="2" t="s">
        <v>23962</v>
      </c>
      <c r="B23962" s="2" t="str">
        <f>IFERROR(__xludf.DUMMYFUNCTION("GOOGLETRANSLATE(A23962, ""en"", ""mt"")"),"Konsegwenza proċedurali tat-twaqqif tal-Parlament Skoċċiż hija li l-membri parlamentari Skoċċiżi li joqogħdu fil-House of Commons tar-Renju Unit huma kapaċi jivvutaw fuq leġislazzjoni domestika li tapplika biss għall-Ingilterra, Wales u l-Irlanda ta 'Fuq "&amp;"- waqt li l-MPs tal-Westminster Ingliżi, Skoċċiżi u Welsh u tat-Tramuntana Irlandiżi ma jistgħux jivvutaw fuq il-leġislazzjoni domestika tal-Parlament Skoċċiż. Dan il-fenomenu huwa magħruf bħala l-Mistoqsija Lothian tal-Punent u wassal għal kritika. Wara "&amp;"r-rebħa konservattiva fl-elezzjoni tar-Renju Unit tal-2015, ordnijiet permanenti tal-House of Commons inbidlu biex jagħtu lill-membri parlamentari li jirrappreżentaw lill-kostitwenzi Ingliżi ""veto"" ġdid fuq liġijiet li jaffettwaw biss l-Ingilterra.")</f>
        <v>Konsegwenza proċedurali tat-twaqqif tal-Parlament Skoċċiż hija li l-membri parlamentari Skoċċiżi li joqogħdu fil-House of Commons tar-Renju Unit huma kapaċi jivvutaw fuq leġislazzjoni domestika li tapplika biss għall-Ingilterra, Wales u l-Irlanda ta 'Fuq - waqt li l-MPs tal-Westminster Ingliżi, Skoċċiżi u Welsh u tat-Tramuntana Irlandiżi ma jistgħux jivvutaw fuq il-leġislazzjoni domestika tal-Parlament Skoċċiż. Dan il-fenomenu huwa magħruf bħala l-Mistoqsija Lothian tal-Punent u wassal għal kritika. Wara r-rebħa konservattiva fl-elezzjoni tar-Renju Unit tal-2015, ordnijiet permanenti tal-House of Commons inbidlu biex jagħtu lill-membri parlamentari li jirrappreżentaw lill-kostitwenzi Ingliżi "veto" ġdid fuq liġijiet li jaffettwaw biss l-Ingilterra.</v>
      </c>
    </row>
    <row r="23963" ht="15.75" customHeight="1">
      <c r="A23963" s="2" t="s">
        <v>23963</v>
      </c>
      <c r="B23963" s="2" t="str">
        <f>IFERROR(__xludf.DUMMYFUNCTION("GOOGLETRANSLATE(A23963, ""en"", ""mt"")"),"Kolonja tal-Kap Olandiża")</f>
        <v>Kolonja tal-Kap Olandiża</v>
      </c>
    </row>
    <row r="23964" ht="15.75" customHeight="1">
      <c r="A23964" s="2" t="s">
        <v>23964</v>
      </c>
      <c r="B23964" s="2" t="str">
        <f>IFERROR(__xludf.DUMMYFUNCTION("GOOGLETRANSLATE(A23964, ""en"", ""mt"")"),"Reyners v il-Belġju l-Qorti tal-Ġustizzja")</f>
        <v>Reyners v il-Belġju l-Qorti tal-Ġustizzja</v>
      </c>
    </row>
    <row r="23965" ht="15.75" customHeight="1">
      <c r="A23965" s="2" t="s">
        <v>23965</v>
      </c>
      <c r="B23965" s="2" t="str">
        <f>IFERROR(__xludf.DUMMYFUNCTION("GOOGLETRANSLATE(A23965, ""en"", ""mt"")"),"L-Arabja Sawdita u l-Iran")</f>
        <v>L-Arabja Sawdita u l-Iran</v>
      </c>
    </row>
    <row r="23966" ht="15.75" customHeight="1">
      <c r="A23966" s="2" t="s">
        <v>23966</v>
      </c>
      <c r="B23966" s="2" t="str">
        <f>IFERROR(__xludf.DUMMYFUNCTION("GOOGLETRANSLATE(A23966, ""en"", ""mt"")"),"Belt Konsolidata ta 'Jacksonville")</f>
        <v>Belt Konsolidata ta 'Jacksonville</v>
      </c>
    </row>
    <row r="23967" ht="15.75" customHeight="1">
      <c r="A23967" s="2" t="s">
        <v>23967</v>
      </c>
      <c r="B23967" s="2" t="str">
        <f>IFERROR(__xludf.DUMMYFUNCTION("GOOGLETRANSLATE(A23967, ""en"", ""mt"")"),"Applikazzjonijiet tat-Trasport")</f>
        <v>Applikazzjonijiet tat-Trasport</v>
      </c>
    </row>
    <row r="23968" ht="15.75" customHeight="1">
      <c r="A23968" s="2" t="s">
        <v>23968</v>
      </c>
      <c r="B23968" s="2" t="str">
        <f>IFERROR(__xludf.DUMMYFUNCTION("GOOGLETRANSLATE(A23968, ""en"", ""mt"")"),"Minbarra d-downtown ta 'San Bernardino, u l-belt universitarja, x'inhu l-isem ta' distrett ta 'negozju ieħor fiż-żona ta' San Bernardino-Riverside?")</f>
        <v>Minbarra d-downtown ta 'San Bernardino, u l-belt universitarja, x'inhu l-isem ta' distrett ta 'negozju ieħor fiż-żona ta' San Bernardino-Riverside?</v>
      </c>
    </row>
    <row r="23969" ht="15.75" customHeight="1">
      <c r="A23969" s="2" t="s">
        <v>23969</v>
      </c>
      <c r="B23969" s="2" t="str">
        <f>IFERROR(__xludf.DUMMYFUNCTION("GOOGLETRANSLATE(A23969, ""en"", ""mt"")"),"Glacier")</f>
        <v>Glacier</v>
      </c>
    </row>
    <row r="23970" ht="15.75" customHeight="1">
      <c r="A23970" s="2" t="s">
        <v>23970</v>
      </c>
      <c r="B23970" s="2" t="str">
        <f>IFERROR(__xludf.DUMMYFUNCTION("GOOGLETRANSLATE(A23970, ""en"", ""mt"")"),"Kemm tikkawża l-ossiġnu tan-nifs fil-kundizzjonijiet spazjali?")</f>
        <v>Kemm tikkawża l-ossiġnu tan-nifs fil-kundizzjonijiet spazjali?</v>
      </c>
    </row>
    <row r="23971" ht="15.75" customHeight="1">
      <c r="A23971" s="2" t="s">
        <v>23971</v>
      </c>
      <c r="B23971" s="2" t="str">
        <f>IFERROR(__xludf.DUMMYFUNCTION("GOOGLETRANSLATE(A23971, ""en"", ""mt"")"),"(stampi, tpinġijiet, pitturi u ritratti)")</f>
        <v>(stampi, tpinġijiet, pitturi u ritratti)</v>
      </c>
    </row>
    <row r="23972" ht="15.75" customHeight="1">
      <c r="A23972" s="2" t="s">
        <v>23972</v>
      </c>
      <c r="B23972" s="2" t="str">
        <f>IFERROR(__xludf.DUMMYFUNCTION("GOOGLETRANSLATE(A23972, ""en"", ""mt"")"),"Minħabba li ħafna anzjani issa qed jieħdu bosta mediċini iżda jkomplu jgħixu barra minn settings istituzzjonali")</f>
        <v>Minħabba li ħafna anzjani issa qed jieħdu bosta mediċini iżda jkomplu jgħixu barra minn settings istituzzjonali</v>
      </c>
    </row>
    <row r="23973" ht="15.75" customHeight="1">
      <c r="A23973" s="2" t="s">
        <v>23973</v>
      </c>
      <c r="B23973" s="2" t="str">
        <f>IFERROR(__xludf.DUMMYFUNCTION("GOOGLETRANSLATE(A23973, ""en"", ""mt"")"),"Luther meta kiteb trattat estrem kontra l-Lhud?")</f>
        <v>Luther meta kiteb trattat estrem kontra l-Lhud?</v>
      </c>
    </row>
    <row r="23974" ht="15.75" customHeight="1">
      <c r="A23974" s="2" t="s">
        <v>23974</v>
      </c>
      <c r="B23974" s="2" t="str">
        <f>IFERROR(__xludf.DUMMYFUNCTION("GOOGLETRANSLATE(A23974, ""en"", ""mt"")"),"Liema kienu l-istrutturi mibnija mis-Sovjetiċi tipiċi?")</f>
        <v>Liema kienu l-istrutturi mibnija mis-Sovjetiċi tipiċi?</v>
      </c>
    </row>
    <row r="23975" ht="15.75" customHeight="1">
      <c r="A23975" s="2" t="s">
        <v>23975</v>
      </c>
      <c r="B23975" s="2" t="str">
        <f>IFERROR(__xludf.DUMMYFUNCTION("GOOGLETRANSLATE(A23975, ""en"", ""mt"")"),"Liema post ta 'Louisiana kien wieħed minn tlieta meqjus għas-Super Bowl 50?")</f>
        <v>Liema post ta 'Louisiana kien wieħed minn tlieta meqjus għas-Super Bowl 50?</v>
      </c>
    </row>
    <row r="23976" ht="15.75" customHeight="1">
      <c r="A23976" s="2" t="s">
        <v>23976</v>
      </c>
      <c r="B23976" s="2" t="str">
        <f>IFERROR(__xludf.DUMMYFUNCTION("GOOGLETRANSLATE(A23976, ""en"", ""mt"")"),"xemx")</f>
        <v>xemx</v>
      </c>
    </row>
    <row r="23977" ht="15.75" customHeight="1">
      <c r="A23977" s="2" t="s">
        <v>23977</v>
      </c>
      <c r="B23977" s="2" t="str">
        <f>IFERROR(__xludf.DUMMYFUNCTION("GOOGLETRANSLATE(A23977, ""en"", ""mt"")"),"Kemm speċi ta 'pjanti jiffurmaw it-total fil-foresta tropikali?")</f>
        <v>Kemm speċi ta 'pjanti jiffurmaw it-total fil-foresta tropikali?</v>
      </c>
    </row>
    <row r="23978" ht="15.75" customHeight="1">
      <c r="A23978" s="2" t="s">
        <v>23978</v>
      </c>
      <c r="B23978" s="2" t="str">
        <f>IFERROR(__xludf.DUMMYFUNCTION("GOOGLETRANSLATE(A23978, ""en"", ""mt"")"),"Razza Blaydon")</f>
        <v>Razza Blaydon</v>
      </c>
    </row>
    <row r="23979" ht="15.75" customHeight="1">
      <c r="A23979" s="2" t="s">
        <v>23979</v>
      </c>
      <c r="B23979" s="2" t="str">
        <f>IFERROR(__xludf.DUMMYFUNCTION("GOOGLETRANSLATE(A23979, ""en"", ""mt"")"),"bit-teknika")</f>
        <v>bit-teknika</v>
      </c>
    </row>
    <row r="23980" ht="15.75" customHeight="1">
      <c r="A23980" s="2" t="s">
        <v>23980</v>
      </c>
      <c r="B23980" s="2" t="str">
        <f>IFERROR(__xludf.DUMMYFUNCTION("GOOGLETRANSLATE(A23980, ""en"", ""mt"")"),"xogħol niket fuq id-dnub")</f>
        <v>xogħol niket fuq id-dnub</v>
      </c>
    </row>
    <row r="23981" ht="15.75" customHeight="1">
      <c r="A23981" s="2" t="s">
        <v>23981</v>
      </c>
      <c r="B23981" s="2" t="str">
        <f>IFERROR(__xludf.DUMMYFUNCTION("GOOGLETRANSLATE(A23981, ""en"", ""mt"")"),"Liema materjal tal-bini is-sala tad-dħul u t-turġien tal-ġenb jużaw il-biċċa l-kbira?")</f>
        <v>Liema materjal tal-bini is-sala tad-dħul u t-turġien tal-ġenb jużaw il-biċċa l-kbira?</v>
      </c>
    </row>
    <row r="23982" ht="15.75" customHeight="1">
      <c r="A23982" s="2" t="s">
        <v>23982</v>
      </c>
      <c r="B23982" s="2" t="str">
        <f>IFERROR(__xludf.DUMMYFUNCTION("GOOGLETRANSLATE(A23982, ""en"", ""mt"")"),"Għandu jinħareġ għal skop mediku leġittimu minn prattikant liċenzjat li jaġixxi matul ir-relazzjoni leġittima ta 'tabib-pazjent")</f>
        <v>Għandu jinħareġ għal skop mediku leġittimu minn prattikant liċenzjat li jaġixxi matul ir-relazzjoni leġittima ta 'tabib-pazjent</v>
      </c>
    </row>
    <row r="23983" ht="15.75" customHeight="1">
      <c r="A23983" s="2" t="s">
        <v>23983</v>
      </c>
      <c r="B23983" s="2" t="str">
        <f>IFERROR(__xludf.DUMMYFUNCTION("GOOGLETRANSLATE(A23983, ""en"", ""mt"")"),"Il-membri tal-Fratellanza huma kontra li jikkunsmaw liema xorb?")</f>
        <v>Il-membri tal-Fratellanza huma kontra li jikkunsmaw liema xorb?</v>
      </c>
    </row>
    <row r="23984" ht="15.75" customHeight="1">
      <c r="A23984" s="2" t="s">
        <v>23984</v>
      </c>
      <c r="B23984" s="2" t="str">
        <f>IFERROR(__xludf.DUMMYFUNCTION("GOOGLETRANSLATE(A23984, ""en"", ""mt"")"),"415,000 sa 587,000")</f>
        <v>415,000 sa 587,000</v>
      </c>
    </row>
    <row r="23985" ht="15.75" customHeight="1">
      <c r="A23985" s="2" t="s">
        <v>23985</v>
      </c>
      <c r="B23985" s="2" t="str">
        <f>IFERROR(__xludf.DUMMYFUNCTION("GOOGLETRANSLATE(A23985, ""en"", ""mt"")"),"Minkejja li kien relattivament mhux affettwat mill-embargo, ir-Renju Unit madankollu ffaċċja kriżi taż-żejt tiegħu stess - serje ta 'strajkijiet minn minaturi tal-faħam u ħaddiema tal-ferrovija matul ix-xitwa tal-1973–74 saru fattur ewlieni fil-bidla tal-"&amp;"gvern. Heath talab lill-Ingliżi biex isaħħnu kamra waħda biss fid-djar tagħhom matul ix-xitwa. Ir-Renju Unit, il-Ġermanja, l-Italja, l-Isvizzera u n-Norveġja pprojbixxew it-titjir, is-sewqan u t-tbaħħir fil-Ħdud. L-Iżvezja razzjonata petrol u żejt tat-tis"&amp;"ħin. L-Olanda imponew sentenzi ta 'ħabs għal dawk li użaw aktar mir-razzjon tagħhom ta' l-elettriku.")</f>
        <v>Minkejja li kien relattivament mhux affettwat mill-embargo, ir-Renju Unit madankollu ffaċċja kriżi taż-żejt tiegħu stess - serje ta 'strajkijiet minn minaturi tal-faħam u ħaddiema tal-ferrovija matul ix-xitwa tal-1973–74 saru fattur ewlieni fil-bidla tal-gvern. Heath talab lill-Ingliżi biex isaħħnu kamra waħda biss fid-djar tagħhom matul ix-xitwa. Ir-Renju Unit, il-Ġermanja, l-Italja, l-Isvizzera u n-Norveġja pprojbixxew it-titjir, is-sewqan u t-tbaħħir fil-Ħdud. L-Iżvezja razzjonata petrol u żejt tat-tisħin. L-Olanda imponew sentenzi ta 'ħabs għal dawk li użaw aktar mir-razzjon tagħhom ta' l-elettriku.</v>
      </c>
    </row>
    <row r="23986" ht="15.75" customHeight="1">
      <c r="A23986" s="2" t="s">
        <v>23986</v>
      </c>
      <c r="B23986" s="2" t="str">
        <f>IFERROR(__xludf.DUMMYFUNCTION("GOOGLETRANSLATE(A23986, ""en"", ""mt"")"),"Biex tagħmel l-ospiti responsabbli għal twassil affidabbli ta 'dejta, aktar milli n-netwerk innifsu")</f>
        <v>Biex tagħmel l-ospiti responsabbli għal twassil affidabbli ta 'dejta, aktar milli n-netwerk innifsu</v>
      </c>
    </row>
    <row r="23987" ht="15.75" customHeight="1">
      <c r="A23987" s="2" t="s">
        <v>23987</v>
      </c>
      <c r="B23987" s="2" t="str">
        <f>IFERROR(__xludf.DUMMYFUNCTION("GOOGLETRANSLATE(A23987, ""en"", ""mt"")"),"Fejn ir-reġjun tal-Amażonja jivvaluta fost id-Dinja kollha għall-ammont ta 'bijodiversità tiegħu?")</f>
        <v>Fejn ir-reġjun tal-Amażonja jivvaluta fost id-Dinja kollha għall-ammont ta 'bijodiversità tiegħu?</v>
      </c>
    </row>
    <row r="23988" ht="15.75" customHeight="1">
      <c r="A23988" s="2" t="s">
        <v>23988</v>
      </c>
      <c r="B23988" s="2" t="str">
        <f>IFERROR(__xludf.DUMMYFUNCTION("GOOGLETRANSLATE(A23988, ""en"", ""mt"")"),"Problemi kompluti tal-NP fihom l-inqas probabbiltà li tkun tinsab f'liema problema tal-klassi?")</f>
        <v>Problemi kompluti tal-NP fihom l-inqas probabbiltà li tkun tinsab f'liema problema tal-klassi?</v>
      </c>
    </row>
    <row r="23989" ht="15.75" customHeight="1">
      <c r="A23989" s="2" t="s">
        <v>23989</v>
      </c>
      <c r="B23989" s="2" t="str">
        <f>IFERROR(__xludf.DUMMYFUNCTION("GOOGLETRANSLATE(A23989, ""en"", ""mt"")"),"X'inhuma xi eżempji ta 'riżultati finali mhux mixtieqa ta' proġett?")</f>
        <v>X'inhuma xi eżempji ta 'riżultati finali mhux mixtieqa ta' proġett?</v>
      </c>
    </row>
    <row r="23990" ht="15.75" customHeight="1">
      <c r="A23990" s="2" t="s">
        <v>23990</v>
      </c>
      <c r="B23990" s="2" t="str">
        <f>IFERROR(__xludf.DUMMYFUNCTION("GOOGLETRANSLATE(A23990, ""en"", ""mt"")"),"Gwerra")</f>
        <v>Gwerra</v>
      </c>
    </row>
    <row r="23991" ht="15.75" customHeight="1">
      <c r="A23991" s="2" t="s">
        <v>23991</v>
      </c>
      <c r="B23991" s="2" t="str">
        <f>IFERROR(__xludf.DUMMYFUNCTION("GOOGLETRANSLATE(A23991, ""en"", ""mt"")"),"Kemm użaw pajjiżi żviluppati riċerkaturi Ingliżi biex jiġbru statistika?")</f>
        <v>Kemm użaw pajjiżi żviluppati riċerkaturi Ingliżi biex jiġbru statistika?</v>
      </c>
    </row>
    <row r="23992" ht="15.75" customHeight="1">
      <c r="A23992" s="2" t="s">
        <v>23992</v>
      </c>
      <c r="B23992" s="2" t="str">
        <f>IFERROR(__xludf.DUMMYFUNCTION("GOOGLETRANSLATE(A23992, ""en"", ""mt"")"),"iswed u isfar")</f>
        <v>iswed u isfar</v>
      </c>
    </row>
    <row r="23993" ht="15.75" customHeight="1">
      <c r="A23993" s="2" t="s">
        <v>23993</v>
      </c>
      <c r="B23993" s="2" t="str">
        <f>IFERROR(__xludf.DUMMYFUNCTION("GOOGLETRANSLATE(A23993, ""en"", ""mt"")"),"Liema tip ieħor ta 'sport huwa popolari fin-Nofsinhar ta' California?")</f>
        <v>Liema tip ieħor ta 'sport huwa popolari fin-Nofsinhar ta' California?</v>
      </c>
    </row>
    <row r="23994" ht="15.75" customHeight="1">
      <c r="A23994" s="2" t="s">
        <v>23994</v>
      </c>
      <c r="B23994" s="2" t="str">
        <f>IFERROR(__xludf.DUMMYFUNCTION("GOOGLETRANSLATE(A23994, ""en"", ""mt"")"),"James Gamble,")</f>
        <v>James Gamble,</v>
      </c>
    </row>
    <row r="23995" ht="15.75" customHeight="1">
      <c r="A23995" s="2" t="s">
        <v>23995</v>
      </c>
      <c r="B23995" s="2" t="str">
        <f>IFERROR(__xludf.DUMMYFUNCTION("GOOGLETRANSLATE(A23995, ""en"", ""mt"")"),"X’kienet il-biża ’Iqbal iddgħajjef il-pedamenti spiritwali tal-Iżlam u tas-soċjetà Musulmana?")</f>
        <v>X’kienet il-biża ’Iqbal iddgħajjef il-pedamenti spiritwali tal-Iżlam u tas-soċjetà Musulmana?</v>
      </c>
    </row>
    <row r="23996" ht="15.75" customHeight="1">
      <c r="A23996" s="2" t="s">
        <v>23996</v>
      </c>
      <c r="B23996" s="2" t="str">
        <f>IFERROR(__xludf.DUMMYFUNCTION("GOOGLETRANSLATE(A23996, ""en"", ""mt"")"),"Stħarriġ ġeofiżiku")</f>
        <v>Stħarriġ ġeofiżiku</v>
      </c>
    </row>
    <row r="23997" ht="15.75" customHeight="1">
      <c r="A23997" s="2" t="s">
        <v>23997</v>
      </c>
      <c r="B23997" s="2" t="str">
        <f>IFERROR(__xludf.DUMMYFUNCTION("GOOGLETRANSLATE(A23997, ""en"", ""mt"")"),"il-bidu tas-snin 1960")</f>
        <v>il-bidu tas-snin 1960</v>
      </c>
    </row>
    <row r="23998" ht="15.75" customHeight="1">
      <c r="A23998" s="2" t="s">
        <v>23998</v>
      </c>
      <c r="B23998" s="2" t="str">
        <f>IFERROR(__xludf.DUMMYFUNCTION("GOOGLETRANSLATE(A23998, ""en"", ""mt"")"),"il-membrana oriġinali taċ-ċellula tal-alka ħamra endosymbiont")</f>
        <v>il-membrana oriġinali taċ-ċellula tal-alka ħamra endosymbiont</v>
      </c>
    </row>
    <row r="23999" ht="15.75" customHeight="1">
      <c r="A23999" s="2" t="s">
        <v>23999</v>
      </c>
      <c r="B23999" s="2" t="str">
        <f>IFERROR(__xludf.DUMMYFUNCTION("GOOGLETRANSLATE(A23999, ""en"", ""mt"")"),"Il-kwistjonijiet ta 'liema era tkellmu dwar l-artiklu ta' Tesla?")</f>
        <v>Il-kwistjonijiet ta 'liema era tkellmu dwar l-artiklu ta' Tesla?</v>
      </c>
    </row>
    <row r="24000" ht="15.75" customHeight="1">
      <c r="A24000" s="2" t="s">
        <v>24000</v>
      </c>
      <c r="B24000" s="2" t="str">
        <f>IFERROR(__xludf.DUMMYFUNCTION("GOOGLETRANSLATE(A24000, ""en"", ""mt"")"),"Ron Grainer")</f>
        <v>Ron Grainer</v>
      </c>
    </row>
    <row r="24001" ht="15.75" customHeight="1">
      <c r="A24001" s="2" t="s">
        <v>24001</v>
      </c>
      <c r="B24001" s="2" t="str">
        <f>IFERROR(__xludf.DUMMYFUNCTION("GOOGLETRANSLATE(A24001, ""en"", ""mt"")"),"periti")</f>
        <v>periti</v>
      </c>
    </row>
    <row r="24002" ht="15.75" customHeight="1">
      <c r="A24002" s="2" t="s">
        <v>24002</v>
      </c>
      <c r="B24002" s="2" t="str">
        <f>IFERROR(__xludf.DUMMYFUNCTION("GOOGLETRANSLATE(A24002, ""en"", ""mt"")"),"btieti tal-aringi.")</f>
        <v>btieti tal-aringi.</v>
      </c>
    </row>
    <row r="24003" ht="15.75" customHeight="1">
      <c r="A24003" s="2" t="s">
        <v>24003</v>
      </c>
      <c r="B24003" s="2" t="str">
        <f>IFERROR(__xludf.DUMMYFUNCTION("GOOGLETRANSLATE(A24003, ""en"", ""mt"")"),"Min ikkummissjona lill-Gateshead Milennium Bridge?")</f>
        <v>Min ikkummissjona lill-Gateshead Milennium Bridge?</v>
      </c>
    </row>
    <row r="24004" ht="15.75" customHeight="1">
      <c r="A24004" s="2" t="s">
        <v>24004</v>
      </c>
      <c r="B24004" s="2" t="str">
        <f>IFERROR(__xludf.DUMMYFUNCTION("GOOGLETRANSLATE(A24004, ""en"", ""mt"")"),"X'inhuma assoċjati ma 'forzi normali?")</f>
        <v>X'inhuma assoċjati ma 'forzi normali?</v>
      </c>
    </row>
    <row r="24005" ht="15.75" customHeight="1">
      <c r="A24005" s="2" t="s">
        <v>24005</v>
      </c>
      <c r="B24005" s="2" t="str">
        <f>IFERROR(__xludf.DUMMYFUNCTION("GOOGLETRANSLATE(A24005, ""en"", ""mt"")"),"Qawwa kolonjali dominanti")</f>
        <v>Qawwa kolonjali dominanti</v>
      </c>
    </row>
    <row r="24006" ht="15.75" customHeight="1">
      <c r="A24006" s="2" t="s">
        <v>24006</v>
      </c>
      <c r="B24006" s="2" t="str">
        <f>IFERROR(__xludf.DUMMYFUNCTION("GOOGLETRANSLATE(A24006, ""en"", ""mt"")"),"Harambee House ta 'Nairobi")</f>
        <v>Harambee House ta 'Nairobi</v>
      </c>
    </row>
    <row r="24007" ht="15.75" customHeight="1">
      <c r="A24007" s="2" t="s">
        <v>24007</v>
      </c>
      <c r="B24007" s="2" t="str">
        <f>IFERROR(__xludf.DUMMYFUNCTION("GOOGLETRANSLATE(A24007, ""en"", ""mt"")"),"Bruno Mars,")</f>
        <v>Bruno Mars,</v>
      </c>
    </row>
    <row r="24008" ht="15.75" customHeight="1">
      <c r="A24008" s="2" t="s">
        <v>24008</v>
      </c>
      <c r="B24008" s="2" t="str">
        <f>IFERROR(__xludf.DUMMYFUNCTION("GOOGLETRANSLATE(A24008, ""en"", ""mt"")"),"Shaman importanti kien allegat li kien qed jipprova jbiegħed lil Genghis Khan minn liema minn ħutu?")</f>
        <v>Shaman importanti kien allegat li kien qed jipprova jbiegħed lil Genghis Khan minn liema minn ħutu?</v>
      </c>
    </row>
    <row r="24009" ht="15.75" customHeight="1">
      <c r="A24009" s="2" t="s">
        <v>24009</v>
      </c>
      <c r="B24009" s="2" t="str">
        <f>IFERROR(__xludf.DUMMYFUNCTION("GOOGLETRANSLATE(A24009, ""en"", ""mt"")"),"Entużjażmu tal-għalliem")</f>
        <v>Entużjażmu tal-għalliem</v>
      </c>
    </row>
    <row r="24010" ht="15.75" customHeight="1">
      <c r="A24010" s="2" t="s">
        <v>24010</v>
      </c>
      <c r="B24010" s="2" t="str">
        <f>IFERROR(__xludf.DUMMYFUNCTION("GOOGLETRANSLATE(A24010, ""en"", ""mt"")"),"F’Awwissu 1994, liema Flint, l-affiljat ta ’Michigan kien xtara ABC?")</f>
        <v>F’Awwissu 1994, liema Flint, l-affiljat ta ’Michigan kien xtara ABC?</v>
      </c>
    </row>
    <row r="24011" ht="15.75" customHeight="1">
      <c r="A24011" s="2" t="s">
        <v>24011</v>
      </c>
      <c r="B24011" s="2" t="str">
        <f>IFERROR(__xludf.DUMMYFUNCTION("GOOGLETRANSLATE(A24011, ""en"", ""mt"")"),"F'liema sena l-istadium ta 'Harvard sar l-ewwel stadium rinforzat fil-konkrit fil-pajjiż?")</f>
        <v>F'liema sena l-istadium ta 'Harvard sar l-ewwel stadium rinforzat fil-konkrit fil-pajjiż?</v>
      </c>
    </row>
    <row r="24012" ht="15.75" customHeight="1">
      <c r="A24012" s="2" t="s">
        <v>24012</v>
      </c>
      <c r="B24012" s="2" t="str">
        <f>IFERROR(__xludf.DUMMYFUNCTION("GOOGLETRANSLATE(A24012, ""en"", ""mt"")"),"Rajthom bħala Ċiniżi wisq")</f>
        <v>Rajthom bħala Ċiniżi wisq</v>
      </c>
    </row>
    <row r="24013" ht="15.75" customHeight="1">
      <c r="A24013" s="2" t="s">
        <v>24013</v>
      </c>
      <c r="B24013" s="2" t="str">
        <f>IFERROR(__xludf.DUMMYFUNCTION("GOOGLETRANSLATE(A24013, ""en"", ""mt"")"),"Skaro")</f>
        <v>Skaro</v>
      </c>
    </row>
    <row r="24014" ht="15.75" customHeight="1">
      <c r="A24014" s="2" t="s">
        <v>24014</v>
      </c>
      <c r="B24014" s="2" t="str">
        <f>IFERROR(__xludf.DUMMYFUNCTION("GOOGLETRANSLATE(A24014, ""en"", ""mt"")"),"Liema territorju Jochi pprova jipproteġi li seta 'wassal għal tilwima ma' ħutu?")</f>
        <v>Liema territorju Jochi pprova jipproteġi li seta 'wassal għal tilwima ma' ħutu?</v>
      </c>
    </row>
    <row r="24015" ht="15.75" customHeight="1">
      <c r="A24015" s="2" t="s">
        <v>24015</v>
      </c>
      <c r="B24015" s="2" t="str">
        <f>IFERROR(__xludf.DUMMYFUNCTION("GOOGLETRANSLATE(A24015, ""en"", ""mt"")"),"id-deżert tal-Colorado")</f>
        <v>id-deżert tal-Colorado</v>
      </c>
    </row>
    <row r="24016" ht="15.75" customHeight="1">
      <c r="A24016" s="2" t="s">
        <v>24016</v>
      </c>
      <c r="B24016" s="2" t="str">
        <f>IFERROR(__xludf.DUMMYFUNCTION("GOOGLETRANSLATE(A24016, ""en"", ""mt"")"),"Minħabba d-densità akbar ta 'ilma kiesaħ")</f>
        <v>Minħabba d-densità akbar ta 'ilma kiesaħ</v>
      </c>
    </row>
    <row r="24017" ht="15.75" customHeight="1">
      <c r="A24017" s="2" t="s">
        <v>24017</v>
      </c>
      <c r="B24017" s="2" t="str">
        <f>IFERROR(__xludf.DUMMYFUNCTION("GOOGLETRANSLATE(A24017, ""en"", ""mt"")"),"Dudley Simpson")</f>
        <v>Dudley Simpson</v>
      </c>
    </row>
    <row r="24018" ht="15.75" customHeight="1">
      <c r="A24018" s="2" t="s">
        <v>24018</v>
      </c>
      <c r="B24018" s="2" t="str">
        <f>IFERROR(__xludf.DUMMYFUNCTION("GOOGLETRANSLATE(A24018, ""en"", ""mt"")"),"Sigurtà tal-Istat")</f>
        <v>Sigurtà tal-Istat</v>
      </c>
    </row>
    <row r="24019" ht="15.75" customHeight="1">
      <c r="A24019" s="2" t="s">
        <v>24019</v>
      </c>
      <c r="B24019" s="2" t="str">
        <f>IFERROR(__xludf.DUMMYFUNCTION("GOOGLETRANSLATE(A24019, ""en"", ""mt"")"),"Mhux qed tieħu xogħol minħabba żwieġ jew tqala")</f>
        <v>Mhux qed tieħu xogħol minħabba żwieġ jew tqala</v>
      </c>
    </row>
    <row r="24020" ht="15.75" customHeight="1">
      <c r="A24020" s="2" t="s">
        <v>24020</v>
      </c>
      <c r="B24020" s="2" t="str">
        <f>IFERROR(__xludf.DUMMYFUNCTION("GOOGLETRANSLATE(A24020, ""en"", ""mt"")"),"Erba 'episodji biss qatt kellhom il-wirjiet tal-premiere tagħhom fuq kanali minbarra BBC One. L-20 anniversarju speċjali tal-1983 Il-ħames tobba kellhom id-début tiegħu fit-23 ta 'Novembru (id-data attwali tal-anniversarju) fuq numru ta' stazzjonijiet tal"&amp;"-PBS jumejn qabel ix-xandira BBC One tagħha. L-istorja tal-1988 Silver Nemesis ġiet imxandra bit-tliet episodji kollha li jixxandru lura fuq TVNZ fi New Zealand f'Novembru, wara li l-ewwel episodju kien ġie muri fir-Renju Unit iżda qabel l-aħħar żewġ paga"&amp;"menti kienu jixxandru hemmhekk. Fl-aħħarnett, il-film televiżiv tal-1996 premièred fit-12 ta 'Mejju 1996 fuq CITV f'Edmonton, il-Kanada, 15-il jum qabel il-BBC One juri, u jumejn qabel ma jixxandar fuq Fox fl-Istati Uniti. [Ċitazzjoni meħtieġa]")</f>
        <v>Erba 'episodji biss qatt kellhom il-wirjiet tal-premiere tagħhom fuq kanali minbarra BBC One. L-20 anniversarju speċjali tal-1983 Il-ħames tobba kellhom id-début tiegħu fit-23 ta 'Novembru (id-data attwali tal-anniversarju) fuq numru ta' stazzjonijiet tal-PBS jumejn qabel ix-xandira BBC One tagħha. L-istorja tal-1988 Silver Nemesis ġiet imxandra bit-tliet episodji kollha li jixxandru lura fuq TVNZ fi New Zealand f'Novembru, wara li l-ewwel episodju kien ġie muri fir-Renju Unit iżda qabel l-aħħar żewġ pagamenti kienu jixxandru hemmhekk. Fl-aħħarnett, il-film televiżiv tal-1996 premièred fit-12 ta 'Mejju 1996 fuq CITV f'Edmonton, il-Kanada, 15-il jum qabel il-BBC One juri, u jumejn qabel ma jixxandar fuq Fox fl-Istati Uniti. [Ċitazzjoni meħtieġa]</v>
      </c>
    </row>
    <row r="24021" ht="15.75" customHeight="1">
      <c r="A24021" s="2" t="s">
        <v>24021</v>
      </c>
      <c r="B24021" s="2" t="str">
        <f>IFERROR(__xludf.DUMMYFUNCTION("GOOGLETRANSLATE(A24021, ""en"", ""mt"")"),"Manning temm il-logħba 13 minn 23 għal 141 tarzni b'interċettazzjoni waħda u żero touchdowns. Sanders kien l-aqwa riċevitur tiegħu b’sitt riċevimenti għal 83 tarzni. Anderson kien ir-rusher ewlieni tal-logħba b'90 jarda u touchdown, flimkien ma 'erba' riċ"&amp;"evimenti għal 10 tarzni. Miller kellu sitt indirizzi totali (ħames solo), 2½ xkejjer, u żewġ fumbles sfurzati. Ware kellu ħames indirizzi totali u żewġ xkejjer. Ward kellu seba 'indirizzi totali, irkupru ta' fumble, u interċettazzjoni. McManus għamel l-er"&amp;"ba 'gowls kollha tiegħu, u għamilha perfetta fuq il-11-il tentattiv kollu matul il-post-staġun. Newton temm 18 minn 41 pass għal 265 tarzni, b'interċettazzjoni waħda. Huwa kien ukoll ir-rusher ewlieni tat-tim b'45 tarzni fuq sitt ġarr. Brown qabad erba 'p"&amp;"asses għal 80 jarda, filwaqt li Ginn kellu erba' riċevimenti għal 74. Ealy kien l-aqwa artist difensiv għal Carolina b'erba 'indirizzi totali, tliet xkejjer, fumble sfurzat, irkupru fumble, u interċettazzjoni. It-tmiem difensiv ta ’Charles Johnson kellu e"&amp;"rba’ indirizzi totali, xkora, u fumble sfurzat. Il-linebacker Luke Kuechly kellu 11-il indirizz totali, filwaqt li Thomas Davis kellu sebgħa, minkejja li lagħab ġimgħatejn biss wara li kiser id-driegħ tal-lemin tiegħu fil-logħba tat-titlu NFC.")</f>
        <v>Manning temm il-logħba 13 minn 23 għal 141 tarzni b'interċettazzjoni waħda u żero touchdowns. Sanders kien l-aqwa riċevitur tiegħu b’sitt riċevimenti għal 83 tarzni. Anderson kien ir-rusher ewlieni tal-logħba b'90 jarda u touchdown, flimkien ma 'erba' riċevimenti għal 10 tarzni. Miller kellu sitt indirizzi totali (ħames solo), 2½ xkejjer, u żewġ fumbles sfurzati. Ware kellu ħames indirizzi totali u żewġ xkejjer. Ward kellu seba 'indirizzi totali, irkupru ta' fumble, u interċettazzjoni. McManus għamel l-erba 'gowls kollha tiegħu, u għamilha perfetta fuq il-11-il tentattiv kollu matul il-post-staġun. Newton temm 18 minn 41 pass għal 265 tarzni, b'interċettazzjoni waħda. Huwa kien ukoll ir-rusher ewlieni tat-tim b'45 tarzni fuq sitt ġarr. Brown qabad erba 'passes għal 80 jarda, filwaqt li Ginn kellu erba' riċevimenti għal 74. Ealy kien l-aqwa artist difensiv għal Carolina b'erba 'indirizzi totali, tliet xkejjer, fumble sfurzat, irkupru fumble, u interċettazzjoni. It-tmiem difensiv ta ’Charles Johnson kellu erba’ indirizzi totali, xkora, u fumble sfurzat. Il-linebacker Luke Kuechly kellu 11-il indirizz totali, filwaqt li Thomas Davis kellu sebgħa, minkejja li lagħab ġimgħatejn biss wara li kiser id-driegħ tal-lemin tiegħu fil-logħba tat-titlu NFC.</v>
      </c>
    </row>
    <row r="24022" ht="15.75" customHeight="1">
      <c r="A24022" s="2" t="s">
        <v>24022</v>
      </c>
      <c r="B24022" s="2" t="str">
        <f>IFERROR(__xludf.DUMMYFUNCTION("GOOGLETRANSLATE(A24022, ""en"", ""mt"")"),"Min qal li nies involuti fis-sitwazzjoni tal-ożonu kellhom ""fehim aħjar tal-injoranza u l-inċertezzi xjentifiċi""?")</f>
        <v>Min qal li nies involuti fis-sitwazzjoni tal-ożonu kellhom "fehim aħjar tal-injoranza u l-inċertezzi xjentifiċi"?</v>
      </c>
    </row>
    <row r="24023" ht="15.75" customHeight="1">
      <c r="A24023" s="2" t="s">
        <v>24023</v>
      </c>
      <c r="B24023" s="2" t="str">
        <f>IFERROR(__xludf.DUMMYFUNCTION("GOOGLETRANSLATE(A24023, ""en"", ""mt"")"),"Genghis Khan u l-familja tiegħu")</f>
        <v>Genghis Khan u l-familja tiegħu</v>
      </c>
    </row>
    <row r="24024" ht="15.75" customHeight="1">
      <c r="A24024" s="2" t="s">
        <v>24024</v>
      </c>
      <c r="B24024" s="2" t="str">
        <f>IFERROR(__xludf.DUMMYFUNCTION("GOOGLETRANSLATE(A24024, ""en"", ""mt"")"),"Liema kunċett iżomm it-tifsira tagħha kemm permezz tal-ekwazzjonijiet tal-fiżika Netonian kif ukoll ta 'Schrodinger?")</f>
        <v>Liema kunċett iżomm it-tifsira tagħha kemm permezz tal-ekwazzjonijiet tal-fiżika Netonian kif ukoll ta 'Schrodinger?</v>
      </c>
    </row>
    <row r="24025" ht="15.75" customHeight="1">
      <c r="A24025" s="2" t="s">
        <v>24025</v>
      </c>
      <c r="B24025" s="2" t="str">
        <f>IFERROR(__xludf.DUMMYFUNCTION("GOOGLETRANSLATE(A24025, ""en"", ""mt"")"),"L-Amazon")</f>
        <v>L-Amazon</v>
      </c>
    </row>
    <row r="24026" ht="15.75" customHeight="1">
      <c r="A24026" s="2" t="s">
        <v>24026</v>
      </c>
      <c r="B24026" s="2" t="str">
        <f>IFERROR(__xludf.DUMMYFUNCTION("GOOGLETRANSLATE(A24026, ""en"", ""mt"")"),"Doctor Who oriġinarjament dam għal 26 staġuni fuq BBC One, mit-23 ta 'Novembru 1963 sas-6 ta' Diċembru 1989. Matul il-ġirja oriġinali, kull episodju ta 'kull ġimgħa kien jifforma parti minn storja (jew ""serje"") - ġeneralment minn erba' sa sitt partijiet"&amp;" fis-snin preċedenti u Tlieta sa erbgħa fis-snin aktar tard. Eċċezzjonijiet notevoli kienu: il-pjan ewlieni ta 'Daleks, li jixxandar fi 12-il episodju (flimkien ma' teaser ta 'episodju wieħed preċedenti, ""Missjoni għall-Mhux magħrufa"", li fih l-ebda wie"&amp;"ħed mill-kast regolari); kważi staġun sħiħ ta 'serje ta' seba 'episodji (staġun 7); il-logħob tal-gwerra b'10 episodji; u l-prova ta 'Time Lord, li dam għal 14-il episodju (għalkemm maqsuma fi tliet kodiċi ta' produzzjoni u erba 'segmenti narrattivi) matu"&amp;"l l-istaġun 23. Kultant is-serje kienu konnessi b'mod laxk minn ġrajja, bħalma huma l-istaġun 8 li kien iddedikat għat-tabib li qed jiġġieled kontra l-diżonesti Time Lord sejjaħ lill-kaptan, l-istaġun 16's Quest for the Key to Time, l-istaġun 18's Vjaġġ p"&amp;"ermezz tal-E-Space u t-Tema tal-Entropija, u l-Istaġun 20's Black Guardian Trilogy.")</f>
        <v>Doctor Who oriġinarjament dam għal 26 staġuni fuq BBC One, mit-23 ta 'Novembru 1963 sas-6 ta' Diċembru 1989. Matul il-ġirja oriġinali, kull episodju ta 'kull ġimgħa kien jifforma parti minn storja (jew "serje") - ġeneralment minn erba' sa sitt partijiet fis-snin preċedenti u Tlieta sa erbgħa fis-snin aktar tard. Eċċezzjonijiet notevoli kienu: il-pjan ewlieni ta 'Daleks, li jixxandar fi 12-il episodju (flimkien ma' teaser ta 'episodju wieħed preċedenti, "Missjoni għall-Mhux magħrufa", li fih l-ebda wieħed mill-kast regolari); kważi staġun sħiħ ta 'serje ta' seba 'episodji (staġun 7); il-logħob tal-gwerra b'10 episodji; u l-prova ta 'Time Lord, li dam għal 14-il episodju (għalkemm maqsuma fi tliet kodiċi ta' produzzjoni u erba 'segmenti narrattivi) matul l-istaġun 23. Kultant is-serje kienu konnessi b'mod laxk minn ġrajja, bħalma huma l-istaġun 8 li kien iddedikat għat-tabib li qed jiġġieled kontra l-diżonesti Time Lord sejjaħ lill-kaptan, l-istaġun 16's Quest for the Key to Time, l-istaġun 18's Vjaġġ permezz tal-E-Space u t-Tema tal-Entropija, u l-Istaġun 20's Black Guardian Trilogy.</v>
      </c>
    </row>
    <row r="24027" ht="15.75" customHeight="1">
      <c r="A24027" s="2" t="s">
        <v>24027</v>
      </c>
      <c r="B24027" s="2" t="str">
        <f>IFERROR(__xludf.DUMMYFUNCTION("GOOGLETRANSLATE(A24027, ""en"", ""mt"")"),"Steam_engine")</f>
        <v>Steam_engine</v>
      </c>
    </row>
    <row r="24028" ht="15.75" customHeight="1">
      <c r="A24028" s="2" t="s">
        <v>24028</v>
      </c>
      <c r="B24028" s="2" t="str">
        <f>IFERROR(__xludf.DUMMYFUNCTION("GOOGLETRANSLATE(A24028, ""en"", ""mt"")"),"Fkieren Ninja Mutanti Teenage: Minn Dellijiet")</f>
        <v>Fkieren Ninja Mutanti Teenage: Minn Dellijiet</v>
      </c>
    </row>
    <row r="24029" ht="15.75" customHeight="1">
      <c r="A24029" s="2" t="s">
        <v>24029</v>
      </c>
      <c r="B24029" s="2" t="str">
        <f>IFERROR(__xludf.DUMMYFUNCTION("GOOGLETRANSLATE(A24029, ""en"", ""mt"")"),"ta 'l-Istati Uniti, il-Gran Brittanja, il-Ġermanja u Franza")</f>
        <v>ta 'l-Istati Uniti, il-Gran Brittanja, il-Ġermanja u Franza</v>
      </c>
    </row>
    <row r="24030" ht="15.75" customHeight="1">
      <c r="A24030" s="2" t="s">
        <v>24030</v>
      </c>
      <c r="B24030" s="2" t="str">
        <f>IFERROR(__xludf.DUMMYFUNCTION("GOOGLETRANSLATE(A24030, ""en"", ""mt"")"),"Wara li kull tim ippuntja, il-quarterback ta 'Panthers Cam Newton deher li jlesti l-pass ta' 24-yard Jerricho Cotchery, iżda s-sejħa kienet iddeċidiet li ma tlestietx u kkonfermat wara sfida ta 'replay. L-analista tas-CBS u r-referi rtirat Mike Carey iddi"&amp;"kjara li ma qabilx mat-telefonata u ħass li r-reviżjoni wriet b’mod ċar li l-pass kien komplut. Ftit jilgħab wara, fit-3 u l-10 mil-linja ta '15 -il tarzna, il-linebacker von Miller ħabbat il-ballun minn idejn Newton waqt li keċċa lilu, u Malik Jackson ir"&amp;"kuprah fiż-żona finali għal touchdown ta 'Broncos, u jagħti lit-tim 10–0 ċomb. Dan kien l-ewwel touchdown tar-ritorn fumble fis-Super Bowl minn Super Bowl XXVIII fl-aħħar tal-istaġun tal-1993.")</f>
        <v>Wara li kull tim ippuntja, il-quarterback ta 'Panthers Cam Newton deher li jlesti l-pass ta' 24-yard Jerricho Cotchery, iżda s-sejħa kienet iddeċidiet li ma tlestietx u kkonfermat wara sfida ta 'replay. L-analista tas-CBS u r-referi rtirat Mike Carey iddikjara li ma qabilx mat-telefonata u ħass li r-reviżjoni wriet b’mod ċar li l-pass kien komplut. Ftit jilgħab wara, fit-3 u l-10 mil-linja ta '15 -il tarzna, il-linebacker von Miller ħabbat il-ballun minn idejn Newton waqt li keċċa lilu, u Malik Jackson irkuprah fiż-żona finali għal touchdown ta 'Broncos, u jagħti lit-tim 10–0 ċomb. Dan kien l-ewwel touchdown tar-ritorn fumble fis-Super Bowl minn Super Bowl XXVIII fl-aħħar tal-istaġun tal-1993.</v>
      </c>
    </row>
    <row r="24031" ht="15.75" customHeight="1">
      <c r="A24031" s="2" t="s">
        <v>24031</v>
      </c>
      <c r="B24031" s="2" t="str">
        <f>IFERROR(__xludf.DUMMYFUNCTION("GOOGLETRANSLATE(A24031, ""en"", ""mt"")"),"BPP, ZPP u RP")</f>
        <v>BPP, ZPP u RP</v>
      </c>
    </row>
    <row r="24032" ht="15.75" customHeight="1">
      <c r="A24032" s="2" t="s">
        <v>24032</v>
      </c>
      <c r="B24032" s="2" t="str">
        <f>IFERROR(__xludf.DUMMYFUNCTION("GOOGLETRANSLATE(A24032, ""en"", ""mt"")"),"X'inhuma żewġ tipi ta 'fagoċiti li jivvjaġġaw minn ġol-ġisem biex isibu patoġeni li jinvadu?")</f>
        <v>X'inhuma żewġ tipi ta 'fagoċiti li jivvjaġġaw minn ġol-ġisem biex isibu patoġeni li jinvadu?</v>
      </c>
    </row>
    <row r="24033" ht="15.75" customHeight="1">
      <c r="A24033" s="2" t="s">
        <v>24033</v>
      </c>
      <c r="B24033" s="2" t="str">
        <f>IFERROR(__xludf.DUMMYFUNCTION("GOOGLETRANSLATE(A24033, ""en"", ""mt"")"),"sodisfazzjon u hena madwar il-popolazzjoni")</f>
        <v>sodisfazzjon u hena madwar il-popolazzjoni</v>
      </c>
    </row>
    <row r="24034" ht="15.75" customHeight="1">
      <c r="A24034" s="2" t="s">
        <v>24034</v>
      </c>
      <c r="B24034" s="2" t="str">
        <f>IFERROR(__xludf.DUMMYFUNCTION("GOOGLETRANSLATE(A24034, ""en"", ""mt"")"),"kollox mill-ġbir ta 'każ tat-test fil-qrati federali biex jieħu l-għan lejn uffiċjal federali")</f>
        <v>kollox mill-ġbir ta 'każ tat-test fil-qrati federali biex jieħu l-għan lejn uffiċjal federali</v>
      </c>
    </row>
    <row r="24035" ht="15.75" customHeight="1">
      <c r="A24035" s="2" t="s">
        <v>24035</v>
      </c>
      <c r="B24035" s="2" t="str">
        <f>IFERROR(__xludf.DUMMYFUNCTION("GOOGLETRANSLATE(A24035, ""en"", ""mt"")"),"Reġjuni tal-Kontea tat-Tramuntana")</f>
        <v>Reġjuni tal-Kontea tat-Tramuntana</v>
      </c>
    </row>
    <row r="24036" ht="15.75" customHeight="1">
      <c r="A24036" s="2" t="s">
        <v>24036</v>
      </c>
      <c r="B24036" s="2" t="str">
        <f>IFERROR(__xludf.DUMMYFUNCTION("GOOGLETRANSLATE(A24036, ""en"", ""mt"")"),"regolatorju")</f>
        <v>regolatorju</v>
      </c>
    </row>
    <row r="24037" ht="15.75" customHeight="1">
      <c r="A24037" s="2" t="s">
        <v>24037</v>
      </c>
      <c r="B24037" s="2" t="str">
        <f>IFERROR(__xludf.DUMMYFUNCTION("GOOGLETRANSLATE(A24037, ""en"", ""mt"")"),"Kemm staġuni dam NYPD Blue?")</f>
        <v>Kemm staġuni dam NYPD Blue?</v>
      </c>
    </row>
    <row r="24038" ht="15.75" customHeight="1">
      <c r="A24038" s="2" t="s">
        <v>24038</v>
      </c>
      <c r="B24038" s="2" t="str">
        <f>IFERROR(__xludf.DUMMYFUNCTION("GOOGLETRANSLATE(A24038, ""en"", ""mt"")"),"Kif jidhru l-kloroplasti fl-ispinaċi mkabbra fid-dawl aħdar?")</f>
        <v>Kif jidhru l-kloroplasti fl-ispinaċi mkabbra fid-dawl aħdar?</v>
      </c>
    </row>
    <row r="24039" ht="15.75" customHeight="1">
      <c r="A24039" s="2" t="s">
        <v>24039</v>
      </c>
      <c r="B24039" s="2" t="str">
        <f>IFERROR(__xludf.DUMMYFUNCTION("GOOGLETRANSLATE(A24039, ""en"", ""mt"")"),"Kosta tal-Lvant tal-Kontinent")</f>
        <v>Kosta tal-Lvant tal-Kontinent</v>
      </c>
    </row>
    <row r="24040" ht="15.75" customHeight="1">
      <c r="A24040" s="2" t="s">
        <v>24040</v>
      </c>
      <c r="B24040" s="2" t="str">
        <f>IFERROR(__xludf.DUMMYFUNCTION("GOOGLETRANSLATE(A24040, ""en"", ""mt"")"),"għallem klassi kbira ta ’studenti")</f>
        <v>għallem klassi kbira ta ’studenti</v>
      </c>
    </row>
    <row r="24041" ht="15.75" customHeight="1">
      <c r="A24041" s="2" t="s">
        <v>24041</v>
      </c>
      <c r="B24041" s="2" t="str">
        <f>IFERROR(__xludf.DUMMYFUNCTION("GOOGLETRANSLATE(A24041, ""en"", ""mt"")"),"6 ta 'Ottubru, 2004")</f>
        <v>6 ta 'Ottubru, 2004</v>
      </c>
    </row>
    <row r="24042" ht="15.75" customHeight="1">
      <c r="A24042" s="2" t="s">
        <v>24042</v>
      </c>
      <c r="B24042" s="2" t="str">
        <f>IFERROR(__xludf.DUMMYFUNCTION("GOOGLETRANSLATE(A24042, ""en"", ""mt"")"),"CFTO-TV")</f>
        <v>CFTO-TV</v>
      </c>
    </row>
    <row r="24043" ht="15.75" customHeight="1">
      <c r="A24043" s="2" t="s">
        <v>24043</v>
      </c>
      <c r="B24043" s="2" t="str">
        <f>IFERROR(__xludf.DUMMYFUNCTION("GOOGLETRANSLATE(A24043, ""en"", ""mt"")"),"sfruttament tal-assi u provvisti siewja tan-nazzjon li ġie maħkum u n-nazzjon li jirbħu u mbagħad jikseb il-benefiċċji")</f>
        <v>sfruttament tal-assi u provvisti siewja tan-nazzjon li ġie maħkum u n-nazzjon li jirbħu u mbagħad jikseb il-benefiċċji</v>
      </c>
    </row>
    <row r="24044" ht="15.75" customHeight="1">
      <c r="A24044" s="2" t="s">
        <v>24044</v>
      </c>
      <c r="B24044" s="2" t="str">
        <f>IFERROR(__xludf.DUMMYFUNCTION("GOOGLETRANSLATE(A24044, ""en"", ""mt"")"),"X’wassal għall-produzzjoni ta ’parafernalia tat-te bħaċ-Ċina u l-kaddijiet matul il-perjodu Ġeorġjan?")</f>
        <v>X’wassal għall-produzzjoni ta ’parafernalia tat-te bħaċ-Ċina u l-kaddijiet matul il-perjodu Ġeorġjan?</v>
      </c>
    </row>
    <row r="24045" ht="15.75" customHeight="1">
      <c r="A24045" s="2" t="s">
        <v>24045</v>
      </c>
      <c r="B24045" s="2" t="str">
        <f>IFERROR(__xludf.DUMMYFUNCTION("GOOGLETRANSLATE(A24045, ""en"", ""mt"")"),"Brest")</f>
        <v>Brest</v>
      </c>
    </row>
    <row r="24046" ht="15.75" customHeight="1">
      <c r="A24046" s="2" t="s">
        <v>24046</v>
      </c>
      <c r="B24046" s="2" t="str">
        <f>IFERROR(__xludf.DUMMYFUNCTION("GOOGLETRANSLATE(A24046, ""en"", ""mt"")"),"Dak li ġeneralment jieħu elettroni mill-ġdid?")</f>
        <v>Dak li ġeneralment jieħu elettroni mill-ġdid?</v>
      </c>
    </row>
    <row r="24047" ht="15.75" customHeight="1">
      <c r="A24047" s="2" t="s">
        <v>24047</v>
      </c>
      <c r="B24047" s="2" t="str">
        <f>IFERROR(__xludf.DUMMYFUNCTION("GOOGLETRANSLATE(A24047, ""en"", ""mt"")"),"Astratt")</f>
        <v>Astratt</v>
      </c>
    </row>
    <row r="24048" ht="15.75" customHeight="1">
      <c r="A24048" s="2" t="s">
        <v>24048</v>
      </c>
      <c r="B24048" s="2" t="str">
        <f>IFERROR(__xludf.DUMMYFUNCTION("GOOGLETRANSLATE(A24048, ""en"", ""mt"")"),"£ 32,583")</f>
        <v>£ 32,583</v>
      </c>
    </row>
    <row r="24049" ht="15.75" customHeight="1">
      <c r="A24049" s="2" t="s">
        <v>24049</v>
      </c>
      <c r="B24049" s="2" t="str">
        <f>IFERROR(__xludf.DUMMYFUNCTION("GOOGLETRANSLATE(A24049, ""en"", ""mt"")"),"Henry Cavendish")</f>
        <v>Henry Cavendish</v>
      </c>
    </row>
    <row r="24050" ht="15.75" customHeight="1">
      <c r="A24050" s="2" t="s">
        <v>24050</v>
      </c>
      <c r="B24050" s="2" t="str">
        <f>IFERROR(__xludf.DUMMYFUNCTION("GOOGLETRANSLATE(A24050, ""en"", ""mt"")"),"X'limita l-effiċjenza taċ-ċiklu ta 'Rankine?")</f>
        <v>X'limita l-effiċjenza taċ-ċiklu ta 'Rankine?</v>
      </c>
    </row>
    <row r="24051" ht="15.75" customHeight="1">
      <c r="A24051" s="2" t="s">
        <v>24051</v>
      </c>
      <c r="B24051" s="2" t="str">
        <f>IFERROR(__xludf.DUMMYFUNCTION("GOOGLETRANSLATE(A24051, ""en"", ""mt"")"),"L-Amerka ta 'Fuq")</f>
        <v>L-Amerka ta 'Fuq</v>
      </c>
    </row>
    <row r="24052" ht="15.75" customHeight="1">
      <c r="A24052" s="2" t="s">
        <v>24052</v>
      </c>
      <c r="B24052" s="2" t="str">
        <f>IFERROR(__xludf.DUMMYFUNCTION("GOOGLETRANSLATE(A24052, ""en"", ""mt"")"),"ambigwità")</f>
        <v>ambigwità</v>
      </c>
    </row>
    <row r="24053" ht="15.75" customHeight="1">
      <c r="A24053" s="2" t="s">
        <v>24053</v>
      </c>
      <c r="B24053" s="2" t="str">
        <f>IFERROR(__xludf.DUMMYFUNCTION("GOOGLETRANSLATE(A24053, ""en"", ""mt"")"),"Kif irrapportaw id-dħul uffiċjali ta 'Brainbridge?")</f>
        <v>Kif irrapportaw id-dħul uffiċjali ta 'Brainbridge?</v>
      </c>
    </row>
    <row r="24054" ht="15.75" customHeight="1">
      <c r="A24054" s="2" t="s">
        <v>24054</v>
      </c>
      <c r="B24054" s="2" t="str">
        <f>IFERROR(__xludf.DUMMYFUNCTION("GOOGLETRANSLATE(A24054, ""en"", ""mt"")"),"L-organiżmi fotosintetiċi meta evolvew fid-dinja?")</f>
        <v>L-organiżmi fotosintetiċi meta evolvew fid-dinja?</v>
      </c>
    </row>
    <row r="24055" ht="15.75" customHeight="1">
      <c r="A24055" s="2" t="s">
        <v>24055</v>
      </c>
      <c r="B24055" s="2" t="str">
        <f>IFERROR(__xludf.DUMMYFUNCTION("GOOGLETRANSLATE(A24055, ""en"", ""mt"")"),"Cestum Veneris")</f>
        <v>Cestum Veneris</v>
      </c>
    </row>
    <row r="24056" ht="15.75" customHeight="1">
      <c r="A24056" s="2" t="s">
        <v>24056</v>
      </c>
      <c r="B24056" s="2" t="str">
        <f>IFERROR(__xludf.DUMMYFUNCTION("GOOGLETRANSLATE(A24056, ""en"", ""mt"")"),"X'tip ta 'blat jinstab fil-Grand Canyon?")</f>
        <v>X'tip ta 'blat jinstab fil-Grand Canyon?</v>
      </c>
    </row>
    <row r="24057" ht="15.75" customHeight="1">
      <c r="A24057" s="2" t="s">
        <v>24057</v>
      </c>
      <c r="B24057" s="2" t="str">
        <f>IFERROR(__xludf.DUMMYFUNCTION("GOOGLETRANSLATE(A24057, ""en"", ""mt"")"),"Sal-1987, liema pożizzjoni ħadet il-Fratellanza Musulmana fil-Palestina lejn l-Iżrael?")</f>
        <v>Sal-1987, liema pożizzjoni ħadet il-Fratellanza Musulmana fil-Palestina lejn l-Iżrael?</v>
      </c>
    </row>
    <row r="24058" ht="15.75" customHeight="1">
      <c r="A24058" s="2" t="s">
        <v>24058</v>
      </c>
      <c r="B24058" s="2" t="str">
        <f>IFERROR(__xludf.DUMMYFUNCTION("GOOGLETRANSLATE(A24058, ""en"", ""mt"")"),"Catawba, Muskogee-Talking Creek u Choctaw")</f>
        <v>Catawba, Muskogee-Talking Creek u Choctaw</v>
      </c>
    </row>
    <row r="24059" ht="15.75" customHeight="1">
      <c r="A24059" s="2" t="s">
        <v>24059</v>
      </c>
      <c r="B24059" s="2" t="str">
        <f>IFERROR(__xludf.DUMMYFUNCTION("GOOGLETRANSLATE(A24059, ""en"", ""mt"")"),"aktar minn 60 fil-mija")</f>
        <v>aktar minn 60 fil-mija</v>
      </c>
    </row>
    <row r="24060" ht="15.75" customHeight="1">
      <c r="A24060" s="2" t="s">
        <v>24060</v>
      </c>
      <c r="B24060" s="2" t="str">
        <f>IFERROR(__xludf.DUMMYFUNCTION("GOOGLETRANSLATE(A24060, ""en"", ""mt"")"),"il-flail ta 'Alla,")</f>
        <v>il-flail ta 'Alla,</v>
      </c>
    </row>
    <row r="24061" ht="15.75" customHeight="1">
      <c r="A24061" s="2" t="s">
        <v>24061</v>
      </c>
      <c r="B24061" s="2" t="str">
        <f>IFERROR(__xludf.DUMMYFUNCTION("GOOGLETRANSLATE(A24061, ""en"", ""mt"")"),"Roy")</f>
        <v>Roy</v>
      </c>
    </row>
    <row r="24062" ht="15.75" customHeight="1">
      <c r="A24062" s="2" t="s">
        <v>24062</v>
      </c>
      <c r="B24062" s="2" t="str">
        <f>IFERROR(__xludf.DUMMYFUNCTION("GOOGLETRANSLATE(A24062, ""en"", ""mt"")"),"Wara l-qawmien mill-ġdid tas-serje fl-2005, Derek Jacobi pprovda l-introduzzjoni mill-ġdid tal-karattru fl-episodju tal-2007 ""Utopia"". Matul dik l-istorja r-rwol kien imbagħad assunt minn John Simm li rritorna għar-rwol diversi drabi permezz tal-għaxar "&amp;"tabib. Mill-episodju tal-2014 ""Dark Water"", ġie żvelat li l-kaptan kien sar inkarnazzjoni femminili jew ""Time Lady"", għaddej bl-isem ta '""Missy"" (qasir għal Mistress, l-ekwivalenti femminili ta' ""Master""). Din l-Inkarnazzjoni tindaqq minn Michelle"&amp;" Gomez.")</f>
        <v>Wara l-qawmien mill-ġdid tas-serje fl-2005, Derek Jacobi pprovda l-introduzzjoni mill-ġdid tal-karattru fl-episodju tal-2007 "Utopia". Matul dik l-istorja r-rwol kien imbagħad assunt minn John Simm li rritorna għar-rwol diversi drabi permezz tal-għaxar tabib. Mill-episodju tal-2014 "Dark Water", ġie żvelat li l-kaptan kien sar inkarnazzjoni femminili jew "Time Lady", għaddej bl-isem ta '"Missy" (qasir għal Mistress, l-ekwivalenti femminili ta' "Master"). Din l-Inkarnazzjoni tindaqq minn Michelle Gomez.</v>
      </c>
    </row>
    <row r="24063" ht="15.75" customHeight="1">
      <c r="A24063" s="2" t="s">
        <v>24063</v>
      </c>
      <c r="B24063" s="2" t="str">
        <f>IFERROR(__xludf.DUMMYFUNCTION("GOOGLETRANSLATE(A24063, ""en"", ""mt"")"),"Żona Medika u Akkademika ta 'Longwood")</f>
        <v>Żona Medika u Akkademika ta 'Longwood</v>
      </c>
    </row>
    <row r="24064" ht="15.75" customHeight="1">
      <c r="A24064" s="2" t="s">
        <v>24064</v>
      </c>
      <c r="B24064" s="2" t="str">
        <f>IFERROR(__xludf.DUMMYFUNCTION("GOOGLETRANSLATE(A24064, ""en"", ""mt"")"),"peridinin")</f>
        <v>peridinin</v>
      </c>
    </row>
    <row r="24065" ht="15.75" customHeight="1">
      <c r="A24065" s="2" t="s">
        <v>24065</v>
      </c>
      <c r="B24065" s="2" t="str">
        <f>IFERROR(__xludf.DUMMYFUNCTION("GOOGLETRANSLATE(A24065, ""en"", ""mt"")"),"49.6%")</f>
        <v>49.6%</v>
      </c>
    </row>
    <row r="24066" ht="15.75" customHeight="1">
      <c r="A24066" s="2" t="s">
        <v>24066</v>
      </c>
      <c r="B24066" s="2" t="str">
        <f>IFERROR(__xludf.DUMMYFUNCTION("GOOGLETRANSLATE(A24066, ""en"", ""mt"")"),"Linda Dessau")</f>
        <v>Linda Dessau</v>
      </c>
    </row>
    <row r="24067" ht="15.75" customHeight="1">
      <c r="A24067" s="2" t="s">
        <v>24067</v>
      </c>
      <c r="B24067" s="2" t="str">
        <f>IFERROR(__xludf.DUMMYFUNCTION("GOOGLETRANSLATE(A24067, ""en"", ""mt"")"),"spin")</f>
        <v>spin</v>
      </c>
    </row>
    <row r="24068" ht="15.75" customHeight="1">
      <c r="A24068" s="2" t="s">
        <v>24068</v>
      </c>
      <c r="B24068" s="2" t="str">
        <f>IFERROR(__xludf.DUMMYFUNCTION("GOOGLETRANSLATE(A24068, ""en"", ""mt"")"),"Stat ta 'triplet spin")</f>
        <v>Stat ta 'triplet spin</v>
      </c>
    </row>
    <row r="24069" ht="15.75" customHeight="1">
      <c r="A24069" s="2" t="s">
        <v>24069</v>
      </c>
      <c r="B24069" s="2" t="str">
        <f>IFERROR(__xludf.DUMMYFUNCTION("GOOGLETRANSLATE(A24069, ""en"", ""mt"")"),"Kif kien jissejjaħ meta Tesla xegħlet lampa bla fili tal-gass bl-użu ta 'kurrent alternattiv ta' frekwenza għolja u ta 'vultaġġ għoli?")</f>
        <v>Kif kien jissejjaħ meta Tesla xegħlet lampa bla fili tal-gass bl-użu ta 'kurrent alternattiv ta' frekwenza għolja u ta 'vultaġġ għoli?</v>
      </c>
    </row>
    <row r="24070" ht="15.75" customHeight="1">
      <c r="A24070" s="2" t="s">
        <v>24070</v>
      </c>
      <c r="B24070" s="2" t="str">
        <f>IFERROR(__xludf.DUMMYFUNCTION("GOOGLETRANSLATE(A24070, ""en"", ""mt"")"),"Ġeneratur tat-turbo stabbilit bi propulsjoni pprovduta minn muturi elettriċi")</f>
        <v>Ġeneratur tat-turbo stabbilit bi propulsjoni pprovduta minn muturi elettriċi</v>
      </c>
    </row>
    <row r="24071" ht="15.75" customHeight="1">
      <c r="A24071" s="2" t="s">
        <v>24071</v>
      </c>
      <c r="B24071" s="2" t="str">
        <f>IFERROR(__xludf.DUMMYFUNCTION("GOOGLETRANSLATE(A24071, ""en"", ""mt"")"),"L-inugwaljanza fil-preżenza tal-imperfezzjonijiet tas-suq tal-kreditu għandha x'tip ta 'effett fuq il-formazzjoni tal-kapital uman?")</f>
        <v>L-inugwaljanza fil-preżenza tal-imperfezzjonijiet tas-suq tal-kreditu għandha x'tip ta 'effett fuq il-formazzjoni tal-kapital uman?</v>
      </c>
    </row>
    <row r="24072" ht="15.75" customHeight="1">
      <c r="A24072" s="2" t="s">
        <v>24072</v>
      </c>
      <c r="B24072" s="2" t="str">
        <f>IFERROR(__xludf.DUMMYFUNCTION("GOOGLETRANSLATE(A24072, ""en"", ""mt"")"),"B'liema mezzi jintbagħtu bl-ossiġnu bl-ingrossa?")</f>
        <v>B'liema mezzi jintbagħtu bl-ossiġnu bl-ingrossa?</v>
      </c>
    </row>
    <row r="24073" ht="15.75" customHeight="1">
      <c r="A24073" s="2" t="s">
        <v>24073</v>
      </c>
      <c r="B24073" s="2" t="str">
        <f>IFERROR(__xludf.DUMMYFUNCTION("GOOGLETRANSLATE(A24073, ""en"", ""mt"")"),"L-agħar problemi fl-NP jistgħu jiġu miktuba b'mod analogu bħala liema klassi ta 'problemi?")</f>
        <v>L-agħar problemi fl-NP jistgħu jiġu miktuba b'mod analogu bħala liema klassi ta 'problemi?</v>
      </c>
    </row>
    <row r="24074" ht="15.75" customHeight="1">
      <c r="A24074" s="2" t="s">
        <v>24074</v>
      </c>
      <c r="B24074" s="2" t="str">
        <f>IFERROR(__xludf.DUMMYFUNCTION("GOOGLETRANSLATE(A24074, ""en"", ""mt"")"),"Dynasty Song")</f>
        <v>Dynasty Song</v>
      </c>
    </row>
    <row r="24075" ht="15.75" customHeight="1">
      <c r="A24075" s="2" t="s">
        <v>24075</v>
      </c>
      <c r="B24075" s="2" t="str">
        <f>IFERROR(__xludf.DUMMYFUNCTION("GOOGLETRANSLATE(A24075, ""en"", ""mt"")"),"Min sab li kultura kienet żviluppat fejn ftit kummissarji kellhom xi sens ta 'responsabbiltà?")</f>
        <v>Min sab li kultura kienet żviluppat fejn ftit kummissarji kellhom xi sens ta 'responsabbiltà?</v>
      </c>
    </row>
    <row r="24076" ht="15.75" customHeight="1">
      <c r="A24076" s="2" t="s">
        <v>24076</v>
      </c>
      <c r="B24076" s="2" t="str">
        <f>IFERROR(__xludf.DUMMYFUNCTION("GOOGLETRANSLATE(A24076, ""en"", ""mt"")"),"Ekwipaġġi li jbaħħru lejn stazzjon spazjali, titjiriet ċirkonar u eventwali inżul Lunar bl-ekwipaġġ")</f>
        <v>Ekwipaġġi li jbaħħru lejn stazzjon spazjali, titjiriet ċirkonar u eventwali inżul Lunar bl-ekwipaġġ</v>
      </c>
    </row>
    <row r="24077" ht="15.75" customHeight="1">
      <c r="A24077" s="2" t="s">
        <v>24077</v>
      </c>
      <c r="B24077" s="2" t="str">
        <f>IFERROR(__xludf.DUMMYFUNCTION("GOOGLETRANSLATE(A24077, ""en"", ""mt"")"),"F'liema każijiet l-UE ma tistax twarrab il-liġi Ġermaniża?")</f>
        <v>F'liema każijiet l-UE ma tistax twarrab il-liġi Ġermaniża?</v>
      </c>
    </row>
    <row r="24078" ht="15.75" customHeight="1">
      <c r="A24078" s="2" t="s">
        <v>24078</v>
      </c>
      <c r="B24078" s="2" t="str">
        <f>IFERROR(__xludf.DUMMYFUNCTION("GOOGLETRANSLATE(A24078, ""en"", ""mt"")"),"iżotermali")</f>
        <v>iżotermali</v>
      </c>
    </row>
    <row r="24079" ht="15.75" customHeight="1">
      <c r="A24079" s="2" t="s">
        <v>24079</v>
      </c>
      <c r="B24079" s="2" t="str">
        <f>IFERROR(__xludf.DUMMYFUNCTION("GOOGLETRANSLATE(A24079, ""en"", ""mt"")"),"Il-belt żviluppat madwar il-Pons Aelius tar-Rumani u ġiet imsemmija wara l-kastell mibni fl-1080 minn Robert Curthose, l-iben il-kbir ta 'William the Conqueror. Il-belt kibret bħala ċentru importanti għall-kummerċ tas-suf fis-seklu 14, u aktar tard saret "&amp;"żona ewlenija tal-minjieri tal-faħam. Il-port żviluppat fis-seklu 16 u, flimkien mat-tarznari ta 'isfel fix-xmara Tyne, kien fost l-ikbar ċentri tal-bini tal-vapuri u l-vapuri tad-dinja. L-ekonomija ta 'Newcastle tinkludi kwartieri ġenerali korporattivi, "&amp;"tagħlim, teknoloġija diġitali, bejgħ bl-imnut, turiżmu u ċentri kulturali, li minnu l-belt tikkontribwixxi £ 13-il biljun lejn il-GVA tar-Renju Unit. Fost l-ikoni tagħha hemm Newcastle Brown Ale; Newcastle United Football Club; u l-pont Tyne. Huwa ospita "&amp;"l-aktar nofs maratona popolari fid-dinja, il-Great North Run, minn meta beda fl-1981.")</f>
        <v>Il-belt żviluppat madwar il-Pons Aelius tar-Rumani u ġiet imsemmija wara l-kastell mibni fl-1080 minn Robert Curthose, l-iben il-kbir ta 'William the Conqueror. Il-belt kibret bħala ċentru importanti għall-kummerċ tas-suf fis-seklu 14, u aktar tard saret żona ewlenija tal-minjieri tal-faħam. Il-port żviluppat fis-seklu 16 u, flimkien mat-tarznari ta 'isfel fix-xmara Tyne, kien fost l-ikbar ċentri tal-bini tal-vapuri u l-vapuri tad-dinja. L-ekonomija ta 'Newcastle tinkludi kwartieri ġenerali korporattivi, tagħlim, teknoloġija diġitali, bejgħ bl-imnut, turiżmu u ċentri kulturali, li minnu l-belt tikkontribwixxi £ 13-il biljun lejn il-GVA tar-Renju Unit. Fost l-ikoni tagħha hemm Newcastle Brown Ale; Newcastle United Football Club; u l-pont Tyne. Huwa ospita l-aktar nofs maratona popolari fid-dinja, il-Great North Run, minn meta beda fl-1981.</v>
      </c>
    </row>
    <row r="24080" ht="15.75" customHeight="1">
      <c r="A24080" s="2" t="s">
        <v>24080</v>
      </c>
      <c r="B24080" s="2" t="str">
        <f>IFERROR(__xludf.DUMMYFUNCTION("GOOGLETRANSLATE(A24080, ""en"", ""mt"")"),"Bizzilla Ingliża")</f>
        <v>Bizzilla Ingliża</v>
      </c>
    </row>
    <row r="24081" ht="15.75" customHeight="1">
      <c r="A24081" s="2" t="s">
        <v>24081</v>
      </c>
      <c r="B24081" s="2" t="str">
        <f>IFERROR(__xludf.DUMMYFUNCTION("GOOGLETRANSLATE(A24081, ""en"", ""mt"")"),"Fejn tgħallem Tesla bil-Gospika?")</f>
        <v>Fejn tgħallem Tesla bil-Gospika?</v>
      </c>
    </row>
    <row r="24082" ht="15.75" customHeight="1">
      <c r="A24082" s="2" t="s">
        <v>24082</v>
      </c>
      <c r="B24082" s="2" t="str">
        <f>IFERROR(__xludf.DUMMYFUNCTION("GOOGLETRANSLATE(A24082, ""en"", ""mt"")"),"7.9 miljun")</f>
        <v>7.9 miljun</v>
      </c>
    </row>
    <row r="24083" ht="15.75" customHeight="1">
      <c r="A24083" s="2" t="s">
        <v>24083</v>
      </c>
      <c r="B24083" s="2" t="str">
        <f>IFERROR(__xludf.DUMMYFUNCTION("GOOGLETRANSLATE(A24083, ""en"", ""mt"")"),"Liema ghadu tat-tabib min hu wkoll il-mulej taż-żmien?")</f>
        <v>Liema ghadu tat-tabib min hu wkoll il-mulej taż-żmien?</v>
      </c>
    </row>
    <row r="24084" ht="15.75" customHeight="1">
      <c r="A24084" s="2" t="s">
        <v>24084</v>
      </c>
      <c r="B24084" s="2" t="str">
        <f>IFERROR(__xludf.DUMMYFUNCTION("GOOGLETRANSLATE(A24084, ""en"", ""mt"")"),"Issa huwa possibbli li tikkonverti etajiet relattivi qodma f'liema tip ta 'etajiet bl-użu ta' dating iżotopiku?")</f>
        <v>Issa huwa possibbli li tikkonverti etajiet relattivi qodma f'liema tip ta 'etajiet bl-użu ta' dating iżotopiku?</v>
      </c>
    </row>
    <row r="24085" ht="15.75" customHeight="1">
      <c r="A24085" s="2" t="s">
        <v>24085</v>
      </c>
      <c r="B24085" s="2" t="str">
        <f>IFERROR(__xludf.DUMMYFUNCTION("GOOGLETRANSLATE(A24085, ""en"", ""mt"")"),"Liema karatteristika tiddeskrivi l-aħjar ir-reġjuni agrikoli li jistgħu jinstabu?")</f>
        <v>Liema karatteristika tiddeskrivi l-aħjar ir-reġjuni agrikoli li jistgħu jinstabu?</v>
      </c>
    </row>
    <row r="24086" ht="15.75" customHeight="1">
      <c r="A24086" s="2" t="s">
        <v>24086</v>
      </c>
      <c r="B24086" s="2" t="str">
        <f>IFERROR(__xludf.DUMMYFUNCTION("GOOGLETRANSLATE(A24086, ""en"", ""mt"")"),"F'liema pressjoni jissaħħan l-ilma fiċ-ċiklu ta 'Rankine?")</f>
        <v>F'liema pressjoni jissaħħan l-ilma fiċ-ċiklu ta 'Rankine?</v>
      </c>
    </row>
    <row r="24087" ht="15.75" customHeight="1">
      <c r="A24087" s="2" t="s">
        <v>24087</v>
      </c>
      <c r="B24087" s="2" t="str">
        <f>IFERROR(__xludf.DUMMYFUNCTION("GOOGLETRANSLATE(A24087, ""en"", ""mt"")"),"ċellola tal-pjanti li fiha kloroplasti")</f>
        <v>ċellola tal-pjanti li fiha kloroplasti</v>
      </c>
    </row>
    <row r="24088" ht="15.75" customHeight="1">
      <c r="A24088" s="2" t="s">
        <v>24088</v>
      </c>
      <c r="B24088" s="2" t="str">
        <f>IFERROR(__xludf.DUMMYFUNCTION("GOOGLETRANSLATE(A24088, ""en"", ""mt"")"),"Aktar minn nofs")</f>
        <v>Aktar minn nofs</v>
      </c>
    </row>
    <row r="24089" ht="15.75" customHeight="1">
      <c r="A24089" s="2" t="s">
        <v>24089</v>
      </c>
      <c r="B24089" s="2" t="str">
        <f>IFERROR(__xludf.DUMMYFUNCTION("GOOGLETRANSLATE(A24089, ""en"", ""mt"")"),"Huwa pproduċa sajjetti artifiċjali, bi skariki li jikkonsistu minn miljuni ta 'volt u sa 135 pied twil. Ir-ragħad mill-enerġija rilaxxata nstema '15 -il mil 'il bogħod fi Cripple Creek, Colorado. Nies li mixi fit-triq osservaw xrar li jaqbżu bejn saqajhom"&amp;" u l-art. Xrar reġgħu mill-viti tal-linja tal-ilma meta jintmess. Il-bozoz tad-dawl fi 100 pied mill-laboratorju jiddu anke meta jintfew. Żwiemel fi livery stabbli imbarrat mill-monti tagħhom wara li jirċievu xokkijiet permezz taż-żraben tal-metall tagħho"&amp;"m. Il-friefet ġew elettrifikati, iddawru fiċ-ċrieki bil-halos blu tan-nar ta ’San Elmo madwar il-ġwienaħ tagħhom.")</f>
        <v>Huwa pproduċa sajjetti artifiċjali, bi skariki li jikkonsistu minn miljuni ta 'volt u sa 135 pied twil. Ir-ragħad mill-enerġija rilaxxata nstema '15 -il mil 'il bogħod fi Cripple Creek, Colorado. Nies li mixi fit-triq osservaw xrar li jaqbżu bejn saqajhom u l-art. Xrar reġgħu mill-viti tal-linja tal-ilma meta jintmess. Il-bozoz tad-dawl fi 100 pied mill-laboratorju jiddu anke meta jintfew. Żwiemel fi livery stabbli imbarrat mill-monti tagħhom wara li jirċievu xokkijiet permezz taż-żraben tal-metall tagħhom. Il-friefet ġew elettrifikati, iddawru fiċ-ċrieki bil-halos blu tan-nar ta ’San Elmo madwar il-ġwienaħ tagħhom.</v>
      </c>
    </row>
    <row r="24090" ht="15.75" customHeight="1">
      <c r="A24090" s="2" t="s">
        <v>24090</v>
      </c>
      <c r="B24090" s="2" t="str">
        <f>IFERROR(__xludf.DUMMYFUNCTION("GOOGLETRANSLATE(A24090, ""en"", ""mt"")"),"Jonqos Jim Gray")</f>
        <v>Jonqos Jim Gray</v>
      </c>
    </row>
    <row r="24091" ht="15.75" customHeight="1">
      <c r="A24091" s="2" t="s">
        <v>24091</v>
      </c>
      <c r="B24091" s="2" t="str">
        <f>IFERROR(__xludf.DUMMYFUNCTION("GOOGLETRANSLATE(A24091, ""en"", ""mt"")"),"X'inhu l-isem tas-servizz li jġib in-negozji lokali b'kuntratt mas-Super Bowl?")</f>
        <v>X'inhu l-isem tas-servizz li jġib in-negozji lokali b'kuntratt mas-Super Bowl?</v>
      </c>
    </row>
    <row r="24092" ht="15.75" customHeight="1">
      <c r="A24092" s="2" t="s">
        <v>24092</v>
      </c>
      <c r="B24092" s="2" t="str">
        <f>IFERROR(__xludf.DUMMYFUNCTION("GOOGLETRANSLATE(A24092, ""en"", ""mt"")"),"Kemm hemm mistoqsijiet ġenerali disponibbli għall-mexxejja tal-oppożizzjoni?")</f>
        <v>Kemm hemm mistoqsijiet ġenerali disponibbli għall-mexxejja tal-oppożizzjoni?</v>
      </c>
    </row>
    <row r="24093" ht="15.75" customHeight="1">
      <c r="A24093" s="2" t="s">
        <v>24093</v>
      </c>
      <c r="B24093" s="2" t="str">
        <f>IFERROR(__xludf.DUMMYFUNCTION("GOOGLETRANSLATE(A24093, ""en"", ""mt"")"),"Fatturizzazzjoni sħiħa")</f>
        <v>Fatturizzazzjoni sħiħa</v>
      </c>
    </row>
    <row r="24094" ht="15.75" customHeight="1">
      <c r="A24094" s="2" t="s">
        <v>24094</v>
      </c>
      <c r="B24094" s="2" t="str">
        <f>IFERROR(__xludf.DUMMYFUNCTION("GOOGLETRANSLATE(A24094, ""en"", ""mt"")"),"1329")</f>
        <v>1329</v>
      </c>
    </row>
    <row r="24095" ht="15.75" customHeight="1">
      <c r="A24095" s="2" t="s">
        <v>24095</v>
      </c>
      <c r="B24095" s="2" t="str">
        <f>IFERROR(__xludf.DUMMYFUNCTION("GOOGLETRANSLATE(A24095, ""en"", ""mt"")"),"Tsakhiagiin Elbegdorj")</f>
        <v>Tsakhiagiin Elbegdorj</v>
      </c>
    </row>
    <row r="24096" ht="15.75" customHeight="1">
      <c r="A24096" s="2" t="s">
        <v>24096</v>
      </c>
      <c r="B24096" s="2" t="str">
        <f>IFERROR(__xludf.DUMMYFUNCTION("GOOGLETRANSLATE(A24096, ""en"", ""mt"")"),"trasmissjoni turbo-elettrika,")</f>
        <v>trasmissjoni turbo-elettrika,</v>
      </c>
    </row>
    <row r="24097" ht="15.75" customHeight="1">
      <c r="A24097" s="2" t="s">
        <v>24097</v>
      </c>
      <c r="B24097" s="2" t="str">
        <f>IFERROR(__xludf.DUMMYFUNCTION("GOOGLETRANSLATE(A24097, ""en"", ""mt"")"),"merkantiliżmu")</f>
        <v>merkantiliżmu</v>
      </c>
    </row>
    <row r="24098" ht="15.75" customHeight="1">
      <c r="A24098" s="2" t="s">
        <v>24098</v>
      </c>
      <c r="B24098" s="2" t="str">
        <f>IFERROR(__xludf.DUMMYFUNCTION("GOOGLETRANSLATE(A24098, ""en"", ""mt"")"),"X'segwi l-edukazzjoni sekondarja?")</f>
        <v>X'segwi l-edukazzjoni sekondarja?</v>
      </c>
    </row>
    <row r="24099" ht="15.75" customHeight="1">
      <c r="A24099" s="2" t="s">
        <v>24099</v>
      </c>
      <c r="B24099" s="2" t="str">
        <f>IFERROR(__xludf.DUMMYFUNCTION("GOOGLETRANSLATE(A24099, ""en"", ""mt"")"),"Min ħadem aktar tard biex isib dawn it-tejps manjetiċi nieqsa li kellhom dejta maħżuna fuqhom?")</f>
        <v>Min ħadem aktar tard biex isib dawn it-tejps manjetiċi nieqsa li kellhom dejta maħżuna fuqhom?</v>
      </c>
    </row>
    <row r="24100" ht="15.75" customHeight="1">
      <c r="A24100" s="2" t="s">
        <v>24100</v>
      </c>
      <c r="B24100" s="2" t="str">
        <f>IFERROR(__xludf.DUMMYFUNCTION("GOOGLETRANSLATE(A24100, ""en"", ""mt"")"),"X'tip ta 'reġim iddeċieda fuq is-Sudan għal ħafna snin?")</f>
        <v>X'tip ta 'reġim iddeċieda fuq is-Sudan għal ħafna snin?</v>
      </c>
    </row>
    <row r="24101" ht="15.75" customHeight="1">
      <c r="A24101" s="2" t="s">
        <v>24101</v>
      </c>
      <c r="B24101" s="2" t="str">
        <f>IFERROR(__xludf.DUMMYFUNCTION("GOOGLETRANSLATE(A24101, ""en"", ""mt"")"),"Duħ biż-żejt.")</f>
        <v>Duħ biż-żejt.</v>
      </c>
    </row>
    <row r="24102" ht="15.75" customHeight="1">
      <c r="A24102" s="2" t="s">
        <v>24102</v>
      </c>
      <c r="B24102" s="2" t="str">
        <f>IFERROR(__xludf.DUMMYFUNCTION("GOOGLETRANSLATE(A24102, ""en"", ""mt"")"),"Iċ-ċelloli dendritiċi (DC) huma fagoċiti fit-tessuti li huma f'kuntatt mal-ambjent estern; Għalhekk, huma jinsabu prinċipalment fil-ġilda, l-imnieħer, il-pulmuni, l-istonku, u l-imsaren. Huma msejħa għax-xebh tagħhom ma 'dendriti newronali, peress li t-tn"&amp;"ejn għandhom ħafna projezzjonijiet simili għas-sinsla, iżda ċ-ċelloli dendritiċi bl-ebda mod ma huma konnessi mas-sistema nervuża. Iċ-ċelloli dendritiċi jservu ta ’rabta bejn it-tessuti tal-ġisem u s-sistemi immuni innati u adattivi, peress li jippreżenta"&amp;"w antiġeni għaċ-ċelloli T, wieħed mit-tipi ewlenin taċ-ċelloli tas-sistema immunitarja adattiva.")</f>
        <v>Iċ-ċelloli dendritiċi (DC) huma fagoċiti fit-tessuti li huma f'kuntatt mal-ambjent estern; Għalhekk, huma jinsabu prinċipalment fil-ġilda, l-imnieħer, il-pulmuni, l-istonku, u l-imsaren. Huma msejħa għax-xebh tagħhom ma 'dendriti newronali, peress li t-tnejn għandhom ħafna projezzjonijiet simili għas-sinsla, iżda ċ-ċelloli dendritiċi bl-ebda mod ma huma konnessi mas-sistema nervuża. Iċ-ċelloli dendritiċi jservu ta ’rabta bejn it-tessuti tal-ġisem u s-sistemi immuni innati u adattivi, peress li jippreżentaw antiġeni għaċ-ċelloli T, wieħed mit-tipi ewlenin taċ-ċelloli tas-sistema immunitarja adattiva.</v>
      </c>
    </row>
    <row r="24103" ht="15.75" customHeight="1">
      <c r="A24103" s="2" t="s">
        <v>24103</v>
      </c>
      <c r="B24103" s="2" t="str">
        <f>IFERROR(__xludf.DUMMYFUNCTION("GOOGLETRANSLATE(A24103, ""en"", ""mt"")"),"Hija dik il-qawwa li tippermettilna nħobbu u jimmotivawna biex infittxu relazzjoni ma 'Alla permezz ta' Ġesù Kristu.")</f>
        <v>Hija dik il-qawwa li tippermettilna nħobbu u jimmotivawna biex infittxu relazzjoni ma 'Alla permezz ta' Ġesù Kristu.</v>
      </c>
    </row>
    <row r="24104" ht="15.75" customHeight="1">
      <c r="A24104" s="2" t="s">
        <v>24104</v>
      </c>
      <c r="B24104" s="2" t="str">
        <f>IFERROR(__xludf.DUMMYFUNCTION("GOOGLETRANSLATE(A24104, ""en"", ""mt"")"),"Hadrian's")</f>
        <v>Hadrian's</v>
      </c>
    </row>
    <row r="24105" ht="15.75" customHeight="1">
      <c r="A24105" s="2" t="s">
        <v>24105</v>
      </c>
      <c r="B24105" s="2" t="str">
        <f>IFERROR(__xludf.DUMMYFUNCTION("GOOGLETRANSLATE(A24105, ""en"", ""mt"")"),"149,025")</f>
        <v>149,025</v>
      </c>
    </row>
    <row r="24106" ht="15.75" customHeight="1">
      <c r="A24106" s="2" t="s">
        <v>24106</v>
      </c>
      <c r="B24106" s="2" t="str">
        <f>IFERROR(__xludf.DUMMYFUNCTION("GOOGLETRANSLATE(A24106, ""en"", ""mt"")"),"Ir-rwol tal-mapep tas-seklu dsatax matul il- ""ġirja għall-Afrika""")</f>
        <v>Ir-rwol tal-mapep tas-seklu dsatax matul il- "ġirja għall-Afrika"</v>
      </c>
    </row>
    <row r="24107" ht="15.75" customHeight="1">
      <c r="A24107" s="2" t="s">
        <v>24107</v>
      </c>
      <c r="B24107" s="2" t="str">
        <f>IFERROR(__xludf.DUMMYFUNCTION("GOOGLETRANSLATE(A24107, ""en"", ""mt"")"),"Meta se titlaq l-okkupazzjoni tal-alleati?")</f>
        <v>Meta se titlaq l-okkupazzjoni tal-alleati?</v>
      </c>
    </row>
    <row r="24108" ht="15.75" customHeight="1">
      <c r="A24108" s="2" t="s">
        <v>24108</v>
      </c>
      <c r="B24108" s="2" t="str">
        <f>IFERROR(__xludf.DUMMYFUNCTION("GOOGLETRANSLATE(A24108, ""en"", ""mt"")"),"problemi intrattabbli")</f>
        <v>problemi intrattabbli</v>
      </c>
    </row>
    <row r="24109" ht="15.75" customHeight="1">
      <c r="A24109" s="2" t="s">
        <v>24109</v>
      </c>
      <c r="B24109" s="2" t="str">
        <f>IFERROR(__xludf.DUMMYFUNCTION("GOOGLETRANSLATE(A24109, ""en"", ""mt"")"),"F’ħafna partijiet ta ’l-Istati Uniti, wara d-deċiżjoni tal-1954 fil-Każ tal-Qorti ta’ Landmark Brown v. Board of Education of Topeka li talbu skejjel ta ’l-Istati Uniti desegregati"" bil-veloċità kollha deliberati ”, il-familji lokali organizzaw mewġa ta’"&amp;" “akkademji Kristjani” privati. F’ħafna mill-Istati Uniti tan-Nofsinhar, ħafna studenti bojod emigraw lejn l-akkademji, filwaqt li l-iskejjel pubbliċi saru aktar ikkonċentrati ħafna ma ’studenti Afrikani-Amerikani (ara l-lista ta’ skejjel privati ​​f’Miss"&amp;"issippi). Il-kontenut akkademiku tal-akkademji ġeneralment kien preparatorju fil-kulleġġ. Mill-1970, ħafna minn dawn l- ""akkademji ta 'segregazzjoni"" għalaq, għalkemm xi wħud jibqgħu joperaw. [Ċitazzjoni meħtieġa]")</f>
        <v>F’ħafna partijiet ta ’l-Istati Uniti, wara d-deċiżjoni tal-1954 fil-Każ tal-Qorti ta’ Landmark Brown v. Board of Education of Topeka li talbu skejjel ta ’l-Istati Uniti desegregati" bil-veloċità kollha deliberati ”, il-familji lokali organizzaw mewġa ta’ “akkademji Kristjani” privati. F’ħafna mill-Istati Uniti tan-Nofsinhar, ħafna studenti bojod emigraw lejn l-akkademji, filwaqt li l-iskejjel pubbliċi saru aktar ikkonċentrati ħafna ma ’studenti Afrikani-Amerikani (ara l-lista ta’ skejjel privati ​​f’Mississippi). Il-kontenut akkademiku tal-akkademji ġeneralment kien preparatorju fil-kulleġġ. Mill-1970, ħafna minn dawn l- "akkademji ta 'segregazzjoni" għalaq, għalkemm xi wħud jibqgħu joperaw. [Ċitazzjoni meħtieġa]</v>
      </c>
    </row>
    <row r="24110" ht="15.75" customHeight="1">
      <c r="A24110" s="2" t="s">
        <v>24110</v>
      </c>
      <c r="B24110" s="2" t="str">
        <f>IFERROR(__xludf.DUMMYFUNCTION("GOOGLETRANSLATE(A24110, ""en"", ""mt"")"),"Parteċipant fl-IPCC u jikkoordina l-awtur taċ-ċomb tal-Ħames Rapport ta 'Valutazzjoni")</f>
        <v>Parteċipant fl-IPCC u jikkoordina l-awtur taċ-ċomb tal-Ħames Rapport ta 'Valutazzjoni</v>
      </c>
    </row>
    <row r="24111" ht="15.75" customHeight="1">
      <c r="A24111" s="2" t="s">
        <v>24111</v>
      </c>
      <c r="B24111" s="2" t="str">
        <f>IFERROR(__xludf.DUMMYFUNCTION("GOOGLETRANSLATE(A24111, ""en"", ""mt"")"),"Paga żejda")</f>
        <v>Paga żejda</v>
      </c>
    </row>
    <row r="24112" ht="15.75" customHeight="1">
      <c r="A24112" s="2" t="s">
        <v>24112</v>
      </c>
      <c r="B24112" s="2" t="str">
        <f>IFERROR(__xludf.DUMMYFUNCTION("GOOGLETRANSLATE(A24112, ""en"", ""mt"")"),"Starkie Gardner")</f>
        <v>Starkie Gardner</v>
      </c>
    </row>
    <row r="24113" ht="15.75" customHeight="1">
      <c r="A24113" s="2" t="s">
        <v>24113</v>
      </c>
      <c r="B24113" s="2" t="str">
        <f>IFERROR(__xludf.DUMMYFUNCTION("GOOGLETRANSLATE(A24113, ""en"", ""mt"")"),"Biss fastidju")</f>
        <v>Biss fastidju</v>
      </c>
    </row>
    <row r="24114" ht="15.75" customHeight="1">
      <c r="A24114" s="2" t="s">
        <v>24114</v>
      </c>
      <c r="B24114" s="2" t="str">
        <f>IFERROR(__xludf.DUMMYFUNCTION("GOOGLETRANSLATE(A24114, ""en"", ""mt"")"),"Xi kultant xi kultant joffru l-kontej biex jiksbu aktar għalliema?")</f>
        <v>Xi kultant xi kultant joffru l-kontej biex jiksbu aktar għalliema?</v>
      </c>
    </row>
    <row r="24115" ht="15.75" customHeight="1">
      <c r="A24115" s="2" t="s">
        <v>24115</v>
      </c>
      <c r="B24115" s="2" t="str">
        <f>IFERROR(__xludf.DUMMYFUNCTION("GOOGLETRANSLATE(A24115, ""en"", ""mt"")"),"Genghis Khan għaqqad it-tribujiet tal-Mongolja u Turkiċi tal-Steppes u sar Khan kbir fl-1206. Huwa u s-suċċessuri tiegħu kabbru l-imperu Mongoljan madwar l-Asja. Taħt ir-renju tat-tielet iben ta 'Genghis, Ögedei Khan, il-Mongoli qerdu d-dinastija Jin imdg"&amp;"ħajfa fl-1234, li jirbħu ħafna miċ-Ċina tat-Tramuntana. Ögedei offra lin-neputi Kublai pożizzjoni f'Xingzhou, Hebei. Kublai ma setax jaqra ċ-Ċiniż iżda kellu diversi għalliema Ċiniżi Han marbuta miegħu mis-snin bikrin tiegħu minn ommu Sorghaghtani. Huwa f"&amp;"ittex l-avukat tal-konsulenti Buddisti Ċiniżi u Confucian. Möngke Khan irnexxielu lil ibnu Ögedei, Güyük, bħala Khan kbir fl-1251. Huwa ta l-kontroll ta 'ħuh Kublai fuq il-Mongolja li kellu territorji fiċ-Ċina. Kublai bena skejjel għal studjużi Confucian,"&amp;" ħarġu flus tal-karti, reġgħu reġgħu ritwali Ċiniżi u approvaw politiki li stimulaw tkabbir agrikolu u kummerċjali. Huwa adotta bħala l-belt kapitali tiegħu Kaiping fil-Mongolja ta 'ġewwa, aktar tard semmieh Shangdu.")</f>
        <v>Genghis Khan għaqqad it-tribujiet tal-Mongolja u Turkiċi tal-Steppes u sar Khan kbir fl-1206. Huwa u s-suċċessuri tiegħu kabbru l-imperu Mongoljan madwar l-Asja. Taħt ir-renju tat-tielet iben ta 'Genghis, Ögedei Khan, il-Mongoli qerdu d-dinastija Jin imdgħajfa fl-1234, li jirbħu ħafna miċ-Ċina tat-Tramuntana. Ögedei offra lin-neputi Kublai pożizzjoni f'Xingzhou, Hebei. Kublai ma setax jaqra ċ-Ċiniż iżda kellu diversi għalliema Ċiniżi Han marbuta miegħu mis-snin bikrin tiegħu minn ommu Sorghaghtani. Huwa fittex l-avukat tal-konsulenti Buddisti Ċiniżi u Confucian. Möngke Khan irnexxielu lil ibnu Ögedei, Güyük, bħala Khan kbir fl-1251. Huwa ta l-kontroll ta 'ħuh Kublai fuq il-Mongolja li kellu territorji fiċ-Ċina. Kublai bena skejjel għal studjużi Confucian, ħarġu flus tal-karti, reġgħu reġgħu ritwali Ċiniżi u approvaw politiki li stimulaw tkabbir agrikolu u kummerċjali. Huwa adotta bħala l-belt kapitali tiegħu Kaiping fil-Mongolja ta 'ġewwa, aktar tard semmieh Shangdu.</v>
      </c>
    </row>
    <row r="24116" ht="15.75" customHeight="1">
      <c r="A24116" s="2" t="s">
        <v>24116</v>
      </c>
      <c r="B24116" s="2" t="str">
        <f>IFERROR(__xludf.DUMMYFUNCTION("GOOGLETRANSLATE(A24116, ""en"", ""mt"")"),"Liema reliġjon hija r-reġjun tal-Punent l-aktar?")</f>
        <v>Liema reliġjon hija r-reġjun tal-Punent l-aktar?</v>
      </c>
    </row>
    <row r="24117" ht="15.75" customHeight="1">
      <c r="A24117" s="2" t="s">
        <v>24117</v>
      </c>
      <c r="B24117" s="2" t="str">
        <f>IFERROR(__xludf.DUMMYFUNCTION("GOOGLETRANSLATE(A24117, ""en"", ""mt"")"),"fil-pjanti C4")</f>
        <v>fil-pjanti C4</v>
      </c>
    </row>
    <row r="24118" ht="15.75" customHeight="1">
      <c r="A24118" s="2" t="s">
        <v>24118</v>
      </c>
      <c r="B24118" s="2" t="str">
        <f>IFERROR(__xludf.DUMMYFUNCTION("GOOGLETRANSLATE(A24118, ""en"", ""mt"")"),"Id-direzzjoni li tagħmilha tidher qisha bidla fil-klima hija iktar serja")</f>
        <v>Id-direzzjoni li tagħmilha tidher qisha bidla fil-klima hija iktar serja</v>
      </c>
    </row>
    <row r="24119" ht="15.75" customHeight="1">
      <c r="A24119" s="2" t="s">
        <v>24119</v>
      </c>
      <c r="B24119" s="2" t="str">
        <f>IFERROR(__xludf.DUMMYFUNCTION("GOOGLETRANSLATE(A24119, ""en"", ""mt"")"),"1469")</f>
        <v>1469</v>
      </c>
    </row>
    <row r="24120" ht="15.75" customHeight="1">
      <c r="A24120" s="2" t="s">
        <v>24120</v>
      </c>
      <c r="B24120" s="2" t="str">
        <f>IFERROR(__xludf.DUMMYFUNCTION("GOOGLETRANSLATE(A24120, ""en"", ""mt"")"),"Teatru sterjoskopiku")</f>
        <v>Teatru sterjoskopiku</v>
      </c>
    </row>
    <row r="24121" ht="15.75" customHeight="1">
      <c r="A24121" s="2" t="s">
        <v>24121</v>
      </c>
      <c r="B24121" s="2" t="str">
        <f>IFERROR(__xludf.DUMMYFUNCTION("GOOGLETRANSLATE(A24121, ""en"", ""mt"")"),"jagħti tfittxija ta 'kunsens tal-propjetà tiegħu,")</f>
        <v>jagħti tfittxija ta 'kunsens tal-propjetà tiegħu,</v>
      </c>
    </row>
    <row r="24122" ht="15.75" customHeight="1">
      <c r="A24122" s="2" t="s">
        <v>24122</v>
      </c>
      <c r="B24122" s="2" t="str">
        <f>IFERROR(__xludf.DUMMYFUNCTION("GOOGLETRANSLATE(A24122, ""en"", ""mt"")"),"Meta seħħet il-gwerra tal-bdiewa Ġermaniżi?")</f>
        <v>Meta seħħet il-gwerra tal-bdiewa Ġermaniżi?</v>
      </c>
    </row>
    <row r="24123" ht="15.75" customHeight="1">
      <c r="A24123" s="2" t="s">
        <v>24123</v>
      </c>
      <c r="B24123" s="2" t="str">
        <f>IFERROR(__xludf.DUMMYFUNCTION("GOOGLETRANSLATE(A24123, ""en"", ""mt"")"),"Liema awtur tal-IPCC ikkritika l-qatran?")</f>
        <v>Liema awtur tal-IPCC ikkritika l-qatran?</v>
      </c>
    </row>
    <row r="24124" ht="15.75" customHeight="1">
      <c r="A24124" s="2" t="s">
        <v>24124</v>
      </c>
      <c r="B24124" s="2" t="str">
        <f>IFERROR(__xludf.DUMMYFUNCTION("GOOGLETRANSLATE(A24124, ""en"", ""mt"")"),"Għall-ewwel huwa bagħat missjunarji, appoġġjat minn fond biex jippremja finanzjarjament konvertiti għall-Kattoliċiżmu")</f>
        <v>Għall-ewwel huwa bagħat missjunarji, appoġġjat minn fond biex jippremja finanzjarjament konvertiti għall-Kattoliċiżmu</v>
      </c>
    </row>
    <row r="24125" ht="15.75" customHeight="1">
      <c r="A24125" s="2" t="s">
        <v>24125</v>
      </c>
      <c r="B24125" s="2" t="str">
        <f>IFERROR(__xludf.DUMMYFUNCTION("GOOGLETRANSLATE(A24125, ""en"", ""mt"")"),"X'inhu t-terminu metrika inqas użat minn Newton?")</f>
        <v>X'inhu t-terminu metrika inqas użat minn Newton?</v>
      </c>
    </row>
    <row r="24126" ht="15.75" customHeight="1">
      <c r="A24126" s="2" t="s">
        <v>24126</v>
      </c>
      <c r="B24126" s="2" t="str">
        <f>IFERROR(__xludf.DUMMYFUNCTION("GOOGLETRANSLATE(A24126, ""en"", ""mt"")"),"Ringers mejta")</f>
        <v>Ringers mejta</v>
      </c>
    </row>
    <row r="24127" ht="15.75" customHeight="1">
      <c r="A24127" s="2" t="s">
        <v>24127</v>
      </c>
      <c r="B24127" s="2" t="str">
        <f>IFERROR(__xludf.DUMMYFUNCTION("GOOGLETRANSLATE(A24127, ""en"", ""mt"")"),"F'liema sena miet Tesla?")</f>
        <v>F'liema sena miet Tesla?</v>
      </c>
    </row>
    <row r="24128" ht="15.75" customHeight="1">
      <c r="A24128" s="2" t="s">
        <v>24128</v>
      </c>
      <c r="B24128" s="2" t="str">
        <f>IFERROR(__xludf.DUMMYFUNCTION("GOOGLETRANSLATE(A24128, ""en"", ""mt"")"),"l-ispeċifiċità naturali")</f>
        <v>l-ispeċifiċità naturali</v>
      </c>
    </row>
    <row r="24129" ht="15.75" customHeight="1">
      <c r="A24129" s="2" t="s">
        <v>24129</v>
      </c>
      <c r="B24129" s="2" t="str">
        <f>IFERROR(__xludf.DUMMYFUNCTION("GOOGLETRANSLATE(A24129, ""en"", ""mt"")"),"Il-privattivi tiegħu")</f>
        <v>Il-privattivi tiegħu</v>
      </c>
    </row>
    <row r="24130" ht="15.75" customHeight="1">
      <c r="A24130" s="2" t="s">
        <v>24130</v>
      </c>
      <c r="B24130" s="2" t="str">
        <f>IFERROR(__xludf.DUMMYFUNCTION("GOOGLETRANSLATE(A24130, ""en"", ""mt"")"),"L-Imperu Mongoljan")</f>
        <v>L-Imperu Mongoljan</v>
      </c>
    </row>
    <row r="24131" ht="15.75" customHeight="1">
      <c r="A24131" s="2" t="s">
        <v>24131</v>
      </c>
      <c r="B24131" s="2" t="str">
        <f>IFERROR(__xludf.DUMMYFUNCTION("GOOGLETRANSLATE(A24131, ""en"", ""mt"")"),"Peptidoglycan")</f>
        <v>Peptidoglycan</v>
      </c>
    </row>
    <row r="24132" ht="15.75" customHeight="1">
      <c r="A24132" s="2" t="s">
        <v>24132</v>
      </c>
      <c r="B24132" s="2" t="str">
        <f>IFERROR(__xludf.DUMMYFUNCTION("GOOGLETRANSLATE(A24132, ""en"", ""mt"")"),"Ir-Russja")</f>
        <v>Ir-Russja</v>
      </c>
    </row>
    <row r="24133" ht="15.75" customHeight="1">
      <c r="A24133" s="2" t="s">
        <v>24133</v>
      </c>
      <c r="B24133" s="2" t="str">
        <f>IFERROR(__xludf.DUMMYFUNCTION("GOOGLETRANSLATE(A24133, ""en"", ""mt"")"),"ħaddiem, kapitalist / sid tan-negozju, sid il-kera")</f>
        <v>ħaddiem, kapitalist / sid tan-negozju, sid il-kera</v>
      </c>
    </row>
    <row r="24134" ht="15.75" customHeight="1">
      <c r="A24134" s="2" t="s">
        <v>24134</v>
      </c>
      <c r="B24134" s="2" t="str">
        <f>IFERROR(__xludf.DUMMYFUNCTION("GOOGLETRANSLATE(A24134, ""en"", ""mt"")"),"Min ma kellu l-ebda poter militari reali matul il-wan?")</f>
        <v>Min ma kellu l-ebda poter militari reali matul il-wan?</v>
      </c>
    </row>
    <row r="24135" ht="15.75" customHeight="1">
      <c r="A24135" s="2" t="s">
        <v>24135</v>
      </c>
      <c r="B24135" s="2" t="str">
        <f>IFERROR(__xludf.DUMMYFUNCTION("GOOGLETRANSLATE(A24135, ""en"", ""mt"")"),"Perjodu Ġeoloġiku")</f>
        <v>Perjodu Ġeoloġiku</v>
      </c>
    </row>
    <row r="24136" ht="15.75" customHeight="1">
      <c r="A24136" s="2" t="s">
        <v>24136</v>
      </c>
      <c r="B24136" s="2" t="str">
        <f>IFERROR(__xludf.DUMMYFUNCTION("GOOGLETRANSLATE(A24136, ""en"", ""mt"")"),"Liema entitajiet għandhom setgħat ta 'emenda u veto matul il-proċess leġiżlattiv?")</f>
        <v>Liema entitajiet għandhom setgħat ta 'emenda u veto matul il-proċess leġiżlattiv?</v>
      </c>
    </row>
    <row r="24137" ht="15.75" customHeight="1">
      <c r="A24137" s="2" t="s">
        <v>24137</v>
      </c>
      <c r="B24137" s="2" t="str">
        <f>IFERROR(__xludf.DUMMYFUNCTION("GOOGLETRANSLATE(A24137, ""en"", ""mt"")"),"L-14 sas-Seklu 19")</f>
        <v>L-14 sas-Seklu 19</v>
      </c>
    </row>
    <row r="24138" ht="15.75" customHeight="1">
      <c r="A24138" s="2" t="s">
        <v>24138</v>
      </c>
      <c r="B24138" s="2" t="str">
        <f>IFERROR(__xludf.DUMMYFUNCTION("GOOGLETRANSLATE(A24138, ""en"", ""mt"")"),"6 seklu")</f>
        <v>6 seklu</v>
      </c>
    </row>
    <row r="24139" ht="15.75" customHeight="1">
      <c r="A24139" s="2" t="s">
        <v>24139</v>
      </c>
      <c r="B24139" s="2" t="str">
        <f>IFERROR(__xludf.DUMMYFUNCTION("GOOGLETRANSLATE(A24139, ""en"", ""mt"")"),"Miller")</f>
        <v>Miller</v>
      </c>
    </row>
    <row r="24140" ht="15.75" customHeight="1">
      <c r="A24140" s="2" t="s">
        <v>24140</v>
      </c>
      <c r="B24140" s="2" t="str">
        <f>IFERROR(__xludf.DUMMYFUNCTION("GOOGLETRANSLATE(A24140, ""en"", ""mt"")"),"Liema direttiva msemmija nħolqot fl-1994?")</f>
        <v>Liema direttiva msemmija nħolqot fl-1994?</v>
      </c>
    </row>
    <row r="24141" ht="15.75" customHeight="1">
      <c r="A24141" s="2" t="s">
        <v>24141</v>
      </c>
      <c r="B24141" s="2" t="str">
        <f>IFERROR(__xludf.DUMMYFUNCTION("GOOGLETRANSLATE(A24141, ""en"", ""mt"")"),"Xi saċerdoti u ex-reliġjużi kienu diġà żżewġu, inklużi Andreas Karlstadt u Justus Jonas, iżda t-tieġ ta 'Luther waqqaf is-siġill ta' approvazzjoni fuq iż-żwieġ klerikali. Huwa kien ilu jikkundanna voti ta 'ċelibat għal raġunijiet bibliċi, iżda d-deċiżjoni"&amp;" tiegħu li tiżżewweġ sorpriż ħafna, mhux l-inqas Melanchthon, li sejħilha imprudenti. Luther kien kiteb lil George Spalatin fit-30 ta 'Novembru 1524, ""Qatt ma nieħu mara, kif inħoss fil-preżent. Mhux li jien insensibbli għal laħam jew sess tiegħi (għax j"&amp;"ien la injam u lanqas ġebel); imma moħħi huwa avvers Biex tiżżewweġ għax kuljum nistenna l-mewt ta 'eretiku. "" Qabel ma jiżżewweġ, Luther kien ilu jgħix fuq l-ikel l-aktar sempliċi, u, kif ammetta lilu nnifsu, is-sodda bil-moffa tiegħu ma kinitx magħmula"&amp;" sewwa għal xhur sħaħ kull darba.")</f>
        <v>Xi saċerdoti u ex-reliġjużi kienu diġà żżewġu, inklużi Andreas Karlstadt u Justus Jonas, iżda t-tieġ ta 'Luther waqqaf is-siġill ta' approvazzjoni fuq iż-żwieġ klerikali. Huwa kien ilu jikkundanna voti ta 'ċelibat għal raġunijiet bibliċi, iżda d-deċiżjoni tiegħu li tiżżewweġ sorpriż ħafna, mhux l-inqas Melanchthon, li sejħilha imprudenti. Luther kien kiteb lil George Spalatin fit-30 ta 'Novembru 1524, "Qatt ma nieħu mara, kif inħoss fil-preżent. Mhux li jien insensibbli għal laħam jew sess tiegħi (għax jien la injam u lanqas ġebel); imma moħħi huwa avvers Biex tiżżewweġ għax kuljum nistenna l-mewt ta 'eretiku. " Qabel ma jiżżewweġ, Luther kien ilu jgħix fuq l-ikel l-aktar sempliċi, u, kif ammetta lilu nnifsu, is-sodda bil-moffa tiegħu ma kinitx magħmula sewwa għal xhur sħaħ kull darba.</v>
      </c>
    </row>
    <row r="24142" ht="15.75" customHeight="1">
      <c r="A24142" s="2" t="s">
        <v>24142</v>
      </c>
      <c r="B24142" s="2" t="str">
        <f>IFERROR(__xludf.DUMMYFUNCTION("GOOGLETRANSLATE(A24142, ""en"", ""mt"")"),"Għaliex tant ma approvawx il-kont?")</f>
        <v>Għaliex tant ma approvawx il-kont?</v>
      </c>
    </row>
    <row r="24143" ht="15.75" customHeight="1">
      <c r="A24143" s="2" t="s">
        <v>24143</v>
      </c>
      <c r="B24143" s="2" t="str">
        <f>IFERROR(__xludf.DUMMYFUNCTION("GOOGLETRANSLATE(A24143, ""en"", ""mt"")"),"numru wieħed")</f>
        <v>numru wieħed</v>
      </c>
    </row>
    <row r="24144" ht="15.75" customHeight="1">
      <c r="A24144" s="2" t="s">
        <v>24144</v>
      </c>
      <c r="B24144" s="2" t="str">
        <f>IFERROR(__xludf.DUMMYFUNCTION("GOOGLETRANSLATE(A24144, ""en"", ""mt"")"),"8 miljun")</f>
        <v>8 miljun</v>
      </c>
    </row>
    <row r="24145" ht="15.75" customHeight="1">
      <c r="A24145" s="2" t="s">
        <v>24145</v>
      </c>
      <c r="B24145" s="2" t="str">
        <f>IFERROR(__xludf.DUMMYFUNCTION("GOOGLETRANSLATE(A24145, ""en"", ""mt"")"),"Dak li kien Isiah Bowman Nick Isem, kif magħruf mill-pubbliku.")</f>
        <v>Dak li kien Isiah Bowman Nick Isem, kif magħruf mill-pubbliku.</v>
      </c>
    </row>
    <row r="24146" ht="15.75" customHeight="1">
      <c r="A24146" s="2" t="s">
        <v>24146</v>
      </c>
      <c r="B24146" s="2" t="str">
        <f>IFERROR(__xludf.DUMMYFUNCTION("GOOGLETRANSLATE(A24146, ""en"", ""mt"")"),"15-il jum")</f>
        <v>15-il jum</v>
      </c>
    </row>
    <row r="24147" ht="15.75" customHeight="1">
      <c r="A24147" s="2" t="s">
        <v>24147</v>
      </c>
      <c r="B24147" s="2" t="str">
        <f>IFERROR(__xludf.DUMMYFUNCTION("GOOGLETRANSLATE(A24147, ""en"", ""mt"")"),"arja dephlogisticated")</f>
        <v>arja dephlogisticated</v>
      </c>
    </row>
    <row r="24148" ht="15.75" customHeight="1">
      <c r="A24148" s="2" t="s">
        <v>24148</v>
      </c>
      <c r="B24148" s="2" t="str">
        <f>IFERROR(__xludf.DUMMYFUNCTION("GOOGLETRANSLATE(A24148, ""en"", ""mt"")"),"Graz")</f>
        <v>Graz</v>
      </c>
    </row>
    <row r="24149" ht="15.75" customHeight="1">
      <c r="A24149" s="2" t="s">
        <v>24149</v>
      </c>
      <c r="B24149" s="2" t="str">
        <f>IFERROR(__xludf.DUMMYFUNCTION("GOOGLETRANSLATE(A24149, ""en"", ""mt"")"),"Kemm btieħi kien il-pass fuq l-ewwel drive?")</f>
        <v>Kemm btieħi kien il-pass fuq l-ewwel drive?</v>
      </c>
    </row>
    <row r="24150" ht="15.75" customHeight="1">
      <c r="A24150" s="2" t="s">
        <v>24150</v>
      </c>
      <c r="B24150" s="2" t="str">
        <f>IFERROR(__xludf.DUMMYFUNCTION("GOOGLETRANSLATE(A24150, ""en"", ""mt"")"),"Huma juru dimorfiżmu distint tal-kloroplast")</f>
        <v>Huma juru dimorfiżmu distint tal-kloroplast</v>
      </c>
    </row>
    <row r="24151" ht="15.75" customHeight="1">
      <c r="A24151" s="2" t="s">
        <v>24151</v>
      </c>
      <c r="B24151" s="2" t="str">
        <f>IFERROR(__xludf.DUMMYFUNCTION("GOOGLETRANSLATE(A24151, ""en"", ""mt"")"),"Fl-1970, ABC iddebutta l-futbol it-Tnejn filgħaxija bħala parti mill-iskeda ta 'ħin ewlieni tat-Tnejn; Il-programm sar suċċess għan-netwerk u serva bħala l-logħba ewlenija tal-ġimgħa tal-Football League (NFL) sal-2006, meta l-Futbol tal-Ħadd filgħaxija, l"&amp;"i mar joqgħod għand NBC dik is-sena bħala parti minn ftehim ta 'xandir li min-naħa tiegħu ra l-MNF Mexxi lejn ESPN, ħa postu bħala l-logħba tal-marka tal-kampjonat. Skond Goldenson, it-Tnejn filgħaxija tal-futbol għen biex jaqla 'ABC jiskorja sehem ta' ud"&amp;"jenza regolarment ta '15% -16%; ABC Sports irnexxielu l-baġit għas-slot tal-ħin tat-Tnejn bil-lejl biex jerġa 'jalloka l-baġit ta' kull ġimgħa għall-iskeda ta 'ħin ewlieni ta' ABC għal sitt ijiem biss, għall-kuntrarju ta 'sebgħa fuq netwerks li jikkompetu"&amp;". L-1970 rat ukoll il-premieres ta 'diversi sapun inklużi t-tfal kollha li ilhom għaddejjin, li damu fuq in-netwerk għal 41 sena.")</f>
        <v>Fl-1970, ABC iddebutta l-futbol it-Tnejn filgħaxija bħala parti mill-iskeda ta 'ħin ewlieni tat-Tnejn; Il-programm sar suċċess għan-netwerk u serva bħala l-logħba ewlenija tal-ġimgħa tal-Football League (NFL) sal-2006, meta l-Futbol tal-Ħadd filgħaxija, li mar joqgħod għand NBC dik is-sena bħala parti minn ftehim ta 'xandir li min-naħa tiegħu ra l-MNF Mexxi lejn ESPN, ħa postu bħala l-logħba tal-marka tal-kampjonat. Skond Goldenson, it-Tnejn filgħaxija tal-futbol għen biex jaqla 'ABC jiskorja sehem ta' udjenza regolarment ta '15% -16%; ABC Sports irnexxielu l-baġit għas-slot tal-ħin tat-Tnejn bil-lejl biex jerġa 'jalloka l-baġit ta' kull ġimgħa għall-iskeda ta 'ħin ewlieni ta' ABC għal sitt ijiem biss, għall-kuntrarju ta 'sebgħa fuq netwerks li jikkompetu. L-1970 rat ukoll il-premieres ta 'diversi sapun inklużi t-tfal kollha li ilhom għaddejjin, li damu fuq in-netwerk għal 41 sena.</v>
      </c>
    </row>
    <row r="24152" ht="15.75" customHeight="1">
      <c r="A24152" s="2" t="s">
        <v>24152</v>
      </c>
      <c r="B24152" s="2" t="str">
        <f>IFERROR(__xludf.DUMMYFUNCTION("GOOGLETRANSLATE(A24152, ""en"", ""mt"")"),"Kemm membri jiffurmaw il-Kunsill Ġudizzjarju?")</f>
        <v>Kemm membri jiffurmaw il-Kunsill Ġudizzjarju?</v>
      </c>
    </row>
    <row r="24153" ht="15.75" customHeight="1">
      <c r="A24153" s="2" t="s">
        <v>24153</v>
      </c>
      <c r="B24153" s="2" t="str">
        <f>IFERROR(__xludf.DUMMYFUNCTION("GOOGLETRANSLATE(A24153, ""en"", ""mt"")"),"il-partitarji tagħha")</f>
        <v>il-partitarji tagħha</v>
      </c>
    </row>
    <row r="24154" ht="15.75" customHeight="1">
      <c r="A24154" s="2" t="s">
        <v>24154</v>
      </c>
      <c r="B24154" s="2" t="str">
        <f>IFERROR(__xludf.DUMMYFUNCTION("GOOGLETRANSLATE(A24154, ""en"", ""mt"")"),"Evalwazzjoni tal-adegwatezza tat-terapija tal-mediċina")</f>
        <v>Evalwazzjoni tal-adegwatezza tat-terapija tal-mediċina</v>
      </c>
    </row>
    <row r="24155" ht="15.75" customHeight="1">
      <c r="A24155" s="2" t="s">
        <v>24155</v>
      </c>
      <c r="B24155" s="2" t="str">
        <f>IFERROR(__xludf.DUMMYFUNCTION("GOOGLETRANSLATE(A24155, ""en"", ""mt"")"),"il-ħin meħud")</f>
        <v>il-ħin meħud</v>
      </c>
    </row>
    <row r="24156" ht="15.75" customHeight="1">
      <c r="A24156" s="2" t="s">
        <v>24156</v>
      </c>
      <c r="B24156" s="2" t="str">
        <f>IFERROR(__xludf.DUMMYFUNCTION("GOOGLETRANSLATE(A24156, ""en"", ""mt"")"),"Użu ta 'netwerk deċentralizzat b'ħafna mogħdijiet bejn kwalunkwe żewġ punti, billi taqsam il-messaġġi tal-utent fi blokki ta' messaġġi")</f>
        <v>Użu ta 'netwerk deċentralizzat b'ħafna mogħdijiet bejn kwalunkwe żewġ punti, billi taqsam il-messaġġi tal-utent fi blokki ta' messaġġi</v>
      </c>
    </row>
    <row r="24157" ht="15.75" customHeight="1">
      <c r="A24157" s="2" t="s">
        <v>24157</v>
      </c>
      <c r="B24157" s="2" t="str">
        <f>IFERROR(__xludf.DUMMYFUNCTION("GOOGLETRANSLATE(A24157, ""en"", ""mt"")"),"L-ewwel oġġetti fil-kollezzjoni tal-ġojjelli ġejjin minn liema ċiviltà antika?")</f>
        <v>L-ewwel oġġetti fil-kollezzjoni tal-ġojjelli ġejjin minn liema ċiviltà antika?</v>
      </c>
    </row>
    <row r="24158" ht="15.75" customHeight="1">
      <c r="A24158" s="2" t="s">
        <v>24158</v>
      </c>
      <c r="B24158" s="2" t="str">
        <f>IFERROR(__xludf.DUMMYFUNCTION("GOOGLETRANSLATE(A24158, ""en"", ""mt"")"),"X'kien l-għan finali eventwali tal-proġetti Apollo?")</f>
        <v>X'kien l-għan finali eventwali tal-proġetti Apollo?</v>
      </c>
    </row>
    <row r="24159" ht="15.75" customHeight="1">
      <c r="A24159" s="2" t="s">
        <v>24159</v>
      </c>
      <c r="B24159" s="2" t="str">
        <f>IFERROR(__xludf.DUMMYFUNCTION("GOOGLETRANSLATE(A24159, ""en"", ""mt"")"),"simbjotiku")</f>
        <v>simbjotiku</v>
      </c>
    </row>
    <row r="24160" ht="15.75" customHeight="1">
      <c r="A24160" s="2" t="s">
        <v>24160</v>
      </c>
      <c r="B24160" s="2" t="str">
        <f>IFERROR(__xludf.DUMMYFUNCTION("GOOGLETRANSLATE(A24160, ""en"", ""mt"")"),"għan soċjali")</f>
        <v>għan soċjali</v>
      </c>
    </row>
    <row r="24161" ht="15.75" customHeight="1">
      <c r="A24161" s="2" t="s">
        <v>24161</v>
      </c>
      <c r="B24161" s="2" t="str">
        <f>IFERROR(__xludf.DUMMYFUNCTION("GOOGLETRANSLATE(A24161, ""en"", ""mt"")"),"penitenza u tjieba")</f>
        <v>penitenza u tjieba</v>
      </c>
    </row>
    <row r="24162" ht="15.75" customHeight="1">
      <c r="A24162" s="2" t="s">
        <v>24162</v>
      </c>
      <c r="B24162" s="2" t="str">
        <f>IFERROR(__xludf.DUMMYFUNCTION("GOOGLETRANSLATE(A24162, ""en"", ""mt"")"),"xibka")</f>
        <v>xibka</v>
      </c>
    </row>
    <row r="24163" ht="15.75" customHeight="1">
      <c r="A24163" s="2" t="s">
        <v>24163</v>
      </c>
      <c r="B24163" s="2" t="str">
        <f>IFERROR(__xludf.DUMMYFUNCTION("GOOGLETRANSLATE(A24163, ""en"", ""mt"")"),"attakka lill-Ingliżi")</f>
        <v>attakka lill-Ingliżi</v>
      </c>
    </row>
    <row r="24164" ht="15.75" customHeight="1">
      <c r="A24164" s="2" t="s">
        <v>24164</v>
      </c>
      <c r="B24164" s="2" t="str">
        <f>IFERROR(__xludf.DUMMYFUNCTION("GOOGLETRANSLATE(A24164, ""en"", ""mt"")"),"Chao")</f>
        <v>Chao</v>
      </c>
    </row>
    <row r="24165" ht="15.75" customHeight="1">
      <c r="A24165" s="2" t="s">
        <v>24165</v>
      </c>
      <c r="B24165" s="2" t="str">
        <f>IFERROR(__xludf.DUMMYFUNCTION("GOOGLETRANSLATE(A24165, ""en"", ""mt"")"),"Liema forza taġixxi fuq oġġett sospiż fuq skala tar-rebbiegħa minbarra l-gravità?")</f>
        <v>Liema forza taġixxi fuq oġġett sospiż fuq skala tar-rebbiegħa minbarra l-gravità?</v>
      </c>
    </row>
    <row r="24166" ht="15.75" customHeight="1">
      <c r="A24166" s="2" t="s">
        <v>24166</v>
      </c>
      <c r="B24166" s="2" t="str">
        <f>IFERROR(__xludf.DUMMYFUNCTION("GOOGLETRANSLATE(A24166, ""en"", ""mt"")"),"Kampanja ta 'Immaġni ""We Love TV""")</f>
        <v>Kampanja ta 'Immaġni "We Love TV"</v>
      </c>
    </row>
    <row r="24167" ht="15.75" customHeight="1">
      <c r="A24167" s="2" t="s">
        <v>24167</v>
      </c>
      <c r="B24167" s="2" t="str">
        <f>IFERROR(__xludf.DUMMYFUNCTION("GOOGLETRANSLATE(A24167, ""en"", ""mt"")"),"128,843")</f>
        <v>128,843</v>
      </c>
    </row>
    <row r="24168" ht="15.75" customHeight="1">
      <c r="A24168" s="2" t="s">
        <v>24168</v>
      </c>
      <c r="B24168" s="2" t="str">
        <f>IFERROR(__xludf.DUMMYFUNCTION("GOOGLETRANSLATE(A24168, ""en"", ""mt"")"),"Aristotile x’kien irrefera għal mozzjoni sfurzata bħala?")</f>
        <v>Aristotile x’kien irrefera għal mozzjoni sfurzata bħala?</v>
      </c>
    </row>
    <row r="24169" ht="15.75" customHeight="1">
      <c r="A24169" s="2" t="s">
        <v>24169</v>
      </c>
      <c r="B24169" s="2" t="str">
        <f>IFERROR(__xludf.DUMMYFUNCTION("GOOGLETRANSLATE(A24169, ""en"", ""mt"")"),"Wiesner")</f>
        <v>Wiesner</v>
      </c>
    </row>
    <row r="24170" ht="15.75" customHeight="1">
      <c r="A24170" s="2" t="s">
        <v>24170</v>
      </c>
      <c r="B24170" s="2" t="str">
        <f>IFERROR(__xludf.DUMMYFUNCTION("GOOGLETRANSLATE(A24170, ""en"", ""mt"")"),"Min żviluppa l-kampanja tal-immaġini tal-2007 għal ABC?")</f>
        <v>Min żviluppa l-kampanja tal-immaġini tal-2007 għal ABC?</v>
      </c>
    </row>
    <row r="24171" ht="15.75" customHeight="1">
      <c r="A24171" s="2" t="s">
        <v>24171</v>
      </c>
      <c r="B24171" s="2" t="str">
        <f>IFERROR(__xludf.DUMMYFUNCTION("GOOGLETRANSLATE(A24171, ""en"", ""mt"")"),"Fil-biċċa l-kbira tal-magni tal-pistuni reċiprokanti, il-fwar ireġġa 'lura d-direzzjoni tal-fluss tiegħu f'kull puplesija (kontro-fluss), li jidħol u jeżawrixxi miċ-ċilindru mill-istess port. Iċ-ċiklu komplet tal-magna jokkupa rotazzjoni waħda tal-krank u"&amp;" żewġ puplesiji tal-pistuni; Iċ-ċiklu jinkludi wkoll erba 'avvenimenti - ammissjoni, espansjoni, exhaust, kompressjoni. Dawn l-avvenimenti huma kkontrollati minn valvi li spiss jaħdmu ġewwa sider tal-fwar biswit iċ-ċilindru; Il-valvi jqassmu l-fwar billi "&amp;"jiftħu u jagħlqu l-portijiet tal-fwar li jikkomunikaw mat-tarf (i) taċ-ċilindru u huma mmexxija mill-irkaptu tal-valv, li minnhom hemm ħafna tipi. [Ċitazzjoni meħtieġa]")</f>
        <v>Fil-biċċa l-kbira tal-magni tal-pistuni reċiprokanti, il-fwar ireġġa 'lura d-direzzjoni tal-fluss tiegħu f'kull puplesija (kontro-fluss), li jidħol u jeżawrixxi miċ-ċilindru mill-istess port. Iċ-ċiklu komplet tal-magna jokkupa rotazzjoni waħda tal-krank u żewġ puplesiji tal-pistuni; Iċ-ċiklu jinkludi wkoll erba 'avvenimenti - ammissjoni, espansjoni, exhaust, kompressjoni. Dawn l-avvenimenti huma kkontrollati minn valvi li spiss jaħdmu ġewwa sider tal-fwar biswit iċ-ċilindru; Il-valvi jqassmu l-fwar billi jiftħu u jagħlqu l-portijiet tal-fwar li jikkomunikaw mat-tarf (i) taċ-ċilindru u huma mmexxija mill-irkaptu tal-valv, li minnhom hemm ħafna tipi. [Ċitazzjoni meħtieġa]</v>
      </c>
    </row>
    <row r="24172" ht="15.75" customHeight="1">
      <c r="A24172" s="2" t="s">
        <v>24172</v>
      </c>
      <c r="B24172" s="2" t="str">
        <f>IFERROR(__xludf.DUMMYFUNCTION("GOOGLETRANSLATE(A24172, ""en"", ""mt"")"),"X'kienet l-okkupazzjoni ta 'missirijiet ta' Tesla?")</f>
        <v>X'kienet l-okkupazzjoni ta 'missirijiet ta' Tesla?</v>
      </c>
    </row>
    <row r="24173" ht="15.75" customHeight="1">
      <c r="A24173" s="2" t="s">
        <v>24173</v>
      </c>
      <c r="B24173" s="2" t="str">
        <f>IFERROR(__xludf.DUMMYFUNCTION("GOOGLETRANSLATE(A24173, ""en"", ""mt"")"),"Għal liema seklu kienet l-idea ta 'etere?")</f>
        <v>Għal liema seklu kienet l-idea ta 'etere?</v>
      </c>
    </row>
    <row r="24174" ht="15.75" customHeight="1">
      <c r="A24174" s="2" t="s">
        <v>24174</v>
      </c>
      <c r="B24174" s="2" t="str">
        <f>IFERROR(__xludf.DUMMYFUNCTION("GOOGLETRANSLATE(A24174, ""en"", ""mt"")"),"Xi tipproteġi s-sistema immunitarja?")</f>
        <v>Xi tipproteġi s-sistema immunitarja?</v>
      </c>
    </row>
    <row r="24175" ht="15.75" customHeight="1">
      <c r="A24175" s="2" t="s">
        <v>24175</v>
      </c>
      <c r="B24175" s="2" t="str">
        <f>IFERROR(__xludf.DUMMYFUNCTION("GOOGLETRANSLATE(A24175, ""en"", ""mt"")"),"Ġersijiet bojod tat-triq")</f>
        <v>Ġersijiet bojod tat-triq</v>
      </c>
    </row>
    <row r="24176" ht="15.75" customHeight="1">
      <c r="A24176" s="2" t="s">
        <v>24176</v>
      </c>
      <c r="B24176" s="2" t="str">
        <f>IFERROR(__xludf.DUMMYFUNCTION("GOOGLETRANSLATE(A24176, ""en"", ""mt"")"),"18 ta 'Mejju, 1756")</f>
        <v>18 ta 'Mejju, 1756</v>
      </c>
    </row>
    <row r="24177" ht="15.75" customHeight="1">
      <c r="A24177" s="2" t="s">
        <v>24177</v>
      </c>
      <c r="B24177" s="2" t="str">
        <f>IFERROR(__xludf.DUMMYFUNCTION("GOOGLETRANSLATE(A24177, ""en"", ""mt"")"),"sistema legali")</f>
        <v>sistema legali</v>
      </c>
    </row>
    <row r="24178" ht="15.75" customHeight="1">
      <c r="A24178" s="2" t="s">
        <v>24178</v>
      </c>
      <c r="B24178" s="2" t="str">
        <f>IFERROR(__xludf.DUMMYFUNCTION("GOOGLETRANSLATE(A24178, ""en"", ""mt"")"),"L-ewwel Ewropew li jivvjaġġa t-tul tax-Xmara Amazon kien Francisco de Orellana fl-1542. L-istoriji mhux naturali tal-BBC jippreżentaw evidenza li Orellana, aktar milli teżaġera t-talbiet tiegħu kif kien maħsub qabel, kienet korretta fl-osservazzjonijiet t"&amp;"iegħu li ċiviltà kumplessa kienet qed tiffjorixxi tul l-Amażonja fl-1540s. Huwa maħsub li ċ-ċiviltà aktar tard kienet ħerba mit-tixrid tal-mard mill-Ewropa, bħal ġidri. Mis-snin sebgħin, ġew skoperti bosta ġeoglyphs fuq art deforestata li tmur bejn AD 0-1"&amp;"250, li tkompli t-talbiet dwar ċiviltajiet pre-Kolumbjani. OnDemar Dias huwa akkreditat li l-ewwel jiskopri l-ġeoglyphs fl-1977 u l-Alceu Ranzi billi tkompli l-iskoperta tagħhom wara li ttajjar fuq l-acre. L-istoriji mhux naturali tal-BBC ippreżentaw evid"&amp;"enza li l-foresta tropikali tal-Amażonja, aktar milli tkun deżert verġni, ġiet iffurmata mill-bniedem għal mill-inqas 11,000 sena permezz ta 'prattiki bħall-ġardinaġġ tal-foresti u terra preta.")</f>
        <v>L-ewwel Ewropew li jivvjaġġa t-tul tax-Xmara Amazon kien Francisco de Orellana fl-1542. L-istoriji mhux naturali tal-BBC jippreżentaw evidenza li Orellana, aktar milli teżaġera t-talbiet tiegħu kif kien maħsub qabel, kienet korretta fl-osservazzjonijiet tiegħu li ċiviltà kumplessa kienet qed tiffjorixxi tul l-Amażonja fl-1540s. Huwa maħsub li ċ-ċiviltà aktar tard kienet ħerba mit-tixrid tal-mard mill-Ewropa, bħal ġidri. Mis-snin sebgħin, ġew skoperti bosta ġeoglyphs fuq art deforestata li tmur bejn AD 0-1250, li tkompli t-talbiet dwar ċiviltajiet pre-Kolumbjani. OnDemar Dias huwa akkreditat li l-ewwel jiskopri l-ġeoglyphs fl-1977 u l-Alceu Ranzi billi tkompli l-iskoperta tagħhom wara li ttajjar fuq l-acre. L-istoriji mhux naturali tal-BBC ippreżentaw evidenza li l-foresta tropikali tal-Amażonja, aktar milli tkun deżert verġni, ġiet iffurmata mill-bniedem għal mill-inqas 11,000 sena permezz ta 'prattiki bħall-ġardinaġġ tal-foresti u terra preta.</v>
      </c>
    </row>
    <row r="24179" ht="15.75" customHeight="1">
      <c r="A24179" s="2" t="s">
        <v>24179</v>
      </c>
      <c r="B24179" s="2" t="str">
        <f>IFERROR(__xludf.DUMMYFUNCTION("GOOGLETRANSLATE(A24179, ""en"", ""mt"")"),"Komposti ta 'ossiġenu b'potenzjal ossidattiv għoli")</f>
        <v>Komposti ta 'ossiġenu b'potenzjal ossidattiv għoli</v>
      </c>
    </row>
    <row r="24180" ht="15.75" customHeight="1">
      <c r="A24180" s="2" t="s">
        <v>24180</v>
      </c>
      <c r="B24180" s="2" t="str">
        <f>IFERROR(__xludf.DUMMYFUNCTION("GOOGLETRANSLATE(A24180, ""en"", ""mt"")"),"Liema sena kienet Temüjin, li sar Genghis Khan, x'aktarx twieled?")</f>
        <v>Liema sena kienet Temüjin, li sar Genghis Khan, x'aktarx twieled?</v>
      </c>
    </row>
    <row r="24181" ht="15.75" customHeight="1">
      <c r="A24181" s="2" t="s">
        <v>24181</v>
      </c>
      <c r="B24181" s="2" t="str">
        <f>IFERROR(__xludf.DUMMYFUNCTION("GOOGLETRANSLATE(A24181, ""en"", ""mt"")"),"Min għandu d-distakk fil-paga bejn is-sessi?")</f>
        <v>Min għandu d-distakk fil-paga bejn is-sessi?</v>
      </c>
    </row>
    <row r="24182" ht="15.75" customHeight="1">
      <c r="A24182" s="2" t="s">
        <v>24182</v>
      </c>
      <c r="B24182" s="2" t="str">
        <f>IFERROR(__xludf.DUMMYFUNCTION("GOOGLETRANSLATE(A24182, ""en"", ""mt"")"),"Liema ekwazzjoni bħalissa tonqos il-fiżika tal-forza.")</f>
        <v>Liema ekwazzjoni bħalissa tonqos il-fiżika tal-forza.</v>
      </c>
    </row>
    <row r="24183" ht="15.75" customHeight="1">
      <c r="A24183" s="2" t="s">
        <v>24183</v>
      </c>
      <c r="B24183" s="2" t="str">
        <f>IFERROR(__xludf.DUMMYFUNCTION("GOOGLETRANSLATE(A24183, ""en"", ""mt"")"),"Liema vettura tat-tabib li uża għall-ħarba tiegħu minn Gallifrey?")</f>
        <v>Liema vettura tat-tabib li uża għall-ħarba tiegħu minn Gallifrey?</v>
      </c>
    </row>
    <row r="24184" ht="15.75" customHeight="1">
      <c r="A24184" s="2" t="s">
        <v>24184</v>
      </c>
      <c r="B24184" s="2" t="str">
        <f>IFERROR(__xludf.DUMMYFUNCTION("GOOGLETRANSLATE(A24184, ""en"", ""mt"")"),"Kemm huma kbar il-filamenti taċ-ċirku PD ta 'barra?")</f>
        <v>Kemm huma kbar il-filamenti taċ-ċirku PD ta 'barra?</v>
      </c>
    </row>
    <row r="24185" ht="15.75" customHeight="1">
      <c r="A24185" s="2" t="s">
        <v>24185</v>
      </c>
      <c r="B24185" s="2" t="str">
        <f>IFERROR(__xludf.DUMMYFUNCTION("GOOGLETRANSLATE(A24185, ""en"", ""mt"")"),"Liema eżempji ta 'moda l-mużew ikompli jakkwista għall-kollezzjoni tiegħu?")</f>
        <v>Liema eżempji ta 'moda l-mużew ikompli jakkwista għall-kollezzjoni tiegħu?</v>
      </c>
    </row>
    <row r="24186" ht="15.75" customHeight="1">
      <c r="A24186" s="2" t="s">
        <v>24186</v>
      </c>
      <c r="B24186" s="2" t="str">
        <f>IFERROR(__xludf.DUMMYFUNCTION("GOOGLETRANSLATE(A24186, ""en"", ""mt"")"),"1776")</f>
        <v>1776</v>
      </c>
    </row>
    <row r="24187" ht="15.75" customHeight="1">
      <c r="A24187" s="2" t="s">
        <v>24187</v>
      </c>
      <c r="B24187" s="2" t="str">
        <f>IFERROR(__xludf.DUMMYFUNCTION("GOOGLETRANSLATE(A24187, ""en"", ""mt"")"),"Propaganda")</f>
        <v>Propaganda</v>
      </c>
    </row>
    <row r="24188" ht="15.75" customHeight="1">
      <c r="A24188" s="2" t="s">
        <v>24188</v>
      </c>
      <c r="B24188" s="2" t="str">
        <f>IFERROR(__xludf.DUMMYFUNCTION("GOOGLETRANSLATE(A24188, ""en"", ""mt"")"),"Microplates li jagħsru u jduru ħolqu l-karatteristiċi ta 'xiex?")</f>
        <v>Microplates li jagħsru u jduru ħolqu l-karatteristiċi ta 'xiex?</v>
      </c>
    </row>
    <row r="24189" ht="15.75" customHeight="1">
      <c r="A24189" s="2" t="s">
        <v>24189</v>
      </c>
      <c r="B24189" s="2" t="str">
        <f>IFERROR(__xludf.DUMMYFUNCTION("GOOGLETRANSLATE(A24189, ""en"", ""mt"")"),"Użu tat-teknoloġija,")</f>
        <v>Użu tat-teknoloġija,</v>
      </c>
    </row>
    <row r="24190" ht="15.75" customHeight="1">
      <c r="A24190" s="2" t="s">
        <v>24190</v>
      </c>
      <c r="B24190" s="2" t="str">
        <f>IFERROR(__xludf.DUMMYFUNCTION("GOOGLETRANSLATE(A24190, ""en"", ""mt"")"),"Min waqqaf dak li sar it-tieni repubblika Pollakka?")</f>
        <v>Min waqqaf dak li sar it-tieni repubblika Pollakka?</v>
      </c>
    </row>
    <row r="24191" ht="15.75" customHeight="1">
      <c r="A24191" s="2" t="s">
        <v>24191</v>
      </c>
      <c r="B24191" s="2" t="str">
        <f>IFERROR(__xludf.DUMMYFUNCTION("GOOGLETRANSLATE(A24191, ""en"", ""mt"")"),"It-teoremi tal-ġerarkija tal-ħin u l-ispazju")</f>
        <v>It-teoremi tal-ġerarkija tal-ħin u l-ispazju</v>
      </c>
    </row>
    <row r="24192" ht="15.75" customHeight="1">
      <c r="A24192" s="2" t="s">
        <v>24192</v>
      </c>
      <c r="B24192" s="2" t="str">
        <f>IFERROR(__xludf.DUMMYFUNCTION("GOOGLETRANSLATE(A24192, ""en"", ""mt"")"),"wieħed minn kull ħamsa")</f>
        <v>wieħed minn kull ħamsa</v>
      </c>
    </row>
    <row r="24193" ht="15.75" customHeight="1">
      <c r="A24193" s="2" t="s">
        <v>24193</v>
      </c>
      <c r="B24193" s="2" t="str">
        <f>IFERROR(__xludf.DUMMYFUNCTION("GOOGLETRANSLATE(A24193, ""en"", ""mt"")"),"riżultat tal-kulur tiegħu")</f>
        <v>riżultat tal-kulur tiegħu</v>
      </c>
    </row>
    <row r="24194" ht="15.75" customHeight="1">
      <c r="A24194" s="2" t="s">
        <v>24194</v>
      </c>
      <c r="B24194" s="2" t="str">
        <f>IFERROR(__xludf.DUMMYFUNCTION("GOOGLETRANSLATE(A24194, ""en"", ""mt"")"),"Tentattiv biex tirriforma l-liġi kostituzzjonali tal-Unjoni Ewropea u tagħmilha aktar trasparenti")</f>
        <v>Tentattiv biex tirriforma l-liġi kostituzzjonali tal-Unjoni Ewropea u tagħmilha aktar trasparenti</v>
      </c>
    </row>
    <row r="24195" ht="15.75" customHeight="1">
      <c r="A24195" s="2" t="s">
        <v>24195</v>
      </c>
      <c r="B24195" s="2" t="str">
        <f>IFERROR(__xludf.DUMMYFUNCTION("GOOGLETRANSLATE(A24195, ""en"", ""mt"")"),"AD 14")</f>
        <v>AD 14</v>
      </c>
    </row>
    <row r="24196" ht="15.75" customHeight="1">
      <c r="A24196" s="2" t="s">
        <v>24196</v>
      </c>
      <c r="B24196" s="2" t="str">
        <f>IFERROR(__xludf.DUMMYFUNCTION("GOOGLETRANSLATE(A24196, ""en"", ""mt"")"),"Ostaklu naturali formidabbli")</f>
        <v>Ostaklu naturali formidabbli</v>
      </c>
    </row>
    <row r="24197" ht="15.75" customHeight="1">
      <c r="A24197" s="2" t="s">
        <v>24197</v>
      </c>
      <c r="B24197" s="2" t="str">
        <f>IFERROR(__xludf.DUMMYFUNCTION("GOOGLETRANSLATE(A24197, ""en"", ""mt"")"),"X'tip ta 'magna tat-Turing huwa kapaċi għal azzjonijiet multipli u jestendi f'varjetà ta' mogħdijiet tal-komputazzjoni?")</f>
        <v>X'tip ta 'magna tat-Turing huwa kapaċi għal azzjonijiet multipli u jestendi f'varjetà ta' mogħdijiet tal-komputazzjoni?</v>
      </c>
    </row>
    <row r="24198" ht="15.75" customHeight="1">
      <c r="A24198" s="2" t="s">
        <v>24198</v>
      </c>
      <c r="B24198" s="2" t="str">
        <f>IFERROR(__xludf.DUMMYFUNCTION("GOOGLETRANSLATE(A24198, ""en"", ""mt"")"),"Kemm passiġġieri jistgħu jakkomodaw il-Ford Fiesta?")</f>
        <v>Kemm passiġġieri jistgħu jakkomodaw il-Ford Fiesta?</v>
      </c>
    </row>
    <row r="24199" ht="15.75" customHeight="1">
      <c r="A24199" s="2" t="s">
        <v>24199</v>
      </c>
      <c r="B24199" s="2" t="str">
        <f>IFERROR(__xludf.DUMMYFUNCTION("GOOGLETRANSLATE(A24199, ""en"", ""mt"")"),"Meta sseħħ il-migrazzjoni annwali tal-annimali?")</f>
        <v>Meta sseħħ il-migrazzjoni annwali tal-annimali?</v>
      </c>
    </row>
    <row r="24200" ht="15.75" customHeight="1">
      <c r="A24200" s="2" t="s">
        <v>24200</v>
      </c>
      <c r="B24200" s="2" t="str">
        <f>IFERROR(__xludf.DUMMYFUNCTION("GOOGLETRANSLATE(A24200, ""en"", ""mt"")"),"ġid")</f>
        <v>ġid</v>
      </c>
    </row>
    <row r="24201" ht="15.75" customHeight="1">
      <c r="A24201" s="2" t="s">
        <v>24201</v>
      </c>
      <c r="B24201" s="2" t="str">
        <f>IFERROR(__xludf.DUMMYFUNCTION("GOOGLETRANSLATE(A24201, ""en"", ""mt"")"),"L-ormoni rilaxxati waqt l-irqad jappoġġjaw l-interazzjoni taċ-ċelloli T u liema speċi?")</f>
        <v>L-ormoni rilaxxati waqt l-irqad jappoġġjaw l-interazzjoni taċ-ċelloli T u liema speċi?</v>
      </c>
    </row>
    <row r="24202" ht="15.75" customHeight="1">
      <c r="A24202" s="2" t="s">
        <v>24202</v>
      </c>
      <c r="B24202" s="2" t="str">
        <f>IFERROR(__xludf.DUMMYFUNCTION("GOOGLETRANSLATE(A24202, ""en"", ""mt"")"),"ir-raba 'sessjoni")</f>
        <v>ir-raba 'sessjoni</v>
      </c>
    </row>
    <row r="24203" ht="15.75" customHeight="1">
      <c r="A24203" s="2" t="s">
        <v>24203</v>
      </c>
      <c r="B24203" s="2" t="str">
        <f>IFERROR(__xludf.DUMMYFUNCTION("GOOGLETRANSLATE(A24203, ""en"", ""mt"")"),"X'kien l-isem tal-priedka famuża ta 'Wesley li fih huwa wissa kontra l-perikli tax-xorb?")</f>
        <v>X'kien l-isem tal-priedka famuża ta 'Wesley li fih huwa wissa kontra l-perikli tax-xorb?</v>
      </c>
    </row>
    <row r="24204" ht="15.75" customHeight="1">
      <c r="A24204" s="2" t="s">
        <v>24204</v>
      </c>
      <c r="B24204" s="2" t="str">
        <f>IFERROR(__xludf.DUMMYFUNCTION("GOOGLETRANSLATE(A24204, ""en"", ""mt"")"),"Kemm żoni ġew milquta mill-mewt tal-veġetazzjoni fin-nixfa tal-2010?")</f>
        <v>Kemm żoni ġew milquta mill-mewt tal-veġetazzjoni fin-nixfa tal-2010?</v>
      </c>
    </row>
    <row r="24205" ht="15.75" customHeight="1">
      <c r="A24205" s="2" t="s">
        <v>24205</v>
      </c>
      <c r="B24205" s="2" t="str">
        <f>IFERROR(__xludf.DUMMYFUNCTION("GOOGLETRANSLATE(A24205, ""en"", ""mt"")"),"l-akbar żoni tax-xiri suburbani")</f>
        <v>l-akbar żoni tax-xiri suburbani</v>
      </c>
    </row>
    <row r="24206" ht="15.75" customHeight="1">
      <c r="A24206" s="2" t="s">
        <v>24206</v>
      </c>
      <c r="B24206" s="2" t="str">
        <f>IFERROR(__xludf.DUMMYFUNCTION("GOOGLETRANSLATE(A24206, ""en"", ""mt"")"),"Il-ħin parlamentari huwa wkoll imwarrab għal perjodi ta 'mistoqsijiet fil-kamra tad-dibattitu. ""Ħin ta 'Mistoqsija Ġenerali"" iseħħ nhar il-Ħamis bejn il-11: 40 a.m. u t-12 p.m. fejn il-membri jistgħu jidderieġu mistoqsijiet lil kwalunkwe membru tal-gver"&amp;"n Skoċċiż. Fis-2.30pm, iseħħ ""ħin ta 'mistoqsija"" b'tema ta '40 minuta, fejn il-membri jistgħu jistaqsu mistoqsijiet tal-ministri fid-dipartimenti li huma magħżula għall-interrogazzjoni ta' dik il-ġurnata tas-seduta, bħas-saħħa u l-ġustizzja jew l-eduka"&amp;"zzjoni u t-trasport. Bejn it-12 p.m. u 12.30 p.m. Nhar il-Ħamis, meta l-Parlament ikun bilqiegħda, iseħħ il-ħin tal-mistoqsijiet tal-ewwel ministru. Dan jagħti lill-membri l-opportunità li jiddubitaw lill-ewwel ministru direttament fuq kwistjonijiet taħt "&amp;"il-ġurisdizzjoni tagħhom. Il-mexxejja tal-oppożizzjoni jistaqsu mistoqsija ġenerali tal-ewwel ministru u mbagħad mistoqsijiet supplimentari. Prattika bħal din tippermetti ""ċomb"" lill-interpellant, li mbagħad juża l-mistoqsija supplimentari tagħhom biex "&amp;"jistaqsi lill-ewwel ministru kwalunkwe kwistjoni. L-erba 'mistoqsijiet ġenerali disponibbli għall-mexxejja tal-oppożizzjoni huma:")</f>
        <v>Il-ħin parlamentari huwa wkoll imwarrab għal perjodi ta 'mistoqsijiet fil-kamra tad-dibattitu. "Ħin ta 'Mistoqsija Ġenerali" iseħħ nhar il-Ħamis bejn il-11: 40 a.m. u t-12 p.m. fejn il-membri jistgħu jidderieġu mistoqsijiet lil kwalunkwe membru tal-gvern Skoċċiż. Fis-2.30pm, iseħħ "ħin ta 'mistoqsija" b'tema ta '40 minuta, fejn il-membri jistgħu jistaqsu mistoqsijiet tal-ministri fid-dipartimenti li huma magħżula għall-interrogazzjoni ta' dik il-ġurnata tas-seduta, bħas-saħħa u l-ġustizzja jew l-edukazzjoni u t-trasport. Bejn it-12 p.m. u 12.30 p.m. Nhar il-Ħamis, meta l-Parlament ikun bilqiegħda, iseħħ il-ħin tal-mistoqsijiet tal-ewwel ministru. Dan jagħti lill-membri l-opportunità li jiddubitaw lill-ewwel ministru direttament fuq kwistjonijiet taħt il-ġurisdizzjoni tagħhom. Il-mexxejja tal-oppożizzjoni jistaqsu mistoqsija ġenerali tal-ewwel ministru u mbagħad mistoqsijiet supplimentari. Prattika bħal din tippermetti "ċomb" lill-interpellant, li mbagħad juża l-mistoqsija supplimentari tagħhom biex jistaqsi lill-ewwel ministru kwalunkwe kwistjoni. L-erba 'mistoqsijiet ġenerali disponibbli għall-mexxejja tal-oppożizzjoni huma:</v>
      </c>
    </row>
    <row r="24207" ht="15.75" customHeight="1">
      <c r="A24207" s="2" t="s">
        <v>24207</v>
      </c>
      <c r="B24207" s="2" t="str">
        <f>IFERROR(__xludf.DUMMYFUNCTION("GOOGLETRANSLATE(A24207, ""en"", ""mt"")"),"Fl-2014")</f>
        <v>Fl-2014</v>
      </c>
    </row>
    <row r="24208" ht="15.75" customHeight="1">
      <c r="A24208" s="2" t="s">
        <v>24208</v>
      </c>
      <c r="B24208" s="2" t="str">
        <f>IFERROR(__xludf.DUMMYFUNCTION("GOOGLETRANSLATE(A24208, ""en"", ""mt"")"),"VHF ta 'faxxa baxxa")</f>
        <v>VHF ta 'faxxa baxxa</v>
      </c>
    </row>
    <row r="24209" ht="15.75" customHeight="1">
      <c r="A24209" s="2" t="s">
        <v>24209</v>
      </c>
      <c r="B24209" s="2" t="str">
        <f>IFERROR(__xludf.DUMMYFUNCTION("GOOGLETRANSLATE(A24209, ""en"", ""mt"")"),"Kemm outputs huma mistennija għal kull input fi problema ta 'funzjoni?")</f>
        <v>Kemm outputs huma mistennija għal kull input fi problema ta 'funzjoni?</v>
      </c>
    </row>
    <row r="24210" ht="15.75" customHeight="1">
      <c r="A24210" s="2" t="s">
        <v>24210</v>
      </c>
      <c r="B24210" s="2" t="str">
        <f>IFERROR(__xludf.DUMMYFUNCTION("GOOGLETRANSLATE(A24210, ""en"", ""mt"")"),"F'ekonomija tas-suq, x'inhi l-inugwaljanza ta 'riflessjoni?")</f>
        <v>F'ekonomija tas-suq, x'inhi l-inugwaljanza ta 'riflessjoni?</v>
      </c>
    </row>
    <row r="24211" ht="15.75" customHeight="1">
      <c r="A24211" s="2" t="s">
        <v>24211</v>
      </c>
      <c r="B24211" s="2" t="str">
        <f>IFERROR(__xludf.DUMMYFUNCTION("GOOGLETRANSLATE(A24211, ""en"", ""mt"")"),"Kemm għandha diviżjonijiet ta 'riċerka akkademika l-Università ta' Chicago?")</f>
        <v>Kemm għandha diviżjonijiet ta 'riċerka akkademika l-Università ta' Chicago?</v>
      </c>
    </row>
    <row r="24212" ht="15.75" customHeight="1">
      <c r="A24212" s="2" t="s">
        <v>24212</v>
      </c>
      <c r="B24212" s="2" t="str">
        <f>IFERROR(__xludf.DUMMYFUNCTION("GOOGLETRANSLATE(A24212, ""en"", ""mt"")"),"X'tip ta 'magna tal-fwar m'għandhiex bżonn valvi biex tidderieġi l-istim?")</f>
        <v>X'tip ta 'magna tal-fwar m'għandhiex bżonn valvi biex tidderieġi l-istim?</v>
      </c>
    </row>
    <row r="24213" ht="15.75" customHeight="1">
      <c r="A24213" s="2" t="s">
        <v>24213</v>
      </c>
      <c r="B24213" s="2" t="str">
        <f>IFERROR(__xludf.DUMMYFUNCTION("GOOGLETRANSLATE(A24213, ""en"", ""mt"")"),"Fl-2007, il-gvern tal-Kenja żvela Vision 2030, programm ta 'żvilupp ekonomiku li jittama li jpoġġi lill-pajjiż fl-istess kampjonat bħat-Tigers Ekonomiċi Ażjatiċi sas-sena 2030. Fl-2013, nediet pjan ta' azzjoni nazzjonali dwar it-tibdil fil-klima, wara Il-"&amp;"klima bħala kwistjoni ewlenija ta 'żvilupp fil-Viżjoni 2030 kienet sorveljanza. Il-pjan ta 'azzjoni ta' 200 paġna, żviluppat b'appoġġ min-Netwerk ta 'Għarfien dwar il-Klima u l-Iżvilupp, jistabbilixxi l-viżjoni tal-gvern tal-Kenja għal ""mogħdija ta' żvil"&amp;"upp reżiljenti b'livell baxx ta 'karbonju"". Fit-tnedija f'Marzu 2013, is-Segretarju tal-Ministeru tal-Ippjanar, l-Iżvilupp Nazzjonali u l-Viżjoni 2030 enfasizza li l-klima se tkun kwistjoni ċentrali fil-pjan ta 'terminu medju mġedded li se jitnieda fix-x"&amp;"hur li ġejjin. Dan se joħloq qafas ta 'konsenja dirett u robust għall-pjan ta' azzjoni u jiżgura li t-tibdil fil-klima jiġi ttrattat bħala kwistjoni fl-ekonomija kollha.")</f>
        <v>Fl-2007, il-gvern tal-Kenja żvela Vision 2030, programm ta 'żvilupp ekonomiku li jittama li jpoġġi lill-pajjiż fl-istess kampjonat bħat-Tigers Ekonomiċi Ażjatiċi sas-sena 2030. Fl-2013, nediet pjan ta' azzjoni nazzjonali dwar it-tibdil fil-klima, wara Il-klima bħala kwistjoni ewlenija ta 'żvilupp fil-Viżjoni 2030 kienet sorveljanza. Il-pjan ta 'azzjoni ta' 200 paġna, żviluppat b'appoġġ min-Netwerk ta 'Għarfien dwar il-Klima u l-Iżvilupp, jistabbilixxi l-viżjoni tal-gvern tal-Kenja għal "mogħdija ta' żvilupp reżiljenti b'livell baxx ta 'karbonju". Fit-tnedija f'Marzu 2013, is-Segretarju tal-Ministeru tal-Ippjanar, l-Iżvilupp Nazzjonali u l-Viżjoni 2030 enfasizza li l-klima se tkun kwistjoni ċentrali fil-pjan ta 'terminu medju mġedded li se jitnieda fix-xhur li ġejjin. Dan se joħloq qafas ta 'konsenja dirett u robust għall-pjan ta' azzjoni u jiżgura li t-tibdil fil-klima jiġi ttrattat bħala kwistjoni fl-ekonomija kollha.</v>
      </c>
    </row>
    <row r="24214" ht="15.75" customHeight="1">
      <c r="A24214" s="2" t="s">
        <v>24214</v>
      </c>
      <c r="B24214" s="2" t="str">
        <f>IFERROR(__xludf.DUMMYFUNCTION("GOOGLETRANSLATE(A24214, ""en"", ""mt"")"),"Kaxxa Skyhd")</f>
        <v>Kaxxa Skyhd</v>
      </c>
    </row>
    <row r="24215" ht="15.75" customHeight="1">
      <c r="A24215" s="2" t="s">
        <v>24215</v>
      </c>
      <c r="B24215" s="2" t="str">
        <f>IFERROR(__xludf.DUMMYFUNCTION("GOOGLETRANSLATE(A24215, ""en"", ""mt"")"),"Editt ta 'Fontainebleau")</f>
        <v>Editt ta 'Fontainebleau</v>
      </c>
    </row>
    <row r="24216" ht="15.75" customHeight="1">
      <c r="A24216" s="2" t="s">
        <v>24216</v>
      </c>
      <c r="B24216" s="2" t="str">
        <f>IFERROR(__xludf.DUMMYFUNCTION("GOOGLETRANSLATE(A24216, ""en"", ""mt"")"),"Timur")</f>
        <v>Timur</v>
      </c>
    </row>
    <row r="24217" ht="15.75" customHeight="1">
      <c r="A24217" s="2" t="s">
        <v>24217</v>
      </c>
      <c r="B24217" s="2" t="str">
        <f>IFERROR(__xludf.DUMMYFUNCTION("GOOGLETRANSLATE(A24217, ""en"", ""mt"")"),"Gottfried Fritschel")</f>
        <v>Gottfried Fritschel</v>
      </c>
    </row>
    <row r="24218" ht="15.75" customHeight="1">
      <c r="A24218" s="2" t="s">
        <v>24218</v>
      </c>
      <c r="B24218" s="2" t="str">
        <f>IFERROR(__xludf.DUMMYFUNCTION("GOOGLETRANSLATE(A24218, ""en"", ""mt"")"),"Sabiex jitnaqqsu l-ispejjeż tal-konsumatur")</f>
        <v>Sabiex jitnaqqsu l-ispejjeż tal-konsumatur</v>
      </c>
    </row>
    <row r="24219" ht="15.75" customHeight="1">
      <c r="A24219" s="2" t="s">
        <v>24219</v>
      </c>
      <c r="B24219" s="2" t="str">
        <f>IFERROR(__xludf.DUMMYFUNCTION("GOOGLETRANSLATE(A24219, ""en"", ""mt"")"),"Subutai")</f>
        <v>Subutai</v>
      </c>
    </row>
    <row r="24220" ht="15.75" customHeight="1">
      <c r="A24220" s="2" t="s">
        <v>24220</v>
      </c>
      <c r="B24220" s="2" t="str">
        <f>IFERROR(__xludf.DUMMYFUNCTION("GOOGLETRANSLATE(A24220, ""en"", ""mt"")"),"Min allegatament ħoloq l-isem Black Death?")</f>
        <v>Min allegatament ħoloq l-isem Black Death?</v>
      </c>
    </row>
    <row r="24221" ht="15.75" customHeight="1">
      <c r="A24221" s="2" t="s">
        <v>24221</v>
      </c>
      <c r="B24221" s="2" t="str">
        <f>IFERROR(__xludf.DUMMYFUNCTION("GOOGLETRANSLATE(A24221, ""en"", ""mt"")"),"Fejn jista 'jinstab ramel Eoljan b'numru ta' duni?")</f>
        <v>Fejn jista 'jinstab ramel Eoljan b'numru ta' duni?</v>
      </c>
    </row>
    <row r="24222" ht="15.75" customHeight="1">
      <c r="A24222" s="2" t="s">
        <v>24222</v>
      </c>
      <c r="B24222" s="2" t="str">
        <f>IFERROR(__xludf.DUMMYFUNCTION("GOOGLETRANSLATE(A24222, ""en"", ""mt"")"),"Kemm il-liġi tar-Renju Unit kienet teħtieġ li tibda kumpanija?")</f>
        <v>Kemm il-liġi tar-Renju Unit kienet teħtieġ li tibda kumpanija?</v>
      </c>
    </row>
    <row r="24223" ht="15.75" customHeight="1">
      <c r="A24223" s="2" t="s">
        <v>24223</v>
      </c>
      <c r="B24223" s="2" t="str">
        <f>IFERROR(__xludf.DUMMYFUNCTION("GOOGLETRANSLATE(A24223, ""en"", ""mt"")"),"riċevimenti, laqgħat jew skopijiet ta 'esibizzjoni")</f>
        <v>riċevimenti, laqgħat jew skopijiet ta 'esibizzjoni</v>
      </c>
    </row>
    <row r="24224" ht="15.75" customHeight="1">
      <c r="A24224" s="2" t="s">
        <v>24224</v>
      </c>
      <c r="B24224" s="2" t="str">
        <f>IFERROR(__xludf.DUMMYFUNCTION("GOOGLETRANSLATE(A24224, ""en"", ""mt"")"),"Dak li jqisu li huma inġusti")</f>
        <v>Dak li jqisu li huma inġusti</v>
      </c>
    </row>
    <row r="24225" ht="15.75" customHeight="1">
      <c r="A24225" s="2" t="s">
        <v>24225</v>
      </c>
      <c r="B24225" s="2" t="str">
        <f>IFERROR(__xludf.DUMMYFUNCTION("GOOGLETRANSLATE(A24225, ""en"", ""mt"")"),"Liema persentaġġ ta 'tfal Ingliżi huma edukati fil-livell tal-GSCE fi skejjel li jħallsu l-ħlas?")</f>
        <v>Liema persentaġġ ta 'tfal Ingliżi huma edukati fil-livell tal-GSCE fi skejjel li jħallsu l-ħlas?</v>
      </c>
    </row>
    <row r="24226" ht="15.75" customHeight="1">
      <c r="A24226" s="2" t="s">
        <v>24226</v>
      </c>
      <c r="B24226" s="2" t="str">
        <f>IFERROR(__xludf.DUMMYFUNCTION("GOOGLETRANSLATE(A24226, ""en"", ""mt"")"),"Ċ ċellula")</f>
        <v>Ċ ċellula</v>
      </c>
    </row>
    <row r="24227" ht="15.75" customHeight="1">
      <c r="A24227" s="2" t="s">
        <v>24227</v>
      </c>
      <c r="B24227" s="2" t="str">
        <f>IFERROR(__xludf.DUMMYFUNCTION("GOOGLETRANSLATE(A24227, ""en"", ""mt"")"),"Il-Mermaid (Syrenka) hija s-simbolu ta ’Varsavja u tista’ tinstab fuq statwi madwar il-belt u fuq l-istemma tal-belt. Din ix-xbihat ilhom jintużaw mill-inqas f'nofs is-seklu 14. L-eqdem siġill armat eżistenti ta 'Varsavja huwa mis-sena 1390, li jikkonsist"&amp;"i minn siġill tond imdawwar bl-iskrizzjoni Latina Sigilium Civitatis varsoviensis (siġill tal-belt ta' Varsavja). City Records sa l-1609 jiddokumentaw l-użu ta 'forma mhux raffinata ta' mostru tal-baħar ma 'parti ta' fuq tal-ġisem u żżomm xabla fid-dwiefe"&amp;"r tagħha. Fl-1653 il-poeta Zygmunt Laukowski jistaqsi l-mistoqsija:")</f>
        <v>Il-Mermaid (Syrenka) hija s-simbolu ta ’Varsavja u tista’ tinstab fuq statwi madwar il-belt u fuq l-istemma tal-belt. Din ix-xbihat ilhom jintużaw mill-inqas f'nofs is-seklu 14. L-eqdem siġill armat eżistenti ta 'Varsavja huwa mis-sena 1390, li jikkonsisti minn siġill tond imdawwar bl-iskrizzjoni Latina Sigilium Civitatis varsoviensis (siġill tal-belt ta' Varsavja). City Records sa l-1609 jiddokumentaw l-użu ta 'forma mhux raffinata ta' mostru tal-baħar ma 'parti ta' fuq tal-ġisem u żżomm xabla fid-dwiefer tagħha. Fl-1653 il-poeta Zygmunt Laukowski jistaqsi l-mistoqsija:</v>
      </c>
    </row>
    <row r="24228" ht="15.75" customHeight="1">
      <c r="A24228" s="2" t="s">
        <v>24228</v>
      </c>
      <c r="B24228" s="2" t="str">
        <f>IFERROR(__xludf.DUMMYFUNCTION("GOOGLETRANSLATE(A24228, ""en"", ""mt"")"),"suspettat li għandu funzjoni ta 'appoġġ")</f>
        <v>suspettat li għandu funzjoni ta 'appoġġ</v>
      </c>
    </row>
    <row r="24229" ht="15.75" customHeight="1">
      <c r="A24229" s="2" t="s">
        <v>24229</v>
      </c>
      <c r="B24229" s="2" t="str">
        <f>IFERROR(__xludf.DUMMYFUNCTION("GOOGLETRANSLATE(A24229, ""en"", ""mt"")"),"Ferrovija tat-Tramuntana")</f>
        <v>Ferrovija tat-Tramuntana</v>
      </c>
    </row>
    <row r="24230" ht="15.75" customHeight="1">
      <c r="A24230" s="2" t="s">
        <v>24230</v>
      </c>
      <c r="B24230" s="2" t="str">
        <f>IFERROR(__xludf.DUMMYFUNCTION("GOOGLETRANSLATE(A24230, ""en"", ""mt"")"),"Selznick")</f>
        <v>Selznick</v>
      </c>
    </row>
    <row r="24231" ht="15.75" customHeight="1">
      <c r="A24231" s="2" t="s">
        <v>24231</v>
      </c>
      <c r="B24231" s="2" t="str">
        <f>IFERROR(__xludf.DUMMYFUNCTION("GOOGLETRANSLATE(A24231, ""en"", ""mt"")"),"Attakk fuq il-kapitali l-ġdida ta 'Franza, Quebec")</f>
        <v>Attakk fuq il-kapitali l-ġdida ta 'Franza, Quebec</v>
      </c>
    </row>
    <row r="24232" ht="15.75" customHeight="1">
      <c r="A24232" s="2" t="s">
        <v>24232</v>
      </c>
      <c r="B24232" s="2" t="str">
        <f>IFERROR(__xludf.DUMMYFUNCTION("GOOGLETRANSLATE(A24232, ""en"", ""mt"")"),"li jirriflettu kontribuzzjonijiet individwali")</f>
        <v>li jirriflettu kontribuzzjonijiet individwali</v>
      </c>
    </row>
    <row r="24233" ht="15.75" customHeight="1">
      <c r="A24233" s="2" t="s">
        <v>24233</v>
      </c>
      <c r="B24233" s="2" t="str">
        <f>IFERROR(__xludf.DUMMYFUNCTION("GOOGLETRANSLATE(A24233, ""en"", ""mt"")"),"Min rappurta li ried il-kumpanija ta 'Tesla?")</f>
        <v>Min rappurta li ried il-kumpanija ta 'Tesla?</v>
      </c>
    </row>
    <row r="24234" ht="15.75" customHeight="1">
      <c r="A24234" s="2" t="s">
        <v>24234</v>
      </c>
      <c r="B24234" s="2" t="str">
        <f>IFERROR(__xludf.DUMMYFUNCTION("GOOGLETRANSLATE(A24234, ""en"", ""mt"")"),"49–15,")</f>
        <v>49–15,</v>
      </c>
    </row>
    <row r="24235" ht="15.75" customHeight="1">
      <c r="A24235" s="2" t="s">
        <v>24235</v>
      </c>
      <c r="B24235" s="2" t="str">
        <f>IFERROR(__xludf.DUMMYFUNCTION("GOOGLETRANSLATE(A24235, ""en"", ""mt"")"),"Quicksort")</f>
        <v>Quicksort</v>
      </c>
    </row>
    <row r="24236" ht="15.75" customHeight="1">
      <c r="A24236" s="2" t="s">
        <v>24236</v>
      </c>
      <c r="B24236" s="2" t="str">
        <f>IFERROR(__xludf.DUMMYFUNCTION("GOOGLETRANSLATE(A24236, ""en"", ""mt"")"),"Hangzhou")</f>
        <v>Hangzhou</v>
      </c>
    </row>
    <row r="24237" ht="15.75" customHeight="1">
      <c r="A24237" s="2" t="s">
        <v>24237</v>
      </c>
      <c r="B24237" s="2" t="str">
        <f>IFERROR(__xludf.DUMMYFUNCTION("GOOGLETRANSLATE(A24237, ""en"", ""mt"")"),"Liema skultur Brittaniku u membru ewlieni tal-moviment tal-iskultura l-ġdida huwa rrappreżentat fil-kollezzjoni V &amp; A?")</f>
        <v>Liema skultur Brittaniku u membru ewlieni tal-moviment tal-iskultura l-ġdida huwa rrappreżentat fil-kollezzjoni V &amp; A?</v>
      </c>
    </row>
    <row r="24238" ht="15.75" customHeight="1">
      <c r="A24238" s="2" t="s">
        <v>24238</v>
      </c>
      <c r="B24238" s="2" t="str">
        <f>IFERROR(__xludf.DUMMYFUNCTION("GOOGLETRANSLATE(A24238, ""en"", ""mt"")"),"Fundamentalist Iżlamiku jew Neofundamentalist")</f>
        <v>Fundamentalist Iżlamiku jew Neofundamentalist</v>
      </c>
    </row>
    <row r="24239" ht="15.75" customHeight="1">
      <c r="A24239" s="2" t="s">
        <v>24239</v>
      </c>
      <c r="B24239" s="2" t="str">
        <f>IFERROR(__xludf.DUMMYFUNCTION("GOOGLETRANSLATE(A24239, ""en"", ""mt"")"),"NP-Intermedjat")</f>
        <v>NP-Intermedjat</v>
      </c>
    </row>
    <row r="24240" ht="15.75" customHeight="1">
      <c r="A24240" s="2" t="s">
        <v>24240</v>
      </c>
      <c r="B24240" s="2" t="str">
        <f>IFERROR(__xludf.DUMMYFUNCTION("GOOGLETRANSLATE(A24240, ""en"", ""mt"")"),"X'tip ta 'kamera kienet użata biex tirreġistra l-inżul tal-qamar?")</f>
        <v>X'tip ta 'kamera kienet użata biex tirreġistra l-inżul tal-qamar?</v>
      </c>
    </row>
    <row r="24241" ht="15.75" customHeight="1">
      <c r="A24241" s="2" t="s">
        <v>24241</v>
      </c>
      <c r="B24241" s="2" t="str">
        <f>IFERROR(__xludf.DUMMYFUNCTION("GOOGLETRANSLATE(A24241, ""en"", ""mt"")"),"ctenes")</f>
        <v>ctenes</v>
      </c>
    </row>
    <row r="24242" ht="15.75" customHeight="1">
      <c r="A24242" s="2" t="s">
        <v>24242</v>
      </c>
      <c r="B24242" s="2" t="str">
        <f>IFERROR(__xludf.DUMMYFUNCTION("GOOGLETRANSLATE(A24242, ""en"", ""mt"")"),"Kemm instabu l-fossili fiċ-Ċina?")</f>
        <v>Kemm instabu l-fossili fiċ-Ċina?</v>
      </c>
    </row>
    <row r="24243" ht="15.75" customHeight="1">
      <c r="A24243" s="2" t="s">
        <v>24243</v>
      </c>
      <c r="B24243" s="2" t="str">
        <f>IFERROR(__xludf.DUMMYFUNCTION("GOOGLETRANSLATE(A24243, ""en"", ""mt"")"),"Dillon, aqra &amp; ko")</f>
        <v>Dillon, aqra &amp; ko</v>
      </c>
    </row>
    <row r="24244" ht="15.75" customHeight="1">
      <c r="A24244" s="2" t="s">
        <v>24244</v>
      </c>
      <c r="B24244" s="2" t="str">
        <f>IFERROR(__xludf.DUMMYFUNCTION("GOOGLETRANSLATE(A24244, ""en"", ""mt"")"),"Mill-1970")</f>
        <v>Mill-1970</v>
      </c>
    </row>
    <row r="24245" ht="15.75" customHeight="1">
      <c r="A24245" s="2" t="s">
        <v>24245</v>
      </c>
      <c r="B24245" s="2" t="str">
        <f>IFERROR(__xludf.DUMMYFUNCTION("GOOGLETRANSLATE(A24245, ""en"", ""mt"")"),"irġiel")</f>
        <v>irġiel</v>
      </c>
    </row>
    <row r="24246" ht="15.75" customHeight="1">
      <c r="A24246" s="2" t="s">
        <v>24246</v>
      </c>
      <c r="B24246" s="2" t="str">
        <f>IFERROR(__xludf.DUMMYFUNCTION("GOOGLETRANSLATE(A24246, ""en"", ""mt"")"),"Djalogu Nazzjonali tal-Kenja u Rikonċiljazzjoni")</f>
        <v>Djalogu Nazzjonali tal-Kenja u Rikonċiljazzjoni</v>
      </c>
    </row>
    <row r="24247" ht="15.75" customHeight="1">
      <c r="A24247" s="2" t="s">
        <v>24247</v>
      </c>
      <c r="B24247" s="2" t="str">
        <f>IFERROR(__xludf.DUMMYFUNCTION("GOOGLETRANSLATE(A24247, ""en"", ""mt"")"),"Harvard ġie ffurmat fl-1636 bil-vot tal-Qorti l-Kbira u Ġenerali tal-Kolonja tal-Bajja ta 'Massachusetts. Fil-bidu kien imsejjaħ ""New College"" jew ""The College fi New Towne"". Fl-1638, il-kulleġġ sar id-dar għall-ewwel stampa tal-istampar magħrufa tal-"&amp;"Amerika ta ’Fuq, imwettqa mill-vapur John of London. Fl-1639, il-kulleġġ ġie msejjaħ Harvard College wara l-kleru mejjet John Harvard, li kien student tal-Università ta ’Cambridge. Huwa kien ħalla l-iskola £ 779 u l-librerija tiegħu ta 'madwar 400 kotba. "&amp;"Il-charter li joħloq il-Korporazzjoni ta ’Harvard ingħata fl-1650.")</f>
        <v>Harvard ġie ffurmat fl-1636 bil-vot tal-Qorti l-Kbira u Ġenerali tal-Kolonja tal-Bajja ta 'Massachusetts. Fil-bidu kien imsejjaħ "New College" jew "The College fi New Towne". Fl-1638, il-kulleġġ sar id-dar għall-ewwel stampa tal-istampar magħrufa tal-Amerika ta ’Fuq, imwettqa mill-vapur John of London. Fl-1639, il-kulleġġ ġie msejjaħ Harvard College wara l-kleru mejjet John Harvard, li kien student tal-Università ta ’Cambridge. Huwa kien ħalla l-iskola £ 779 u l-librerija tiegħu ta 'madwar 400 kotba. Il-charter li joħloq il-Korporazzjoni ta ’Harvard ingħata fl-1650.</v>
      </c>
    </row>
    <row r="24248" ht="15.75" customHeight="1">
      <c r="A24248" s="2" t="s">
        <v>24248</v>
      </c>
      <c r="B24248" s="2" t="str">
        <f>IFERROR(__xludf.DUMMYFUNCTION("GOOGLETRANSLATE(A24248, ""en"", ""mt"")"),"Fin-Nofsinhar")</f>
        <v>Fin-Nofsinhar</v>
      </c>
    </row>
    <row r="24249" ht="15.75" customHeight="1">
      <c r="A24249" s="2" t="s">
        <v>24249</v>
      </c>
      <c r="B24249" s="2" t="str">
        <f>IFERROR(__xludf.DUMMYFUNCTION("GOOGLETRANSLATE(A24249, ""en"", ""mt"")"),"L-iktar metodu bażiku biex tiġi ċċekkjata l-primalità ta 'numru sħiħ partikolari huwa msejjaħ diviżjoni ta' prova. Din ir-rutina tikkonsisti f'diviżjoni N minn kull numru sħiħ li huwa akbar minn 1 u inqas minn jew daqs l-għerq kwadru ta 'n. Jekk ir-riżult"&amp;"at ta 'xi waħda minn dawn id-diviżjonijiet huwa numru sħiħ, allura N mhuwiex prim, inkella huwa prim. Tassew, jekk huwa kompost (b'A u B ≠ 1) allura wieħed mill-fatturi A jew B huwa neċessarjament fil-biċċa l-kbira. Pereżempju, għal, id-diviżjonijiet tal-"&amp;"prova huma minn M = 2, 3, 4, 5, u 6. L-ebda wieħed minn dawn in-numri ma jaqsam 37, u għalhekk 37 huwa prim. Din ir-rutina tista 'tiġi implimentata b'mod aktar effiċjenti jekk tkun magħrufa lista kompluta ta' primes - allura d-diviżjonijiet ta 'prova jeħt"&amp;"ieġ li jiġu kkontrollati biss għal dawk m li huma ewlenin. Pereżempju, biex tivverifika l-primalità ta '37, huma meħtieġa tliet diviżjonijiet biss (M = 2, 3, u 5), minħabba li 4 u 6 huma komposti.")</f>
        <v>L-iktar metodu bażiku biex tiġi ċċekkjata l-primalità ta 'numru sħiħ partikolari huwa msejjaħ diviżjoni ta' prova. Din ir-rutina tikkonsisti f'diviżjoni N minn kull numru sħiħ li huwa akbar minn 1 u inqas minn jew daqs l-għerq kwadru ta 'n. Jekk ir-riżultat ta 'xi waħda minn dawn id-diviżjonijiet huwa numru sħiħ, allura N mhuwiex prim, inkella huwa prim. Tassew, jekk huwa kompost (b'A u B ≠ 1) allura wieħed mill-fatturi A jew B huwa neċessarjament fil-biċċa l-kbira. Pereżempju, għal, id-diviżjonijiet tal-prova huma minn M = 2, 3, 4, 5, u 6. L-ebda wieħed minn dawn in-numri ma jaqsam 37, u għalhekk 37 huwa prim. Din ir-rutina tista 'tiġi implimentata b'mod aktar effiċjenti jekk tkun magħrufa lista kompluta ta' primes - allura d-diviżjonijiet ta 'prova jeħtieġ li jiġu kkontrollati biss għal dawk m li huma ewlenin. Pereżempju, biex tivverifika l-primalità ta '37, huma meħtieġa tliet diviżjonijiet biss (M = 2, 3, u 5), minħabba li 4 u 6 huma komposti.</v>
      </c>
    </row>
    <row r="24250" ht="15.75" customHeight="1">
      <c r="A24250" s="2" t="s">
        <v>24250</v>
      </c>
      <c r="B24250" s="2" t="str">
        <f>IFERROR(__xludf.DUMMYFUNCTION("GOOGLETRANSLATE(A24250, ""en"", ""mt"")"),"1024-bit")</f>
        <v>1024-bit</v>
      </c>
    </row>
    <row r="24251" ht="15.75" customHeight="1">
      <c r="A24251" s="2" t="s">
        <v>24251</v>
      </c>
      <c r="B24251" s="2" t="str">
        <f>IFERROR(__xludf.DUMMYFUNCTION("GOOGLETRANSLATE(A24251, ""en"", ""mt"")"),"Liema rebħa fl-isforzi mfixkla tal-vapuri tas-serħan Franċiżi.")</f>
        <v>Liema rebħa fl-isforzi mfixkla tal-vapuri tas-serħan Franċiżi.</v>
      </c>
    </row>
    <row r="24252" ht="15.75" customHeight="1">
      <c r="A24252" s="2" t="s">
        <v>24252</v>
      </c>
      <c r="B24252" s="2" t="str">
        <f>IFERROR(__xludf.DUMMYFUNCTION("GOOGLETRANSLATE(A24252, ""en"", ""mt"")"),"Xi jassorbi l-klorofilla?")</f>
        <v>Xi jassorbi l-klorofilla?</v>
      </c>
    </row>
    <row r="24253" ht="15.75" customHeight="1">
      <c r="A24253" s="2" t="s">
        <v>24253</v>
      </c>
      <c r="B24253" s="2" t="str">
        <f>IFERROR(__xludf.DUMMYFUNCTION("GOOGLETRANSLATE(A24253, ""en"", ""mt"")"),"Qgħad")</f>
        <v>Qgħad</v>
      </c>
    </row>
    <row r="24254" ht="15.75" customHeight="1">
      <c r="A24254" s="2" t="s">
        <v>24254</v>
      </c>
      <c r="B24254" s="2" t="str">
        <f>IFERROR(__xludf.DUMMYFUNCTION("GOOGLETRANSLATE(A24254, ""en"", ""mt"")"),"temperatura")</f>
        <v>temperatura</v>
      </c>
    </row>
    <row r="24255" ht="15.75" customHeight="1">
      <c r="A24255" s="2" t="s">
        <v>24255</v>
      </c>
      <c r="B24255" s="2" t="str">
        <f>IFERROR(__xludf.DUMMYFUNCTION("GOOGLETRANSLATE(A24255, ""en"", ""mt"")"),"Peress li l-forzi huma meqjusa bħala push jew ġibdiet, dan jista 'jipprovdi fehim intuwittiv għad-deskrizzjoni tal-forzi. Bħal fil-każ ta 'kunċetti fiżiċi oħra (e.g. temperatura), il-fehim intuwittiv tal-forzi huwa kwantifikat bl-użu ta' definizzjonijiet "&amp;"operattivi preċiżi li huma konsistenti ma 'osservazzjonijiet diretti u mqabbla ma' skala ta 'kejl standard. Permezz ta 'esperimentazzjoni, huwa ddeterminat li l-kejl tal-laboratorju tal-forzi huwa kompletament konsistenti mad-definizzjoni kunċettwali ta' "&amp;"forza offruta mill-mekkanika Newtonjana.")</f>
        <v>Peress li l-forzi huma meqjusa bħala push jew ġibdiet, dan jista 'jipprovdi fehim intuwittiv għad-deskrizzjoni tal-forzi. Bħal fil-każ ta 'kunċetti fiżiċi oħra (e.g. temperatura), il-fehim intuwittiv tal-forzi huwa kwantifikat bl-użu ta' definizzjonijiet operattivi preċiżi li huma konsistenti ma 'osservazzjonijiet diretti u mqabbla ma' skala ta 'kejl standard. Permezz ta 'esperimentazzjoni, huwa ddeterminat li l-kejl tal-laboratorju tal-forzi huwa kompletament konsistenti mad-definizzjoni kunċettwali ta' forza offruta mill-mekkanika Newtonjana.</v>
      </c>
    </row>
    <row r="24256" ht="15.75" customHeight="1">
      <c r="A24256" s="2" t="s">
        <v>24256</v>
      </c>
      <c r="B24256" s="2" t="str">
        <f>IFERROR(__xludf.DUMMYFUNCTION("GOOGLETRANSLATE(A24256, ""en"", ""mt"")"),"Min talab lil Luther biex jgħallem it-teoloġija fl-Università ta 'Wittenberg?")</f>
        <v>Min talab lil Luther biex jgħallem it-teoloġija fl-Università ta 'Wittenberg?</v>
      </c>
    </row>
    <row r="24257" ht="15.75" customHeight="1">
      <c r="A24257" s="2" t="s">
        <v>24257</v>
      </c>
      <c r="B24257" s="2" t="str">
        <f>IFERROR(__xludf.DUMMYFUNCTION("GOOGLETRANSLATE(A24257, ""en"", ""mt"")"),"il-valur tal-kannamieli tal-gżejjer tal-Karibew biex ikun ikbar u aktar faċli biex jiddefendi mill-pil mill-kontinent")</f>
        <v>il-valur tal-kannamieli tal-gżejjer tal-Karibew biex ikun ikbar u aktar faċli biex jiddefendi mill-pil mill-kontinent</v>
      </c>
    </row>
    <row r="24258" ht="15.75" customHeight="1">
      <c r="A24258" s="2" t="s">
        <v>24258</v>
      </c>
      <c r="B24258" s="2" t="str">
        <f>IFERROR(__xludf.DUMMYFUNCTION("GOOGLETRANSLATE(A24258, ""en"", ""mt"")"),"Liema jegħleb politiku għandu l-Istitut Cato?")</f>
        <v>Liema jegħleb politiku għandu l-Istitut Cato?</v>
      </c>
    </row>
    <row r="24259" ht="15.75" customHeight="1">
      <c r="A24259" s="2" t="s">
        <v>24259</v>
      </c>
      <c r="B24259" s="2" t="str">
        <f>IFERROR(__xludf.DUMMYFUNCTION("GOOGLETRANSLATE(A24259, ""en"", ""mt"")"),"Il-kelma farmaċija hija derivata mill-kelma root tagħha pharma li kienet terminu użat mis-sekli 15-17-il sena. Madankollu, l-għeruq Griegi oriġinali minn Pharmakos jimplikaw sorċerija jew saħansitra velenu. Minbarra r-responsabbiltajiet tal-farmaċewtika, "&amp;"il-farmaċewk offra pariri mediċi ġenerali u firxa ta 'servizzi li issa huma mwettqa biss minn prattikanti speċjalizzati oħra, bħal kirurġija u qabla. Il-farmaċewtiċi (kif kien imsemmi) spiss jitħaddmu permezz ta 'ħanut bl-imnut li, minbarra ingredjenti għ"&amp;"all-mediċini, biegħ tabakk u mediċini għall-privattivi. Ħafna drabi l-post li għamel dan kien imsejjaħ apotekarju u diversi lingwi għandhom dan bħala t-terminu dominanti, għalkemm il-prattiki tagħhom huma aktar simili għal spiżerija moderna, bl-Ingliż it-"&amp;"terminu apothecary illum jitqies bħala skadut jew japrodu biss jekk ir-rimedji tal-ħxejjex kienu Offerta fil-biċċa l-kbira. Il-Pharmas użaw ukoll ħafna ħwawar oħra mhux elenkati. Il-kelma Griega Pharmakeia (Griega: φαρμακεία) toħroġ minn farmakon (φάρμακο"&amp;"ν), li tfisser ""mediċina"", ""mediċina"" (jew ""velenu""). [N 1]")</f>
        <v>Il-kelma farmaċija hija derivata mill-kelma root tagħha pharma li kienet terminu użat mis-sekli 15-17-il sena. Madankollu, l-għeruq Griegi oriġinali minn Pharmakos jimplikaw sorċerija jew saħansitra velenu. Minbarra r-responsabbiltajiet tal-farmaċewtika, il-farmaċewk offra pariri mediċi ġenerali u firxa ta 'servizzi li issa huma mwettqa biss minn prattikanti speċjalizzati oħra, bħal kirurġija u qabla. Il-farmaċewtiċi (kif kien imsemmi) spiss jitħaddmu permezz ta 'ħanut bl-imnut li, minbarra ingredjenti għall-mediċini, biegħ tabakk u mediċini għall-privattivi. Ħafna drabi l-post li għamel dan kien imsejjaħ apotekarju u diversi lingwi għandhom dan bħala t-terminu dominanti, għalkemm il-prattiki tagħhom huma aktar simili għal spiżerija moderna, bl-Ingliż it-terminu apothecary illum jitqies bħala skadut jew japrodu biss jekk ir-rimedji tal-ħxejjex kienu Offerta fil-biċċa l-kbira. Il-Pharmas użaw ukoll ħafna ħwawar oħra mhux elenkati. Il-kelma Griega Pharmakeia (Griega: φαρμακεία) toħroġ minn farmakon (φάρμακον), li tfisser "mediċina", "mediċina" (jew "velenu"). [N 1]</v>
      </c>
    </row>
    <row r="24260" ht="15.75" customHeight="1">
      <c r="A24260" s="2" t="s">
        <v>24260</v>
      </c>
      <c r="B24260" s="2" t="str">
        <f>IFERROR(__xludf.DUMMYFUNCTION("GOOGLETRANSLATE(A24260, ""en"", ""mt"")"),"Il-familji ta ’l-aħwa jkomplu fil-minjieri tar-ram ta’ missierhom Hans Luther")</f>
        <v>Il-familji ta ’l-aħwa jkomplu fil-minjieri tar-ram ta’ missierhom Hans Luther</v>
      </c>
    </row>
    <row r="24261" ht="15.75" customHeight="1">
      <c r="A24261" s="2" t="s">
        <v>24261</v>
      </c>
      <c r="B24261" s="2" t="str">
        <f>IFERROR(__xludf.DUMMYFUNCTION("GOOGLETRANSLATE(A24261, ""en"", ""mt"")"),"Il-biċċa l-kbira tal-ispeċi huma ermafroditi - annimal wieħed jista 'jipproduċi kemm bajd kif ukoll sperma, li jfisser li jista' fertilize l-bajd tiegħu stess, u m'għandux bżonn sieħeb. Uħud huma ermafroditi simultanji, li jistgħu jipproduċu kemm bajd kif"&amp;" ukoll sperma fl-istess ħin. Oħrajn huma ermafroditi sekwenzjali, li fihom il-bajd u l-isperma jimmaturaw fi żminijiet differenti. Il-fertilizzazzjoni hija ġeneralment esterna, għalkemm il-bajd tal-platyctenids huma fertilizzati ġewwa ġisimhom u jinżammu "&amp;"hemm sakemm ifaqqsu. Iż-żgħażagħ ġeneralment huma planktoniċi u fil-biċċa l-kbira tal-ispeċi jidhru bħal ċidippidi żgħar, li jinbidlu gradwalment fil-forom adulti tagħhom hekk kif jikbru. L-eċċezzjonijiet huma l-Beroids, li ż-żgħażagħ tagħhom huma beroids"&amp;" minjatura b'ħalq kbir u mingħajr tentakli, u l-platyctenids, li ż-żgħażagħ tagħhom jgħixu bħala plankton bħal Cydippid sakemm jilħqu d-daqs kważi adult, iżda mbagħad jegħrqu sal-qiegħ u malajr metamorfose fl-adult forma. F’mill-inqas xi speċi, il-minoren"&amp;"ni huma kapaċi jirriproduċu qabel ma jilħqu d-daqs u l-għamla tal-adulti. Il-kombinazzjoni ta 'ermafroditiżmu u riproduzzjoni bikrija tippermetti lill-popolazzjonijiet żgħar jikbru b'rata splussiva.")</f>
        <v>Il-biċċa l-kbira tal-ispeċi huma ermafroditi - annimal wieħed jista 'jipproduċi kemm bajd kif ukoll sperma, li jfisser li jista' fertilize l-bajd tiegħu stess, u m'għandux bżonn sieħeb. Uħud huma ermafroditi simultanji, li jistgħu jipproduċu kemm bajd kif ukoll sperma fl-istess ħin. Oħrajn huma ermafroditi sekwenzjali, li fihom il-bajd u l-isperma jimmaturaw fi żminijiet differenti. Il-fertilizzazzjoni hija ġeneralment esterna, għalkemm il-bajd tal-platyctenids huma fertilizzati ġewwa ġisimhom u jinżammu hemm sakemm ifaqqsu. Iż-żgħażagħ ġeneralment huma planktoniċi u fil-biċċa l-kbira tal-ispeċi jidhru bħal ċidippidi żgħar, li jinbidlu gradwalment fil-forom adulti tagħhom hekk kif jikbru. L-eċċezzjonijiet huma l-Beroids, li ż-żgħażagħ tagħhom huma beroids minjatura b'ħalq kbir u mingħajr tentakli, u l-platyctenids, li ż-żgħażagħ tagħhom jgħixu bħala plankton bħal Cydippid sakemm jilħqu d-daqs kważi adult, iżda mbagħad jegħrqu sal-qiegħ u malajr metamorfose fl-adult forma. F’mill-inqas xi speċi, il-minorenni huma kapaċi jirriproduċu qabel ma jilħqu d-daqs u l-għamla tal-adulti. Il-kombinazzjoni ta 'ermafroditiżmu u riproduzzjoni bikrija tippermetti lill-popolazzjonijiet żgħar jikbru b'rata splussiva.</v>
      </c>
    </row>
    <row r="24262" ht="15.75" customHeight="1">
      <c r="A24262" s="2" t="s">
        <v>24262</v>
      </c>
      <c r="B24262" s="2" t="str">
        <f>IFERROR(__xludf.DUMMYFUNCTION("GOOGLETRANSLATE(A24262, ""en"", ""mt"")"),"Fl-1516, Johann Tetzel, patri Dumnikana u kummissarju papali għall-indulġenzi, intbagħtet lill-Ġermanja mill-Knisja Kattolika Rumana biex tbiegħ indulġenzi biex tiġbor flus biex terġa 'tinbena l-Bażilika ta' San Pietru f'Ruma. Teoloġija Kattolika Rumana d"&amp;"dikjarat li l-fidi waħedha, kemm jekk fiduċjarja jew dogmatika, ma tistax tiġġustifika lill-bniedem; Il-ġustifikazzjoni pjuttost tiddependi biss fuq fidi li hija attiva fil-karità u xogħlijiet tajbin (Fides Caritate Formata). Il-benefiċċji ta 'xogħlijiet "&amp;"tajbin jistgħu jinkisbu billi d-donazzjoni ta' flus lill-knisja.")</f>
        <v>Fl-1516, Johann Tetzel, patri Dumnikana u kummissarju papali għall-indulġenzi, intbagħtet lill-Ġermanja mill-Knisja Kattolika Rumana biex tbiegħ indulġenzi biex tiġbor flus biex terġa 'tinbena l-Bażilika ta' San Pietru f'Ruma. Teoloġija Kattolika Rumana ddikjarat li l-fidi waħedha, kemm jekk fiduċjarja jew dogmatika, ma tistax tiġġustifika lill-bniedem; Il-ġustifikazzjoni pjuttost tiddependi biss fuq fidi li hija attiva fil-karità u xogħlijiet tajbin (Fides Caritate Formata). Il-benefiċċji ta 'xogħlijiet tajbin jistgħu jinkisbu billi d-donazzjoni ta' flus lill-knisja.</v>
      </c>
    </row>
    <row r="24263" ht="15.75" customHeight="1">
      <c r="A24263" s="2" t="s">
        <v>24263</v>
      </c>
      <c r="B24263" s="2" t="str">
        <f>IFERROR(__xludf.DUMMYFUNCTION("GOOGLETRANSLATE(A24263, ""en"", ""mt"")"),"limfokini")</f>
        <v>limfokini</v>
      </c>
    </row>
    <row r="24264" ht="15.75" customHeight="1">
      <c r="A24264" s="2" t="s">
        <v>24264</v>
      </c>
      <c r="B24264" s="2" t="str">
        <f>IFERROR(__xludf.DUMMYFUNCTION("GOOGLETRANSLATE(A24264, ""en"", ""mt"")"),"Kristu")</f>
        <v>Kristu</v>
      </c>
    </row>
    <row r="24265" ht="15.75" customHeight="1">
      <c r="A24265" s="2" t="s">
        <v>24265</v>
      </c>
      <c r="B24265" s="2" t="str">
        <f>IFERROR(__xludf.DUMMYFUNCTION("GOOGLETRANSLATE(A24265, ""en"", ""mt"")"),"Meta Huguenots ikkolonizza fl-Amerika ta 'Fuq?")</f>
        <v>Meta Huguenots ikkolonizza fl-Amerika ta 'Fuq?</v>
      </c>
    </row>
    <row r="24266" ht="15.75" customHeight="1">
      <c r="A24266" s="2" t="s">
        <v>24266</v>
      </c>
      <c r="B24266" s="2" t="str">
        <f>IFERROR(__xludf.DUMMYFUNCTION("GOOGLETRANSLATE(A24266, ""en"", ""mt"")"),"Meta ġie ppubblikat studju li jikkonferma l-projezzjonijiet tal-IPCC tal-2001?")</f>
        <v>Meta ġie ppubblikat studju li jikkonferma l-projezzjonijiet tal-IPCC tal-2001?</v>
      </c>
    </row>
    <row r="24267" ht="15.75" customHeight="1">
      <c r="A24267" s="2" t="s">
        <v>24267</v>
      </c>
      <c r="B24267" s="2" t="str">
        <f>IFERROR(__xludf.DUMMYFUNCTION("GOOGLETRANSLATE(A24267, ""en"", ""mt"")"),"Madwar 61.1% tal-Vittorjani jiddeskrivu lilhom infushom bħala Kristjani. Kattoliċi Rumani jiffurmaw l-akbar grupp reliġjuż uniku fl-istat b’26,7% tal-popolazzjoni Vittorjana, segwita minn Anglikani u membri tal-knisja li tgħaqqad. Il-Buddiżmu huwa l-akbar"&amp;" reliġjon mhux Kristjana tal-istat, b'168,637 membru bħala l-iktar ċensiment riċenti. Victoria hija wkoll dar ta ’152,775 Musulmani u 45,150 Lhud. L-Induiżmu huwa r-reliġjon li qed tikber bl-iktar mod mgħaġġel. Madwar 20% tal-Vittorjani ma jitolbu l-ebda "&amp;"reliġjon. Fost dawk li jiddikjaraw affiljazzjoni reliġjuża, l-attendenza tal-knisja hija baxxa.")</f>
        <v>Madwar 61.1% tal-Vittorjani jiddeskrivu lilhom infushom bħala Kristjani. Kattoliċi Rumani jiffurmaw l-akbar grupp reliġjuż uniku fl-istat b’26,7% tal-popolazzjoni Vittorjana, segwita minn Anglikani u membri tal-knisja li tgħaqqad. Il-Buddiżmu huwa l-akbar reliġjon mhux Kristjana tal-istat, b'168,637 membru bħala l-iktar ċensiment riċenti. Victoria hija wkoll dar ta ’152,775 Musulmani u 45,150 Lhud. L-Induiżmu huwa r-reliġjon li qed tikber bl-iktar mod mgħaġġel. Madwar 20% tal-Vittorjani ma jitolbu l-ebda reliġjon. Fost dawk li jiddikjaraw affiljazzjoni reliġjuża, l-attendenza tal-knisja hija baxxa.</v>
      </c>
    </row>
    <row r="24268" ht="15.75" customHeight="1">
      <c r="A24268" s="2" t="s">
        <v>24268</v>
      </c>
      <c r="B24268" s="2" t="str">
        <f>IFERROR(__xludf.DUMMYFUNCTION("GOOGLETRANSLATE(A24268, ""en"", ""mt"")"),"L-Università tat-Teknoloġija ta 'Varsavja")</f>
        <v>L-Università tat-Teknoloġija ta 'Varsavja</v>
      </c>
    </row>
    <row r="24269" ht="15.75" customHeight="1">
      <c r="A24269" s="2" t="s">
        <v>24269</v>
      </c>
      <c r="B24269" s="2" t="str">
        <f>IFERROR(__xludf.DUMMYFUNCTION("GOOGLETRANSLATE(A24269, ""en"", ""mt"")"),"edukazzjoni")</f>
        <v>edukazzjoni</v>
      </c>
    </row>
    <row r="24270" ht="15.75" customHeight="1">
      <c r="A24270" s="2" t="s">
        <v>24270</v>
      </c>
      <c r="B24270" s="2" t="str">
        <f>IFERROR(__xludf.DUMMYFUNCTION("GOOGLETRANSLATE(A24270, ""en"", ""mt"")"),"Iffurmat fl-1946, l-Ajruport tas-Sierra Sky Park hija komunità ta 'ajruport residenzjali mwielda minn ftehim uniku fil-liġi tat-trasport biex tippermetti inġenji tal-ajru u karozzi personali jaqsmu ċerti toroq. Sierra Sky Park kienet l-ewwel komunità tal-"&amp;"avjazzjoni li nbniet [ċitazzjoni meħtieġa] u issa hemm bosta komunitajiet bħal dawn madwar l-Istati Uniti u madwar id-dinja. L-iżviluppatur William Smilie ħoloq l-ewwel komunità ppjanata tal-avjazzjoni tan-nazzjon. Għadha qed topera llum, l-ajruport tal-u"&amp;"żu pubbliku jipprovdi viċinat uniku li ġab l-interess u komunitajiet simili fil-pajjiż kollu.")</f>
        <v>Iffurmat fl-1946, l-Ajruport tas-Sierra Sky Park hija komunità ta 'ajruport residenzjali mwielda minn ftehim uniku fil-liġi tat-trasport biex tippermetti inġenji tal-ajru u karozzi personali jaqsmu ċerti toroq. Sierra Sky Park kienet l-ewwel komunità tal-avjazzjoni li nbniet [ċitazzjoni meħtieġa] u issa hemm bosta komunitajiet bħal dawn madwar l-Istati Uniti u madwar id-dinja. L-iżviluppatur William Smilie ħoloq l-ewwel komunità ppjanata tal-avjazzjoni tan-nazzjon. Għadha qed topera llum, l-ajruport tal-użu pubbliku jipprovdi viċinat uniku li ġab l-interess u komunitajiet simili fil-pajjiż kollu.</v>
      </c>
    </row>
    <row r="24271" ht="15.75" customHeight="1">
      <c r="A24271" s="2" t="s">
        <v>24271</v>
      </c>
      <c r="B24271" s="2" t="str">
        <f>IFERROR(__xludf.DUMMYFUNCTION("GOOGLETRANSLATE(A24271, ""en"", ""mt"")"),"li huma metodiċi u dettaljati eċċezzjonalment fl-istudju tal-Bibbja tagħhom, opinjonijiet u stil ta 'ħajja dixxiplinat.")</f>
        <v>li huma metodiċi u dettaljati eċċezzjonalment fl-istudju tal-Bibbja tagħhom, opinjonijiet u stil ta 'ħajja dixxiplinat.</v>
      </c>
    </row>
    <row r="24272" ht="15.75" customHeight="1">
      <c r="A24272" s="2" t="s">
        <v>24272</v>
      </c>
      <c r="B24272" s="2" t="str">
        <f>IFERROR(__xludf.DUMMYFUNCTION("GOOGLETRANSLATE(A24272, ""en"", ""mt"")"),"Maria Goeppert-Mayer")</f>
        <v>Maria Goeppert-Mayer</v>
      </c>
    </row>
    <row r="24273" ht="15.75" customHeight="1">
      <c r="A24273" s="2" t="s">
        <v>24273</v>
      </c>
      <c r="B24273" s="2" t="str">
        <f>IFERROR(__xludf.DUMMYFUNCTION("GOOGLETRANSLATE(A24273, ""en"", ""mt"")"),"Telfa ta 'Napuljun")</f>
        <v>Telfa ta 'Napuljun</v>
      </c>
    </row>
    <row r="24274" ht="15.75" customHeight="1">
      <c r="A24274" s="2" t="s">
        <v>24274</v>
      </c>
      <c r="B24274" s="2" t="str">
        <f>IFERROR(__xludf.DUMMYFUNCTION("GOOGLETRANSLATE(A24274, ""en"", ""mt"")"),"Żball tipografiku")</f>
        <v>Żball tipografiku</v>
      </c>
    </row>
    <row r="24275" ht="15.75" customHeight="1">
      <c r="A24275" s="2" t="s">
        <v>24275</v>
      </c>
      <c r="B24275" s="2" t="str">
        <f>IFERROR(__xludf.DUMMYFUNCTION("GOOGLETRANSLATE(A24275, ""en"", ""mt"")"),"It-Tieni Liġi tat-Termodinamiċità")</f>
        <v>It-Tieni Liġi tat-Termodinamiċità</v>
      </c>
    </row>
    <row r="24276" ht="15.75" customHeight="1">
      <c r="A24276" s="2" t="s">
        <v>24276</v>
      </c>
      <c r="B24276" s="2" t="str">
        <f>IFERROR(__xludf.DUMMYFUNCTION("GOOGLETRANSLATE(A24276, ""en"", ""mt"")"),"gass ​​serra")</f>
        <v>gass ​​serra</v>
      </c>
    </row>
    <row r="24277" ht="15.75" customHeight="1">
      <c r="A24277" s="2" t="s">
        <v>24277</v>
      </c>
      <c r="B24277" s="2" t="str">
        <f>IFERROR(__xludf.DUMMYFUNCTION("GOOGLETRANSLATE(A24277, ""en"", ""mt"")"),"biex jipproteġu l-artijiet tribali tagħhom minn interessi kummerċjali")</f>
        <v>biex jipproteġu l-artijiet tribali tagħhom minn interessi kummerċjali</v>
      </c>
    </row>
    <row r="24278" ht="15.75" customHeight="1">
      <c r="A24278" s="2" t="s">
        <v>24278</v>
      </c>
      <c r="B24278" s="2" t="str">
        <f>IFERROR(__xludf.DUMMYFUNCTION("GOOGLETRANSLATE(A24278, ""en"", ""mt"")"),"antiġen minn patoġen")</f>
        <v>antiġen minn patoġen</v>
      </c>
    </row>
    <row r="24279" ht="15.75" customHeight="1">
      <c r="A24279" s="2" t="s">
        <v>24279</v>
      </c>
      <c r="B24279" s="2" t="str">
        <f>IFERROR(__xludf.DUMMYFUNCTION("GOOGLETRANSLATE(A24279, ""en"", ""mt"")"),"Dar tal-Park Brompton")</f>
        <v>Dar tal-Park Brompton</v>
      </c>
    </row>
    <row r="24280" ht="15.75" customHeight="1">
      <c r="A24280" s="2" t="s">
        <v>24280</v>
      </c>
      <c r="B24280" s="2" t="str">
        <f>IFERROR(__xludf.DUMMYFUNCTION("GOOGLETRANSLATE(A24280, ""en"", ""mt"")"),"għomor tal-ħajja")</f>
        <v>għomor tal-ħajja</v>
      </c>
    </row>
    <row r="24281" ht="15.75" customHeight="1">
      <c r="A24281" s="2" t="s">
        <v>24281</v>
      </c>
      <c r="B24281" s="2" t="str">
        <f>IFERROR(__xludf.DUMMYFUNCTION("GOOGLETRANSLATE(A24281, ""en"", ""mt"")"),"4 ta 'Ġunju, 2014")</f>
        <v>4 ta 'Ġunju, 2014</v>
      </c>
    </row>
    <row r="24282" ht="15.75" customHeight="1">
      <c r="A24282" s="2" t="s">
        <v>24282</v>
      </c>
      <c r="B24282" s="2" t="str">
        <f>IFERROR(__xludf.DUMMYFUNCTION("GOOGLETRANSLATE(A24282, ""en"", ""mt"")"),"tassazzjoni")</f>
        <v>tassazzjoni</v>
      </c>
    </row>
    <row r="24283" ht="15.75" customHeight="1">
      <c r="A24283" s="2" t="s">
        <v>24283</v>
      </c>
      <c r="B24283" s="2" t="str">
        <f>IFERROR(__xludf.DUMMYFUNCTION("GOOGLETRANSLATE(A24283, ""en"", ""mt"")"),"King Malcolm III tal-Iskozja")</f>
        <v>King Malcolm III tal-Iskozja</v>
      </c>
    </row>
    <row r="24284" ht="15.75" customHeight="1">
      <c r="A24284" s="2" t="s">
        <v>24284</v>
      </c>
      <c r="B24284" s="2" t="str">
        <f>IFERROR(__xludf.DUMMYFUNCTION("GOOGLETRANSLATE(A24284, ""en"", ""mt"")"),"Liema żewġ mexxejja tal-Mongolja żiedu l-Persja mal-Imperu Mongoljan?")</f>
        <v>Liema żewġ mexxejja tal-Mongolja żiedu l-Persja mal-Imperu Mongoljan?</v>
      </c>
    </row>
    <row r="24285" ht="15.75" customHeight="1">
      <c r="A24285" s="2" t="s">
        <v>24285</v>
      </c>
      <c r="B24285" s="2" t="str">
        <f>IFERROR(__xludf.DUMMYFUNCTION("GOOGLETRANSLATE(A24285, ""en"", ""mt"")"),"Strument tal-Politika Barranija Nazzjonali")</f>
        <v>Strument tal-Politika Barranija Nazzjonali</v>
      </c>
    </row>
    <row r="24286" ht="15.75" customHeight="1">
      <c r="A24286" s="2" t="s">
        <v>24286</v>
      </c>
      <c r="B24286" s="2" t="str">
        <f>IFERROR(__xludf.DUMMYFUNCTION("GOOGLETRANSLATE(A24286, ""en"", ""mt"")"),"Il-katekiżmu żgħir")</f>
        <v>Il-katekiżmu żgħir</v>
      </c>
    </row>
    <row r="24287" ht="15.75" customHeight="1">
      <c r="A24287" s="2" t="s">
        <v>24287</v>
      </c>
      <c r="B24287" s="2" t="str">
        <f>IFERROR(__xludf.DUMMYFUNCTION("GOOGLETRANSLATE(A24287, ""en"", ""mt"")"),"""Argument iblah"" u ""nuqqas ta 'ħruġ ... devjazzjoni.""")</f>
        <v>"Argument iblah" u "nuqqas ta 'ħruġ ... devjazzjoni."</v>
      </c>
    </row>
    <row r="24288" ht="15.75" customHeight="1">
      <c r="A24288" s="2" t="s">
        <v>24288</v>
      </c>
      <c r="B24288" s="2" t="str">
        <f>IFERROR(__xludf.DUMMYFUNCTION("GOOGLETRANSLATE(A24288, ""en"", ""mt"")"),"ctenophores u cnidarians")</f>
        <v>ctenophores u cnidarians</v>
      </c>
    </row>
    <row r="24289" ht="15.75" customHeight="1">
      <c r="A24289" s="2" t="s">
        <v>24289</v>
      </c>
      <c r="B24289" s="2" t="str">
        <f>IFERROR(__xludf.DUMMYFUNCTION("GOOGLETRANSLATE(A24289, ""en"", ""mt"")"),"X'tip ta 'ċelloli T għandhom l-iskop li jimmodulaw ir-rispons immuni?")</f>
        <v>X'tip ta 'ċelloli T għandhom l-iskop li jimmodulaw ir-rispons immuni?</v>
      </c>
    </row>
    <row r="24290" ht="15.75" customHeight="1">
      <c r="A24290" s="2" t="s">
        <v>24290</v>
      </c>
      <c r="B24290" s="2" t="str">
        <f>IFERROR(__xludf.DUMMYFUNCTION("GOOGLETRANSLATE(A24290, ""en"", ""mt"")"),"Ir-riġenerazzjoni fuq skala kbira ħadet post l-ex-bini tat-tbaħħir bl-impożizzjoni ta 'żviluppi ġodda fl-uffiċċju; Pont innovattiv ta 'inklinazzjoni, il-Pont tal-Millennju Gateshead ġie kkummissjonat mill-Kunsill ta' Gateshead u integra l-anzjani ta 'Newc"&amp;"astle Quayside aktar mill-qrib ma' żviluppi kulturali ewlenin f'Gateshead, inkluż iċ-Ċentru Baltiku għall-Arti Kontemporanja, il-post għall-Premju Turner 2011 u l-Foster Norman Iddisinjat iċ-Ċentru tal-Mużika Sage Gateshead. In-Newcastle and Gateshead Qua"&amp;"ysides issa huma żona b'saħħitha u kożmopolitana bi bars, ristoranti u spazji pubbliċi. Bħala promozzjoni turistika, Newcastle u Gateshead marbuta flimkien taħt il-banner ""Newcastlegateshead"", biex imexxu r-riġenerazzjoni tal-Grigal. Ix-Xmara Tyne kellh"&amp;"a l-Pont Bambuco temporanju fl-2008 għal għaxart ijiem; Ma kienx magħmul għall-mixi, it-triq jew iċ-ċikliżmu, iżda kien biss skultura.")</f>
        <v>Ir-riġenerazzjoni fuq skala kbira ħadet post l-ex-bini tat-tbaħħir bl-impożizzjoni ta 'żviluppi ġodda fl-uffiċċju; Pont innovattiv ta 'inklinazzjoni, il-Pont tal-Millennju Gateshead ġie kkummissjonat mill-Kunsill ta' Gateshead u integra l-anzjani ta 'Newcastle Quayside aktar mill-qrib ma' żviluppi kulturali ewlenin f'Gateshead, inkluż iċ-Ċentru Baltiku għall-Arti Kontemporanja, il-post għall-Premju Turner 2011 u l-Foster Norman Iddisinjat iċ-Ċentru tal-Mużika Sage Gateshead. In-Newcastle and Gateshead Quaysides issa huma żona b'saħħitha u kożmopolitana bi bars, ristoranti u spazji pubbliċi. Bħala promozzjoni turistika, Newcastle u Gateshead marbuta flimkien taħt il-banner "Newcastlegateshead", biex imexxu r-riġenerazzjoni tal-Grigal. Ix-Xmara Tyne kellha l-Pont Bambuco temporanju fl-2008 għal għaxart ijiem; Ma kienx magħmul għall-mixi, it-triq jew iċ-ċikliżmu, iżda kien biss skultura.</v>
      </c>
    </row>
    <row r="24291" ht="15.75" customHeight="1">
      <c r="A24291" s="2" t="s">
        <v>24291</v>
      </c>
      <c r="B24291" s="2" t="str">
        <f>IFERROR(__xludf.DUMMYFUNCTION("GOOGLETRANSLATE(A24291, ""en"", ""mt"")"),"Marzu 2011")</f>
        <v>Marzu 2011</v>
      </c>
    </row>
    <row r="24292" ht="15.75" customHeight="1">
      <c r="A24292" s="2" t="s">
        <v>24292</v>
      </c>
      <c r="B24292" s="2" t="str">
        <f>IFERROR(__xludf.DUMMYFUNCTION("GOOGLETRANSLATE(A24292, ""en"", ""mt"")"),"""Racket""")</f>
        <v>"Racket"</v>
      </c>
    </row>
    <row r="24293" ht="15.75" customHeight="1">
      <c r="A24293" s="2" t="s">
        <v>24293</v>
      </c>
      <c r="B24293" s="2" t="str">
        <f>IFERROR(__xludf.DUMMYFUNCTION("GOOGLETRANSLATE(A24293, ""en"", ""mt"")"),"Il-Huguenots kienu l-ewwel Ewropej li jgħixu f’liema borough moderna ta ’New York?")</f>
        <v>Il-Huguenots kienu l-ewwel Ewropej li jgħixu f’liema borough moderna ta ’New York?</v>
      </c>
    </row>
    <row r="24294" ht="15.75" customHeight="1">
      <c r="A24294" s="2" t="s">
        <v>24294</v>
      </c>
      <c r="B24294" s="2" t="str">
        <f>IFERROR(__xludf.DUMMYFUNCTION("GOOGLETRANSLATE(A24294, ""en"", ""mt"")"),"Kif tista 'tipprotesta kontra l-gvern b'mod individwali?")</f>
        <v>Kif tista 'tipprotesta kontra l-gvern b'mod individwali?</v>
      </c>
    </row>
    <row r="24295" ht="15.75" customHeight="1">
      <c r="A24295" s="2" t="s">
        <v>24295</v>
      </c>
      <c r="B24295" s="2" t="str">
        <f>IFERROR(__xludf.DUMMYFUNCTION("GOOGLETRANSLATE(A24295, ""en"", ""mt"")"),"dikjarazzjoni")</f>
        <v>dikjarazzjoni</v>
      </c>
    </row>
    <row r="24296" ht="15.75" customHeight="1">
      <c r="A24296" s="2" t="s">
        <v>24296</v>
      </c>
      <c r="B24296" s="2" t="str">
        <f>IFERROR(__xludf.DUMMYFUNCTION("GOOGLETRANSLATE(A24296, ""en"", ""mt"")"),"consoles elettroniċi")</f>
        <v>consoles elettroniċi</v>
      </c>
    </row>
    <row r="24297" ht="15.75" customHeight="1">
      <c r="A24297" s="2" t="s">
        <v>24297</v>
      </c>
      <c r="B24297" s="2" t="str">
        <f>IFERROR(__xludf.DUMMYFUNCTION("GOOGLETRANSLATE(A24297, ""en"", ""mt"")"),"L-isforzi biex tissaħħaħ lil Oswego ġew imrażżna f'diffikultajiet loġistiċi, aggravati mill-esperjenza ta 'Shirley")</f>
        <v>L-isforzi biex tissaħħaħ lil Oswego ġew imrażżna f'diffikultajiet loġistiċi, aggravati mill-esperjenza ta 'Shirley</v>
      </c>
    </row>
    <row r="24298" ht="15.75" customHeight="1">
      <c r="A24298" s="2" t="s">
        <v>24298</v>
      </c>
      <c r="B24298" s="2" t="str">
        <f>IFERROR(__xludf.DUMMYFUNCTION("GOOGLETRANSLATE(A24298, ""en"", ""mt"")"),"X'kien ix-xogħol ewlieni ta 'Luther ta' 60,000 kelma fuq il-Lhud?")</f>
        <v>X'kien ix-xogħol ewlieni ta 'Luther ta' 60,000 kelma fuq il-Lhud?</v>
      </c>
    </row>
    <row r="24299" ht="15.75" customHeight="1">
      <c r="A24299" s="2" t="s">
        <v>24299</v>
      </c>
      <c r="B24299" s="2" t="str">
        <f>IFERROR(__xludf.DUMMYFUNCTION("GOOGLETRANSLATE(A24299, ""en"", ""mt"")"),"Partit Konservattiv")</f>
        <v>Partit Konservattiv</v>
      </c>
    </row>
    <row r="24300" ht="15.75" customHeight="1">
      <c r="A24300" s="2" t="s">
        <v>24300</v>
      </c>
      <c r="B24300" s="2" t="str">
        <f>IFERROR(__xludf.DUMMYFUNCTION("GOOGLETRANSLATE(A24300, ""en"", ""mt"")"),"Iż-żjarat ta 'John Pawlu II f'pajjiżu fl-1979 u fl-1983 ġabu appoġġ għall-moviment ta' solidarjetà tal-bidu u ħeġġew il-ħrara anti-komunista dejjem tikber hemmhekk. Fl-1979, inqas minn sena wara li sar Papa, John Paul iċċelebra l-Quddiesa fil-Pjazza tal-V"&amp;"itorja f'Varsavja u temm il-priedka tiegħu b'sejħa biex ""iġġedded il-wiċċ"" tal-Polonja: ħalli l-ispirtu tiegħek jinżel! Ħalli l-ispirtu tiegħek jinżel u jġedded il-wiċċ tal-art! Din l-art! Dawn il-kliem kienu sinifikanti ħafna għaċ-ċittadini Pollakki li"&amp;" fehmuhom bħala l-inċentiv għall-bidliet demokratiċi.")</f>
        <v>Iż-żjarat ta 'John Pawlu II f'pajjiżu fl-1979 u fl-1983 ġabu appoġġ għall-moviment ta' solidarjetà tal-bidu u ħeġġew il-ħrara anti-komunista dejjem tikber hemmhekk. Fl-1979, inqas minn sena wara li sar Papa, John Paul iċċelebra l-Quddiesa fil-Pjazza tal-Vitorja f'Varsavja u temm il-priedka tiegħu b'sejħa biex "iġġedded il-wiċċ" tal-Polonja: ħalli l-ispirtu tiegħek jinżel! Ħalli l-ispirtu tiegħek jinżel u jġedded il-wiċċ tal-art! Din l-art! Dawn il-kliem kienu sinifikanti ħafna għaċ-ċittadini Pollakki li fehmuhom bħala l-inċentiv għall-bidliet demokratiċi.</v>
      </c>
    </row>
    <row r="24301" ht="15.75" customHeight="1">
      <c r="A24301" s="2" t="s">
        <v>24301</v>
      </c>
      <c r="B24301" s="2" t="str">
        <f>IFERROR(__xludf.DUMMYFUNCTION("GOOGLETRANSLATE(A24301, ""en"", ""mt"")"),"Għal kemm żmien Tesla rċeviet dan il-kumpens?")</f>
        <v>Għal kemm żmien Tesla rċeviet dan il-kumpens?</v>
      </c>
    </row>
    <row r="24302" ht="15.75" customHeight="1">
      <c r="A24302" s="2" t="s">
        <v>24302</v>
      </c>
      <c r="B24302" s="2" t="str">
        <f>IFERROR(__xludf.DUMMYFUNCTION("GOOGLETRANSLATE(A24302, ""en"", ""mt"")"),"L-operatur tal-ferrovija Virgin Trains East Coast jipprovdi frekwenza nofs siegħa ta 'ferroviji lil London King's Cross, b'ħin ta' vjaġġ ta 'madwar tliet sigħat, dawn is-servizzi jsejħu f'Durham, Darlington, York, Doncaster, Newark North Gate u Peterborou"&amp;"gh u North sa North sa l-Iskozja Il-ferroviji kollha li jsejħu f'Edinburgu u numru żgħir ta 'ferroviji estiżi għal Glasgow, Aberdeen u Inverness. Ferroviji tal-crosscountry iservu destinazzjonijiet fil-Yorkshire, il-Midlands u l-Lbiċ. L-ewwel Transpennine"&amp;" Express topera servizzi għal Manchester u Liverpool. Il-ferrovija tat-Tramuntana tipprovdi servizzi lokali u reġjonali.")</f>
        <v>L-operatur tal-ferrovija Virgin Trains East Coast jipprovdi frekwenza nofs siegħa ta 'ferroviji lil London King's Cross, b'ħin ta' vjaġġ ta 'madwar tliet sigħat, dawn is-servizzi jsejħu f'Durham, Darlington, York, Doncaster, Newark North Gate u Peterborough u North sa North sa l-Iskozja Il-ferroviji kollha li jsejħu f'Edinburgu u numru żgħir ta 'ferroviji estiżi għal Glasgow, Aberdeen u Inverness. Ferroviji tal-crosscountry iservu destinazzjonijiet fil-Yorkshire, il-Midlands u l-Lbiċ. L-ewwel Transpennine Express topera servizzi għal Manchester u Liverpool. Il-ferrovija tat-Tramuntana tipprovdi servizzi lokali u reġjonali.</v>
      </c>
    </row>
    <row r="24303" ht="15.75" customHeight="1">
      <c r="A24303" s="2" t="s">
        <v>24303</v>
      </c>
      <c r="B24303" s="2" t="str">
        <f>IFERROR(__xludf.DUMMYFUNCTION("GOOGLETRANSLATE(A24303, ""en"", ""mt"")"),"$ 20 biljun")</f>
        <v>$ 20 biljun</v>
      </c>
    </row>
    <row r="24304" ht="15.75" customHeight="1">
      <c r="A24304" s="2" t="s">
        <v>24304</v>
      </c>
      <c r="B24304" s="2" t="str">
        <f>IFERROR(__xludf.DUMMYFUNCTION("GOOGLETRANSLATE(A24304, ""en"", ""mt"")"),"Min esplora t-territorju ta 'Ohio fl-1750?")</f>
        <v>Min esplora t-territorju ta 'Ohio fl-1750?</v>
      </c>
    </row>
    <row r="24305" ht="15.75" customHeight="1">
      <c r="A24305" s="2" t="s">
        <v>24305</v>
      </c>
      <c r="B24305" s="2" t="str">
        <f>IFERROR(__xludf.DUMMYFUNCTION("GOOGLETRANSLATE(A24305, ""en"", ""mt"")"),"nieqsa minn tentakli")</f>
        <v>nieqsa minn tentakli</v>
      </c>
    </row>
    <row r="24306" ht="15.75" customHeight="1">
      <c r="A24306" s="2" t="s">
        <v>24306</v>
      </c>
      <c r="B24306" s="2" t="str">
        <f>IFERROR(__xludf.DUMMYFUNCTION("GOOGLETRANSLATE(A24306, ""en"", ""mt"")"),"1,435 mm")</f>
        <v>1,435 mm</v>
      </c>
    </row>
    <row r="24307" ht="15.75" customHeight="1">
      <c r="A24307" s="2" t="s">
        <v>24307</v>
      </c>
      <c r="B24307" s="2" t="str">
        <f>IFERROR(__xludf.DUMMYFUNCTION("GOOGLETRANSLATE(A24307, ""en"", ""mt"")"),"aktar minn 1,100")</f>
        <v>aktar minn 1,100</v>
      </c>
    </row>
    <row r="24308" ht="15.75" customHeight="1">
      <c r="A24308" s="2" t="s">
        <v>24308</v>
      </c>
      <c r="B24308" s="2" t="str">
        <f>IFERROR(__xludf.DUMMYFUNCTION("GOOGLETRANSLATE(A24308, ""en"", ""mt"")"),"Min lagħab it-Tabib tal-Gwerra?")</f>
        <v>Min lagħab it-Tabib tal-Gwerra?</v>
      </c>
    </row>
    <row r="24309" ht="15.75" customHeight="1">
      <c r="A24309" s="2" t="s">
        <v>24309</v>
      </c>
      <c r="B24309" s="2" t="str">
        <f>IFERROR(__xludf.DUMMYFUNCTION("GOOGLETRANSLATE(A24309, ""en"", ""mt"")"),"L-immigranti waslu mid-dinja kollha biex ifittxu d-deheb, speċjalment mill-Irlanda u ċ-Ċina. Ħafna minaturi Ċiniżi ħadmu fir-Rabat, u l-wirt tagħhom huwa partikolarment qawwi f'Bendigo u l-inħawi tiegħu. Għalkemm kien hemm xi razziżmu dirett lejhom, ma ki"&amp;"enx hemm il-livell ta 'vjolenza kontra ċ-Ċiniżi li kien jidher fl-irvellijiet ċatti tal-ħaruf fi New South Wales. Madankollu, kien hemm irvellijiet fil-Wied ta 'Buckland qrib Bright fl-1857. Il-kundizzjonijiet fuq l-għelieqi tad-deheb kienu skomdi u mhux "&amp;"sanitarji; Tfaqqigħ ta 'tifojde fil-Wied ta' Buckland fl-1854 qatel aktar minn 1,000 minatur.")</f>
        <v>L-immigranti waslu mid-dinja kollha biex ifittxu d-deheb, speċjalment mill-Irlanda u ċ-Ċina. Ħafna minaturi Ċiniżi ħadmu fir-Rabat, u l-wirt tagħhom huwa partikolarment qawwi f'Bendigo u l-inħawi tiegħu. Għalkemm kien hemm xi razziżmu dirett lejhom, ma kienx hemm il-livell ta 'vjolenza kontra ċ-Ċiniżi li kien jidher fl-irvellijiet ċatti tal-ħaruf fi New South Wales. Madankollu, kien hemm irvellijiet fil-Wied ta 'Buckland qrib Bright fl-1857. Il-kundizzjonijiet fuq l-għelieqi tad-deheb kienu skomdi u mhux sanitarji; Tfaqqigħ ta 'tifojde fil-Wied ta' Buckland fl-1854 qatel aktar minn 1,000 minatur.</v>
      </c>
    </row>
    <row r="24310" ht="15.75" customHeight="1">
      <c r="A24310" s="2" t="s">
        <v>24310</v>
      </c>
      <c r="B24310" s="2" t="str">
        <f>IFERROR(__xludf.DUMMYFUNCTION("GOOGLETRANSLATE(A24310, ""en"", ""mt"")"),"Madankollu, xi problemi tal-komputazzjoni huma aktar faċli biex jiġu analizzati f'termini ta 'riżorsi aktar mhux tas-soltu. Pereżempju, magna tat-Turing mhux deterministika hija mudell tal-komputazzjoni li huwa permess li joħroġ biex jiċċekkja ħafna possi"&amp;"bbiltajiet differenti f'daqqa. Il-magna tat-Turing mhux deterministika għandha ftit x'taqsam ma 'kif fiżikament irridu nikkalkulaw l-algoritmi, iżda l-fergħa tagħha taqbad eżattament ħafna mill-mudelli matematiċi li rridu tanalizzaw, sabiex il-ħin mhux de"&amp;"terministiku huwa riżorsa importanti ħafna fl-analiżi tal-problemi tal-komputazzjoni -")</f>
        <v>Madankollu, xi problemi tal-komputazzjoni huma aktar faċli biex jiġu analizzati f'termini ta 'riżorsi aktar mhux tas-soltu. Pereżempju, magna tat-Turing mhux deterministika hija mudell tal-komputazzjoni li huwa permess li joħroġ biex jiċċekkja ħafna possibbiltajiet differenti f'daqqa. Il-magna tat-Turing mhux deterministika għandha ftit x'taqsam ma 'kif fiżikament irridu nikkalkulaw l-algoritmi, iżda l-fergħa tagħha taqbad eżattament ħafna mill-mudelli matematiċi li rridu tanalizzaw, sabiex il-ħin mhux deterministiku huwa riżorsa importanti ħafna fl-analiżi tal-problemi tal-komputazzjoni -</v>
      </c>
    </row>
    <row r="24311" ht="15.75" customHeight="1">
      <c r="A24311" s="2" t="s">
        <v>24311</v>
      </c>
      <c r="B24311" s="2" t="str">
        <f>IFERROR(__xludf.DUMMYFUNCTION("GOOGLETRANSLATE(A24311, ""en"", ""mt"")"),"Kif irriżulta l-kampanja tal-grupp Iżlamiku biex twaqqa 'l-gvern?")</f>
        <v>Kif irriżulta l-kampanja tal-grupp Iżlamiku biex twaqqa 'l-gvern?</v>
      </c>
    </row>
    <row r="24312" ht="15.75" customHeight="1">
      <c r="A24312" s="2" t="s">
        <v>24312</v>
      </c>
      <c r="B24312" s="2" t="str">
        <f>IFERROR(__xludf.DUMMYFUNCTION("GOOGLETRANSLATE(A24312, ""en"", ""mt"")"),"l-iktar affidabbli")</f>
        <v>l-iktar affidabbli</v>
      </c>
    </row>
    <row r="24313" ht="15.75" customHeight="1">
      <c r="A24313" s="2" t="s">
        <v>24313</v>
      </c>
      <c r="B24313" s="2" t="str">
        <f>IFERROR(__xludf.DUMMYFUNCTION("GOOGLETRANSLATE(A24313, ""en"", ""mt"")"),"F'liema stat jintbagħat bl-ossiġnu bl-ingrossa?")</f>
        <v>F'liema stat jintbagħat bl-ossiġnu bl-ingrossa?</v>
      </c>
    </row>
    <row r="24314" ht="15.75" customHeight="1">
      <c r="A24314" s="2" t="s">
        <v>24314</v>
      </c>
      <c r="B24314" s="2" t="str">
        <f>IFERROR(__xludf.DUMMYFUNCTION("GOOGLETRANSLATE(A24314, ""en"", ""mt"")"),"Fejn qatta 'Luther il-karriera tiegħu?")</f>
        <v>Fejn qatta 'Luther il-karriera tiegħu?</v>
      </c>
    </row>
    <row r="24315" ht="15.75" customHeight="1">
      <c r="A24315" s="2" t="s">
        <v>24315</v>
      </c>
      <c r="B24315" s="2" t="str">
        <f>IFERROR(__xludf.DUMMYFUNCTION("GOOGLETRANSLATE(A24315, ""en"", ""mt"")"),"Stromules")</f>
        <v>Stromules</v>
      </c>
    </row>
    <row r="24316" ht="15.75" customHeight="1">
      <c r="A24316" s="2" t="s">
        <v>24316</v>
      </c>
      <c r="B24316" s="2" t="str">
        <f>IFERROR(__xludf.DUMMYFUNCTION("GOOGLETRANSLATE(A24316, ""en"", ""mt"")"),"Il-Ġermanja bdiet tibni l-imperu kolonjali tagħha stess")</f>
        <v>Il-Ġermanja bdiet tibni l-imperu kolonjali tagħha stess</v>
      </c>
    </row>
    <row r="24317" ht="15.75" customHeight="1">
      <c r="A24317" s="2" t="s">
        <v>24317</v>
      </c>
      <c r="B24317" s="2" t="str">
        <f>IFERROR(__xludf.DUMMYFUNCTION("GOOGLETRANSLATE(A24317, ""en"", ""mt"")"),"Is-snin sebgħin ġew enfasizzati minn diversi kummiedja ta 'suċċess, fantasija, azzjoni u serje b'tema ta' superhero għan-netwerk inkluż Kung Fu, is-sitt miljun dollaru raġel, Wonder Woman, Starsky &amp; Hutch, Charlie's Angels, The Bionic Woman, Fantasy Islan"&amp;"d u Battlestar Galactica. Ħafna minn dawn is-serje kienu Greenlit minn Silverman, li ħalla l-ABC fl-1978 biex isir president tad-diviżjoni tad-divertiment tal-NBC. Is-suċċess li jqajjem il-ġurnata ta 'Happy wassal ukoll għal serje ta' spin-off ta 'suċċess"&amp;", Laverne &amp; Shirley, li ddebuttaw fl-1976. Charlie's Angels and Three's Company (li ddebutta fl-1977) kienu żewġ eżempji ewlenin ta' xejra fost in-netwerks ewlenin matul is-snin sebgħin matul is-snin sebgħin Magħruf bħala ""Jiggle TV"", li fih irwoli attr"&amp;"aenti, ta 'spiss buxom, fir-rwoli ewlenin u mistiedna.")</f>
        <v>Is-snin sebgħin ġew enfasizzati minn diversi kummiedja ta 'suċċess, fantasija, azzjoni u serje b'tema ta' superhero għan-netwerk inkluż Kung Fu, is-sitt miljun dollaru raġel, Wonder Woman, Starsky &amp; Hutch, Charlie's Angels, The Bionic Woman, Fantasy Island u Battlestar Galactica. Ħafna minn dawn is-serje kienu Greenlit minn Silverman, li ħalla l-ABC fl-1978 biex isir president tad-diviżjoni tad-divertiment tal-NBC. Is-suċċess li jqajjem il-ġurnata ta 'Happy wassal ukoll għal serje ta' spin-off ta 'suċċess, Laverne &amp; Shirley, li ddebuttaw fl-1976. Charlie's Angels and Three's Company (li ddebutta fl-1977) kienu żewġ eżempji ewlenin ta' xejra fost in-netwerks ewlenin matul is-snin sebgħin matul is-snin sebgħin Magħruf bħala "Jiggle TV", li fih irwoli attraenti, ta 'spiss buxom, fir-rwoli ewlenin u mistiedna.</v>
      </c>
    </row>
    <row r="24318" ht="15.75" customHeight="1">
      <c r="A24318" s="2" t="s">
        <v>24318</v>
      </c>
      <c r="B24318" s="2" t="str">
        <f>IFERROR(__xludf.DUMMYFUNCTION("GOOGLETRANSLATE(A24318, ""en"", ""mt"")"),"X'inhu li jifred is-sistema newroimmuni u s-sistema immuni periferali fil-bnedmin?")</f>
        <v>X'inhu li jifred is-sistema newroimmuni u s-sistema immuni periferali fil-bnedmin?</v>
      </c>
    </row>
    <row r="24319" ht="15.75" customHeight="1">
      <c r="A24319" s="2" t="s">
        <v>24319</v>
      </c>
      <c r="B24319" s="2" t="str">
        <f>IFERROR(__xludf.DUMMYFUNCTION("GOOGLETRANSLATE(A24319, ""en"", ""mt"")"),"Aħbarijiet Dinjija Illejla")</f>
        <v>Aħbarijiet Dinjija Illejla</v>
      </c>
    </row>
    <row r="24320" ht="15.75" customHeight="1">
      <c r="A24320" s="2" t="s">
        <v>24320</v>
      </c>
      <c r="B24320" s="2" t="str">
        <f>IFERROR(__xludf.DUMMYFUNCTION("GOOGLETRANSLATE(A24320, ""en"", ""mt"")"),"Mhux Ministru Skoċċiż")</f>
        <v>Mhux Ministru Skoċċiż</v>
      </c>
    </row>
    <row r="24321" ht="15.75" customHeight="1">
      <c r="A24321" s="2" t="s">
        <v>24321</v>
      </c>
      <c r="B24321" s="2" t="str">
        <f>IFERROR(__xludf.DUMMYFUNCTION("GOOGLETRANSLATE(A24321, ""en"", ""mt"")"),"huma rranġati f'Grana")</f>
        <v>huma rranġati f'Grana</v>
      </c>
    </row>
    <row r="24322" ht="15.75" customHeight="1">
      <c r="A24322" s="2" t="s">
        <v>24322</v>
      </c>
      <c r="B24322" s="2" t="str">
        <f>IFERROR(__xludf.DUMMYFUNCTION("GOOGLETRANSLATE(A24322, ""en"", ""mt"")"),"F'Jannar 1880, tnejn miż-zijiet ta 'Tesla ġabru biżżejjed flus biex jgħinuh jitlaq lil Gospić għal Praga fejn kellu jistudja. Sfortunatament, wasal tard wisq biex jinkiteb fl-Università Charles-Ferdinand; Hu qatt ma studja l-Grieg, suġġett meħtieġ; u kien"&amp;" illitterat fiċ-Ċek, suġġett ieħor meħtieġ. Tesla, madankollu, attendiet lezzjonijiet fl-università, għalkemm, bħala awditur, huwa ma rċeviex gradi għall-korsijiet.")</f>
        <v>F'Jannar 1880, tnejn miż-zijiet ta 'Tesla ġabru biżżejjed flus biex jgħinuh jitlaq lil Gospić għal Praga fejn kellu jistudja. Sfortunatament, wasal tard wisq biex jinkiteb fl-Università Charles-Ferdinand; Hu qatt ma studja l-Grieg, suġġett meħtieġ; u kien illitterat fiċ-Ċek, suġġett ieħor meħtieġ. Tesla, madankollu, attendiet lezzjonijiet fl-università, għalkemm, bħala awditur, huwa ma rċeviex gradi għall-korsijiet.</v>
      </c>
    </row>
    <row r="24323" ht="15.75" customHeight="1">
      <c r="A24323" s="2" t="s">
        <v>24323</v>
      </c>
      <c r="B24323" s="2" t="str">
        <f>IFERROR(__xludf.DUMMYFUNCTION("GOOGLETRANSLATE(A24323, ""en"", ""mt"")"),"F'liema Super Bowl lagħbu Rivera bħala plejer?")</f>
        <v>F'liema Super Bowl lagħbu Rivera bħala plejer?</v>
      </c>
    </row>
    <row r="24324" ht="15.75" customHeight="1">
      <c r="A24324" s="2" t="s">
        <v>24324</v>
      </c>
      <c r="B24324" s="2" t="str">
        <f>IFERROR(__xludf.DUMMYFUNCTION("GOOGLETRANSLATE(A24324, ""en"", ""mt"")"),"Ipprovdi limiti assoluti aħjar fuq iż-żmien u r-rati tad-deposizzjoni")</f>
        <v>Ipprovdi limiti assoluti aħjar fuq iż-żmien u r-rati tad-deposizzjoni</v>
      </c>
    </row>
    <row r="24325" ht="15.75" customHeight="1">
      <c r="A24325" s="2" t="s">
        <v>24325</v>
      </c>
      <c r="B24325" s="2" t="str">
        <f>IFERROR(__xludf.DUMMYFUNCTION("GOOGLETRANSLATE(A24325, ""en"", ""mt"")"),"L-ekosanojdi jinkludu liema komposti li jirriżultaw fid-dilatazzjoni tad-deni u l-bastiment tad-demm?")</f>
        <v>L-ekosanojdi jinkludu liema komposti li jirriżultaw fid-dilatazzjoni tad-deni u l-bastiment tad-demm?</v>
      </c>
    </row>
    <row r="24326" ht="15.75" customHeight="1">
      <c r="A24326" s="2" t="s">
        <v>24326</v>
      </c>
      <c r="B24326" s="2" t="str">
        <f>IFERROR(__xludf.DUMMYFUNCTION("GOOGLETRANSLATE(A24326, ""en"", ""mt"")"),"Inkwiet li jiddistingwi bejn id-dijossidu tal-karbonju u l-ossiġnu")</f>
        <v>Inkwiet li jiddistingwi bejn id-dijossidu tal-karbonju u l-ossiġnu</v>
      </c>
    </row>
    <row r="24327" ht="15.75" customHeight="1">
      <c r="A24327" s="2" t="s">
        <v>24327</v>
      </c>
      <c r="B24327" s="2" t="str">
        <f>IFERROR(__xludf.DUMMYFUNCTION("GOOGLETRANSLATE(A24327, ""en"", ""mt"")"),"L-1")</f>
        <v>L-1</v>
      </c>
    </row>
    <row r="24328" ht="15.75" customHeight="1">
      <c r="A24328" s="2" t="s">
        <v>24328</v>
      </c>
      <c r="B24328" s="2" t="str">
        <f>IFERROR(__xludf.DUMMYFUNCTION("GOOGLETRANSLATE(A24328, ""en"", ""mt"")"),"Prince Louis de Condé")</f>
        <v>Prince Louis de Condé</v>
      </c>
    </row>
    <row r="24329" ht="15.75" customHeight="1">
      <c r="A24329" s="2" t="s">
        <v>24329</v>
      </c>
      <c r="B24329" s="2" t="str">
        <f>IFERROR(__xludf.DUMMYFUNCTION("GOOGLETRANSLATE(A24329, ""en"", ""mt"")"),"pjan għal invażjoni tal-Ewropa tal-Punent matul il-Gwerra Bierda")</f>
        <v>pjan għal invażjoni tal-Ewropa tal-Punent matul il-Gwerra Bierda</v>
      </c>
    </row>
    <row r="24330" ht="15.75" customHeight="1">
      <c r="A24330" s="2" t="s">
        <v>24330</v>
      </c>
      <c r="B24330" s="2" t="str">
        <f>IFERROR(__xludf.DUMMYFUNCTION("GOOGLETRANSLATE(A24330, ""en"", ""mt"")"),"Il-V &amp; A tinsab f'diskussjoni mal-Università ta 'Dundee, l-Università ta' Abertay, il-Kunsill tal-Belt ta 'Dundee u l-Gvern Skoċċiż bil-għan li tiftaħ gallerija ġdida ta' £ 43 miljun f'Dundee li tuża l-marka V &amp; A għalkemm tkun iffinanzjata minnha u titħa"&amp;"ddem b'mod indipendenti - Mill-2015, bi spejjeż stmati għal £ 76 miljun, huwa l-aktar proġett tal-gallerija għali li qatt sar fl-Iskozja. Il-V &amp; A Dundee se jkun fuq il-waterfront tal-belt u huwa maħsub biex jiffoka fuq il-moda, l-arkitettura, id-disinn t"&amp;"al-prodott, l-arti grafika u l-fotografija. Huwa ppjanat li jista 'jiftaħ fi żmien ħames snin. Il-Kunsill tal-Belt ta 'Dundee huwa mistenni li jħallas parti kbira mill-ispejjeż tal-ġiri. Il-V &amp; A mhix qed tikkontribwixxi finanzjarjament, iżda se tipprovdi"&amp;" għarfien espert, self u esibizzjonijiet.")</f>
        <v>Il-V &amp; A tinsab f'diskussjoni mal-Università ta 'Dundee, l-Università ta' Abertay, il-Kunsill tal-Belt ta 'Dundee u l-Gvern Skoċċiż bil-għan li tiftaħ gallerija ġdida ta' £ 43 miljun f'Dundee li tuża l-marka V &amp; A għalkemm tkun iffinanzjata minnha u titħaddem b'mod indipendenti - Mill-2015, bi spejjeż stmati għal £ 76 miljun, huwa l-aktar proġett tal-gallerija għali li qatt sar fl-Iskozja. Il-V &amp; A Dundee se jkun fuq il-waterfront tal-belt u huwa maħsub biex jiffoka fuq il-moda, l-arkitettura, id-disinn tal-prodott, l-arti grafika u l-fotografija. Huwa ppjanat li jista 'jiftaħ fi żmien ħames snin. Il-Kunsill tal-Belt ta 'Dundee huwa mistenni li jħallas parti kbira mill-ispejjeż tal-ġiri. Il-V &amp; A mhix qed tikkontribwixxi finanzjarjament, iżda se tipprovdi għarfien espert, self u esibizzjonijiet.</v>
      </c>
    </row>
    <row r="24331" ht="15.75" customHeight="1">
      <c r="A24331" s="2" t="s">
        <v>24331</v>
      </c>
      <c r="B24331" s="2" t="str">
        <f>IFERROR(__xludf.DUMMYFUNCTION("GOOGLETRANSLATE(A24331, ""en"", ""mt"")"),"X'inhi raġuni għall-moviment biex tillegalizza l-importazzjoni ta 'mediċini minn pajjiżi oħra?")</f>
        <v>X'inhi raġuni għall-moviment biex tillegalizza l-importazzjoni ta 'mediċini minn pajjiżi oħra?</v>
      </c>
    </row>
    <row r="24332" ht="15.75" customHeight="1">
      <c r="A24332" s="2" t="s">
        <v>24332</v>
      </c>
      <c r="B24332" s="2" t="str">
        <f>IFERROR(__xludf.DUMMYFUNCTION("GOOGLETRANSLATE(A24332, ""en"", ""mt"")"),"Liema persentaġġ tal-popolazzjoni ta 'l-Istati Uniti tidentifika lilha nnifisha ma' UMC?")</f>
        <v>Liema persentaġġ tal-popolazzjoni ta 'l-Istati Uniti tidentifika lilha nnifisha ma' UMC?</v>
      </c>
    </row>
    <row r="24333" ht="15.75" customHeight="1">
      <c r="A24333" s="2" t="s">
        <v>24333</v>
      </c>
      <c r="B24333" s="2" t="str">
        <f>IFERROR(__xludf.DUMMYFUNCTION("GOOGLETRANSLATE(A24333, ""en"", ""mt"")"),"grana u thylakoids")</f>
        <v>grana u thylakoids</v>
      </c>
    </row>
    <row r="24334" ht="15.75" customHeight="1">
      <c r="A24334" s="2" t="s">
        <v>24334</v>
      </c>
      <c r="B24334" s="2" t="str">
        <f>IFERROR(__xludf.DUMMYFUNCTION("GOOGLETRANSLATE(A24334, ""en"", ""mt"")"),"X'kienet l-ispiża medja għal reklam tat-TV li jdum 30 sekonda matul Super Bowl 50?")</f>
        <v>X'kienet l-ispiża medja għal reklam tat-TV li jdum 30 sekonda matul Super Bowl 50?</v>
      </c>
    </row>
    <row r="24335" ht="15.75" customHeight="1">
      <c r="A24335" s="2" t="s">
        <v>24335</v>
      </c>
      <c r="B24335" s="2" t="str">
        <f>IFERROR(__xludf.DUMMYFUNCTION("GOOGLETRANSLATE(A24335, ""en"", ""mt"")"),"Min kienu l-kummentaturi tal-ESPN Deportes għas-Super Bowl 50?")</f>
        <v>Min kienu l-kummentaturi tal-ESPN Deportes għas-Super Bowl 50?</v>
      </c>
    </row>
    <row r="24336" ht="15.75" customHeight="1">
      <c r="A24336" s="2" t="s">
        <v>24336</v>
      </c>
      <c r="B24336" s="2" t="str">
        <f>IFERROR(__xludf.DUMMYFUNCTION("GOOGLETRANSLATE(A24336, ""en"", ""mt"")"),"Epitelju")</f>
        <v>Epitelju</v>
      </c>
    </row>
    <row r="24337" ht="15.75" customHeight="1">
      <c r="A24337" s="2" t="s">
        <v>24337</v>
      </c>
      <c r="B24337" s="2" t="str">
        <f>IFERROR(__xludf.DUMMYFUNCTION("GOOGLETRANSLATE(A24337, ""en"", ""mt"")"),"F'Antigone, min kien il-mira ta 'diżubbidjenza ċivili?")</f>
        <v>F'Antigone, min kien il-mira ta 'diżubbidjenza ċivili?</v>
      </c>
    </row>
    <row r="24338" ht="15.75" customHeight="1">
      <c r="A24338" s="2" t="s">
        <v>24338</v>
      </c>
      <c r="B24338" s="2" t="str">
        <f>IFERROR(__xludf.DUMMYFUNCTION("GOOGLETRANSLATE(A24338, ""en"", ""mt"")"),"Minbarra l-mixja lejn il-knisja, x'iktar tħalliet barra miċ-ċelebrazzjoni tal-ġurnata?")</f>
        <v>Minbarra l-mixja lejn il-knisja, x'iktar tħalliet barra miċ-ċelebrazzjoni tal-ġurnata?</v>
      </c>
    </row>
    <row r="24339" ht="15.75" customHeight="1">
      <c r="A24339" s="2" t="s">
        <v>24339</v>
      </c>
      <c r="B24339" s="2" t="str">
        <f>IFERROR(__xludf.DUMMYFUNCTION("GOOGLETRANSLATE(A24339, ""en"", ""mt"")"),"l-effett tal-polfich")</f>
        <v>l-effett tal-polfich</v>
      </c>
    </row>
    <row r="24340" ht="15.75" customHeight="1">
      <c r="A24340" s="2" t="s">
        <v>24340</v>
      </c>
      <c r="B24340" s="2" t="str">
        <f>IFERROR(__xludf.DUMMYFUNCTION("GOOGLETRANSLATE(A24340, ""en"", ""mt"")"),"Wara t-trattat, ir-Re Ġorġ III ħareġ il-Proklamazzjoni Rjali tal-1763 fis-7 ta 'Ottubru, 1763, li ddeskriviet id-diviżjoni u l-amministrazzjoni tat-territorju li għadu kif ġie maħkuma, u sa ċertu punt ikompli jirregola r-relazzjonijiet bejn il-gvern tal-K"&amp;"anada moderna u l-Ewwel Nazzjonijiet. Inkluża fid-dispożizzjonijiet tagħha kienet ir-riserva ta 'artijiet fil-punent tal-muntanji Appalaċi għall-popolazzjoni Indjana tagħha, demarkazzjoni li kienet fl-aħjar mod impediment temporanju għal marea dejjem tiżd"&amp;"ied ta' kolonizzaturi marbuta mill-punent. Il-proklama kien fih ukoll dispożizzjonijiet li ma ħallewx il-parteċipazzjoni ċivika mill-Kanadiżi Kattoliċi Rumani. Meta saru akkomodazzjonijiet fl-Att dwar il-Quebec fl-1774 biex jindirizzaw dan u kwistjonijiet"&amp;" oħra, tqajmu t-tħassib reliġjuż fil-biċċa l-kbira Protestanti Tlettax-il Kolonja fuq l-avvanz ta '""Popery""; L-Att żamm il-liġi ċivili Franċiża, inkluża s-sistema seigneurial, kodiċi medjevali dalwaqt se jitneħħa minn Franza fi ħdan ġenerazzjoni mir-Riv"&amp;"oluzzjoni Franċiża.")</f>
        <v>Wara t-trattat, ir-Re Ġorġ III ħareġ il-Proklamazzjoni Rjali tal-1763 fis-7 ta 'Ottubru, 1763, li ddeskriviet id-diviżjoni u l-amministrazzjoni tat-territorju li għadu kif ġie maħkuma, u sa ċertu punt ikompli jirregola r-relazzjonijiet bejn il-gvern tal-Kanada moderna u l-Ewwel Nazzjonijiet. Inkluża fid-dispożizzjonijiet tagħha kienet ir-riserva ta 'artijiet fil-punent tal-muntanji Appalaċi għall-popolazzjoni Indjana tagħha, demarkazzjoni li kienet fl-aħjar mod impediment temporanju għal marea dejjem tiżdied ta' kolonizzaturi marbuta mill-punent. Il-proklama kien fih ukoll dispożizzjonijiet li ma ħallewx il-parteċipazzjoni ċivika mill-Kanadiżi Kattoliċi Rumani. Meta saru akkomodazzjonijiet fl-Att dwar il-Quebec fl-1774 biex jindirizzaw dan u kwistjonijiet oħra, tqajmu t-tħassib reliġjuż fil-biċċa l-kbira Protestanti Tlettax-il Kolonja fuq l-avvanz ta '"Popery"; L-Att żamm il-liġi ċivili Franċiża, inkluża s-sistema seigneurial, kodiċi medjevali dalwaqt se jitneħħa minn Franza fi ħdan ġenerazzjoni mir-Rivoluzzjoni Franċiża.</v>
      </c>
    </row>
    <row r="24341" ht="15.75" customHeight="1">
      <c r="A24341" s="2" t="s">
        <v>24341</v>
      </c>
      <c r="B24341" s="2" t="str">
        <f>IFERROR(__xludf.DUMMYFUNCTION("GOOGLETRANSLATE(A24341, ""en"", ""mt"")"),"1859 u 1865")</f>
        <v>1859 u 1865</v>
      </c>
    </row>
    <row r="24342" ht="15.75" customHeight="1">
      <c r="A24342" s="2" t="s">
        <v>24342</v>
      </c>
      <c r="B24342" s="2" t="str">
        <f>IFERROR(__xludf.DUMMYFUNCTION("GOOGLETRANSLATE(A24342, ""en"", ""mt"")"),"X'kienet it-tieni tifsira ta 'kelma Ċiniża għal ""kwartieri""?")</f>
        <v>X'kienet it-tieni tifsira ta 'kelma Ċiniża għal "kwartieri"?</v>
      </c>
    </row>
    <row r="24343" ht="15.75" customHeight="1">
      <c r="A24343" s="2" t="s">
        <v>24343</v>
      </c>
      <c r="B24343" s="2" t="str">
        <f>IFERROR(__xludf.DUMMYFUNCTION("GOOGLETRANSLATE(A24343, ""en"", ""mt"")"),"Kif tissejjaħ iż-żona fejn żewġ pjanċi jiċċaqalqu?")</f>
        <v>Kif tissejjaħ iż-żona fejn żewġ pjanċi jiċċaqalqu?</v>
      </c>
    </row>
    <row r="24344" ht="15.75" customHeight="1">
      <c r="A24344" s="2" t="s">
        <v>24344</v>
      </c>
      <c r="B24344" s="2" t="str">
        <f>IFERROR(__xludf.DUMMYFUNCTION("GOOGLETRANSLATE(A24344, ""en"", ""mt"")"),"Biex tgħin biex jitnaqqas il-konsum, fl-1974 ġie impost limitu massimu ta 'veloċità massima ta' 55 mph (madwar 88 km / h) permezz tal-Att dwar il-Konservazzjoni tal-Enerġija ta 'l-Awtostrada ta' Emerġenza. L-iżvilupp tar-riżerva strateġika tal-pitrolju be"&amp;"da fl-1975, u fl-1977 inħoloq id-Dipartiment tal-Enerġija fil-livell tal-Kabinett, segwit mill-Att Nazzjonali dwar l-Enerġija tal-1978. [Ċitazzjoni meħtieġa] fit-28 ta 'Novembru, 1995, Bill Clinton iffirma l-Att Nazzjonali tad-Deżin tal-Highway , li jtemm"&amp;" il-limitu federali ta 'veloċità ta' 55 mph (89 km / h), li jippermetti lill-istati jerġgħu jġibu l-limitu massimu ta 'veloċità massima tagħhom.")</f>
        <v>Biex tgħin biex jitnaqqas il-konsum, fl-1974 ġie impost limitu massimu ta 'veloċità massima ta' 55 mph (madwar 88 km / h) permezz tal-Att dwar il-Konservazzjoni tal-Enerġija ta 'l-Awtostrada ta' Emerġenza. L-iżvilupp tar-riżerva strateġika tal-pitrolju beda fl-1975, u fl-1977 inħoloq id-Dipartiment tal-Enerġija fil-livell tal-Kabinett, segwit mill-Att Nazzjonali dwar l-Enerġija tal-1978. [Ċitazzjoni meħtieġa] fit-28 ta 'Novembru, 1995, Bill Clinton iffirma l-Att Nazzjonali tad-Deżin tal-Highway , li jtemm il-limitu federali ta 'veloċità ta' 55 mph (89 km / h), li jippermetti lill-istati jerġgħu jġibu l-limitu massimu ta 'veloċità massima tagħhom.</v>
      </c>
    </row>
    <row r="24345" ht="15.75" customHeight="1">
      <c r="A24345" s="2" t="s">
        <v>24345</v>
      </c>
      <c r="B24345" s="2" t="str">
        <f>IFERROR(__xludf.DUMMYFUNCTION("GOOGLETRANSLATE(A24345, ""en"", ""mt"")"),"Liema parti l-kompożizzjoni tal-atmosfera tad-Dinja hija magħmula minn ossiġnu?")</f>
        <v>Liema parti l-kompożizzjoni tal-atmosfera tad-Dinja hija magħmula minn ossiġnu?</v>
      </c>
    </row>
    <row r="24346" ht="15.75" customHeight="1">
      <c r="A24346" s="2" t="s">
        <v>24346</v>
      </c>
      <c r="B24346" s="2" t="str">
        <f>IFERROR(__xludf.DUMMYFUNCTION("GOOGLETRANSLATE(A24346, ""en"", ""mt"")"),"biex tarresta lil Luther")</f>
        <v>biex tarresta lil Luther</v>
      </c>
    </row>
    <row r="24347" ht="15.75" customHeight="1">
      <c r="A24347" s="2" t="s">
        <v>24347</v>
      </c>
      <c r="B24347" s="2" t="str">
        <f>IFERROR(__xludf.DUMMYFUNCTION("GOOGLETRANSLATE(A24347, ""en"", ""mt"")"),"Meta kienet it-tifqigħa tal-Ewwel Gwerra Dinjija?")</f>
        <v>Meta kienet it-tifqigħa tal-Ewwel Gwerra Dinjija?</v>
      </c>
    </row>
    <row r="24348" ht="15.75" customHeight="1">
      <c r="A24348" s="2" t="s">
        <v>24348</v>
      </c>
      <c r="B24348" s="2" t="str">
        <f>IFERROR(__xludf.DUMMYFUNCTION("GOOGLETRANSLATE(A24348, ""en"", ""mt"")"),"Ctenophores kienu meqjusa bħala ""truf mejta"" fil-ktajjen tal-ikel tal-baħar minħabba li kien maħsub il-proporzjon baxx tagħhom ta 'materja organika għall-melħ u l-ilma għamilhom dieta ħażina għal annimali oħra. Ħafna drabi huwa wkoll diffiċli li jiġu id"&amp;"entifikati l-fdalijiet ta 'ctenophores fl-imsaren ta' predaturi possibbli, għalkemm il-pettnijiet kultant jibqgħu intatti biżżejjed biex jipprovdu ħjiel. Investigazzjoni dettaljata tas-salamun chum, Oncorhynchus keta, wriet li dawn il-ħut diġestiti ctenop"&amp;"hores 20 darba malajr daqs piż ugwali ta 'gambli, u li ċ-ċtenofori jistgħu jipprovdu dieta tajba jekk hemm biżżejjed minnhom madwarhom. Beroids priża prinċipalment fuq ctenophores oħra. Xi bram u fkieren jieklu kwantitajiet kbar ta 'ctenophores, u l-bram "&amp;"jista' temporanjament iħassar il-popolazzjonijiet ta 'ctenophore. Peress li ċ-ċtenofori u l-bram spiss ikollhom varjazzjonijiet staġjonali kbar fil-popolazzjoni, il-biċċa l-kbira tal-ħut li priża fuqhom huma ġeneralisti, u jista 'jkollhom effett akbar fuq"&amp;" il-popolazzjonijiet milli l-ispeċjalisti tal-ġelatina. Dan huwa enfasizzat minn osservazzjoni ta 'ħut erbivori li jitma' deliberatament fuq zooplankton ġelatinuż waqt fjorituri fil-Baħar l-Aħmar. Il-larva ta 'xi anemoni tal-baħar huma parassiti fuq cteno"&amp;"phores, bħalma huma l-larva ta' xi dud tal-flat li parassitizzaw il-ħut meta jilħqu l-età adulta.")</f>
        <v>Ctenophores kienu meqjusa bħala "truf mejta" fil-ktajjen tal-ikel tal-baħar minħabba li kien maħsub il-proporzjon baxx tagħhom ta 'materja organika għall-melħ u l-ilma għamilhom dieta ħażina għal annimali oħra. Ħafna drabi huwa wkoll diffiċli li jiġu identifikati l-fdalijiet ta 'ctenophores fl-imsaren ta' predaturi possibbli, għalkemm il-pettnijiet kultant jibqgħu intatti biżżejjed biex jipprovdu ħjiel. Investigazzjoni dettaljata tas-salamun chum, Oncorhynchus keta, wriet li dawn il-ħut diġestiti ctenophores 20 darba malajr daqs piż ugwali ta 'gambli, u li ċ-ċtenofori jistgħu jipprovdu dieta tajba jekk hemm biżżejjed minnhom madwarhom. Beroids priża prinċipalment fuq ctenophores oħra. Xi bram u fkieren jieklu kwantitajiet kbar ta 'ctenophores, u l-bram jista' temporanjament iħassar il-popolazzjonijiet ta 'ctenophore. Peress li ċ-ċtenofori u l-bram spiss ikollhom varjazzjonijiet staġjonali kbar fil-popolazzjoni, il-biċċa l-kbira tal-ħut li priża fuqhom huma ġeneralisti, u jista 'jkollhom effett akbar fuq il-popolazzjonijiet milli l-ispeċjalisti tal-ġelatina. Dan huwa enfasizzat minn osservazzjoni ta 'ħut erbivori li jitma' deliberatament fuq zooplankton ġelatinuż waqt fjorituri fil-Baħar l-Aħmar. Il-larva ta 'xi anemoni tal-baħar huma parassiti fuq ctenophores, bħalma huma l-larva ta' xi dud tal-flat li parassitizzaw il-ħut meta jilħqu l-età adulta.</v>
      </c>
    </row>
    <row r="24349" ht="15.75" customHeight="1">
      <c r="A24349" s="2" t="s">
        <v>24349</v>
      </c>
      <c r="B24349" s="2" t="str">
        <f>IFERROR(__xludf.DUMMYFUNCTION("GOOGLETRANSLATE(A24349, ""en"", ""mt"")"),"Wara t-tmiem tal-Gwerra tal-Messiku")</f>
        <v>Wara t-tmiem tal-Gwerra tal-Messiku</v>
      </c>
    </row>
    <row r="24350" ht="15.75" customHeight="1">
      <c r="A24350" s="2" t="s">
        <v>24350</v>
      </c>
      <c r="B24350" s="2" t="str">
        <f>IFERROR(__xludf.DUMMYFUNCTION("GOOGLETRANSLATE(A24350, ""en"", ""mt"")"),"F’liema sena l-kelma u d-dipartiment tal-immaġni tal-V &amp; A bdew proġett ta ’diġitizzazzjoni fuq skala kbira?")</f>
        <v>F’liema sena l-kelma u d-dipartiment tal-immaġni tal-V &amp; A bdew proġett ta ’diġitizzazzjoni fuq skala kbira?</v>
      </c>
    </row>
    <row r="24351" ht="15.75" customHeight="1">
      <c r="A24351" s="2" t="s">
        <v>24351</v>
      </c>
      <c r="B24351" s="2" t="str">
        <f>IFERROR(__xludf.DUMMYFUNCTION("GOOGLETRANSLATE(A24351, ""en"", ""mt"")"),"Bejn liema dati ġie rranġat il-bini fi Triq Pilgrim?")</f>
        <v>Bejn liema dati ġie rranġat il-bini fi Triq Pilgrim?</v>
      </c>
    </row>
    <row r="24352" ht="15.75" customHeight="1">
      <c r="A24352" s="2" t="s">
        <v>24352</v>
      </c>
      <c r="B24352" s="2" t="str">
        <f>IFERROR(__xludf.DUMMYFUNCTION("GOOGLETRANSLATE(A24352, ""en"", ""mt"")"),"John B. Goodenough")</f>
        <v>John B. Goodenough</v>
      </c>
    </row>
    <row r="24353" ht="15.75" customHeight="1">
      <c r="A24353" s="2" t="s">
        <v>24353</v>
      </c>
      <c r="B24353" s="2" t="str">
        <f>IFERROR(__xludf.DUMMYFUNCTION("GOOGLETRANSLATE(A24353, ""en"", ""mt"")"),"X'kienet proposta waħda biex l-IPCC tirrispondi għal evidenza ġdida aktar malajr?")</f>
        <v>X'kienet proposta waħda biex l-IPCC tirrispondi għal evidenza ġdida aktar malajr?</v>
      </c>
    </row>
    <row r="24354" ht="15.75" customHeight="1">
      <c r="A24354" s="2" t="s">
        <v>24354</v>
      </c>
      <c r="B24354" s="2" t="str">
        <f>IFERROR(__xludf.DUMMYFUNCTION("GOOGLETRANSLATE(A24354, ""en"", ""mt"")"),"l-awtorità rilevanti")</f>
        <v>l-awtorità rilevanti</v>
      </c>
    </row>
    <row r="24355" ht="15.75" customHeight="1">
      <c r="A24355" s="2" t="s">
        <v>24355</v>
      </c>
      <c r="B24355" s="2" t="str">
        <f>IFERROR(__xludf.DUMMYFUNCTION("GOOGLETRANSLATE(A24355, ""en"", ""mt"")"),"Kemm il-Grammys rebħet Lady Gaga?")</f>
        <v>Kemm il-Grammys rebħet Lady Gaga?</v>
      </c>
    </row>
    <row r="24356" ht="15.75" customHeight="1">
      <c r="A24356" s="2" t="s">
        <v>24356</v>
      </c>
      <c r="B24356" s="2" t="str">
        <f>IFERROR(__xludf.DUMMYFUNCTION("GOOGLETRANSLATE(A24356, ""en"", ""mt"")"),"C1180")</f>
        <v>C1180</v>
      </c>
    </row>
    <row r="24357" ht="15.75" customHeight="1">
      <c r="A24357" s="2" t="s">
        <v>24357</v>
      </c>
      <c r="B24357" s="2" t="str">
        <f>IFERROR(__xludf.DUMMYFUNCTION("GOOGLETRANSLATE(A24357, ""en"", ""mt"")"),"il-Quran, Torah jew Bibbja")</f>
        <v>il-Quran, Torah jew Bibbja</v>
      </c>
    </row>
    <row r="24358" ht="15.75" customHeight="1">
      <c r="A24358" s="2" t="s">
        <v>24358</v>
      </c>
      <c r="B24358" s="2" t="str">
        <f>IFERROR(__xludf.DUMMYFUNCTION("GOOGLETRANSLATE(A24358, ""en"", ""mt"")"),"defiċit")</f>
        <v>defiċit</v>
      </c>
    </row>
    <row r="24359" ht="15.75" customHeight="1">
      <c r="A24359" s="2" t="s">
        <v>24359</v>
      </c>
      <c r="B24359" s="2" t="str">
        <f>IFERROR(__xludf.DUMMYFUNCTION("GOOGLETRANSLATE(A24359, ""en"", ""mt"")"),"Li ħa l-kontroll tal-kumpanija ta ’Edison.")</f>
        <v>Li ħa l-kontroll tal-kumpanija ta ’Edison.</v>
      </c>
    </row>
    <row r="24360" ht="15.75" customHeight="1">
      <c r="A24360" s="2" t="s">
        <v>24360</v>
      </c>
      <c r="B24360" s="2" t="str">
        <f>IFERROR(__xludf.DUMMYFUNCTION("GOOGLETRANSLATE(A24360, ""en"", ""mt"")"),"L-effetti ta 'l-inugwaljanza li r-riċerkaturi sabu jinkludu rati ogħla ta' problemi tas-saħħa u soċjali, u rati aktar baxxi ta 'oġġetti soċjali, livell aktar baxx ta' utilità ekonomika fis-soċjetà minn riżorsi ddedikati fuq konsum high-end, u anke livell "&amp;"aktar baxx ta 'tkabbir ekonomiku meta l-kapital uman huwa traskurat għal konsum high-end. Għall-aqwa 21 pajjiż industrijalizzat, billi tingħadd lil kull persuna bl-istess mod, l-istennija tal-ħajja hija inqas f'pajjiżi aktar inugwali (r = -.907). Relazzjo"&amp;"ni simili teżisti fost l-istati tal-Istati Uniti (r = -.620).")</f>
        <v>L-effetti ta 'l-inugwaljanza li r-riċerkaturi sabu jinkludu rati ogħla ta' problemi tas-saħħa u soċjali, u rati aktar baxxi ta 'oġġetti soċjali, livell aktar baxx ta' utilità ekonomika fis-soċjetà minn riżorsi ddedikati fuq konsum high-end, u anke livell aktar baxx ta 'tkabbir ekonomiku meta l-kapital uman huwa traskurat għal konsum high-end. Għall-aqwa 21 pajjiż industrijalizzat, billi tingħadd lil kull persuna bl-istess mod, l-istennija tal-ħajja hija inqas f'pajjiżi aktar inugwali (r = -.907). Relazzjoni simili teżisti fost l-istati tal-Istati Uniti (r = -.620).</v>
      </c>
    </row>
    <row r="24361" ht="15.75" customHeight="1">
      <c r="A24361" s="2" t="s">
        <v>24361</v>
      </c>
      <c r="B24361" s="2" t="str">
        <f>IFERROR(__xludf.DUMMYFUNCTION("GOOGLETRANSLATE(A24361, ""en"", ""mt"")"),"Michael Heckenberger u l-kollegi tal-Università ta ’Florida")</f>
        <v>Michael Heckenberger u l-kollegi tal-Università ta ’Florida</v>
      </c>
    </row>
    <row r="24362" ht="15.75" customHeight="1">
      <c r="A24362" s="2" t="s">
        <v>24362</v>
      </c>
      <c r="B24362" s="2" t="str">
        <f>IFERROR(__xludf.DUMMYFUNCTION("GOOGLETRANSLATE(A24362, ""en"", ""mt"")"),"żona moderata")</f>
        <v>żona moderata</v>
      </c>
    </row>
    <row r="24363" ht="15.75" customHeight="1">
      <c r="A24363" s="2" t="s">
        <v>24363</v>
      </c>
      <c r="B24363" s="2" t="str">
        <f>IFERROR(__xludf.DUMMYFUNCTION("GOOGLETRANSLATE(A24363, ""en"", ""mt"")"),"Toyota Corona Mark II")</f>
        <v>Toyota Corona Mark II</v>
      </c>
    </row>
    <row r="24364" ht="15.75" customHeight="1">
      <c r="A24364" s="2" t="s">
        <v>24364</v>
      </c>
      <c r="B24364" s="2" t="str">
        <f>IFERROR(__xludf.DUMMYFUNCTION("GOOGLETRANSLATE(A24364, ""en"", ""mt"")"),"lezzjonijiet")</f>
        <v>lezzjonijiet</v>
      </c>
    </row>
    <row r="24365" ht="15.75" customHeight="1">
      <c r="A24365" s="2" t="s">
        <v>24365</v>
      </c>
      <c r="B24365" s="2" t="str">
        <f>IFERROR(__xludf.DUMMYFUNCTION("GOOGLETRANSLATE(A24365, ""en"", ""mt"")"),"X'jistgħu jaġixxu l-forzi gravitazzjonali?")</f>
        <v>X'jistgħu jaġixxu l-forzi gravitazzjonali?</v>
      </c>
    </row>
    <row r="24366" ht="15.75" customHeight="1">
      <c r="A24366" s="2" t="s">
        <v>24366</v>
      </c>
      <c r="B24366" s="2" t="str">
        <f>IFERROR(__xludf.DUMMYFUNCTION("GOOGLETRANSLATE(A24366, ""en"", ""mt"")"),"Olimpiku")</f>
        <v>Olimpiku</v>
      </c>
    </row>
    <row r="24367" ht="15.75" customHeight="1">
      <c r="A24367" s="2" t="s">
        <v>24367</v>
      </c>
      <c r="B24367" s="2" t="str">
        <f>IFERROR(__xludf.DUMMYFUNCTION("GOOGLETRANSLATE(A24367, ""en"", ""mt"")"),"X’wassal għal inugwaljanza bi dħul aktar baxx?")</f>
        <v>X’wassal għal inugwaljanza bi dħul aktar baxx?</v>
      </c>
    </row>
    <row r="24368" ht="15.75" customHeight="1">
      <c r="A24368" s="2" t="s">
        <v>24368</v>
      </c>
      <c r="B24368" s="2" t="str">
        <f>IFERROR(__xludf.DUMMYFUNCTION("GOOGLETRANSLATE(A24368, ""en"", ""mt"")"),"f'nofs is-seklu 18")</f>
        <v>f'nofs is-seklu 18</v>
      </c>
    </row>
    <row r="24369" ht="15.75" customHeight="1">
      <c r="A24369" s="2" t="s">
        <v>24369</v>
      </c>
      <c r="B24369" s="2" t="str">
        <f>IFERROR(__xludf.DUMMYFUNCTION("GOOGLETRANSLATE(A24369, ""en"", ""mt"")"),"Sargans")</f>
        <v>Sargans</v>
      </c>
    </row>
    <row r="24370" ht="15.75" customHeight="1">
      <c r="A24370" s="2" t="s">
        <v>24370</v>
      </c>
      <c r="B24370" s="2" t="str">
        <f>IFERROR(__xludf.DUMMYFUNCTION("GOOGLETRANSLATE(A24370, ""en"", ""mt"")"),"il-problema")</f>
        <v>il-problema</v>
      </c>
    </row>
    <row r="24371" ht="15.75" customHeight="1">
      <c r="A24371" s="2" t="s">
        <v>24371</v>
      </c>
      <c r="B24371" s="2" t="str">
        <f>IFERROR(__xludf.DUMMYFUNCTION("GOOGLETRANSLATE(A24371, ""en"", ""mt"")"),"firien u briegħed")</f>
        <v>firien u briegħed</v>
      </c>
    </row>
    <row r="24372" ht="15.75" customHeight="1">
      <c r="A24372" s="2" t="s">
        <v>24372</v>
      </c>
      <c r="B24372" s="2" t="str">
        <f>IFERROR(__xludf.DUMMYFUNCTION("GOOGLETRANSLATE(A24372, ""en"", ""mt"")"),"Xingu Tribe")</f>
        <v>Xingu Tribe</v>
      </c>
    </row>
    <row r="24373" ht="15.75" customHeight="1">
      <c r="A24373" s="2" t="s">
        <v>24373</v>
      </c>
      <c r="B24373" s="2" t="str">
        <f>IFERROR(__xludf.DUMMYFUNCTION("GOOGLETRANSLATE(A24373, ""en"", ""mt"")"),"Il-Qorti Imperjali Pre-Heian")</f>
        <v>Il-Qorti Imperjali Pre-Heian</v>
      </c>
    </row>
    <row r="24374" ht="15.75" customHeight="1">
      <c r="A24374" s="2" t="s">
        <v>24374</v>
      </c>
      <c r="B24374" s="2" t="str">
        <f>IFERROR(__xludf.DUMMYFUNCTION("GOOGLETRANSLATE(A24374, ""en"", ""mt"")"),"X'inhu mhux tas-soltu dwar il-kloroplasti tal-pjanti C4?")</f>
        <v>X'inhu mhux tas-soltu dwar il-kloroplasti tal-pjanti C4?</v>
      </c>
    </row>
    <row r="24375" ht="15.75" customHeight="1">
      <c r="A24375" s="2" t="s">
        <v>24375</v>
      </c>
      <c r="B24375" s="2" t="str">
        <f>IFERROR(__xludf.DUMMYFUNCTION("GOOGLETRANSLATE(A24375, ""en"", ""mt"")"),"il-forza oriġinali")</f>
        <v>il-forza oriġinali</v>
      </c>
    </row>
    <row r="24376" ht="15.75" customHeight="1">
      <c r="A24376" s="2" t="s">
        <v>24376</v>
      </c>
      <c r="B24376" s="2" t="str">
        <f>IFERROR(__xludf.DUMMYFUNCTION("GOOGLETRANSLATE(A24376, ""en"", ""mt"")"),"Meta ġiet promulgata l-Kostituzzjoni l-ġdida?")</f>
        <v>Meta ġiet promulgata l-Kostituzzjoni l-ġdida?</v>
      </c>
    </row>
    <row r="24377" ht="15.75" customHeight="1">
      <c r="A24377" s="2" t="s">
        <v>24377</v>
      </c>
      <c r="B24377" s="2" t="str">
        <f>IFERROR(__xludf.DUMMYFUNCTION("GOOGLETRANSLATE(A24377, ""en"", ""mt"")"),"X'tip ta 'nies kienu qed jinġiebu lura għat-triq tal-verità?")</f>
        <v>X'tip ta 'nies kienu qed jinġiebu lura għat-triq tal-verità?</v>
      </c>
    </row>
    <row r="24378" ht="15.75" customHeight="1">
      <c r="A24378" s="2" t="s">
        <v>24378</v>
      </c>
      <c r="B24378" s="2" t="str">
        <f>IFERROR(__xludf.DUMMYFUNCTION("GOOGLETRANSLATE(A24378, ""en"", ""mt"")"),"ożonu")</f>
        <v>ożonu</v>
      </c>
    </row>
    <row r="24379" ht="15.75" customHeight="1">
      <c r="A24379" s="2" t="s">
        <v>24379</v>
      </c>
      <c r="B24379" s="2" t="str">
        <f>IFERROR(__xludf.DUMMYFUNCTION("GOOGLETRANSLATE(A24379, ""en"", ""mt"")"),"Neil Armstrong, Michael Collins u Buzz Aldrin.")</f>
        <v>Neil Armstrong, Michael Collins u Buzz Aldrin.</v>
      </c>
    </row>
    <row r="24380" ht="15.75" customHeight="1">
      <c r="A24380" s="2" t="s">
        <v>24380</v>
      </c>
      <c r="B24380" s="2" t="str">
        <f>IFERROR(__xludf.DUMMYFUNCTION("GOOGLETRANSLATE(A24380, ""en"", ""mt"")"),"Mill-1 seklu WK sal-preżent")</f>
        <v>Mill-1 seklu WK sal-preżent</v>
      </c>
    </row>
    <row r="24381" ht="15.75" customHeight="1">
      <c r="A24381" s="2" t="s">
        <v>24381</v>
      </c>
      <c r="B24381" s="2" t="str">
        <f>IFERROR(__xludf.DUMMYFUNCTION("GOOGLETRANSLATE(A24381, ""en"", ""mt"")"),"assenjawhom lill-kumpanija minflok l-istokk.")</f>
        <v>assenjawhom lill-kumpanija minflok l-istokk.</v>
      </c>
    </row>
    <row r="24382" ht="15.75" customHeight="1">
      <c r="A24382" s="2" t="s">
        <v>24382</v>
      </c>
      <c r="B24382" s="2" t="str">
        <f>IFERROR(__xludf.DUMMYFUNCTION("GOOGLETRANSLATE(A24382, ""en"", ""mt"")"),"F'liema sena nbniet il-librerija Joe u Rika Mansueto?")</f>
        <v>F'liema sena nbniet il-librerija Joe u Rika Mansueto?</v>
      </c>
    </row>
    <row r="24383" ht="15.75" customHeight="1">
      <c r="A24383" s="2" t="s">
        <v>24383</v>
      </c>
      <c r="B24383" s="2" t="str">
        <f>IFERROR(__xludf.DUMMYFUNCTION("GOOGLETRANSLATE(A24383, ""en"", ""mt"")"),"X'tiprombra t-traduzzjoni tal-Bibbja ta 'Luther fil-lingwa Ġermaniża?")</f>
        <v>X'tiprombra t-traduzzjoni tal-Bibbja ta 'Luther fil-lingwa Ġermaniża?</v>
      </c>
    </row>
    <row r="24384" ht="15.75" customHeight="1">
      <c r="A24384" s="2" t="s">
        <v>24384</v>
      </c>
      <c r="B24384" s="2" t="str">
        <f>IFERROR(__xludf.DUMMYFUNCTION("GOOGLETRANSLATE(A24384, ""en"", ""mt"")"),"kurrent alternattiv")</f>
        <v>kurrent alternattiv</v>
      </c>
    </row>
    <row r="24385" ht="15.75" customHeight="1">
      <c r="A24385" s="2" t="s">
        <v>24385</v>
      </c>
      <c r="B24385" s="2" t="str">
        <f>IFERROR(__xludf.DUMMYFUNCTION("GOOGLETRANSLATE(A24385, ""en"", ""mt"")"),"X'inhu t-terminu għall-ogħla qaddis ħaj?")</f>
        <v>X'inhu t-terminu għall-ogħla qaddis ħaj?</v>
      </c>
    </row>
    <row r="24386" ht="15.75" customHeight="1">
      <c r="A24386" s="2" t="s">
        <v>24386</v>
      </c>
      <c r="B24386" s="2" t="str">
        <f>IFERROR(__xludf.DUMMYFUNCTION("GOOGLETRANSLATE(A24386, ""en"", ""mt"")"),"Super Bowl 50 Kumitat Ospitanti")</f>
        <v>Super Bowl 50 Kumitat Ospitanti</v>
      </c>
    </row>
    <row r="24387" ht="15.75" customHeight="1">
      <c r="A24387" s="2" t="s">
        <v>24387</v>
      </c>
      <c r="B24387" s="2" t="str">
        <f>IFERROR(__xludf.DUMMYFUNCTION("GOOGLETRANSLATE(A24387, ""en"", ""mt"")"),"Liema sett fiss ta 'fatturi jiddetermina l-azzjonijiet ta' magna tat-Turing deterministika")</f>
        <v>Liema sett fiss ta 'fatturi jiddetermina l-azzjonijiet ta' magna tat-Turing deterministika</v>
      </c>
    </row>
    <row r="24388" ht="15.75" customHeight="1">
      <c r="A24388" s="2" t="s">
        <v>24388</v>
      </c>
      <c r="B24388" s="2" t="str">
        <f>IFERROR(__xludf.DUMMYFUNCTION("GOOGLETRANSLATE(A24388, ""en"", ""mt"")"),"żdied għal kariga politika ogħla")</f>
        <v>żdied għal kariga politika ogħla</v>
      </c>
    </row>
    <row r="24389" ht="15.75" customHeight="1">
      <c r="A24389" s="2" t="s">
        <v>24389</v>
      </c>
      <c r="B24389" s="2" t="str">
        <f>IFERROR(__xludf.DUMMYFUNCTION("GOOGLETRANSLATE(A24389, ""en"", ""mt"")"),"Liema persentaġġ ta 'enerġija elettrika fl-Istati Uniti huwa magħmul minn turbini tal-fwar?")</f>
        <v>Liema persentaġġ ta 'enerġija elettrika fl-Istati Uniti huwa magħmul minn turbini tal-fwar?</v>
      </c>
    </row>
    <row r="24390" ht="15.75" customHeight="1">
      <c r="A24390" s="2" t="s">
        <v>24390</v>
      </c>
      <c r="B24390" s="2" t="str">
        <f>IFERROR(__xludf.DUMMYFUNCTION("GOOGLETRANSLATE(A24390, ""en"", ""mt"")"),"X'kien ix-xogħol ta 'Maxwell?")</f>
        <v>X'kien ix-xogħol ta 'Maxwell?</v>
      </c>
    </row>
    <row r="24391" ht="15.75" customHeight="1">
      <c r="A24391" s="2" t="s">
        <v>24391</v>
      </c>
      <c r="B24391" s="2" t="str">
        <f>IFERROR(__xludf.DUMMYFUNCTION("GOOGLETRANSLATE(A24391, ""en"", ""mt"")"),"""Isel""")</f>
        <v>"Isel"</v>
      </c>
    </row>
    <row r="24392" ht="15.75" customHeight="1">
      <c r="A24392" s="2" t="s">
        <v>24392</v>
      </c>
      <c r="B24392" s="2" t="str">
        <f>IFERROR(__xludf.DUMMYFUNCTION("GOOGLETRANSLATE(A24392, ""en"", ""mt"")"),"Il-leġġenda l-iktar magħrufa")</f>
        <v>Il-leġġenda l-iktar magħrufa</v>
      </c>
    </row>
    <row r="24393" ht="15.75" customHeight="1">
      <c r="A24393" s="2" t="s">
        <v>24393</v>
      </c>
      <c r="B24393" s="2" t="str">
        <f>IFERROR(__xludf.DUMMYFUNCTION("GOOGLETRANSLATE(A24393, ""en"", ""mt"")"),"Min jagħti tmexxija, jippriedka l-kelma u jmexxi ż-żwiġijiet, fost dmirijiet oħra?")</f>
        <v>Min jagħti tmexxija, jippriedka l-kelma u jmexxi ż-żwiġijiet, fost dmirijiet oħra?</v>
      </c>
    </row>
    <row r="24394" ht="15.75" customHeight="1">
      <c r="A24394" s="2" t="s">
        <v>24394</v>
      </c>
      <c r="B24394" s="2" t="str">
        <f>IFERROR(__xludf.DUMMYFUNCTION("GOOGLETRANSLATE(A24394, ""en"", ""mt"")"),"pressjoni biex tnaqqas l-ispejjeż u timmassimizza l-profitti")</f>
        <v>pressjoni biex tnaqqas l-ispejjeż u timmassimizza l-profitti</v>
      </c>
    </row>
    <row r="24395" ht="15.75" customHeight="1">
      <c r="A24395" s="2" t="s">
        <v>24395</v>
      </c>
      <c r="B24395" s="2" t="str">
        <f>IFERROR(__xludf.DUMMYFUNCTION("GOOGLETRANSLATE(A24395, ""en"", ""mt"")"),"barra")</f>
        <v>barra</v>
      </c>
    </row>
    <row r="24396" ht="15.75" customHeight="1">
      <c r="A24396" s="2" t="s">
        <v>24396</v>
      </c>
      <c r="B24396" s="2" t="str">
        <f>IFERROR(__xludf.DUMMYFUNCTION("GOOGLETRANSLATE(A24396, ""en"", ""mt"")"),"Truf kuntenti")</f>
        <v>Truf kuntenti</v>
      </c>
    </row>
    <row r="24397" ht="15.75" customHeight="1">
      <c r="A24397" s="2" t="s">
        <v>24397</v>
      </c>
      <c r="B24397" s="2" t="str">
        <f>IFERROR(__xludf.DUMMYFUNCTION("GOOGLETRANSLATE(A24397, ""en"", ""mt"")"),"pretendenti")</f>
        <v>pretendenti</v>
      </c>
    </row>
    <row r="24398" ht="15.75" customHeight="1">
      <c r="A24398" s="2" t="s">
        <v>24398</v>
      </c>
      <c r="B24398" s="2" t="str">
        <f>IFERROR(__xludf.DUMMYFUNCTION("GOOGLETRANSLATE(A24398, ""en"", ""mt"")"),"Meta kienet l-ewwel referenza storika magħrufa għall-immunità?")</f>
        <v>Meta kienet l-ewwel referenza storika magħrufa għall-immunità?</v>
      </c>
    </row>
    <row r="24399" ht="15.75" customHeight="1">
      <c r="A24399" s="2" t="s">
        <v>24399</v>
      </c>
      <c r="B24399" s="2" t="str">
        <f>IFERROR(__xludf.DUMMYFUNCTION("GOOGLETRANSLATE(A24399, ""en"", ""mt"")"),"Ekwazzjoni ta 'Schrödinger")</f>
        <v>Ekwazzjoni ta 'Schrödinger</v>
      </c>
    </row>
    <row r="24400" ht="15.75" customHeight="1">
      <c r="A24400" s="2" t="s">
        <v>24400</v>
      </c>
      <c r="B24400" s="2" t="str">
        <f>IFERROR(__xludf.DUMMYFUNCTION("GOOGLETRANSLATE(A24400, ""en"", ""mt"")"),"1908")</f>
        <v>1908</v>
      </c>
    </row>
    <row r="24401" ht="15.75" customHeight="1">
      <c r="A24401" s="2" t="s">
        <v>24401</v>
      </c>
      <c r="B24401" s="2" t="str">
        <f>IFERROR(__xludf.DUMMYFUNCTION("GOOGLETRANSLATE(A24401, ""en"", ""mt"")"),"ex monasteru")</f>
        <v>ex monasteru</v>
      </c>
    </row>
    <row r="24402" ht="15.75" customHeight="1">
      <c r="A24402" s="2" t="s">
        <v>24402</v>
      </c>
      <c r="B24402" s="2" t="str">
        <f>IFERROR(__xludf.DUMMYFUNCTION("GOOGLETRANSLATE(A24402, ""en"", ""mt"")"),"Inġinier tal-Kostruzzjoni jew Maniġer tal-Proġett")</f>
        <v>Inġinier tal-Kostruzzjoni jew Maniġer tal-Proġett</v>
      </c>
    </row>
    <row r="24403" ht="15.75" customHeight="1">
      <c r="A24403" s="2" t="s">
        <v>24403</v>
      </c>
      <c r="B24403" s="2" t="str">
        <f>IFERROR(__xludf.DUMMYFUNCTION("GOOGLETRANSLATE(A24403, ""en"", ""mt"")"),"perjodu ta 'kompressjoni")</f>
        <v>perjodu ta 'kompressjoni</v>
      </c>
    </row>
    <row r="24404" ht="15.75" customHeight="1">
      <c r="A24404" s="2" t="s">
        <v>24404</v>
      </c>
      <c r="B24404" s="2" t="str">
        <f>IFERROR(__xludf.DUMMYFUNCTION("GOOGLETRANSLATE(A24404, ""en"", ""mt"")"),"prestazzjoni")</f>
        <v>prestazzjoni</v>
      </c>
    </row>
    <row r="24405" ht="15.75" customHeight="1">
      <c r="A24405" s="2" t="s">
        <v>24405</v>
      </c>
      <c r="B24405" s="2" t="str">
        <f>IFERROR(__xludf.DUMMYFUNCTION("GOOGLETRANSLATE(A24405, ""en"", ""mt"")"),"taħt l-art")</f>
        <v>taħt l-art</v>
      </c>
    </row>
    <row r="24406" ht="15.75" customHeight="1">
      <c r="A24406" s="2" t="s">
        <v>24406</v>
      </c>
      <c r="B24406" s="2" t="str">
        <f>IFERROR(__xludf.DUMMYFUNCTION("GOOGLETRANSLATE(A24406, ""en"", ""mt"")"),"imperjalista")</f>
        <v>imperjalista</v>
      </c>
    </row>
    <row r="24407" ht="15.75" customHeight="1">
      <c r="A24407" s="2" t="s">
        <v>24407</v>
      </c>
      <c r="B24407" s="2" t="str">
        <f>IFERROR(__xludf.DUMMYFUNCTION("GOOGLETRANSLATE(A24407, ""en"", ""mt"")"),"Martin Luther meta rċieva t-Tabib tat-Teoloġija tiegħu?")</f>
        <v>Martin Luther meta rċieva t-Tabib tat-Teoloġija tiegħu?</v>
      </c>
    </row>
    <row r="24408" ht="15.75" customHeight="1">
      <c r="A24408" s="2" t="s">
        <v>24408</v>
      </c>
      <c r="B24408" s="2" t="str">
        <f>IFERROR(__xludf.DUMMYFUNCTION("GOOGLETRANSLATE(A24408, ""en"", ""mt"")"),"Sir Christopher Wren")</f>
        <v>Sir Christopher Wren</v>
      </c>
    </row>
    <row r="24409" ht="15.75" customHeight="1">
      <c r="A24409" s="2" t="s">
        <v>24409</v>
      </c>
      <c r="B24409" s="2" t="str">
        <f>IFERROR(__xludf.DUMMYFUNCTION("GOOGLETRANSLATE(A24409, ""en"", ""mt"")"),"Meta miet Martin Luther?")</f>
        <v>Meta miet Martin Luther?</v>
      </c>
    </row>
    <row r="24410" ht="15.75" customHeight="1">
      <c r="A24410" s="2" t="s">
        <v>24410</v>
      </c>
      <c r="B24410" s="2" t="str">
        <f>IFERROR(__xludf.DUMMYFUNCTION("GOOGLETRANSLATE(A24410, ""en"", ""mt"")"),"Satellita Calipso tan-NASA")</f>
        <v>Satellita Calipso tan-NASA</v>
      </c>
    </row>
    <row r="24411" ht="15.75" customHeight="1">
      <c r="A24411" s="2" t="s">
        <v>24411</v>
      </c>
      <c r="B24411" s="2" t="str">
        <f>IFERROR(__xludf.DUMMYFUNCTION("GOOGLETRANSLATE(A24411, ""en"", ""mt"")"),"X'jistgħu jitolbu lill-gruppi ta 'fidi li jagħmlu l-uffiċjal li jagħmel għalihom?")</f>
        <v>X'jistgħu jitolbu lill-gruppi ta 'fidi li jagħmlu l-uffiċjal li jagħmel għalihom?</v>
      </c>
    </row>
    <row r="24412" ht="15.75" customHeight="1">
      <c r="A24412" s="2" t="s">
        <v>24412</v>
      </c>
      <c r="B24412" s="2" t="str">
        <f>IFERROR(__xludf.DUMMYFUNCTION("GOOGLETRANSLATE(A24412, ""en"", ""mt"")"),"Dubbidjenza ċivili indiretta")</f>
        <v>Dubbidjenza ċivili indiretta</v>
      </c>
    </row>
    <row r="24413" ht="15.75" customHeight="1">
      <c r="A24413" s="2" t="s">
        <v>24413</v>
      </c>
      <c r="B24413" s="2" t="str">
        <f>IFERROR(__xludf.DUMMYFUNCTION("GOOGLETRANSLATE(A24413, ""en"", ""mt"")"),"swali ta 'studju")</f>
        <v>swali ta 'studju</v>
      </c>
    </row>
    <row r="24414" ht="15.75" customHeight="1">
      <c r="A24414" s="2" t="s">
        <v>24414</v>
      </c>
      <c r="B24414" s="2" t="str">
        <f>IFERROR(__xludf.DUMMYFUNCTION("GOOGLETRANSLATE(A24414, ""en"", ""mt"")"),"Liema avveniment segwa l-battalja?")</f>
        <v>Liema avveniment segwa l-battalja?</v>
      </c>
    </row>
    <row r="24415" ht="15.75" customHeight="1">
      <c r="A24415" s="2" t="s">
        <v>24415</v>
      </c>
      <c r="B24415" s="2" t="str">
        <f>IFERROR(__xludf.DUMMYFUNCTION("GOOGLETRANSLATE(A24415, ""en"", ""mt"")"),"linji dritti")</f>
        <v>linji dritti</v>
      </c>
    </row>
    <row r="24416" ht="15.75" customHeight="1">
      <c r="A24416" s="2" t="s">
        <v>24416</v>
      </c>
      <c r="B24416" s="2" t="str">
        <f>IFERROR(__xludf.DUMMYFUNCTION("GOOGLETRANSLATE(A24416, ""en"", ""mt"")"),"l-Għarab u ħafna mill-bqija tat-tielet dinja")</f>
        <v>l-Għarab u ħafna mill-bqija tat-tielet dinja</v>
      </c>
    </row>
    <row r="24417" ht="15.75" customHeight="1">
      <c r="A24417" s="2" t="s">
        <v>24417</v>
      </c>
      <c r="B24417" s="2" t="str">
        <f>IFERROR(__xludf.DUMMYFUNCTION("GOOGLETRANSLATE(A24417, ""en"", ""mt"")"),"Il-Parlament Ewropew u l-Kunsill tal-Unjoni Ewropea")</f>
        <v>Il-Parlament Ewropew u l-Kunsill tal-Unjoni Ewropea</v>
      </c>
    </row>
    <row r="24418" ht="15.75" customHeight="1">
      <c r="A24418" s="2" t="s">
        <v>24418</v>
      </c>
      <c r="B24418" s="2" t="str">
        <f>IFERROR(__xludf.DUMMYFUNCTION("GOOGLETRANSLATE(A24418, ""en"", ""mt"")"),"Żigarelli blu fil-logo intużaw biex jirrappreżentaw liema diviżjoni ta 'ABC?")</f>
        <v>Żigarelli blu fil-logo intużaw biex jirrappreżentaw liema diviżjoni ta 'ABC?</v>
      </c>
    </row>
    <row r="24419" ht="15.75" customHeight="1">
      <c r="A24419" s="2" t="s">
        <v>24419</v>
      </c>
      <c r="B24419" s="2" t="str">
        <f>IFERROR(__xludf.DUMMYFUNCTION("GOOGLETRANSLATE(A24419, ""en"", ""mt"")"),"Volpi")</f>
        <v>Volpi</v>
      </c>
    </row>
    <row r="24420" ht="15.75" customHeight="1">
      <c r="A24420" s="2" t="s">
        <v>24420</v>
      </c>
      <c r="B24420" s="2" t="str">
        <f>IFERROR(__xludf.DUMMYFUNCTION("GOOGLETRANSLATE(A24420, ""en"", ""mt"")"),"X'inhu l-ħsieb ta 'Luther dwar il-firxa tal-knisja tiegħu?")</f>
        <v>X'inhu l-ħsieb ta 'Luther dwar il-firxa tal-knisja tiegħu?</v>
      </c>
    </row>
    <row r="24421" ht="15.75" customHeight="1">
      <c r="A24421" s="2" t="s">
        <v>24421</v>
      </c>
      <c r="B24421" s="2" t="str">
        <f>IFERROR(__xludf.DUMMYFUNCTION("GOOGLETRANSLATE(A24421, ""en"", ""mt"")"),"Liema ġurnata kienet il-funeral ta 'Tesla?")</f>
        <v>Liema ġurnata kienet il-funeral ta 'Tesla?</v>
      </c>
    </row>
    <row r="24422" ht="15.75" customHeight="1">
      <c r="A24422" s="2" t="s">
        <v>24422</v>
      </c>
      <c r="B24422" s="2" t="str">
        <f>IFERROR(__xludf.DUMMYFUNCTION("GOOGLETRANSLATE(A24422, ""en"", ""mt"")"),"Wara sena sabiħa u għeja għad-dinja matul l-1968, x'tip ta 'tmiem għas-sena pprovdew l-immaġini mill-ispazju?")</f>
        <v>Wara sena sabiħa u għeja għad-dinja matul l-1968, x'tip ta 'tmiem għas-sena pprovdew l-immaġini mill-ispazju?</v>
      </c>
    </row>
    <row r="24423" ht="15.75" customHeight="1">
      <c r="A24423" s="2" t="s">
        <v>24423</v>
      </c>
      <c r="B24423" s="2" t="str">
        <f>IFERROR(__xludf.DUMMYFUNCTION("GOOGLETRANSLATE(A24423, ""en"", ""mt"")"),"fost il-plankton")</f>
        <v>fost il-plankton</v>
      </c>
    </row>
    <row r="24424" ht="15.75" customHeight="1">
      <c r="A24424" s="2" t="s">
        <v>24424</v>
      </c>
      <c r="B24424" s="2" t="str">
        <f>IFERROR(__xludf.DUMMYFUNCTION("GOOGLETRANSLATE(A24424, ""en"", ""mt"")"),"tifforma 'gallerija nazzjonali tal-arti Ingliża',")</f>
        <v>tifforma 'gallerija nazzjonali tal-arti Ingliża',</v>
      </c>
    </row>
    <row r="24425" ht="15.75" customHeight="1">
      <c r="A24425" s="2" t="s">
        <v>24425</v>
      </c>
      <c r="B24425" s="2" t="str">
        <f>IFERROR(__xludf.DUMMYFUNCTION("GOOGLETRANSLATE(A24425, ""en"", ""mt"")"),"Monitoraġġ tal-laboratorju, konsulenza dwar l-aderenza, u tassisti lill-pazjenti bi strateġiji ta 'l-ispejjeż meħtieġa biex jiksbu l-mediċini ta' speċjalità għaljin tagħhom")</f>
        <v>Monitoraġġ tal-laboratorju, konsulenza dwar l-aderenza, u tassisti lill-pazjenti bi strateġiji ta 'l-ispejjeż meħtieġa biex jiksbu l-mediċini ta' speċjalità għaljin tagħhom</v>
      </c>
    </row>
    <row r="24426" ht="15.75" customHeight="1">
      <c r="A24426" s="2" t="s">
        <v>24426</v>
      </c>
      <c r="B24426" s="2" t="str">
        <f>IFERROR(__xludf.DUMMYFUNCTION("GOOGLETRANSLATE(A24426, ""en"", ""mt"")"),"L-istadju 3 huwa l-aħħar stadju tal-abbozz u huwa meqjus f'laqgħa tal-Parlament kollu. Dan l-istadju jinkludi żewġ partijiet: konsiderazzjoni ta 'emendi għall-abbozz ta' liġi bħala dibattitu ġenerali, u vot finali fuq l-abbozz ta 'liġi. Il-membri tal-oppo"&amp;"żizzjoni jistgħu jwaqqfu ""emendi ta 'inkaljar"" għall-abbozz, iddisinjat biex ifixkel aktar il-progress u jieħu l-ħin parlamentari, biex jikkawża li l-abbozz jaqa' mingħajr ma jittieħed vot finali. Wara dibattitu ġenerali dwar il-forma finali tal-abbozz,"&amp;" il-membri jipproċedu jivvutaw fil-ħin tad-deċiżjoni dwar jekk jaqblux mal-prinċipji ġenerali tal-abbozz finali.")</f>
        <v>L-istadju 3 huwa l-aħħar stadju tal-abbozz u huwa meqjus f'laqgħa tal-Parlament kollu. Dan l-istadju jinkludi żewġ partijiet: konsiderazzjoni ta 'emendi għall-abbozz ta' liġi bħala dibattitu ġenerali, u vot finali fuq l-abbozz ta 'liġi. Il-membri tal-oppożizzjoni jistgħu jwaqqfu "emendi ta 'inkaljar" għall-abbozz, iddisinjat biex ifixkel aktar il-progress u jieħu l-ħin parlamentari, biex jikkawża li l-abbozz jaqa' mingħajr ma jittieħed vot finali. Wara dibattitu ġenerali dwar il-forma finali tal-abbozz, il-membri jipproċedu jivvutaw fil-ħin tad-deċiżjoni dwar jekk jaqblux mal-prinċipji ġenerali tal-abbozz finali.</v>
      </c>
    </row>
    <row r="24427" ht="15.75" customHeight="1">
      <c r="A24427" s="2" t="s">
        <v>24427</v>
      </c>
      <c r="B24427" s="2" t="str">
        <f>IFERROR(__xludf.DUMMYFUNCTION("GOOGLETRANSLATE(A24427, ""en"", ""mt"")"),"Skrin fluworexxenti")</f>
        <v>Skrin fluworexxenti</v>
      </c>
    </row>
    <row r="24428" ht="15.75" customHeight="1">
      <c r="A24428" s="2" t="s">
        <v>24428</v>
      </c>
      <c r="B24428" s="2" t="str">
        <f>IFERROR(__xludf.DUMMYFUNCTION("GOOGLETRANSLATE(A24428, ""en"", ""mt"")"),"15-il miljun")</f>
        <v>15-il miljun</v>
      </c>
    </row>
    <row r="24429" ht="15.75" customHeight="1">
      <c r="A24429" s="2" t="s">
        <v>24429</v>
      </c>
      <c r="B24429" s="2" t="str">
        <f>IFERROR(__xludf.DUMMYFUNCTION("GOOGLETRANSLATE(A24429, ""en"", ""mt"")"),"Bainbridges")</f>
        <v>Bainbridges</v>
      </c>
    </row>
    <row r="24430" ht="15.75" customHeight="1">
      <c r="A24430" s="2" t="s">
        <v>24430</v>
      </c>
      <c r="B24430" s="2" t="str">
        <f>IFERROR(__xludf.DUMMYFUNCTION("GOOGLETRANSLATE(A24430, ""en"", ""mt"")"),"Philip Roth")</f>
        <v>Philip Roth</v>
      </c>
    </row>
    <row r="24431" ht="15.75" customHeight="1">
      <c r="A24431" s="2" t="s">
        <v>24431</v>
      </c>
      <c r="B24431" s="2" t="str">
        <f>IFERROR(__xludf.DUMMYFUNCTION("GOOGLETRANSLATE(A24431, ""en"", ""mt"")"),"Fejn jintużaw xi kliem mid-djalett ta 'Geordia?")</f>
        <v>Fejn jintużaw xi kliem mid-djalett ta 'Geordia?</v>
      </c>
    </row>
    <row r="24432" ht="15.75" customHeight="1">
      <c r="A24432" s="2" t="s">
        <v>24432</v>
      </c>
      <c r="B24432" s="2" t="str">
        <f>IFERROR(__xludf.DUMMYFUNCTION("GOOGLETRANSLATE(A24432, ""en"", ""mt"")"),"kompletament reliġjuż")</f>
        <v>kompletament reliġjuż</v>
      </c>
    </row>
    <row r="24433" ht="15.75" customHeight="1">
      <c r="A24433" s="2" t="s">
        <v>24433</v>
      </c>
      <c r="B24433" s="2" t="str">
        <f>IFERROR(__xludf.DUMMYFUNCTION("GOOGLETRANSLATE(A24433, ""en"", ""mt"")"),"Bejn wieħed u ieħor kemm hemm akwarelli Ingliżi fil-kollezzjoni V&amp;A?")</f>
        <v>Bejn wieħed u ieħor kemm hemm akwarelli Ingliżi fil-kollezzjoni V&amp;A?</v>
      </c>
    </row>
    <row r="24434" ht="15.75" customHeight="1">
      <c r="A24434" s="2" t="s">
        <v>24434</v>
      </c>
      <c r="B24434" s="2" t="str">
        <f>IFERROR(__xludf.DUMMYFUNCTION("GOOGLETRANSLATE(A24434, ""en"", ""mt"")"),"Ipparteċipa fil-ħajja ekonomika ""fuq bażi stabbli u kontinwa""")</f>
        <v>Ipparteċipa fil-ħajja ekonomika "fuq bażi stabbli u kontinwa"</v>
      </c>
    </row>
    <row r="24435" ht="15.75" customHeight="1">
      <c r="A24435" s="2" t="s">
        <v>24435</v>
      </c>
      <c r="B24435" s="2" t="str">
        <f>IFERROR(__xludf.DUMMYFUNCTION("GOOGLETRANSLATE(A24435, ""en"", ""mt"")"),"Applikazzjonijiet bħal imħatri onlajn, applikazzjonijiet finanzjarji")</f>
        <v>Applikazzjonijiet bħal imħatri onlajn, applikazzjonijiet finanzjarji</v>
      </c>
    </row>
    <row r="24436" ht="15.75" customHeight="1">
      <c r="A24436" s="2" t="s">
        <v>24436</v>
      </c>
      <c r="B24436" s="2" t="str">
        <f>IFERROR(__xludf.DUMMYFUNCTION("GOOGLETRANSLATE(A24436, ""en"", ""mt"")"),"Liema stil storiku tal-arti ntuża fid-dekorazzjoni għall-parti tat-tramuntana tal-mużew?")</f>
        <v>Liema stil storiku tal-arti ntuża fid-dekorazzjoni għall-parti tat-tramuntana tal-mużew?</v>
      </c>
    </row>
    <row r="24437" ht="15.75" customHeight="1">
      <c r="A24437" s="2" t="s">
        <v>24437</v>
      </c>
      <c r="B24437" s="2" t="str">
        <f>IFERROR(__xludf.DUMMYFUNCTION("GOOGLETRANSLATE(A24437, ""en"", ""mt"")"),"X'inhu l-iktar aspett kontroversjali tal-imperjalizmu?")</f>
        <v>X'inhu l-iktar aspett kontroversjali tal-imperjalizmu?</v>
      </c>
    </row>
    <row r="24438" ht="15.75" customHeight="1">
      <c r="A24438" s="2" t="s">
        <v>24438</v>
      </c>
      <c r="B24438" s="2" t="str">
        <f>IFERROR(__xludf.DUMMYFUNCTION("GOOGLETRANSLATE(A24438, ""en"", ""mt"")"),"il-funzjoni tal-paviment")</f>
        <v>il-funzjoni tal-paviment</v>
      </c>
    </row>
    <row r="24439" ht="15.75" customHeight="1">
      <c r="A24439" s="2" t="s">
        <v>24439</v>
      </c>
      <c r="B24439" s="2" t="str">
        <f>IFERROR(__xludf.DUMMYFUNCTION("GOOGLETRANSLATE(A24439, ""en"", ""mt"")"),"blat metamorfiku")</f>
        <v>blat metamorfiku</v>
      </c>
    </row>
    <row r="24440" ht="15.75" customHeight="1">
      <c r="A24440" s="2" t="s">
        <v>24440</v>
      </c>
      <c r="B24440" s="2" t="str">
        <f>IFERROR(__xludf.DUMMYFUNCTION("GOOGLETRANSLATE(A24440, ""en"", ""mt"")"),"X'inhu aktar fundamentali mill-forza fit-teorija tal-kamp ta 'Quanton?")</f>
        <v>X'inhu aktar fundamentali mill-forza fit-teorija tal-kamp ta 'Quanton?</v>
      </c>
    </row>
    <row r="24441" ht="15.75" customHeight="1">
      <c r="A24441" s="2" t="s">
        <v>24441</v>
      </c>
      <c r="B24441" s="2" t="str">
        <f>IFERROR(__xludf.DUMMYFUNCTION("GOOGLETRANSLATE(A24441, ""en"", ""mt"")"),"Liema pajjiż ma jintlaqatx ħażin mill-embargo?")</f>
        <v>Liema pajjiż ma jintlaqatx ħażin mill-embargo?</v>
      </c>
    </row>
    <row r="24442" ht="15.75" customHeight="1">
      <c r="A24442" s="2" t="s">
        <v>24442</v>
      </c>
      <c r="B24442" s="2" t="str">
        <f>IFERROR(__xludf.DUMMYFUNCTION("GOOGLETRANSLATE(A24442, ""en"", ""mt"")"),"materjali mdewba ħdejn crater tal-impatt")</f>
        <v>materjali mdewba ħdejn crater tal-impatt</v>
      </c>
    </row>
    <row r="24443" ht="15.75" customHeight="1">
      <c r="A24443" s="2" t="s">
        <v>24443</v>
      </c>
      <c r="B24443" s="2" t="str">
        <f>IFERROR(__xludf.DUMMYFUNCTION("GOOGLETRANSLATE(A24443, ""en"", ""mt"")"),"Liema sena Robert J. Shiller rebaħ Premju Nobel tal-Ekonomija?")</f>
        <v>Liema sena Robert J. Shiller rebaħ Premju Nobel tal-Ekonomija?</v>
      </c>
    </row>
    <row r="24444" ht="15.75" customHeight="1">
      <c r="A24444" s="2" t="s">
        <v>24444</v>
      </c>
      <c r="B24444" s="2" t="str">
        <f>IFERROR(__xludf.DUMMYFUNCTION("GOOGLETRANSLATE(A24444, ""en"", ""mt"")"),"X'inhuma xi kawżi ta 'funzjoni immuni mnaqqsa f'pajjiżi żviluppati?")</f>
        <v>X'inhuma xi kawżi ta 'funzjoni immuni mnaqqsa f'pajjiżi żviluppati?</v>
      </c>
    </row>
    <row r="24445" ht="15.75" customHeight="1">
      <c r="A24445" s="2" t="s">
        <v>24445</v>
      </c>
      <c r="B24445" s="2" t="str">
        <f>IFERROR(__xludf.DUMMYFUNCTION("GOOGLETRANSLATE(A24445, ""en"", ""mt"")"),"Kumplessi kbar tal-proteini")</f>
        <v>Kumplessi kbar tal-proteini</v>
      </c>
    </row>
    <row r="24446" ht="15.75" customHeight="1">
      <c r="A24446" s="2" t="s">
        <v>24446</v>
      </c>
      <c r="B24446" s="2" t="str">
        <f>IFERROR(__xludf.DUMMYFUNCTION("GOOGLETRANSLATE(A24446, ""en"", ""mt"")"),"Kif jissejjaħ il-vapur spazjali tad-Doctor Who?")</f>
        <v>Kif jissejjaħ il-vapur spazjali tad-Doctor Who?</v>
      </c>
    </row>
    <row r="24447" ht="15.75" customHeight="1">
      <c r="A24447" s="2" t="s">
        <v>24447</v>
      </c>
      <c r="B24447" s="2" t="str">
        <f>IFERROR(__xludf.DUMMYFUNCTION("GOOGLETRANSLATE(A24447, ""en"", ""mt"")"),"Sunnyside")</f>
        <v>Sunnyside</v>
      </c>
    </row>
    <row r="24448" ht="15.75" customHeight="1">
      <c r="A24448" s="2" t="s">
        <v>24448</v>
      </c>
      <c r="B24448" s="2" t="str">
        <f>IFERROR(__xludf.DUMMYFUNCTION("GOOGLETRANSLATE(A24448, ""en"", ""mt"")"),"Denver ħa l-bidu tal-ftuħ u beda b’saħħtu ma ’Peyton Manning li temm pass ta ’18 -il tarzna għal tmiem strett ta’ Owen Daniels u tarmi ta ’22 tarzna għar-riċevitur Andre Caldwell. Par ta 'ġarr ta' C. J. Anderson ressaq il-ballun fuq 20 tarzna għal-linja t"&amp;"a '14-il bitħa tal-Panthers, iżda d-difiża ta' Carolina ħaffer matul it-tliet logħbiet li ġejjin. L-ewwel, il-linebacker Shaq Thompson ittratta lil Ronnie Hillman għal telfa ta '3-tarzna. Imbagħad wara inkompli, Thomas Davis ittratta lil Anderson għal qli"&amp;"għ ta '1-tarzna fit-tielet l-isfel, u ġiegħel lil Denver joqgħod għal vantaġġ ta' 3-0 fuq gowl ta 'Brandon McManus ta' 34-yard. L-iskor immarka l-ewwel darba fil-postseason kollu li Carolina kienet qed tiffaċċja defiċit.")</f>
        <v>Denver ħa l-bidu tal-ftuħ u beda b’saħħtu ma ’Peyton Manning li temm pass ta ’18 -il tarzna għal tmiem strett ta’ Owen Daniels u tarmi ta ’22 tarzna għar-riċevitur Andre Caldwell. Par ta 'ġarr ta' C. J. Anderson ressaq il-ballun fuq 20 tarzna għal-linja ta '14-il bitħa tal-Panthers, iżda d-difiża ta' Carolina ħaffer matul it-tliet logħbiet li ġejjin. L-ewwel, il-linebacker Shaq Thompson ittratta lil Ronnie Hillman għal telfa ta '3-tarzna. Imbagħad wara inkompli, Thomas Davis ittratta lil Anderson għal qligħ ta '1-tarzna fit-tielet l-isfel, u ġiegħel lil Denver joqgħod għal vantaġġ ta' 3-0 fuq gowl ta 'Brandon McManus ta' 34-yard. L-iskor immarka l-ewwel darba fil-postseason kollu li Carolina kienet qed tiffaċċja defiċit.</v>
      </c>
    </row>
    <row r="24449" ht="15.75" customHeight="1">
      <c r="A24449" s="2" t="s">
        <v>24449</v>
      </c>
      <c r="B24449" s="2" t="str">
        <f>IFERROR(__xludf.DUMMYFUNCTION("GOOGLETRANSLATE(A24449, ""en"", ""mt"")"),"X'tip ta 'żwieġ interetniku sar komuni fid-dinastija Jin?")</f>
        <v>X'tip ta 'żwieġ interetniku sar komuni fid-dinastija Jin?</v>
      </c>
    </row>
    <row r="24450" ht="15.75" customHeight="1">
      <c r="A24450" s="2" t="s">
        <v>24450</v>
      </c>
      <c r="B24450" s="2" t="str">
        <f>IFERROR(__xludf.DUMMYFUNCTION("GOOGLETRANSLATE(A24450, ""en"", ""mt"")"),"151 vot")</f>
        <v>151 vot</v>
      </c>
    </row>
    <row r="24451" ht="15.75" customHeight="1">
      <c r="A24451" s="2" t="s">
        <v>24451</v>
      </c>
      <c r="B24451" s="2" t="str">
        <f>IFERROR(__xludf.DUMMYFUNCTION("GOOGLETRANSLATE(A24451, ""en"", ""mt"")"),"Istituzzjonalment, in-Normanni kkombinaw il-makkinarju amministrattiv tal-Biżantini, l-Għarab, u l-Lombardi mal-kunċetti tagħhom stess tal-liġi feudali u jordnaw biex jiffurmaw gvern uniku. Taħt dan l-istat, kien hemm libertà reliġjuża kbira, u flimkien m"&amp;"al-nobbli Norman kienu jeżistu burokrazija meritokratika tal-Lhud, il-Musulmani u l-Insara, kemm Kattoliċi kif ukoll Ortodossi tal-Lvant. Ir-Renju ta 'Sqallija għalhekk sar ikkaratterizzat minn Norman, Biżantini Griegi, Għarab, Lombard u Popolazzjonijiet "&amp;"Sqalli ""Nattivi"" li jgħixu f'armonija, u l-mexxejja Norman tagħha kattru pjanijiet ta' stabbiliment ta 'imperu li kien ikollu l-Eġittu Fatimid kif ukoll l-istati ta' Kruċjat fil-post Levant. Wieħed mit-trattati ġeografiċi l-kbar tal-Medju Evu, it- ""Tab"&amp;"ula Rogeriana"", kien miktub mill-al-idrisi Andalusija għar-Re Roger II ta 'Sqallija, u intitolat ""Kitab Rudjdjar"" (""il-Ktieb ta' Roger"").")</f>
        <v>Istituzzjonalment, in-Normanni kkombinaw il-makkinarju amministrattiv tal-Biżantini, l-Għarab, u l-Lombardi mal-kunċetti tagħhom stess tal-liġi feudali u jordnaw biex jiffurmaw gvern uniku. Taħt dan l-istat, kien hemm libertà reliġjuża kbira, u flimkien mal-nobbli Norman kienu jeżistu burokrazija meritokratika tal-Lhud, il-Musulmani u l-Insara, kemm Kattoliċi kif ukoll Ortodossi tal-Lvant. Ir-Renju ta 'Sqallija għalhekk sar ikkaratterizzat minn Norman, Biżantini Griegi, Għarab, Lombard u Popolazzjonijiet Sqalli "Nattivi" li jgħixu f'armonija, u l-mexxejja Norman tagħha kattru pjanijiet ta' stabbiliment ta 'imperu li kien ikollu l-Eġittu Fatimid kif ukoll l-istati ta' Kruċjat fil-post Levant. Wieħed mit-trattati ġeografiċi l-kbar tal-Medju Evu, it- "Tabula Rogeriana", kien miktub mill-al-idrisi Andalusija għar-Re Roger II ta 'Sqallija, u intitolat "Kitab Rudjdjar" ("il-Ktieb ta' Roger").</v>
      </c>
    </row>
    <row r="24452" ht="15.75" customHeight="1">
      <c r="A24452" s="2" t="s">
        <v>24452</v>
      </c>
      <c r="B24452" s="2" t="str">
        <f>IFERROR(__xludf.DUMMYFUNCTION("GOOGLETRANSLATE(A24452, ""en"", ""mt"")"),"Ħdejn Sankt Goarshausen")</f>
        <v>Ħdejn Sankt Goarshausen</v>
      </c>
    </row>
    <row r="24453" ht="15.75" customHeight="1">
      <c r="A24453" s="2" t="s">
        <v>24453</v>
      </c>
      <c r="B24453" s="2" t="str">
        <f>IFERROR(__xludf.DUMMYFUNCTION("GOOGLETRANSLATE(A24453, ""en"", ""mt"")"),"sitt deheb")</f>
        <v>sitt deheb</v>
      </c>
    </row>
    <row r="24454" ht="15.75" customHeight="1">
      <c r="A24454" s="2" t="s">
        <v>24454</v>
      </c>
      <c r="B24454" s="2" t="str">
        <f>IFERROR(__xludf.DUMMYFUNCTION("GOOGLETRANSLATE(A24454, ""en"", ""mt"")"),"Meta Tesla ġiet miġjuba għand Gospic?")</f>
        <v>Meta Tesla ġiet miġjuba għand Gospic?</v>
      </c>
    </row>
    <row r="24455" ht="15.75" customHeight="1">
      <c r="A24455" s="2" t="s">
        <v>24455</v>
      </c>
      <c r="B24455" s="2" t="str">
        <f>IFERROR(__xludf.DUMMYFUNCTION("GOOGLETRANSLATE(A24455, ""en"", ""mt"")"),"stati individwali")</f>
        <v>stati individwali</v>
      </c>
    </row>
    <row r="24456" ht="15.75" customHeight="1">
      <c r="A24456" s="2" t="s">
        <v>24456</v>
      </c>
      <c r="B24456" s="2" t="str">
        <f>IFERROR(__xludf.DUMMYFUNCTION("GOOGLETRANSLATE(A24456, ""en"", ""mt"")"),"Kemm mill-effett ta 'serra huwa dovut għad-dijossidu tal-karbonju?")</f>
        <v>Kemm mill-effett ta 'serra huwa dovut għad-dijossidu tal-karbonju?</v>
      </c>
    </row>
    <row r="24457" ht="15.75" customHeight="1">
      <c r="A24457" s="2" t="s">
        <v>24457</v>
      </c>
      <c r="B24457" s="2" t="str">
        <f>IFERROR(__xludf.DUMMYFUNCTION("GOOGLETRANSLATE(A24457, ""en"", ""mt"")"),"Alka blu-aħdar")</f>
        <v>Alka blu-aħdar</v>
      </c>
    </row>
    <row r="24458" ht="15.75" customHeight="1">
      <c r="A24458" s="2" t="s">
        <v>24458</v>
      </c>
      <c r="B24458" s="2" t="str">
        <f>IFERROR(__xludf.DUMMYFUNCTION("GOOGLETRANSLATE(A24458, ""en"", ""mt"")"),"Densità akbar ta 'ilma kiesaħ")</f>
        <v>Densità akbar ta 'ilma kiesaħ</v>
      </c>
    </row>
    <row r="24459" ht="15.75" customHeight="1">
      <c r="A24459" s="2" t="s">
        <v>24459</v>
      </c>
      <c r="B24459" s="2" t="str">
        <f>IFERROR(__xludf.DUMMYFUNCTION("GOOGLETRANSLATE(A24459, ""en"", ""mt"")"),"Min ħabbar li kienet se tnaqqas bħala mexxej tal-Konservattivi?")</f>
        <v>Min ħabbar li kienet se tnaqqas bħala mexxej tal-Konservattivi?</v>
      </c>
    </row>
    <row r="24460" ht="15.75" customHeight="1">
      <c r="A24460" s="2" t="s">
        <v>24460</v>
      </c>
      <c r="B24460" s="2" t="str">
        <f>IFERROR(__xludf.DUMMYFUNCTION("GOOGLETRANSLATE(A24460, ""en"", ""mt"")"),"Ċirku ta 'numru sħiħ ta' oqsma ta 'numri kwadratiċi")</f>
        <v>Ċirku ta 'numru sħiħ ta' oqsma ta 'numri kwadratiċi</v>
      </c>
    </row>
    <row r="24461" ht="15.75" customHeight="1">
      <c r="A24461" s="2" t="s">
        <v>24461</v>
      </c>
      <c r="B24461" s="2" t="str">
        <f>IFERROR(__xludf.DUMMYFUNCTION("GOOGLETRANSLATE(A24461, ""en"", ""mt"")"),"La aħna qed nagħmlu sforz massimu u lanqas niksbu r-riżultati meħtieġa jekk dan il-pajjiż għandu jilħaq pożizzjoni ta 'tmexxija")</f>
        <v>La aħna qed nagħmlu sforz massimu u lanqas niksbu r-riżultati meħtieġa jekk dan il-pajjiż għandu jilħaq pożizzjoni ta 'tmexxija</v>
      </c>
    </row>
    <row r="24462" ht="15.75" customHeight="1">
      <c r="A24462" s="2" t="s">
        <v>24462</v>
      </c>
      <c r="B24462" s="2" t="str">
        <f>IFERROR(__xludf.DUMMYFUNCTION("GOOGLETRANSLATE(A24462, ""en"", ""mt"")"),"Liema persentaġġ ta 'studenti tal-iskola primarja Filippina jinsabu fi skejjel privati?")</f>
        <v>Liema persentaġġ ta 'studenti tal-iskola primarja Filippina jinsabu fi skejjel privati?</v>
      </c>
    </row>
    <row r="24463" ht="15.75" customHeight="1">
      <c r="A24463" s="2" t="s">
        <v>24463</v>
      </c>
      <c r="B24463" s="2" t="str">
        <f>IFERROR(__xludf.DUMMYFUNCTION("GOOGLETRANSLATE(A24463, ""en"", ""mt"")"),"Ahoaa")</f>
        <v>Ahoaa</v>
      </c>
    </row>
    <row r="24464" ht="15.75" customHeight="1">
      <c r="A24464" s="2" t="s">
        <v>24464</v>
      </c>
      <c r="B24464" s="2" t="str">
        <f>IFERROR(__xludf.DUMMYFUNCTION("GOOGLETRANSLATE(A24464, ""en"", ""mt"")"),"Fis-sens li dawk kollha li huma verament jemmnu f'kull età jappartjenu lill-Knisja Mqaddsa inviżibbli, filwaqt li l-Knisja Metodista Magħquda hija fergħa tal-Knisja viżibbli,")</f>
        <v>Fis-sens li dawk kollha li huma verament jemmnu f'kull età jappartjenu lill-Knisja Mqaddsa inviżibbli, filwaqt li l-Knisja Metodista Magħquda hija fergħa tal-Knisja viżibbli,</v>
      </c>
    </row>
    <row r="24465" ht="15.75" customHeight="1">
      <c r="A24465" s="2" t="s">
        <v>24465</v>
      </c>
      <c r="B24465" s="2" t="str">
        <f>IFERROR(__xludf.DUMMYFUNCTION("GOOGLETRANSLATE(A24465, ""en"", ""mt"")"),"Konvenzjoni Qafas tan-Nazzjonijiet Uniti dwar it-Tibdil fil-Klima")</f>
        <v>Konvenzjoni Qafas tan-Nazzjonijiet Uniti dwar it-Tibdil fil-Klima</v>
      </c>
    </row>
    <row r="24466" ht="15.75" customHeight="1">
      <c r="A24466" s="2" t="s">
        <v>24466</v>
      </c>
      <c r="B24466" s="2" t="str">
        <f>IFERROR(__xludf.DUMMYFUNCTION("GOOGLETRANSLATE(A24466, ""en"", ""mt"")"),"Liema teorema tiddikjara li l-probabbiltà li numru n huwa prim inversament proporzjonali mal-logaritmu tiegħu?")</f>
        <v>Liema teorema tiddikjara li l-probabbiltà li numru n huwa prim inversament proporzjonali mal-logaritmu tiegħu?</v>
      </c>
    </row>
    <row r="24467" ht="15.75" customHeight="1">
      <c r="A24467" s="2" t="s">
        <v>24467</v>
      </c>
      <c r="B24467" s="2" t="str">
        <f>IFERROR(__xludf.DUMMYFUNCTION("GOOGLETRANSLATE(A24467, ""en"", ""mt"")"),"Mudelli matematiċi")</f>
        <v>Mudelli matematiċi</v>
      </c>
    </row>
    <row r="24468" ht="15.75" customHeight="1">
      <c r="A24468" s="2" t="s">
        <v>24468</v>
      </c>
      <c r="B24468" s="2" t="str">
        <f>IFERROR(__xludf.DUMMYFUNCTION("GOOGLETRANSLATE(A24468, ""en"", ""mt"")"),"Ċiniż tan-Nofsinhar")</f>
        <v>Ċiniż tan-Nofsinhar</v>
      </c>
    </row>
    <row r="24469" ht="15.75" customHeight="1">
      <c r="A24469" s="2" t="s">
        <v>24469</v>
      </c>
      <c r="B24469" s="2" t="str">
        <f>IFERROR(__xludf.DUMMYFUNCTION("GOOGLETRANSLATE(A24469, ""en"", ""mt"")"),"X'kien Huihui?")</f>
        <v>X'kien Huihui?</v>
      </c>
    </row>
    <row r="24470" ht="15.75" customHeight="1">
      <c r="A24470" s="2" t="s">
        <v>24470</v>
      </c>
      <c r="B24470" s="2" t="str">
        <f>IFERROR(__xludf.DUMMYFUNCTION("GOOGLETRANSLATE(A24470, ""en"", ""mt"")"),"Sayyid Abul Ala Maududi kien figura importanti tas-seklu għoxrin kmieni fil-qawmien mill-ġdid Iżlamiku fl-Indja, u wara wara l-indipendenza mill-Gran Brittanja, fil-Pakistan. Imħarreġ bħala avukat huwa għażel il-professjoni tal-ġurnaliżmu, u kiteb dwar kw"&amp;"istjonijiet kontemporanji u l-iktar importanti dwar l-Iżlam u l-liġi Iżlamika. Maududi waqqaf il-Partit Jamaat-e-Islami fl-1941 u baqa 'l-mexxej tiegħu sal-1972. Madankollu, Maududi kellu impatt ferm aktar permezz tal-kitba tiegħu milli permezz tal-organi"&amp;"zzazzjoni politika tiegħu. Il-kotba estremament influwenti tiegħu (tradotti f’ħafna lingwi) poġġew l-Iżlam f’kuntest modern, u influwenzaw mhux biss l-Iżlamisti tal-Modernizzatur tal-Ulema konservattivi iżda l-modernizzatur liberali bħal al-Faruqi, li l- "&amp;"""Iżlamizzazzjoni tal-Għarfien” tagħhom imexxu 'l quddiem uħud mill-prinċipji ewlenin ta' Maududi.")</f>
        <v>Sayyid Abul Ala Maududi kien figura importanti tas-seklu għoxrin kmieni fil-qawmien mill-ġdid Iżlamiku fl-Indja, u wara wara l-indipendenza mill-Gran Brittanja, fil-Pakistan. Imħarreġ bħala avukat huwa għażel il-professjoni tal-ġurnaliżmu, u kiteb dwar kwistjonijiet kontemporanji u l-iktar importanti dwar l-Iżlam u l-liġi Iżlamika. Maududi waqqaf il-Partit Jamaat-e-Islami fl-1941 u baqa 'l-mexxej tiegħu sal-1972. Madankollu, Maududi kellu impatt ferm aktar permezz tal-kitba tiegħu milli permezz tal-organizzazzjoni politika tiegħu. Il-kotba estremament influwenti tiegħu (tradotti f’ħafna lingwi) poġġew l-Iżlam f’kuntest modern, u influwenzaw mhux biss l-Iżlamisti tal-Modernizzatur tal-Ulema konservattivi iżda l-modernizzatur liberali bħal al-Faruqi, li l- "Iżlamizzazzjoni tal-Għarfien” tagħhom imexxu 'l quddiem uħud mill-prinċipji ewlenin ta' Maududi.</v>
      </c>
    </row>
    <row r="24471" ht="15.75" customHeight="1">
      <c r="A24471" s="2" t="s">
        <v>24471</v>
      </c>
      <c r="B24471" s="2" t="str">
        <f>IFERROR(__xludf.DUMMYFUNCTION("GOOGLETRANSLATE(A24471, ""en"", ""mt"")"),"Fejn huma ddikjarati kwistjonijiet riservati fl-Att tal-Iskozja?")</f>
        <v>Fejn huma ddikjarati kwistjonijiet riservati fl-Att tal-Iskozja?</v>
      </c>
    </row>
    <row r="24472" ht="15.75" customHeight="1">
      <c r="A24472" s="2" t="s">
        <v>24472</v>
      </c>
      <c r="B24472" s="2" t="str">
        <f>IFERROR(__xludf.DUMMYFUNCTION("GOOGLETRANSLATE(A24472, ""en"", ""mt"")"),"Meta deher il-ħdax-il tabib fis-serje Sarah Jane?")</f>
        <v>Meta deher il-ħdax-il tabib fis-serje Sarah Jane?</v>
      </c>
    </row>
    <row r="24473" ht="15.75" customHeight="1">
      <c r="A24473" s="2" t="s">
        <v>24473</v>
      </c>
      <c r="B24473" s="2" t="str">
        <f>IFERROR(__xludf.DUMMYFUNCTION("GOOGLETRANSLATE(A24473, ""en"", ""mt"")"),"Drapp ta 'San Gereon")</f>
        <v>Drapp ta 'San Gereon</v>
      </c>
    </row>
    <row r="24474" ht="15.75" customHeight="1">
      <c r="A24474" s="2" t="s">
        <v>24474</v>
      </c>
      <c r="B24474" s="2" t="str">
        <f>IFERROR(__xludf.DUMMYFUNCTION("GOOGLETRANSLATE(A24474, ""en"", ""mt"")"),"Min jistudja l-fluss monetarju mistenni matul il-ħajja tal-proġett u biex jimmonitorja l-ħlasijiet matul il-proċess?")</f>
        <v>Min jistudja l-fluss monetarju mistenni matul il-ħajja tal-proġett u biex jimmonitorja l-ħlasijiet matul il-proċess?</v>
      </c>
    </row>
    <row r="24475" ht="15.75" customHeight="1">
      <c r="A24475" s="2" t="s">
        <v>24475</v>
      </c>
      <c r="B24475" s="2" t="str">
        <f>IFERROR(__xludf.DUMMYFUNCTION("GOOGLETRANSLATE(A24475, ""en"", ""mt"")"),"Liema individwi kienu responsabbli biex jawtorixxu ""dwar il-kumplessità tal-komputazzjoni tal-algoritmi""?")</f>
        <v>Liema individwi kienu responsabbli biex jawtorixxu "dwar il-kumplessità tal-komputazzjoni tal-algoritmi"?</v>
      </c>
    </row>
    <row r="24476" ht="15.75" customHeight="1">
      <c r="A24476" s="2" t="s">
        <v>24476</v>
      </c>
      <c r="B24476" s="2" t="str">
        <f>IFERROR(__xludf.DUMMYFUNCTION("GOOGLETRANSLATE(A24476, ""en"", ""mt"")"),"kieku ma kinux diskriminatorji, ""ġustifikati minn rekwiżiti imperattivi fl-interess ġenerali"" u applikati b'mod proporzjonat")</f>
        <v>kieku ma kinux diskriminatorji, "ġustifikati minn rekwiżiti imperattivi fl-interess ġenerali" u applikati b'mod proporzjonat</v>
      </c>
    </row>
    <row r="24477" ht="15.75" customHeight="1">
      <c r="A24477" s="2" t="s">
        <v>24477</v>
      </c>
      <c r="B24477" s="2" t="str">
        <f>IFERROR(__xludf.DUMMYFUNCTION("GOOGLETRANSLATE(A24477, ""en"", ""mt"")"),"Unions tal-istess sess")</f>
        <v>Unions tal-istess sess</v>
      </c>
    </row>
    <row r="24478" ht="15.75" customHeight="1">
      <c r="A24478" s="2" t="s">
        <v>24478</v>
      </c>
      <c r="B24478" s="2" t="str">
        <f>IFERROR(__xludf.DUMMYFUNCTION("GOOGLETRANSLATE(A24478, ""en"", ""mt"")"),"38–41 ° C.")</f>
        <v>38–41 ° C.</v>
      </c>
    </row>
    <row r="24479" ht="15.75" customHeight="1">
      <c r="A24479" s="2" t="s">
        <v>24479</v>
      </c>
      <c r="B24479" s="2" t="str">
        <f>IFERROR(__xludf.DUMMYFUNCTION("GOOGLETRANSLATE(A24479, ""en"", ""mt"")"),"X'kienu l-Finanzi ta 'Lane u Vail?")</f>
        <v>X'kienu l-Finanzi ta 'Lane u Vail?</v>
      </c>
    </row>
    <row r="24480" ht="15.75" customHeight="1">
      <c r="A24480" s="2" t="s">
        <v>24480</v>
      </c>
      <c r="B24480" s="2" t="str">
        <f>IFERROR(__xludf.DUMMYFUNCTION("GOOGLETRANSLATE(A24480, ""en"", ""mt"")"),"L-Asja tal-Lvant")</f>
        <v>L-Asja tal-Lvant</v>
      </c>
    </row>
    <row r="24481" ht="15.75" customHeight="1">
      <c r="A24481" s="2" t="s">
        <v>24481</v>
      </c>
      <c r="B24481" s="2" t="str">
        <f>IFERROR(__xludf.DUMMYFUNCTION("GOOGLETRANSLATE(A24481, ""en"", ""mt"")"),"Liema artikolu tat-TEFU jiddikjara li l-ebda restrizzjonijiet kwantitattivi ma jistgħu jitqiegħdu fuq il-kummerċ?")</f>
        <v>Liema artikolu tat-TEFU jiddikjara li l-ebda restrizzjonijiet kwantitattivi ma jistgħu jitqiegħdu fuq il-kummerċ?</v>
      </c>
    </row>
    <row r="24482" ht="15.75" customHeight="1">
      <c r="A24482" s="2" t="s">
        <v>24482</v>
      </c>
      <c r="B24482" s="2" t="str">
        <f>IFERROR(__xludf.DUMMYFUNCTION("GOOGLETRANSLATE(A24482, ""en"", ""mt"")"),"Williams")</f>
        <v>Williams</v>
      </c>
    </row>
    <row r="24483" ht="15.75" customHeight="1">
      <c r="A24483" s="2" t="s">
        <v>24483</v>
      </c>
      <c r="B24483" s="2" t="str">
        <f>IFERROR(__xludf.DUMMYFUNCTION("GOOGLETRANSLATE(A24483, ""en"", ""mt"")"),"Id-daħla għall-istudjo 5")</f>
        <v>Id-daħla għall-istudjo 5</v>
      </c>
    </row>
    <row r="24484" ht="15.75" customHeight="1">
      <c r="A24484" s="2" t="s">
        <v>24484</v>
      </c>
      <c r="B24484" s="2" t="str">
        <f>IFERROR(__xludf.DUMMYFUNCTION("GOOGLETRANSLATE(A24484, ""en"", ""mt"")"),"Jane Kim")</f>
        <v>Jane Kim</v>
      </c>
    </row>
    <row r="24485" ht="15.75" customHeight="1">
      <c r="A24485" s="2" t="s">
        <v>24485</v>
      </c>
      <c r="B24485" s="2" t="str">
        <f>IFERROR(__xludf.DUMMYFUNCTION("GOOGLETRANSLATE(A24485, ""en"", ""mt"")"),"1638")</f>
        <v>1638</v>
      </c>
    </row>
    <row r="24486" ht="15.75" customHeight="1">
      <c r="A24486" s="2" t="s">
        <v>24486</v>
      </c>
      <c r="B24486" s="2" t="str">
        <f>IFERROR(__xludf.DUMMYFUNCTION("GOOGLETRANSLATE(A24486, ""en"", ""mt"")"),"Id-dmirijiet professjonali ta 'għalliem jistgħu jestendu lil hinn mit-tagħlim formali. Barra mill-klassi l-għalliema jistgħu jakkumpanjaw lill-istudenti fuq vjaġġi fuq il-post, jissorveljaw is-swali ta 'studju, jgħinu fl-organizzazzjoni tal-funzjonijiet t"&amp;"al-iskola, u jservu bħala superviżuri għal attivitajiet extra-kurrikulari. F’xi sistemi edukattivi, l-għalliema jista ’jkollhom ir-responsabbiltà għad-dixxiplina tal-istudenti.")</f>
        <v>Id-dmirijiet professjonali ta 'għalliem jistgħu jestendu lil hinn mit-tagħlim formali. Barra mill-klassi l-għalliema jistgħu jakkumpanjaw lill-istudenti fuq vjaġġi fuq il-post, jissorveljaw is-swali ta 'studju, jgħinu fl-organizzazzjoni tal-funzjonijiet tal-iskola, u jservu bħala superviżuri għal attivitajiet extra-kurrikulari. F’xi sistemi edukattivi, l-għalliema jista ’jkollhom ir-responsabbiltà għad-dixxiplina tal-istudenti.</v>
      </c>
    </row>
    <row r="24487" ht="15.75" customHeight="1">
      <c r="A24487" s="2" t="s">
        <v>24487</v>
      </c>
      <c r="B24487" s="2" t="str">
        <f>IFERROR(__xludf.DUMMYFUNCTION("GOOGLETRANSLATE(A24487, ""en"", ""mt"")"),"Iċ-ċentru f'Pariġi jinsab ħdejn liema xmara?")</f>
        <v>Iċ-ċentru f'Pariġi jinsab ħdejn liema xmara?</v>
      </c>
    </row>
    <row r="24488" ht="15.75" customHeight="1">
      <c r="A24488" s="2" t="s">
        <v>24488</v>
      </c>
      <c r="B24488" s="2" t="str">
        <f>IFERROR(__xludf.DUMMYFUNCTION("GOOGLETRANSLATE(A24488, ""en"", ""mt"")"),"Assoċjazzjoni ta 'Universitajiet Amerikani")</f>
        <v>Assoċjazzjoni ta 'Universitajiet Amerikani</v>
      </c>
    </row>
    <row r="24489" ht="15.75" customHeight="1">
      <c r="A24489" s="2" t="s">
        <v>24489</v>
      </c>
      <c r="B24489" s="2" t="str">
        <f>IFERROR(__xludf.DUMMYFUNCTION("GOOGLETRANSLATE(A24489, ""en"", ""mt"")"),"11")</f>
        <v>11</v>
      </c>
    </row>
    <row r="24490" ht="15.75" customHeight="1">
      <c r="A24490" s="2" t="s">
        <v>24490</v>
      </c>
      <c r="B24490" s="2" t="str">
        <f>IFERROR(__xludf.DUMMYFUNCTION("GOOGLETRANSLATE(A24490, ""en"", ""mt"")"),"ħin u ħażna")</f>
        <v>ħin u ħażna</v>
      </c>
    </row>
    <row r="24491" ht="15.75" customHeight="1">
      <c r="A24491" s="2" t="s">
        <v>24491</v>
      </c>
      <c r="B24491" s="2" t="str">
        <f>IFERROR(__xludf.DUMMYFUNCTION("GOOGLETRANSLATE(A24491, ""en"", ""mt"")"),"Orbiter ta 'għarfien robotiku lunar")</f>
        <v>Orbiter ta 'għarfien robotiku lunar</v>
      </c>
    </row>
    <row r="24492" ht="15.75" customHeight="1">
      <c r="A24492" s="2" t="s">
        <v>24492</v>
      </c>
      <c r="B24492" s="2" t="str">
        <f>IFERROR(__xludf.DUMMYFUNCTION("GOOGLETRANSLATE(A24492, ""en"", ""mt"")"),"Mycobacterium tuberculosis")</f>
        <v>Mycobacterium tuberculosis</v>
      </c>
    </row>
    <row r="24493" ht="15.75" customHeight="1">
      <c r="A24493" s="2" t="s">
        <v>24493</v>
      </c>
      <c r="B24493" s="2" t="str">
        <f>IFERROR(__xludf.DUMMYFUNCTION("GOOGLETRANSLATE(A24493, ""en"", ""mt"")"),"Il-klima se tkun kwistjoni ċentrali fil-pjan imġedded ta 'terminu medju li se jitnieda fix-xhur li ġejjin")</f>
        <v>Il-klima se tkun kwistjoni ċentrali fil-pjan imġedded ta 'terminu medju li se jitnieda fix-xhur li ġejjin</v>
      </c>
    </row>
    <row r="24494" ht="15.75" customHeight="1">
      <c r="A24494" s="2" t="s">
        <v>24494</v>
      </c>
      <c r="B24494" s="2" t="str">
        <f>IFERROR(__xludf.DUMMYFUNCTION("GOOGLETRANSLATE(A24494, ""en"", ""mt"")"),"Distakk fil-produttività")</f>
        <v>Distakk fil-produttività</v>
      </c>
    </row>
    <row r="24495" ht="15.75" customHeight="1">
      <c r="A24495" s="2" t="s">
        <v>24495</v>
      </c>
      <c r="B24495" s="2" t="str">
        <f>IFERROR(__xludf.DUMMYFUNCTION("GOOGLETRANSLATE(A24495, ""en"", ""mt"")"),"tliet gruppi")</f>
        <v>tliet gruppi</v>
      </c>
    </row>
    <row r="24496" ht="15.75" customHeight="1">
      <c r="A24496" s="2" t="s">
        <v>24496</v>
      </c>
      <c r="B24496" s="2" t="str">
        <f>IFERROR(__xludf.DUMMYFUNCTION("GOOGLETRANSLATE(A24496, ""en"", ""mt"")"),"Meta ġiet stabbilita l-Università ta 'Chicago?")</f>
        <v>Meta ġiet stabbilita l-Università ta 'Chicago?</v>
      </c>
    </row>
    <row r="24497" ht="15.75" customHeight="1">
      <c r="A24497" s="2" t="s">
        <v>24497</v>
      </c>
      <c r="B24497" s="2" t="str">
        <f>IFERROR(__xludf.DUMMYFUNCTION("GOOGLETRANSLATE(A24497, ""en"", ""mt"")"),"Letteratura voluminuża")</f>
        <v>Letteratura voluminuża</v>
      </c>
    </row>
    <row r="24498" ht="15.75" customHeight="1">
      <c r="A24498" s="2" t="s">
        <v>24498</v>
      </c>
      <c r="B24498" s="2" t="str">
        <f>IFERROR(__xludf.DUMMYFUNCTION("GOOGLETRANSLATE(A24498, ""en"", ""mt"")"),"X'tip ta 'ċelloli jaħkmu jew jieklu patoġeni u partiċelli barranin?")</f>
        <v>X'tip ta 'ċelloli jaħkmu jew jieklu patoġeni u partiċelli barranin?</v>
      </c>
    </row>
    <row r="24499" ht="15.75" customHeight="1">
      <c r="A24499" s="2" t="s">
        <v>24499</v>
      </c>
      <c r="B24499" s="2" t="str">
        <f>IFERROR(__xludf.DUMMYFUNCTION("GOOGLETRANSLATE(A24499, ""en"", ""mt"")"),"Lyndon B. Johnson")</f>
        <v>Lyndon B. Johnson</v>
      </c>
    </row>
    <row r="24500" ht="15.75" customHeight="1">
      <c r="A24500" s="2" t="s">
        <v>24500</v>
      </c>
      <c r="B24500" s="2" t="str">
        <f>IFERROR(__xludf.DUMMYFUNCTION("GOOGLETRANSLATE(A24500, ""en"", ""mt"")"),"ħafna ħwawar oħra mhux elenkati")</f>
        <v>ħafna ħwawar oħra mhux elenkati</v>
      </c>
    </row>
    <row r="24501" ht="15.75" customHeight="1">
      <c r="A24501" s="2" t="s">
        <v>24501</v>
      </c>
      <c r="B24501" s="2" t="str">
        <f>IFERROR(__xludf.DUMMYFUNCTION("GOOGLETRANSLATE(A24501, ""en"", ""mt"")"),"Id-disinn preliminari ta 'Apollo ta' Maxime Faget impjegat modulu ta 'kmand b'forma ta' kon, appoġġjat minn wieħed minn bosta moduli ta 'servizz li jipprovdu propulsjoni u enerġija elettrika, daqs xieraq għall-istazzjon spazjali, cislunar, u missjonijiet "&amp;"ta' inżul Lunar. Ladarba l-għan tal-inżul tal-qamar ta 'Kennedy sar uffiċjali, id-disinn dettaljat beda minn Modulu ta' Kmand / Servizz (CSM) li fih l-ekwipaġġ kien iqatta 'l-missjoni diretta kollha u jneħħi mill-wiċċ Lunar għall-vjaġġ tar-ritorn, wara mo"&amp;"dulu akbar ta 'propulsjoni tal-inżul. L-aħħar għażla ta 'rendezvous orbita lunari biddlet ir-rwol tas-CSM għall-lanċa tat-traduzzjoni użata biex tittrasporta l-ekwipaġġ, flimkien ma' vettura spazjali ġdida, il-modulu ta 'eskursjoni lunari (LEM, aktar tard"&amp;" imqassar għall-modulu Lunar, LM) li kien jieħu żewġt irġiel lejn il-Lunar wiċċ u rritornahom lejn is-CSM.")</f>
        <v>Id-disinn preliminari ta 'Apollo ta' Maxime Faget impjegat modulu ta 'kmand b'forma ta' kon, appoġġjat minn wieħed minn bosta moduli ta 'servizz li jipprovdu propulsjoni u enerġija elettrika, daqs xieraq għall-istazzjon spazjali, cislunar, u missjonijiet ta' inżul Lunar. Ladarba l-għan tal-inżul tal-qamar ta 'Kennedy sar uffiċjali, id-disinn dettaljat beda minn Modulu ta' Kmand / Servizz (CSM) li fih l-ekwipaġġ kien iqatta 'l-missjoni diretta kollha u jneħħi mill-wiċċ Lunar għall-vjaġġ tar-ritorn, wara modulu akbar ta 'propulsjoni tal-inżul. L-aħħar għażla ta 'rendezvous orbita lunari biddlet ir-rwol tas-CSM għall-lanċa tat-traduzzjoni użata biex tittrasporta l-ekwipaġġ, flimkien ma' vettura spazjali ġdida, il-modulu ta 'eskursjoni lunari (LEM, aktar tard imqassar għall-modulu Lunar, LM) li kien jieħu żewġt irġiel lejn il-Lunar wiċċ u rritornahom lejn is-CSM.</v>
      </c>
    </row>
    <row r="24502" ht="15.75" customHeight="1">
      <c r="A24502" s="2" t="s">
        <v>24502</v>
      </c>
      <c r="B24502" s="2" t="str">
        <f>IFERROR(__xludf.DUMMYFUNCTION("GOOGLETRANSLATE(A24502, ""en"", ""mt"")"),"Newcastle")</f>
        <v>Newcastle</v>
      </c>
    </row>
    <row r="24503" ht="15.75" customHeight="1">
      <c r="A24503" s="2" t="s">
        <v>24503</v>
      </c>
      <c r="B24503" s="2" t="str">
        <f>IFERROR(__xludf.DUMMYFUNCTION("GOOGLETRANSLATE(A24503, ""en"", ""mt"")"),"fil-btieti tal-aringi")</f>
        <v>fil-btieti tal-aringi</v>
      </c>
    </row>
    <row r="24504" ht="15.75" customHeight="1">
      <c r="A24504" s="2" t="s">
        <v>24504</v>
      </c>
      <c r="B24504" s="2" t="str">
        <f>IFERROR(__xludf.DUMMYFUNCTION("GOOGLETRANSLATE(A24504, ""en"", ""mt"")"),"13 mill-protestanti ppruvaw jidħlu fis-sit tat-test")</f>
        <v>13 mill-protestanti ppruvaw jidħlu fis-sit tat-test</v>
      </c>
    </row>
    <row r="24505" ht="15.75" customHeight="1">
      <c r="A24505" s="2" t="s">
        <v>24505</v>
      </c>
      <c r="B24505" s="2" t="str">
        <f>IFERROR(__xludf.DUMMYFUNCTION("GOOGLETRANSLATE(A24505, ""en"", ""mt"")"),"Att tal-Iskozja 1998")</f>
        <v>Att tal-Iskozja 1998</v>
      </c>
    </row>
    <row r="24506" ht="15.75" customHeight="1">
      <c r="A24506" s="2" t="s">
        <v>24506</v>
      </c>
      <c r="B24506" s="2" t="str">
        <f>IFERROR(__xludf.DUMMYFUNCTION("GOOGLETRANSLATE(A24506, ""en"", ""mt"")"),"programmi biex jiġu evitati diżastri simili fil-futur")</f>
        <v>programmi biex jiġu evitati diżastri simili fil-futur</v>
      </c>
    </row>
    <row r="24507" ht="15.75" customHeight="1">
      <c r="A24507" s="2" t="s">
        <v>24507</v>
      </c>
      <c r="B24507" s="2" t="str">
        <f>IFERROR(__xludf.DUMMYFUNCTION("GOOGLETRANSLATE(A24507, ""en"", ""mt"")"),"Ma 'liema tipi ta' mard jintużaw ħafna drabi drogi speċjalizzati?")</f>
        <v>Ma 'liema tipi ta' mard jintużaw ħafna drabi drogi speċjalizzati?</v>
      </c>
    </row>
    <row r="24508" ht="15.75" customHeight="1">
      <c r="A24508" s="2" t="s">
        <v>24508</v>
      </c>
      <c r="B24508" s="2" t="str">
        <f>IFERROR(__xludf.DUMMYFUNCTION("GOOGLETRANSLATE(A24508, ""en"", ""mt"")"),"kurrent elettriku")</f>
        <v>kurrent elettriku</v>
      </c>
    </row>
    <row r="24509" ht="15.75" customHeight="1">
      <c r="A24509" s="2" t="s">
        <v>24509</v>
      </c>
      <c r="B24509" s="2" t="str">
        <f>IFERROR(__xludf.DUMMYFUNCTION("GOOGLETRANSLATE(A24509, ""en"", ""mt"")"),"Kemm-il darba jiltaqa 'l-Kunsill Ewropew?")</f>
        <v>Kemm-il darba jiltaqa 'l-Kunsill Ewropew?</v>
      </c>
    </row>
    <row r="24510" ht="15.75" customHeight="1">
      <c r="A24510" s="2" t="s">
        <v>24510</v>
      </c>
      <c r="B24510" s="2" t="str">
        <f>IFERROR(__xludf.DUMMYFUNCTION("GOOGLETRANSLATE(A24510, ""en"", ""mt"")"),"X'inhi l-konfini legali wara l-qoxra għolja u ta 'fuq?")</f>
        <v>X'inhi l-konfini legali wara l-qoxra għolja u ta 'fuq?</v>
      </c>
    </row>
    <row r="24511" ht="15.75" customHeight="1">
      <c r="A24511" s="2" t="s">
        <v>24511</v>
      </c>
      <c r="B24511" s="2" t="str">
        <f>IFERROR(__xludf.DUMMYFUNCTION("GOOGLETRANSLATE(A24511, ""en"", ""mt"")"),"$ 32 biljun")</f>
        <v>$ 32 biljun</v>
      </c>
    </row>
    <row r="24512" ht="15.75" customHeight="1">
      <c r="A24512" s="2" t="s">
        <v>24512</v>
      </c>
      <c r="B24512" s="2" t="str">
        <f>IFERROR(__xludf.DUMMYFUNCTION("GOOGLETRANSLATE(A24512, ""en"", ""mt"")"),"Biex tikteb l-innijiet tas-salm")</f>
        <v>Biex tikteb l-innijiet tas-salm</v>
      </c>
    </row>
    <row r="24513" ht="15.75" customHeight="1">
      <c r="A24513" s="2" t="s">
        <v>24513</v>
      </c>
      <c r="B24513" s="2" t="str">
        <f>IFERROR(__xludf.DUMMYFUNCTION("GOOGLETRANSLATE(A24513, ""en"", ""mt"")"),"Alka ħamra")</f>
        <v>Alka ħamra</v>
      </c>
    </row>
    <row r="24514" ht="15.75" customHeight="1">
      <c r="A24514" s="2" t="s">
        <v>24514</v>
      </c>
      <c r="B24514" s="2" t="str">
        <f>IFERROR(__xludf.DUMMYFUNCTION("GOOGLETRANSLATE(A24514, ""en"", ""mt"")"),"serje ta 'strajkijiet")</f>
        <v>serje ta 'strajkijiet</v>
      </c>
    </row>
    <row r="24515" ht="15.75" customHeight="1">
      <c r="A24515" s="2" t="s">
        <v>24515</v>
      </c>
      <c r="B24515" s="2" t="str">
        <f>IFERROR(__xludf.DUMMYFUNCTION("GOOGLETRANSLATE(A24515, ""en"", ""mt"")"),"Liema karità bbenefikat mill-ispettaklu tat-30 anniversarju?")</f>
        <v>Liema karità bbenefikat mill-ispettaklu tat-30 anniversarju?</v>
      </c>
    </row>
    <row r="24516" ht="15.75" customHeight="1">
      <c r="A24516" s="2" t="s">
        <v>24516</v>
      </c>
      <c r="B24516" s="2" t="str">
        <f>IFERROR(__xludf.DUMMYFUNCTION("GOOGLETRANSLATE(A24516, ""en"", ""mt"")"),"X'tip ta 'sanzjonijiet idderieġa l-Istati Uniti lejn l-Iran?")</f>
        <v>X'tip ta 'sanzjonijiet idderieġa l-Istati Uniti lejn l-Iran?</v>
      </c>
    </row>
    <row r="24517" ht="15.75" customHeight="1">
      <c r="A24517" s="2" t="s">
        <v>24517</v>
      </c>
      <c r="B24517" s="2" t="str">
        <f>IFERROR(__xludf.DUMMYFUNCTION("GOOGLETRANSLATE(A24517, ""en"", ""mt"")"),"Seklu 20")</f>
        <v>Seklu 20</v>
      </c>
    </row>
    <row r="24518" ht="15.75" customHeight="1">
      <c r="A24518" s="2" t="s">
        <v>24518</v>
      </c>
      <c r="B24518" s="2" t="str">
        <f>IFERROR(__xludf.DUMMYFUNCTION("GOOGLETRANSLATE(A24518, ""en"", ""mt"")"),"Fuq liema huma r-rabtiet li ddeskrivew l-aħjar fuq liema ""tmien kontej"" huma bbażati?")</f>
        <v>Fuq liema huma r-rabtiet li ddeskrivew l-aħjar fuq liema "tmien kontej" huma bbażati?</v>
      </c>
    </row>
    <row r="24519" ht="15.75" customHeight="1">
      <c r="A24519" s="2" t="s">
        <v>24519</v>
      </c>
      <c r="B24519" s="2" t="str">
        <f>IFERROR(__xludf.DUMMYFUNCTION("GOOGLETRANSLATE(A24519, ""en"", ""mt"")"),"Li żviluppa Datapac")</f>
        <v>Li żviluppa Datapac</v>
      </c>
    </row>
    <row r="24520" ht="15.75" customHeight="1">
      <c r="A24520" s="2" t="s">
        <v>24520</v>
      </c>
      <c r="B24520" s="2" t="str">
        <f>IFERROR(__xludf.DUMMYFUNCTION("GOOGLETRANSLATE(A24520, ""en"", ""mt"")"),"Familji bl-ismijiet Franċiżi fl-Afrika t'Isfel jitkellmu liema lingwa llum?")</f>
        <v>Familji bl-ismijiet Franċiżi fl-Afrika t'Isfel jitkellmu liema lingwa llum?</v>
      </c>
    </row>
    <row r="24521" ht="15.75" customHeight="1">
      <c r="A24521" s="2" t="s">
        <v>24521</v>
      </c>
      <c r="B24521" s="2" t="str">
        <f>IFERROR(__xludf.DUMMYFUNCTION("GOOGLETRANSLATE(A24521, ""en"", ""mt"")"),"X'tip ta 'bini hemm fil-bliet ta' Close, Sandhill u Quayside?")</f>
        <v>X'tip ta 'bini hemm fil-bliet ta' Close, Sandhill u Quayside?</v>
      </c>
    </row>
    <row r="24522" ht="15.75" customHeight="1">
      <c r="A24522" s="2" t="s">
        <v>24522</v>
      </c>
      <c r="B24522" s="2" t="str">
        <f>IFERROR(__xludf.DUMMYFUNCTION("GOOGLETRANSLATE(A24522, ""en"", ""mt"")"),"In-nies anzjani jiksbu inqas xemx u jipproduċu inqas minn liema kimika permezz ta 'radjazzjoni UVB?")</f>
        <v>In-nies anzjani jiksbu inqas xemx u jipproduċu inqas minn liema kimika permezz ta 'radjazzjoni UVB?</v>
      </c>
    </row>
    <row r="24523" ht="15.75" customHeight="1">
      <c r="A24523" s="2" t="s">
        <v>24523</v>
      </c>
      <c r="B24523" s="2" t="str">
        <f>IFERROR(__xludf.DUMMYFUNCTION("GOOGLETRANSLATE(A24523, ""en"", ""mt"")"),"Min hu l-pubblikatur tar-rivista Doctor Who Adventures?")</f>
        <v>Min hu l-pubblikatur tar-rivista Doctor Who Adventures?</v>
      </c>
    </row>
    <row r="24524" ht="15.75" customHeight="1">
      <c r="A24524" s="2" t="s">
        <v>24524</v>
      </c>
      <c r="B24524" s="2" t="str">
        <f>IFERROR(__xludf.DUMMYFUNCTION("GOOGLETRANSLATE(A24524, ""en"", ""mt"")"),"Justin Tucker")</f>
        <v>Justin Tucker</v>
      </c>
    </row>
    <row r="24525" ht="15.75" customHeight="1">
      <c r="A24525" s="2" t="s">
        <v>24525</v>
      </c>
      <c r="B24525" s="2" t="str">
        <f>IFERROR(__xludf.DUMMYFUNCTION("GOOGLETRANSLATE(A24525, ""en"", ""mt"")"),"Gabriel Zwilling")</f>
        <v>Gabriel Zwilling</v>
      </c>
    </row>
    <row r="24526" ht="15.75" customHeight="1">
      <c r="A24526" s="2" t="s">
        <v>24526</v>
      </c>
      <c r="B24526" s="2" t="str">
        <f>IFERROR(__xludf.DUMMYFUNCTION("GOOGLETRANSLATE(A24526, ""en"", ""mt"")"),"Iċ-ċiklu ta 'Rankine u l-biċċa l-kbira tal-magni tal-fwar prattiċi għandhom pompa tal-ilma biex tirriċikla jew tagħlaq l-ilma tal-bojler, sabiex ikunu jistgħu jitmexxew kontinwament. Utilità u bojlers industrijali jużaw komunement pompi ċentrifugali f'div"&amp;"ersi stadji; Madankollu, tipi oħra jintużaw. Mezz ieħor biex iforni ilma ta 'l-għalf tal-bojler bi pressjoni baxxa huwa injettur, li juża ġett tal-fwar ġeneralment fornut mill-bojler. L-injetturi saru popolari fl-1850s iżda m'għadhomx jintużaw ħafna, ħlie"&amp;"f f'applikazzjonijiet bħal lokomottivi tal-fwar.")</f>
        <v>Iċ-ċiklu ta 'Rankine u l-biċċa l-kbira tal-magni tal-fwar prattiċi għandhom pompa tal-ilma biex tirriċikla jew tagħlaq l-ilma tal-bojler, sabiex ikunu jistgħu jitmexxew kontinwament. Utilità u bojlers industrijali jużaw komunement pompi ċentrifugali f'diversi stadji; Madankollu, tipi oħra jintużaw. Mezz ieħor biex iforni ilma ta 'l-għalf tal-bojler bi pressjoni baxxa huwa injettur, li juża ġett tal-fwar ġeneralment fornut mill-bojler. L-injetturi saru popolari fl-1850s iżda m'għadhomx jintużaw ħafna, ħlief f'applikazzjonijiet bħal lokomottivi tal-fwar.</v>
      </c>
    </row>
    <row r="24527" ht="15.75" customHeight="1">
      <c r="A24527" s="2" t="s">
        <v>24527</v>
      </c>
      <c r="B24527" s="2" t="str">
        <f>IFERROR(__xludf.DUMMYFUNCTION("GOOGLETRANSLATE(A24527, ""en"", ""mt"")"),"Liema kejl tal-linji tal-ferrovija jużaw żewġ linji turistiċi?")</f>
        <v>Liema kejl tal-linji tal-ferrovija jużaw żewġ linji turistiċi?</v>
      </c>
    </row>
    <row r="24528" ht="15.75" customHeight="1">
      <c r="A24528" s="2" t="s">
        <v>24528</v>
      </c>
      <c r="B24528" s="2" t="str">
        <f>IFERROR(__xludf.DUMMYFUNCTION("GOOGLETRANSLATE(A24528, ""en"", ""mt"")"),"X'INHU l-forza elettrostatika u manjetika mqajma bħala s-somma ta '?")</f>
        <v>X'INHU l-forza elettrostatika u manjetika mqajma bħala s-somma ta '?</v>
      </c>
    </row>
    <row r="24529" ht="15.75" customHeight="1">
      <c r="A24529" s="2" t="s">
        <v>24529</v>
      </c>
      <c r="B24529" s="2" t="str">
        <f>IFERROR(__xludf.DUMMYFUNCTION("GOOGLETRANSLATE(A24529, ""en"", ""mt"")"),"Rhine Gorge")</f>
        <v>Rhine Gorge</v>
      </c>
    </row>
    <row r="24530" ht="15.75" customHeight="1">
      <c r="A24530" s="2" t="s">
        <v>24530</v>
      </c>
      <c r="B24530" s="2" t="str">
        <f>IFERROR(__xludf.DUMMYFUNCTION("GOOGLETRANSLATE(A24530, ""en"", ""mt"")"),"Fuq liema 3 affarijiet jaħdem fuq il-forza tal-ajru")</f>
        <v>Fuq liema 3 affarijiet jaħdem fuq il-forza tal-ajru</v>
      </c>
    </row>
    <row r="24531" ht="15.75" customHeight="1">
      <c r="A24531" s="2" t="s">
        <v>24531</v>
      </c>
      <c r="B24531" s="2" t="str">
        <f>IFERROR(__xludf.DUMMYFUNCTION("GOOGLETRANSLATE(A24531, ""en"", ""mt"")"),"Franza")</f>
        <v>Franza</v>
      </c>
    </row>
    <row r="24532" ht="15.75" customHeight="1">
      <c r="A24532" s="2" t="s">
        <v>24532</v>
      </c>
      <c r="B24532" s="2" t="str">
        <f>IFERROR(__xludf.DUMMYFUNCTION("GOOGLETRANSLATE(A24532, ""en"", ""mt"")"),"Kenja")</f>
        <v>Kenja</v>
      </c>
    </row>
    <row r="24533" ht="15.75" customHeight="1">
      <c r="A24533" s="2" t="s">
        <v>24533</v>
      </c>
      <c r="B24533" s="2" t="str">
        <f>IFERROR(__xludf.DUMMYFUNCTION("GOOGLETRANSLATE(A24533, ""en"", ""mt"")"),"X’jagħmlu l-istudenti wara l-iskola primarja?")</f>
        <v>X’jagħmlu l-istudenti wara l-iskola primarja?</v>
      </c>
    </row>
    <row r="24534" ht="15.75" customHeight="1">
      <c r="A24534" s="2" t="s">
        <v>24534</v>
      </c>
      <c r="B24534" s="2" t="str">
        <f>IFERROR(__xludf.DUMMYFUNCTION("GOOGLETRANSLATE(A24534, ""en"", ""mt"")"),"Ftit biss")</f>
        <v>Ftit biss</v>
      </c>
    </row>
    <row r="24535" ht="15.75" customHeight="1">
      <c r="A24535" s="2" t="s">
        <v>24535</v>
      </c>
      <c r="B24535" s="2" t="str">
        <f>IFERROR(__xludf.DUMMYFUNCTION("GOOGLETRANSLATE(A24535, ""en"", ""mt"")"),"is-sid tal-proprjetà")</f>
        <v>is-sid tal-proprjetà</v>
      </c>
    </row>
    <row r="24536" ht="15.75" customHeight="1">
      <c r="A24536" s="2" t="s">
        <v>24536</v>
      </c>
      <c r="B24536" s="2" t="str">
        <f>IFERROR(__xludf.DUMMYFUNCTION("GOOGLETRANSLATE(A24536, ""en"", ""mt"")"),"John il-kostanti,")</f>
        <v>John il-kostanti,</v>
      </c>
    </row>
    <row r="24537" ht="15.75" customHeight="1">
      <c r="A24537" s="2" t="s">
        <v>24537</v>
      </c>
      <c r="B24537" s="2" t="str">
        <f>IFERROR(__xludf.DUMMYFUNCTION("GOOGLETRANSLATE(A24537, ""en"", ""mt"")"),"X'esplora Tesla f'Tominaj?")</f>
        <v>X'esplora Tesla f'Tominaj?</v>
      </c>
    </row>
    <row r="24538" ht="15.75" customHeight="1">
      <c r="A24538" s="2" t="s">
        <v>24538</v>
      </c>
      <c r="B24538" s="2" t="str">
        <f>IFERROR(__xludf.DUMMYFUNCTION("GOOGLETRANSLATE(A24538, ""en"", ""mt"")"),"Aktar minn 20 miljun sena ilu")</f>
        <v>Aktar minn 20 miljun sena ilu</v>
      </c>
    </row>
    <row r="24539" ht="15.75" customHeight="1">
      <c r="A24539" s="2" t="s">
        <v>24539</v>
      </c>
      <c r="B24539" s="2" t="str">
        <f>IFERROR(__xludf.DUMMYFUNCTION("GOOGLETRANSLATE(A24539, ""en"", ""mt"")"),"ħafna mill-enerġija kimika")</f>
        <v>ħafna mill-enerġija kimika</v>
      </c>
    </row>
    <row r="24540" ht="15.75" customHeight="1">
      <c r="A24540" s="2" t="s">
        <v>24540</v>
      </c>
      <c r="B24540" s="2" t="str">
        <f>IFERROR(__xludf.DUMMYFUNCTION("GOOGLETRANSLATE(A24540, ""en"", ""mt"")"),"Qtil ta ’Kristu,")</f>
        <v>Qtil ta ’Kristu,</v>
      </c>
    </row>
    <row r="24541" ht="15.75" customHeight="1">
      <c r="A24541" s="2" t="s">
        <v>24541</v>
      </c>
      <c r="B24541" s="2" t="str">
        <f>IFERROR(__xludf.DUMMYFUNCTION("GOOGLETRANSLATE(A24541, ""en"", ""mt"")"),"sirena")</f>
        <v>sirena</v>
      </c>
    </row>
    <row r="24542" ht="15.75" customHeight="1">
      <c r="A24542" s="2" t="s">
        <v>24542</v>
      </c>
      <c r="B24542" s="2" t="str">
        <f>IFERROR(__xludf.DUMMYFUNCTION("GOOGLETRANSLATE(A24542, ""en"", ""mt"")"),"Minn liema nazzjonalità kien Martin Luther?")</f>
        <v>Minn liema nazzjonalità kien Martin Luther?</v>
      </c>
    </row>
    <row r="24543" ht="15.75" customHeight="1">
      <c r="A24543" s="2" t="s">
        <v>24543</v>
      </c>
      <c r="B24543" s="2" t="str">
        <f>IFERROR(__xludf.DUMMYFUNCTION("GOOGLETRANSLATE(A24543, ""en"", ""mt"")"),"Bjankerija Irlandiża")</f>
        <v>Bjankerija Irlandiża</v>
      </c>
    </row>
    <row r="24544" ht="15.75" customHeight="1">
      <c r="A24544" s="2" t="s">
        <v>24544</v>
      </c>
      <c r="B24544" s="2" t="str">
        <f>IFERROR(__xludf.DUMMYFUNCTION("GOOGLETRANSLATE(A24544, ""en"", ""mt"")"),"Minbarra kmamar tal-perjodu, il-kollezzjoni tinkludi partijiet mill-bini, pereżempju ż-żewġ stejjer ta 'fuq tal-faċċata tad-dar ta' Sir Paul Pindar datata C1600 minn Bishopsgate b'xogħol ta 'injam imnaqqax b'mod elaborat u twieqi taċ-ċomb, sopravissut rar"&amp;"i tan-nar kbir ta' Londra, Hemm portal tal-briks minn dar ta ’Londra tal-perjodu ta’ restawr Ingliż u nar mill-gallerija ta ’Northumberland House. Eżempji Ewropej jinkludu tieqa tad-dormer datata 1523-35 mill-Chateau tal-Montal. Hemm bosta eżempji minn bi"&amp;"ni ta 'rinaxximent Taljan inklużi, portali, fuklari, gallariji u buffet tal-ġebel li kien ikollu funtana mibnija. Il-gallerija tal-arkitettura ewlenija għandha serje ta 'pilastri minn diversi bini u perjodi differenti, pereżempju kolonna mill-Alhambra. Eż"&amp;"empji li jkopru l-Asja jinsabu f'dawk il-galleriji kkonċernati ma 'dawk il-pajjiżi, kif ukoll mudelli u ritratti fil-gallerija tal-arkitettura ewlenija.")</f>
        <v>Minbarra kmamar tal-perjodu, il-kollezzjoni tinkludi partijiet mill-bini, pereżempju ż-żewġ stejjer ta 'fuq tal-faċċata tad-dar ta' Sir Paul Pindar datata C1600 minn Bishopsgate b'xogħol ta 'injam imnaqqax b'mod elaborat u twieqi taċ-ċomb, sopravissut rari tan-nar kbir ta' Londra, Hemm portal tal-briks minn dar ta ’Londra tal-perjodu ta’ restawr Ingliż u nar mill-gallerija ta ’Northumberland House. Eżempji Ewropej jinkludu tieqa tad-dormer datata 1523-35 mill-Chateau tal-Montal. Hemm bosta eżempji minn bini ta 'rinaxximent Taljan inklużi, portali, fuklari, gallariji u buffet tal-ġebel li kien ikollu funtana mibnija. Il-gallerija tal-arkitettura ewlenija għandha serje ta 'pilastri minn diversi bini u perjodi differenti, pereżempju kolonna mill-Alhambra. Eżempji li jkopru l-Asja jinsabu f'dawk il-galleriji kkonċernati ma 'dawk il-pajjiżi, kif ukoll mudelli u ritratti fil-gallerija tal-arkitettura ewlenija.</v>
      </c>
    </row>
    <row r="24545" ht="15.75" customHeight="1">
      <c r="A24545" s="2" t="s">
        <v>24545</v>
      </c>
      <c r="B24545" s="2" t="str">
        <f>IFERROR(__xludf.DUMMYFUNCTION("GOOGLETRANSLATE(A24545, ""en"", ""mt"")"),"isuqhom quddiem l-armata")</f>
        <v>isuqhom quddiem l-armata</v>
      </c>
    </row>
    <row r="24546" ht="15.75" customHeight="1">
      <c r="A24546" s="2" t="s">
        <v>24546</v>
      </c>
      <c r="B24546" s="2" t="str">
        <f>IFERROR(__xludf.DUMMYFUNCTION("GOOGLETRANSLATE(A24546, ""en"", ""mt"")"),"Wellington")</f>
        <v>Wellington</v>
      </c>
    </row>
    <row r="24547" ht="15.75" customHeight="1">
      <c r="A24547" s="2" t="s">
        <v>24547</v>
      </c>
      <c r="B24547" s="2" t="str">
        <f>IFERROR(__xludf.DUMMYFUNCTION("GOOGLETRANSLATE(A24547, ""en"", ""mt"")"),"Bażi tat-Titanium, sussidjarja tar-Riżorsi Bażi tal-Awstralja")</f>
        <v>Bażi tat-Titanium, sussidjarja tar-Riżorsi Bażi tal-Awstralja</v>
      </c>
    </row>
    <row r="24548" ht="15.75" customHeight="1">
      <c r="A24548" s="2" t="s">
        <v>24548</v>
      </c>
      <c r="B24548" s="2" t="str">
        <f>IFERROR(__xludf.DUMMYFUNCTION("GOOGLETRANSLATE(A24548, ""en"", ""mt"")"),"X'intuża mill-Punent biex tiġġustifika l-kontroll fuq it-territorji tal-Lvant?")</f>
        <v>X'intuża mill-Punent biex tiġġustifika l-kontroll fuq it-territorji tal-Lvant?</v>
      </c>
    </row>
    <row r="24549" ht="15.75" customHeight="1">
      <c r="A24549" s="2" t="s">
        <v>24549</v>
      </c>
      <c r="B24549" s="2" t="str">
        <f>IFERROR(__xludf.DUMMYFUNCTION("GOOGLETRANSLATE(A24549, ""en"", ""mt"")"),"Vitamina D.")</f>
        <v>Vitamina D.</v>
      </c>
    </row>
    <row r="24550" ht="15.75" customHeight="1">
      <c r="A24550" s="2" t="s">
        <v>24550</v>
      </c>
      <c r="B24550" s="2" t="str">
        <f>IFERROR(__xludf.DUMMYFUNCTION("GOOGLETRANSLATE(A24550, ""en"", ""mt"")"),"Il-limitazzjonijiet tal-finanzjament ippermettew li s-CSNET ikun dak")</f>
        <v>Il-limitazzjonijiet tal-finanzjament ippermettew li s-CSNET ikun dak</v>
      </c>
    </row>
    <row r="24551" ht="15.75" customHeight="1">
      <c r="A24551" s="2" t="s">
        <v>24551</v>
      </c>
      <c r="B24551" s="2" t="str">
        <f>IFERROR(__xludf.DUMMYFUNCTION("GOOGLETRANSLATE(A24551, ""en"", ""mt"")"),"forza innata ta 'impetu")</f>
        <v>forza innata ta 'impetu</v>
      </c>
    </row>
    <row r="24552" ht="15.75" customHeight="1">
      <c r="A24552" s="2" t="s">
        <v>24552</v>
      </c>
      <c r="B24552" s="2" t="str">
        <f>IFERROR(__xludf.DUMMYFUNCTION("GOOGLETRANSLATE(A24552, ""en"", ""mt"")"),"elettron")</f>
        <v>elettron</v>
      </c>
    </row>
    <row r="24553" ht="15.75" customHeight="1">
      <c r="A24553" s="2" t="s">
        <v>24553</v>
      </c>
      <c r="B24553" s="2" t="str">
        <f>IFERROR(__xludf.DUMMYFUNCTION("GOOGLETRANSLATE(A24553, ""en"", ""mt"")"),"li tikkostitwixxi konferenza ġenerali f'Dallas, Texas")</f>
        <v>li tikkostitwixxi konferenza ġenerali f'Dallas, Texas</v>
      </c>
    </row>
    <row r="24554" ht="15.75" customHeight="1">
      <c r="A24554" s="2" t="s">
        <v>24554</v>
      </c>
      <c r="B24554" s="2" t="str">
        <f>IFERROR(__xludf.DUMMYFUNCTION("GOOGLETRANSLATE(A24554, ""en"", ""mt"")"),"Minbarra t-Trofew ta 'Vince Lombardi li jirċievu ċ-ċampjins tas-Super Bowl, ir-rebbieħ tas-Super Bowl 50 se jirċievi wkoll ""50"" kbir ""50"". Kull ċifra tiżen 33 lb (15 kg) għal total ta '66 lb (30 kg). Bħall-trofew Lombardi, il- ""50"" se jkun iddisinja"&amp;"t minn Tiffany &amp; Co.")</f>
        <v>Minbarra t-Trofew ta 'Vince Lombardi li jirċievu ċ-ċampjins tas-Super Bowl, ir-rebbieħ tas-Super Bowl 50 se jirċievi wkoll "50" kbir "50". Kull ċifra tiżen 33 lb (15 kg) għal total ta '66 lb (30 kg). Bħall-trofew Lombardi, il- "50" se jkun iddisinjat minn Tiffany &amp; Co.</v>
      </c>
    </row>
    <row r="24555" ht="15.75" customHeight="1">
      <c r="A24555" s="2" t="s">
        <v>24555</v>
      </c>
      <c r="B24555" s="2" t="str">
        <f>IFERROR(__xludf.DUMMYFUNCTION("GOOGLETRANSLATE(A24555, ""en"", ""mt"")"),"X'jista 'jkun possibbli li ċ-ċikli ta' Kuznets multipli jkunu fi kwalunkwe ħin?")</f>
        <v>X'jista 'jkun possibbli li ċ-ċikli ta' Kuznets multipli jkunu fi kwalunkwe ħin?</v>
      </c>
    </row>
    <row r="24556" ht="15.75" customHeight="1">
      <c r="A24556" s="2" t="s">
        <v>24556</v>
      </c>
      <c r="B24556" s="2" t="str">
        <f>IFERROR(__xludf.DUMMYFUNCTION("GOOGLETRANSLATE(A24556, ""en"", ""mt"")"),"Is-Soċjetà ta ’San Piju X")</f>
        <v>Is-Soċjetà ta ’San Piju X</v>
      </c>
    </row>
    <row r="24557" ht="15.75" customHeight="1">
      <c r="A24557" s="2" t="s">
        <v>24557</v>
      </c>
      <c r="B24557" s="2" t="str">
        <f>IFERROR(__xludf.DUMMYFUNCTION("GOOGLETRANSLATE(A24557, ""en"", ""mt"")"),"tnaqqis")</f>
        <v>tnaqqis</v>
      </c>
    </row>
    <row r="24558" ht="15.75" customHeight="1">
      <c r="A24558" s="2" t="s">
        <v>24558</v>
      </c>
      <c r="B24558" s="2" t="str">
        <f>IFERROR(__xludf.DUMMYFUNCTION("GOOGLETRANSLATE(A24558, ""en"", ""mt"")"),"Kumplessità tal-ħin tal-agħar każ")</f>
        <v>Kumplessità tal-ħin tal-agħar każ</v>
      </c>
    </row>
    <row r="24559" ht="15.75" customHeight="1">
      <c r="A24559" s="2" t="s">
        <v>24559</v>
      </c>
      <c r="B24559" s="2" t="str">
        <f>IFERROR(__xludf.DUMMYFUNCTION("GOOGLETRANSLATE(A24559, ""en"", ""mt"")"),"Wieħed mill-oġġetti tal-aġenda tal-FIS kien li jġiegħel lin-nisa jibdew jagħmlu xiex?")</f>
        <v>Wieħed mill-oġġetti tal-aġenda tal-FIS kien li jġiegħel lin-nisa jibdew jagħmlu xiex?</v>
      </c>
    </row>
    <row r="24560" ht="15.75" customHeight="1">
      <c r="A24560" s="2" t="s">
        <v>24560</v>
      </c>
      <c r="B24560" s="2" t="str">
        <f>IFERROR(__xludf.DUMMYFUNCTION("GOOGLETRANSLATE(A24560, ""en"", ""mt"")"),"Minn hawn, is-sitwazzjoni ssir iktar ikkumplikata, billi l-isem Olandiż Rijn m'għadux jikkoinċidi mal-fluss ewlieni ta 'l-ilma. Żewġ terzi tal-volum tal-fluss tal-ilma tar-Rhine jiċċirkola 'l bogħod lejn il-punent, minn ġol-Waal u mbagħad, permezz tal-Mer"&amp;"Wede u Nieuwe MerWede (de Biesbosch), li jingħaqdu mal-Meuse, permezz tal-Hollands Diep u l-Estwarji Haringvliet, fil-Baħar tat-Tramuntana. Il-Beneden Merwede fergħat, ħdejn Hardinxveld-Giessendam u tkompli bħala n-Noord, biex tissieħeb fil-Lek, ħdejn il-"&amp;"villaġġ ta 'Kinderdijk, biex tifforma n-Nieuwe Maas; Imbagħad tgħaddi minn Rotterdam u tkompli permezz ta 'Het Scheur u n-Nieuwe Waterweg, lejn il-Baħar tat-Tramuntana. L-Oude Maas fergħat barra, ħdejn Dordrecht, aktar 'l isfel mill-ġdid mill-ġdid in-Nieu"&amp;"we Maas biex jiffurmaw het scheur.")</f>
        <v>Minn hawn, is-sitwazzjoni ssir iktar ikkumplikata, billi l-isem Olandiż Rijn m'għadux jikkoinċidi mal-fluss ewlieni ta 'l-ilma. Żewġ terzi tal-volum tal-fluss tal-ilma tar-Rhine jiċċirkola 'l bogħod lejn il-punent, minn ġol-Waal u mbagħad, permezz tal-MerWede u Nieuwe MerWede (de Biesbosch), li jingħaqdu mal-Meuse, permezz tal-Hollands Diep u l-Estwarji Haringvliet, fil-Baħar tat-Tramuntana. Il-Beneden Merwede fergħat, ħdejn Hardinxveld-Giessendam u tkompli bħala n-Noord, biex tissieħeb fil-Lek, ħdejn il-villaġġ ta 'Kinderdijk, biex tifforma n-Nieuwe Maas; Imbagħad tgħaddi minn Rotterdam u tkompli permezz ta 'Het Scheur u n-Nieuwe Waterweg, lejn il-Baħar tat-Tramuntana. L-Oude Maas fergħat barra, ħdejn Dordrecht, aktar 'l isfel mill-ġdid mill-ġdid in-Nieuwe Maas biex jiffurmaw het scheur.</v>
      </c>
    </row>
    <row r="24561" ht="15.75" customHeight="1">
      <c r="A24561" s="2" t="s">
        <v>24561</v>
      </c>
      <c r="B24561" s="2" t="str">
        <f>IFERROR(__xludf.DUMMYFUNCTION("GOOGLETRANSLATE(A24561, ""en"", ""mt"")"),"X'korriment Manning sofra s-sajf qabel ma beda l-istaġun?")</f>
        <v>X'korriment Manning sofra s-sajf qabel ma beda l-istaġun?</v>
      </c>
    </row>
    <row r="24562" ht="15.75" customHeight="1">
      <c r="A24562" s="2" t="s">
        <v>24562</v>
      </c>
      <c r="B24562" s="2" t="str">
        <f>IFERROR(__xludf.DUMMYFUNCTION("GOOGLETRANSLATE(A24562, ""en"", ""mt"")"),"Sky Q Silver Set Top Boxes")</f>
        <v>Sky Q Silver Set Top Boxes</v>
      </c>
    </row>
    <row r="24563" ht="15.75" customHeight="1">
      <c r="A24563" s="2" t="s">
        <v>24563</v>
      </c>
      <c r="B24563" s="2" t="str">
        <f>IFERROR(__xludf.DUMMYFUNCTION("GOOGLETRANSLATE(A24563, ""en"", ""mt"")"),"funzjoni")</f>
        <v>funzjoni</v>
      </c>
    </row>
    <row r="24564" ht="15.75" customHeight="1">
      <c r="A24564" s="2" t="s">
        <v>24564</v>
      </c>
      <c r="B24564" s="2" t="str">
        <f>IFERROR(__xludf.DUMMYFUNCTION("GOOGLETRANSLATE(A24564, ""en"", ""mt"")"),"Is-sommarju eżekuttiv tar-rapport tas-Sommarju WG I għal dawk li jfasslu l-politika jgħid li huma ċerti li l-emissjonijiet li jirriżultaw mill-attivitajiet tal-bniedem qed iżidu sostanzjalment il-konċentrazzjonijiet atmosferiċi tal-gassijiet serra, li jir"&amp;"riżultaw bħala medja fi tisħin addizzjonali tal-wiċċ tad-Dinja. Huma jikkalkulaw b'kunfidenza li s-CO2 kien responsabbli għal aktar minn nofs l-effett ta 'serra msaħħa. Huma jbassru li taħt xenarju ta '""negozju bħas-soltu"" (BAU), it-temperatura medja gl"&amp;"obali tiżdied b'madwar 0.3 ° C kull għaxar snin matul is-seklu [21]. Huma jiġġudikaw li t-temperatura medja globali tal-arja tal-wiċċ żdiedet b'0.3 sa 0.6 ° C matul l-aħħar 100 sena, b'mod wiesa 'konsistenti mal-previżjoni tal-mudelli klimatiċi, iżda wkol"&amp;"l tal-istess kobor bħall-varjabbiltà tal-klima naturali. L-iskoperta mhux ekwivoka tal-effett ta 'serra msaħħa x'aktarx għal għaxar snin jew aktar.")</f>
        <v>Is-sommarju eżekuttiv tar-rapport tas-Sommarju WG I għal dawk li jfasslu l-politika jgħid li huma ċerti li l-emissjonijiet li jirriżultaw mill-attivitajiet tal-bniedem qed iżidu sostanzjalment il-konċentrazzjonijiet atmosferiċi tal-gassijiet serra, li jirriżultaw bħala medja fi tisħin addizzjonali tal-wiċċ tad-Dinja. Huma jikkalkulaw b'kunfidenza li s-CO2 kien responsabbli għal aktar minn nofs l-effett ta 'serra msaħħa. Huma jbassru li taħt xenarju ta '"negozju bħas-soltu" (BAU), it-temperatura medja globali tiżdied b'madwar 0.3 ° C kull għaxar snin matul is-seklu [21]. Huma jiġġudikaw li t-temperatura medja globali tal-arja tal-wiċċ żdiedet b'0.3 sa 0.6 ° C matul l-aħħar 100 sena, b'mod wiesa 'konsistenti mal-previżjoni tal-mudelli klimatiċi, iżda wkoll tal-istess kobor bħall-varjabbiltà tal-klima naturali. L-iskoperta mhux ekwivoka tal-effett ta 'serra msaħħa x'aktarx għal għaxar snin jew aktar.</v>
      </c>
    </row>
    <row r="24565" ht="15.75" customHeight="1">
      <c r="A24565" s="2" t="s">
        <v>24565</v>
      </c>
      <c r="B24565" s="2" t="str">
        <f>IFERROR(__xludf.DUMMYFUNCTION("GOOGLETRANSLATE(A24565, ""en"", ""mt"")"),"Kontraenti tas-Servizz tal-Edukazzjoni")</f>
        <v>Kontraenti tas-Servizz tal-Edukazzjoni</v>
      </c>
    </row>
    <row r="24566" ht="15.75" customHeight="1">
      <c r="A24566" s="2" t="s">
        <v>24566</v>
      </c>
      <c r="B24566" s="2" t="str">
        <f>IFERROR(__xludf.DUMMYFUNCTION("GOOGLETRANSLATE(A24566, ""en"", ""mt"")"),"13")</f>
        <v>13</v>
      </c>
    </row>
    <row r="24567" ht="15.75" customHeight="1">
      <c r="A24567" s="2" t="s">
        <v>24567</v>
      </c>
      <c r="B24567" s="2" t="str">
        <f>IFERROR(__xludf.DUMMYFUNCTION("GOOGLETRANSLATE(A24567, ""en"", ""mt"")"),"protesta u azzjoni politika")</f>
        <v>protesta u azzjoni politika</v>
      </c>
    </row>
    <row r="24568" ht="15.75" customHeight="1">
      <c r="A24568" s="2" t="s">
        <v>24568</v>
      </c>
      <c r="B24568" s="2" t="str">
        <f>IFERROR(__xludf.DUMMYFUNCTION("GOOGLETRANSLATE(A24568, ""en"", ""mt"")"),"Newtonjan")</f>
        <v>Newtonjan</v>
      </c>
    </row>
    <row r="24569" ht="15.75" customHeight="1">
      <c r="A24569" s="2" t="s">
        <v>24569</v>
      </c>
      <c r="B24569" s="2" t="str">
        <f>IFERROR(__xludf.DUMMYFUNCTION("GOOGLETRANSLATE(A24569, ""en"", ""mt"")"),"Liema sena ġiet rilaxxata ċ-ċpar tal-kanzunetta fuq it-Tyne?")</f>
        <v>Liema sena ġiet rilaxxata ċ-ċpar tal-kanzunetta fuq it-Tyne?</v>
      </c>
    </row>
    <row r="24570" ht="15.75" customHeight="1">
      <c r="A24570" s="2" t="s">
        <v>24570</v>
      </c>
      <c r="B24570" s="2" t="str">
        <f>IFERROR(__xludf.DUMMYFUNCTION("GOOGLETRANSLATE(A24570, ""en"", ""mt"")"),"Liġi tal-Unjoni Ewropea")</f>
        <v>Liġi tal-Unjoni Ewropea</v>
      </c>
    </row>
    <row r="24571" ht="15.75" customHeight="1">
      <c r="A24571" s="2" t="s">
        <v>24571</v>
      </c>
      <c r="B24571" s="2" t="str">
        <f>IFERROR(__xludf.DUMMYFUNCTION("GOOGLETRANSLATE(A24571, ""en"", ""mt"")"),"F’liema sena ġiet brevettata l-magna Corliss?")</f>
        <v>F’liema sena ġiet brevettata l-magna Corliss?</v>
      </c>
    </row>
    <row r="24572" ht="15.75" customHeight="1">
      <c r="A24572" s="2" t="s">
        <v>24572</v>
      </c>
      <c r="B24572" s="2" t="str">
        <f>IFERROR(__xludf.DUMMYFUNCTION("GOOGLETRANSLATE(A24572, ""en"", ""mt"")"),"L-Ewwel Emenda")</f>
        <v>L-Ewwel Emenda</v>
      </c>
    </row>
    <row r="24573" ht="15.75" customHeight="1">
      <c r="A24573" s="2" t="s">
        <v>24573</v>
      </c>
      <c r="B24573" s="2" t="str">
        <f>IFERROR(__xludf.DUMMYFUNCTION("GOOGLETRANSLATE(A24573, ""en"", ""mt"")"),"1580s")</f>
        <v>1580s</v>
      </c>
    </row>
    <row r="24574" ht="15.75" customHeight="1">
      <c r="A24574" s="2" t="s">
        <v>24574</v>
      </c>
      <c r="B24574" s="2" t="str">
        <f>IFERROR(__xludf.DUMMYFUNCTION("GOOGLETRANSLATE(A24574, ""en"", ""mt"")"),"Għaliex wieħed irid jagħti aktar kastig?")</f>
        <v>Għaliex wieħed irid jagħti aktar kastig?</v>
      </c>
    </row>
    <row r="24575" ht="15.75" customHeight="1">
      <c r="A24575" s="2" t="s">
        <v>24575</v>
      </c>
      <c r="B24575" s="2" t="str">
        <f>IFERROR(__xludf.DUMMYFUNCTION("GOOGLETRANSLATE(A24575, ""en"", ""mt"")"),"Fuq liema grupp ibbażat fuq l-art Tesla ħaseb li l-arma tista 'tintuża fuqha?")</f>
        <v>Fuq liema grupp ibbażat fuq l-art Tesla ħaseb li l-arma tista 'tintuża fuqha?</v>
      </c>
    </row>
    <row r="24576" ht="15.75" customHeight="1">
      <c r="A24576" s="2" t="s">
        <v>24576</v>
      </c>
      <c r="B24576" s="2" t="str">
        <f>IFERROR(__xludf.DUMMYFUNCTION("GOOGLETRANSLATE(A24576, ""en"", ""mt"")"),"17.5 miljun")</f>
        <v>17.5 miljun</v>
      </c>
    </row>
    <row r="24577" ht="15.75" customHeight="1">
      <c r="A24577" s="2" t="s">
        <v>24577</v>
      </c>
      <c r="B24577" s="2" t="str">
        <f>IFERROR(__xludf.DUMMYFUNCTION("GOOGLETRANSLATE(A24577, ""en"", ""mt"")"),"Konvenzjoni Qafas tan-Nazzjonijiet Uniti dwar it-Tibdil fil-Klima (UNFCCC)")</f>
        <v>Konvenzjoni Qafas tan-Nazzjonijiet Uniti dwar it-Tibdil fil-Klima (UNFCCC)</v>
      </c>
    </row>
    <row r="24578" ht="15.75" customHeight="1">
      <c r="A24578" s="2" t="s">
        <v>24578</v>
      </c>
      <c r="B24578" s="2" t="str">
        <f>IFERROR(__xludf.DUMMYFUNCTION("GOOGLETRANSLATE(A24578, ""en"", ""mt"")"),"It-tieni perjodu ta 'espansjoni internazzjonali huwa marbut ma' dak tan-netwerk ESPN fid-disgħinijiet, u l-politiki promulgati fis-snin 2000 minn Disney Media Networks (li kienet tinkludi l-espansjoni ta 'bosta netwerks tal-kejbil ibbażati fuq l-Istati Un"&amp;"iti tal-kumpanija inklużi Disney Channel u l-ispinoffs tagħha Disney, Playhouse Disney u Jetix; Għalkemm Disney biegħ ukoll is-sehem tagħha ta '33% fil-kanal sportiv Ewropew Eurosport għal $ 155 miljun f'Ġunju 2000). B'kuntrast mal-kanali l-oħra ta 'Disne"&amp;"y, ABC jixxandar fl-Istati Uniti, għalkemm l-ipprogrammar tan-netwerk huwa sindikat f'ħafna pajjiżi. Il-politika rigward in-netwerks internazzjonali kollha kemm hi reġgħet qajmet fl-2004 meta fis-27 ta 'Settembru ta' dik is-sena, ABC ħabbret it-tnedija ta"&amp;" 'ABC1, kanal free-to-air fir-Renju Unit li huwa proprjetà tal-Grupp ABC. Madankollu, fit-8 ta 'Settembru, 2007, Disney ħabbret li se twaqqaf ABC1 billi tiċċita l-inkapaċità tal-kanal li tikseb telespettatur sostenibbli. Bl-għeluq ta 'ABC1 dak Ottubru, l-"&amp;"attentat tal-kumpanija biex tiżviluppa ABC International twaqqfu.")</f>
        <v>It-tieni perjodu ta 'espansjoni internazzjonali huwa marbut ma' dak tan-netwerk ESPN fid-disgħinijiet, u l-politiki promulgati fis-snin 2000 minn Disney Media Networks (li kienet tinkludi l-espansjoni ta 'bosta netwerks tal-kejbil ibbażati fuq l-Istati Uniti tal-kumpanija inklużi Disney Channel u l-ispinoffs tagħha Disney, Playhouse Disney u Jetix; Għalkemm Disney biegħ ukoll is-sehem tagħha ta '33% fil-kanal sportiv Ewropew Eurosport għal $ 155 miljun f'Ġunju 2000). B'kuntrast mal-kanali l-oħra ta 'Disney, ABC jixxandar fl-Istati Uniti, għalkemm l-ipprogrammar tan-netwerk huwa sindikat f'ħafna pajjiżi. Il-politika rigward in-netwerks internazzjonali kollha kemm hi reġgħet qajmet fl-2004 meta fis-27 ta 'Settembru ta' dik is-sena, ABC ħabbret it-tnedija ta 'ABC1, kanal free-to-air fir-Renju Unit li huwa proprjetà tal-Grupp ABC. Madankollu, fit-8 ta 'Settembru, 2007, Disney ħabbret li se twaqqaf ABC1 billi tiċċita l-inkapaċità tal-kanal li tikseb telespettatur sostenibbli. Bl-għeluq ta 'ABC1 dak Ottubru, l-attentat tal-kumpanija biex tiżviluppa ABC International twaqqfu.</v>
      </c>
    </row>
    <row r="24579" ht="15.75" customHeight="1">
      <c r="A24579" s="2" t="s">
        <v>24579</v>
      </c>
      <c r="B24579" s="2" t="str">
        <f>IFERROR(__xludf.DUMMYFUNCTION("GOOGLETRANSLATE(A24579, ""en"", ""mt"")"),"X'inhuma l-għalliema mistennija li jagħtu lill-istudenti tagħhom?")</f>
        <v>X'inhuma l-għalliema mistennija li jagħtu lill-istudenti tagħhom?</v>
      </c>
    </row>
    <row r="24580" ht="15.75" customHeight="1">
      <c r="A24580" s="2" t="s">
        <v>24580</v>
      </c>
      <c r="B24580" s="2" t="str">
        <f>IFERROR(__xludf.DUMMYFUNCTION("GOOGLETRANSLATE(A24580, ""en"", ""mt"")"),"Il-Franċiż ħaseb li jġib x’jista ’jgħolli reġjuni oħra?")</f>
        <v>Il-Franċiż ħaseb li jġib x’jista ’jgħolli reġjuni oħra?</v>
      </c>
    </row>
    <row r="24581" ht="15.75" customHeight="1">
      <c r="A24581" s="2" t="s">
        <v>24581</v>
      </c>
      <c r="B24581" s="2" t="str">
        <f>IFERROR(__xludf.DUMMYFUNCTION("GOOGLETRANSLATE(A24581, ""en"", ""mt"")"),"Oude Maas")</f>
        <v>Oude Maas</v>
      </c>
    </row>
    <row r="24582" ht="15.75" customHeight="1">
      <c r="A24582" s="2" t="s">
        <v>24582</v>
      </c>
      <c r="B24582" s="2" t="str">
        <f>IFERROR(__xludf.DUMMYFUNCTION("GOOGLETRANSLATE(A24582, ""en"", ""mt"")"),"pjanti u alka.")</f>
        <v>pjanti u alka.</v>
      </c>
    </row>
    <row r="24583" ht="15.75" customHeight="1">
      <c r="A24583" s="2" t="s">
        <v>24583</v>
      </c>
      <c r="B24583" s="2" t="str">
        <f>IFERROR(__xludf.DUMMYFUNCTION("GOOGLETRANSLATE(A24583, ""en"", ""mt"")"),"Sinclair Broadcast Group")</f>
        <v>Sinclair Broadcast Group</v>
      </c>
    </row>
    <row r="24584" ht="15.75" customHeight="1">
      <c r="A24584" s="2" t="s">
        <v>24584</v>
      </c>
      <c r="B24584" s="2" t="str">
        <f>IFERROR(__xludf.DUMMYFUNCTION("GOOGLETRANSLATE(A24584, ""en"", ""mt"")"),"Muhammad Abd al-Salaam Farag")</f>
        <v>Muhammad Abd al-Salaam Farag</v>
      </c>
    </row>
    <row r="24585" ht="15.75" customHeight="1">
      <c r="A24585" s="2" t="s">
        <v>24585</v>
      </c>
      <c r="B24585" s="2" t="str">
        <f>IFERROR(__xludf.DUMMYFUNCTION("GOOGLETRANSLATE(A24585, ""en"", ""mt"")"),"Braddock (ma 'George Washington")</f>
        <v>Braddock (ma 'George Washington</v>
      </c>
    </row>
    <row r="24586" ht="15.75" customHeight="1">
      <c r="A24586" s="2" t="s">
        <v>24586</v>
      </c>
      <c r="B24586" s="2" t="str">
        <f>IFERROR(__xludf.DUMMYFUNCTION("GOOGLETRANSLATE(A24586, ""en"", ""mt"")"),"X'jiġri mill-plugs fużibbli taċ-ċomb jekk il-livell tal-ilma tal-bojler jonqos?")</f>
        <v>X'jiġri mill-plugs fużibbli taċ-ċomb jekk il-livell tal-ilma tal-bojler jonqos?</v>
      </c>
    </row>
    <row r="24587" ht="15.75" customHeight="1">
      <c r="A24587" s="2" t="s">
        <v>24587</v>
      </c>
      <c r="B24587" s="2" t="str">
        <f>IFERROR(__xludf.DUMMYFUNCTION("GOOGLETRANSLATE(A24587, ""en"", ""mt"")"),"L-industrija tal-inbid")</f>
        <v>L-industrija tal-inbid</v>
      </c>
    </row>
    <row r="24588" ht="15.75" customHeight="1">
      <c r="A24588" s="2" t="s">
        <v>24588</v>
      </c>
      <c r="B24588" s="2" t="str">
        <f>IFERROR(__xludf.DUMMYFUNCTION("GOOGLETRANSLATE(A24588, ""en"", ""mt"")"),"Fejn jinstab il-paragun tal-innu tat-talb ta 'dan il-Mulej?")</f>
        <v>Fejn jinstab il-paragun tal-innu tat-talb ta 'dan il-Mulej?</v>
      </c>
    </row>
    <row r="24589" ht="15.75" customHeight="1">
      <c r="A24589" s="2" t="s">
        <v>24589</v>
      </c>
      <c r="B24589" s="2" t="str">
        <f>IFERROR(__xludf.DUMMYFUNCTION("GOOGLETRANSLATE(A24589, ""en"", ""mt"")"),"Min mexxa rinforzi ġodda ta 'Franza fl-1756?")</f>
        <v>Min mexxa rinforzi ġodda ta 'Franza fl-1756?</v>
      </c>
    </row>
    <row r="24590" ht="15.75" customHeight="1">
      <c r="A24590" s="2" t="s">
        <v>24590</v>
      </c>
      <c r="B24590" s="2" t="str">
        <f>IFERROR(__xludf.DUMMYFUNCTION("GOOGLETRANSLATE(A24590, ""en"", ""mt"")"),"Mongoljan, Tibetan, u Ċiniż")</f>
        <v>Mongoljan, Tibetan, u Ċiniż</v>
      </c>
    </row>
    <row r="24591" ht="15.75" customHeight="1">
      <c r="A24591" s="2" t="s">
        <v>24591</v>
      </c>
      <c r="B24591" s="2" t="str">
        <f>IFERROR(__xludf.DUMMYFUNCTION("GOOGLETRANSLATE(A24591, ""en"", ""mt"")"),"ctenophores")</f>
        <v>ctenophores</v>
      </c>
    </row>
    <row r="24592" ht="15.75" customHeight="1">
      <c r="A24592" s="2" t="s">
        <v>24592</v>
      </c>
      <c r="B24592" s="2" t="str">
        <f>IFERROR(__xludf.DUMMYFUNCTION("GOOGLETRANSLATE(A24592, ""en"", ""mt"")"),"Meta l-antenati tal-homo sapiens moderni kienu jgħixu l-Kenja?")</f>
        <v>Meta l-antenati tal-homo sapiens moderni kienu jgħixu l-Kenja?</v>
      </c>
    </row>
    <row r="24593" ht="15.75" customHeight="1">
      <c r="A24593" s="2" t="s">
        <v>24593</v>
      </c>
      <c r="B24593" s="2" t="str">
        <f>IFERROR(__xludf.DUMMYFUNCTION("GOOGLETRANSLATE(A24593, ""en"", ""mt"")"),"Liema attività żżomm gradjenti topografiċi?")</f>
        <v>Liema attività żżomm gradjenti topografiċi?</v>
      </c>
    </row>
    <row r="24594" ht="15.75" customHeight="1">
      <c r="A24594" s="2" t="s">
        <v>24594</v>
      </c>
      <c r="B24594" s="2" t="str">
        <f>IFERROR(__xludf.DUMMYFUNCTION("GOOGLETRANSLATE(A24594, ""en"", ""mt"")"),"Qabel l-Għargħar ta 'Santa Eliżabetta (1421), il-Meuse ħarġet eżatt fin-Nofsinhar tal-linja tal-lum MerWede-Oute Maas lejn il-Baħar tat-Tramuntana u ffurmat estwarju simili għall-arċipelagu ma' Waal u Lek. Din is-sistema ta 'bosta bajjiet, xmajjar estiżi "&amp;"simili għall-estwarju, ħafna gżejjer u bidliet kostanti tal-kosta, hija diffiċli biex timmaġina llum. Mill-1421 sal-1904, il-Meuse u Waal ingħaqdu aktar 'il fuq f'Gorinchem biex jiffurmaw MerWede. Għal raġunijiet ta 'protezzjoni ta' l-għargħar, il-Meuse ġ"&amp;"iet separata mill-Waal permezz ta 'serratura u ddevjat f'żbokk ġdid imsejjaħ ""Bergse Maas"", imbagħad Amer u mbagħad flussi fl-ex Bay Hollands Diep.")</f>
        <v>Qabel l-Għargħar ta 'Santa Eliżabetta (1421), il-Meuse ħarġet eżatt fin-Nofsinhar tal-linja tal-lum MerWede-Oute Maas lejn il-Baħar tat-Tramuntana u ffurmat estwarju simili għall-arċipelagu ma' Waal u Lek. Din is-sistema ta 'bosta bajjiet, xmajjar estiżi simili għall-estwarju, ħafna gżejjer u bidliet kostanti tal-kosta, hija diffiċli biex timmaġina llum. Mill-1421 sal-1904, il-Meuse u Waal ingħaqdu aktar 'il fuq f'Gorinchem biex jiffurmaw MerWede. Għal raġunijiet ta 'protezzjoni ta' l-għargħar, il-Meuse ġiet separata mill-Waal permezz ta 'serratura u ddevjat f'żbokk ġdid imsejjaħ "Bergse Maas", imbagħad Amer u mbagħad flussi fl-ex Bay Hollands Diep.</v>
      </c>
    </row>
    <row r="24595" ht="15.75" customHeight="1">
      <c r="A24595" s="2" t="s">
        <v>24595</v>
      </c>
      <c r="B24595" s="2" t="str">
        <f>IFERROR(__xludf.DUMMYFUNCTION("GOOGLETRANSLATE(A24595, ""en"", ""mt"")"),"P - 1")</f>
        <v>P - 1</v>
      </c>
    </row>
    <row r="24596" ht="15.75" customHeight="1">
      <c r="A24596" s="2" t="s">
        <v>24596</v>
      </c>
      <c r="B24596" s="2" t="str">
        <f>IFERROR(__xludf.DUMMYFUNCTION("GOOGLETRANSLATE(A24596, ""en"", ""mt"")"),"Fit-teorija tal-kumplessità tal-komputazzjoni, x'inhu t-terminu mogħti biex tiddeskrivi l-mistoqsija astratta tal-linja ta 'bażi ​​li hemm bżonn tissolva?")</f>
        <v>Fit-teorija tal-kumplessità tal-komputazzjoni, x'inhu t-terminu mogħti biex tiddeskrivi l-mistoqsija astratta tal-linja ta 'bażi ​​li hemm bżonn tissolva?</v>
      </c>
    </row>
    <row r="24597" ht="15.75" customHeight="1">
      <c r="A24597" s="2" t="s">
        <v>24597</v>
      </c>
      <c r="B24597" s="2" t="str">
        <f>IFERROR(__xludf.DUMMYFUNCTION("GOOGLETRANSLATE(A24597, ""en"", ""mt"")"),"livell aktar baxx ta 'utilità ekonomika fis-soċjetà")</f>
        <v>livell aktar baxx ta 'utilità ekonomika fis-soċjetà</v>
      </c>
    </row>
    <row r="24598" ht="15.75" customHeight="1">
      <c r="A24598" s="2" t="s">
        <v>24598</v>
      </c>
      <c r="B24598" s="2" t="str">
        <f>IFERROR(__xludf.DUMMYFUNCTION("GOOGLETRANSLATE(A24598, ""en"", ""mt"")"),"Minbarra l-klorofili, grupp ieħor ta 'pigmenti sofor-oranġjo msejħa karotenojdi jinstabu wkoll fil-fotosistemi. Hemm madwar tletin karotenojdi fotosintetiċi. Huma jgħinu biex jittrasferixxu u jinħela l-enerġija żejda, u l-kuluri brillanti tagħhom kultant "&amp;"jwarrbu l-aħdar tal-klorofilla, bħal matul il-waqgħa, meta l-weraq ta 'xi pjanti tal-art jibdlu l-kulur. β-karotene huwa karotenojd aħmar-oranġjo aħmar jgħajjat ​​fi kważi l-kloroplasti kollha, bħall-klorofilla a. Xanthophylls, speċjalment iż-zeaxanthin o"&amp;"ranġjo-aħmar, huma wkoll komuni. Ħafna forom oħra ta 'karotenojdi jeżistu li jinstabu biss f'ċerti gruppi ta' kloroplasti.")</f>
        <v>Minbarra l-klorofili, grupp ieħor ta 'pigmenti sofor-oranġjo msejħa karotenojdi jinstabu wkoll fil-fotosistemi. Hemm madwar tletin karotenojdi fotosintetiċi. Huma jgħinu biex jittrasferixxu u jinħela l-enerġija żejda, u l-kuluri brillanti tagħhom kultant jwarrbu l-aħdar tal-klorofilla, bħal matul il-waqgħa, meta l-weraq ta 'xi pjanti tal-art jibdlu l-kulur. β-karotene huwa karotenojd aħmar-oranġjo aħmar jgħajjat ​​fi kważi l-kloroplasti kollha, bħall-klorofilla a. Xanthophylls, speċjalment iż-zeaxanthin oranġjo-aħmar, huma wkoll komuni. Ħafna forom oħra ta 'karotenojdi jeżistu li jinstabu biss f'ċerti gruppi ta' kloroplasti.</v>
      </c>
    </row>
    <row r="24599" ht="15.75" customHeight="1">
      <c r="A24599" s="2" t="s">
        <v>24599</v>
      </c>
      <c r="B24599" s="2" t="str">
        <f>IFERROR(__xludf.DUMMYFUNCTION("GOOGLETRANSLATE(A24599, ""en"", ""mt"")"),"Ipproduċi kemm bajd kif ukoll sperma fl-istess ħin")</f>
        <v>Ipproduċi kemm bajd kif ukoll sperma fl-istess ħin</v>
      </c>
    </row>
    <row r="24600" ht="15.75" customHeight="1">
      <c r="A24600" s="2" t="s">
        <v>24600</v>
      </c>
      <c r="B24600" s="2" t="str">
        <f>IFERROR(__xludf.DUMMYFUNCTION("GOOGLETRANSLATE(A24600, ""en"", ""mt"")"),"(sa 7.8%")</f>
        <v>(sa 7.8%</v>
      </c>
    </row>
    <row r="24601" ht="15.75" customHeight="1">
      <c r="A24601" s="2" t="s">
        <v>24601</v>
      </c>
      <c r="B24601" s="2" t="str">
        <f>IFERROR(__xludf.DUMMYFUNCTION("GOOGLETRANSLATE(A24601, ""en"", ""mt"")"),"Innovazzjoni teknoloġika")</f>
        <v>Innovazzjoni teknoloġika</v>
      </c>
    </row>
    <row r="24602" ht="15.75" customHeight="1">
      <c r="A24602" s="2" t="s">
        <v>24602</v>
      </c>
      <c r="B24602" s="2" t="str">
        <f>IFERROR(__xludf.DUMMYFUNCTION("GOOGLETRANSLATE(A24602, ""en"", ""mt"")"),"X'inhu l-isem ta 'tip ieħor ta' test tal-primalità moderna?")</f>
        <v>X'inhu l-isem ta 'tip ieħor ta' test tal-primalità moderna?</v>
      </c>
    </row>
    <row r="24603" ht="15.75" customHeight="1">
      <c r="A24603" s="2" t="s">
        <v>24603</v>
      </c>
      <c r="B24603" s="2" t="str">
        <f>IFERROR(__xludf.DUMMYFUNCTION("GOOGLETRANSLATE(A24603, ""en"", ""mt"")"),"Ir-rwol ta 'għalliem jista' jvarja fost il-kulturi. L-għalliema jistgħu jipprovdu struzzjoni fil-litteriżmu u l-numerazzjoni, sengħa jew taħriġ vokazzjonali, l-arti, ir-reliġjon, iċ-ċiviku, ir-rwoli tal-komunità, jew il-ħiliet tal-ħajja.")</f>
        <v>Ir-rwol ta 'għalliem jista' jvarja fost il-kulturi. L-għalliema jistgħu jipprovdu struzzjoni fil-litteriżmu u l-numerazzjoni, sengħa jew taħriġ vokazzjonali, l-arti, ir-reliġjon, iċ-ċiviku, ir-rwoli tal-komunità, jew il-ħiliet tal-ħajja.</v>
      </c>
    </row>
    <row r="24604" ht="15.75" customHeight="1">
      <c r="A24604" s="2" t="s">
        <v>24604</v>
      </c>
      <c r="B24604" s="2" t="str">
        <f>IFERROR(__xludf.DUMMYFUNCTION("GOOGLETRANSLATE(A24604, ""en"", ""mt"")"),"Ġappun")</f>
        <v>Ġappun</v>
      </c>
    </row>
    <row r="24605" ht="15.75" customHeight="1">
      <c r="A24605" s="2" t="s">
        <v>24605</v>
      </c>
      <c r="B24605" s="2" t="str">
        <f>IFERROR(__xludf.DUMMYFUNCTION("GOOGLETRANSLATE(A24605, ""en"", ""mt"")"),"Fejn l-ilma kiesaħ u sħun jiltaqa 'ma' l-ilma sħun?")</f>
        <v>Fejn l-ilma kiesaħ u sħun jiltaqa 'ma' l-ilma sħun?</v>
      </c>
    </row>
    <row r="24606" ht="15.75" customHeight="1">
      <c r="A24606" s="2" t="s">
        <v>24606</v>
      </c>
      <c r="B24606" s="2" t="str">
        <f>IFERROR(__xludf.DUMMYFUNCTION("GOOGLETRANSLATE(A24606, ""en"", ""mt"")"),"jittrattaw il-preskrizzjonijiet tal-pazjenti u l-problemi ta 'sigurtà tal-pazjent")</f>
        <v>jittrattaw il-preskrizzjonijiet tal-pazjenti u l-problemi ta 'sigurtà tal-pazjent</v>
      </c>
    </row>
    <row r="24607" ht="15.75" customHeight="1">
      <c r="A24607" s="2" t="s">
        <v>24607</v>
      </c>
      <c r="B24607" s="2" t="str">
        <f>IFERROR(__xludf.DUMMYFUNCTION("GOOGLETRANSLATE(A24607, ""en"", ""mt"")"),"Il-kloroplasti taċ-ċelloli tal-pjanti u tal-alka jistgħu jorjentaw ruħhom biex jaqdu l-aħjar id-dawl disponibbli. F'kundizzjonijiet ta 'dawl baxx, dawn jinfirxu f'folja - timmassimizza l-erja tal-wiċċ biex tassorbi d-dawl. Taħt dawl intens, huma jfittxu k"&amp;"enn billi jallinjaw f'kolonni vertikali tul il-ħajt taċ-ċellula taċ-ċellula tal-pjanti jew iduru mal-ġenb sabiex id-dawl jolqothom 'il fuq. Dan inaqqas l-esponiment u jipproteġihom minn ħsara fotoossidattiva. Din il-ħila li tqassam il-kloroplasti sabiex i"&amp;"kunu jistgħu jieħdu kenn wara xulxin jew jinfirxu tista 'tkun ir-raġuni għaliex il-pjanti tal-art evolvew biex ikollhom ħafna kloroplasti żgħar minflok ftit kbar. Il-moviment tal-kloroplast huwa meqjus bħala wieħed mis-sistemi ta 'rispons għall-istimolu l"&amp;"-iktar regolat mill-qrib li jistgħu jinstabu fil-pjanti. Il-mitokondrija ġiet osservata wkoll li ssegwi l-kloroplasti hekk kif jimxu.")</f>
        <v>Il-kloroplasti taċ-ċelloli tal-pjanti u tal-alka jistgħu jorjentaw ruħhom biex jaqdu l-aħjar id-dawl disponibbli. F'kundizzjonijiet ta 'dawl baxx, dawn jinfirxu f'folja - timmassimizza l-erja tal-wiċċ biex tassorbi d-dawl. Taħt dawl intens, huma jfittxu kenn billi jallinjaw f'kolonni vertikali tul il-ħajt taċ-ċellula taċ-ċellula tal-pjanti jew iduru mal-ġenb sabiex id-dawl jolqothom 'il fuq. Dan inaqqas l-esponiment u jipproteġihom minn ħsara fotoossidattiva. Din il-ħila li tqassam il-kloroplasti sabiex ikunu jistgħu jieħdu kenn wara xulxin jew jinfirxu tista 'tkun ir-raġuni għaliex il-pjanti tal-art evolvew biex ikollhom ħafna kloroplasti żgħar minflok ftit kbar. Il-moviment tal-kloroplast huwa meqjus bħala wieħed mis-sistemi ta 'rispons għall-istimolu l-iktar regolat mill-qrib li jistgħu jinstabu fil-pjanti. Il-mitokondrija ġiet osservata wkoll li ssegwi l-kloroplasti hekk kif jimxu.</v>
      </c>
    </row>
    <row r="24608" ht="15.75" customHeight="1">
      <c r="A24608" s="2" t="s">
        <v>24608</v>
      </c>
      <c r="B24608" s="2" t="str">
        <f>IFERROR(__xludf.DUMMYFUNCTION("GOOGLETRANSLATE(A24608, ""en"", ""mt"")"),"Fejn jista 'l-interess innifsu tat-tabib ikun f'kontradizzjoni ma' l-interess innifsu tal-pazjent?")</f>
        <v>Fejn jista 'l-interess innifsu tat-tabib ikun f'kontradizzjoni ma' l-interess innifsu tal-pazjent?</v>
      </c>
    </row>
    <row r="24609" ht="15.75" customHeight="1">
      <c r="A24609" s="2" t="s">
        <v>24609</v>
      </c>
      <c r="B24609" s="2" t="str">
        <f>IFERROR(__xludf.DUMMYFUNCTION("GOOGLETRANSLATE(A24609, ""en"", ""mt"")"),"Min sab li kien hemm kultura żviluppata ta 'kummissarju li ma kellhiex ir-responsabbiltà?")</f>
        <v>Min sab li kien hemm kultura żviluppata ta 'kummissarju li ma kellhiex ir-responsabbiltà?</v>
      </c>
    </row>
    <row r="24610" ht="15.75" customHeight="1">
      <c r="A24610" s="2" t="s">
        <v>24610</v>
      </c>
      <c r="B24610" s="2" t="str">
        <f>IFERROR(__xludf.DUMMYFUNCTION("GOOGLETRANSLATE(A24610, ""en"", ""mt"")"),"Liema plejer irkupra l-pussess tal-ballun fiż-żona finali?")</f>
        <v>Liema plejer irkupra l-pussess tal-ballun fiż-żona finali?</v>
      </c>
    </row>
    <row r="24611" ht="15.75" customHeight="1">
      <c r="A24611" s="2" t="s">
        <v>24611</v>
      </c>
      <c r="B24611" s="2" t="str">
        <f>IFERROR(__xludf.DUMMYFUNCTION("GOOGLETRANSLATE(A24611, ""en"", ""mt"")"),"Minbarra l-identifikazzjoni tal-blat fil-grawnd, il-petroloġisti jidentifikaw kampjuni tal-blat fil-laboratorju. Tnejn mill-metodi primarji għall-identifikazzjoni tal-blat fil-laboratorju huma permezz ta 'mikroskopija ottika u bl-użu ta' microprobe elettr"&amp;"oniku. F'analiżi tal-mineraloġija ottika, sezzjonijiet irqaq ta 'kampjuni tal-blat huma analizzati permezz ta' mikroskopju petrografiku, fejn il-minerali jistgħu jiġu identifikati permezz tal-proprjetajiet differenti tagħhom fid-dawl polarizzat u polarizz"&amp;"at mill-pjan, inkluż il-birefringenza tagħhom, pleokroiżmu, ġemellaġġ, ġemellaġġ, u proprjetajiet ta 'interferenza ma' lenti konoskopika. Fil-mikroprobe elettroniku, postijiet individwali huma analizzati għall-kompożizzjonijiet kimiċi eżatti tagħhom u l-v"&amp;"arjazzjoni fil-kompożizzjoni fi ħdan kristalli individwali. Studji ta 'iżotopi stabbli u radjuattivi jipprovdu ħarsa lejn l-evoluzzjoni ġeokimika ta' unitajiet tal-blat.")</f>
        <v>Minbarra l-identifikazzjoni tal-blat fil-grawnd, il-petroloġisti jidentifikaw kampjuni tal-blat fil-laboratorju. Tnejn mill-metodi primarji għall-identifikazzjoni tal-blat fil-laboratorju huma permezz ta 'mikroskopija ottika u bl-użu ta' microprobe elettroniku. F'analiżi tal-mineraloġija ottika, sezzjonijiet irqaq ta 'kampjuni tal-blat huma analizzati permezz ta' mikroskopju petrografiku, fejn il-minerali jistgħu jiġu identifikati permezz tal-proprjetajiet differenti tagħhom fid-dawl polarizzat u polarizzat mill-pjan, inkluż il-birefringenza tagħhom, pleokroiżmu, ġemellaġġ, ġemellaġġ, u proprjetajiet ta 'interferenza ma' lenti konoskopika. Fil-mikroprobe elettroniku, postijiet individwali huma analizzati għall-kompożizzjonijiet kimiċi eżatti tagħhom u l-varjazzjoni fil-kompożizzjoni fi ħdan kristalli individwali. Studji ta 'iżotopi stabbli u radjuattivi jipprovdu ħarsa lejn l-evoluzzjoni ġeokimika ta' unitajiet tal-blat.</v>
      </c>
    </row>
    <row r="24612" ht="15.75" customHeight="1">
      <c r="A24612" s="2" t="s">
        <v>24612</v>
      </c>
      <c r="B24612" s="2" t="str">
        <f>IFERROR(__xludf.DUMMYFUNCTION("GOOGLETRANSLATE(A24612, ""en"", ""mt"")"),"X'tip ta 'elettriku kienet qed tinvestiga Tesla?")</f>
        <v>X'tip ta 'elettriku kienet qed tinvestiga Tesla?</v>
      </c>
    </row>
    <row r="24613" ht="15.75" customHeight="1">
      <c r="A24613" s="2" t="s">
        <v>24613</v>
      </c>
      <c r="B24613" s="2" t="str">
        <f>IFERROR(__xludf.DUMMYFUNCTION("GOOGLETRANSLATE(A24613, ""en"", ""mt"")"),"5,560")</f>
        <v>5,560</v>
      </c>
    </row>
    <row r="24614" ht="15.75" customHeight="1">
      <c r="A24614" s="2" t="s">
        <v>24614</v>
      </c>
      <c r="B24614" s="2" t="str">
        <f>IFERROR(__xludf.DUMMYFUNCTION("GOOGLETRANSLATE(A24614, ""en"", ""mt"")"),"Bħal knejjes Kristjani storiċi oħra, il-Knisja Metodista Magħquda għandha liturġiji uffiċjali għal servizzi ta ’Tqarbina Mqaddsa, Magħmudija, Tieġ, Funeral, Ordinazzjoni, Duqa tas-Servizzi ta’ Talb tal-Uffiċċju Morda u ta ’Kuljum. Xi kleru joffri servizzi"&amp;" ta ’fejqan, filwaqt li l-eżorċiżmu huwa prattika okkażjonali minn xi kleru fil-Knisja Metodista Magħquda fl-Afrika. Dawn is-servizzi jinvolvu t-tqegħid ta 'l-idejn u d-dilka biż-żejt. Flimkien ma 'dawn, hemm ukoll servizzi speċjali għal jiem qaddisa bħal"&amp;" Jum il-Qaddisin Kollha, l-Erbgħa ta' l-Irmied, il-Ħamis Maundy, il-Ġimgħa l-Kbira, u l-Velja tal-Għid. Dawn is-servizzi jinsabu fl-Innu Metodist Magħqud u fil-Ktieb tal-Adorazzjoni Metodista Magħquda (1992). Ħafna minn dawn il-liturġiji huma derivati ​​m"&amp;"ill-ktieb tat-talb komuni tat-tradizzjoni Anglikana. Fil-biċċa l-kbira tal-każijiet, il-kongregazzjonijiet jużaw ukoll elementi oħra ta 'qima liturġika, bħal xemgħat, ħwejjeġ, paramenti, bandalori, u arti liturġika.")</f>
        <v>Bħal knejjes Kristjani storiċi oħra, il-Knisja Metodista Magħquda għandha liturġiji uffiċjali għal servizzi ta ’Tqarbina Mqaddsa, Magħmudija, Tieġ, Funeral, Ordinazzjoni, Duqa tas-Servizzi ta’ Talb tal-Uffiċċju Morda u ta ’Kuljum. Xi kleru joffri servizzi ta ’fejqan, filwaqt li l-eżorċiżmu huwa prattika okkażjonali minn xi kleru fil-Knisja Metodista Magħquda fl-Afrika. Dawn is-servizzi jinvolvu t-tqegħid ta 'l-idejn u d-dilka biż-żejt. Flimkien ma 'dawn, hemm ukoll servizzi speċjali għal jiem qaddisa bħal Jum il-Qaddisin Kollha, l-Erbgħa ta' l-Irmied, il-Ħamis Maundy, il-Ġimgħa l-Kbira, u l-Velja tal-Għid. Dawn is-servizzi jinsabu fl-Innu Metodist Magħqud u fil-Ktieb tal-Adorazzjoni Metodista Magħquda (1992). Ħafna minn dawn il-liturġiji huma derivati ​​mill-ktieb tat-talb komuni tat-tradizzjoni Anglikana. Fil-biċċa l-kbira tal-każijiet, il-kongregazzjonijiet jużaw ukoll elementi oħra ta 'qima liturġika, bħal xemgħat, ħwejjeġ, paramenti, bandalori, u arti liturġika.</v>
      </c>
    </row>
    <row r="24615" ht="15.75" customHeight="1">
      <c r="A24615" s="2" t="s">
        <v>24615</v>
      </c>
      <c r="B24615" s="2" t="str">
        <f>IFERROR(__xludf.DUMMYFUNCTION("GOOGLETRANSLATE(A24615, ""en"", ""mt"")"),"limfoċiti")</f>
        <v>limfoċiti</v>
      </c>
    </row>
    <row r="24616" ht="15.75" customHeight="1">
      <c r="A24616" s="2" t="s">
        <v>24616</v>
      </c>
      <c r="B24616" s="2" t="str">
        <f>IFERROR(__xludf.DUMMYFUNCTION("GOOGLETRANSLATE(A24616, ""en"", ""mt"")"),"Judith Merril")</f>
        <v>Judith Merril</v>
      </c>
    </row>
    <row r="24617" ht="15.75" customHeight="1">
      <c r="A24617" s="2" t="s">
        <v>24617</v>
      </c>
      <c r="B24617" s="2" t="str">
        <f>IFERROR(__xludf.DUMMYFUNCTION("GOOGLETRANSLATE(A24617, ""en"", ""mt"")"),"F'liema sena John Sheepshanks ta donazzjoni ta 'ġabra kbira ta' pitturi?")</f>
        <v>F'liema sena John Sheepshanks ta donazzjoni ta 'ġabra kbira ta' pitturi?</v>
      </c>
    </row>
    <row r="24618" ht="15.75" customHeight="1">
      <c r="A24618" s="2" t="s">
        <v>24618</v>
      </c>
      <c r="B24618" s="2" t="str">
        <f>IFERROR(__xludf.DUMMYFUNCTION("GOOGLETRANSLATE(A24618, ""en"", ""mt"")"),"2000")</f>
        <v>2000</v>
      </c>
    </row>
    <row r="24619" ht="15.75" customHeight="1">
      <c r="A24619" s="2" t="s">
        <v>24619</v>
      </c>
      <c r="B24619" s="2" t="str">
        <f>IFERROR(__xludf.DUMMYFUNCTION("GOOGLETRANSLATE(A24619, ""en"", ""mt"")"),"Fejn kien Luther l-aktar li kkonċentra l-isforzi tiegħu fuq ir-riforma?")</f>
        <v>Fejn kien Luther l-aktar li kkonċentra l-isforzi tiegħu fuq ir-riforma?</v>
      </c>
    </row>
    <row r="24620" ht="15.75" customHeight="1">
      <c r="A24620" s="2" t="s">
        <v>24620</v>
      </c>
      <c r="B24620" s="2" t="str">
        <f>IFERROR(__xludf.DUMMYFUNCTION("GOOGLETRANSLATE(A24620, ""en"", ""mt"")"),"Seamans Robert")</f>
        <v>Seamans Robert</v>
      </c>
    </row>
    <row r="24621" ht="15.75" customHeight="1">
      <c r="A24621" s="2" t="s">
        <v>24621</v>
      </c>
      <c r="B24621" s="2" t="str">
        <f>IFERROR(__xludf.DUMMYFUNCTION("GOOGLETRANSLATE(A24621, ""en"", ""mt"")"),"X'tip ta 'arma tkellmet dwar Tesla?")</f>
        <v>X'tip ta 'arma tkellmet dwar Tesla?</v>
      </c>
    </row>
    <row r="24622" ht="15.75" customHeight="1">
      <c r="A24622" s="2" t="s">
        <v>24622</v>
      </c>
      <c r="B24622" s="2" t="str">
        <f>IFERROR(__xludf.DUMMYFUNCTION("GOOGLETRANSLATE(A24622, ""en"", ""mt"")"),"X'tip ta 'kombustjoni tipprevjeni r-reazzjoni bil-mod ta' ossiġnu triplet?")</f>
        <v>X'tip ta 'kombustjoni tipprevjeni r-reazzjoni bil-mod ta' ossiġnu triplet?</v>
      </c>
    </row>
    <row r="24623" ht="15.75" customHeight="1">
      <c r="A24623" s="2" t="s">
        <v>24623</v>
      </c>
      <c r="B24623" s="2" t="str">
        <f>IFERROR(__xludf.DUMMYFUNCTION("GOOGLETRANSLATE(A24623, ""en"", ""mt"")"),"X'inhuma ż-żewġ korpi li jiffurmaw il-leġiżlatura tal-Unjoni Ewropea?")</f>
        <v>X'inhuma ż-żewġ korpi li jiffurmaw il-leġiżlatura tal-Unjoni Ewropea?</v>
      </c>
    </row>
    <row r="24624" ht="15.75" customHeight="1">
      <c r="A24624" s="2" t="s">
        <v>24624</v>
      </c>
      <c r="B24624" s="2" t="str">
        <f>IFERROR(__xludf.DUMMYFUNCTION("GOOGLETRANSLATE(A24624, ""en"", ""mt"")"),"orfni")</f>
        <v>orfni</v>
      </c>
    </row>
    <row r="24625" ht="15.75" customHeight="1">
      <c r="A24625" s="2" t="s">
        <v>24625</v>
      </c>
      <c r="B24625" s="2" t="str">
        <f>IFERROR(__xludf.DUMMYFUNCTION("GOOGLETRANSLATE(A24625, ""en"", ""mt"")"),"X'qed issostitwixxa ħaddiema b'ħiliet aktar baxxi fl-Istati Uniti?")</f>
        <v>X'qed issostitwixxa ħaddiema b'ħiliet aktar baxxi fl-Istati Uniti?</v>
      </c>
    </row>
    <row r="24626" ht="15.75" customHeight="1">
      <c r="A24626" s="2" t="s">
        <v>24626</v>
      </c>
      <c r="B24626" s="2" t="str">
        <f>IFERROR(__xludf.DUMMYFUNCTION("GOOGLETRANSLATE(A24626, ""en"", ""mt"")"),"Plastoglobulus")</f>
        <v>Plastoglobulus</v>
      </c>
    </row>
    <row r="24627" ht="15.75" customHeight="1">
      <c r="A24627" s="2" t="s">
        <v>24627</v>
      </c>
      <c r="B24627" s="2" t="str">
        <f>IFERROR(__xludf.DUMMYFUNCTION("GOOGLETRANSLATE(A24627, ""en"", ""mt"")"),"Amiloplasti tal-ħażna tal-lamtu")</f>
        <v>Amiloplasti tal-ħażna tal-lamtu</v>
      </c>
    </row>
    <row r="24628" ht="15.75" customHeight="1">
      <c r="A24628" s="2" t="s">
        <v>24628</v>
      </c>
      <c r="B24628" s="2" t="str">
        <f>IFERROR(__xludf.DUMMYFUNCTION("GOOGLETRANSLATE(A24628, ""en"", ""mt"")"),"Għal liema tip ta 'pożizzjonijiet dawn il-kontej ikunu qed jippruvaw jirreklutaw?")</f>
        <v>Għal liema tip ta 'pożizzjonijiet dawn il-kontej ikunu qed jippruvaw jirreklutaw?</v>
      </c>
    </row>
    <row r="24629" ht="15.75" customHeight="1">
      <c r="A24629" s="2" t="s">
        <v>24629</v>
      </c>
      <c r="B24629" s="2" t="str">
        <f>IFERROR(__xludf.DUMMYFUNCTION("GOOGLETRANSLATE(A24629, ""en"", ""mt"")"),"motivazzjoni u attitudnijiet tal-istudenti lejn l-iskola")</f>
        <v>motivazzjoni u attitudnijiet tal-istudenti lejn l-iskola</v>
      </c>
    </row>
    <row r="24630" ht="15.75" customHeight="1">
      <c r="A24630" s="2" t="s">
        <v>24630</v>
      </c>
      <c r="B24630" s="2" t="str">
        <f>IFERROR(__xludf.DUMMYFUNCTION("GOOGLETRANSLATE(A24630, ""en"", ""mt"")"),"Fejn Luther iddeskriva l-post ta 'mistrieħ tal-qaddisin?")</f>
        <v>Fejn Luther iddeskriva l-post ta 'mistrieħ tal-qaddisin?</v>
      </c>
    </row>
    <row r="24631" ht="15.75" customHeight="1">
      <c r="A24631" s="2" t="s">
        <v>24631</v>
      </c>
      <c r="B24631" s="2" t="str">
        <f>IFERROR(__xludf.DUMMYFUNCTION("GOOGLETRANSLATE(A24631, ""en"", ""mt"")"),"Benjamin Netanyahu")</f>
        <v>Benjamin Netanyahu</v>
      </c>
    </row>
    <row r="24632" ht="15.75" customHeight="1">
      <c r="A24632" s="2" t="s">
        <v>24632</v>
      </c>
      <c r="B24632" s="2" t="str">
        <f>IFERROR(__xludf.DUMMYFUNCTION("GOOGLETRANSLATE(A24632, ""en"", ""mt"")"),"Biex testendi l-benefiċċji tan-netwerking")</f>
        <v>Biex testendi l-benefiċċji tan-netwerking</v>
      </c>
    </row>
    <row r="24633" ht="15.75" customHeight="1">
      <c r="A24633" s="2" t="s">
        <v>24633</v>
      </c>
      <c r="B24633" s="2" t="str">
        <f>IFERROR(__xludf.DUMMYFUNCTION("GOOGLETRANSLATE(A24633, ""en"", ""mt"")"),"Membru Onorarju tal-Konfederazzjoni Iroquois")</f>
        <v>Membru Onorarju tal-Konfederazzjoni Iroquois</v>
      </c>
    </row>
    <row r="24634" ht="15.75" customHeight="1">
      <c r="A24634" s="2" t="s">
        <v>24634</v>
      </c>
      <c r="B24634" s="2" t="str">
        <f>IFERROR(__xludf.DUMMYFUNCTION("GOOGLETRANSLATE(A24634, ""en"", ""mt"")"),"Mount Wilson")</f>
        <v>Mount Wilson</v>
      </c>
    </row>
    <row r="24635" ht="15.75" customHeight="1">
      <c r="A24635" s="2" t="s">
        <v>24635</v>
      </c>
      <c r="B24635" s="2" t="str">
        <f>IFERROR(__xludf.DUMMYFUNCTION("GOOGLETRANSLATE(A24635, ""en"", ""mt"")"),"X'inspire l-indirizz Allahabad ta 'Iqbal?")</f>
        <v>X'inspire l-indirizz Allahabad ta 'Iqbal?</v>
      </c>
    </row>
    <row r="24636" ht="15.75" customHeight="1">
      <c r="A24636" s="2" t="s">
        <v>24636</v>
      </c>
      <c r="B24636" s="2" t="str">
        <f>IFERROR(__xludf.DUMMYFUNCTION("GOOGLETRANSLATE(A24636, ""en"", ""mt"")"),"Ostakli fluwidi-moħħ")</f>
        <v>Ostakli fluwidi-moħħ</v>
      </c>
    </row>
    <row r="24637" ht="15.75" customHeight="1">
      <c r="A24637" s="2" t="s">
        <v>24637</v>
      </c>
      <c r="B24637" s="2" t="str">
        <f>IFERROR(__xludf.DUMMYFUNCTION("GOOGLETRANSLATE(A24637, ""en"", ""mt"")"),"Meta Martin Luther ippubblika t-traduzzjoni tiegħu tat-Testment il-Ġdid?")</f>
        <v>Meta Martin Luther ippubblika t-traduzzjoni tiegħu tat-Testment il-Ġdid?</v>
      </c>
    </row>
    <row r="24638" ht="15.75" customHeight="1">
      <c r="A24638" s="2" t="s">
        <v>24638</v>
      </c>
      <c r="B24638" s="2" t="str">
        <f>IFERROR(__xludf.DUMMYFUNCTION("GOOGLETRANSLATE(A24638, ""en"", ""mt"")"),"strett, konservattiv")</f>
        <v>strett, konservattiv</v>
      </c>
    </row>
    <row r="24639" ht="15.75" customHeight="1">
      <c r="A24639" s="2" t="s">
        <v>24639</v>
      </c>
      <c r="B24639" s="2" t="str">
        <f>IFERROR(__xludf.DUMMYFUNCTION("GOOGLETRANSLATE(A24639, ""en"", ""mt"")"),"40,000 lira (18,100 kg)")</f>
        <v>40,000 lira (18,100 kg)</v>
      </c>
    </row>
    <row r="24640" ht="15.75" customHeight="1">
      <c r="A24640" s="2" t="s">
        <v>24640</v>
      </c>
      <c r="B24640" s="2" t="str">
        <f>IFERROR(__xludf.DUMMYFUNCTION("GOOGLETRANSLATE(A24640, ""en"", ""mt"")"),"Liema mużew fi Newcastle huwa ddedikat għall-kotba tat-tfal?")</f>
        <v>Liema mużew fi Newcastle huwa ddedikat għall-kotba tat-tfal?</v>
      </c>
    </row>
    <row r="24641" ht="15.75" customHeight="1">
      <c r="A24641" s="2" t="s">
        <v>24641</v>
      </c>
      <c r="B24641" s="2" t="str">
        <f>IFERROR(__xludf.DUMMYFUNCTION("GOOGLETRANSLATE(A24641, ""en"", ""mt"")"),"Min hu l-viċi president tal-NFL tal-marka u kreattiv?")</f>
        <v>Min hu l-viċi president tal-NFL tal-marka u kreattiv?</v>
      </c>
    </row>
    <row r="24642" ht="15.75" customHeight="1">
      <c r="A24642" s="2" t="s">
        <v>24642</v>
      </c>
      <c r="B24642" s="2" t="str">
        <f>IFERROR(__xludf.DUMMYFUNCTION("GOOGLETRANSLATE(A24642, ""en"", ""mt"")"),"Fresno tal-Lbiċ")</f>
        <v>Fresno tal-Lbiċ</v>
      </c>
    </row>
    <row r="24643" ht="15.75" customHeight="1">
      <c r="A24643" s="2" t="s">
        <v>24643</v>
      </c>
      <c r="B24643" s="2" t="str">
        <f>IFERROR(__xludf.DUMMYFUNCTION("GOOGLETRANSLATE(A24643, ""en"", ""mt"")"),"Fil-bidu tal-1938")</f>
        <v>Fil-bidu tal-1938</v>
      </c>
    </row>
    <row r="24644" ht="15.75" customHeight="1">
      <c r="A24644" s="2" t="s">
        <v>24644</v>
      </c>
      <c r="B24644" s="2" t="str">
        <f>IFERROR(__xludf.DUMMYFUNCTION("GOOGLETRANSLATE(A24644, ""en"", ""mt"")"),"Istituzzjonijiet Metodisti")</f>
        <v>Istituzzjonijiet Metodisti</v>
      </c>
    </row>
    <row r="24645" ht="15.75" customHeight="1">
      <c r="A24645" s="2" t="s">
        <v>24645</v>
      </c>
      <c r="B24645" s="2" t="str">
        <f>IFERROR(__xludf.DUMMYFUNCTION("GOOGLETRANSLATE(A24645, ""en"", ""mt"")"),"livell eżistenti ta 'inugwaljanza")</f>
        <v>livell eżistenti ta 'inugwaljanza</v>
      </c>
    </row>
    <row r="24646" ht="15.75" customHeight="1">
      <c r="A24646" s="2" t="s">
        <v>24646</v>
      </c>
      <c r="B24646" s="2" t="str">
        <f>IFERROR(__xludf.DUMMYFUNCTION("GOOGLETRANSLATE(A24646, ""en"", ""mt"")"),"Kull ammont kbir minnu jista 'jdgħajjef il-liġi")</f>
        <v>Kull ammont kbir minnu jista 'jdgħajjef il-liġi</v>
      </c>
    </row>
    <row r="24647" ht="15.75" customHeight="1">
      <c r="A24647" s="2" t="s">
        <v>24647</v>
      </c>
      <c r="B24647" s="2" t="str">
        <f>IFERROR(__xludf.DUMMYFUNCTION("GOOGLETRANSLATE(A24647, ""en"", ""mt"")"),"Abitanti Aboriġini")</f>
        <v>Abitanti Aboriġini</v>
      </c>
    </row>
    <row r="24648" ht="15.75" customHeight="1">
      <c r="A24648" s="2" t="s">
        <v>24648</v>
      </c>
      <c r="B24648" s="2" t="str">
        <f>IFERROR(__xludf.DUMMYFUNCTION("GOOGLETRANSLATE(A24648, ""en"", ""mt"")"),"Liema Prinċep Khitan sar amministratur importanti fl-imperu Mongol?")</f>
        <v>Liema Prinċep Khitan sar amministratur importanti fl-imperu Mongol?</v>
      </c>
    </row>
    <row r="24649" ht="15.75" customHeight="1">
      <c r="A24649" s="2" t="s">
        <v>24649</v>
      </c>
      <c r="B24649" s="2" t="str">
        <f>IFERROR(__xludf.DUMMYFUNCTION("GOOGLETRANSLATE(A24649, ""en"", ""mt"")"),"Liema karawett speċjali huwa b'tema ta 'Halloween?")</f>
        <v>Liema karawett speċjali huwa b'tema ta 'Halloween?</v>
      </c>
    </row>
    <row r="24650" ht="15.75" customHeight="1">
      <c r="A24650" s="2" t="s">
        <v>24650</v>
      </c>
      <c r="B24650" s="2" t="str">
        <f>IFERROR(__xludf.DUMMYFUNCTION("GOOGLETRANSLATE(A24650, ""en"", ""mt"")"),"Matul il-Gwerra Ċivili Ingliża, it-Tramuntana ddikjarat għar-Re. Bi sforz biex jiksbu Newcastle u l-alleati ta 'Tyne, Cromwell, l-Iskoċċiżi, qabdu l-belt ta' Newburn. Fl-1644 l-Iskoċċiżi mbagħad qabdu l-fortifikazzjoni msaħħa fuq il-Lawe f'South Shields w"&amp;"ara assedju. Fl-1644 il-belt imbagħad ġiet assedjata għal ħafna xhur u eventwalment ġiet maħruġa ('bid-drummes roaring') u mkeċċi mill-alleati ta 'Cromwell. Ir-Re Grateful ta l-motto ""Fortiter Defendit Triumphans"" (""trijonf minn difiża kuraġġuża"") lil"&amp;"l-belt. Charles I kien il-ħabs fi Newcastle mill-Iskoċċiżi fl-1646–7.")</f>
        <v>Matul il-Gwerra Ċivili Ingliża, it-Tramuntana ddikjarat għar-Re. Bi sforz biex jiksbu Newcastle u l-alleati ta 'Tyne, Cromwell, l-Iskoċċiżi, qabdu l-belt ta' Newburn. Fl-1644 l-Iskoċċiżi mbagħad qabdu l-fortifikazzjoni msaħħa fuq il-Lawe f'South Shields wara assedju. Fl-1644 il-belt imbagħad ġiet assedjata għal ħafna xhur u eventwalment ġiet maħruġa ('bid-drummes roaring') u mkeċċi mill-alleati ta 'Cromwell. Ir-Re Grateful ta l-motto "Fortiter Defendit Triumphans" ("trijonf minn difiża kuraġġuża") lill-belt. Charles I kien il-ħabs fi Newcastle mill-Iskoċċiżi fl-1646–7.</v>
      </c>
    </row>
    <row r="24651" ht="15.75" customHeight="1">
      <c r="A24651" s="2" t="s">
        <v>24651</v>
      </c>
      <c r="B24651" s="2" t="str">
        <f>IFERROR(__xludf.DUMMYFUNCTION("GOOGLETRANSLATE(A24651, ""en"", ""mt"")"),"Għaliex kienu s-suġġerimenti inizjali għal parlament devolut qabel l-1914 bl-inkarigu?")</f>
        <v>Għaliex kienu s-suġġerimenti inizjali għal parlament devolut qabel l-1914 bl-inkarigu?</v>
      </c>
    </row>
    <row r="24652" ht="15.75" customHeight="1">
      <c r="A24652" s="2" t="s">
        <v>24652</v>
      </c>
      <c r="B24652" s="2" t="str">
        <f>IFERROR(__xludf.DUMMYFUNCTION("GOOGLETRANSLATE(A24652, ""en"", ""mt"")"),"0.5–1.4 m")</f>
        <v>0.5–1.4 m</v>
      </c>
    </row>
    <row r="24653" ht="15.75" customHeight="1">
      <c r="A24653" s="2" t="s">
        <v>24653</v>
      </c>
      <c r="B24653" s="2" t="str">
        <f>IFERROR(__xludf.DUMMYFUNCTION("GOOGLETRANSLATE(A24653, ""en"", ""mt"")"),"Id-Diviżjoni u l-Amministrazzjoni tat-Territorju li għadu kif ġie maħkuma")</f>
        <v>Id-Diviżjoni u l-Amministrazzjoni tat-Territorju li għadu kif ġie maħkuma</v>
      </c>
    </row>
    <row r="24654" ht="15.75" customHeight="1">
      <c r="A24654" s="2" t="s">
        <v>24654</v>
      </c>
      <c r="B24654" s="2" t="str">
        <f>IFERROR(__xludf.DUMMYFUNCTION("GOOGLETRANSLATE(A24654, ""en"", ""mt"")"),"Mudelli ta 'unifikazzjoni awto-konsistenti")</f>
        <v>Mudelli ta 'unifikazzjoni awto-konsistenti</v>
      </c>
    </row>
    <row r="24655" ht="15.75" customHeight="1">
      <c r="A24655" s="2" t="s">
        <v>24655</v>
      </c>
      <c r="B24655" s="2" t="str">
        <f>IFERROR(__xludf.DUMMYFUNCTION("GOOGLETRANSLATE(A24655, ""en"", ""mt"")"),"Kemm-il darba ġie mkeċċi Cam Newton?")</f>
        <v>Kemm-il darba ġie mkeċċi Cam Newton?</v>
      </c>
    </row>
    <row r="24656" ht="15.75" customHeight="1">
      <c r="A24656" s="2" t="s">
        <v>24656</v>
      </c>
      <c r="B24656" s="2" t="str">
        <f>IFERROR(__xludf.DUMMYFUNCTION("GOOGLETRANSLATE(A24656, ""en"", ""mt"")"),"Ċirkwit Chameleon")</f>
        <v>Ċirkwit Chameleon</v>
      </c>
    </row>
    <row r="24657" ht="15.75" customHeight="1">
      <c r="A24657" s="2" t="s">
        <v>24657</v>
      </c>
      <c r="B24657" s="2" t="str">
        <f>IFERROR(__xludf.DUMMYFUNCTION("GOOGLETRANSLATE(A24657, ""en"", ""mt"")"),"avukat")</f>
        <v>avukat</v>
      </c>
    </row>
    <row r="24658" ht="15.75" customHeight="1">
      <c r="A24658" s="2" t="s">
        <v>24658</v>
      </c>
      <c r="B24658" s="2" t="str">
        <f>IFERROR(__xludf.DUMMYFUNCTION("GOOGLETRANSLATE(A24658, ""en"", ""mt"")"),"kwantitattiv")</f>
        <v>kwantitattiv</v>
      </c>
    </row>
    <row r="24659" ht="15.75" customHeight="1">
      <c r="A24659" s="2" t="s">
        <v>24659</v>
      </c>
      <c r="B24659" s="2" t="str">
        <f>IFERROR(__xludf.DUMMYFUNCTION("GOOGLETRANSLATE(A24659, ""en"", ""mt"")"),"Staġun 1976–77")</f>
        <v>Staġun 1976–77</v>
      </c>
    </row>
    <row r="24660" ht="15.75" customHeight="1">
      <c r="A24660" s="2" t="s">
        <v>24660</v>
      </c>
      <c r="B24660" s="2" t="str">
        <f>IFERROR(__xludf.DUMMYFUNCTION("GOOGLETRANSLATE(A24660, ""en"", ""mt"")"),"Liema kostruzzjoni soċjali refuġjati Huguenot fil-prattika ta 'Canterbury?")</f>
        <v>Liema kostruzzjoni soċjali refuġjati Huguenot fil-prattika ta 'Canterbury?</v>
      </c>
    </row>
    <row r="24661" ht="15.75" customHeight="1">
      <c r="A24661" s="2" t="s">
        <v>24661</v>
      </c>
      <c r="B24661" s="2" t="str">
        <f>IFERROR(__xludf.DUMMYFUNCTION("GOOGLETRANSLATE(A24661, ""en"", ""mt"")"),"kemm adattivi kif ukoll innati")</f>
        <v>kemm adattivi kif ukoll innati</v>
      </c>
    </row>
    <row r="24662" ht="15.75" customHeight="1">
      <c r="A24662" s="2" t="s">
        <v>24662</v>
      </c>
      <c r="B24662" s="2" t="str">
        <f>IFERROR(__xludf.DUMMYFUNCTION("GOOGLETRANSLATE(A24662, ""en"", ""mt"")"),"Kemm sororitajiet jappartjenu għall-Konferenza Panhellenic Nazzjonali?")</f>
        <v>Kemm sororitajiet jappartjenu għall-Konferenza Panhellenic Nazzjonali?</v>
      </c>
    </row>
    <row r="24663" ht="15.75" customHeight="1">
      <c r="A24663" s="2" t="s">
        <v>24663</v>
      </c>
      <c r="B24663" s="2" t="str">
        <f>IFERROR(__xludf.DUMMYFUNCTION("GOOGLETRANSLATE(A24663, ""en"", ""mt"")"),"Defection ta 'numru ta' atleti Kenjani")</f>
        <v>Defection ta 'numru ta' atleti Kenjani</v>
      </c>
    </row>
    <row r="24664" ht="15.75" customHeight="1">
      <c r="A24664" s="2" t="s">
        <v>24664</v>
      </c>
      <c r="B24664" s="2" t="str">
        <f>IFERROR(__xludf.DUMMYFUNCTION("GOOGLETRANSLATE(A24664, ""en"", ""mt"")"),"it-tmiem innifsu")</f>
        <v>it-tmiem innifsu</v>
      </c>
    </row>
    <row r="24665" ht="15.75" customHeight="1">
      <c r="A24665" s="2" t="s">
        <v>24665</v>
      </c>
      <c r="B24665" s="2" t="str">
        <f>IFERROR(__xludf.DUMMYFUNCTION("GOOGLETRANSLATE(A24665, ""en"", ""mt"")"),"It-triq tal-vjolenza u l-ġlieda militari mbagħad ġiet meħuda mill-organizzazzjoni tal-jihad Iżlamiku Eġizzjan responsabbli għall-qtil ta 'Anwar Sadat fl-1981. B'differenza mill-movimenti anti-kolonjali preċedenti, il-grupp estremist idderieġa l-attakki ti"&amp;"egħu kontra dak li kien jemmen li kienu mexxejja ""apostati"" tal-Musulmani "" Stati, mexxejja li kellhom tluq sekulari jew li kienu introduċew jew ippromwovu ideat u prattiki tal-Punent / barranin fis-soċjetajiet Iżlamiċi. Il-fehmiet tagħha ġew deskritti"&amp;" fil-fuljett miktub minn Muhammad Abd al-Salaam Farag, li fih jiddikjara:")</f>
        <v>It-triq tal-vjolenza u l-ġlieda militari mbagħad ġiet meħuda mill-organizzazzjoni tal-jihad Iżlamiku Eġizzjan responsabbli għall-qtil ta 'Anwar Sadat fl-1981. B'differenza mill-movimenti anti-kolonjali preċedenti, il-grupp estremist idderieġa l-attakki tiegħu kontra dak li kien jemmen li kienu mexxejja "apostati" tal-Musulmani " Stati, mexxejja li kellhom tluq sekulari jew li kienu introduċew jew ippromwovu ideat u prattiki tal-Punent / barranin fis-soċjetajiet Iżlamiċi. Il-fehmiet tagħha ġew deskritti fil-fuljett miktub minn Muhammad Abd al-Salaam Farag, li fih jiddikjara:</v>
      </c>
    </row>
    <row r="24666" ht="15.75" customHeight="1">
      <c r="A24666" s="2" t="s">
        <v>24666</v>
      </c>
      <c r="B24666" s="2" t="str">
        <f>IFERROR(__xludf.DUMMYFUNCTION("GOOGLETRANSLATE(A24666, ""en"", ""mt"")"),"Meta ġie ffurmat l-Ajruport tas-Sierra Sky Park?")</f>
        <v>Meta ġie ffurmat l-Ajruport tas-Sierra Sky Park?</v>
      </c>
    </row>
    <row r="24667" ht="15.75" customHeight="1">
      <c r="A24667" s="2" t="s">
        <v>24667</v>
      </c>
      <c r="B24667" s="2" t="str">
        <f>IFERROR(__xludf.DUMMYFUNCTION("GOOGLETRANSLATE(A24667, ""en"", ""mt"")"),"X'inhi l-akbar differenza fir-relazzjoni ta 'tagħlim għall-iskola primarja u sekondarja?")</f>
        <v>X'inhi l-akbar differenza fir-relazzjoni ta 'tagħlim għall-iskola primarja u sekondarja?</v>
      </c>
    </row>
    <row r="24668" ht="15.75" customHeight="1">
      <c r="A24668" s="2" t="s">
        <v>24668</v>
      </c>
      <c r="B24668" s="2" t="str">
        <f>IFERROR(__xludf.DUMMYFUNCTION("GOOGLETRANSLATE(A24668, ""en"", ""mt"")"),"Huwa l-qara kbira")</f>
        <v>Huwa l-qara kbira</v>
      </c>
    </row>
    <row r="24669" ht="15.75" customHeight="1">
      <c r="A24669" s="2" t="s">
        <v>24669</v>
      </c>
      <c r="B24669" s="2" t="str">
        <f>IFERROR(__xludf.DUMMYFUNCTION("GOOGLETRANSLATE(A24669, ""en"", ""mt"")"),"Destinazzjonijiet oħra tax-xiri fi Newcastle jinkludu Triq Grainger u ż-żona madwar il-monument ta 'Grey, il-kumplessi relattivament moderni tal-Ġnien Eldon u l-Monument Mall, iċ-Ċentru ta' Newgate, l-Arcade Ċentrali u s-Suq Tradizzjonali Grainger. Barra "&amp;"ċ-ċentru tal-belt, l-akbar żoni tax-xiri suburbani huma Gosforth u Byker. L-akbar maħżen Tesco fir-Renju Unit jinsab fil-Park Kingston fit-tarf ta 'Newcastle. Qrib Newcastle, l-akbar ċentru tax-xiri ta 'ġewwa fl-Ewropa, il-Metrocentre, jinsab f'Gateshead.")</f>
        <v>Destinazzjonijiet oħra tax-xiri fi Newcastle jinkludu Triq Grainger u ż-żona madwar il-monument ta 'Grey, il-kumplessi relattivament moderni tal-Ġnien Eldon u l-Monument Mall, iċ-Ċentru ta' Newgate, l-Arcade Ċentrali u s-Suq Tradizzjonali Grainger. Barra ċ-ċentru tal-belt, l-akbar żoni tax-xiri suburbani huma Gosforth u Byker. L-akbar maħżen Tesco fir-Renju Unit jinsab fil-Park Kingston fit-tarf ta 'Newcastle. Qrib Newcastle, l-akbar ċentru tax-xiri ta 'ġewwa fl-Ewropa, il-Metrocentre, jinsab f'Gateshead.</v>
      </c>
    </row>
    <row r="24670" ht="15.75" customHeight="1">
      <c r="A24670" s="2" t="s">
        <v>24670</v>
      </c>
      <c r="B24670" s="2" t="str">
        <f>IFERROR(__xludf.DUMMYFUNCTION("GOOGLETRANSLATE(A24670, ""en"", ""mt"")"),"Għażla tal-prodott tad-droga")</f>
        <v>Għażla tal-prodott tad-droga</v>
      </c>
    </row>
    <row r="24671" ht="15.75" customHeight="1">
      <c r="A24671" s="2" t="s">
        <v>24671</v>
      </c>
      <c r="B24671" s="2" t="str">
        <f>IFERROR(__xludf.DUMMYFUNCTION("GOOGLETRANSLATE(A24671, ""en"", ""mt"")"),"ħafna siġġijiet")</f>
        <v>ħafna siġġijiet</v>
      </c>
    </row>
    <row r="24672" ht="15.75" customHeight="1">
      <c r="A24672" s="2" t="s">
        <v>24672</v>
      </c>
      <c r="B24672" s="2" t="str">
        <f>IFERROR(__xludf.DUMMYFUNCTION("GOOGLETRANSLATE(A24672, ""en"", ""mt"")"),"Meta jinżamm id-dibattitu tal-membri?")</f>
        <v>Meta jinżamm id-dibattitu tal-membri?</v>
      </c>
    </row>
    <row r="24673" ht="15.75" customHeight="1">
      <c r="A24673" s="2" t="s">
        <v>24673</v>
      </c>
      <c r="B24673" s="2" t="str">
        <f>IFERROR(__xludf.DUMMYFUNCTION("GOOGLETRANSLATE(A24673, ""en"", ""mt"")"),"President u CEO")</f>
        <v>President u CEO</v>
      </c>
    </row>
    <row r="24674" ht="15.75" customHeight="1">
      <c r="A24674" s="2" t="s">
        <v>24674</v>
      </c>
      <c r="B24674" s="2" t="str">
        <f>IFERROR(__xludf.DUMMYFUNCTION("GOOGLETRANSLATE(A24674, ""en"", ""mt"")"),"Teorija waħda hija li, filwaqt li d-diżubbidjenza tista 'tkun ta' għajnuna, kwalunkwe ammont kbir minnha jista 'jdgħajjef il-liġi billi jinkoraġġixxi diżubbidjenza ġenerali li la hija kuxjenzjuża u lanqas ta' benefiċċju soċjali. Għalhekk, il-lawreakers ku"&amp;"xjenzjużi għandhom jiġu kkastigati. Michael Bayles jargumenta li jekk persuna tikser liġi sabiex toħloq każ ta 'test dwar il-kostituzzjonalità ta' liġi, u mbagħad jirbaħ il-każ tiegħu, allura dak l-att ma jikkostitwixxix diżubbidjenza ċivili. Ġie argument"&amp;"at ukoll li t-tkissir tal-liġi għall-awto-sodisfazzjon, bħal fil-każ ta 'utent omosesswali jew tal-kannabis li ma jidderieġix l-att tiegħu biex jiżgura r-revoka ta' emenda tal-liġi, mhix diżubbidjenza ċivili. Bl-istess mod, protestant li jipprova jaħrab m"&amp;"ill-kastig billi wettaq ir-reat bil-moħbi u jevita l-attribuzzjoni, jew billi jiċħad li wettaq ir-reat, jew billi jaħarbu mill-ġurisdizzjoni, ġeneralment huwa meqjus bħala li mhux bħala diżubbidjenti ċivili.")</f>
        <v>Teorija waħda hija li, filwaqt li d-diżubbidjenza tista 'tkun ta' għajnuna, kwalunkwe ammont kbir minnha jista 'jdgħajjef il-liġi billi jinkoraġġixxi diżubbidjenza ġenerali li la hija kuxjenzjuża u lanqas ta' benefiċċju soċjali. Għalhekk, il-lawreakers kuxjenzjużi għandhom jiġu kkastigati. Michael Bayles jargumenta li jekk persuna tikser liġi sabiex toħloq każ ta 'test dwar il-kostituzzjonalità ta' liġi, u mbagħad jirbaħ il-każ tiegħu, allura dak l-att ma jikkostitwixxix diżubbidjenza ċivili. Ġie argumentat ukoll li t-tkissir tal-liġi għall-awto-sodisfazzjon, bħal fil-każ ta 'utent omosesswali jew tal-kannabis li ma jidderieġix l-att tiegħu biex jiżgura r-revoka ta' emenda tal-liġi, mhix diżubbidjenza ċivili. Bl-istess mod, protestant li jipprova jaħrab mill-kastig billi wettaq ir-reat bil-moħbi u jevita l-attribuzzjoni, jew billi jiċħad li wettaq ir-reat, jew billi jaħarbu mill-ġurisdizzjoni, ġeneralment huwa meqjus bħala li mhux bħala diżubbidjenti ċivili.</v>
      </c>
    </row>
    <row r="24675" ht="15.75" customHeight="1">
      <c r="A24675" s="2" t="s">
        <v>24675</v>
      </c>
      <c r="B24675" s="2" t="str">
        <f>IFERROR(__xludf.DUMMYFUNCTION("GOOGLETRANSLATE(A24675, ""en"", ""mt"")"),"F'Berlin, il-Huguenots ħolqu żewġ kwartieri ġodda: Dorotheenstadt u Friedrichstadt. Sal-1700, wieħed minn kull ħamsa tal-popolazzjoni tal-belt kien jitkellem bil-Franċiż. Il-Berlin Huguenots ippreserva l-lingwa Franċiża fis-servizzi tal-knisja tagħhom għa"&amp;"l kważi seklu. Fl-aħħar iddeċidew li jaqilbu għall-Ġermaniż bi protesta kontra l-okkupazzjoni tal-Prussja minn Napuljun fl-1806-07. Ħafna mid-dixxendenti tagħhom telgħu għal pożizzjonijiet ta ’prominenza. Diversi kongregazzjonijiet twaqqfu, bħal dawk ta '"&amp;"Fredericia (id-Danimarka), Berlin, Stokkolma, Hamburg, Frankfurt, Helsinki, u Emden.")</f>
        <v>F'Berlin, il-Huguenots ħolqu żewġ kwartieri ġodda: Dorotheenstadt u Friedrichstadt. Sal-1700, wieħed minn kull ħamsa tal-popolazzjoni tal-belt kien jitkellem bil-Franċiż. Il-Berlin Huguenots ippreserva l-lingwa Franċiża fis-servizzi tal-knisja tagħhom għal kważi seklu. Fl-aħħar iddeċidew li jaqilbu għall-Ġermaniż bi protesta kontra l-okkupazzjoni tal-Prussja minn Napuljun fl-1806-07. Ħafna mid-dixxendenti tagħhom telgħu għal pożizzjonijiet ta ’prominenza. Diversi kongregazzjonijiet twaqqfu, bħal dawk ta 'Fredericia (id-Danimarka), Berlin, Stokkolma, Hamburg, Frankfurt, Helsinki, u Emden.</v>
      </c>
    </row>
    <row r="24676" ht="15.75" customHeight="1">
      <c r="A24676" s="2" t="s">
        <v>24676</v>
      </c>
      <c r="B24676" s="2" t="str">
        <f>IFERROR(__xludf.DUMMYFUNCTION("GOOGLETRANSLATE(A24676, ""en"", ""mt"")"),"ħin")</f>
        <v>ħin</v>
      </c>
    </row>
    <row r="24677" ht="15.75" customHeight="1">
      <c r="A24677" s="2" t="s">
        <v>24677</v>
      </c>
      <c r="B24677" s="2" t="str">
        <f>IFERROR(__xludf.DUMMYFUNCTION("GOOGLETRANSLATE(A24677, ""en"", ""mt"")"),"Kemm kienu tobba fil-Kenja fl-2011?")</f>
        <v>Kemm kienu tobba fil-Kenja fl-2011?</v>
      </c>
    </row>
    <row r="24678" ht="15.75" customHeight="1">
      <c r="A24678" s="2" t="s">
        <v>24678</v>
      </c>
      <c r="B24678" s="2" t="str">
        <f>IFERROR(__xludf.DUMMYFUNCTION("GOOGLETRANSLATE(A24678, ""en"", ""mt"")"),"Blokk II reżistenti għan-nar")</f>
        <v>Blokk II reżistenti għan-nar</v>
      </c>
    </row>
    <row r="24679" ht="15.75" customHeight="1">
      <c r="A24679" s="2" t="s">
        <v>24679</v>
      </c>
      <c r="B24679" s="2" t="str">
        <f>IFERROR(__xludf.DUMMYFUNCTION("GOOGLETRANSLATE(A24679, ""en"", ""mt"")"),"f'kampi manjetiċi ħielsa mill-forza")</f>
        <v>f'kampi manjetiċi ħielsa mill-forza</v>
      </c>
    </row>
    <row r="24680" ht="15.75" customHeight="1">
      <c r="A24680" s="2" t="s">
        <v>24680</v>
      </c>
      <c r="B24680" s="2" t="str">
        <f>IFERROR(__xludf.DUMMYFUNCTION("GOOGLETRANSLATE(A24680, ""en"", ""mt"")"),"F'liema grad huma l-pistuni ta 'kompost b'żewġ ċilindri konnessi mal-krankijiet?")</f>
        <v>F'liema grad huma l-pistuni ta 'kompost b'żewġ ċilindri konnessi mal-krankijiet?</v>
      </c>
    </row>
    <row r="24681" ht="15.75" customHeight="1">
      <c r="A24681" s="2" t="s">
        <v>24681</v>
      </c>
      <c r="B24681" s="2" t="str">
        <f>IFERROR(__xludf.DUMMYFUNCTION("GOOGLETRANSLATE(A24681, ""en"", ""mt"")"),"Liema band intitolat nofs il-ħin waqt is-Super Bowl 50?")</f>
        <v>Liema band intitolat nofs il-ħin waqt is-Super Bowl 50?</v>
      </c>
    </row>
    <row r="24682" ht="15.75" customHeight="1">
      <c r="A24682" s="2" t="s">
        <v>24682</v>
      </c>
      <c r="B24682" s="2" t="str">
        <f>IFERROR(__xludf.DUMMYFUNCTION("GOOGLETRANSLATE(A24682, ""en"", ""mt"")"),"Il-marka tal-anarkija nkitbet biex tipprotesta kontra xiex?")</f>
        <v>Il-marka tal-anarkija nkitbet biex tipprotesta kontra xiex?</v>
      </c>
    </row>
    <row r="24683" ht="15.75" customHeight="1">
      <c r="A24683" s="2" t="s">
        <v>24683</v>
      </c>
      <c r="B24683" s="2" t="str">
        <f>IFERROR(__xludf.DUMMYFUNCTION("GOOGLETRANSLATE(A24683, ""en"", ""mt"")"),"Min hu l-poter eżekuttiv?")</f>
        <v>Min hu l-poter eżekuttiv?</v>
      </c>
    </row>
    <row r="24684" ht="15.75" customHeight="1">
      <c r="A24684" s="2" t="s">
        <v>24684</v>
      </c>
      <c r="B24684" s="2" t="str">
        <f>IFERROR(__xludf.DUMMYFUNCTION("GOOGLETRANSLATE(A24684, ""en"", ""mt"")"),"Min wera li P = NP jimplika problemi li mhumiex preżenti f'P jew NP-Complete?")</f>
        <v>Min wera li P = NP jimplika problemi li mhumiex preżenti f'P jew NP-Complete?</v>
      </c>
    </row>
    <row r="24685" ht="15.75" customHeight="1">
      <c r="A24685" s="2" t="s">
        <v>24685</v>
      </c>
      <c r="B24685" s="2" t="str">
        <f>IFERROR(__xludf.DUMMYFUNCTION("GOOGLETRANSLATE(A24685, ""en"", ""mt"")"),"Liema websajt CBS ipprovdiet nixxiegħa?")</f>
        <v>Liema websajt CBS ipprovdiet nixxiegħa?</v>
      </c>
    </row>
    <row r="24686" ht="15.75" customHeight="1">
      <c r="A24686" s="2" t="s">
        <v>24686</v>
      </c>
      <c r="B24686" s="2" t="str">
        <f>IFERROR(__xludf.DUMMYFUNCTION("GOOGLETRANSLATE(A24686, ""en"", ""mt"")"),"Warren Buffett")</f>
        <v>Warren Buffett</v>
      </c>
    </row>
    <row r="24687" ht="15.75" customHeight="1">
      <c r="A24687" s="2" t="s">
        <v>24687</v>
      </c>
      <c r="B24687" s="2" t="str">
        <f>IFERROR(__xludf.DUMMYFUNCTION("GOOGLETRANSLATE(A24687, ""en"", ""mt"")"),"Bliet li jankraw ir-reġjuni huma spiss il-hub għal x'tip ta 'attività?")</f>
        <v>Bliet li jankraw ir-reġjuni huma spiss il-hub għal x'tip ta 'attività?</v>
      </c>
    </row>
    <row r="24688" ht="15.75" customHeight="1">
      <c r="A24688" s="2" t="s">
        <v>24688</v>
      </c>
      <c r="B24688" s="2" t="str">
        <f>IFERROR(__xludf.DUMMYFUNCTION("GOOGLETRANSLATE(A24688, ""en"", ""mt"")"),"Il-kollezzjonijiet tal-mużew ta 'l-arti tal-Asja t'Isfel u tax-Xlokk huma l-aktar komprensivi u importanti fil-Punent li jinkludu kważi 60,000 oġġett, inklużi madwar 10,000 tessuti u 6000 pitturi, il-firxa tal-kollezzjoni hija immensa. Il-Gallerija ta 'l-"&amp;"Art Indjana ta' Jawaharlal Nehru, infetħet fl-1991, fiha arti minn madwar 500 QK sas-seklu 19. Hemm kollezzjoni estensiva ta 'skultura, prinċipalment ta' natura reliġjuża, hindu, Buddista u Jain. Il-gallerija hija mogħnija b’ħafna bl-arti tal-imperu Mugha"&amp;"l u l-Marathas, inklużi ritratti fini tal-imperaturi u pitturi u tpinġijiet oħra, tazzi tal-inbid tal-ġada u mgħaref tad-deheb inset ma ’żmeraldi, djamanti u rubini, ukoll minn dan il-perjodu huma partijiet ta’ bini bħal bħala jaali u pilastri. L-Indja ki"&amp;"enet produttur kbir ta 'tessuti, minn chintz tal-qoton miżbugħ, musulina għal xogħol ta' rakkmu rikk bl-użu ta 'ħajt tad-deheb u tal-fidda, sequins ikkuluriti u żibeġ huwa muri, bħalma huma t-twapet minn Agra u Lahore. Eżempji ta 'ħwejjeġ huma murija wkol"&amp;"l.")</f>
        <v>Il-kollezzjonijiet tal-mużew ta 'l-arti tal-Asja t'Isfel u tax-Xlokk huma l-aktar komprensivi u importanti fil-Punent li jinkludu kważi 60,000 oġġett, inklużi madwar 10,000 tessuti u 6000 pitturi, il-firxa tal-kollezzjoni hija immensa. Il-Gallerija ta 'l-Art Indjana ta' Jawaharlal Nehru, infetħet fl-1991, fiha arti minn madwar 500 QK sas-seklu 19. Hemm kollezzjoni estensiva ta 'skultura, prinċipalment ta' natura reliġjuża, hindu, Buddista u Jain. Il-gallerija hija mogħnija b’ħafna bl-arti tal-imperu Mughal u l-Marathas, inklużi ritratti fini tal-imperaturi u pitturi u tpinġijiet oħra, tazzi tal-inbid tal-ġada u mgħaref tad-deheb inset ma ’żmeraldi, djamanti u rubini, ukoll minn dan il-perjodu huma partijiet ta’ bini bħal bħala jaali u pilastri. L-Indja kienet produttur kbir ta 'tessuti, minn chintz tal-qoton miżbugħ, musulina għal xogħol ta' rakkmu rikk bl-użu ta 'ħajt tad-deheb u tal-fidda, sequins ikkuluriti u żibeġ huwa muri, bħalma huma t-twapet minn Agra u Lahore. Eżempji ta 'ħwejjeġ huma murija wkoll.</v>
      </c>
    </row>
    <row r="24689" ht="15.75" customHeight="1">
      <c r="A24689" s="2" t="s">
        <v>24689</v>
      </c>
      <c r="B24689" s="2" t="str">
        <f>IFERROR(__xludf.DUMMYFUNCTION("GOOGLETRANSLATE(A24689, ""en"", ""mt"")"),"Afrika")</f>
        <v>Afrika</v>
      </c>
    </row>
    <row r="24690" ht="15.75" customHeight="1">
      <c r="A24690" s="2" t="s">
        <v>24690</v>
      </c>
      <c r="B24690" s="2" t="str">
        <f>IFERROR(__xludf.DUMMYFUNCTION("GOOGLETRANSLATE(A24690, ""en"", ""mt"")"),"Min kien il-Ġeneral Tangut li ġġieled lil Genghis Khan f'Deshun?")</f>
        <v>Min kien il-Ġeneral Tangut li ġġieled lil Genghis Khan f'Deshun?</v>
      </c>
    </row>
    <row r="24691" ht="15.75" customHeight="1">
      <c r="A24691" s="2" t="s">
        <v>24691</v>
      </c>
      <c r="B24691" s="2" t="str">
        <f>IFERROR(__xludf.DUMMYFUNCTION("GOOGLETRANSLATE(A24691, ""en"", ""mt"")"),"Kemm mill-istazzjonijiet tan-netwerk huma proprjetà u mħaddma?")</f>
        <v>Kemm mill-istazzjonijiet tan-netwerk huma proprjetà u mħaddma?</v>
      </c>
    </row>
    <row r="24692" ht="15.75" customHeight="1">
      <c r="A24692" s="2" t="s">
        <v>24692</v>
      </c>
      <c r="B24692" s="2" t="str">
        <f>IFERROR(__xludf.DUMMYFUNCTION("GOOGLETRANSLATE(A24692, ""en"", ""mt"")"),"Il-Kenja meta kisbet l-indipendenza?")</f>
        <v>Il-Kenja meta kisbet l-indipendenza?</v>
      </c>
    </row>
    <row r="24693" ht="15.75" customHeight="1">
      <c r="A24693" s="2" t="s">
        <v>24693</v>
      </c>
      <c r="B24693" s="2" t="str">
        <f>IFERROR(__xludf.DUMMYFUNCTION("GOOGLETRANSLATE(A24693, ""en"", ""mt"")"),"65,000")</f>
        <v>65,000</v>
      </c>
    </row>
    <row r="24694" ht="15.75" customHeight="1">
      <c r="A24694" s="2" t="s">
        <v>24694</v>
      </c>
      <c r="B24694" s="2" t="str">
        <f>IFERROR(__xludf.DUMMYFUNCTION("GOOGLETRANSLATE(A24694, ""en"", ""mt"")"),"Każ tal-Qorti Suprema")</f>
        <v>Każ tal-Qorti Suprema</v>
      </c>
    </row>
    <row r="24695" ht="15.75" customHeight="1">
      <c r="A24695" s="2" t="s">
        <v>24695</v>
      </c>
      <c r="B24695" s="2" t="str">
        <f>IFERROR(__xludf.DUMMYFUNCTION("GOOGLETRANSLATE(A24695, ""en"", ""mt"")"),"Għal xiex wasslet iż-żieda fil-ħaddiema tas-sengħa?")</f>
        <v>Għal xiex wasslet iż-żieda fil-ħaddiema tas-sengħa?</v>
      </c>
    </row>
    <row r="24696" ht="15.75" customHeight="1">
      <c r="A24696" s="2" t="s">
        <v>24696</v>
      </c>
      <c r="B24696" s="2" t="str">
        <f>IFERROR(__xludf.DUMMYFUNCTION("GOOGLETRANSLATE(A24696, ""en"", ""mt"")"),"Xi diżubbidjenti ċivili jħossu li huwa fuqhom li jaċċettaw il-kastig minħabba t-twemmin tagħhom fil-validità tal-kuntratt soċjali, li huwa miżmum biex jorbot il-liġijiet kollha li gvern li jilħaq ċerti standards tal-leġittimità stabbilixxa, jew inkella js"&amp;"ofru l-penali Imniżżel fil-liġi. Dubbidjenti ċivili oħra li jiffavorixxu l-eżistenza tal-gvern għadhom ma jemmnux fil-leġittimità tal-gvern partikolari tagħhom, jew ma jemmnux fil-leġittimità ta 'liġi partikolari li tkun adottat. U għadhom diżubbidjenti ċ"&amp;"ivili oħra, li huma anarkisti, ma jemmnux fil-leġittimità ta 'xi gvern, u għalhekk ma tara l-ebda ħtieġa li taċċetta kastig għal ksur tal-liġi kriminali li ma tikserx id-drittijiet ta' ħaddieħor.")</f>
        <v>Xi diżubbidjenti ċivili jħossu li huwa fuqhom li jaċċettaw il-kastig minħabba t-twemmin tagħhom fil-validità tal-kuntratt soċjali, li huwa miżmum biex jorbot il-liġijiet kollha li gvern li jilħaq ċerti standards tal-leġittimità stabbilixxa, jew inkella jsofru l-penali Imniżżel fil-liġi. Dubbidjenti ċivili oħra li jiffavorixxu l-eżistenza tal-gvern għadhom ma jemmnux fil-leġittimità tal-gvern partikolari tagħhom, jew ma jemmnux fil-leġittimità ta 'liġi partikolari li tkun adottat. U għadhom diżubbidjenti ċivili oħra, li huma anarkisti, ma jemmnux fil-leġittimità ta 'xi gvern, u għalhekk ma tara l-ebda ħtieġa li taċċetta kastig għal ksur tal-liġi kriminali li ma tikserx id-drittijiet ta' ħaddieħor.</v>
      </c>
    </row>
    <row r="24697" ht="15.75" customHeight="1">
      <c r="A24697" s="2" t="s">
        <v>24697</v>
      </c>
      <c r="B24697" s="2" t="str">
        <f>IFERROR(__xludf.DUMMYFUNCTION("GOOGLETRANSLATE(A24697, ""en"", ""mt"")"),"Liema persentaġġ ta 'għajnuna finanzjarja totali għal dawk li għadhom ma ggradwawx minn Harvard kien fil-forma ta' għotjiet?")</f>
        <v>Liema persentaġġ ta 'għajnuna finanzjarja totali għal dawk li għadhom ma ggradwawx minn Harvard kien fil-forma ta' għotjiet?</v>
      </c>
    </row>
    <row r="24698" ht="15.75" customHeight="1">
      <c r="A24698" s="2" t="s">
        <v>24698</v>
      </c>
      <c r="B24698" s="2" t="str">
        <f>IFERROR(__xludf.DUMMYFUNCTION("GOOGLETRANSLATE(A24698, ""en"", ""mt"")"),"F'dan iż-żmien fejn kien iċċentrat l-enfasi ta 'Luther?")</f>
        <v>F'dan iż-żmien fejn kien iċċentrat l-enfasi ta 'Luther?</v>
      </c>
    </row>
    <row r="24699" ht="15.75" customHeight="1">
      <c r="A24699" s="2" t="s">
        <v>24699</v>
      </c>
      <c r="B24699" s="2" t="str">
        <f>IFERROR(__xludf.DUMMYFUNCTION("GOOGLETRANSLATE(A24699, ""en"", ""mt"")"),"$ 150,000")</f>
        <v>$ 150,000</v>
      </c>
    </row>
    <row r="24700" ht="15.75" customHeight="1">
      <c r="A24700" s="2" t="s">
        <v>24700</v>
      </c>
      <c r="B24700" s="2" t="str">
        <f>IFERROR(__xludf.DUMMYFUNCTION("GOOGLETRANSLATE(A24700, ""en"", ""mt"")"),"Mappa barra l-artijiet antenati tagħhom")</f>
        <v>Mappa barra l-artijiet antenati tagħhom</v>
      </c>
    </row>
    <row r="24701" ht="15.75" customHeight="1">
      <c r="A24701" s="2" t="s">
        <v>24701</v>
      </c>
      <c r="B24701" s="2" t="str">
        <f>IFERROR(__xludf.DUMMYFUNCTION("GOOGLETRANSLATE(A24701, ""en"", ""mt"")"),"Gosforth u Byker huma l-akbar żoni tax-xiri ta 'liema tip?")</f>
        <v>Gosforth u Byker huma l-akbar żoni tax-xiri ta 'liema tip?</v>
      </c>
    </row>
    <row r="24702" ht="15.75" customHeight="1">
      <c r="A24702" s="2" t="s">
        <v>24702</v>
      </c>
      <c r="B24702" s="2" t="str">
        <f>IFERROR(__xludf.DUMMYFUNCTION("GOOGLETRANSLATE(A24702, ""en"", ""mt"")"),"Batterjologu Franċiż-Żvizzeru Alexandre Yersin")</f>
        <v>Batterjologu Franċiż-Żvizzeru Alexandre Yersin</v>
      </c>
    </row>
    <row r="24703" ht="15.75" customHeight="1">
      <c r="A24703" s="2" t="s">
        <v>24703</v>
      </c>
      <c r="B24703" s="2" t="str">
        <f>IFERROR(__xludf.DUMMYFUNCTION("GOOGLETRANSLATE(A24703, ""en"", ""mt"")"),"restorant")</f>
        <v>restorant</v>
      </c>
    </row>
    <row r="24704" ht="15.75" customHeight="1">
      <c r="A24704" s="2" t="s">
        <v>24704</v>
      </c>
      <c r="B24704" s="2" t="str">
        <f>IFERROR(__xludf.DUMMYFUNCTION("GOOGLETRANSLATE(A24704, ""en"", ""mt"")"),"Fl-1735, John u Charles Wesley marru l-Amerika biex jgħallmu l-Evanġelju lill-Indjani Amerikani fil-kolonja tal-Ġeorġja. F’inqas minn sentejn, il-Klabb Imqaddes niżel. John Wesley irritorna l-Ingilterra u ltaqa 'ma' grupp ta 'kleru li rrispetta. Huwa qal "&amp;"li ""dehru li kienu ta 'qalb waħda, kif ukoll ta' ġudizzju wieħed, iddeċidew li huma Bibbja-Kristjani fl-avvenimenti kollha; u, kull fejn kienu, biex jippridkaw bil-Kristjaneżmu kollu li jista 'jkun sempliċi, qadim, tal-Bibbja"". Il-ministri żammew is-sħu"&amp;"bija tagħhom fil-Knisja tal-Ingilterra. Għalkemm mhux dejjem enfasizzat jew apprezzat fil-knejjes Anglikani tal-ġurnata tagħhom, it-tagħlim tagħhom enfasizza s-salvazzjoni mill-grazzja ta ’Alla, akkwistat permezz tal-fidi fi Kristu. Tliet tagħlim li raw b"&amp;"ħala l-pedament tal-fidi Nisranija kienu:")</f>
        <v>Fl-1735, John u Charles Wesley marru l-Amerika biex jgħallmu l-Evanġelju lill-Indjani Amerikani fil-kolonja tal-Ġeorġja. F’inqas minn sentejn, il-Klabb Imqaddes niżel. John Wesley irritorna l-Ingilterra u ltaqa 'ma' grupp ta 'kleru li rrispetta. Huwa qal li "dehru li kienu ta 'qalb waħda, kif ukoll ta' ġudizzju wieħed, iddeċidew li huma Bibbja-Kristjani fl-avvenimenti kollha; u, kull fejn kienu, biex jippridkaw bil-Kristjaneżmu kollu li jista 'jkun sempliċi, qadim, tal-Bibbja". Il-ministri żammew is-sħubija tagħhom fil-Knisja tal-Ingilterra. Għalkemm mhux dejjem enfasizzat jew apprezzat fil-knejjes Anglikani tal-ġurnata tagħhom, it-tagħlim tagħhom enfasizza s-salvazzjoni mill-grazzja ta ’Alla, akkwistat permezz tal-fidi fi Kristu. Tliet tagħlim li raw bħala l-pedament tal-fidi Nisranija kienu:</v>
      </c>
    </row>
    <row r="24705" ht="15.75" customHeight="1">
      <c r="A24705" s="2" t="s">
        <v>24705</v>
      </c>
      <c r="B24705" s="2" t="str">
        <f>IFERROR(__xludf.DUMMYFUNCTION("GOOGLETRANSLATE(A24705, ""en"", ""mt"")"),"Minn dak li l-fotosintesi tikseb l-ossiġnu?")</f>
        <v>Minn dak li l-fotosintesi tikseb l-ossiġnu?</v>
      </c>
    </row>
    <row r="24706" ht="15.75" customHeight="1">
      <c r="A24706" s="2" t="s">
        <v>24706</v>
      </c>
      <c r="B24706" s="2" t="str">
        <f>IFERROR(__xludf.DUMMYFUNCTION("GOOGLETRANSLATE(A24706, ""en"", ""mt"")"),"Fejn imxew l-ITV Tyne Tees fl-2005?")</f>
        <v>Fejn imxew l-ITV Tyne Tees fl-2005?</v>
      </c>
    </row>
    <row r="24707" ht="15.75" customHeight="1">
      <c r="A24707" s="2" t="s">
        <v>24707</v>
      </c>
      <c r="B24707" s="2" t="str">
        <f>IFERROR(__xludf.DUMMYFUNCTION("GOOGLETRANSLATE(A24707, ""en"", ""mt"")"),"Fit-tieni liġi ta 'Newton, x'inhuma l-unitajiet tal-massa u l-forza fir-rigward tal-mikroskali?")</f>
        <v>Fit-tieni liġi ta 'Newton, x'inhuma l-unitajiet tal-massa u l-forza fir-rigward tal-mikroskali?</v>
      </c>
    </row>
    <row r="24708" ht="15.75" customHeight="1">
      <c r="A24708" s="2" t="s">
        <v>24708</v>
      </c>
      <c r="B24708" s="2" t="str">
        <f>IFERROR(__xludf.DUMMYFUNCTION("GOOGLETRANSLATE(A24708, ""en"", ""mt"")"),"Xogħlijiet pubbliċi kbar, digi, pontijiet, awtostradi, ilma / ilma tad-drenaġġ u utilità huma taħt liema settur tal-kostruzzjoni?")</f>
        <v>Xogħlijiet pubbliċi kbar, digi, pontijiet, awtostradi, ilma / ilma tad-drenaġġ u utilità huma taħt liema settur tal-kostruzzjoni?</v>
      </c>
    </row>
    <row r="24709" ht="15.75" customHeight="1">
      <c r="A24709" s="2" t="s">
        <v>24709</v>
      </c>
      <c r="B24709" s="2" t="str">
        <f>IFERROR(__xludf.DUMMYFUNCTION("GOOGLETRANSLATE(A24709, ""en"", ""mt"")"),"Ktieb tal-Eżodu,")</f>
        <v>Ktieb tal-Eżodu,</v>
      </c>
    </row>
    <row r="24710" ht="15.75" customHeight="1">
      <c r="A24710" s="2" t="s">
        <v>24710</v>
      </c>
      <c r="B24710" s="2" t="str">
        <f>IFERROR(__xludf.DUMMYFUNCTION("GOOGLETRANSLATE(A24710, ""en"", ""mt"")"),"Issolvi kwalunkwe problema f'C")</f>
        <v>Issolvi kwalunkwe problema f'C</v>
      </c>
    </row>
    <row r="24711" ht="15.75" customHeight="1">
      <c r="A24711" s="2" t="s">
        <v>24711</v>
      </c>
      <c r="B24711" s="2" t="str">
        <f>IFERROR(__xludf.DUMMYFUNCTION("GOOGLETRANSLATE(A24711, ""en"", ""mt"")"),"Minbarra li joħolqu drittijiet għal ""ħaddiema"" li ġeneralment m'għandhomx poter ta 'negozjar fis-suq, it-trattat dwar il-funzjonament tal-Unjoni Ewropea jipproteġi wkoll il- ""libertà tal-istabbiliment"" fl-Artikolu 49, u ""libertà li tipprovdi servizzi"&amp;""" fl-Artikolu 56. Fil-Gebhard vs Consiglio dell'ordine degli avvocati e procuratori di milano, il-qorti tal-ġustizzja ddeċidiet li tkun ""stabbilita"" tfisser li tipparteċipa fil-ħajja ekonomika ""fuq bażi stabbli u kontinwa"", filwaqt li tipprovdi ""ser"&amp;"vizzi"" tfisser li ssegwi attività aktar ""fuq bażi temporanja "". Dan kien ifisser li avukat minn Stuttgart, li kien waqqaf kmamar f'Milan u ġie ċċensurat mill-Kunsill tal-Avukati ta 'Milan talli ma rreġistrax, kien intitolat li jġib talba għal-libertà t"&amp;"a' stabbiliment, aktar milli l-libertà tas-servizz. Madankollu, ir-rekwiżiti li għandhom jiġu rreġistrati f'Milan qabel ma jkunu jistgħu jipprattikaw ikunu permessi kieku ma kinux diskriminatorji, ""ġustifikati minn rekwiżiti imperattivi fl-interess ġener"&amp;"ali"" u applikati b'mod proporzjonat. In-nies jew l-entitajiet kollha li jinvolvu ruħhom f'attività ekonomika, partikolarment dawk li jaħdmu għal rashom, jew ""impriżi"" bħal kumpaniji jew ditti, għandhom id-dritt li jwaqqfu intrapriża mingħajr restrizzjo"&amp;"nijiet mhux ġustifikati. Il-Qorti tal-Ġustizzja ddeċidiet li kemm gvern tal-istat membru kif ukoll parti privata jistgħu jfixklu l-libertà tal-istabbiliment, u għalhekk l-Artikolu 49 għandu effett dirett kemm ""vertikali"" kif ukoll ""orizzontali"". Fil-B"&amp;"elġju fil-Belġju, il-Qorti tal-Ġustizzja ddeċidiet li rifjut li jammetti avukat fil-bar Belġjan għax kien nieqes miċ-ċittadinanza Belġjana ma kienx iġġustifikat. L-Artikolu 49 tat-TFEU jgħid li l-istati huma eżentati milli jiksru l-libertà ta 'stabbilimen"&amp;"t ta' ħaddieħor meta jeżerċitaw ""awtorità uffiċjali"", iżda dan għamel ix-xogħol ta 'avukat (għall-kuntrarju ta' qorti) ma kienx uffiċjali. B'kuntrast fil-Kummissjoni v l-Italja l-Qorti tal-Ġustizzja ddeċidiet li rekwiżit għall-avukati fl-Italja biex jik"&amp;"konformaw mat-tariffi massimi sakemm ma kienx hemm ftehim ma 'klijent ma kienx restrizzjoni. Il-kamra kbira tal-Qorti tal-Ġustizzja ddeċidiet li l-kummissjoni ma wrietx li dan kellu xi oġġett jew effett li jillimitaw prattikanti milli jidħlu fis-suq. Għal"&amp;"hekk, ma kien hemm l-ebda libertà ta 'stabbiliment ta' ksur ta 'prima facie li kellha tkun iġġustifikata.")</f>
        <v>Minbarra li joħolqu drittijiet għal "ħaddiema" li ġeneralment m'għandhomx poter ta 'negozjar fis-suq, it-trattat dwar il-funzjonament tal-Unjoni Ewropea jipproteġi wkoll il- "libertà tal-istabbiliment" fl-Artikolu 49, u "libertà li tipprovdi servizzi" fl-Artikolu 56. Fil-Gebhard vs Consiglio dell'ordine degli avvocati e procuratori di milano, il-qorti tal-ġustizzja ddeċidiet li tkun "stabbilita" tfisser li tipparteċipa fil-ħajja ekonomika "fuq bażi stabbli u kontinwa", filwaqt li tipprovdi "servizzi" tfisser li ssegwi attività aktar "fuq bażi temporanja ". Dan kien ifisser li avukat minn Stuttgart, li kien waqqaf kmamar f'Milan u ġie ċċensurat mill-Kunsill tal-Avukati ta 'Milan talli ma rreġistrax, kien intitolat li jġib talba għal-libertà ta' stabbiliment, aktar milli l-libertà tas-servizz. Madankollu, ir-rekwiżiti li għandhom jiġu rreġistrati f'Milan qabel ma jkunu jistgħu jipprattikaw ikunu permessi kieku ma kinux diskriminatorji, "ġustifikati minn rekwiżiti imperattivi fl-interess ġenerali" u applikati b'mod proporzjonat. In-nies jew l-entitajiet kollha li jinvolvu ruħhom f'attività ekonomika, partikolarment dawk li jaħdmu għal rashom, jew "impriżi" bħal kumpaniji jew ditti, għandhom id-dritt li jwaqqfu intrapriża mingħajr restrizzjonijiet mhux ġustifikati. Il-Qorti tal-Ġustizzja ddeċidiet li kemm gvern tal-istat membru kif ukoll parti privata jistgħu jfixklu l-libertà tal-istabbiliment, u għalhekk l-Artikolu 49 għandu effett dirett kemm "vertikali" kif ukoll "orizzontali". Fil-Belġju fil-Belġju, il-Qorti tal-Ġustizzja ddeċidiet li rifjut li jammetti avukat fil-bar Belġjan għax kien nieqes miċ-ċittadinanza Belġjana ma kienx iġġustifikat. L-Artikolu 49 tat-TFEU jgħid li l-istati huma eżentati milli jiksru l-libertà ta 'stabbiliment ta' ħaddieħor meta jeżerċitaw "awtorità uffiċjali", iżda dan għamel ix-xogħol ta 'avukat (għall-kuntrarju ta' qorti) ma kienx uffiċjali. B'kuntrast fil-Kummissjoni v l-Italja l-Qorti tal-Ġustizzja ddeċidiet li rekwiżit għall-avukati fl-Italja biex jikkonformaw mat-tariffi massimi sakemm ma kienx hemm ftehim ma 'klijent ma kienx restrizzjoni. Il-kamra kbira tal-Qorti tal-Ġustizzja ddeċidiet li l-kummissjoni ma wrietx li dan kellu xi oġġett jew effett li jillimitaw prattikanti milli jidħlu fis-suq. Għalhekk, ma kien hemm l-ebda libertà ta 'stabbiliment ta' ksur ta 'prima facie li kellha tkun iġġustifikata.</v>
      </c>
    </row>
    <row r="24712" ht="15.75" customHeight="1">
      <c r="A24712" s="2" t="s">
        <v>24712</v>
      </c>
      <c r="B24712" s="2" t="str">
        <f>IFERROR(__xludf.DUMMYFUNCTION("GOOGLETRANSLATE(A24712, ""en"", ""mt"")"),"Liema plateau għandu gruppi ta 'fosos tat-tafal?")</f>
        <v>Liema plateau għandu gruppi ta 'fosos tat-tafal?</v>
      </c>
    </row>
    <row r="24713" ht="15.75" customHeight="1">
      <c r="A24713" s="2" t="s">
        <v>24713</v>
      </c>
      <c r="B24713" s="2" t="str">
        <f>IFERROR(__xludf.DUMMYFUNCTION("GOOGLETRANSLATE(A24713, ""en"", ""mt"")"),"nies qaddisa")</f>
        <v>nies qaddisa</v>
      </c>
    </row>
    <row r="24714" ht="15.75" customHeight="1">
      <c r="A24714" s="2" t="s">
        <v>24714</v>
      </c>
      <c r="B24714" s="2" t="str">
        <f>IFERROR(__xludf.DUMMYFUNCTION("GOOGLETRANSLATE(A24714, ""en"", ""mt"")"),"Bejn Mejju u Settembru 2005, l-għajdut ċċirkolaw li Disney-ABC kienet qed tikkunsidra bejgħ ta 'ABC Radio, b'Clear Channel Communications u Westwood One (li qabel kienet xtrat id-diviżjoni tar-radju ta' NBC, kif ukoll id-drittijiet ta 'distribuzzjoni għal"&amp;" CBS's, u s-sistema ta' xandir reċiproku Matul id-disgħinijiet) bħala xerrejja potenzjali. Fid-19 ta 'Ottubru, 2005, ABC ħabbret ir-ristrutturar tal-grupp f'sitt diviżjonijiet: komunikazzjonijiet ta' divertiment, riżorsi ta 'komunikazzjoni, komunikazzjoni"&amp;"jiet għat-tfal, komunikazzjonijiet tal-aħbarijiet, komunikazzjonijiet korporattivi, u komunikazzjonijiet internazzjonali.")</f>
        <v>Bejn Mejju u Settembru 2005, l-għajdut ċċirkolaw li Disney-ABC kienet qed tikkunsidra bejgħ ta 'ABC Radio, b'Clear Channel Communications u Westwood One (li qabel kienet xtrat id-diviżjoni tar-radju ta' NBC, kif ukoll id-drittijiet ta 'distribuzzjoni għal CBS's, u s-sistema ta' xandir reċiproku Matul id-disgħinijiet) bħala xerrejja potenzjali. Fid-19 ta 'Ottubru, 2005, ABC ħabbret ir-ristrutturar tal-grupp f'sitt diviżjonijiet: komunikazzjonijiet ta' divertiment, riżorsi ta 'komunikazzjoni, komunikazzjonijiet għat-tfal, komunikazzjonijiet tal-aħbarijiet, komunikazzjonijiet korporattivi, u komunikazzjonijiet internazzjonali.</v>
      </c>
    </row>
    <row r="24715" ht="15.75" customHeight="1">
      <c r="A24715" s="2" t="s">
        <v>24715</v>
      </c>
      <c r="B24715" s="2" t="str">
        <f>IFERROR(__xludf.DUMMYFUNCTION("GOOGLETRANSLATE(A24715, ""en"", ""mt"")"),"X'għandhom jirrappreżentaw A u B fl-espressjoni sħiħa Gaussjana?")</f>
        <v>X'għandhom jirrappreżentaw A u B fl-espressjoni sħiħa Gaussjana?</v>
      </c>
    </row>
    <row r="24716" ht="15.75" customHeight="1">
      <c r="A24716" s="2" t="s">
        <v>24716</v>
      </c>
      <c r="B24716" s="2" t="str">
        <f>IFERROR(__xludf.DUMMYFUNCTION("GOOGLETRANSLATE(A24716, ""en"", ""mt"")"),"Dak li hu inkluż ma 'kull tikketta tal-pakkett")</f>
        <v>Dak li hu inkluż ma 'kull tikketta tal-pakkett</v>
      </c>
    </row>
    <row r="24717" ht="15.75" customHeight="1">
      <c r="A24717" s="2" t="s">
        <v>24717</v>
      </c>
      <c r="B24717" s="2" t="str">
        <f>IFERROR(__xludf.DUMMYFUNCTION("GOOGLETRANSLATE(A24717, ""en"", ""mt"")"),"1894")</f>
        <v>1894</v>
      </c>
    </row>
    <row r="24718" ht="15.75" customHeight="1">
      <c r="A24718" s="2" t="s">
        <v>24718</v>
      </c>
      <c r="B24718" s="2" t="str">
        <f>IFERROR(__xludf.DUMMYFUNCTION("GOOGLETRANSLATE(A24718, ""en"", ""mt"")"),"Kemm sabet din l-ispedizzjoni ma 'Braddock?")</f>
        <v>Kemm sabet din l-ispedizzjoni ma 'Braddock?</v>
      </c>
    </row>
    <row r="24719" ht="15.75" customHeight="1">
      <c r="A24719" s="2" t="s">
        <v>24719</v>
      </c>
      <c r="B24719" s="2" t="str">
        <f>IFERROR(__xludf.DUMMYFUNCTION("GOOGLETRANSLATE(A24719, ""en"", ""mt"")"),"1857")</f>
        <v>1857</v>
      </c>
    </row>
    <row r="24720" ht="15.75" customHeight="1">
      <c r="A24720" s="2" t="s">
        <v>24720</v>
      </c>
      <c r="B24720" s="2" t="str">
        <f>IFERROR(__xludf.DUMMYFUNCTION("GOOGLETRANSLATE(A24720, ""en"", ""mt"")"),"Verżjoni illustrata u paraphrased ta 'dan dehret meta?")</f>
        <v>Verżjoni illustrata u paraphrased ta 'dan dehret meta?</v>
      </c>
    </row>
    <row r="24721" ht="15.75" customHeight="1">
      <c r="A24721" s="2" t="s">
        <v>24721</v>
      </c>
      <c r="B24721" s="2" t="str">
        <f>IFERROR(__xludf.DUMMYFUNCTION("GOOGLETRANSLATE(A24721, ""en"", ""mt"")"),"Sorsi ppubblikati")</f>
        <v>Sorsi ppubblikati</v>
      </c>
    </row>
    <row r="24722" ht="15.75" customHeight="1">
      <c r="A24722" s="2" t="s">
        <v>24722</v>
      </c>
      <c r="B24722" s="2" t="str">
        <f>IFERROR(__xludf.DUMMYFUNCTION("GOOGLETRANSLATE(A24722, ""en"", ""mt"")"),"disa '")</f>
        <v>disa '</v>
      </c>
    </row>
    <row r="24723" ht="15.75" customHeight="1">
      <c r="A24723" s="2" t="s">
        <v>24723</v>
      </c>
      <c r="B24723" s="2" t="str">
        <f>IFERROR(__xludf.DUMMYFUNCTION("GOOGLETRANSLATE(A24723, ""en"", ""mt"")"),"X’kienet l-isem tal-Kenja nnifisha fit-12 ta ’Diċembru, 1964?")</f>
        <v>X’kienet l-isem tal-Kenja nnifisha fit-12 ta ’Diċembru, 1964?</v>
      </c>
    </row>
    <row r="24724" ht="15.75" customHeight="1">
      <c r="A24724" s="2" t="s">
        <v>24724</v>
      </c>
      <c r="B24724" s="2" t="str">
        <f>IFERROR(__xludf.DUMMYFUNCTION("GOOGLETRANSLATE(A24724, ""en"", ""mt"")"),"Min żviluppa t-teorija tar-relatività?")</f>
        <v>Min żviluppa t-teorija tar-relatività?</v>
      </c>
    </row>
    <row r="24725" ht="15.75" customHeight="1">
      <c r="A24725" s="2" t="s">
        <v>24725</v>
      </c>
      <c r="B24725" s="2" t="str">
        <f>IFERROR(__xludf.DUMMYFUNCTION("GOOGLETRANSLATE(A24725, ""en"", ""mt"")"),"tnaqqas it-tkabbir")</f>
        <v>tnaqqas it-tkabbir</v>
      </c>
    </row>
    <row r="24726" ht="15.75" customHeight="1">
      <c r="A24726" s="2" t="s">
        <v>24726</v>
      </c>
      <c r="B24726" s="2" t="str">
        <f>IFERROR(__xludf.DUMMYFUNCTION("GOOGLETRANSLATE(A24726, ""en"", ""mt"")"),"X'inhu l-ikbar ABC Subchannel affiljat mid-daqs tas-swieq?")</f>
        <v>X'inhu l-ikbar ABC Subchannel affiljat mid-daqs tas-swieq?</v>
      </c>
    </row>
    <row r="24727" ht="15.75" customHeight="1">
      <c r="A24727" s="2" t="s">
        <v>24727</v>
      </c>
      <c r="B24727" s="2" t="str">
        <f>IFERROR(__xludf.DUMMYFUNCTION("GOOGLETRANSLATE(A24727, ""en"", ""mt"")"),"18 ta 'Jannar, 1974,")</f>
        <v>18 ta 'Jannar, 1974,</v>
      </c>
    </row>
    <row r="24728" ht="15.75" customHeight="1">
      <c r="A24728" s="2" t="s">
        <v>24728</v>
      </c>
      <c r="B24728" s="2" t="str">
        <f>IFERROR(__xludf.DUMMYFUNCTION("GOOGLETRANSLATE(A24728, ""en"", ""mt"")"),"Cholecalciferol")</f>
        <v>Cholecalciferol</v>
      </c>
    </row>
    <row r="24729" ht="15.75" customHeight="1">
      <c r="A24729" s="2" t="s">
        <v>24729</v>
      </c>
      <c r="B24729" s="2" t="str">
        <f>IFERROR(__xludf.DUMMYFUNCTION("GOOGLETRANSLATE(A24729, ""en"", ""mt"")"),"Avveniment ewlieni fid-dinja Musulmana Għarbija")</f>
        <v>Avveniment ewlieni fid-dinja Musulmana Għarbija</v>
      </c>
    </row>
    <row r="24730" ht="15.75" customHeight="1">
      <c r="A24730" s="2" t="s">
        <v>24730</v>
      </c>
      <c r="B24730" s="2" t="str">
        <f>IFERROR(__xludf.DUMMYFUNCTION("GOOGLETRANSLATE(A24730, ""en"", ""mt"")"),"Fejn dehru l-ewwel episodji ta 'Doctor li dejjem dehru?")</f>
        <v>Fejn dehru l-ewwel episodji ta 'Doctor li dejjem dehru?</v>
      </c>
    </row>
    <row r="24731" ht="15.75" customHeight="1">
      <c r="A24731" s="2" t="s">
        <v>24731</v>
      </c>
      <c r="B24731" s="2" t="str">
        <f>IFERROR(__xludf.DUMMYFUNCTION("GOOGLETRANSLATE(A24731, ""en"", ""mt"")"),"Kumpanija Ohio,")</f>
        <v>Kumpanija Ohio,</v>
      </c>
    </row>
    <row r="24732" ht="15.75" customHeight="1">
      <c r="A24732" s="2" t="s">
        <v>24732</v>
      </c>
      <c r="B24732" s="2" t="str">
        <f>IFERROR(__xludf.DUMMYFUNCTION("GOOGLETRANSLATE(A24732, ""en"", ""mt"")"),"Kemm ilha l-kosta tar-Renu fl-istess post?")</f>
        <v>Kemm ilha l-kosta tar-Renu fl-istess post?</v>
      </c>
    </row>
    <row r="24733" ht="15.75" customHeight="1">
      <c r="A24733" s="2" t="s">
        <v>24733</v>
      </c>
      <c r="B24733" s="2" t="str">
        <f>IFERROR(__xludf.DUMMYFUNCTION("GOOGLETRANSLATE(A24733, ""en"", ""mt"")"),"X'inhu l-isem tal-liġi li imponiet il-limitu tal-veloċità?")</f>
        <v>X'inhu l-isem tal-liġi li imponiet il-limitu tal-veloċità?</v>
      </c>
    </row>
    <row r="24734" ht="15.75" customHeight="1">
      <c r="A24734" s="2" t="s">
        <v>24734</v>
      </c>
      <c r="B24734" s="2" t="str">
        <f>IFERROR(__xludf.DUMMYFUNCTION("GOOGLETRANSLATE(A24734, ""en"", ""mt"")"),"Multilaterali")</f>
        <v>Multilaterali</v>
      </c>
    </row>
    <row r="24735" ht="15.75" customHeight="1">
      <c r="A24735" s="2" t="s">
        <v>24735</v>
      </c>
      <c r="B24735" s="2" t="str">
        <f>IFERROR(__xludf.DUMMYFUNCTION("GOOGLETRANSLATE(A24735, ""en"", ""mt"")"),"Dundee")</f>
        <v>Dundee</v>
      </c>
    </row>
    <row r="24736" ht="15.75" customHeight="1">
      <c r="A24736" s="2" t="s">
        <v>24736</v>
      </c>
      <c r="B24736" s="2" t="str">
        <f>IFERROR(__xludf.DUMMYFUNCTION("GOOGLETRANSLATE(A24736, ""en"", ""mt"")"),"Luther huwa onorat")</f>
        <v>Luther huwa onorat</v>
      </c>
    </row>
    <row r="24737" ht="15.75" customHeight="1">
      <c r="A24737" s="2" t="s">
        <v>24737</v>
      </c>
      <c r="B24737" s="2" t="str">
        <f>IFERROR(__xludf.DUMMYFUNCTION("GOOGLETRANSLATE(A24737, ""en"", ""mt"")"),"−2, −4")</f>
        <v>−2, −4</v>
      </c>
    </row>
    <row r="24738" ht="15.75" customHeight="1">
      <c r="A24738" s="2" t="s">
        <v>24738</v>
      </c>
      <c r="B24738" s="2" t="str">
        <f>IFERROR(__xludf.DUMMYFUNCTION("GOOGLETRANSLATE(A24738, ""en"", ""mt"")"),"Għaliex xi nies jirreżistu apposta l-uffiċjali tal-liġi?")</f>
        <v>Għaliex xi nies jirreżistu apposta l-uffiċjali tal-liġi?</v>
      </c>
    </row>
    <row r="24739" ht="15.75" customHeight="1">
      <c r="A24739" s="2" t="s">
        <v>24739</v>
      </c>
      <c r="B24739" s="2" t="str">
        <f>IFERROR(__xludf.DUMMYFUNCTION("GOOGLETRANSLATE(A24739, ""en"", ""mt"")"),"wieħed")</f>
        <v>wieħed</v>
      </c>
    </row>
    <row r="24740" ht="15.75" customHeight="1">
      <c r="A24740" s="2" t="s">
        <v>24740</v>
      </c>
      <c r="B24740" s="2" t="str">
        <f>IFERROR(__xludf.DUMMYFUNCTION("GOOGLETRANSLATE(A24740, ""en"", ""mt"")"),"Liema dmir xi nies jemmnu li għandhom id-diżubbidjenti ċivili?")</f>
        <v>Liema dmir xi nies jemmnu li għandhom id-diżubbidjenti ċivili?</v>
      </c>
    </row>
    <row r="24741" ht="15.75" customHeight="1">
      <c r="A24741" s="2" t="s">
        <v>24741</v>
      </c>
      <c r="B24741" s="2" t="str">
        <f>IFERROR(__xludf.DUMMYFUNCTION("GOOGLETRANSLATE(A24741, ""en"", ""mt"")"),"X'temüjin wiegħed lis-segwaċi tiegħu bi skambju għall-ubbidjenza tagħhom?")</f>
        <v>X'temüjin wiegħed lis-segwaċi tiegħu bi skambju għall-ubbidjenza tagħhom?</v>
      </c>
    </row>
    <row r="24742" ht="15.75" customHeight="1">
      <c r="A24742" s="2" t="s">
        <v>24742</v>
      </c>
      <c r="B24742" s="2" t="str">
        <f>IFERROR(__xludf.DUMMYFUNCTION("GOOGLETRANSLATE(A24742, ""en"", ""mt"")"),"Kemm it-trab tas-Saħara jaqa 'fuq il-baċin tal-Amażonja kull sena?")</f>
        <v>Kemm it-trab tas-Saħara jaqa 'fuq il-baċin tal-Amażonja kull sena?</v>
      </c>
    </row>
    <row r="24743" ht="15.75" customHeight="1">
      <c r="A24743" s="2" t="s">
        <v>24743</v>
      </c>
      <c r="B24743" s="2" t="str">
        <f>IFERROR(__xludf.DUMMYFUNCTION("GOOGLETRANSLATE(A24743, ""en"", ""mt"")"),"4,404.5")</f>
        <v>4,404.5</v>
      </c>
    </row>
    <row r="24744" ht="15.75" customHeight="1">
      <c r="A24744" s="2" t="s">
        <v>24744</v>
      </c>
      <c r="B24744" s="2" t="str">
        <f>IFERROR(__xludf.DUMMYFUNCTION("GOOGLETRANSLATE(A24744, ""en"", ""mt"")"),"bliet ewlenin")</f>
        <v>bliet ewlenin</v>
      </c>
    </row>
    <row r="24745" ht="15.75" customHeight="1">
      <c r="A24745" s="2" t="s">
        <v>24745</v>
      </c>
      <c r="B24745" s="2" t="str">
        <f>IFERROR(__xludf.DUMMYFUNCTION("GOOGLETRANSLATE(A24745, ""en"", ""mt"")"),"Terrazzi")</f>
        <v>Terrazzi</v>
      </c>
    </row>
    <row r="24746" ht="15.75" customHeight="1">
      <c r="A24746" s="2" t="s">
        <v>24746</v>
      </c>
      <c r="B24746" s="2" t="str">
        <f>IFERROR(__xludf.DUMMYFUNCTION("GOOGLETRANSLATE(A24746, ""en"", ""mt"")"),"Kif il-membri mgħammdin isiru membri li jistqarru?")</f>
        <v>Kif il-membri mgħammdin isiru membri li jistqarru?</v>
      </c>
    </row>
    <row r="24747" ht="15.75" customHeight="1">
      <c r="A24747" s="2" t="s">
        <v>24747</v>
      </c>
      <c r="B24747" s="2" t="str">
        <f>IFERROR(__xludf.DUMMYFUNCTION("GOOGLETRANSLATE(A24747, ""en"", ""mt"")"),"Kemm nies għal kull mil kwadru għexu fi Fresno fl-2010?")</f>
        <v>Kemm nies għal kull mil kwadru għexu fi Fresno fl-2010?</v>
      </c>
    </row>
    <row r="24748" ht="15.75" customHeight="1">
      <c r="A24748" s="2" t="s">
        <v>24748</v>
      </c>
      <c r="B24748" s="2" t="str">
        <f>IFERROR(__xludf.DUMMYFUNCTION("GOOGLETRANSLATE(A24748, ""en"", ""mt"")"),"Il-popolazzjoni ta 'Newcastle kienet 189,863 skond liema ċensiment tas-sena?")</f>
        <v>Il-popolazzjoni ta 'Newcastle kienet 189,863 skond liema ċensiment tas-sena?</v>
      </c>
    </row>
    <row r="24749" ht="15.75" customHeight="1">
      <c r="A24749" s="2" t="s">
        <v>24749</v>
      </c>
      <c r="B24749" s="2" t="str">
        <f>IFERROR(__xludf.DUMMYFUNCTION("GOOGLETRANSLATE(A24749, ""en"", ""mt"")"),"Minn liema xmara kienet tinsab Petrela?")</f>
        <v>Minn liema xmara kienet tinsab Petrela?</v>
      </c>
    </row>
    <row r="24750" ht="15.75" customHeight="1">
      <c r="A24750" s="2" t="s">
        <v>24750</v>
      </c>
      <c r="B24750" s="2" t="str">
        <f>IFERROR(__xludf.DUMMYFUNCTION("GOOGLETRANSLATE(A24750, ""en"", ""mt"")"),"Il-korpi akkademiċi tal-Università ta ’Chicago jikkonsistu fil-kulleġġ, erba’ diviżjonijiet ta ’riċerka gradwata u seba’ skejjel professjonali. L-università fiha wkoll sistema tal-librerija, l-Università ta ’Chicago Press, l-Iskejjel tal-Laboratorju tal-U"&amp;"niversità ta’ Chicago, u ċ-Ċentru Mediku tal-Università ta ’Chicago, u għandha rabtiet ma’ numru ta ’istituzzjonijiet akkademiċi indipendenti, inkluż Fermilab, Laboratorju Nazzjonali ta’ Argonne, u l-Marine Laboratorju Bijoloġiku. L-università hija akkred"&amp;"itata mill-Kummissjoni tat-Tagħlim Ogħla.")</f>
        <v>Il-korpi akkademiċi tal-Università ta ’Chicago jikkonsistu fil-kulleġġ, erba’ diviżjonijiet ta ’riċerka gradwata u seba’ skejjel professjonali. L-università fiha wkoll sistema tal-librerija, l-Università ta ’Chicago Press, l-Iskejjel tal-Laboratorju tal-Università ta’ Chicago, u ċ-Ċentru Mediku tal-Università ta ’Chicago, u għandha rabtiet ma’ numru ta ’istituzzjonijiet akkademiċi indipendenti, inkluż Fermilab, Laboratorju Nazzjonali ta’ Argonne, u l-Marine Laboratorju Bijoloġiku. L-università hija akkreditata mill-Kummissjoni tat-Tagħlim Ogħla.</v>
      </c>
    </row>
    <row r="24751" ht="15.75" customHeight="1">
      <c r="A24751" s="2" t="s">
        <v>24751</v>
      </c>
      <c r="B24751" s="2" t="str">
        <f>IFERROR(__xludf.DUMMYFUNCTION("GOOGLETRANSLATE(A24751, ""en"", ""mt"")"),"Ħdejn Tamins-Reichenau, ir-Renu ta 'qabel u r-Renu ta' wara jingħaqdu u jiffurmaw ir-Renu. Ix-xmara tagħmel dawra distintiva lejn it-tramuntana ħdejn Chur. Din it-taqsima hija twila kważi 86 km, u tinżel minn għoli ta '599 m sa 396 m. Jidħol minn wied wie"&amp;"sa 'glaċjali alpin magħruf bħala l-Wied tar-Renu (Ġermaniż: Rheintal). Ħdejn Sargans diga naturali, għolja biss ftit metri, tipprevjeniha milli toħroġ fil-wied miftuħ ta 'Seeztal u mbagħad mill-Lag Walen u l-Lag Zurich fix-xmara Aare. Ir-Rhine Alpin jibda"&amp;" fl-iktar parti tal-punent tal-Canton Żvizzeru ta 'Graubünden, u aktar tard jifforma l-fruntiera bejn l-Isvizzera lejn il-punent u Liechtenstein u aktar tard l-Awstrija lejn il-lvant.")</f>
        <v>Ħdejn Tamins-Reichenau, ir-Renu ta 'qabel u r-Renu ta' wara jingħaqdu u jiffurmaw ir-Renu. Ix-xmara tagħmel dawra distintiva lejn it-tramuntana ħdejn Chur. Din it-taqsima hija twila kważi 86 km, u tinżel minn għoli ta '599 m sa 396 m. Jidħol minn wied wiesa 'glaċjali alpin magħruf bħala l-Wied tar-Renu (Ġermaniż: Rheintal). Ħdejn Sargans diga naturali, għolja biss ftit metri, tipprevjeniha milli toħroġ fil-wied miftuħ ta 'Seeztal u mbagħad mill-Lag Walen u l-Lag Zurich fix-xmara Aare. Ir-Rhine Alpin jibda fl-iktar parti tal-punent tal-Canton Żvizzeru ta 'Graubünden, u aktar tard jifforma l-fruntiera bejn l-Isvizzera lejn il-punent u Liechtenstein u aktar tard l-Awstrija lejn il-lvant.</v>
      </c>
    </row>
    <row r="24752" ht="15.75" customHeight="1">
      <c r="A24752" s="2" t="s">
        <v>24752</v>
      </c>
      <c r="B24752" s="2" t="str">
        <f>IFERROR(__xludf.DUMMYFUNCTION("GOOGLETRANSLATE(A24752, ""en"", ""mt"")"),"Kif kienet imsejħa veduta simili dwar il-kontinent Asjatiku?")</f>
        <v>Kif kienet imsejħa veduta simili dwar il-kontinent Asjatiku?</v>
      </c>
    </row>
    <row r="24753" ht="15.75" customHeight="1">
      <c r="A24753" s="2" t="s">
        <v>24753</v>
      </c>
      <c r="B24753" s="2" t="str">
        <f>IFERROR(__xludf.DUMMYFUNCTION("GOOGLETRANSLATE(A24753, ""en"", ""mt"")"),"Liema organizzazzjoni hija parti mill-IPCC?")</f>
        <v>Liema organizzazzjoni hija parti mill-IPCC?</v>
      </c>
    </row>
    <row r="24754" ht="15.75" customHeight="1">
      <c r="A24754" s="2" t="s">
        <v>24754</v>
      </c>
      <c r="B24754" s="2" t="str">
        <f>IFERROR(__xludf.DUMMYFUNCTION("GOOGLETRANSLATE(A24754, ""en"", ""mt"")"),"Iż-żona ta 'San Bernardino-Riverside żżomm id-distretti tan-negozju ta' Downtown San Bernardino, Business / Ċentru Finanzjarju tal-Ospitalità, belt universitarja li jinsabu f'San Bernardino u fil-belt ta 'Riverside.")</f>
        <v>Iż-żona ta 'San Bernardino-Riverside żżomm id-distretti tan-negozju ta' Downtown San Bernardino, Business / Ċentru Finanzjarju tal-Ospitalità, belt universitarja li jinsabu f'San Bernardino u fil-belt ta 'Riverside.</v>
      </c>
    </row>
    <row r="24755" ht="15.75" customHeight="1">
      <c r="A24755" s="2" t="s">
        <v>24755</v>
      </c>
      <c r="B24755" s="2" t="str">
        <f>IFERROR(__xludf.DUMMYFUNCTION("GOOGLETRANSLATE(A24755, ""en"", ""mt"")"),"Min iddeċieda li ma japprovax il-ħlas għar-rinnovazzjonijiet fil-Sun Life Stadium li l-kampjonat ried jagħmluhom biex jospitaw Super Bowl 50?")</f>
        <v>Min iddeċieda li ma japprovax il-ħlas għar-rinnovazzjonijiet fil-Sun Life Stadium li l-kampjonat ried jagħmluhom biex jospitaw Super Bowl 50?</v>
      </c>
    </row>
    <row r="24756" ht="15.75" customHeight="1">
      <c r="A24756" s="2" t="s">
        <v>24756</v>
      </c>
      <c r="B24756" s="2" t="str">
        <f>IFERROR(__xludf.DUMMYFUNCTION("GOOGLETRANSLATE(A24756, ""en"", ""mt"")"),"Għal liema film tal-film ABC tal-ġimgħa l-ewwel kiseb Steven Spielberg?")</f>
        <v>Għal liema film tal-film ABC tal-ġimgħa l-ewwel kiseb Steven Spielberg?</v>
      </c>
    </row>
    <row r="24757" ht="15.75" customHeight="1">
      <c r="A24757" s="2" t="s">
        <v>24757</v>
      </c>
      <c r="B24757" s="2" t="str">
        <f>IFERROR(__xludf.DUMMYFUNCTION("GOOGLETRANSLATE(A24757, ""en"", ""mt"")"),"F'liema indirizz Goldenson żgura kwartieri ġenerali ġodda għal ABC?")</f>
        <v>F'liema indirizz Goldenson żgura kwartieri ġenerali ġodda għal ABC?</v>
      </c>
    </row>
    <row r="24758" ht="15.75" customHeight="1">
      <c r="A24758" s="2" t="s">
        <v>24758</v>
      </c>
      <c r="B24758" s="2" t="str">
        <f>IFERROR(__xludf.DUMMYFUNCTION("GOOGLETRANSLATE(A24758, ""en"", ""mt"")"),"Liema speċi huma annimali planktoniċi b'forma ta 'żigarella?")</f>
        <v>Liema speċi huma annimali planktoniċi b'forma ta 'żigarella?</v>
      </c>
    </row>
    <row r="24759" ht="15.75" customHeight="1">
      <c r="A24759" s="2" t="s">
        <v>24759</v>
      </c>
      <c r="B24759" s="2" t="str">
        <f>IFERROR(__xludf.DUMMYFUNCTION("GOOGLETRANSLATE(A24759, ""en"", ""mt"")"),"Struttura Amministrattiva Lokali ta 'Dynasties Ċiniżi tal-passat")</f>
        <v>Struttura Amministrattiva Lokali ta 'Dynasties Ċiniżi tal-passat</v>
      </c>
    </row>
    <row r="24760" ht="15.75" customHeight="1">
      <c r="A24760" s="2" t="s">
        <v>24760</v>
      </c>
      <c r="B24760" s="2" t="str">
        <f>IFERROR(__xludf.DUMMYFUNCTION("GOOGLETRANSLATE(A24760, ""en"", ""mt"")"),"nofs miljun")</f>
        <v>nofs miljun</v>
      </c>
    </row>
    <row r="24761" ht="15.75" customHeight="1">
      <c r="A24761" s="2" t="s">
        <v>24761</v>
      </c>
      <c r="B24761" s="2" t="str">
        <f>IFERROR(__xludf.DUMMYFUNCTION("GOOGLETRANSLATE(A24761, ""en"", ""mt"")"),"Mattew 16:18")</f>
        <v>Mattew 16:18</v>
      </c>
    </row>
    <row r="24762" ht="15.75" customHeight="1">
      <c r="A24762" s="2" t="s">
        <v>24762</v>
      </c>
      <c r="B24762" s="2" t="str">
        <f>IFERROR(__xludf.DUMMYFUNCTION("GOOGLETRANSLATE(A24762, ""en"", ""mt"")"),"Robert Maynard Hutchins")</f>
        <v>Robert Maynard Hutchins</v>
      </c>
    </row>
    <row r="24763" ht="15.75" customHeight="1">
      <c r="A24763" s="2" t="s">
        <v>24763</v>
      </c>
      <c r="B24763" s="2" t="str">
        <f>IFERROR(__xludf.DUMMYFUNCTION("GOOGLETRANSLATE(A24763, ""en"", ""mt"")"),"forza netta")</f>
        <v>forza netta</v>
      </c>
    </row>
    <row r="24764" ht="15.75" customHeight="1">
      <c r="A24764" s="2" t="s">
        <v>24764</v>
      </c>
      <c r="B24764" s="2" t="str">
        <f>IFERROR(__xludf.DUMMYFUNCTION("GOOGLETRANSLATE(A24764, ""en"", ""mt"")"),"Art Moderna minn Artisti Pollakki u Internazzjonali")</f>
        <v>Art Moderna minn Artisti Pollakki u Internazzjonali</v>
      </c>
    </row>
    <row r="24765" ht="15.75" customHeight="1">
      <c r="A24765" s="2" t="s">
        <v>24765</v>
      </c>
      <c r="B24765" s="2" t="str">
        <f>IFERROR(__xludf.DUMMYFUNCTION("GOOGLETRANSLATE(A24765, ""en"", ""mt"")"),"Il-konservazzjoni hija responsabbli għall-preservazzjoni fit-tul tal-kollezzjonijiet, u tkopri l-kollezzjonijiet kollha miżmuma mill-V &amp; A u l-V &amp; A Museum of Childhood. Il-konservaturi jispeċjalizzaw f'oqsma partikolari ta 'konservazzjoni. Iż-żoni kopert"&amp;"i mill-ħidma tal-konservatur jinkludu konservazzjoni ""preventiva"" li tinkludi: twettiq ta 'stħarriġ, valutazzjonijiet u provvista ta' pariri dwar l-immaniġġjar ta 'oġġetti, ippakkjar korrett, immuntar u immaniġġjar proċeduri waqt il-moviment u l-wiri bi"&amp;"ex tnaqqas ir-riskju ta' oġġetti li jagħmlu ħsara. L-attivitajiet jinkludu l-kontroll tal-ambjent tal-mużew (per eżempju, temperatura u dawl) u l-prevenzjoni ta 'pesti (primarjament insetti) milli jagħmlu ħsara lill-artefatti. Il-kategorija ewlenija l-oħr"&amp;"a hija konservazzjoni ""interventiva"", dan jinkludi: tindif u integrazzjoni mill-ġdid biex issaħħaħ oġġetti fraġli, jiżvelaw dekorazzjoni tal-wiċċ oriġinali, u restawra l-għamla. It-trattament interventiv jagħmel oġġett aktar stabbli, iżda wkoll aktar at"&amp;"traenti u li jinftiehem għat-telespettatur. Is-soltu jitwettaq fuq oġġetti li għandhom imorru għall-wiri pubbliku.")</f>
        <v>Il-konservazzjoni hija responsabbli għall-preservazzjoni fit-tul tal-kollezzjonijiet, u tkopri l-kollezzjonijiet kollha miżmuma mill-V &amp; A u l-V &amp; A Museum of Childhood. Il-konservaturi jispeċjalizzaw f'oqsma partikolari ta 'konservazzjoni. Iż-żoni koperti mill-ħidma tal-konservatur jinkludu konservazzjoni "preventiva" li tinkludi: twettiq ta 'stħarriġ, valutazzjonijiet u provvista ta' pariri dwar l-immaniġġjar ta 'oġġetti, ippakkjar korrett, immuntar u immaniġġjar proċeduri waqt il-moviment u l-wiri biex tnaqqas ir-riskju ta' oġġetti li jagħmlu ħsara. L-attivitajiet jinkludu l-kontroll tal-ambjent tal-mużew (per eżempju, temperatura u dawl) u l-prevenzjoni ta 'pesti (primarjament insetti) milli jagħmlu ħsara lill-artefatti. Il-kategorija ewlenija l-oħra hija konservazzjoni "interventiva", dan jinkludi: tindif u integrazzjoni mill-ġdid biex issaħħaħ oġġetti fraġli, jiżvelaw dekorazzjoni tal-wiċċ oriġinali, u restawra l-għamla. It-trattament interventiv jagħmel oġġett aktar stabbli, iżda wkoll aktar attraenti u li jinftiehem għat-telespettatur. Is-soltu jitwettaq fuq oġġetti li għandhom imorru għall-wiri pubbliku.</v>
      </c>
    </row>
    <row r="24766" ht="15.75" customHeight="1">
      <c r="A24766" s="2" t="s">
        <v>24766</v>
      </c>
      <c r="B24766" s="2" t="str">
        <f>IFERROR(__xludf.DUMMYFUNCTION("GOOGLETRANSLATE(A24766, ""en"", ""mt"")"),"Gwerer")</f>
        <v>Gwerer</v>
      </c>
    </row>
    <row r="24767" ht="15.75" customHeight="1">
      <c r="A24767" s="2" t="s">
        <v>24767</v>
      </c>
      <c r="B24767" s="2" t="str">
        <f>IFERROR(__xludf.DUMMYFUNCTION("GOOGLETRANSLATE(A24767, ""en"", ""mt"")"),"Ftit millimetri għal 1.5 m")</f>
        <v>Ftit millimetri għal 1.5 m</v>
      </c>
    </row>
    <row r="24768" ht="15.75" customHeight="1">
      <c r="A24768" s="2" t="s">
        <v>24768</v>
      </c>
      <c r="B24768" s="2" t="str">
        <f>IFERROR(__xludf.DUMMYFUNCTION("GOOGLETRANSLATE(A24768, ""en"", ""mt"")"),"Liema pont il-Ġermaniżi naqsu milli jitwaqqgħu?")</f>
        <v>Liema pont il-Ġermaniżi naqsu milli jitwaqqgħu?</v>
      </c>
    </row>
    <row r="24769" ht="15.75" customHeight="1">
      <c r="A24769" s="2" t="s">
        <v>24769</v>
      </c>
      <c r="B24769" s="2" t="str">
        <f>IFERROR(__xludf.DUMMYFUNCTION("GOOGLETRANSLATE(A24769, ""en"", ""mt"")"),"Rappreżentant Presidenzjali Repubblika Demokratika")</f>
        <v>Rappreżentant Presidenzjali Repubblika Demokratika</v>
      </c>
    </row>
    <row r="24770" ht="15.75" customHeight="1">
      <c r="A24770" s="2" t="s">
        <v>24770</v>
      </c>
      <c r="B24770" s="2" t="str">
        <f>IFERROR(__xludf.DUMMYFUNCTION("GOOGLETRANSLATE(A24770, ""en"", ""mt"")"),"Kunsill tal-Belt")</f>
        <v>Kunsill tal-Belt</v>
      </c>
    </row>
    <row r="24771" ht="15.75" customHeight="1">
      <c r="A24771" s="2" t="s">
        <v>24771</v>
      </c>
      <c r="B24771" s="2" t="str">
        <f>IFERROR(__xludf.DUMMYFUNCTION("GOOGLETRANSLATE(A24771, ""en"", ""mt"")"),"Liema post f'Miami kien kandidat għas-sit tas-Super Bowl 50?")</f>
        <v>Liema post f'Miami kien kandidat għas-sit tas-Super Bowl 50?</v>
      </c>
    </row>
    <row r="24772" ht="15.75" customHeight="1">
      <c r="A24772" s="2" t="s">
        <v>24772</v>
      </c>
      <c r="B24772" s="2" t="str">
        <f>IFERROR(__xludf.DUMMYFUNCTION("GOOGLETRANSLATE(A24772, ""en"", ""mt"")"),"Il-partit kif waqqa 'l-gvern elett fl-1989?")</f>
        <v>Il-partit kif waqqa 'l-gvern elett fl-1989?</v>
      </c>
    </row>
    <row r="24773" ht="15.75" customHeight="1">
      <c r="A24773" s="2" t="s">
        <v>24773</v>
      </c>
      <c r="B24773" s="2" t="str">
        <f>IFERROR(__xludf.DUMMYFUNCTION("GOOGLETRANSLATE(A24773, ""en"", ""mt"")"),"6 ta 'Ottubru, 1973")</f>
        <v>6 ta 'Ottubru, 1973</v>
      </c>
    </row>
    <row r="24774" ht="15.75" customHeight="1">
      <c r="A24774" s="2" t="s">
        <v>24774</v>
      </c>
      <c r="B24774" s="2" t="str">
        <f>IFERROR(__xludf.DUMMYFUNCTION("GOOGLETRANSLATE(A24774, ""en"", ""mt"")"),"waqa 'b'mod sinifikanti")</f>
        <v>waqa 'b'mod sinifikanti</v>
      </c>
    </row>
    <row r="24775" ht="15.75" customHeight="1">
      <c r="A24775" s="2" t="s">
        <v>24775</v>
      </c>
      <c r="B24775" s="2" t="str">
        <f>IFERROR(__xludf.DUMMYFUNCTION("GOOGLETRANSLATE(A24775, ""en"", ""mt"")"),"Gass diatomiku tal-ossiġnu")</f>
        <v>Gass diatomiku tal-ossiġnu</v>
      </c>
    </row>
    <row r="24776" ht="15.75" customHeight="1">
      <c r="A24776" s="2" t="s">
        <v>24776</v>
      </c>
      <c r="B24776" s="2" t="str">
        <f>IFERROR(__xludf.DUMMYFUNCTION("GOOGLETRANSLATE(A24776, ""en"", ""mt"")"),"Ċertifikat tal-Edukazzjoni tal-Iskola Elementari")</f>
        <v>Ċertifikat tal-Edukazzjoni tal-Iskola Elementari</v>
      </c>
    </row>
    <row r="24777" ht="15.75" customHeight="1">
      <c r="A24777" s="2" t="s">
        <v>24777</v>
      </c>
      <c r="B24777" s="2" t="str">
        <f>IFERROR(__xludf.DUMMYFUNCTION("GOOGLETRANSLATE(A24777, ""en"", ""mt"")"),"Flimkien man-nixfa, x'inhu fattur ieħor li qed jimbotta l-foresta tropikali tal-Amażonja lejn punt li jdur?")</f>
        <v>Flimkien man-nixfa, x'inhu fattur ieħor li qed jimbotta l-foresta tropikali tal-Amażonja lejn punt li jdur?</v>
      </c>
    </row>
    <row r="24778" ht="15.75" customHeight="1">
      <c r="A24778" s="2" t="s">
        <v>24778</v>
      </c>
      <c r="B24778" s="2" t="str">
        <f>IFERROR(__xludf.DUMMYFUNCTION("GOOGLETRANSLATE(A24778, ""en"", ""mt"")"),"X'inhu mħabbra mill-ħoss tad-diviżjoni tal-qanpiena?")</f>
        <v>X'inhu mħabbra mill-ħoss tad-diviżjoni tal-qanpiena?</v>
      </c>
    </row>
    <row r="24779" ht="15.75" customHeight="1">
      <c r="A24779" s="2" t="s">
        <v>24779</v>
      </c>
      <c r="B24779" s="2" t="str">
        <f>IFERROR(__xludf.DUMMYFUNCTION("GOOGLETRANSLATE(A24779, ""en"", ""mt"")"),"X'jista 'jkun meħtieġ ukoll mill-għalliema, f'xi oqsma?")</f>
        <v>X'jista 'jkun meħtieġ ukoll mill-għalliema, f'xi oqsma?</v>
      </c>
    </row>
    <row r="24780" ht="15.75" customHeight="1">
      <c r="A24780" s="2" t="s">
        <v>24780</v>
      </c>
      <c r="B24780" s="2" t="str">
        <f>IFERROR(__xludf.DUMMYFUNCTION("GOOGLETRANSLATE(A24780, ""en"", ""mt"")"),"P ⊆ NP ⊆ PP ⊆ PSPACE")</f>
        <v>P ⊆ NP ⊆ PP ⊆ PSPACE</v>
      </c>
    </row>
    <row r="24781" ht="15.75" customHeight="1">
      <c r="A24781" s="2" t="s">
        <v>24781</v>
      </c>
      <c r="B24781" s="2" t="str">
        <f>IFERROR(__xludf.DUMMYFUNCTION("GOOGLETRANSLATE(A24781, ""en"", ""mt"")"),"parti mill-arja maqbuda")</f>
        <v>parti mill-arja maqbuda</v>
      </c>
    </row>
    <row r="24782" ht="15.75" customHeight="1">
      <c r="A24782" s="2" t="s">
        <v>24782</v>
      </c>
      <c r="B24782" s="2" t="str">
        <f>IFERROR(__xludf.DUMMYFUNCTION("GOOGLETRANSLATE(A24782, ""en"", ""mt"")"),"Fejn iqattgħu l-maġġoranza ta 'ħajjithom?")</f>
        <v>Fejn iqattgħu l-maġġoranza ta 'ħajjithom?</v>
      </c>
    </row>
    <row r="24783" ht="15.75" customHeight="1">
      <c r="A24783" s="2" t="s">
        <v>24783</v>
      </c>
      <c r="B24783" s="2" t="str">
        <f>IFERROR(__xludf.DUMMYFUNCTION("GOOGLETRANSLATE(A24783, ""en"", ""mt"")"),"Effett dirett jew effett indirett fuq il-liġijiet tal-Istati Membri tal-Unjoni Ewropea")</f>
        <v>Effett dirett jew effett indirett fuq il-liġijiet tal-Istati Membri tal-Unjoni Ewropea</v>
      </c>
    </row>
    <row r="24784" ht="15.75" customHeight="1">
      <c r="A24784" s="2" t="s">
        <v>24784</v>
      </c>
      <c r="B24784" s="2" t="str">
        <f>IFERROR(__xludf.DUMMYFUNCTION("GOOGLETRANSLATE(A24784, ""en"", ""mt"")"),"Keck u Mithouard")</f>
        <v>Keck u Mithouard</v>
      </c>
    </row>
    <row r="24785" ht="15.75" customHeight="1">
      <c r="A24785" s="2" t="s">
        <v>24785</v>
      </c>
      <c r="B24785" s="2" t="str">
        <f>IFERROR(__xludf.DUMMYFUNCTION("GOOGLETRANSLATE(A24785, ""en"", ""mt"")"),"Fl-1521 Luther ittrattat fil-biċċa l-kbira l-profezija, li fiha wessa 'l-pedamenti tar-Riforma billi poġġiethom fuq il-fidi profetika. L-interess ewlieni tiegħu kien iċċentrat fuq il-profezija tal-ħorn żgħir f'Daniel 8: 9–12, 23-25. L-Antichrist tat-2 Tes"&amp;"salonjani 2 ġie identifikat bħala l-poter tal-papat. Hekk ukoll kien il-ħorn żgħir ta 'Daniel 7, li wasal fost id-diviżjonijiet ta' Ruma, applikat b'mod espliċitu.")</f>
        <v>Fl-1521 Luther ittrattat fil-biċċa l-kbira l-profezija, li fiha wessa 'l-pedamenti tar-Riforma billi poġġiethom fuq il-fidi profetika. L-interess ewlieni tiegħu kien iċċentrat fuq il-profezija tal-ħorn żgħir f'Daniel 8: 9–12, 23-25. L-Antichrist tat-2 Tessalonjani 2 ġie identifikat bħala l-poter tal-papat. Hekk ukoll kien il-ħorn żgħir ta 'Daniel 7, li wasal fost id-diviżjonijiet ta' Ruma, applikat b'mod espliċitu.</v>
      </c>
    </row>
    <row r="24786" ht="15.75" customHeight="1">
      <c r="A24786" s="2" t="s">
        <v>24786</v>
      </c>
      <c r="B24786" s="2" t="str">
        <f>IFERROR(__xludf.DUMMYFUNCTION("GOOGLETRANSLATE(A24786, ""en"", ""mt"")"),"livelli ogħla")</f>
        <v>livelli ogħla</v>
      </c>
    </row>
    <row r="24787" ht="15.75" customHeight="1">
      <c r="A24787" s="2" t="s">
        <v>24787</v>
      </c>
      <c r="B24787" s="2" t="str">
        <f>IFERROR(__xludf.DUMMYFUNCTION("GOOGLETRANSLATE(A24787, ""en"", ""mt"")"),"X'inhi l-età medja ta 'nies li jgħixu fi Newcastle?")</f>
        <v>X'inhi l-età medja ta 'nies li jgħixu fi Newcastle?</v>
      </c>
    </row>
    <row r="24788" ht="15.75" customHeight="1">
      <c r="A24788" s="2" t="s">
        <v>24788</v>
      </c>
      <c r="B24788" s="2" t="str">
        <f>IFERROR(__xludf.DUMMYFUNCTION("GOOGLETRANSLATE(A24788, ""en"", ""mt"")"),"St Thomas Becket,")</f>
        <v>St Thomas Becket,</v>
      </c>
    </row>
    <row r="24789" ht="15.75" customHeight="1">
      <c r="A24789" s="2" t="s">
        <v>24789</v>
      </c>
      <c r="B24789" s="2" t="str">
        <f>IFERROR(__xludf.DUMMYFUNCTION("GOOGLETRANSLATE(A24789, ""en"", ""mt"")"),"riċerka, esibizzjonijiet u wirjiet oħra")</f>
        <v>riċerka, esibizzjonijiet u wirjiet oħra</v>
      </c>
    </row>
    <row r="24790" ht="15.75" customHeight="1">
      <c r="A24790" s="2" t="s">
        <v>24790</v>
      </c>
      <c r="B24790" s="2" t="str">
        <f>IFERROR(__xludf.DUMMYFUNCTION("GOOGLETRANSLATE(A24790, ""en"", ""mt"")"),"Liema żewġ kundizzjonijiet ambjentali huma kkontrollati fil-mużew?")</f>
        <v>Liema żewġ kundizzjonijiet ambjentali huma kkontrollati fil-mużew?</v>
      </c>
    </row>
    <row r="24791" ht="15.75" customHeight="1">
      <c r="A24791" s="2" t="s">
        <v>24791</v>
      </c>
      <c r="B24791" s="2" t="str">
        <f>IFERROR(__xludf.DUMMYFUNCTION("GOOGLETRANSLATE(A24791, ""en"", ""mt"")"),"Fejn il-kotba ta 'Maududi poġġew l-Islam?")</f>
        <v>Fejn il-kotba ta 'Maududi poġġew l-Islam?</v>
      </c>
    </row>
    <row r="24792" ht="15.75" customHeight="1">
      <c r="A24792" s="2" t="s">
        <v>24792</v>
      </c>
      <c r="B24792" s="2" t="str">
        <f>IFERROR(__xludf.DUMMYFUNCTION("GOOGLETRANSLATE(A24792, ""en"", ""mt"")"),"L-Università ta ’California, Irvine")</f>
        <v>L-Università ta ’California, Irvine</v>
      </c>
    </row>
    <row r="24793" ht="15.75" customHeight="1">
      <c r="A24793" s="2" t="s">
        <v>24793</v>
      </c>
      <c r="B24793" s="2" t="str">
        <f>IFERROR(__xludf.DUMMYFUNCTION("GOOGLETRANSLATE(A24793, ""en"", ""mt"")"),"L-Imperu Brittaniku")</f>
        <v>L-Imperu Brittaniku</v>
      </c>
    </row>
    <row r="24794" ht="15.75" customHeight="1">
      <c r="A24794" s="2" t="s">
        <v>24794</v>
      </c>
      <c r="B24794" s="2" t="str">
        <f>IFERROR(__xludf.DUMMYFUNCTION("GOOGLETRANSLATE(A24794, ""en"", ""mt"")"),"X'ġara meta ċ-ċjanobatterji ġew assimilati?")</f>
        <v>X'ġara meta ċ-ċjanobatterji ġew assimilati?</v>
      </c>
    </row>
    <row r="24795" ht="15.75" customHeight="1">
      <c r="A24795" s="2" t="s">
        <v>24795</v>
      </c>
      <c r="B24795" s="2" t="str">
        <f>IFERROR(__xludf.DUMMYFUNCTION("GOOGLETRANSLATE(A24795, ""en"", ""mt"")"),"Pigmenti fotosintetiċi jew thylakoids veri")</f>
        <v>Pigmenti fotosintetiċi jew thylakoids veri</v>
      </c>
    </row>
    <row r="24796" ht="15.75" customHeight="1">
      <c r="A24796" s="2" t="s">
        <v>24796</v>
      </c>
      <c r="B24796" s="2" t="str">
        <f>IFERROR(__xludf.DUMMYFUNCTION("GOOGLETRANSLATE(A24796, ""en"", ""mt"")"),"Biex tiffinanzja l-esperimenti tiegħu ta 'Colorado Springs.")</f>
        <v>Biex tiffinanzja l-esperimenti tiegħu ta 'Colorado Springs.</v>
      </c>
    </row>
    <row r="24797" ht="15.75" customHeight="1">
      <c r="A24797" s="2" t="s">
        <v>24797</v>
      </c>
      <c r="B24797" s="2" t="str">
        <f>IFERROR(__xludf.DUMMYFUNCTION("GOOGLETRANSLATE(A24797, ""en"", ""mt"")"),"Liema ħlas alternattiv Edison offra lil Tesla?")</f>
        <v>Liema ħlas alternattiv Edison offra lil Tesla?</v>
      </c>
    </row>
    <row r="24798" ht="15.75" customHeight="1">
      <c r="A24798" s="2" t="s">
        <v>24798</v>
      </c>
      <c r="B24798" s="2" t="str">
        <f>IFERROR(__xludf.DUMMYFUNCTION("GOOGLETRANSLATE(A24798, ""en"", ""mt"")"),"dwar is-sena 2000")</f>
        <v>dwar is-sena 2000</v>
      </c>
    </row>
    <row r="24799" ht="15.75" customHeight="1">
      <c r="A24799" s="2" t="s">
        <v>24799</v>
      </c>
      <c r="B24799" s="2" t="str">
        <f>IFERROR(__xludf.DUMMYFUNCTION("GOOGLETRANSLATE(A24799, ""en"", ""mt"")"),"Definizzjonijiet analogi jistgħu jsiru għar-rekwiżiti tal-ispazju. Għalkemm il-ħin u l-ispazju huma l-iktar riżorsi ta 'kumplessità magħrufa, kwalunkwe miżura ta' kumplessità tista 'titqies bħala riżors tal-komputazzjoni. Miżuri ta 'kumplessità huma ġener"&amp;"alment definiti mill-axioms ta' kumplessità ta 'Blum. Miżuri oħra ta ’kumplessità użati fit-teorija tal-kumplessità jinkludu kumplessità tal-komunikazzjoni, kumplessità taċ-ċirkwit, u kumplessità tas-siġar tad-deċiżjonijiet.")</f>
        <v>Definizzjonijiet analogi jistgħu jsiru għar-rekwiżiti tal-ispazju. Għalkemm il-ħin u l-ispazju huma l-iktar riżorsi ta 'kumplessità magħrufa, kwalunkwe miżura ta' kumplessità tista 'titqies bħala riżors tal-komputazzjoni. Miżuri ta 'kumplessità huma ġeneralment definiti mill-axioms ta' kumplessità ta 'Blum. Miżuri oħra ta ’kumplessità użati fit-teorija tal-kumplessità jinkludu kumplessità tal-komunikazzjoni, kumplessità taċ-ċirkwit, u kumplessità tas-siġar tad-deċiżjonijiet.</v>
      </c>
    </row>
    <row r="24800" ht="15.75" customHeight="1">
      <c r="A24800" s="2" t="s">
        <v>24800</v>
      </c>
      <c r="B24800" s="2" t="str">
        <f>IFERROR(__xludf.DUMMYFUNCTION("GOOGLETRANSLATE(A24800, ""en"", ""mt"")"),"Faqar bin-nofs")</f>
        <v>Faqar bin-nofs</v>
      </c>
    </row>
    <row r="24801" ht="15.75" customHeight="1">
      <c r="A24801" s="2" t="s">
        <v>24801</v>
      </c>
      <c r="B24801" s="2" t="str">
        <f>IFERROR(__xludf.DUMMYFUNCTION("GOOGLETRANSLATE(A24801, ""en"", ""mt"")"),"Iż-żelu reliġjuż leġġendarju tan-Normanni ġie eżerċitat fi gwerer reliġjużi ħafna qabel l-ewwel kruċjata minquxa prinċipat Norman f'Antijokja. Kienu parteċipanti barranin kbar fir-Reconquista fl-Iberia. Fl-1018, Roger de Tosny ivvjaġġa lejn il-Peniżola Ib"&amp;"erika biex ifittex stat għalih innifsu mill-artijiet Moorish, iżda falla. Fl-1064, matul il-Gwerra ta ’Barbastro, William ta’ Montreuil mexxa l-armata papali u ħa booty enormi.")</f>
        <v>Iż-żelu reliġjuż leġġendarju tan-Normanni ġie eżerċitat fi gwerer reliġjużi ħafna qabel l-ewwel kruċjata minquxa prinċipat Norman f'Antijokja. Kienu parteċipanti barranin kbar fir-Reconquista fl-Iberia. Fl-1018, Roger de Tosny ivvjaġġa lejn il-Peniżola Iberika biex ifittex stat għalih innifsu mill-artijiet Moorish, iżda falla. Fl-1064, matul il-Gwerra ta ’Barbastro, William ta’ Montreuil mexxa l-armata papali u ħa booty enormi.</v>
      </c>
    </row>
    <row r="24802" ht="15.75" customHeight="1">
      <c r="A24802" s="2" t="s">
        <v>24802</v>
      </c>
      <c r="B24802" s="2" t="str">
        <f>IFERROR(__xludf.DUMMYFUNCTION("GOOGLETRANSLATE(A24802, ""en"", ""mt"")"),"F'liema pajjiż kostitwenti tar-Renju Unit jinsab Merthyr Tydfil?")</f>
        <v>F'liema pajjiż kostitwenti tar-Renju Unit jinsab Merthyr Tydfil?</v>
      </c>
    </row>
    <row r="24803" ht="15.75" customHeight="1">
      <c r="A24803" s="2" t="s">
        <v>24803</v>
      </c>
      <c r="B24803" s="2" t="str">
        <f>IFERROR(__xludf.DUMMYFUNCTION("GOOGLETRANSLATE(A24803, ""en"", ""mt"")"),"Il-forza dgħajfa hija dovuta għall-iskambju tal-bosons W u Z tqal. L-iktar effett familjari tiegħu huwa t-tħassir beta (ta 'newtroni fin-nuklei atomiċi) u r-radjuattività assoċjata. Il-kelma ""dgħajfa"" ġejja mill-fatt li s-saħħa tal-qasam hija xi 1013 da"&amp;"rbiet inqas minn dik tal-forza qawwija. Xorta, hija iktar b'saħħitha mill-gravità fuq distanzi qosra. Ġiet żviluppata wkoll teorija tal-elettroweak konsistenti, li turi li l-forzi elettromanjetiċi u l-forza dgħajfa ma jistgħux jintgħarfu f'temperaturi li "&amp;"jaqbżu madwar 1015 Kelvins. Temperaturi bħal dawn ġew sondati fl-aċċeleraturi moderni tal-partikuli u juru l-kundizzjonijiet tal-univers fil-mumenti bikrija tal-Big Bang.")</f>
        <v>Il-forza dgħajfa hija dovuta għall-iskambju tal-bosons W u Z tqal. L-iktar effett familjari tiegħu huwa t-tħassir beta (ta 'newtroni fin-nuklei atomiċi) u r-radjuattività assoċjata. Il-kelma "dgħajfa" ġejja mill-fatt li s-saħħa tal-qasam hija xi 1013 darbiet inqas minn dik tal-forza qawwija. Xorta, hija iktar b'saħħitha mill-gravità fuq distanzi qosra. Ġiet żviluppata wkoll teorija tal-elettroweak konsistenti, li turi li l-forzi elettromanjetiċi u l-forza dgħajfa ma jistgħux jintgħarfu f'temperaturi li jaqbżu madwar 1015 Kelvins. Temperaturi bħal dawn ġew sondati fl-aċċeleraturi moderni tal-partikuli u juru l-kundizzjonijiet tal-univers fil-mumenti bikrija tal-Big Bang.</v>
      </c>
    </row>
    <row r="24804" ht="15.75" customHeight="1">
      <c r="A24804" s="2" t="s">
        <v>24804</v>
      </c>
      <c r="B24804" s="2" t="str">
        <f>IFERROR(__xludf.DUMMYFUNCTION("GOOGLETRANSLATE(A24804, ""en"", ""mt"")"),"fuljetti")</f>
        <v>fuljetti</v>
      </c>
    </row>
    <row r="24805" ht="15.75" customHeight="1">
      <c r="A24805" s="2" t="s">
        <v>24805</v>
      </c>
      <c r="B24805" s="2" t="str">
        <f>IFERROR(__xludf.DUMMYFUNCTION("GOOGLETRANSLATE(A24805, ""en"", ""mt"")"),"Il-Ranger waħdu")</f>
        <v>Il-Ranger waħdu</v>
      </c>
    </row>
    <row r="24806" ht="15.75" customHeight="1">
      <c r="A24806" s="2" t="s">
        <v>24806</v>
      </c>
      <c r="B24806" s="2" t="str">
        <f>IFERROR(__xludf.DUMMYFUNCTION("GOOGLETRANSLATE(A24806, ""en"", ""mt"")"),"Min fformula l-idea tat-teorija tal-għażla tal-għażla klonali?")</f>
        <v>Min fformula l-idea tat-teorija tal-għażla tal-għażla klonali?</v>
      </c>
    </row>
    <row r="24807" ht="15.75" customHeight="1">
      <c r="A24807" s="2" t="s">
        <v>24807</v>
      </c>
      <c r="B24807" s="2" t="str">
        <f>IFERROR(__xludf.DUMMYFUNCTION("GOOGLETRANSLATE(A24807, ""en"", ""mt"")"),"Federica Mogherini")</f>
        <v>Federica Mogherini</v>
      </c>
    </row>
    <row r="24808" ht="15.75" customHeight="1">
      <c r="A24808" s="2" t="s">
        <v>24808</v>
      </c>
      <c r="B24808" s="2" t="str">
        <f>IFERROR(__xludf.DUMMYFUNCTION("GOOGLETRANSLATE(A24808, ""en"", ""mt"")"),"Espansjoni termali")</f>
        <v>Espansjoni termali</v>
      </c>
    </row>
    <row r="24809" ht="15.75" customHeight="1">
      <c r="A24809" s="2" t="s">
        <v>24809</v>
      </c>
      <c r="B24809" s="2" t="str">
        <f>IFERROR(__xludf.DUMMYFUNCTION("GOOGLETRANSLATE(A24809, ""en"", ""mt"")"),"Tentakli")</f>
        <v>Tentakli</v>
      </c>
    </row>
    <row r="24810" ht="15.75" customHeight="1">
      <c r="A24810" s="2" t="s">
        <v>24810</v>
      </c>
      <c r="B24810" s="2" t="str">
        <f>IFERROR(__xludf.DUMMYFUNCTION("GOOGLETRANSLATE(A24810, ""en"", ""mt"")"),"Liema tim irċieva l-bidu tal-ftuħ?")</f>
        <v>Liema tim irċieva l-bidu tal-ftuħ?</v>
      </c>
    </row>
    <row r="24811" ht="15.75" customHeight="1">
      <c r="A24811" s="2" t="s">
        <v>24811</v>
      </c>
      <c r="B24811" s="2" t="str">
        <f>IFERROR(__xludf.DUMMYFUNCTION("GOOGLETRANSLATE(A24811, ""en"", ""mt"")"),"Qabel ma Genghis Khan miet, huwa assenja lil Ögedei Khan bħala s-suċċessur tiegħu u qassam l-imperu tiegħu f'Khanates fost uliedu u neputijiet. Huwa miet fl-1227 wara li għeleb lill-Punent Xia. Huwa ndifen f'qabar mhux immarkat x'imkien fil-Mongolja f'pos"&amp;"t mhux magħruf. Id-dixxendenti tiegħu estendew l-imperu Mongoljan madwar il-biċċa l-kbira tal-Eurasja billi jirbħu jew joħolqu stati vassali barra miċ-Ċina moderna kollha, il-Korea, il-Kawkasu, l-Asja Ċentrali, u porzjonijiet sostanzjali tal-Ewropa modern"&amp;"a tal-Lvant, ir-Russja, u l-Asja tal-Lbiċ. Ħafna minn dawn l-invażjonijiet irrepetew il-qatla fuq skala kbira ta 'popolazzjonijiet lokali. Bħala riżultat, Genghis Khan u l-imperu tiegħu għandhom reputazzjoni tal-biża 'fl-istoriji lokali.")</f>
        <v>Qabel ma Genghis Khan miet, huwa assenja lil Ögedei Khan bħala s-suċċessur tiegħu u qassam l-imperu tiegħu f'Khanates fost uliedu u neputijiet. Huwa miet fl-1227 wara li għeleb lill-Punent Xia. Huwa ndifen f'qabar mhux immarkat x'imkien fil-Mongolja f'post mhux magħruf. Id-dixxendenti tiegħu estendew l-imperu Mongoljan madwar il-biċċa l-kbira tal-Eurasja billi jirbħu jew joħolqu stati vassali barra miċ-Ċina moderna kollha, il-Korea, il-Kawkasu, l-Asja Ċentrali, u porzjonijiet sostanzjali tal-Ewropa moderna tal-Lvant, ir-Russja, u l-Asja tal-Lbiċ. Ħafna minn dawn l-invażjonijiet irrepetew il-qatla fuq skala kbira ta 'popolazzjonijiet lokali. Bħala riżultat, Genghis Khan u l-imperu tiegħu għandhom reputazzjoni tal-biża 'fl-istoriji lokali.</v>
      </c>
    </row>
    <row r="24812" ht="15.75" customHeight="1">
      <c r="A24812" s="2" t="s">
        <v>24812</v>
      </c>
      <c r="B24812" s="2" t="str">
        <f>IFERROR(__xludf.DUMMYFUNCTION("GOOGLETRANSLATE(A24812, ""en"", ""mt"")"),"L-Indja")</f>
        <v>L-Indja</v>
      </c>
    </row>
    <row r="24813" ht="15.75" customHeight="1">
      <c r="A24813" s="2" t="s">
        <v>24813</v>
      </c>
      <c r="B24813" s="2" t="str">
        <f>IFERROR(__xludf.DUMMYFUNCTION("GOOGLETRANSLATE(A24813, ""en"", ""mt"")"),"X'inhi proteina li hija marbuta mill-qrib mar-ritmi ċirkadjani?")</f>
        <v>X'inhi proteina li hija marbuta mill-qrib mar-ritmi ċirkadjani?</v>
      </c>
    </row>
    <row r="24814" ht="15.75" customHeight="1">
      <c r="A24814" s="2" t="s">
        <v>24814</v>
      </c>
      <c r="B24814" s="2" t="str">
        <f>IFERROR(__xludf.DUMMYFUNCTION("GOOGLETRANSLATE(A24814, ""en"", ""mt"")"),"Għaliex Ctenophores huma estremament rari daqs il-fossili?")</f>
        <v>Għaliex Ctenophores huma estremament rari daqs il-fossili?</v>
      </c>
    </row>
    <row r="24815" ht="15.75" customHeight="1">
      <c r="A24815" s="2" t="s">
        <v>24815</v>
      </c>
      <c r="B24815" s="2" t="str">
        <f>IFERROR(__xludf.DUMMYFUNCTION("GOOGLETRANSLATE(A24815, ""en"", ""mt"")"),"Kemm nies, l-aktar, mietu bil-pesta f'Bagdad?")</f>
        <v>Kemm nies, l-aktar, mietu bil-pesta f'Bagdad?</v>
      </c>
    </row>
    <row r="24816" ht="15.75" customHeight="1">
      <c r="A24816" s="2" t="s">
        <v>24816</v>
      </c>
      <c r="B24816" s="2" t="str">
        <f>IFERROR(__xludf.DUMMYFUNCTION("GOOGLETRANSLATE(A24816, ""en"", ""mt"")"),"Kemm kellu John Elway meta lagħab fis-Super Bowl xxxiii?")</f>
        <v>Kemm kellu John Elway meta lagħab fis-Super Bowl xxxiii?</v>
      </c>
    </row>
    <row r="24817" ht="15.75" customHeight="1">
      <c r="A24817" s="2" t="s">
        <v>24817</v>
      </c>
      <c r="B24817" s="2" t="str">
        <f>IFERROR(__xludf.DUMMYFUNCTION("GOOGLETRANSLATE(A24817, ""en"", ""mt"")"),"X'tip ta 'disturbi jseħħu meta parti mis-sistema immunitarja ma tkunx attiva?")</f>
        <v>X'tip ta 'disturbi jseħħu meta parti mis-sistema immunitarja ma tkunx attiva?</v>
      </c>
    </row>
    <row r="24818" ht="15.75" customHeight="1">
      <c r="A24818" s="2" t="s">
        <v>24818</v>
      </c>
      <c r="B24818" s="2" t="str">
        <f>IFERROR(__xludf.DUMMYFUNCTION("GOOGLETRANSLATE(A24818, ""en"", ""mt"")"),"il-qalba ta 'barra u l-qalba ta' ġewwa")</f>
        <v>il-qalba ta 'barra u l-qalba ta' ġewwa</v>
      </c>
    </row>
    <row r="24819" ht="15.75" customHeight="1">
      <c r="A24819" s="2" t="s">
        <v>24819</v>
      </c>
      <c r="B24819" s="2" t="str">
        <f>IFERROR(__xludf.DUMMYFUNCTION("GOOGLETRANSLATE(A24819, ""en"", ""mt"")"),"l-aktar komuni")</f>
        <v>l-aktar komuni</v>
      </c>
    </row>
    <row r="24820" ht="15.75" customHeight="1">
      <c r="A24820" s="2" t="s">
        <v>24820</v>
      </c>
      <c r="B24820" s="2" t="str">
        <f>IFERROR(__xludf.DUMMYFUNCTION("GOOGLETRANSLATE(A24820, ""en"", ""mt"")"),"18%")</f>
        <v>18%</v>
      </c>
    </row>
    <row r="24821" ht="15.75" customHeight="1">
      <c r="A24821" s="2" t="s">
        <v>24821</v>
      </c>
      <c r="B24821" s="2" t="str">
        <f>IFERROR(__xludf.DUMMYFUNCTION("GOOGLETRANSLATE(A24821, ""en"", ""mt"")"),"permezz tal-pori fl-epidermide")</f>
        <v>permezz tal-pori fl-epidermide</v>
      </c>
    </row>
    <row r="24822" ht="15.75" customHeight="1">
      <c r="A24822" s="2" t="s">
        <v>24822</v>
      </c>
      <c r="B24822" s="2" t="str">
        <f>IFERROR(__xludf.DUMMYFUNCTION("GOOGLETRANSLATE(A24822, ""en"", ""mt"")"),"X'inhi ċ-ċarezza tal-ossiġnu likwidu?")</f>
        <v>X'inhi ċ-ċarezza tal-ossiġnu likwidu?</v>
      </c>
    </row>
    <row r="24823" ht="15.75" customHeight="1">
      <c r="A24823" s="2" t="s">
        <v>24823</v>
      </c>
      <c r="B24823" s="2" t="str">
        <f>IFERROR(__xludf.DUMMYFUNCTION("GOOGLETRANSLATE(A24823, ""en"", ""mt"")"),"Genghis Khan u Tolui")</f>
        <v>Genghis Khan u Tolui</v>
      </c>
    </row>
    <row r="24824" ht="15.75" customHeight="1">
      <c r="A24824" s="2" t="s">
        <v>24824</v>
      </c>
      <c r="B24824" s="2" t="str">
        <f>IFERROR(__xludf.DUMMYFUNCTION("GOOGLETRANSLATE(A24824, ""en"", ""mt"")"),"X'inhu l-isem tad-deżert ħdejn il-fruntiera ta 'Nevada?")</f>
        <v>X'inhu l-isem tad-deżert ħdejn il-fruntiera ta 'Nevada?</v>
      </c>
    </row>
    <row r="24825" ht="15.75" customHeight="1">
      <c r="A24825" s="2" t="s">
        <v>24825</v>
      </c>
      <c r="B24825" s="2" t="str">
        <f>IFERROR(__xludf.DUMMYFUNCTION("GOOGLETRANSLATE(A24825, ""en"", ""mt"")"),"Liema molekuli huma rikonoxxuti bħala barranin mis-sistema immuni?")</f>
        <v>Liema molekuli huma rikonoxxuti bħala barranin mis-sistema immuni?</v>
      </c>
    </row>
    <row r="24826" ht="15.75" customHeight="1">
      <c r="A24826" s="2" t="s">
        <v>24826</v>
      </c>
      <c r="B24826" s="2" t="str">
        <f>IFERROR(__xludf.DUMMYFUNCTION("GOOGLETRANSLATE(A24826, ""en"", ""mt"")"),"Ma 'liema proċess id-difett ta' Rubisco jinterferixxi?")</f>
        <v>Ma 'liema proċess id-difett ta' Rubisco jinterferixxi?</v>
      </c>
    </row>
    <row r="24827" ht="15.75" customHeight="1">
      <c r="A24827" s="2" t="s">
        <v>24827</v>
      </c>
      <c r="B24827" s="2" t="str">
        <f>IFERROR(__xludf.DUMMYFUNCTION("GOOGLETRANSLATE(A24827, ""en"", ""mt"")"),"Huma tilfu l-flus")</f>
        <v>Huma tilfu l-flus</v>
      </c>
    </row>
    <row r="24828" ht="15.75" customHeight="1">
      <c r="A24828" s="2" t="s">
        <v>24828</v>
      </c>
      <c r="B24828" s="2" t="str">
        <f>IFERROR(__xludf.DUMMYFUNCTION("GOOGLETRANSLATE(A24828, ""en"", ""mt"")"),"Michael Oppenheimer, parteċipant fit-tul fl-IPCC u l-awtur ewlieni tal-koordinazzjoni tal-ħames rapport ta 'valutazzjoni ammetta fl-Istat tal-Pjaneta tar-rivista tax-xjenza 2008-2009 Xi limitazzjonijiet tal-approċċ tal-kunsens tal-IPCC u jitlob għal konko"&amp;"rrenti, evalwazzjonijiet iżgħar ta' problemi speċjali minflok L-approċċ fuq skala kbira bħal fir-rapporti ta 'valutazzjoni tal-IPCC preċedenti. Sar iktar importanti li tipprovdi esplorazzjoni usa 'ta' inċertezzi. Oħrajn jaraw it-tberik imħallat sew tal-is"&amp;"pinta għal kunsens fil-proċess tal-IPCC u jitolbu li jinkludu pożizzjonijiet li ma jaqblux jew minoranza jew biex itejbu d-dikjarazzjonijiet dwar l-inċertezzi.")</f>
        <v>Michael Oppenheimer, parteċipant fit-tul fl-IPCC u l-awtur ewlieni tal-koordinazzjoni tal-ħames rapport ta 'valutazzjoni ammetta fl-Istat tal-Pjaneta tar-rivista tax-xjenza 2008-2009 Xi limitazzjonijiet tal-approċċ tal-kunsens tal-IPCC u jitlob għal konkorrenti, evalwazzjonijiet iżgħar ta' problemi speċjali minflok L-approċċ fuq skala kbira bħal fir-rapporti ta 'valutazzjoni tal-IPCC preċedenti. Sar iktar importanti li tipprovdi esplorazzjoni usa 'ta' inċertezzi. Oħrajn jaraw it-tberik imħallat sew tal-ispinta għal kunsens fil-proċess tal-IPCC u jitolbu li jinkludu pożizzjonijiet li ma jaqblux jew minoranza jew biex itejbu d-dikjarazzjonijiet dwar l-inċertezzi.</v>
      </c>
    </row>
    <row r="24829" ht="15.75" customHeight="1">
      <c r="A24829" s="2" t="s">
        <v>24829</v>
      </c>
      <c r="B24829" s="2" t="str">
        <f>IFERROR(__xludf.DUMMYFUNCTION("GOOGLETRANSLATE(A24829, ""en"", ""mt"")"),"Ludwig Krapf irreġistra l-isem dak?")</f>
        <v>Ludwig Krapf irreġistra l-isem dak?</v>
      </c>
    </row>
    <row r="24830" ht="15.75" customHeight="1">
      <c r="A24830" s="2" t="s">
        <v>24830</v>
      </c>
      <c r="B24830" s="2" t="str">
        <f>IFERROR(__xludf.DUMMYFUNCTION("GOOGLETRANSLATE(A24830, ""en"", ""mt"")"),"X’għandu jagħmel il-gvern Taljan fi Francovich v l-Italja?")</f>
        <v>X’għandu jagħmel il-gvern Taljan fi Francovich v l-Italja?</v>
      </c>
    </row>
    <row r="24831" ht="15.75" customHeight="1">
      <c r="A24831" s="2" t="s">
        <v>24831</v>
      </c>
      <c r="B24831" s="2" t="str">
        <f>IFERROR(__xludf.DUMMYFUNCTION("GOOGLETRANSLATE(A24831, ""en"", ""mt"")"),"617 ft")</f>
        <v>617 ft</v>
      </c>
    </row>
    <row r="24832" ht="15.75" customHeight="1">
      <c r="A24832" s="2" t="s">
        <v>24832</v>
      </c>
      <c r="B24832" s="2" t="str">
        <f>IFERROR(__xludf.DUMMYFUNCTION("GOOGLETRANSLATE(A24832, ""en"", ""mt"")"),"X'inhu l-aħħar stadju ta 'abbozz fil-Parlament Skoċċiż?")</f>
        <v>X'inhu l-aħħar stadju ta 'abbozz fil-Parlament Skoċċiż?</v>
      </c>
    </row>
    <row r="24833" ht="15.75" customHeight="1">
      <c r="A24833" s="2" t="s">
        <v>24833</v>
      </c>
      <c r="B24833" s="2" t="str">
        <f>IFERROR(__xludf.DUMMYFUNCTION("GOOGLETRANSLATE(A24833, ""en"", ""mt"")"),"Oswego")</f>
        <v>Oswego</v>
      </c>
    </row>
    <row r="24834" ht="15.75" customHeight="1">
      <c r="A24834" s="2" t="s">
        <v>24834</v>
      </c>
      <c r="B24834" s="2" t="str">
        <f>IFERROR(__xludf.DUMMYFUNCTION("GOOGLETRANSLATE(A24834, ""en"", ""mt"")"),"Meta Tugh Temur sab l-akkademja tiegħu?")</f>
        <v>Meta Tugh Temur sab l-akkademja tiegħu?</v>
      </c>
    </row>
    <row r="24835" ht="15.75" customHeight="1">
      <c r="A24835" s="2" t="s">
        <v>24835</v>
      </c>
      <c r="B24835" s="2" t="str">
        <f>IFERROR(__xludf.DUMMYFUNCTION("GOOGLETRANSLATE(A24835, ""en"", ""mt"")"),"Il-forzi tal-WHWN huma ngles it-tajba ma 'xulxin x'jistgħu jinqasmu?")</f>
        <v>Il-forzi tal-WHWN huma ngles it-tajba ma 'xulxin x'jistgħu jinqasmu?</v>
      </c>
    </row>
    <row r="24836" ht="15.75" customHeight="1">
      <c r="A24836" s="2" t="s">
        <v>24836</v>
      </c>
      <c r="B24836" s="2" t="str">
        <f>IFERROR(__xludf.DUMMYFUNCTION("GOOGLETRANSLATE(A24836, ""en"", ""mt"")"),"L-istoriku Francis Aidan Gasquet kiteb dwar il-'Pestilenza l-Kbira 'fl-1893 u ssuġġerixxa li ""jidher li hija xi forma tal-pesta ordinarja tal-Lvant jew Buboniku"". Huwa kien kapaċi jadotta l-epidemjoloġija tal-pesta bubonika għall-mewt sewda għat-tieni e"&amp;"dizzjoni fl-1908, li implikat firien u briegħed fil-proċess, u l-interpretazzjoni tiegħu kienet aċċettata b'mod wiesa 'għal epidemiji antiki u medjevali oħra, bħall-pesta Justinian li kienet Prevalenti fl-Imperu Ruman tal-Lvant minn 541 sa 700 CE.")</f>
        <v>L-istoriku Francis Aidan Gasquet kiteb dwar il-'Pestilenza l-Kbira 'fl-1893 u ssuġġerixxa li "jidher li hija xi forma tal-pesta ordinarja tal-Lvant jew Buboniku". Huwa kien kapaċi jadotta l-epidemjoloġija tal-pesta bubonika għall-mewt sewda għat-tieni edizzjoni fl-1908, li implikat firien u briegħed fil-proċess, u l-interpretazzjoni tiegħu kienet aċċettata b'mod wiesa 'għal epidemiji antiki u medjevali oħra, bħall-pesta Justinian li kienet Prevalenti fl-Imperu Ruman tal-Lvant minn 541 sa 700 CE.</v>
      </c>
    </row>
    <row r="24837" ht="15.75" customHeight="1">
      <c r="A24837" s="2" t="s">
        <v>24837</v>
      </c>
      <c r="B24837" s="2" t="str">
        <f>IFERROR(__xludf.DUMMYFUNCTION("GOOGLETRANSLATE(A24837, ""en"", ""mt"")"),"X'inhuma t-tliet tipi ewlenin ta 'blat?")</f>
        <v>X'inhuma t-tliet tipi ewlenin ta 'blat?</v>
      </c>
    </row>
    <row r="24838" ht="15.75" customHeight="1">
      <c r="A24838" s="2" t="s">
        <v>24838</v>
      </c>
      <c r="B24838" s="2" t="str">
        <f>IFERROR(__xludf.DUMMYFUNCTION("GOOGLETRANSLATE(A24838, ""en"", ""mt"")"),"Fid-deċennji li ġejjin, l-ispiżjara huma mistennija jsiru aktar integrali fis-sistema tal-kura tas-saħħa. Minflok sempliċement iqassam il-medikazzjoni, l-ispiżjara huma dejjem aktar mistennija li jkunu kkumpensati għall-ħiliet tal-kura tal-pazjent tagħhom"&amp;". B'mod partikolari, il-ġestjoni tat-terapija ta 'medikazzjoni (MTM) tinkludi s-servizzi kliniċi li l-ispiżjara jistgħu jipprovdu għall-pazjenti tagħhom. Servizzi bħal dawn jinkludu l-analiżi bir-reqqa tal-medikazzjoni kollha (preskrizzjoni, nuqqas ta 'pr"&amp;"eskrizzjoni, u herbals) li bħalissa qed jittieħdu minn individwu. Ir-riżultat huwa rikonċiljazzjoni tal-medikazzjoni u l-edukazzjoni tal-pazjent li tirriżulta f'żieda fir-riżultati tas-saħħa tal-pazjent u tnaqqis fl-ispejjeż għas-sistema tal-kura tas-saħħ"&amp;"a.")</f>
        <v>Fid-deċennji li ġejjin, l-ispiżjara huma mistennija jsiru aktar integrali fis-sistema tal-kura tas-saħħa. Minflok sempliċement iqassam il-medikazzjoni, l-ispiżjara huma dejjem aktar mistennija li jkunu kkumpensati għall-ħiliet tal-kura tal-pazjent tagħhom. B'mod partikolari, il-ġestjoni tat-terapija ta 'medikazzjoni (MTM) tinkludi s-servizzi kliniċi li l-ispiżjara jistgħu jipprovdu għall-pazjenti tagħhom. Servizzi bħal dawn jinkludu l-analiżi bir-reqqa tal-medikazzjoni kollha (preskrizzjoni, nuqqas ta 'preskrizzjoni, u herbals) li bħalissa qed jittieħdu minn individwu. Ir-riżultat huwa rikonċiljazzjoni tal-medikazzjoni u l-edukazzjoni tal-pazjent li tirriżulta f'żieda fir-riżultati tas-saħħa tal-pazjent u tnaqqis fl-ispejjeż għas-sistema tal-kura tas-saħħa.</v>
      </c>
    </row>
    <row r="24839" ht="15.75" customHeight="1">
      <c r="A24839" s="2" t="s">
        <v>24839</v>
      </c>
      <c r="B24839" s="2" t="str">
        <f>IFERROR(__xludf.DUMMYFUNCTION("GOOGLETRANSLATE(A24839, ""en"", ""mt"")"),"Il-Viċi President Agnew jiddeskrivi d-diżubbidjenza ċivili f'liema attivitajiet?")</f>
        <v>Il-Viċi President Agnew jiddeskrivi d-diżubbidjenza ċivili f'liema attivitajiet?</v>
      </c>
    </row>
    <row r="24840" ht="15.75" customHeight="1">
      <c r="A24840" s="2" t="s">
        <v>24840</v>
      </c>
      <c r="B24840" s="2" t="str">
        <f>IFERROR(__xludf.DUMMYFUNCTION("GOOGLETRANSLATE(A24840, ""en"", ""mt"")"),"Q jew il-qasam finit b'elementi P")</f>
        <v>Q jew il-qasam finit b'elementi P</v>
      </c>
    </row>
    <row r="24841" ht="15.75" customHeight="1">
      <c r="A24841" s="2" t="s">
        <v>24841</v>
      </c>
      <c r="B24841" s="2" t="str">
        <f>IFERROR(__xludf.DUMMYFUNCTION("GOOGLETRANSLATE(A24841, ""en"", ""mt"")"),"San Jose")</f>
        <v>San Jose</v>
      </c>
    </row>
    <row r="24842" ht="15.75" customHeight="1">
      <c r="A24842" s="2" t="s">
        <v>24842</v>
      </c>
      <c r="B24842" s="2" t="str">
        <f>IFERROR(__xludf.DUMMYFUNCTION("GOOGLETRANSLATE(A24842, ""en"", ""mt"")"),"Sandwich, faversham u maidstone")</f>
        <v>Sandwich, faversham u maidstone</v>
      </c>
    </row>
    <row r="24843" ht="15.75" customHeight="1">
      <c r="A24843" s="2" t="s">
        <v>24843</v>
      </c>
      <c r="B24843" s="2" t="str">
        <f>IFERROR(__xludf.DUMMYFUNCTION("GOOGLETRANSLATE(A24843, ""en"", ""mt"")"),"inugwaljanza fil-ġid u d-dħul")</f>
        <v>inugwaljanza fil-ġid u d-dħul</v>
      </c>
    </row>
    <row r="24844" ht="15.75" customHeight="1">
      <c r="A24844" s="2" t="s">
        <v>24844</v>
      </c>
      <c r="B24844" s="2" t="str">
        <f>IFERROR(__xludf.DUMMYFUNCTION("GOOGLETRANSLATE(A24844, ""en"", ""mt"")"),"kwiet")</f>
        <v>kwiet</v>
      </c>
    </row>
    <row r="24845" ht="15.75" customHeight="1">
      <c r="A24845" s="2" t="s">
        <v>24845</v>
      </c>
      <c r="B24845" s="2" t="str">
        <f>IFERROR(__xludf.DUMMYFUNCTION("GOOGLETRANSLATE(A24845, ""en"", ""mt"")"),"18 ta 'Jannar, 1974")</f>
        <v>18 ta 'Jannar, 1974</v>
      </c>
    </row>
    <row r="24846" ht="15.75" customHeight="1">
      <c r="A24846" s="2" t="s">
        <v>24846</v>
      </c>
      <c r="B24846" s="2" t="str">
        <f>IFERROR(__xludf.DUMMYFUNCTION("GOOGLETRANSLATE(A24846, ""en"", ""mt"")"),"Pickawillany")</f>
        <v>Pickawillany</v>
      </c>
    </row>
    <row r="24847" ht="15.75" customHeight="1">
      <c r="A24847" s="2" t="s">
        <v>24847</v>
      </c>
      <c r="B24847" s="2" t="str">
        <f>IFERROR(__xludf.DUMMYFUNCTION("GOOGLETRANSLATE(A24847, ""en"", ""mt"")"),"Liema xmara tgħaddi minn Varsavja?")</f>
        <v>Liema xmara tgħaddi minn Varsavja?</v>
      </c>
    </row>
    <row r="24848" ht="15.75" customHeight="1">
      <c r="A24848" s="2" t="s">
        <v>24848</v>
      </c>
      <c r="B24848" s="2" t="str">
        <f>IFERROR(__xludf.DUMMYFUNCTION("GOOGLETRANSLATE(A24848, ""en"", ""mt"")"),"Bajjiet kostali u r-riservi tal-logħob")</f>
        <v>Bajjiet kostali u r-riservi tal-logħob</v>
      </c>
    </row>
    <row r="24849" ht="15.75" customHeight="1">
      <c r="A24849" s="2" t="s">
        <v>24849</v>
      </c>
      <c r="B24849" s="2" t="str">
        <f>IFERROR(__xludf.DUMMYFUNCTION("GOOGLETRANSLATE(A24849, ""en"", ""mt"")"),"Lejl sportiv")</f>
        <v>Lejl sportiv</v>
      </c>
    </row>
    <row r="24850" ht="15.75" customHeight="1">
      <c r="A24850" s="2" t="s">
        <v>24850</v>
      </c>
      <c r="B24850" s="2" t="str">
        <f>IFERROR(__xludf.DUMMYFUNCTION("GOOGLETRANSLATE(A24850, ""en"", ""mt"")"),"X'jista 'jidher aktar spiss fil-Maristems tat-Tip Root?")</f>
        <v>X'jista 'jidher aktar spiss fil-Maristems tat-Tip Root?</v>
      </c>
    </row>
    <row r="24851" ht="15.75" customHeight="1">
      <c r="A24851" s="2" t="s">
        <v>24851</v>
      </c>
      <c r="B24851" s="2" t="str">
        <f>IFERROR(__xludf.DUMMYFUNCTION("GOOGLETRANSLATE(A24851, ""en"", ""mt"")"),"X’kien dejjem aktar interdipendenti mal-Iżlamiżmu ma ’wara r-Rebbiegħa Għarbija?")</f>
        <v>X’kien dejjem aktar interdipendenti mal-Iżlamiżmu ma ’wara r-Rebbiegħa Għarbija?</v>
      </c>
    </row>
    <row r="24852" ht="15.75" customHeight="1">
      <c r="A24852" s="2" t="s">
        <v>24852</v>
      </c>
      <c r="B24852" s="2" t="str">
        <f>IFERROR(__xludf.DUMMYFUNCTION("GOOGLETRANSLATE(A24852, ""en"", ""mt"")"),"Matul it-Tieni Gwerra Dinjija")</f>
        <v>Matul it-Tieni Gwerra Dinjija</v>
      </c>
    </row>
    <row r="24853" ht="15.75" customHeight="1">
      <c r="A24853" s="2" t="s">
        <v>24853</v>
      </c>
      <c r="B24853" s="2" t="str">
        <f>IFERROR(__xludf.DUMMYFUNCTION("GOOGLETRANSLATE(A24853, ""en"", ""mt"")"),"Liema professjoni kienet Nathan Alterman?")</f>
        <v>Liema professjoni kienet Nathan Alterman?</v>
      </c>
    </row>
    <row r="24854" ht="15.75" customHeight="1">
      <c r="A24854" s="2" t="s">
        <v>24854</v>
      </c>
      <c r="B24854" s="2" t="str">
        <f>IFERROR(__xludf.DUMMYFUNCTION("GOOGLETRANSLATE(A24854, ""en"", ""mt"")"),"fid-direzzjoni li fiha l-ħalq qed jipponta,")</f>
        <v>fid-direzzjoni li fiha l-ħalq qed jipponta,</v>
      </c>
    </row>
    <row r="24855" ht="15.75" customHeight="1">
      <c r="A24855" s="2" t="s">
        <v>24855</v>
      </c>
      <c r="B24855" s="2" t="str">
        <f>IFERROR(__xludf.DUMMYFUNCTION("GOOGLETRANSLATE(A24855, ""en"", ""mt"")"),"Kif ġie ssuġġerit li l-IPCC jevita problemi politiċi?")</f>
        <v>Kif ġie ssuġġerit li l-IPCC jevita problemi politiċi?</v>
      </c>
    </row>
    <row r="24856" ht="15.75" customHeight="1">
      <c r="A24856" s="2" t="s">
        <v>24856</v>
      </c>
      <c r="B24856" s="2" t="str">
        <f>IFERROR(__xludf.DUMMYFUNCTION("GOOGLETRANSLATE(A24856, ""en"", ""mt"")"),"Liu Bingzhong u Yao Shu")</f>
        <v>Liu Bingzhong u Yao Shu</v>
      </c>
    </row>
    <row r="24857" ht="15.75" customHeight="1">
      <c r="A24857" s="2" t="s">
        <v>24857</v>
      </c>
      <c r="B24857" s="2" t="str">
        <f>IFERROR(__xludf.DUMMYFUNCTION("GOOGLETRANSLATE(A24857, ""en"", ""mt"")"),"We Love TV")</f>
        <v>We Love TV</v>
      </c>
    </row>
    <row r="24858" ht="15.75" customHeight="1">
      <c r="A24858" s="2" t="s">
        <v>24858</v>
      </c>
      <c r="B24858" s="2" t="str">
        <f>IFERROR(__xludf.DUMMYFUNCTION("GOOGLETRANSLATE(A24858, ""en"", ""mt"")"),"Lejn fejn ittieħdu l-affarijiet?")</f>
        <v>Lejn fejn ittieħdu l-affarijiet?</v>
      </c>
    </row>
    <row r="24859" ht="15.75" customHeight="1">
      <c r="A24859" s="2" t="s">
        <v>24859</v>
      </c>
      <c r="B24859" s="2" t="str">
        <f>IFERROR(__xludf.DUMMYFUNCTION("GOOGLETRANSLATE(A24859, ""en"", ""mt"")"),"whips")</f>
        <v>whips</v>
      </c>
    </row>
    <row r="24860" ht="15.75" customHeight="1">
      <c r="A24860" s="2" t="s">
        <v>24860</v>
      </c>
      <c r="B24860" s="2" t="str">
        <f>IFERROR(__xludf.DUMMYFUNCTION("GOOGLETRANSLATE(A24860, ""en"", ""mt"")"),"Il-Liġi dwar ir-Reazzjoni tal-Azzjoni")</f>
        <v>Il-Liġi dwar ir-Reazzjoni tal-Azzjoni</v>
      </c>
    </row>
    <row r="24861" ht="15.75" customHeight="1">
      <c r="A24861" s="2" t="s">
        <v>24861</v>
      </c>
      <c r="B24861" s="2" t="str">
        <f>IFERROR(__xludf.DUMMYFUNCTION("GOOGLETRANSLATE(A24861, ""en"", ""mt"")"),"F'Lulju 1960, id-deputat amministratur tan-NASA Hugh L. Dryden ħabbar il-programm Apollo lir-rappreżentanti tal-industrija f'serje ta 'konferenzi tal-grupp ta' kompiti spazjali. L-ispeċifikazzjonijiet preliminari ġew stabbiliti għal vettura spazjali b'kab"&amp;"ina tal-modulu tal-missjoni separata mill-modulu tal-kmand (pilota u kabina tad-dħul mill-ġdid), u modulu ta 'propulsjoni u tagħmir. Fit-30 ta 'Awwissu, tħabbret kompetizzjoni ta' studju ta 'fattibilità, u fil-25 ta' Ottubru, ġew mogħtija tliet kuntratti "&amp;"ta 'studju lil General Dynamics / Convair, General Electric, u l-Kumpanija Glenn L. Martin. Sadanittant, in-NASA wettqet studji tad-disinn spazjali tagħha stess immexxija minn Maxime Faget, biex isservi bħala gauge biex tiġġudika u tissorvelja t-tliet dis"&amp;"inji tal-industrija.")</f>
        <v>F'Lulju 1960, id-deputat amministratur tan-NASA Hugh L. Dryden ħabbar il-programm Apollo lir-rappreżentanti tal-industrija f'serje ta 'konferenzi tal-grupp ta' kompiti spazjali. L-ispeċifikazzjonijiet preliminari ġew stabbiliti għal vettura spazjali b'kabina tal-modulu tal-missjoni separata mill-modulu tal-kmand (pilota u kabina tad-dħul mill-ġdid), u modulu ta 'propulsjoni u tagħmir. Fit-30 ta 'Awwissu, tħabbret kompetizzjoni ta' studju ta 'fattibilità, u fil-25 ta' Ottubru, ġew mogħtija tliet kuntratti ta 'studju lil General Dynamics / Convair, General Electric, u l-Kumpanija Glenn L. Martin. Sadanittant, in-NASA wettqet studji tad-disinn spazjali tagħha stess immexxija minn Maxime Faget, biex isservi bħala gauge biex tiġġudika u tissorvelja t-tliet disinji tal-industrija.</v>
      </c>
    </row>
    <row r="24862" ht="15.75" customHeight="1">
      <c r="A24862" s="2" t="s">
        <v>24862</v>
      </c>
      <c r="B24862" s="2" t="str">
        <f>IFERROR(__xludf.DUMMYFUNCTION("GOOGLETRANSLATE(A24862, ""en"", ""mt"")"),"edukazzjoni,")</f>
        <v>edukazzjoni,</v>
      </c>
    </row>
    <row r="24863" ht="15.75" customHeight="1">
      <c r="A24863" s="2" t="s">
        <v>24863</v>
      </c>
      <c r="B24863" s="2" t="str">
        <f>IFERROR(__xludf.DUMMYFUNCTION("GOOGLETRANSLATE(A24863, ""en"", ""mt"")"),"Liema parti taċ-Ċina kellha nies ikklassifikati aktar baxxi fis-sistema tal-klassi?")</f>
        <v>Liema parti taċ-Ċina kellha nies ikklassifikati aktar baxxi fis-sistema tal-klassi?</v>
      </c>
    </row>
    <row r="24864" ht="15.75" customHeight="1">
      <c r="A24864" s="2" t="s">
        <v>24864</v>
      </c>
      <c r="B24864" s="2" t="str">
        <f>IFERROR(__xludf.DUMMYFUNCTION("GOOGLETRANSLATE(A24864, ""en"", ""mt"")"),"direzzjoni li fiha l-ħalq qed jipponta")</f>
        <v>direzzjoni li fiha l-ħalq qed jipponta</v>
      </c>
    </row>
    <row r="24865" ht="15.75" customHeight="1">
      <c r="A24865" s="2" t="s">
        <v>24865</v>
      </c>
      <c r="B24865" s="2" t="str">
        <f>IFERROR(__xludf.DUMMYFUNCTION("GOOGLETRANSLATE(A24865, ""en"", ""mt"")"),"il-ħajt tal-peptidoglycan")</f>
        <v>il-ħajt tal-peptidoglycan</v>
      </c>
    </row>
    <row r="24866" ht="15.75" customHeight="1">
      <c r="A24866" s="2" t="s">
        <v>24866</v>
      </c>
      <c r="B24866" s="2" t="str">
        <f>IFERROR(__xludf.DUMMYFUNCTION("GOOGLETRANSLATE(A24866, ""en"", ""mt"")"),"Tesco")</f>
        <v>Tesco</v>
      </c>
    </row>
    <row r="24867" ht="15.75" customHeight="1">
      <c r="A24867" s="2" t="s">
        <v>24867</v>
      </c>
      <c r="B24867" s="2" t="str">
        <f>IFERROR(__xludf.DUMMYFUNCTION("GOOGLETRANSLATE(A24867, ""en"", ""mt"")"),"Elettrodinamiċità kwantistika")</f>
        <v>Elettrodinamiċità kwantistika</v>
      </c>
    </row>
    <row r="24868" ht="15.75" customHeight="1">
      <c r="A24868" s="2" t="s">
        <v>24868</v>
      </c>
      <c r="B24868" s="2" t="str">
        <f>IFERROR(__xludf.DUMMYFUNCTION("GOOGLETRANSLATE(A24868, ""en"", ""mt"")"),"In-netwerk beda jidħol f'xi inkwiet fil-klassifikazzjonijiet sal-2010. Dik is-sena, is-sitt u l-aħħar staġun ta 'Lost saru l-istaġun l-iktar baxx tad-drama mid-debutt tiegħu fl-2004. Il-klassifikazzjonijiet għall-hit li darba kienu stanti marret il-Ġimgħa"&amp;" fil-bidu tar-raba 'staġun tagħha fil-ħarifa ta' l-2009; Tentattiv biex tingħata spinta lill-klassifikazzjonijiet billi ċċaqlaq id-dramedy lejn l-Erbgħa falla, bil-kanċellazzjoni aħħarija tagħha min-netwerk toħroġ reazzjoni negattiva mill-pubbliku, u part"&amp;"ikolarment il-fanbase tal-ispettaklu. Biż-żewġ spettakli preċedenti tan-netwerk issa barra mill-istampa, il-wirjiet tal-aqwa veterani tan-netwerk li fadal huma Desperate Housewives u Grey's Anatomy, u oħra ta 'Hit Drama Brothers &amp; Sisters, kollha temmew l"&amp;"-istaġun 2009-10 li rreġistraw il-klassifikazzjonijiet l-aktar baxxi tagħhom li qatt kien hemm.")</f>
        <v>In-netwerk beda jidħol f'xi inkwiet fil-klassifikazzjonijiet sal-2010. Dik is-sena, is-sitt u l-aħħar staġun ta 'Lost saru l-istaġun l-iktar baxx tad-drama mid-debutt tiegħu fl-2004. Il-klassifikazzjonijiet għall-hit li darba kienu stanti marret il-Ġimgħa fil-bidu tar-raba 'staġun tagħha fil-ħarifa ta' l-2009; Tentattiv biex tingħata spinta lill-klassifikazzjonijiet billi ċċaqlaq id-dramedy lejn l-Erbgħa falla, bil-kanċellazzjoni aħħarija tagħha min-netwerk toħroġ reazzjoni negattiva mill-pubbliku, u partikolarment il-fanbase tal-ispettaklu. Biż-żewġ spettakli preċedenti tan-netwerk issa barra mill-istampa, il-wirjiet tal-aqwa veterani tan-netwerk li fadal huma Desperate Housewives u Grey's Anatomy, u oħra ta 'Hit Drama Brothers &amp; Sisters, kollha temmew l-istaġun 2009-10 li rreġistraw il-klassifikazzjonijiet l-aktar baxxi tagħhom li qatt kien hemm.</v>
      </c>
    </row>
    <row r="24869" ht="15.75" customHeight="1">
      <c r="A24869" s="2" t="s">
        <v>24869</v>
      </c>
      <c r="B24869" s="2" t="str">
        <f>IFERROR(__xludf.DUMMYFUNCTION("GOOGLETRANSLATE(A24869, ""en"", ""mt"")"),"Meta l-Gran Brittanja titlob l-Awstralja?")</f>
        <v>Meta l-Gran Brittanja titlob l-Awstralja?</v>
      </c>
    </row>
    <row r="24870" ht="15.75" customHeight="1">
      <c r="A24870" s="2" t="s">
        <v>24870</v>
      </c>
      <c r="B24870" s="2" t="str">
        <f>IFERROR(__xludf.DUMMYFUNCTION("GOOGLETRANSLATE(A24870, ""en"", ""mt"")"),"Franza Ġdida")</f>
        <v>Franza Ġdida</v>
      </c>
    </row>
    <row r="24871" ht="15.75" customHeight="1">
      <c r="A24871" s="2" t="s">
        <v>24871</v>
      </c>
      <c r="B24871" s="2" t="str">
        <f>IFERROR(__xludf.DUMMYFUNCTION("GOOGLETRANSLATE(A24871, ""en"", ""mt"")"),"X'kienu l-vittmi tal-battalja?")</f>
        <v>X'kienu l-vittmi tal-battalja?</v>
      </c>
    </row>
    <row r="24872" ht="15.75" customHeight="1">
      <c r="A24872" s="2" t="s">
        <v>24872</v>
      </c>
      <c r="B24872" s="2" t="str">
        <f>IFERROR(__xludf.DUMMYFUNCTION("GOOGLETRANSLATE(A24872, ""en"", ""mt"")"),"Il-kosta tat-teknoloġija")</f>
        <v>Il-kosta tat-teknoloġija</v>
      </c>
    </row>
    <row r="24873" ht="15.75" customHeight="1">
      <c r="A24873" s="2" t="s">
        <v>24873</v>
      </c>
      <c r="B24873" s="2" t="str">
        <f>IFERROR(__xludf.DUMMYFUNCTION("GOOGLETRANSLATE(A24873, ""en"", ""mt"")"),"Fuq xiex iserraħ Ctenophora għad-diġestjoni u r-respirazzjoni?")</f>
        <v>Fuq xiex iserraħ Ctenophora għad-diġestjoni u r-respirazzjoni?</v>
      </c>
    </row>
    <row r="24874" ht="15.75" customHeight="1">
      <c r="A24874" s="2" t="s">
        <v>24874</v>
      </c>
      <c r="B24874" s="2" t="str">
        <f>IFERROR(__xludf.DUMMYFUNCTION("GOOGLETRANSLATE(A24874, ""en"", ""mt"")"),"Diċembru 1878")</f>
        <v>Diċembru 1878</v>
      </c>
    </row>
    <row r="24875" ht="15.75" customHeight="1">
      <c r="A24875" s="2" t="s">
        <v>24875</v>
      </c>
      <c r="B24875" s="2" t="str">
        <f>IFERROR(__xludf.DUMMYFUNCTION("GOOGLETRANSLATE(A24875, ""en"", ""mt"")"),"X'inhu l-istudju tal-proteini involuti fir-rispons immuni magħruf bħala?")</f>
        <v>X'inhu l-istudju tal-proteini involuti fir-rispons immuni magħruf bħala?</v>
      </c>
    </row>
    <row r="24876" ht="15.75" customHeight="1">
      <c r="A24876" s="2" t="s">
        <v>24876</v>
      </c>
      <c r="B24876" s="2" t="str">
        <f>IFERROR(__xludf.DUMMYFUNCTION("GOOGLETRANSLATE(A24876, ""en"", ""mt"")"),"Liema kimika uża Priestley fl-esperimenti tiegħu fuq l-ossiġnu?")</f>
        <v>Liema kimika uża Priestley fl-esperimenti tiegħu fuq l-ossiġnu?</v>
      </c>
    </row>
    <row r="24877" ht="15.75" customHeight="1">
      <c r="A24877" s="2" t="s">
        <v>24877</v>
      </c>
      <c r="B24877" s="2" t="str">
        <f>IFERROR(__xludf.DUMMYFUNCTION("GOOGLETRANSLATE(A24877, ""en"", ""mt"")"),"Tarka tas-sħana.")</f>
        <v>Tarka tas-sħana.</v>
      </c>
    </row>
    <row r="24878" ht="15.75" customHeight="1">
      <c r="A24878" s="2" t="s">
        <v>24878</v>
      </c>
      <c r="B24878" s="2" t="str">
        <f>IFERROR(__xludf.DUMMYFUNCTION("GOOGLETRANSLATE(A24878, ""en"", ""mt"")"),"suspettat li huwa inugwali")</f>
        <v>suspettat li huwa inugwali</v>
      </c>
    </row>
    <row r="24879" ht="15.75" customHeight="1">
      <c r="A24879" s="2" t="s">
        <v>24879</v>
      </c>
      <c r="B24879" s="2" t="str">
        <f>IFERROR(__xludf.DUMMYFUNCTION("GOOGLETRANSLATE(A24879, ""en"", ""mt"")"),"William Booth")</f>
        <v>William Booth</v>
      </c>
    </row>
    <row r="24880" ht="15.75" customHeight="1">
      <c r="A24880" s="2" t="s">
        <v>24880</v>
      </c>
      <c r="B24880" s="2" t="str">
        <f>IFERROR(__xludf.DUMMYFUNCTION("GOOGLETRANSLATE(A24880, ""en"", ""mt"")"),"Politeknika Awstrijaka")</f>
        <v>Politeknika Awstrijaka</v>
      </c>
    </row>
    <row r="24881" ht="15.75" customHeight="1">
      <c r="A24881" s="2" t="s">
        <v>24881</v>
      </c>
      <c r="B24881" s="2" t="str">
        <f>IFERROR(__xludf.DUMMYFUNCTION("GOOGLETRANSLATE(A24881, ""en"", ""mt"")"),"Fl-1 ta 'Frar 2007, lejliet il-pubblikazzjoni tar-rapport ewlieni tal-IPCC dwar il-klima, ġie ppubblikat studju li jissuġġerixxi li t-temperaturi u l-livelli tal-baħar kienu qed jiżdiedu fuq jew' il fuq mir-rati massimi proposti matul l-aħħar rapport tal-"&amp;"IPCC fl-2001. L-istudju qabbel IPCC 2001 Projezzjonijiet dwar it-temperatura u l-livell tal-baħar jinbidlu bl-osservazzjonijiet. Matul is-sitt snin studjati, iż-żieda fit-temperatura attwali kienet qrib it-tarf ta 'fuq tal-firxa mogħtija mill-projezzjoni "&amp;"tal-IPCC 2001, u ż-żieda attwali fil-livell tal-baħar kienet' il fuq mill-parti ta 'fuq tal-firxa tal-projezzjoni IPCC.")</f>
        <v>Fl-1 ta 'Frar 2007, lejliet il-pubblikazzjoni tar-rapport ewlieni tal-IPCC dwar il-klima, ġie ppubblikat studju li jissuġġerixxi li t-temperaturi u l-livelli tal-baħar kienu qed jiżdiedu fuq jew' il fuq mir-rati massimi proposti matul l-aħħar rapport tal-IPCC fl-2001. L-istudju qabbel IPCC 2001 Projezzjonijiet dwar it-temperatura u l-livell tal-baħar jinbidlu bl-osservazzjonijiet. Matul is-sitt snin studjati, iż-żieda fit-temperatura attwali kienet qrib it-tarf ta 'fuq tal-firxa mogħtija mill-projezzjoni tal-IPCC 2001, u ż-żieda attwali fil-livell tal-baħar kienet' il fuq mill-parti ta 'fuq tal-firxa tal-projezzjoni IPCC.</v>
      </c>
    </row>
    <row r="24882" ht="15.75" customHeight="1">
      <c r="A24882" s="2" t="s">
        <v>24882</v>
      </c>
      <c r="B24882" s="2" t="str">
        <f>IFERROR(__xludf.DUMMYFUNCTION("GOOGLETRANSLATE(A24882, ""en"", ""mt"")"),"Ir-riċetturi tar-rikonoxximent tal-mudelli huma proteini użati minn kważi l-organiżmi kollha biex jidentifikaw molekuli assoċjati ma 'patoġeni. Il-peptidi antimikrobiċi msejħa difensini huma komponent evoluzzjonalment ikkonservat tar-rispons immuni innat "&amp;"misjub fl-annimali u l-pjanti kollha, u jirrappreżentaw il-forma ewlenija ta 'immunità sistemika invertebrata. Is-sistema tal-komplement u ċ-ċelloli fagoċitiċi jintużaw ukoll mill-biċċa l-kbira tal-forom tal-ħajja invertebrati. Ir-ribonukleżiżi u l-mogħdi"&amp;"ja ta 'interferenza RNA huma kkonservati fl-ewkarioti kollha, u huma maħsuba li għandhom rwol fir-rispons immuni għall-viruses.")</f>
        <v>Ir-riċetturi tar-rikonoxximent tal-mudelli huma proteini użati minn kważi l-organiżmi kollha biex jidentifikaw molekuli assoċjati ma 'patoġeni. Il-peptidi antimikrobiċi msejħa difensini huma komponent evoluzzjonalment ikkonservat tar-rispons immuni innat misjub fl-annimali u l-pjanti kollha, u jirrappreżentaw il-forma ewlenija ta 'immunità sistemika invertebrata. Is-sistema tal-komplement u ċ-ċelloli fagoċitiċi jintużaw ukoll mill-biċċa l-kbira tal-forom tal-ħajja invertebrati. Ir-ribonukleżiżi u l-mogħdija ta 'interferenza RNA huma kkonservati fl-ewkarioti kollha, u huma maħsuba li għandhom rwol fir-rispons immuni għall-viruses.</v>
      </c>
    </row>
    <row r="24883" ht="15.75" customHeight="1">
      <c r="A24883" s="2" t="s">
        <v>24883</v>
      </c>
      <c r="B24883" s="2" t="str">
        <f>IFERROR(__xludf.DUMMYFUNCTION("GOOGLETRANSLATE(A24883, ""en"", ""mt"")"),"L-ewwel apparat kummerċjali li jaħdem bil-fwar kien pompa tal-ilma, żviluppata fl-1698 minn Thomas Savery. Huwa uża l-fwar tal-kondensazzjoni biex joħloq vakwu li ntuża biex jgħolli l-ilma minn taħt, imbagħad uża l-pressjoni tal-fwar biex tgħolliha ogħla."&amp;" Magni żgħar kienu effettivi għalkemm mudelli akbar kienu problematiċi. Huma wrew biss li kellhom għoli limitat tal-lift u kienu suxxettibbli għal splużjonijiet tal-bojler. Irċieva xi użu fil-minjieri, stazzjonijiet tal-ippumpjar u għall-forniment tar-rot"&amp;"i tal-ilma użati biex jitħaddmu makkinarju tat-tessuti. Karatteristika attraenti tal-magna tas-salvataġġ kienet l-ispiża baxxa tagħha. Il-Portugal ta 'Bento de Moura introduċa titjib inġenjuż tal-kostruzzjoni ta' SAVERY ""biex tirrendiha kapaċi taħdem inn"&amp;"ifsu"", kif deskritt minn John Smeaton fit-tranżazzjonijiet filosofiċi ppubblikati fl-1751. Kompla jiġi manifatturat sal-aħħar tas-seklu 18. Magna waħda kienet għadha magħrufa li qed topera fl-1820.")</f>
        <v>L-ewwel apparat kummerċjali li jaħdem bil-fwar kien pompa tal-ilma, żviluppata fl-1698 minn Thomas Savery. Huwa uża l-fwar tal-kondensazzjoni biex joħloq vakwu li ntuża biex jgħolli l-ilma minn taħt, imbagħad uża l-pressjoni tal-fwar biex tgħolliha ogħla. Magni żgħar kienu effettivi għalkemm mudelli akbar kienu problematiċi. Huma wrew biss li kellhom għoli limitat tal-lift u kienu suxxettibbli għal splużjonijiet tal-bojler. Irċieva xi użu fil-minjieri, stazzjonijiet tal-ippumpjar u għall-forniment tar-roti tal-ilma użati biex jitħaddmu makkinarju tat-tessuti. Karatteristika attraenti tal-magna tas-salvataġġ kienet l-ispiża baxxa tagħha. Il-Portugal ta 'Bento de Moura introduċa titjib inġenjuż tal-kostruzzjoni ta' SAVERY "biex tirrendiha kapaċi taħdem innifsu", kif deskritt minn John Smeaton fit-tranżazzjonijiet filosofiċi ppubblikati fl-1751. Kompla jiġi manifatturat sal-aħħar tas-seklu 18. Magna waħda kienet għadha magħrufa li qed topera fl-1820.</v>
      </c>
    </row>
    <row r="24884" ht="15.75" customHeight="1">
      <c r="A24884" s="2" t="s">
        <v>24884</v>
      </c>
      <c r="B24884" s="2" t="str">
        <f>IFERROR(__xludf.DUMMYFUNCTION("GOOGLETRANSLATE(A24884, ""en"", ""mt"")"),"il-perjodu kwaternarju")</f>
        <v>il-perjodu kwaternarju</v>
      </c>
    </row>
    <row r="24885" ht="15.75" customHeight="1">
      <c r="A24885" s="2" t="s">
        <v>24885</v>
      </c>
      <c r="B24885" s="2" t="str">
        <f>IFERROR(__xludf.DUMMYFUNCTION("GOOGLETRANSLATE(A24885, ""en"", ""mt"")"),"5.3%")</f>
        <v>5.3%</v>
      </c>
    </row>
    <row r="24886" ht="15.75" customHeight="1">
      <c r="A24886" s="2" t="s">
        <v>24886</v>
      </c>
      <c r="B24886" s="2" t="str">
        <f>IFERROR(__xludf.DUMMYFUNCTION("GOOGLETRANSLATE(A24886, ""en"", ""mt"")"),"X'tip ta 'tqassim għandu t-toroq ta' Newcastle f'ħafna partijiet?")</f>
        <v>X'tip ta 'tqassim għandu t-toroq ta' Newcastle f'ħafna partijiet?</v>
      </c>
    </row>
    <row r="24887" ht="15.75" customHeight="1">
      <c r="A24887" s="2" t="s">
        <v>24887</v>
      </c>
      <c r="B24887" s="2" t="str">
        <f>IFERROR(__xludf.DUMMYFUNCTION("GOOGLETRANSLATE(A24887, ""en"", ""mt"")"),"Ġew miktuba algoritmi li jsolvu l-problema fi żminijiet raġonevoli f'ħafna każijiet")</f>
        <v>Ġew miktuba algoritmi li jsolvu l-problema fi żminijiet raġonevoli f'ħafna każijiet</v>
      </c>
    </row>
    <row r="24888" ht="15.75" customHeight="1">
      <c r="A24888" s="2" t="s">
        <v>24888</v>
      </c>
      <c r="B24888" s="2" t="str">
        <f>IFERROR(__xludf.DUMMYFUNCTION("GOOGLETRANSLATE(A24888, ""en"", ""mt"")"),"X'inhu s-settur tal-forza tax-xogħol żgħir?")</f>
        <v>X'inhu s-settur tal-forza tax-xogħol żgħir?</v>
      </c>
    </row>
    <row r="24889" ht="15.75" customHeight="1">
      <c r="A24889" s="2" t="s">
        <v>24889</v>
      </c>
      <c r="B24889" s="2" t="str">
        <f>IFERROR(__xludf.DUMMYFUNCTION("GOOGLETRANSLATE(A24889, ""en"", ""mt"")"),"16")</f>
        <v>16</v>
      </c>
    </row>
    <row r="24890" ht="15.75" customHeight="1">
      <c r="A24890" s="2" t="s">
        <v>24890</v>
      </c>
      <c r="B24890" s="2" t="str">
        <f>IFERROR(__xludf.DUMMYFUNCTION("GOOGLETRANSLATE(A24890, ""en"", ""mt"")"),"X'tista 'taffettwa forza fuq parti waħda ta' oġġett?")</f>
        <v>X'tista 'taffettwa forza fuq parti waħda ta' oġġett?</v>
      </c>
    </row>
    <row r="24891" ht="15.75" customHeight="1">
      <c r="A24891" s="2" t="s">
        <v>24891</v>
      </c>
      <c r="B24891" s="2" t="str">
        <f>IFERROR(__xludf.DUMMYFUNCTION("GOOGLETRANSLATE(A24891, ""en"", ""mt"")"),"l-iktar bini distintiv")</f>
        <v>l-iktar bini distintiv</v>
      </c>
    </row>
    <row r="24892" ht="15.75" customHeight="1">
      <c r="A24892" s="2" t="s">
        <v>24892</v>
      </c>
      <c r="B24892" s="2" t="str">
        <f>IFERROR(__xludf.DUMMYFUNCTION("GOOGLETRANSLATE(A24892, ""en"", ""mt"")"),"projbizzjonijiet")</f>
        <v>projbizzjonijiet</v>
      </c>
    </row>
    <row r="24893" ht="15.75" customHeight="1">
      <c r="A24893" s="2" t="s">
        <v>24893</v>
      </c>
      <c r="B24893" s="2" t="str">
        <f>IFERROR(__xludf.DUMMYFUNCTION("GOOGLETRANSLATE(A24893, ""en"", ""mt"")"),"Tossiċità akuta ta 'ossiġnu")</f>
        <v>Tossiċità akuta ta 'ossiġnu</v>
      </c>
    </row>
    <row r="24894" ht="15.75" customHeight="1">
      <c r="A24894" s="2" t="s">
        <v>24894</v>
      </c>
      <c r="B24894" s="2" t="str">
        <f>IFERROR(__xludf.DUMMYFUNCTION("GOOGLETRANSLATE(A24894, ""en"", ""mt"")"),"Sekwenza stratigrafika")</f>
        <v>Sekwenza stratigrafika</v>
      </c>
    </row>
    <row r="24895" ht="15.75" customHeight="1">
      <c r="A24895" s="2" t="s">
        <v>24895</v>
      </c>
      <c r="B24895" s="2" t="str">
        <f>IFERROR(__xludf.DUMMYFUNCTION("GOOGLETRANSLATE(A24895, ""en"", ""mt"")"),"Linja ta '50 bitħa")</f>
        <v>Linja ta '50 bitħa</v>
      </c>
    </row>
    <row r="24896" ht="15.75" customHeight="1">
      <c r="A24896" s="2" t="s">
        <v>24896</v>
      </c>
      <c r="B24896" s="2" t="str">
        <f>IFERROR(__xludf.DUMMYFUNCTION("GOOGLETRANSLATE(A24896, ""en"", ""mt"")"),"Kemm hemm skejjel professjonali l-Università ta 'Chicago?")</f>
        <v>Kemm hemm skejjel professjonali l-Università ta 'Chicago?</v>
      </c>
    </row>
    <row r="24897" ht="15.75" customHeight="1">
      <c r="A24897" s="2" t="s">
        <v>24897</v>
      </c>
      <c r="B24897" s="2" t="str">
        <f>IFERROR(__xludf.DUMMYFUNCTION("GOOGLETRANSLATE(A24897, ""en"", ""mt"")"),"Hyde Park")</f>
        <v>Hyde Park</v>
      </c>
    </row>
    <row r="24898" ht="15.75" customHeight="1">
      <c r="A24898" s="2" t="s">
        <v>24898</v>
      </c>
      <c r="B24898" s="2" t="str">
        <f>IFERROR(__xludf.DUMMYFUNCTION("GOOGLETRANSLATE(A24898, ""en"", ""mt"")"),"X'tip ta 'mozzjoni pproduċiet kontinwament il-magna tal-fwar ta' Watt?")</f>
        <v>X'tip ta 'mozzjoni pproduċiet kontinwament il-magna tal-fwar ta' Watt?</v>
      </c>
    </row>
    <row r="24899" ht="15.75" customHeight="1">
      <c r="A24899" s="2" t="s">
        <v>24899</v>
      </c>
      <c r="B24899" s="2" t="str">
        <f>IFERROR(__xludf.DUMMYFUNCTION("GOOGLETRANSLATE(A24899, ""en"", ""mt"")"),"Battleships Dreadnought")</f>
        <v>Battleships Dreadnought</v>
      </c>
    </row>
    <row r="24900" ht="15.75" customHeight="1">
      <c r="A24900" s="2" t="s">
        <v>24900</v>
      </c>
      <c r="B24900" s="2" t="str">
        <f>IFERROR(__xludf.DUMMYFUNCTION("GOOGLETRANSLATE(A24900, ""en"", ""mt"")"),"Fl-2012, kemm grawnds ġew imsemmija bħala finalisti għall-akkoljenza ta 'Super Bowl 50 qabel ma ntgħażel l-istadium finali?")</f>
        <v>Fl-2012, kemm grawnds ġew imsemmija bħala finalisti għall-akkoljenza ta 'Super Bowl 50 qabel ma ntgħażel l-istadium finali?</v>
      </c>
    </row>
    <row r="24901" ht="15.75" customHeight="1">
      <c r="A24901" s="2" t="s">
        <v>24901</v>
      </c>
      <c r="B24901" s="2" t="str">
        <f>IFERROR(__xludf.DUMMYFUNCTION("GOOGLETRANSLATE(A24901, ""en"", ""mt"")"),"X'tip ta 'professjonist huwa meqjus bħala tekniku tal-ispiżerija?")</f>
        <v>X'tip ta 'professjonist huwa meqjus bħala tekniku tal-ispiżerija?</v>
      </c>
    </row>
    <row r="24902" ht="15.75" customHeight="1">
      <c r="A24902" s="2" t="s">
        <v>24902</v>
      </c>
      <c r="B24902" s="2" t="str">
        <f>IFERROR(__xludf.DUMMYFUNCTION("GOOGLETRANSLATE(A24902, ""en"", ""mt"")"),"Għaliex tgħallimhom jikbru l-piżelli?")</f>
        <v>Għaliex tgħallimhom jikbru l-piżelli?</v>
      </c>
    </row>
    <row r="24903" ht="15.75" customHeight="1">
      <c r="A24903" s="2" t="s">
        <v>24903</v>
      </c>
      <c r="B24903" s="2" t="str">
        <f>IFERROR(__xludf.DUMMYFUNCTION("GOOGLETRANSLATE(A24903, ""en"", ""mt"")"),"il-brutalità tiegħu")</f>
        <v>il-brutalità tiegħu</v>
      </c>
    </row>
    <row r="24904" ht="15.75" customHeight="1">
      <c r="A24904" s="2" t="s">
        <v>24904</v>
      </c>
      <c r="B24904" s="2" t="str">
        <f>IFERROR(__xludf.DUMMYFUNCTION("GOOGLETRANSLATE(A24904, ""en"", ""mt"")"),"Kemm nies imutu bil-pesta fi bliet fil-biċċa l-kbira popolati?")</f>
        <v>Kemm nies imutu bil-pesta fi bliet fil-biċċa l-kbira popolati?</v>
      </c>
    </row>
    <row r="24905" ht="15.75" customHeight="1">
      <c r="A24905" s="2" t="s">
        <v>24905</v>
      </c>
      <c r="B24905" s="2" t="str">
        <f>IFERROR(__xludf.DUMMYFUNCTION("GOOGLETRANSLATE(A24905, ""en"", ""mt"")"),"Li tgħawweġ il-grana u t-tilkojdi")</f>
        <v>Li tgħawweġ il-grana u t-tilkojdi</v>
      </c>
    </row>
    <row r="24906" ht="15.75" customHeight="1">
      <c r="A24906" s="2" t="s">
        <v>24906</v>
      </c>
      <c r="B24906" s="2" t="str">
        <f>IFERROR(__xludf.DUMMYFUNCTION("GOOGLETRANSLATE(A24906, ""en"", ""mt"")"),"Kemm dam biex l-istampar tat-teżijiet jinfirex il-Ġermanja?")</f>
        <v>Kemm dam biex l-istampar tat-teżijiet jinfirex il-Ġermanja?</v>
      </c>
    </row>
    <row r="24907" ht="15.75" customHeight="1">
      <c r="A24907" s="2" t="s">
        <v>24907</v>
      </c>
      <c r="B24907" s="2" t="str">
        <f>IFERROR(__xludf.DUMMYFUNCTION("GOOGLETRANSLATE(A24907, ""en"", ""mt"")"),"Pjanijiet tal-Gwerra Ingliża")</f>
        <v>Pjanijiet tal-Gwerra Ingliża</v>
      </c>
    </row>
    <row r="24908" ht="15.75" customHeight="1">
      <c r="A24908" s="2" t="s">
        <v>24908</v>
      </c>
      <c r="B24908" s="2" t="str">
        <f>IFERROR(__xludf.DUMMYFUNCTION("GOOGLETRANSLATE(A24908, ""en"", ""mt"")"),"L-iktar nazzjon ta 'suċċess tal-Afrika")</f>
        <v>L-iktar nazzjon ta 'suċċess tal-Afrika</v>
      </c>
    </row>
    <row r="24909" ht="15.75" customHeight="1">
      <c r="A24909" s="2" t="s">
        <v>24909</v>
      </c>
      <c r="B24909" s="2" t="str">
        <f>IFERROR(__xludf.DUMMYFUNCTION("GOOGLETRANSLATE(A24909, ""en"", ""mt"")"),"Liema vettura spazjali kien fiha dejta biex tiddetermina l-kontenut ta 'ossiġnu tax-xemx?")</f>
        <v>Liema vettura spazjali kien fiha dejta biex tiddetermina l-kontenut ta 'ossiġnu tax-xemx?</v>
      </c>
    </row>
    <row r="24910" ht="15.75" customHeight="1">
      <c r="A24910" s="2" t="s">
        <v>24910</v>
      </c>
      <c r="B24910" s="2" t="str">
        <f>IFERROR(__xludf.DUMMYFUNCTION("GOOGLETRANSLATE(A24910, ""en"", ""mt"")"),"Huguenots individwali stabbilixxew fil-Kap tat-Tama Tajba mill-1671 bil-wasla ta 'François Villion (Viljoen). L-ewwel Huguenot li tasal fil-Kap ta 'Good Hope kienet madankollu Maria de la Queillerie, il-mara tal-Kmandant Jan Van Riebeeck (u bint ministru "&amp;"tal-knisja tal-walloon), li waslet fis-6 ta' April 1652 biex tistabbilixxi ftehim dwar dak li hu llum Cape Town - Il-koppja telqet għal-Lvant Imbiegħed għaxar snin wara. Fil-31 ta 'Diċembru 1687 l-ewwel grupp organizzat ta' Huguenots waqqaf mill-Olanda sa"&amp;"l-Post tal-Kumpanija tal-Indja tal-Lvant Olandiża fil-Kap ta 'Good Hope. L-akbar porzjon tal-Huguenots li joqgħod fil-Kap wasal bejn l-1688 u l-1689 f'seba 'vapuri bħala parti mill-migrazzjoni organizzata, iżda ftit waslu ftit sa l-1700; Wara dan, in-numr"&amp;"i naqsu u l-gruppi żgħar biss waslu kull darba.")</f>
        <v>Huguenots individwali stabbilixxew fil-Kap tat-Tama Tajba mill-1671 bil-wasla ta 'François Villion (Viljoen). L-ewwel Huguenot li tasal fil-Kap ta 'Good Hope kienet madankollu Maria de la Queillerie, il-mara tal-Kmandant Jan Van Riebeeck (u bint ministru tal-knisja tal-walloon), li waslet fis-6 ta' April 1652 biex tistabbilixxi ftehim dwar dak li hu llum Cape Town - Il-koppja telqet għal-Lvant Imbiegħed għaxar snin wara. Fil-31 ta 'Diċembru 1687 l-ewwel grupp organizzat ta' Huguenots waqqaf mill-Olanda sal-Post tal-Kumpanija tal-Indja tal-Lvant Olandiża fil-Kap ta 'Good Hope. L-akbar porzjon tal-Huguenots li joqgħod fil-Kap wasal bejn l-1688 u l-1689 f'seba 'vapuri bħala parti mill-migrazzjoni organizzata, iżda ftit waslu ftit sa l-1700; Wara dan, in-numri naqsu u l-gruppi żgħar biss waslu kull darba.</v>
      </c>
    </row>
    <row r="24911" ht="15.75" customHeight="1">
      <c r="A24911" s="2" t="s">
        <v>24911</v>
      </c>
      <c r="B24911" s="2" t="str">
        <f>IFERROR(__xludf.DUMMYFUNCTION("GOOGLETRANSLATE(A24911, ""en"", ""mt"")"),"Kemm għandu għalliema full-time?")</f>
        <v>Kemm għandu għalliema full-time?</v>
      </c>
    </row>
    <row r="24912" ht="15.75" customHeight="1">
      <c r="A24912" s="2" t="s">
        <v>24912</v>
      </c>
      <c r="B24912" s="2" t="str">
        <f>IFERROR(__xludf.DUMMYFUNCTION("GOOGLETRANSLATE(A24912, ""en"", ""mt"")"),"VBNS installa waħda mill-ewwel produzzjoni ta ’links IP OC-48C (2.5 GBIT / S) fi Frar 1999 u kompliet taġġorna s-sinsla kollha għal OC-48C")</f>
        <v>VBNS installa waħda mill-ewwel produzzjoni ta ’links IP OC-48C (2.5 GBIT / S) fi Frar 1999 u kompliet taġġorna s-sinsla kollha għal OC-48C</v>
      </c>
    </row>
    <row r="24913" ht="15.75" customHeight="1">
      <c r="A24913" s="2" t="s">
        <v>24913</v>
      </c>
      <c r="B24913" s="2" t="str">
        <f>IFERROR(__xludf.DUMMYFUNCTION("GOOGLETRANSLATE(A24913, ""en"", ""mt"")"),"pigmenti aċċessorji li jwarrbu l-kuluri ħodor tal-klorofilla")</f>
        <v>pigmenti aċċessorji li jwarrbu l-kuluri ħodor tal-klorofilla</v>
      </c>
    </row>
    <row r="24914" ht="15.75" customHeight="1">
      <c r="A24914" s="2" t="s">
        <v>24914</v>
      </c>
      <c r="B24914" s="2" t="str">
        <f>IFERROR(__xludf.DUMMYFUNCTION("GOOGLETRANSLATE(A24914, ""en"", ""mt"")"),"l-istat (inklużi l-imħallfin)")</f>
        <v>l-istat (inklużi l-imħallfin)</v>
      </c>
    </row>
    <row r="24915" ht="15.75" customHeight="1">
      <c r="A24915" s="2" t="s">
        <v>24915</v>
      </c>
      <c r="B24915" s="2" t="str">
        <f>IFERROR(__xludf.DUMMYFUNCTION("GOOGLETRANSLATE(A24915, ""en"", ""mt"")"),"Tribujiet Mongoljani u Turkiċi")</f>
        <v>Tribujiet Mongoljani u Turkiċi</v>
      </c>
    </row>
    <row r="24916" ht="15.75" customHeight="1">
      <c r="A24916" s="2" t="s">
        <v>24916</v>
      </c>
      <c r="B24916" s="2" t="str">
        <f>IFERROR(__xludf.DUMMYFUNCTION("GOOGLETRANSLATE(A24916, ""en"", ""mt"")"),"Liema ekwazzjoni ħassret il-fiżika tal-forza qabel l-ekwazzjoni attwali ta 'Schrodinger?")</f>
        <v>Liema ekwazzjoni ħassret il-fiżika tal-forza qabel l-ekwazzjoni attwali ta 'Schrodinger?</v>
      </c>
    </row>
    <row r="24917" ht="15.75" customHeight="1">
      <c r="A24917" s="2" t="s">
        <v>24917</v>
      </c>
      <c r="B24917" s="2" t="str">
        <f>IFERROR(__xludf.DUMMYFUNCTION("GOOGLETRANSLATE(A24917, ""en"", ""mt"")"),"Abercynon")</f>
        <v>Abercynon</v>
      </c>
    </row>
    <row r="24918" ht="15.75" customHeight="1">
      <c r="A24918" s="2" t="s">
        <v>24918</v>
      </c>
      <c r="B24918" s="2" t="str">
        <f>IFERROR(__xludf.DUMMYFUNCTION("GOOGLETRANSLATE(A24918, ""en"", ""mt"")"),"X'inhi raġuni ewlenija li d-diżubbidjenza ċivili mhix rikonoxxuta?")</f>
        <v>X'inhi raġuni ewlenija li d-diżubbidjenza ċivili mhix rikonoxxuta?</v>
      </c>
    </row>
    <row r="24919" ht="15.75" customHeight="1">
      <c r="A24919" s="2" t="s">
        <v>24919</v>
      </c>
      <c r="B24919" s="2" t="str">
        <f>IFERROR(__xludf.DUMMYFUNCTION("GOOGLETRANSLATE(A24919, ""en"", ""mt"")"),"regolamenti u direttivi")</f>
        <v>regolamenti u direttivi</v>
      </c>
    </row>
    <row r="24920" ht="15.75" customHeight="1">
      <c r="A24920" s="2" t="s">
        <v>24920</v>
      </c>
      <c r="B24920" s="2" t="str">
        <f>IFERROR(__xludf.DUMMYFUNCTION("GOOGLETRANSLATE(A24920, ""en"", ""mt"")"),"Kap tal-Gvern")</f>
        <v>Kap tal-Gvern</v>
      </c>
    </row>
    <row r="24921" ht="15.75" customHeight="1">
      <c r="A24921" s="2" t="s">
        <v>24921</v>
      </c>
      <c r="B24921" s="2" t="str">
        <f>IFERROR(__xludf.DUMMYFUNCTION("GOOGLETRANSLATE(A24921, ""en"", ""mt"")"),"X'tip ta 'graff huwa eżempju ta' input użat fi problema ta 'deċiżjoni?")</f>
        <v>X'tip ta 'graff huwa eżempju ta' input użat fi problema ta 'deċiżjoni?</v>
      </c>
    </row>
    <row r="24922" ht="15.75" customHeight="1">
      <c r="A24922" s="2" t="s">
        <v>24922</v>
      </c>
      <c r="B24922" s="2" t="str">
        <f>IFERROR(__xludf.DUMMYFUNCTION("GOOGLETRANSLATE(A24922, ""en"", ""mt"")"),"li kull naħa hija kapaċi twettaq l-obbligi stabbiliti")</f>
        <v>li kull naħa hija kapaċi twettaq l-obbligi stabbiliti</v>
      </c>
    </row>
    <row r="24923" ht="15.75" customHeight="1">
      <c r="A24923" s="2" t="s">
        <v>24923</v>
      </c>
      <c r="B24923" s="2" t="str">
        <f>IFERROR(__xludf.DUMMYFUNCTION("GOOGLETRANSLATE(A24923, ""en"", ""mt"")"),"Nar tal-kċina")</f>
        <v>Nar tal-kċina</v>
      </c>
    </row>
    <row r="24924" ht="15.75" customHeight="1">
      <c r="A24924" s="2" t="s">
        <v>24924</v>
      </c>
      <c r="B24924" s="2" t="str">
        <f>IFERROR(__xludf.DUMMYFUNCTION("GOOGLETRANSLATE(A24924, ""en"", ""mt"")"),"Żoni kklerjati mill-foresta")</f>
        <v>Żoni kklerjati mill-foresta</v>
      </c>
    </row>
    <row r="24925" ht="15.75" customHeight="1">
      <c r="A24925" s="2" t="s">
        <v>24925</v>
      </c>
      <c r="B24925" s="2" t="str">
        <f>IFERROR(__xludf.DUMMYFUNCTION("GOOGLETRANSLATE(A24925, ""en"", ""mt"")"),"Il-blokka ""TGIF""")</f>
        <v>Il-blokka "TGIF"</v>
      </c>
    </row>
    <row r="24926" ht="15.75" customHeight="1">
      <c r="A24926" s="2" t="s">
        <v>24926</v>
      </c>
      <c r="B24926" s="2" t="str">
        <f>IFERROR(__xludf.DUMMYFUNCTION("GOOGLETRANSLATE(A24926, ""en"", ""mt"")"),"Għal liema skop l-organiżmi jagħmlu l-perossidu u s-superossidu?")</f>
        <v>Għal liema skop l-organiżmi jagħmlu l-perossidu u s-superossidu?</v>
      </c>
    </row>
    <row r="24927" ht="15.75" customHeight="1">
      <c r="A24927" s="2" t="s">
        <v>24927</v>
      </c>
      <c r="B24927" s="2" t="str">
        <f>IFERROR(__xludf.DUMMYFUNCTION("GOOGLETRANSLATE(A24927, ""en"", ""mt"")"),"X'inhu l-mace murija?")</f>
        <v>X'inhu l-mace murija?</v>
      </c>
    </row>
    <row r="24928" ht="15.75" customHeight="1">
      <c r="A24928" s="2" t="s">
        <v>24928</v>
      </c>
      <c r="B24928" s="2" t="str">
        <f>IFERROR(__xludf.DUMMYFUNCTION("GOOGLETRANSLATE(A24928, ""en"", ""mt"")"),"30.0%")</f>
        <v>30.0%</v>
      </c>
    </row>
    <row r="24929" ht="15.75" customHeight="1">
      <c r="A24929" s="2" t="s">
        <v>24929</v>
      </c>
      <c r="B24929" s="2" t="str">
        <f>IFERROR(__xludf.DUMMYFUNCTION("GOOGLETRANSLATE(A24929, ""en"", ""mt"")"),"ikomplu l-protesta tagħhom")</f>
        <v>ikomplu l-protesta tagħhom</v>
      </c>
    </row>
    <row r="24930" ht="15.75" customHeight="1">
      <c r="A24930" s="2" t="s">
        <v>24930</v>
      </c>
      <c r="B24930" s="2" t="str">
        <f>IFERROR(__xludf.DUMMYFUNCTION("GOOGLETRANSLATE(A24930, ""en"", ""mt"")"),"X'tip ta 'tabib speċjali min juri kull sena mill-2005?")</f>
        <v>X'tip ta 'tabib speċjali min juri kull sena mill-2005?</v>
      </c>
    </row>
    <row r="24931" ht="15.75" customHeight="1">
      <c r="A24931" s="2" t="s">
        <v>24931</v>
      </c>
      <c r="B24931" s="2" t="str">
        <f>IFERROR(__xludf.DUMMYFUNCTION("GOOGLETRANSLATE(A24931, ""en"", ""mt"")"),"Il-Panthers għelbu lil Seattle Seahawks fir-rawnd diviżjonali, imexxu vantaġġ ta '31 -0 f'ħin il-mistrieħ u mbagħad żammew attentat ta 'rimonta tat-tieni taqsima furious biex jirbħu 31-24, u jwarrbu l-eliminazzjoni tagħhom minn sena qabel. Il-Panthers imb"&amp;"agħad splodew il-Kardinali tal-Arizona fil-logħba tal-Kampjonat NFC, 49-15, ġabu 487 tarzna u ġiegħlu seba 'fatturat.")</f>
        <v>Il-Panthers għelbu lil Seattle Seahawks fir-rawnd diviżjonali, imexxu vantaġġ ta '31 -0 f'ħin il-mistrieħ u mbagħad żammew attentat ta 'rimonta tat-tieni taqsima furious biex jirbħu 31-24, u jwarrbu l-eliminazzjoni tagħhom minn sena qabel. Il-Panthers imbagħad splodew il-Kardinali tal-Arizona fil-logħba tal-Kampjonat NFC, 49-15, ġabu 487 tarzna u ġiegħlu seba 'fatturat.</v>
      </c>
    </row>
    <row r="24932" ht="15.75" customHeight="1">
      <c r="A24932" s="2" t="s">
        <v>24932</v>
      </c>
      <c r="B24932" s="2" t="str">
        <f>IFERROR(__xludf.DUMMYFUNCTION("GOOGLETRANSLATE(A24932, ""en"", ""mt"")"),"Ferrovija tal-Wied ta 'San Joaquin")</f>
        <v>Ferrovija tal-Wied ta 'San Joaquin</v>
      </c>
    </row>
    <row r="24933" ht="15.75" customHeight="1">
      <c r="A24933" s="2" t="s">
        <v>24933</v>
      </c>
      <c r="B24933" s="2" t="str">
        <f>IFERROR(__xludf.DUMMYFUNCTION("GOOGLETRANSLATE(A24933, ""en"", ""mt"")"),"2,500")</f>
        <v>2,500</v>
      </c>
    </row>
    <row r="24934" ht="15.75" customHeight="1">
      <c r="A24934" s="2" t="s">
        <v>24934</v>
      </c>
      <c r="B24934" s="2" t="str">
        <f>IFERROR(__xludf.DUMMYFUNCTION("GOOGLETRANSLATE(A24934, ""en"", ""mt"")"),"Trattat dwar il-funzjonament tal-Unjoni Ewropea")</f>
        <v>Trattat dwar il-funzjonament tal-Unjoni Ewropea</v>
      </c>
    </row>
    <row r="24935" ht="15.75" customHeight="1">
      <c r="A24935" s="2" t="s">
        <v>24935</v>
      </c>
      <c r="B24935" s="2" t="str">
        <f>IFERROR(__xludf.DUMMYFUNCTION("GOOGLETRANSLATE(A24935, ""en"", ""mt"")"),"Il-Ġappun ħa parti mill-Gżira Sakhalin")</f>
        <v>Il-Ġappun ħa parti mill-Gżira Sakhalin</v>
      </c>
    </row>
    <row r="24936" ht="15.75" customHeight="1">
      <c r="A24936" s="2" t="s">
        <v>24936</v>
      </c>
      <c r="B24936" s="2" t="str">
        <f>IFERROR(__xludf.DUMMYFUNCTION("GOOGLETRANSLATE(A24936, ""en"", ""mt"")"),"Liema tim ma kellux iċ-ċans li jiddefendi r-rebħa tagħhom tas-Super Bowl XLIX fis-Super Bowl 50?")</f>
        <v>Liema tim ma kellux iċ-ċans li jiddefendi r-rebħa tagħhom tas-Super Bowl XLIX fis-Super Bowl 50?</v>
      </c>
    </row>
    <row r="24937" ht="15.75" customHeight="1">
      <c r="A24937" s="2" t="s">
        <v>24937</v>
      </c>
      <c r="B24937" s="2" t="str">
        <f>IFERROR(__xludf.DUMMYFUNCTION("GOOGLETRANSLATE(A24937, ""en"", ""mt"")"),"Kif in-numru Prime P fil-postulat ta 'Bertrand huwa espress matematikament?")</f>
        <v>Kif in-numru Prime P fil-postulat ta 'Bertrand huwa espress matematikament?</v>
      </c>
    </row>
    <row r="24938" ht="15.75" customHeight="1">
      <c r="A24938" s="2" t="s">
        <v>24938</v>
      </c>
      <c r="B24938" s="2" t="str">
        <f>IFERROR(__xludf.DUMMYFUNCTION("GOOGLETRANSLATE(A24938, ""en"", ""mt"")"),"X'jiġri meta l-kapaċitajiet ta 'persuna Aer naqqsu, kif għandu x'jaqsam mad-dħul tagħha?")</f>
        <v>X'jiġri meta l-kapaċitajiet ta 'persuna Aer naqqsu, kif għandu x'jaqsam mad-dħul tagħha?</v>
      </c>
    </row>
    <row r="24939" ht="15.75" customHeight="1">
      <c r="A24939" s="2" t="s">
        <v>24939</v>
      </c>
      <c r="B24939" s="2" t="str">
        <f>IFERROR(__xludf.DUMMYFUNCTION("GOOGLETRANSLATE(A24939, ""en"", ""mt"")"),"Kumitati differenti għandhom dak li stipulaw b’modi differenti?")</f>
        <v>Kumitati differenti għandhom dak li stipulaw b’modi differenti?</v>
      </c>
    </row>
    <row r="24940" ht="15.75" customHeight="1">
      <c r="A24940" s="2" t="s">
        <v>24940</v>
      </c>
      <c r="B24940" s="2" t="str">
        <f>IFERROR(__xludf.DUMMYFUNCTION("GOOGLETRANSLATE(A24940, ""en"", ""mt"")"),"X'kienet ħalliet il-Gwerra Ċivili l-istat ta 'l-ekonomija ta' l-Afganistan?")</f>
        <v>X'kienet ħalliet il-Gwerra Ċivili l-istat ta 'l-ekonomija ta' l-Afganistan?</v>
      </c>
    </row>
    <row r="24941" ht="15.75" customHeight="1">
      <c r="A24941" s="2" t="s">
        <v>24941</v>
      </c>
      <c r="B24941" s="2" t="str">
        <f>IFERROR(__xludf.DUMMYFUNCTION("GOOGLETRANSLATE(A24941, ""en"", ""mt"")"),"varjat")</f>
        <v>varjat</v>
      </c>
    </row>
    <row r="24942" ht="15.75" customHeight="1">
      <c r="A24942" s="2" t="s">
        <v>24942</v>
      </c>
      <c r="B24942" s="2" t="str">
        <f>IFERROR(__xludf.DUMMYFUNCTION("GOOGLETRANSLATE(A24942, ""en"", ""mt"")"),"Liema satellita ppermettiet lil Sky Digital biex tniedi servizz diġitali ġdid kollu?")</f>
        <v>Liema satellita ppermettiet lil Sky Digital biex tniedi servizz diġitali ġdid kollu?</v>
      </c>
    </row>
    <row r="24943" ht="15.75" customHeight="1">
      <c r="A24943" s="2" t="s">
        <v>24943</v>
      </c>
      <c r="B24943" s="2" t="str">
        <f>IFERROR(__xludf.DUMMYFUNCTION("GOOGLETRANSLATE(A24943, ""en"", ""mt"")"),"Supretendent tal-Western Union")</f>
        <v>Supretendent tal-Western Union</v>
      </c>
    </row>
    <row r="24944" ht="15.75" customHeight="1">
      <c r="A24944" s="2" t="s">
        <v>24944</v>
      </c>
      <c r="B24944" s="2" t="str">
        <f>IFERROR(__xludf.DUMMYFUNCTION("GOOGLETRANSLATE(A24944, ""en"", ""mt"")"),"Att dwar l-Iskejjel tal-Afrika t'Isfel")</f>
        <v>Att dwar l-Iskejjel tal-Afrika t'Isfel</v>
      </c>
    </row>
    <row r="24945" ht="15.75" customHeight="1">
      <c r="A24945" s="2" t="s">
        <v>24945</v>
      </c>
      <c r="B24945" s="2" t="str">
        <f>IFERROR(__xludf.DUMMYFUNCTION("GOOGLETRANSLATE(A24945, ""en"", ""mt"")"),"Skylab")</f>
        <v>Skylab</v>
      </c>
    </row>
    <row r="24946" ht="15.75" customHeight="1">
      <c r="A24946" s="2" t="s">
        <v>24946</v>
      </c>
      <c r="B24946" s="2" t="str">
        <f>IFERROR(__xludf.DUMMYFUNCTION("GOOGLETRANSLATE(A24946, ""en"", ""mt"")"),"sakemm il-għanijiet ekonomiċi u politiċi tagħhom ġew sodisfatti")</f>
        <v>sakemm il-għanijiet ekonomiċi u politiċi tagħhom ġew sodisfatti</v>
      </c>
    </row>
    <row r="24947" ht="15.75" customHeight="1">
      <c r="A24947" s="2" t="s">
        <v>24947</v>
      </c>
      <c r="B24947" s="2" t="str">
        <f>IFERROR(__xludf.DUMMYFUNCTION("GOOGLETRANSLATE(A24947, ""en"", ""mt"")"),"miċħuda l-eżistenza ta '")</f>
        <v>miċħuda l-eżistenza ta '</v>
      </c>
    </row>
    <row r="24948" ht="15.75" customHeight="1">
      <c r="A24948" s="2" t="s">
        <v>24948</v>
      </c>
      <c r="B24948" s="2" t="str">
        <f>IFERROR(__xludf.DUMMYFUNCTION("GOOGLETRANSLATE(A24948, ""en"", ""mt"")"),"Singlet Oxygen huwa isem mogħti lil diversi speċi ta 'enerġija ogħla ta' o molekulari
2 li fih l-ispins kollha tal-elettroni huma mqabbla. Huwa ferm aktar reattiv lejn molekuli organiċi komuni milli huwa molekulari ossiġnu per se. Fin-natura, l-ossiġnu si"&amp;"nglet huwa komunement iffurmat mill-ilma waqt il-fotosintesi, bl-użu tal-enerġija tad-dawl tax-xemx. Huwa prodott ukoll fit-troposfera bil-fotolisi ta 'l-ożonu bid-dawl ta' tul ta 'mewġa qasira, u mis-sistema immunitarja bħala sors ta' ossiġnu attiv. Il-k"&amp;"arotenojdi f'organiżmi fotosintetiċi (u possibbilment ukoll f'annimali) għandhom rwol ewlieni fl-assorbiment tal-enerġija mill-ossiġnu singlet u jibdluha fl-istat tal-art mhux eżitat qabel ma jistgħu jikkawżaw ħsara lit-tessuti.")</f>
        <v>Singlet Oxygen huwa isem mogħti lil diversi speċi ta 'enerġija ogħla ta' o molekulari
2 li fih l-ispins kollha tal-elettroni huma mqabbla. Huwa ferm aktar reattiv lejn molekuli organiċi komuni milli huwa molekulari ossiġnu per se. Fin-natura, l-ossiġnu singlet huwa komunement iffurmat mill-ilma waqt il-fotosintesi, bl-użu tal-enerġija tad-dawl tax-xemx. Huwa prodott ukoll fit-troposfera bil-fotolisi ta 'l-ożonu bid-dawl ta' tul ta 'mewġa qasira, u mis-sistema immunitarja bħala sors ta' ossiġnu attiv. Il-karotenojdi f'organiżmi fotosintetiċi (u possibbilment ukoll f'annimali) għandhom rwol ewlieni fl-assorbiment tal-enerġija mill-ossiġnu singlet u jibdluha fl-istat tal-art mhux eżitat qabel ma jistgħu jikkawżaw ħsara lit-tessuti.</v>
      </c>
    </row>
    <row r="24949" ht="15.75" customHeight="1">
      <c r="A24949" s="2" t="s">
        <v>24949</v>
      </c>
      <c r="B24949" s="2" t="str">
        <f>IFERROR(__xludf.DUMMYFUNCTION("GOOGLETRANSLATE(A24949, ""en"", ""mt"")"),"Il-lingwa formali")</f>
        <v>Il-lingwa formali</v>
      </c>
    </row>
    <row r="24950" ht="15.75" customHeight="1">
      <c r="A24950" s="2" t="s">
        <v>24950</v>
      </c>
      <c r="B24950" s="2" t="str">
        <f>IFERROR(__xludf.DUMMYFUNCTION("GOOGLETRANSLATE(A24950, ""en"", ""mt"")"),"Peress li l-istudenti ma jħallsux tagħlim, x'għandhom iħallsu għall-iskola fir-Rabat?")</f>
        <v>Peress li l-istudenti ma jħallsux tagħlim, x'għandhom iħallsu għall-iskola fir-Rabat?</v>
      </c>
    </row>
    <row r="24951" ht="15.75" customHeight="1">
      <c r="A24951" s="2" t="s">
        <v>24951</v>
      </c>
      <c r="B24951" s="2" t="str">
        <f>IFERROR(__xludf.DUMMYFUNCTION("GOOGLETRANSLATE(A24951, ""en"", ""mt"")"),"Kemm kien stmat li l-proġett Apollo kien jiswa mill-1959 sal-1973, it-tul tal-programm?")</f>
        <v>Kemm kien stmat li l-proġett Apollo kien jiswa mill-1959 sal-1973, it-tul tal-programm?</v>
      </c>
    </row>
    <row r="24952" ht="15.75" customHeight="1">
      <c r="A24952" s="2" t="s">
        <v>24952</v>
      </c>
      <c r="B24952" s="2" t="str">
        <f>IFERROR(__xludf.DUMMYFUNCTION("GOOGLETRANSLATE(A24952, ""en"", ""mt"")"),"immuntat mill-ġdid")</f>
        <v>immuntat mill-ġdid</v>
      </c>
    </row>
    <row r="24953" ht="15.75" customHeight="1">
      <c r="A24953" s="2" t="s">
        <v>24953</v>
      </c>
      <c r="B24953" s="2" t="str">
        <f>IFERROR(__xludf.DUMMYFUNCTION("GOOGLETRANSLATE(A24953, ""en"", ""mt"")"),"Kemm-il darba ġie mkeċċi l-quarterback tal-Panthers?")</f>
        <v>Kemm-il darba ġie mkeċċi l-quarterback tal-Panthers?</v>
      </c>
    </row>
    <row r="24954" ht="15.75" customHeight="1">
      <c r="A24954" s="2" t="s">
        <v>24954</v>
      </c>
      <c r="B24954" s="2" t="str">
        <f>IFERROR(__xludf.DUMMYFUNCTION("GOOGLETRANSLATE(A24954, ""en"", ""mt"")"),"X’kisponiet il-liċenzja biex tibni dan it-tip ta ’karozza fl-2011?")</f>
        <v>X’kisponiet il-liċenzja biex tibni dan it-tip ta ’karozza fl-2011?</v>
      </c>
    </row>
    <row r="24955" ht="15.75" customHeight="1">
      <c r="A24955" s="2" t="s">
        <v>24955</v>
      </c>
      <c r="B24955" s="2" t="str">
        <f>IFERROR(__xludf.DUMMYFUNCTION("GOOGLETRANSLATE(A24955, ""en"", ""mt"")"),"tagħti lil ħuha Polynices dfin xieraq.")</f>
        <v>tagħti lil ħuha Polynices dfin xieraq.</v>
      </c>
    </row>
    <row r="24956" ht="15.75" customHeight="1">
      <c r="A24956" s="2" t="s">
        <v>24956</v>
      </c>
      <c r="B24956" s="2" t="str">
        <f>IFERROR(__xludf.DUMMYFUNCTION("GOOGLETRANSLATE(A24956, ""en"", ""mt"")"),"X'tip ta 'sensittività eċċessiva hija assoċjata ma' allerġiji?")</f>
        <v>X'tip ta 'sensittività eċċessiva hija assoċjata ma' allerġiji?</v>
      </c>
    </row>
    <row r="24957" ht="15.75" customHeight="1">
      <c r="A24957" s="2" t="s">
        <v>24957</v>
      </c>
      <c r="B24957" s="2" t="str">
        <f>IFERROR(__xludf.DUMMYFUNCTION("GOOGLETRANSLATE(A24957, ""en"", ""mt"")"),"X'jagħmlu David Castlles-Quintana u Vicente Royuela għal għajxien?")</f>
        <v>X'jagħmlu David Castlles-Quintana u Vicente Royuela għal għajxien?</v>
      </c>
    </row>
    <row r="24958" ht="15.75" customHeight="1">
      <c r="A24958" s="2" t="s">
        <v>24958</v>
      </c>
      <c r="B24958" s="2" t="str">
        <f>IFERROR(__xludf.DUMMYFUNCTION("GOOGLETRANSLATE(A24958, ""en"", ""mt"")"),"Aqta 'bin-nofs")</f>
        <v>Aqta 'bin-nofs</v>
      </c>
    </row>
    <row r="24959" ht="15.75" customHeight="1">
      <c r="A24959" s="2" t="s">
        <v>24959</v>
      </c>
      <c r="B24959" s="2" t="str">
        <f>IFERROR(__xludf.DUMMYFUNCTION("GOOGLETRANSLATE(A24959, ""en"", ""mt"")"),"L-imperjalizmu tal-Punent qassam il-globu skont liema teorija?")</f>
        <v>L-imperjalizmu tal-Punent qassam il-globu skont liema teorija?</v>
      </c>
    </row>
    <row r="24960" ht="15.75" customHeight="1">
      <c r="A24960" s="2" t="s">
        <v>24960</v>
      </c>
      <c r="B24960" s="2" t="str">
        <f>IFERROR(__xludf.DUMMYFUNCTION("GOOGLETRANSLATE(A24960, ""en"", ""mt"")"),"Ħafna problemi importanti jistgħu jintwerew li għandhom soluzzjonijiet aktar effiċjenti")</f>
        <v>Ħafna problemi importanti jistgħu jintwerew li għandhom soluzzjonijiet aktar effiċjenti</v>
      </c>
    </row>
    <row r="24961" ht="15.75" customHeight="1">
      <c r="A24961" s="2" t="s">
        <v>24961</v>
      </c>
      <c r="B24961" s="2" t="str">
        <f>IFERROR(__xludf.DUMMYFUNCTION("GOOGLETRANSLATE(A24961, ""en"", ""mt"")"),"Vultaġġ għoli")</f>
        <v>Vultaġġ għoli</v>
      </c>
    </row>
    <row r="24962" ht="15.75" customHeight="1">
      <c r="A24962" s="2" t="s">
        <v>24962</v>
      </c>
      <c r="B24962" s="2" t="str">
        <f>IFERROR(__xludf.DUMMYFUNCTION("GOOGLETRANSLATE(A24962, ""en"", ""mt"")"),"Il-prospett ta 'liema avveniment ġiegħel il-protezzjoni ta' skejjel privati ​​Ġermaniżi?")</f>
        <v>Il-prospett ta 'liema avveniment ġiegħel il-protezzjoni ta' skejjel privati ​​Ġermaniżi?</v>
      </c>
    </row>
    <row r="24963" ht="15.75" customHeight="1">
      <c r="A24963" s="2" t="s">
        <v>24963</v>
      </c>
      <c r="B24963" s="2" t="str">
        <f>IFERROR(__xludf.DUMMYFUNCTION("GOOGLETRANSLATE(A24963, ""en"", ""mt"")"),"annimali taċ-ċinturin")</f>
        <v>annimali taċ-ċinturin</v>
      </c>
    </row>
    <row r="24964" ht="15.75" customHeight="1">
      <c r="A24964" s="2" t="s">
        <v>24964</v>
      </c>
      <c r="B24964" s="2" t="str">
        <f>IFERROR(__xludf.DUMMYFUNCTION("GOOGLETRANSLATE(A24964, ""en"", ""mt"")"),"Interkonnessjoni tan-Netwerks Nazzjonali X.25")</f>
        <v>Interkonnessjoni tan-Netwerks Nazzjonali X.25</v>
      </c>
    </row>
    <row r="24965" ht="15.75" customHeight="1">
      <c r="A24965" s="2" t="s">
        <v>24965</v>
      </c>
      <c r="B24965" s="2" t="str">
        <f>IFERROR(__xludf.DUMMYFUNCTION("GOOGLETRANSLATE(A24965, ""en"", ""mt"")"),"""tqassar il-cutoff""")</f>
        <v>"tqassar il-cutoff"</v>
      </c>
    </row>
    <row r="24966" ht="15.75" customHeight="1">
      <c r="A24966" s="2" t="s">
        <v>24966</v>
      </c>
      <c r="B24966" s="2" t="str">
        <f>IFERROR(__xludf.DUMMYFUNCTION("GOOGLETRANSLATE(A24966, ""en"", ""mt"")"),"Serje 3")</f>
        <v>Serje 3</v>
      </c>
    </row>
    <row r="24967" ht="15.75" customHeight="1">
      <c r="A24967" s="2" t="s">
        <v>24967</v>
      </c>
      <c r="B24967" s="2" t="str">
        <f>IFERROR(__xludf.DUMMYFUNCTION("GOOGLETRANSLATE(A24967, ""en"", ""mt"")"),"Territorju fil-Lvant tal-Mississippi")</f>
        <v>Territorju fil-Lvant tal-Mississippi</v>
      </c>
    </row>
    <row r="24968" ht="15.75" customHeight="1">
      <c r="A24968" s="2" t="s">
        <v>24968</v>
      </c>
      <c r="B24968" s="2" t="str">
        <f>IFERROR(__xludf.DUMMYFUNCTION("GOOGLETRANSLATE(A24968, ""en"", ""mt"")"),"10% tal-ħwienet tal-karbonju")</f>
        <v>10% tal-ħwienet tal-karbonju</v>
      </c>
    </row>
    <row r="24969" ht="15.75" customHeight="1">
      <c r="A24969" s="2" t="s">
        <v>24969</v>
      </c>
      <c r="B24969" s="2" t="str">
        <f>IFERROR(__xludf.DUMMYFUNCTION("GOOGLETRANSLATE(A24969, ""en"", ""mt"")"),"Fejn kienet tinfirex il-marda bejn l-1348 u l-1350?")</f>
        <v>Fejn kienet tinfirex il-marda bejn l-1348 u l-1350?</v>
      </c>
    </row>
    <row r="24970" ht="15.75" customHeight="1">
      <c r="A24970" s="2" t="s">
        <v>24970</v>
      </c>
      <c r="B24970" s="2" t="str">
        <f>IFERROR(__xludf.DUMMYFUNCTION("GOOGLETRANSLATE(A24970, ""en"", ""mt"")"),"Imperjalizmu")</f>
        <v>Imperjalizmu</v>
      </c>
    </row>
    <row r="24971" ht="15.75" customHeight="1">
      <c r="A24971" s="2" t="s">
        <v>24971</v>
      </c>
      <c r="B24971" s="2" t="str">
        <f>IFERROR(__xludf.DUMMYFUNCTION("GOOGLETRANSLATE(A24971, ""en"", ""mt"")"),"$ 12-il biljun")</f>
        <v>$ 12-il biljun</v>
      </c>
    </row>
    <row r="24972" ht="15.75" customHeight="1">
      <c r="A24972" s="2" t="s">
        <v>24972</v>
      </c>
      <c r="B24972" s="2" t="str">
        <f>IFERROR(__xludf.DUMMYFUNCTION("GOOGLETRANSLATE(A24972, ""en"", ""mt"")"),"par ta 'tentakli twal u rqaq")</f>
        <v>par ta 'tentakli twal u rqaq</v>
      </c>
    </row>
    <row r="24973" ht="15.75" customHeight="1">
      <c r="A24973" s="2" t="s">
        <v>24973</v>
      </c>
      <c r="B24973" s="2" t="str">
        <f>IFERROR(__xludf.DUMMYFUNCTION("GOOGLETRANSLATE(A24973, ""en"", ""mt"")"),"aktar minn 900,000")</f>
        <v>aktar minn 900,000</v>
      </c>
    </row>
    <row r="24974" ht="15.75" customHeight="1">
      <c r="A24974" s="2" t="s">
        <v>24974</v>
      </c>
      <c r="B24974" s="2" t="str">
        <f>IFERROR(__xludf.DUMMYFUNCTION("GOOGLETRANSLATE(A24974, ""en"", ""mt"")"),"Alka ħadra derivata")</f>
        <v>Alka ħadra derivata</v>
      </c>
    </row>
    <row r="24975" ht="15.75" customHeight="1">
      <c r="A24975" s="2" t="s">
        <v>24975</v>
      </c>
      <c r="B24975" s="2" t="str">
        <f>IFERROR(__xludf.DUMMYFUNCTION("GOOGLETRANSLATE(A24975, ""en"", ""mt"")"),"piena kapitali")</f>
        <v>piena kapitali</v>
      </c>
    </row>
    <row r="24976" ht="15.75" customHeight="1">
      <c r="A24976" s="2" t="s">
        <v>24976</v>
      </c>
      <c r="B24976" s="2" t="str">
        <f>IFERROR(__xludf.DUMMYFUNCTION("GOOGLETRANSLATE(A24976, ""en"", ""mt"")"),"Aqra materjal tal-lezzjonijiet")</f>
        <v>Aqra materjal tal-lezzjonijiet</v>
      </c>
    </row>
    <row r="24977" ht="15.75" customHeight="1">
      <c r="A24977" s="2" t="s">
        <v>24977</v>
      </c>
      <c r="B24977" s="2" t="str">
        <f>IFERROR(__xludf.DUMMYFUNCTION("GOOGLETRANSLATE(A24977, ""en"", ""mt"")"),"Min jista 'jieħu azzjoni dixxiplinarja kontra għalliem?")</f>
        <v>Min jista 'jieħu azzjoni dixxiplinarja kontra għalliem?</v>
      </c>
    </row>
    <row r="24978" ht="15.75" customHeight="1">
      <c r="A24978" s="2" t="s">
        <v>24978</v>
      </c>
      <c r="B24978" s="2" t="str">
        <f>IFERROR(__xludf.DUMMYFUNCTION("GOOGLETRANSLATE(A24978, ""en"", ""mt"")"),"Miżżewweġ barra l-komunitajiet Franċiżi immedjati tagħhom")</f>
        <v>Miżżewweġ barra l-komunitajiet Franċiżi immedjati tagħhom</v>
      </c>
    </row>
    <row r="24979" ht="15.75" customHeight="1">
      <c r="A24979" s="2" t="s">
        <v>24979</v>
      </c>
      <c r="B24979" s="2" t="str">
        <f>IFERROR(__xludf.DUMMYFUNCTION("GOOGLETRANSLATE(A24979, ""en"", ""mt"")"),"Agricola x’kienet apparentement emmnet dwar min għandu jkun fil-liġi tal-kontroll?")</f>
        <v>Agricola x’kienet apparentement emmnet dwar min għandu jkun fil-liġi tal-kontroll?</v>
      </c>
    </row>
    <row r="24980" ht="15.75" customHeight="1">
      <c r="A24980" s="2" t="s">
        <v>24980</v>
      </c>
      <c r="B24980" s="2" t="str">
        <f>IFERROR(__xludf.DUMMYFUNCTION("GOOGLETRANSLATE(A24980, ""en"", ""mt"")"),"Opinjonijiet Luterani,")</f>
        <v>Opinjonijiet Luterani,</v>
      </c>
    </row>
    <row r="24981" ht="15.75" customHeight="1">
      <c r="A24981" s="2" t="s">
        <v>24981</v>
      </c>
      <c r="B24981" s="2" t="str">
        <f>IFERROR(__xludf.DUMMYFUNCTION("GOOGLETRANSLATE(A24981, ""en"", ""mt"")"),"X'tip ta 'friefet il-lejl li jgħix fil-foresta tropikali tal-Amazon jista' jinfirex ir-rabbja?")</f>
        <v>X'tip ta 'friefet il-lejl li jgħix fil-foresta tropikali tal-Amazon jista' jinfirex ir-rabbja?</v>
      </c>
    </row>
    <row r="24982" ht="15.75" customHeight="1">
      <c r="A24982" s="2" t="s">
        <v>24982</v>
      </c>
      <c r="B24982" s="2" t="str">
        <f>IFERROR(__xludf.DUMMYFUNCTION("GOOGLETRANSLATE(A24982, ""en"", ""mt"")"),"Hemm xi kunċetti żbaljati komuni dwar il-membrani ta 'barra u ta' ġewwa tal-kloroplast. Il-fatt li l-kloroplasti huma mdawra minn membrana doppja ħafna drabi huwa kkwotat bħala evidenza li huma d-dixxendenti ta 'ċjanobatterji endosimbjotiċi. Dan spiss jiġ"&amp;"i interpretat bħala li jfisser li l-membrana tal-kloroplast ta 'barra hija l-prodott tal-membrana taċ-ċellula tal-ospitanti li tinfetaħ biex tifforma vesicle biex tdawwar l-antenat Cyanobacterium - li mhux veru - iż-żewġ membrani tal-kloroplast huma omolo"&amp;"gi għall-membrani doppji oriġinali ta' Cyanobacterium.")</f>
        <v>Hemm xi kunċetti żbaljati komuni dwar il-membrani ta 'barra u ta' ġewwa tal-kloroplast. Il-fatt li l-kloroplasti huma mdawra minn membrana doppja ħafna drabi huwa kkwotat bħala evidenza li huma d-dixxendenti ta 'ċjanobatterji endosimbjotiċi. Dan spiss jiġi interpretat bħala li jfisser li l-membrana tal-kloroplast ta 'barra hija l-prodott tal-membrana taċ-ċellula tal-ospitanti li tinfetaħ biex tifforma vesicle biex tdawwar l-antenat Cyanobacterium - li mhux veru - iż-żewġ membrani tal-kloroplast huma omologi għall-membrani doppji oriġinali ta' Cyanobacterium.</v>
      </c>
    </row>
    <row r="24983" ht="15.75" customHeight="1">
      <c r="A24983" s="2" t="s">
        <v>24983</v>
      </c>
      <c r="B24983" s="2" t="str">
        <f>IFERROR(__xludf.DUMMYFUNCTION("GOOGLETRANSLATE(A24983, ""en"", ""mt"")"),"X'ħin normalment ikollhom te?")</f>
        <v>X'ħin normalment ikollhom te?</v>
      </c>
    </row>
    <row r="24984" ht="15.75" customHeight="1">
      <c r="A24984" s="2" t="s">
        <v>24984</v>
      </c>
      <c r="B24984" s="2" t="str">
        <f>IFERROR(__xludf.DUMMYFUNCTION("GOOGLETRANSLATE(A24984, ""en"", ""mt"")"),"Ġeneraturi ta 'ossiġnu kimiku")</f>
        <v>Ġeneraturi ta 'ossiġnu kimiku</v>
      </c>
    </row>
    <row r="24985" ht="15.75" customHeight="1">
      <c r="A24985" s="2" t="s">
        <v>24985</v>
      </c>
      <c r="B24985" s="2" t="str">
        <f>IFERROR(__xludf.DUMMYFUNCTION("GOOGLETRANSLATE(A24985, ""en"", ""mt"")"),"Liema mekkaniżmu jiċċaqlaq il-faħam minn bunker għall-firebox?")</f>
        <v>Liema mekkaniżmu jiċċaqlaq il-faħam minn bunker għall-firebox?</v>
      </c>
    </row>
    <row r="24986" ht="15.75" customHeight="1">
      <c r="A24986" s="2" t="s">
        <v>24986</v>
      </c>
      <c r="B24986" s="2" t="str">
        <f>IFERROR(__xludf.DUMMYFUNCTION("GOOGLETRANSLATE(A24986, ""en"", ""mt"")"),"Min kompla t-Tabib Min Mużika Inċidentali mill-2005?")</f>
        <v>Min kompla t-Tabib Min Mużika Inċidentali mill-2005?</v>
      </c>
    </row>
    <row r="24987" ht="15.75" customHeight="1">
      <c r="A24987" s="2" t="s">
        <v>24987</v>
      </c>
      <c r="B24987" s="2" t="str">
        <f>IFERROR(__xludf.DUMMYFUNCTION("GOOGLETRANSLATE(A24987, ""en"", ""mt"")"),"Mit-Trattat ta 'Ruma 1957")</f>
        <v>Mit-Trattat ta 'Ruma 1957</v>
      </c>
    </row>
    <row r="24988" ht="15.75" customHeight="1">
      <c r="A24988" s="2" t="s">
        <v>24988</v>
      </c>
      <c r="B24988" s="2" t="str">
        <f>IFERROR(__xludf.DUMMYFUNCTION("GOOGLETRANSLATE(A24988, ""en"", ""mt"")"),"tifforma sħubijiet kummerċjali ma 'tobba")</f>
        <v>tifforma sħubijiet kummerċjali ma 'tobba</v>
      </c>
    </row>
    <row r="24989" ht="15.75" customHeight="1">
      <c r="A24989" s="2" t="s">
        <v>24989</v>
      </c>
      <c r="B24989" s="2" t="str">
        <f>IFERROR(__xludf.DUMMYFUNCTION("GOOGLETRANSLATE(A24989, ""en"", ""mt"")"),"F'liema sena kien l-20 anniversarju Speċjali imxandar?")</f>
        <v>F'liema sena kien l-20 anniversarju Speċjali imxandar?</v>
      </c>
    </row>
    <row r="24990" ht="15.75" customHeight="1">
      <c r="A24990" s="2" t="s">
        <v>24990</v>
      </c>
      <c r="B24990" s="2" t="str">
        <f>IFERROR(__xludf.DUMMYFUNCTION("GOOGLETRANSLATE(A24990, ""en"", ""mt"")"),"Lulju 2015")</f>
        <v>Lulju 2015</v>
      </c>
    </row>
    <row r="24991" ht="15.75" customHeight="1">
      <c r="A24991" s="2" t="s">
        <v>24991</v>
      </c>
      <c r="B24991" s="2" t="str">
        <f>IFERROR(__xludf.DUMMYFUNCTION("GOOGLETRANSLATE(A24991, ""en"", ""mt"")"),"tard fl-1886")</f>
        <v>tard fl-1886</v>
      </c>
    </row>
    <row r="24992" ht="15.75" customHeight="1">
      <c r="A24992" s="2" t="s">
        <v>24992</v>
      </c>
      <c r="B24992" s="2" t="str">
        <f>IFERROR(__xludf.DUMMYFUNCTION("GOOGLETRANSLATE(A24992, ""en"", ""mt"")"),"Wara r-revoka tal-editt ta 'Nantes, ir-Repubblika Olandiża rċeviet l-akbar grupp ta' refuġjati Huguenot, total stmat ta '75,000 sa 100,000 persuna. Fost dawn kien hemm 200 kleru. Ħafna ġew mir-reġjun ta 'Cévennes, pereżempju, il-villaġġ ta' Fraissinet-de-"&amp;"Lozère. Dan kien influss enormi peress li l-popolazzjoni kollha tar-repubblika Olandiża kienet tammonta għal ca. 2 miljun dak iż-żmien. Madwar l-1700, huwa stmat li kważi 25% tal-popolazzjoni ta 'Amsterdam kienet Huguenot. [Ċitazzjoni meħtieġa] fl-1705, A"&amp;"msterdam u ż-żona ta' West Frisia kienu l-ewwel żoni li pprovdew drittijiet sħaħ liċ-ċittadini għall-immigranti Huguenot, segwiti mir-Repubblika Olandiża fi 1715. Huguenots żarmat mal-Olandiż mill-bidu.")</f>
        <v>Wara r-revoka tal-editt ta 'Nantes, ir-Repubblika Olandiża rċeviet l-akbar grupp ta' refuġjati Huguenot, total stmat ta '75,000 sa 100,000 persuna. Fost dawn kien hemm 200 kleru. Ħafna ġew mir-reġjun ta 'Cévennes, pereżempju, il-villaġġ ta' Fraissinet-de-Lozère. Dan kien influss enormi peress li l-popolazzjoni kollha tar-repubblika Olandiża kienet tammonta għal ca. 2 miljun dak iż-żmien. Madwar l-1700, huwa stmat li kważi 25% tal-popolazzjoni ta 'Amsterdam kienet Huguenot. [Ċitazzjoni meħtieġa] fl-1705, Amsterdam u ż-żona ta' West Frisia kienu l-ewwel żoni li pprovdew drittijiet sħaħ liċ-ċittadini għall-immigranti Huguenot, segwiti mir-Repubblika Olandiża fi 1715. Huguenots żarmat mal-Olandiż mill-bidu.</v>
      </c>
    </row>
    <row r="24993" ht="15.75" customHeight="1">
      <c r="A24993" s="2" t="s">
        <v>24993</v>
      </c>
      <c r="B24993" s="2" t="str">
        <f>IFERROR(__xludf.DUMMYFUNCTION("GOOGLETRANSLATE(A24993, ""en"", ""mt"")"),"Duka Richard II")</f>
        <v>Duka Richard II</v>
      </c>
    </row>
    <row r="24994" ht="15.75" customHeight="1">
      <c r="A24994" s="2" t="s">
        <v>24994</v>
      </c>
      <c r="B24994" s="2" t="str">
        <f>IFERROR(__xludf.DUMMYFUNCTION("GOOGLETRANSLATE(A24994, ""en"", ""mt"")"),"X'inhu kkunsmat kemm fil-kombustjoni kif ukoll fir-respirazzjoni?")</f>
        <v>X'inhu kkunsmat kemm fil-kombustjoni kif ukoll fir-respirazzjoni?</v>
      </c>
    </row>
    <row r="24995" ht="15.75" customHeight="1">
      <c r="A24995" s="2" t="s">
        <v>24995</v>
      </c>
      <c r="B24995" s="2" t="str">
        <f>IFERROR(__xludf.DUMMYFUNCTION("GOOGLETRANSLATE(A24995, ""en"", ""mt"")"),"7.8%")</f>
        <v>7.8%</v>
      </c>
    </row>
    <row r="24996" ht="15.75" customHeight="1">
      <c r="A24996" s="2" t="s">
        <v>24996</v>
      </c>
      <c r="B24996" s="2" t="str">
        <f>IFERROR(__xludf.DUMMYFUNCTION("GOOGLETRANSLATE(A24996, ""en"", ""mt"")"),"Wara l-1935, min ikun projbit li jidħol f'Rhineland?")</f>
        <v>Wara l-1935, min ikun projbit li jidħol f'Rhineland?</v>
      </c>
    </row>
    <row r="24997" ht="15.75" customHeight="1">
      <c r="A24997" s="2" t="s">
        <v>24997</v>
      </c>
      <c r="B24997" s="2" t="str">
        <f>IFERROR(__xludf.DUMMYFUNCTION("GOOGLETRANSLATE(A24997, ""en"", ""mt"")"),"Liema bliet Irlandiżi kellhom enklavi kbar ta 'Huguenot?")</f>
        <v>Liema bliet Irlandiżi kellhom enklavi kbar ta 'Huguenot?</v>
      </c>
    </row>
    <row r="24998" ht="15.75" customHeight="1">
      <c r="A24998" s="2" t="s">
        <v>24998</v>
      </c>
      <c r="B24998" s="2" t="str">
        <f>IFERROR(__xludf.DUMMYFUNCTION("GOOGLETRANSLATE(A24998, ""en"", ""mt"")"),"X'inhu l-isem tal-korp tal-ilma li jinstab lejn il-lvant?")</f>
        <v>X'inhu l-isem tal-korp tal-ilma li jinstab lejn il-lvant?</v>
      </c>
    </row>
    <row r="24999" ht="15.75" customHeight="1">
      <c r="A24999" s="2" t="s">
        <v>24999</v>
      </c>
      <c r="B24999" s="2" t="str">
        <f>IFERROR(__xludf.DUMMYFUNCTION("GOOGLETRANSLATE(A24999, ""en"", ""mt"")"),"L-obeżità, l-alkoħoliżmu, u l-użu tad-droga")</f>
        <v>L-obeżità, l-alkoħoliżmu, u l-użu tad-droga</v>
      </c>
    </row>
    <row r="25000" ht="15.75" customHeight="1">
      <c r="A25000" s="2" t="s">
        <v>25000</v>
      </c>
      <c r="B25000" s="2" t="str">
        <f>IFERROR(__xludf.DUMMYFUNCTION("GOOGLETRANSLATE(A25000, ""en"", ""mt"")"),"kloroplast li fih il-phycobilin")</f>
        <v>kloroplast li fih il-phycobilin</v>
      </c>
    </row>
    <row r="25001" ht="15.75" customHeight="1">
      <c r="A25001" s="2" t="s">
        <v>25001</v>
      </c>
      <c r="B25001" s="2" t="str">
        <f>IFERROR(__xludf.DUMMYFUNCTION("GOOGLETRANSLATE(A25001, ""en"", ""mt"")"),"valur miżjud minn klassifikazzjonijiet differenti tal-ħaddiema")</f>
        <v>valur miżjud minn klassifikazzjonijiet differenti tal-ħaddiema</v>
      </c>
    </row>
    <row r="25002" ht="15.75" customHeight="1">
      <c r="A25002" s="2" t="s">
        <v>25002</v>
      </c>
      <c r="B25002" s="2" t="str">
        <f>IFERROR(__xludf.DUMMYFUNCTION("GOOGLETRANSLATE(A25002, ""en"", ""mt"")"),"Sweetgum Amerikan")</f>
        <v>Sweetgum Amerikan</v>
      </c>
    </row>
    <row r="25003" ht="15.75" customHeight="1">
      <c r="A25003" s="2" t="s">
        <v>25003</v>
      </c>
      <c r="B25003" s="2" t="str">
        <f>IFERROR(__xludf.DUMMYFUNCTION("GOOGLETRANSLATE(A25003, ""en"", ""mt"")"),"Christian Whiton")</f>
        <v>Christian Whiton</v>
      </c>
    </row>
    <row r="25004" ht="15.75" customHeight="1">
      <c r="A25004" s="2" t="s">
        <v>25004</v>
      </c>
      <c r="B25004" s="2" t="str">
        <f>IFERROR(__xludf.DUMMYFUNCTION("GOOGLETRANSLATE(A25004, ""en"", ""mt"")"),"Sky UK Limited (li qabel kienet British Sky Broadcasting jew BSKYB) hija kumpanija Ingliża tat-telekomunikazzjoni li sservi r-Renju Unit. Sky jipprovdi servizzi tal-internet tat-televiżjoni u tal-broadband u servizzi tat-telefon tal-linja fissa lill-konsu"&amp;"maturi u n-negozji fir-Renju Unit. Huwa l-ikbar xandar tat-TV Pay tar-Renju Unit bi 11-il miljun klijent mill-2015. Kien is-servizz tat-TV diġitali l-aktar popolari tar-Renju Unit sakemm inqabeż minn Freeview f'April 2007. Il-kwartieri ġenerali korporatti"&amp;"vi tiegħu huma bbażati f'Isleworth.")</f>
        <v>Sky UK Limited (li qabel kienet British Sky Broadcasting jew BSKYB) hija kumpanija Ingliża tat-telekomunikazzjoni li sservi r-Renju Unit. Sky jipprovdi servizzi tal-internet tat-televiżjoni u tal-broadband u servizzi tat-telefon tal-linja fissa lill-konsumaturi u n-negozji fir-Renju Unit. Huwa l-ikbar xandar tat-TV Pay tar-Renju Unit bi 11-il miljun klijent mill-2015. Kien is-servizz tat-TV diġitali l-aktar popolari tar-Renju Unit sakemm inqabeż minn Freeview f'April 2007. Il-kwartieri ġenerali korporattivi tiegħu huma bbażati f'Isleworth.</v>
      </c>
    </row>
    <row r="25005" ht="15.75" customHeight="1">
      <c r="A25005" s="2" t="s">
        <v>25005</v>
      </c>
      <c r="B25005" s="2" t="str">
        <f>IFERROR(__xludf.DUMMYFUNCTION("GOOGLETRANSLATE(A25005, ""en"", ""mt"")"),"WBMA-LD")</f>
        <v>WBMA-LD</v>
      </c>
    </row>
    <row r="25006" ht="15.75" customHeight="1">
      <c r="A25006" s="2" t="s">
        <v>25006</v>
      </c>
      <c r="B25006" s="2" t="str">
        <f>IFERROR(__xludf.DUMMYFUNCTION("GOOGLETRANSLATE(A25006, ""en"", ""mt"")"),"Microsoft x’ħabbret li se tibdel l-isem ta ’Sky Drive Pro?")</f>
        <v>Microsoft x’ħabbret li se tibdel l-isem ta ’Sky Drive Pro?</v>
      </c>
    </row>
    <row r="25007" ht="15.75" customHeight="1">
      <c r="A25007" s="2" t="s">
        <v>25007</v>
      </c>
      <c r="B25007" s="2" t="str">
        <f>IFERROR(__xludf.DUMMYFUNCTION("GOOGLETRANSLATE(A25007, ""en"", ""mt"")"),"Min iddisinja l-limitu u t-twieqi tal-ħġieġ imtebba 'tal-kamra tal-pranzu aħdar?")</f>
        <v>Min iddisinja l-limitu u t-twieqi tal-ħġieġ imtebba 'tal-kamra tal-pranzu aħdar?</v>
      </c>
    </row>
    <row r="25008" ht="15.75" customHeight="1">
      <c r="A25008" s="2" t="s">
        <v>25008</v>
      </c>
      <c r="B25008" s="2" t="str">
        <f>IFERROR(__xludf.DUMMYFUNCTION("GOOGLETRANSLATE(A25008, ""en"", ""mt"")"),"Kemm affiljati ABC kellhom fl-1949?")</f>
        <v>Kemm affiljati ABC kellhom fl-1949?</v>
      </c>
    </row>
    <row r="25009" ht="15.75" customHeight="1">
      <c r="A25009" s="2" t="s">
        <v>25009</v>
      </c>
      <c r="B25009" s="2" t="str">
        <f>IFERROR(__xludf.DUMMYFUNCTION("GOOGLETRANSLATE(A25009, ""en"", ""mt"")"),"Festival tal-Gran Brittanja (1951)")</f>
        <v>Festival tal-Gran Brittanja (1951)</v>
      </c>
    </row>
    <row r="25010" ht="15.75" customHeight="1">
      <c r="A25010" s="2" t="s">
        <v>25010</v>
      </c>
      <c r="B25010" s="2" t="str">
        <f>IFERROR(__xludf.DUMMYFUNCTION("GOOGLETRANSLATE(A25010, ""en"", ""mt"")"),"999")</f>
        <v>999</v>
      </c>
    </row>
    <row r="25011" ht="15.75" customHeight="1">
      <c r="A25011" s="2" t="s">
        <v>25011</v>
      </c>
      <c r="B25011" s="2" t="str">
        <f>IFERROR(__xludf.DUMMYFUNCTION("GOOGLETRANSLATE(A25011, ""en"", ""mt"")"),"Rankine Cycle")</f>
        <v>Rankine Cycle</v>
      </c>
    </row>
    <row r="25012" ht="15.75" customHeight="1">
      <c r="A25012" s="2" t="s">
        <v>25012</v>
      </c>
      <c r="B25012" s="2" t="str">
        <f>IFERROR(__xludf.DUMMYFUNCTION("GOOGLETRANSLATE(A25012, ""en"", ""mt"")"),"F'nofs is-snin 1890 ra l-konglomerat General Electric, appoġġjat mill-finanzjatur J. P. Morgan, involut f'attentati ta 'akkwist u battalji ta' privattivi ma 'Westinghouse Electric. Għalkemm ġie ffirmat ftehim dwar il-qsim tal-privattivi bejn iż-żewġ kumpa"&amp;"niji fl-1896 Westinghouse kien għadu marbut mill-flus kontanti mill-gwerra finanzjarja. Biex tiżgura aktar self, Westinghouse ġie mġiegħel jirrevedi l-privattiva AC ta 'Tesla, li l-bankiera kkunsidraw razza finanzjarja fuq il-kumpanija (f'dak il-punt West"&amp;"inghouse kienet ħallset $ 200,000 f'liċenzji u royalties lil Tesla, Brown, u Peck). Fl-1897, Westinghouse spjega d-diffikultajiet finanzjarji tiegħu lil Tesla f'termini kbar, u qal li jekk l-affarijiet ikomplu bil-mod kif kienu ma jibqgħux fil-kontroll ta"&amp;" 'Westinghouse Electric u Tesla kien ikollhom ""jittrattaw il-bankiera"" biex jippruvaw jiġbru royalties futuri Jonqos Westinghouse kkonvinċiet lil Tesla biex tirrilaxxa l-kumpanija tiegħu mill-ftehim ta 'liċenzjar fuq il-privattivi AC ta' Tesla bi skambj"&amp;"u għal Westinghouse Electric li tixtri l-privattivi għal ħlas ta 'somma f'daqqa ta' $ 216,000; Dan ipprovda waqfa ta 'Westinghouse minn dak li, minħabba l-gwadann rapidu ta' kurrent alternattiv fil-popolarità, irriżulta li kien $ 2.50 ġeneruż żżejjed għal"&amp;" kull royalties tal-horsepower AC.")</f>
        <v>F'nofs is-snin 1890 ra l-konglomerat General Electric, appoġġjat mill-finanzjatur J. P. Morgan, involut f'attentati ta 'akkwist u battalji ta' privattivi ma 'Westinghouse Electric. Għalkemm ġie ffirmat ftehim dwar il-qsim tal-privattivi bejn iż-żewġ kumpaniji fl-1896 Westinghouse kien għadu marbut mill-flus kontanti mill-gwerra finanzjarja. Biex tiżgura aktar self, Westinghouse ġie mġiegħel jirrevedi l-privattiva AC ta 'Tesla, li l-bankiera kkunsidraw razza finanzjarja fuq il-kumpanija (f'dak il-punt Westinghouse kienet ħallset $ 200,000 f'liċenzji u royalties lil Tesla, Brown, u Peck). Fl-1897, Westinghouse spjega d-diffikultajiet finanzjarji tiegħu lil Tesla f'termini kbar, u qal li jekk l-affarijiet ikomplu bil-mod kif kienu ma jibqgħux fil-kontroll ta 'Westinghouse Electric u Tesla kien ikollhom "jittrattaw il-bankiera" biex jippruvaw jiġbru royalties futuri Jonqos Westinghouse kkonvinċiet lil Tesla biex tirrilaxxa l-kumpanija tiegħu mill-ftehim ta 'liċenzjar fuq il-privattivi AC ta' Tesla bi skambju għal Westinghouse Electric li tixtri l-privattivi għal ħlas ta 'somma f'daqqa ta' $ 216,000; Dan ipprovda waqfa ta 'Westinghouse minn dak li, minħabba l-gwadann rapidu ta' kurrent alternattiv fil-popolarità, irriżulta li kien $ 2.50 ġeneruż żżejjed għal kull royalties tal-horsepower AC.</v>
      </c>
    </row>
    <row r="25013" ht="15.75" customHeight="1">
      <c r="A25013" s="2" t="s">
        <v>25013</v>
      </c>
      <c r="B25013" s="2" t="str">
        <f>IFERROR(__xludf.DUMMYFUNCTION("GOOGLETRANSLATE(A25013, ""en"", ""mt"")"),"Meta kummissjoni ma laħqet l-ebda deċiżjoni, x'ġara?")</f>
        <v>Meta kummissjoni ma laħqet l-ebda deċiżjoni, x'ġara?</v>
      </c>
    </row>
    <row r="25014" ht="15.75" customHeight="1">
      <c r="A25014" s="2" t="s">
        <v>25014</v>
      </c>
      <c r="B25014" s="2" t="str">
        <f>IFERROR(__xludf.DUMMYFUNCTION("GOOGLETRANSLATE(A25014, ""en"", ""mt"")"),"X'referenza hemm għal Huguenot Lacemakers fis-seklu 19?")</f>
        <v>X'referenza hemm għal Huguenot Lacemakers fis-seklu 19?</v>
      </c>
    </row>
    <row r="25015" ht="15.75" customHeight="1">
      <c r="A25015" s="2" t="s">
        <v>25015</v>
      </c>
      <c r="B25015" s="2" t="str">
        <f>IFERROR(__xludf.DUMMYFUNCTION("GOOGLETRANSLATE(A25015, ""en"", ""mt"")"),"Mi'kmaq u l-abenaki")</f>
        <v>Mi'kmaq u l-abenaki</v>
      </c>
    </row>
    <row r="25016" ht="15.75" customHeight="1">
      <c r="A25016" s="2" t="s">
        <v>25016</v>
      </c>
      <c r="B25016" s="2" t="str">
        <f>IFERROR(__xludf.DUMMYFUNCTION("GOOGLETRANSLATE(A25016, ""en"", ""mt"")"),"Strings ideali li huma bla massa, mingħajr frizzjoni, li ma jistgħux jinbdew, u li ma jistgħux")</f>
        <v>Strings ideali li huma bla massa, mingħajr frizzjoni, li ma jistgħux jinbdew, u li ma jistgħux</v>
      </c>
    </row>
    <row r="25017" ht="15.75" customHeight="1">
      <c r="A25017" s="2" t="s">
        <v>25017</v>
      </c>
      <c r="B25017" s="2" t="str">
        <f>IFERROR(__xludf.DUMMYFUNCTION("GOOGLETRANSLATE(A25017, ""en"", ""mt"")"),"Skond l-ekonomisti internazzjonali tal-fond monetarju, l-inugwaljanza fil-ġid u d-dħul hija korrelata b'mod negattiv mat-tul ta 'perjodi ta' tkabbir ekonomiku (mhux ir-rata ta 'tkabbir). Livelli għoljin ta 'inugwaljanza jipprevjenu mhux biss il-prosperità"&amp;" ekonomika, iżda wkoll il-kwalità ta' istituzzjonijiet ta 'pajjiż u livelli għoljin ta' edukazzjoni. Skond l-ekonomisti tal-persunal tal-FMI, ""jekk is-sehem tad-dħul tal-aqwa 20 fil-mija (is-sinjur) jiżdied, allura t-tkabbir tal-PGD fil-fatt jonqos fuq m"&amp;"edda medja ta 'żmien, li jissuġġerixxi li l-benefiċċji ma jinqatgħux. B'kuntrast, żieda fis-sehem tad-dħul tal-qiegħ 20 fil-mija (il-foqra) huwa assoċjat ma 'tkabbir ogħla tal-PGD. Il-foqra u l-klassi tan-nofs huma l-iktar għat-tkabbir permezz ta' numru t"&amp;"a 'kanali ekonomiċi, soċjali u politiċi interrelatati. """)</f>
        <v>Skond l-ekonomisti internazzjonali tal-fond monetarju, l-inugwaljanza fil-ġid u d-dħul hija korrelata b'mod negattiv mat-tul ta 'perjodi ta' tkabbir ekonomiku (mhux ir-rata ta 'tkabbir). Livelli għoljin ta 'inugwaljanza jipprevjenu mhux biss il-prosperità ekonomika, iżda wkoll il-kwalità ta' istituzzjonijiet ta 'pajjiż u livelli għoljin ta' edukazzjoni. Skond l-ekonomisti tal-persunal tal-FMI, "jekk is-sehem tad-dħul tal-aqwa 20 fil-mija (is-sinjur) jiżdied, allura t-tkabbir tal-PGD fil-fatt jonqos fuq medda medja ta 'żmien, li jissuġġerixxi li l-benefiċċji ma jinqatgħux. B'kuntrast, żieda fis-sehem tad-dħul tal-qiegħ 20 fil-mija (il-foqra) huwa assoċjat ma 'tkabbir ogħla tal-PGD. Il-foqra u l-klassi tan-nofs huma l-iktar għat-tkabbir permezz ta' numru ta 'kanali ekonomiċi, soċjali u politiċi interrelatati. "</v>
      </c>
    </row>
    <row r="25018" ht="15.75" customHeight="1">
      <c r="A25018" s="2" t="s">
        <v>25018</v>
      </c>
      <c r="B25018" s="2" t="str">
        <f>IFERROR(__xludf.DUMMYFUNCTION("GOOGLETRANSLATE(A25018, ""en"", ""mt"")"),"Lil fejn kien l-aħħar vjaġġ ta 'Luther?")</f>
        <v>Lil fejn kien l-aħħar vjaġġ ta 'Luther?</v>
      </c>
    </row>
    <row r="25019" ht="15.75" customHeight="1">
      <c r="A25019" s="2" t="s">
        <v>25019</v>
      </c>
      <c r="B25019" s="2" t="str">
        <f>IFERROR(__xludf.DUMMYFUNCTION("GOOGLETRANSLATE(A25019, ""en"", ""mt"")"),"X'kienu ntużaw il-magni tal-fwar bħala sors ta '?")</f>
        <v>X'kienu ntużaw il-magni tal-fwar bħala sors ta '?</v>
      </c>
    </row>
    <row r="25020" ht="15.75" customHeight="1">
      <c r="A25020" s="2" t="s">
        <v>25020</v>
      </c>
      <c r="B25020" s="2" t="str">
        <f>IFERROR(__xludf.DUMMYFUNCTION("GOOGLETRANSLATE(A25020, ""en"", ""mt"")"),"18")</f>
        <v>18</v>
      </c>
    </row>
    <row r="25021" ht="15.75" customHeight="1">
      <c r="A25021" s="2" t="s">
        <v>25021</v>
      </c>
      <c r="B25021" s="2" t="str">
        <f>IFERROR(__xludf.DUMMYFUNCTION("GOOGLETRANSLATE(A25021, ""en"", ""mt"")"),"Meta l-produtturi taż-żejt Għarab neħħew l-embargo?")</f>
        <v>Meta l-produtturi taż-żejt Għarab neħħew l-embargo?</v>
      </c>
    </row>
    <row r="25022" ht="15.75" customHeight="1">
      <c r="A25022" s="2" t="s">
        <v>25022</v>
      </c>
      <c r="B25022" s="2" t="str">
        <f>IFERROR(__xludf.DUMMYFUNCTION("GOOGLETRANSLATE(A25022, ""en"", ""mt"")"),"Trattat dwar l-Unjoni Ewropea (TEU)")</f>
        <v>Trattat dwar l-Unjoni Ewropea (TEU)</v>
      </c>
    </row>
    <row r="25023" ht="15.75" customHeight="1">
      <c r="A25023" s="2" t="s">
        <v>25023</v>
      </c>
      <c r="B25023" s="2" t="str">
        <f>IFERROR(__xludf.DUMMYFUNCTION("GOOGLETRANSLATE(A25023, ""en"", ""mt"")"),"Kalvinista")</f>
        <v>Kalvinista</v>
      </c>
    </row>
    <row r="25024" ht="15.75" customHeight="1">
      <c r="A25024" s="2" t="s">
        <v>25024</v>
      </c>
      <c r="B25024" s="2" t="str">
        <f>IFERROR(__xludf.DUMMYFUNCTION("GOOGLETRANSLATE(A25024, ""en"", ""mt"")"),"Gano")</f>
        <v>Gano</v>
      </c>
    </row>
    <row r="25025" ht="15.75" customHeight="1">
      <c r="A25025" s="2" t="s">
        <v>25025</v>
      </c>
      <c r="B25025" s="2" t="str">
        <f>IFERROR(__xludf.DUMMYFUNCTION("GOOGLETRANSLATE(A25025, ""en"", ""mt"")"),"B'kuntrast ma 'dan ġew murija l-Qaddisin Kattoliċi?")</f>
        <v>B'kuntrast ma 'dan ġew murija l-Qaddisin Kattoliċi?</v>
      </c>
    </row>
    <row r="25026" ht="15.75" customHeight="1">
      <c r="A25026" s="2" t="s">
        <v>25026</v>
      </c>
      <c r="B25026" s="2" t="str">
        <f>IFERROR(__xludf.DUMMYFUNCTION("GOOGLETRANSLATE(A25026, ""en"", ""mt"")"),"B'mod ġenerali, x'kienu mħallsa l-għalliema fil-passat?")</f>
        <v>B'mod ġenerali, x'kienu mħallsa l-għalliema fil-passat?</v>
      </c>
    </row>
    <row r="25027" ht="15.75" customHeight="1">
      <c r="A25027" s="2" t="s">
        <v>25027</v>
      </c>
      <c r="B25027" s="2" t="str">
        <f>IFERROR(__xludf.DUMMYFUNCTION("GOOGLETRANSLATE(A25027, ""en"", ""mt"")"),"X'inhi l-forza msejħa rgarding għal qasam potenzjali bejn żewġ postijiet?")</f>
        <v>X'inhi l-forza msejħa rgarding għal qasam potenzjali bejn żewġ postijiet?</v>
      </c>
    </row>
    <row r="25028" ht="15.75" customHeight="1">
      <c r="A25028" s="2" t="s">
        <v>25028</v>
      </c>
      <c r="B25028" s="2" t="str">
        <f>IFERROR(__xludf.DUMMYFUNCTION("GOOGLETRANSLATE(A25028, ""en"", ""mt"")"),"Il-forza qawwija taġixxi biss direttament fuq partiċelli elementari. Madankollu, residwu tal-forza huwa osservat bejn hadrons (l-iktar eżempju magħruf huwa l-forza li taġixxi bejn in-nukleoni fin-nuklei atomiċi) bħala l-forza nukleari. Hawnhekk il-forza q"&amp;"awwija taġixxi indirettament, trasmessa bħala gluons, li jiffurmaw parti mill-Mesons Virtwali PI u Rho, li klassikament jittrasmettu l-forza nukleari (ara dan is-suġġett għal aktar). Il-falliment ta 'ħafna tfittxijiet għal quarks ħielsa wera li l-partiċel"&amp;"li elementari affettwati mhumiex osservabbli direttament. Dan il-fenomenu jissejjaħ il-magħluq tal-kulur.")</f>
        <v>Il-forza qawwija taġixxi biss direttament fuq partiċelli elementari. Madankollu, residwu tal-forza huwa osservat bejn hadrons (l-iktar eżempju magħruf huwa l-forza li taġixxi bejn in-nukleoni fin-nuklei atomiċi) bħala l-forza nukleari. Hawnhekk il-forza qawwija taġixxi indirettament, trasmessa bħala gluons, li jiffurmaw parti mill-Mesons Virtwali PI u Rho, li klassikament jittrasmettu l-forza nukleari (ara dan is-suġġett għal aktar). Il-falliment ta 'ħafna tfittxijiet għal quarks ħielsa wera li l-partiċelli elementari affettwati mhumiex osservabbli direttament. Dan il-fenomenu jissejjaħ il-magħluq tal-kulur.</v>
      </c>
    </row>
    <row r="25029" ht="15.75" customHeight="1">
      <c r="A25029" s="2" t="s">
        <v>25029</v>
      </c>
      <c r="B25029" s="2" t="str">
        <f>IFERROR(__xludf.DUMMYFUNCTION("GOOGLETRANSLATE(A25029, ""en"", ""mt"")"),"Liema imperu storiku uża l-imperjalizmu kulturali biex ibandal l-elite lokali?")</f>
        <v>Liema imperu storiku uża l-imperjalizmu kulturali biex ibandal l-elite lokali?</v>
      </c>
    </row>
    <row r="25030" ht="15.75" customHeight="1">
      <c r="A25030" s="2" t="s">
        <v>25030</v>
      </c>
      <c r="B25030" s="2" t="str">
        <f>IFERROR(__xludf.DUMMYFUNCTION("GOOGLETRANSLATE(A25030, ""en"", ""mt"")"),"X'inhu jiddelimita d-Delta tar-Renu fil-Punent?")</f>
        <v>X'inhu jiddelimita d-Delta tar-Renu fil-Punent?</v>
      </c>
    </row>
    <row r="25031" ht="15.75" customHeight="1">
      <c r="A25031" s="2" t="s">
        <v>25031</v>
      </c>
      <c r="B25031" s="2" t="str">
        <f>IFERROR(__xludf.DUMMYFUNCTION("GOOGLETRANSLATE(A25031, ""en"", ""mt"")"),"kombustjoni esterna")</f>
        <v>kombustjoni esterna</v>
      </c>
    </row>
    <row r="25032" ht="15.75" customHeight="1">
      <c r="A25032" s="2" t="s">
        <v>25032</v>
      </c>
      <c r="B25032" s="2" t="str">
        <f>IFERROR(__xludf.DUMMYFUNCTION("GOOGLETRANSLATE(A25032, ""en"", ""mt"")"),"X'tip ta 'korp tal-ilma huwa maħsub li qed joskura s-sit tad-dfin ta' Genghis Khan?")</f>
        <v>X'tip ta 'korp tal-ilma huwa maħsub li qed joskura s-sit tad-dfin ta' Genghis Khan?</v>
      </c>
    </row>
    <row r="25033" ht="15.75" customHeight="1">
      <c r="A25033" s="2" t="s">
        <v>25033</v>
      </c>
      <c r="B25033" s="2" t="str">
        <f>IFERROR(__xludf.DUMMYFUNCTION("GOOGLETRANSLATE(A25033, ""en"", ""mt"")"),"assertiv")</f>
        <v>assertiv</v>
      </c>
    </row>
    <row r="25034" ht="15.75" customHeight="1">
      <c r="A25034" s="2" t="s">
        <v>25034</v>
      </c>
      <c r="B25034" s="2" t="str">
        <f>IFERROR(__xludf.DUMMYFUNCTION("GOOGLETRANSLATE(A25034, ""en"", ""mt"")"),"Zeaxanthin")</f>
        <v>Zeaxanthin</v>
      </c>
    </row>
    <row r="25035" ht="15.75" customHeight="1">
      <c r="A25035" s="2" t="s">
        <v>25035</v>
      </c>
      <c r="B25035" s="2" t="str">
        <f>IFERROR(__xludf.DUMMYFUNCTION("GOOGLETRANSLATE(A25035, ""en"", ""mt"")"),"15,244")</f>
        <v>15,244</v>
      </c>
    </row>
    <row r="25036" ht="15.75" customHeight="1">
      <c r="A25036" s="2" t="s">
        <v>25036</v>
      </c>
      <c r="B25036" s="2" t="str">
        <f>IFERROR(__xludf.DUMMYFUNCTION("GOOGLETRANSLATE(A25036, ""en"", ""mt"")"),"Reġistru tal-Kunsill Farmaċewtiku Ġenerali (GPHC)")</f>
        <v>Reġistru tal-Kunsill Farmaċewtiku Ġenerali (GPHC)</v>
      </c>
    </row>
    <row r="25037" ht="15.75" customHeight="1">
      <c r="A25037" s="2" t="s">
        <v>25037</v>
      </c>
      <c r="B25037" s="2" t="str">
        <f>IFERROR(__xludf.DUMMYFUNCTION("GOOGLETRANSLATE(A25037, ""en"", ""mt"")"),"Sultan Galiev u Vasyl Shakhrai")</f>
        <v>Sultan Galiev u Vasyl Shakhrai</v>
      </c>
    </row>
    <row r="25038" ht="15.75" customHeight="1">
      <c r="A25038" s="2" t="s">
        <v>25038</v>
      </c>
      <c r="B25038" s="2" t="str">
        <f>IFERROR(__xludf.DUMMYFUNCTION("GOOGLETRANSLATE(A25038, ""en"", ""mt"")"),"$ 2.2 biljun")</f>
        <v>$ 2.2 biljun</v>
      </c>
    </row>
    <row r="25039" ht="15.75" customHeight="1">
      <c r="A25039" s="2" t="s">
        <v>25039</v>
      </c>
      <c r="B25039" s="2" t="str">
        <f>IFERROR(__xludf.DUMMYFUNCTION("GOOGLETRANSLATE(A25039, ""en"", ""mt"")"),"Kemm mill-ġid globali se jkun l-aktar sinjur 1 fil-mija sal-2016?")</f>
        <v>Kemm mill-ġid globali se jkun l-aktar sinjur 1 fil-mija sal-2016?</v>
      </c>
    </row>
    <row r="25040" ht="15.75" customHeight="1">
      <c r="A25040" s="2" t="s">
        <v>25040</v>
      </c>
      <c r="B25040" s="2" t="str">
        <f>IFERROR(__xludf.DUMMYFUNCTION("GOOGLETRANSLATE(A25040, ""en"", ""mt"")"),"Min kien il-film prodott ċar minn?")</f>
        <v>Min kien il-film prodott ċar minn?</v>
      </c>
    </row>
    <row r="25041" ht="15.75" customHeight="1">
      <c r="A25041" s="2" t="s">
        <v>25041</v>
      </c>
      <c r="B25041" s="2" t="str">
        <f>IFERROR(__xludf.DUMMYFUNCTION("GOOGLETRANSLATE(A25041, ""en"", ""mt"")"),"Organizzattiv")</f>
        <v>Organizzattiv</v>
      </c>
    </row>
    <row r="25042" ht="15.75" customHeight="1">
      <c r="A25042" s="2" t="s">
        <v>25042</v>
      </c>
      <c r="B25042" s="2" t="str">
        <f>IFERROR(__xludf.DUMMYFUNCTION("GOOGLETRANSLATE(A25042, ""en"", ""mt"")"),"X'kien Warner Sinback")</f>
        <v>X'kien Warner Sinback</v>
      </c>
    </row>
    <row r="25043" ht="15.75" customHeight="1">
      <c r="A25043" s="2" t="s">
        <v>25043</v>
      </c>
      <c r="B25043" s="2" t="str">
        <f>IFERROR(__xludf.DUMMYFUNCTION("GOOGLETRANSLATE(A25043, ""en"", ""mt"")"),"Skond The Princeton Review fejn Harvard ikklassifika bħala ""Dream College"" fl-2013")</f>
        <v>Skond The Princeton Review fejn Harvard ikklassifika bħala "Dream College" fl-2013</v>
      </c>
    </row>
    <row r="25044" ht="15.75" customHeight="1">
      <c r="A25044" s="2" t="s">
        <v>25044</v>
      </c>
      <c r="B25044" s="2" t="str">
        <f>IFERROR(__xludf.DUMMYFUNCTION("GOOGLETRANSLATE(A25044, ""en"", ""mt"")"),"Min dehret li l-liġi tal-gravità tiegħu kellha tkun universali?")</f>
        <v>Min dehret li l-liġi tal-gravità tiegħu kellha tkun universali?</v>
      </c>
    </row>
    <row r="25045" ht="15.75" customHeight="1">
      <c r="A25045" s="2" t="s">
        <v>25045</v>
      </c>
      <c r="B25045" s="2" t="str">
        <f>IFERROR(__xludf.DUMMYFUNCTION("GOOGLETRANSLATE(A25045, ""en"", ""mt"")"),"X'kien meħtieġ mit-tfal Huguenot wara li l-editt ġie revokat?")</f>
        <v>X'kien meħtieġ mit-tfal Huguenot wara li l-editt ġie revokat?</v>
      </c>
    </row>
    <row r="25046" ht="15.75" customHeight="1">
      <c r="A25046" s="2" t="s">
        <v>25046</v>
      </c>
      <c r="B25046" s="2" t="str">
        <f>IFERROR(__xludf.DUMMYFUNCTION("GOOGLETRANSLATE(A25046, ""en"", ""mt"")"),"Sovjetiku")</f>
        <v>Sovjetiku</v>
      </c>
    </row>
    <row r="25047" ht="15.75" customHeight="1">
      <c r="A25047" s="2" t="s">
        <v>25047</v>
      </c>
      <c r="B25047" s="2" t="str">
        <f>IFERROR(__xludf.DUMMYFUNCTION("GOOGLETRANSLATE(A25047, ""en"", ""mt"")"),"Kemm touchdowns kisbu Newton fl-istaġun 2015?")</f>
        <v>Kemm touchdowns kisbu Newton fl-istaġun 2015?</v>
      </c>
    </row>
    <row r="25048" ht="15.75" customHeight="1">
      <c r="A25048" s="2" t="s">
        <v>25048</v>
      </c>
      <c r="B25048" s="2" t="str">
        <f>IFERROR(__xludf.DUMMYFUNCTION("GOOGLETRANSLATE(A25048, ""en"", ""mt"")"),"X'forma s-sena ta 'wara li ffurmaw in-nobbli Protestanti wara l-iffirmar tal-konfessjoni ta' Augsburg?")</f>
        <v>X'forma s-sena ta 'wara li ffurmaw in-nobbli Protestanti wara l-iffirmar tal-konfessjoni ta' Augsburg?</v>
      </c>
    </row>
    <row r="25049" ht="15.75" customHeight="1">
      <c r="A25049" s="2" t="s">
        <v>25049</v>
      </c>
      <c r="B25049" s="2" t="str">
        <f>IFERROR(__xludf.DUMMYFUNCTION("GOOGLETRANSLATE(A25049, ""en"", ""mt"")"),"Liema distrett ta 'Fresno huwa ċ-ċentru għall-komunità LGBT?")</f>
        <v>Liema distrett ta 'Fresno huwa ċ-ċentru għall-komunità LGBT?</v>
      </c>
    </row>
    <row r="25050" ht="15.75" customHeight="1">
      <c r="A25050" s="2" t="s">
        <v>25050</v>
      </c>
      <c r="B25050" s="2" t="str">
        <f>IFERROR(__xludf.DUMMYFUNCTION("GOOGLETRANSLATE(A25050, ""en"", ""mt"")"),"takkwista nutrijenti")</f>
        <v>takkwista nutrijenti</v>
      </c>
    </row>
    <row r="25051" ht="15.75" customHeight="1">
      <c r="A25051" s="2" t="s">
        <v>25051</v>
      </c>
      <c r="B25051" s="2" t="str">
        <f>IFERROR(__xludf.DUMMYFUNCTION("GOOGLETRANSLATE(A25051, ""en"", ""mt"")"),"Semmi marda awtoimmuni komuni.")</f>
        <v>Semmi marda awtoimmuni komuni.</v>
      </c>
    </row>
    <row r="25052" ht="15.75" customHeight="1">
      <c r="A25052" s="2" t="s">
        <v>25052</v>
      </c>
      <c r="B25052" s="2" t="str">
        <f>IFERROR(__xludf.DUMMYFUNCTION("GOOGLETRANSLATE(A25052, ""en"", ""mt"")"),"Paga baxxa")</f>
        <v>Paga baxxa</v>
      </c>
    </row>
    <row r="25053" ht="15.75" customHeight="1">
      <c r="A25053" s="2" t="s">
        <v>25053</v>
      </c>
      <c r="B25053" s="2" t="str">
        <f>IFERROR(__xludf.DUMMYFUNCTION("GOOGLETRANSLATE(A25053, ""en"", ""mt"")"),"Liema truppi attakkaw lil Fort William Henry fil-bidu tal-1757?")</f>
        <v>Liema truppi attakkaw lil Fort William Henry fil-bidu tal-1757?</v>
      </c>
    </row>
    <row r="25054" ht="15.75" customHeight="1">
      <c r="A25054" s="2" t="s">
        <v>25054</v>
      </c>
      <c r="B25054" s="2" t="str">
        <f>IFERROR(__xludf.DUMMYFUNCTION("GOOGLETRANSLATE(A25054, ""en"", ""mt"")"),"24 sena mandat")</f>
        <v>24 sena mandat</v>
      </c>
    </row>
    <row r="25055" ht="15.75" customHeight="1">
      <c r="A25055" s="2" t="s">
        <v>25055</v>
      </c>
      <c r="B25055" s="2" t="str">
        <f>IFERROR(__xludf.DUMMYFUNCTION("GOOGLETRANSLATE(A25055, ""en"", ""mt"")"),"Fid-19 ta ’Ottubru 1512, ingħata t-Tabib tat-Teoloġija tiegħu u, fil-21 ta’ Ottubru 1512, ġie rċevut fis-Senat tal-Fakultà Teoloġika tal-Università ta ’Wittenberg, wara li ġie msejjaħ għall-pożizzjoni ta’ tabib fil-Bibbja. Qatta 'l-kumplament tal-karriera"&amp;" tiegħu f'din il-pożizzjoni fl-Università ta' Wittenberg.")</f>
        <v>Fid-19 ta ’Ottubru 1512, ingħata t-Tabib tat-Teoloġija tiegħu u, fil-21 ta’ Ottubru 1512, ġie rċevut fis-Senat tal-Fakultà Teoloġika tal-Università ta ’Wittenberg, wara li ġie msejjaħ għall-pożizzjoni ta’ tabib fil-Bibbja. Qatta 'l-kumplament tal-karriera tiegħu f'din il-pożizzjoni fl-Università ta' Wittenberg.</v>
      </c>
    </row>
    <row r="25056" ht="15.75" customHeight="1">
      <c r="A25056" s="2" t="s">
        <v>25056</v>
      </c>
      <c r="B25056" s="2" t="str">
        <f>IFERROR(__xludf.DUMMYFUNCTION("GOOGLETRANSLATE(A25056, ""en"", ""mt"")"),"X'inhu l-isem tat-trofew mogħti lil kull min jilgħab fit-tim rebbieħ f'super bowl?")</f>
        <v>X'inhu l-isem tat-trofew mogħti lil kull min jilgħab fit-tim rebbieħ f'super bowl?</v>
      </c>
    </row>
    <row r="25057" ht="15.75" customHeight="1">
      <c r="A25057" s="2" t="s">
        <v>25057</v>
      </c>
      <c r="B25057" s="2" t="str">
        <f>IFERROR(__xludf.DUMMYFUNCTION("GOOGLETRANSLATE(A25057, ""en"", ""mt"")"),"il-gvern tar-Renju Unit")</f>
        <v>il-gvern tar-Renju Unit</v>
      </c>
    </row>
    <row r="25058" ht="15.75" customHeight="1">
      <c r="A25058" s="2" t="s">
        <v>25058</v>
      </c>
      <c r="B25058" s="2" t="str">
        <f>IFERROR(__xludf.DUMMYFUNCTION("GOOGLETRANSLATE(A25058, ""en"", ""mt"")"),"Il-konferenza annwali, bejn wieħed u ieħor l-ekwivalenti ta 'djoċesi fit-Tqarbin Anglikana u l-Knisja Kattolika Rumana jew sinodu f'xi denominazzjonijiet Luterani bħall-Knisja Evanġelika Luterana fl-Amerika, hija l-unità bażika ta' organizzazzjoni fi ħdan"&amp;" l-UMC. It-terminu konferenza annwali ħafna drabi jintuża biex jirreferi għaż-żona ġeografika li jkopri kif ukoll il-frekwenza tal-laqgħa. Il-kleru huma membri tal-konferenza annwali tagħhom aktar milli ta 'xi kongregazzjoni lokali, u huma maħtura fi knis"&amp;"ja lokali jew akkuża oħra kull sena mill-isqof residenti tal-konferenza fil-laqgħa tal-konferenza annwali. F'ħafna modi, il-Knisja Metodista Magħquda topera f'organizzazzjoni konnessjoni tal-konferenzi annwali, u l-azzjonijiet meħuda minn konferenza waħda"&amp;" ma jorbtux fuq oħra.")</f>
        <v>Il-konferenza annwali, bejn wieħed u ieħor l-ekwivalenti ta 'djoċesi fit-Tqarbin Anglikana u l-Knisja Kattolika Rumana jew sinodu f'xi denominazzjonijiet Luterani bħall-Knisja Evanġelika Luterana fl-Amerika, hija l-unità bażika ta' organizzazzjoni fi ħdan l-UMC. It-terminu konferenza annwali ħafna drabi jintuża biex jirreferi għaż-żona ġeografika li jkopri kif ukoll il-frekwenza tal-laqgħa. Il-kleru huma membri tal-konferenza annwali tagħhom aktar milli ta 'xi kongregazzjoni lokali, u huma maħtura fi knisja lokali jew akkuża oħra kull sena mill-isqof residenti tal-konferenza fil-laqgħa tal-konferenza annwali. F'ħafna modi, il-Knisja Metodista Magħquda topera f'organizzazzjoni konnessjoni tal-konferenzi annwali, u l-azzjonijiet meħuda minn konferenza waħda ma jorbtux fuq oħra.</v>
      </c>
    </row>
    <row r="25059" ht="15.75" customHeight="1">
      <c r="A25059" s="2" t="s">
        <v>25059</v>
      </c>
      <c r="B25059" s="2" t="str">
        <f>IFERROR(__xludf.DUMMYFUNCTION("GOOGLETRANSLATE(A25059, ""en"", ""mt"")"),"Min jingħata kreditu biex jiskopri ġeoglyphs tul ix-xmara Amazon?")</f>
        <v>Min jingħata kreditu biex jiskopri ġeoglyphs tul ix-xmara Amazon?</v>
      </c>
    </row>
    <row r="25060" ht="15.75" customHeight="1">
      <c r="A25060" s="2" t="s">
        <v>25060</v>
      </c>
      <c r="B25060" s="2" t="str">
        <f>IFERROR(__xludf.DUMMYFUNCTION("GOOGLETRANSLATE(A25060, ""en"", ""mt"")"),"Lady Gaga")</f>
        <v>Lady Gaga</v>
      </c>
    </row>
    <row r="25061" ht="15.75" customHeight="1">
      <c r="A25061" s="2" t="s">
        <v>25061</v>
      </c>
      <c r="B25061" s="2" t="str">
        <f>IFERROR(__xludf.DUMMYFUNCTION("GOOGLETRANSLATE(A25061, ""en"", ""mt"")"),"Min hu l-eroj li qatel dragun fuq id-Drachenfels?")</f>
        <v>Min hu l-eroj li qatel dragun fuq id-Drachenfels?</v>
      </c>
    </row>
    <row r="25062" ht="15.75" customHeight="1">
      <c r="A25062" s="2" t="s">
        <v>25062</v>
      </c>
      <c r="B25062" s="2" t="str">
        <f>IFERROR(__xludf.DUMMYFUNCTION("GOOGLETRANSLATE(A25062, ""en"", ""mt"")"),"Ktieb tat-talb komuni.")</f>
        <v>Ktieb tat-talb komuni.</v>
      </c>
    </row>
    <row r="25063" ht="15.75" customHeight="1">
      <c r="A25063" s="2" t="s">
        <v>25063</v>
      </c>
      <c r="B25063" s="2" t="str">
        <f>IFERROR(__xludf.DUMMYFUNCTION("GOOGLETRANSLATE(A25063, ""en"", ""mt"")"),"intrattabbli")</f>
        <v>intrattabbli</v>
      </c>
    </row>
    <row r="25064" ht="15.75" customHeight="1">
      <c r="A25064" s="2" t="s">
        <v>25064</v>
      </c>
      <c r="B25064" s="2" t="str">
        <f>IFERROR(__xludf.DUMMYFUNCTION("GOOGLETRANSLATE(A25064, ""en"", ""mt"")"),"HD")</f>
        <v>HD</v>
      </c>
    </row>
    <row r="25065" ht="15.75" customHeight="1">
      <c r="A25065" s="2" t="s">
        <v>25065</v>
      </c>
      <c r="B25065" s="2" t="str">
        <f>IFERROR(__xludf.DUMMYFUNCTION("GOOGLETRANSLATE(A25065, ""en"", ""mt"")"),"Meta Holden ħabbar li se jagħlaq l-impjant tar-Rabat tagħha?")</f>
        <v>Meta Holden ħabbar li se jagħlaq l-impjant tar-Rabat tagħha?</v>
      </c>
    </row>
    <row r="25066" ht="15.75" customHeight="1">
      <c r="A25066" s="2" t="s">
        <v>25066</v>
      </c>
      <c r="B25066" s="2" t="str">
        <f>IFERROR(__xludf.DUMMYFUNCTION("GOOGLETRANSLATE(A25066, ""en"", ""mt"")"),"X'ħin żviluppat sistema tax-xmajjar fin-naħa ta 'fuq tar-Rhine Graben?")</f>
        <v>X'ħin żviluppat sistema tax-xmajjar fin-naħa ta 'fuq tar-Rhine Graben?</v>
      </c>
    </row>
    <row r="25067" ht="15.75" customHeight="1">
      <c r="A25067" s="2" t="s">
        <v>25067</v>
      </c>
      <c r="B25067" s="2" t="str">
        <f>IFERROR(__xludf.DUMMYFUNCTION("GOOGLETRANSLATE(A25067, ""en"", ""mt"")"),"Danny Lane")</f>
        <v>Danny Lane</v>
      </c>
    </row>
    <row r="25068" ht="15.75" customHeight="1">
      <c r="A25068" s="2" t="s">
        <v>25068</v>
      </c>
      <c r="B25068" s="2" t="str">
        <f>IFERROR(__xludf.DUMMYFUNCTION("GOOGLETRANSLATE(A25068, ""en"", ""mt"")"),"Fornituri tad-Droga Internazzjonali")</f>
        <v>Fornituri tad-Droga Internazzjonali</v>
      </c>
    </row>
    <row r="25069" ht="15.75" customHeight="1">
      <c r="A25069" s="2" t="s">
        <v>25069</v>
      </c>
      <c r="B25069" s="2" t="str">
        <f>IFERROR(__xludf.DUMMYFUNCTION("GOOGLETRANSLATE(A25069, ""en"", ""mt"")"),"Min għamel vidjows tal-kulur bikri tal-ispettaklu?")</f>
        <v>Min għamel vidjows tal-kulur bikri tal-ispettaklu?</v>
      </c>
    </row>
    <row r="25070" ht="15.75" customHeight="1">
      <c r="A25070" s="2" t="s">
        <v>25070</v>
      </c>
      <c r="B25070" s="2" t="str">
        <f>IFERROR(__xludf.DUMMYFUNCTION("GOOGLETRANSLATE(A25070, ""en"", ""mt"")"),"plott u għaqqad")</f>
        <v>plott u għaqqad</v>
      </c>
    </row>
    <row r="25071" ht="15.75" customHeight="1">
      <c r="A25071" s="2" t="s">
        <v>25071</v>
      </c>
      <c r="B25071" s="2" t="str">
        <f>IFERROR(__xludf.DUMMYFUNCTION("GOOGLETRANSLATE(A25071, ""en"", ""mt"")"),"Ir-Renu Romantiku")</f>
        <v>Ir-Renu Romantiku</v>
      </c>
    </row>
    <row r="25072" ht="15.75" customHeight="1">
      <c r="A25072" s="2" t="s">
        <v>25072</v>
      </c>
      <c r="B25072" s="2" t="str">
        <f>IFERROR(__xludf.DUMMYFUNCTION("GOOGLETRANSLATE(A25072, ""en"", ""mt"")"),"Kemm ilha Radio Tyneside fis-Servizz tar-Radju Volontarju dwar l-Isptar?")</f>
        <v>Kemm ilha Radio Tyneside fis-Servizz tar-Radju Volontarju dwar l-Isptar?</v>
      </c>
    </row>
    <row r="25073" ht="15.75" customHeight="1">
      <c r="A25073" s="2" t="s">
        <v>25073</v>
      </c>
      <c r="B25073" s="2" t="str">
        <f>IFERROR(__xludf.DUMMYFUNCTION("GOOGLETRANSLATE(A25073, ""en"", ""mt"")"),"Pedro Menéndez de Avilés")</f>
        <v>Pedro Menéndez de Avilés</v>
      </c>
    </row>
    <row r="25074" ht="15.75" customHeight="1">
      <c r="A25074" s="2" t="s">
        <v>25074</v>
      </c>
      <c r="B25074" s="2" t="str">
        <f>IFERROR(__xludf.DUMMYFUNCTION("GOOGLETRANSLATE(A25074, ""en"", ""mt"")"),"Angiosperms C3, u anke xi ġinnasini")</f>
        <v>Angiosperms C3, u anke xi ġinnasini</v>
      </c>
    </row>
    <row r="25075" ht="15.75" customHeight="1">
      <c r="A25075" s="2" t="s">
        <v>25075</v>
      </c>
      <c r="B25075" s="2" t="str">
        <f>IFERROR(__xludf.DUMMYFUNCTION("GOOGLETRANSLATE(A25075, ""en"", ""mt"")"),"10-15% tal-popolazzjoni")</f>
        <v>10-15% tal-popolazzjoni</v>
      </c>
    </row>
    <row r="25076" ht="15.75" customHeight="1">
      <c r="A25076" s="2" t="s">
        <v>25076</v>
      </c>
      <c r="B25076" s="2" t="str">
        <f>IFERROR(__xludf.DUMMYFUNCTION("GOOGLETRANSLATE(A25076, ""en"", ""mt"")"),"Aġġustabbli mgħobbija bir-rebbiegħa")</f>
        <v>Aġġustabbli mgħobbija bir-rebbiegħa</v>
      </c>
    </row>
    <row r="25077" ht="15.75" customHeight="1">
      <c r="A25077" s="2" t="s">
        <v>25077</v>
      </c>
      <c r="B25077" s="2" t="str">
        <f>IFERROR(__xludf.DUMMYFUNCTION("GOOGLETRANSLATE(A25077, ""en"", ""mt"")"),"Min kien ir-Re Uighur ta 'Qocho kklassifikat hawn fuq?")</f>
        <v>Min kien ir-Re Uighur ta 'Qocho kklassifikat hawn fuq?</v>
      </c>
    </row>
    <row r="25078" ht="15.75" customHeight="1">
      <c r="A25078" s="2" t="s">
        <v>25078</v>
      </c>
      <c r="B25078" s="2" t="str">
        <f>IFERROR(__xludf.DUMMYFUNCTION("GOOGLETRANSLATE(A25078, ""en"", ""mt"")"),"Liema CEO tal-Microsoft huwa wkoll alumni tal-Università ta 'Chicago?")</f>
        <v>Liema CEO tal-Microsoft huwa wkoll alumni tal-Università ta 'Chicago?</v>
      </c>
    </row>
    <row r="25079" ht="15.75" customHeight="1">
      <c r="A25079" s="2" t="s">
        <v>25079</v>
      </c>
      <c r="B25079" s="2" t="str">
        <f>IFERROR(__xludf.DUMMYFUNCTION("GOOGLETRANSLATE(A25079, ""en"", ""mt"")"),"Renju Unit")</f>
        <v>Renju Unit</v>
      </c>
    </row>
    <row r="25080" ht="15.75" customHeight="1">
      <c r="A25080" s="2" t="s">
        <v>25080</v>
      </c>
      <c r="B25080" s="2" t="str">
        <f>IFERROR(__xludf.DUMMYFUNCTION("GOOGLETRANSLATE(A25080, ""en"", ""mt"")"),"l-ewwel tnejn")</f>
        <v>l-ewwel tnejn</v>
      </c>
    </row>
    <row r="25081" ht="15.75" customHeight="1">
      <c r="A25081" s="2" t="s">
        <v>25081</v>
      </c>
      <c r="B25081" s="2" t="str">
        <f>IFERROR(__xludf.DUMMYFUNCTION("GOOGLETRANSLATE(A25081, ""en"", ""mt"")"),"Kif kienet l-iskola kapaċi ġġib abbord l-aqwa studenti b'talent?")</f>
        <v>Kif kienet l-iskola kapaċi ġġib abbord l-aqwa studenti b'talent?</v>
      </c>
    </row>
    <row r="25082" ht="15.75" customHeight="1">
      <c r="A25082" s="2" t="s">
        <v>25082</v>
      </c>
      <c r="B25082" s="2" t="str">
        <f>IFERROR(__xludf.DUMMYFUNCTION("GOOGLETRANSLATE(A25082, ""en"", ""mt"")"),"L-Interkonnessjoni tan-Netwerks Nazzjonali X.25")</f>
        <v>L-Interkonnessjoni tan-Netwerks Nazzjonali X.25</v>
      </c>
    </row>
    <row r="25083" ht="15.75" customHeight="1">
      <c r="A25083" s="2" t="s">
        <v>25083</v>
      </c>
      <c r="B25083" s="2" t="str">
        <f>IFERROR(__xludf.DUMMYFUNCTION("GOOGLETRANSLATE(A25083, ""en"", ""mt"")"),"Triq il-Belt")</f>
        <v>Triq il-Belt</v>
      </c>
    </row>
    <row r="25084" ht="15.75" customHeight="1">
      <c r="A25084" s="2" t="s">
        <v>25084</v>
      </c>
      <c r="B25084" s="2" t="str">
        <f>IFERROR(__xludf.DUMMYFUNCTION("GOOGLETRANSLATE(A25084, ""en"", ""mt"")"),"X'inhu l-isem tal-mużew u ċ-ċentru ta 'riċerka għall-istudji tal-Lvant Qarib, li huwa proprjetà tal-università?")</f>
        <v>X'inhu l-isem tal-mużew u ċ-ċentru ta 'riċerka għall-istudji tal-Lvant Qarib, li huwa proprjetà tal-università?</v>
      </c>
    </row>
    <row r="25085" ht="15.75" customHeight="1">
      <c r="A25085" s="2" t="s">
        <v>25085</v>
      </c>
      <c r="B25085" s="2" t="str">
        <f>IFERROR(__xludf.DUMMYFUNCTION("GOOGLETRANSLATE(A25085, ""en"", ""mt"")"),"forma ta 'kon")</f>
        <v>forma ta 'kon</v>
      </c>
    </row>
    <row r="25086" ht="15.75" customHeight="1">
      <c r="A25086" s="2" t="s">
        <v>25086</v>
      </c>
      <c r="B25086" s="2" t="str">
        <f>IFERROR(__xludf.DUMMYFUNCTION("GOOGLETRANSLATE(A25086, ""en"", ""mt"")"),"Liema artiklu ġie ppubblikat fl-1937?")</f>
        <v>Liema artiklu ġie ppubblikat fl-1937?</v>
      </c>
    </row>
    <row r="25087" ht="15.75" customHeight="1">
      <c r="A25087" s="2" t="s">
        <v>25087</v>
      </c>
      <c r="B25087" s="2" t="str">
        <f>IFERROR(__xludf.DUMMYFUNCTION("GOOGLETRANSLATE(A25087, ""en"", ""mt"")"),"Il-popolazzjonijiet Anglo-Sassoni")</f>
        <v>Il-popolazzjonijiet Anglo-Sassoni</v>
      </c>
    </row>
    <row r="25088" ht="15.75" customHeight="1">
      <c r="A25088" s="2" t="s">
        <v>25088</v>
      </c>
      <c r="B25088" s="2" t="str">
        <f>IFERROR(__xludf.DUMMYFUNCTION("GOOGLETRANSLATE(A25088, ""en"", ""mt"")"),"X'inhu PPP magħruf ukoll bħala?")</f>
        <v>X'inhu PPP magħruf ukoll bħala?</v>
      </c>
    </row>
    <row r="25089" ht="15.75" customHeight="1">
      <c r="A25089" s="2" t="s">
        <v>25089</v>
      </c>
      <c r="B25089" s="2" t="str">
        <f>IFERROR(__xludf.DUMMYFUNCTION("GOOGLETRANSLATE(A25089, ""en"", ""mt"")"),"X'inhu vantaġġ ewlieni taċ-ċiklu ta 'Rankine?")</f>
        <v>X'inhu vantaġġ ewlieni taċ-ċiklu ta 'Rankine?</v>
      </c>
    </row>
    <row r="25090" ht="15.75" customHeight="1">
      <c r="A25090" s="2" t="s">
        <v>25090</v>
      </c>
      <c r="B25090" s="2" t="str">
        <f>IFERROR(__xludf.DUMMYFUNCTION("GOOGLETRANSLATE(A25090, ""en"", ""mt"")"),"Meta jtejbu s-soċjetà kollha kemm hi")</f>
        <v>Meta jtejbu s-soċjetà kollha kemm hi</v>
      </c>
    </row>
    <row r="25091" ht="15.75" customHeight="1">
      <c r="A25091" s="2" t="s">
        <v>25091</v>
      </c>
      <c r="B25091" s="2" t="str">
        <f>IFERROR(__xludf.DUMMYFUNCTION("GOOGLETRANSLATE(A25091, ""en"", ""mt"")"),"l-oqsma li fihom tista 'tagħmel liġijiet")</f>
        <v>l-oqsma li fihom tista 'tagħmel liġijiet</v>
      </c>
    </row>
    <row r="25092" ht="15.75" customHeight="1">
      <c r="A25092" s="2" t="s">
        <v>25092</v>
      </c>
      <c r="B25092" s="2" t="str">
        <f>IFERROR(__xludf.DUMMYFUNCTION("GOOGLETRANSLATE(A25092, ""en"", ""mt"")"),"Fejn Luther sar irrabjat bil-qerda mifruxa tal-propjetà tal-knisja?")</f>
        <v>Fejn Luther sar irrabjat bil-qerda mifruxa tal-propjetà tal-knisja?</v>
      </c>
    </row>
    <row r="25093" ht="15.75" customHeight="1">
      <c r="A25093" s="2" t="s">
        <v>25093</v>
      </c>
      <c r="B25093" s="2" t="str">
        <f>IFERROR(__xludf.DUMMYFUNCTION("GOOGLETRANSLATE(A25093, ""en"", ""mt"")"),"Iran")</f>
        <v>Iran</v>
      </c>
    </row>
    <row r="25094" ht="15.75" customHeight="1">
      <c r="A25094" s="2" t="s">
        <v>25094</v>
      </c>
      <c r="B25094" s="2" t="str">
        <f>IFERROR(__xludf.DUMMYFUNCTION("GOOGLETRANSLATE(A25094, ""en"", ""mt"")"),"Fort William Henry")</f>
        <v>Fort William Henry</v>
      </c>
    </row>
    <row r="25095" ht="15.75" customHeight="1">
      <c r="A25095" s="2" t="s">
        <v>25095</v>
      </c>
      <c r="B25095" s="2" t="str">
        <f>IFERROR(__xludf.DUMMYFUNCTION("GOOGLETRANSLATE(A25095, ""en"", ""mt"")"),"Sophie Germain")</f>
        <v>Sophie Germain</v>
      </c>
    </row>
    <row r="25096" ht="15.75" customHeight="1">
      <c r="A25096" s="2" t="s">
        <v>25096</v>
      </c>
      <c r="B25096" s="2" t="str">
        <f>IFERROR(__xludf.DUMMYFUNCTION("GOOGLETRANSLATE(A25096, ""en"", ""mt"")"),"barriera tad-demm-moħħ, barriera ta 'fluwidu tad-demm-cerebrospinali, u ostakli simili ta' fluwidu-moħħ")</f>
        <v>barriera tad-demm-moħħ, barriera ta 'fluwidu tad-demm-cerebrospinali, u ostakli simili ta' fluwidu-moħħ</v>
      </c>
    </row>
    <row r="25097" ht="15.75" customHeight="1">
      <c r="A25097" s="2" t="s">
        <v>25097</v>
      </c>
      <c r="B25097" s="2" t="str">
        <f>IFERROR(__xludf.DUMMYFUNCTION("GOOGLETRANSLATE(A25097, ""en"", ""mt"")"),"U.S.")</f>
        <v>U.S.</v>
      </c>
    </row>
    <row r="25098" ht="15.75" customHeight="1">
      <c r="A25098" s="2" t="s">
        <v>25098</v>
      </c>
      <c r="B25098" s="2" t="str">
        <f>IFERROR(__xludf.DUMMYFUNCTION("GOOGLETRANSLATE(A25098, ""en"", ""mt"")"),"Liema triq spazjali hija meqjusa bħala linja mgħawġa fl-ispazju?")</f>
        <v>Liema triq spazjali hija meqjusa bħala linja mgħawġa fl-ispazju?</v>
      </c>
    </row>
    <row r="25099" ht="15.75" customHeight="1">
      <c r="A25099" s="2" t="s">
        <v>25099</v>
      </c>
      <c r="B25099" s="2" t="str">
        <f>IFERROR(__xludf.DUMMYFUNCTION("GOOGLETRANSLATE(A25099, ""en"", ""mt"")"),"Biex tirrimedja l-kawżi tan-nar, saru bidliet fil-vettura spazjali tal-blokka II u l-proċeduri operattivi, li l-iktar importanti minnhom kienu l-użu ta 'taħlita ta' nitroġenu / ossiġenu minflok ossiġnu pur qabel u waqt it-tnedija, u t-tneħħija ta 'kabina "&amp;"u libsa ta' l-ispazju fjammabbli materjali. Id-disinn tal-Blokk II diġà talab għas-sostituzzjoni tal-kopertura tal-bokkaporti tat-tip Plug Blokk I b'bieb ta 'ftuħ ta' barra, li jinħeles malajr. In-NASA waqqfet il-programm tal-Block I bl-ekwipaġġ, billi tu"&amp;"ża l-vettura spazjali Blokk I biss għal titjiriet Saturn V mingħajr ekwipaġġ. Il-membri tal-ekwipaġġ jilbsu wkoll esklussivament ilbiesi spazjali modifikati, reżistenti għan-nar, u jkunu magħżula bit-titli tal-Blokk II, irrispettivament minn jekk LM kienx"&amp;" preżenti fit-titjira jew le.")</f>
        <v>Biex tirrimedja l-kawżi tan-nar, saru bidliet fil-vettura spazjali tal-blokka II u l-proċeduri operattivi, li l-iktar importanti minnhom kienu l-użu ta 'taħlita ta' nitroġenu / ossiġenu minflok ossiġnu pur qabel u waqt it-tnedija, u t-tneħħija ta 'kabina u libsa ta' l-ispazju fjammabbli materjali. Id-disinn tal-Blokk II diġà talab għas-sostituzzjoni tal-kopertura tal-bokkaporti tat-tip Plug Blokk I b'bieb ta 'ftuħ ta' barra, li jinħeles malajr. In-NASA waqqfet il-programm tal-Block I bl-ekwipaġġ, billi tuża l-vettura spazjali Blokk I biss għal titjiriet Saturn V mingħajr ekwipaġġ. Il-membri tal-ekwipaġġ jilbsu wkoll esklussivament ilbiesi spazjali modifikati, reżistenti għan-nar, u jkunu magħżula bit-titli tal-Blokk II, irrispettivament minn jekk LM kienx preżenti fit-titjira jew le.</v>
      </c>
    </row>
    <row r="25100" ht="15.75" customHeight="1">
      <c r="A25100" s="2" t="s">
        <v>25100</v>
      </c>
      <c r="B25100" s="2" t="str">
        <f>IFERROR(__xludf.DUMMYFUNCTION("GOOGLETRANSLATE(A25100, ""en"", ""mt"")"),"Nixxigħat diġitali tal-logħba")</f>
        <v>Nixxigħat diġitali tal-logħba</v>
      </c>
    </row>
    <row r="25101" ht="15.75" customHeight="1">
      <c r="A25101" s="2" t="s">
        <v>25101</v>
      </c>
      <c r="B25101" s="2" t="str">
        <f>IFERROR(__xludf.DUMMYFUNCTION("GOOGLETRANSLATE(A25101, ""en"", ""mt"")"),"340 mil")</f>
        <v>340 mil</v>
      </c>
    </row>
    <row r="25102" ht="15.75" customHeight="1">
      <c r="A25102" s="2" t="s">
        <v>25102</v>
      </c>
      <c r="B25102" s="2" t="str">
        <f>IFERROR(__xludf.DUMMYFUNCTION("GOOGLETRANSLATE(A25102, ""en"", ""mt"")"),"Minn xiex kien il-kunċett ta 'forza?")</f>
        <v>Minn xiex kien il-kunċett ta 'forza?</v>
      </c>
    </row>
    <row r="25103" ht="15.75" customHeight="1">
      <c r="A25103" s="2" t="s">
        <v>25103</v>
      </c>
      <c r="B25103" s="2" t="str">
        <f>IFERROR(__xludf.DUMMYFUNCTION("GOOGLETRANSLATE(A25103, ""en"", ""mt"")"),"Il-fergħa ġudizzjarja")</f>
        <v>Il-fergħa ġudizzjarja</v>
      </c>
    </row>
    <row r="25104" ht="15.75" customHeight="1">
      <c r="A25104" s="2" t="s">
        <v>25104</v>
      </c>
      <c r="B25104" s="2" t="str">
        <f>IFERROR(__xludf.DUMMYFUNCTION("GOOGLETRANSLATE(A25104, ""en"", ""mt"")"),"L-introduzzjoni aċċidentali tal-Mnemiopsis li tiekol l-Amerika ta ’Fuq Ctenophore Beroe Ovata, u permezz ta’ tkessiħ tal-klima lokali mill-1991 sal-1993")</f>
        <v>L-introduzzjoni aċċidentali tal-Mnemiopsis li tiekol l-Amerika ta ’Fuq Ctenophore Beroe Ovata, u permezz ta’ tkessiħ tal-klima lokali mill-1991 sal-1993</v>
      </c>
    </row>
    <row r="25105" ht="15.75" customHeight="1">
      <c r="A25105" s="2" t="s">
        <v>25105</v>
      </c>
      <c r="B25105" s="2" t="str">
        <f>IFERROR(__xludf.DUMMYFUNCTION("GOOGLETRANSLATE(A25105, ""en"", ""mt"")"),"Ipprojbixxa t-tkabbir tal-kafè, introduċa taxxa għarix, u l-art mingħajr art ingħataw inqas u inqas art")</f>
        <v>Ipprojbixxa t-tkabbir tal-kafè, introduċa taxxa għarix, u l-art mingħajr art ingħataw inqas u inqas art</v>
      </c>
    </row>
    <row r="25106" ht="15.75" customHeight="1">
      <c r="A25106" s="2" t="s">
        <v>25106</v>
      </c>
      <c r="B25106" s="2" t="str">
        <f>IFERROR(__xludf.DUMMYFUNCTION("GOOGLETRANSLATE(A25106, ""en"", ""mt"")"),"Orange County huwa ċentru tan-negozju li qed jiżviluppa malajr li jinkludi d-downtown ta 'Santa Ana, id-distretti taċ-Ċentru ta' South Coast u Newport; kif ukoll iċ-ċentri tan-negozju Irvine tal-Irvine Spectrum, West Irvine, u korporazzjonijiet internazzj"&amp;"onali bil-kwartjieri ġenerali fl-Università ta ’California, Irvine. West Irvine tinkludi l-Irvine Tech Centre u l-Parks tan-Negozju Jamboree.")</f>
        <v>Orange County huwa ċentru tan-negozju li qed jiżviluppa malajr li jinkludi d-downtown ta 'Santa Ana, id-distretti taċ-Ċentru ta' South Coast u Newport; kif ukoll iċ-ċentri tan-negozju Irvine tal-Irvine Spectrum, West Irvine, u korporazzjonijiet internazzjonali bil-kwartjieri ġenerali fl-Università ta ’California, Irvine. West Irvine tinkludi l-Irvine Tech Centre u l-Parks tan-Negozju Jamboree.</v>
      </c>
    </row>
    <row r="25107" ht="15.75" customHeight="1">
      <c r="A25107" s="2" t="s">
        <v>25107</v>
      </c>
      <c r="B25107" s="2" t="str">
        <f>IFERROR(__xludf.DUMMYFUNCTION("GOOGLETRANSLATE(A25107, ""en"", ""mt"")"),"forza normali")</f>
        <v>forza normali</v>
      </c>
    </row>
    <row r="25108" ht="15.75" customHeight="1">
      <c r="A25108" s="2" t="s">
        <v>25108</v>
      </c>
      <c r="B25108" s="2" t="str">
        <f>IFERROR(__xludf.DUMMYFUNCTION("GOOGLETRANSLATE(A25108, ""en"", ""mt"")"),"Meta mqabbel ma 'elementi oħra, kemm huwa abbundanti l-ossiġnu?")</f>
        <v>Meta mqabbel ma 'elementi oħra, kemm huwa abbundanti l-ossiġnu?</v>
      </c>
    </row>
    <row r="25109" ht="15.75" customHeight="1">
      <c r="A25109" s="2" t="s">
        <v>25109</v>
      </c>
      <c r="B25109" s="2" t="str">
        <f>IFERROR(__xludf.DUMMYFUNCTION("GOOGLETRANSLATE(A25109, ""en"", ""mt"")"),"Xi tiddependi l-ġustifikazzjoni tal-bniedem fil-fidi?")</f>
        <v>Xi tiddependi l-ġustifikazzjoni tal-bniedem fil-fidi?</v>
      </c>
    </row>
    <row r="25110" ht="15.75" customHeight="1">
      <c r="A25110" s="2" t="s">
        <v>25110</v>
      </c>
      <c r="B25110" s="2" t="str">
        <f>IFERROR(__xludf.DUMMYFUNCTION("GOOGLETRANSLATE(A25110, ""en"", ""mt"")"),"Għal xiex iwassal in-nuqqas ta 'edukazzjoni direttament?")</f>
        <v>Għal xiex iwassal in-nuqqas ta 'edukazzjoni direttament?</v>
      </c>
    </row>
    <row r="25111" ht="15.75" customHeight="1">
      <c r="A25111" s="2" t="s">
        <v>25111</v>
      </c>
      <c r="B25111" s="2" t="str">
        <f>IFERROR(__xludf.DUMMYFUNCTION("GOOGLETRANSLATE(A25111, ""en"", ""mt"")"),"X'tip ta 'pagi ma jistgħux jaffordjaw edukazzjoni?")</f>
        <v>X'tip ta 'pagi ma jistgħux jaffordjaw edukazzjoni?</v>
      </c>
    </row>
    <row r="25112" ht="15.75" customHeight="1">
      <c r="A25112" s="2" t="s">
        <v>25112</v>
      </c>
      <c r="B25112" s="2" t="str">
        <f>IFERROR(__xludf.DUMMYFUNCTION("GOOGLETRANSLATE(A25112, ""en"", ""mt"")"),"Nikola Tesla (Serb Cyrillic: никола тесла; 10 ta 'Lulju 1856 - 7 ta' Jannar 1943) kien inventur Amerikan Serb, inġinier elettriku, inġinier mekkaniku, fiżiċista, u futurist l-aktar magħruf għad-disinn tiegħu għad-disinn tal-kurrent alternattiv modern (AC)"&amp;" elettriku sistema ta 'provvista.")</f>
        <v>Nikola Tesla (Serb Cyrillic: никола тесла; 10 ta 'Lulju 1856 - 7 ta' Jannar 1943) kien inventur Amerikan Serb, inġinier elettriku, inġinier mekkaniku, fiżiċista, u futurist l-aktar magħruf għad-disinn tiegħu għad-disinn tal-kurrent alternattiv modern (AC) elettriku sistema ta 'provvista.</v>
      </c>
    </row>
    <row r="25113" ht="15.75" customHeight="1">
      <c r="A25113" s="2" t="s">
        <v>25113</v>
      </c>
      <c r="B25113" s="2" t="str">
        <f>IFERROR(__xludf.DUMMYFUNCTION("GOOGLETRANSLATE(A25113, ""en"", ""mt"")"),"Qaddis Grazzja")</f>
        <v>Qaddis Grazzja</v>
      </c>
    </row>
    <row r="25114" ht="15.75" customHeight="1">
      <c r="A25114" s="2" t="s">
        <v>25114</v>
      </c>
      <c r="B25114" s="2" t="str">
        <f>IFERROR(__xludf.DUMMYFUNCTION("GOOGLETRANSLATE(A25114, ""en"", ""mt"")"),"Ġlieda ideoloġika")</f>
        <v>Ġlieda ideoloġika</v>
      </c>
    </row>
    <row r="25115" ht="15.75" customHeight="1">
      <c r="A25115" s="2" t="s">
        <v>25115</v>
      </c>
      <c r="B25115" s="2" t="str">
        <f>IFERROR(__xludf.DUMMYFUNCTION("GOOGLETRANSLATE(A25115, ""en"", ""mt"")"),"Relazzjonijiet bejn l-istudenti-għalliema")</f>
        <v>Relazzjonijiet bejn l-istudenti-għalliema</v>
      </c>
    </row>
    <row r="25116" ht="15.75" customHeight="1">
      <c r="A25116" s="2" t="s">
        <v>25116</v>
      </c>
      <c r="B25116" s="2" t="str">
        <f>IFERROR(__xludf.DUMMYFUNCTION("GOOGLETRANSLATE(A25116, ""en"", ""mt"")"),"$ 400,000 - $ 450,000")</f>
        <v>$ 400,000 - $ 450,000</v>
      </c>
    </row>
    <row r="25117" ht="15.75" customHeight="1">
      <c r="A25117" s="2" t="s">
        <v>25117</v>
      </c>
      <c r="B25117" s="2" t="str">
        <f>IFERROR(__xludf.DUMMYFUNCTION("GOOGLETRANSLATE(A25117, ""en"", ""mt"")"),"toroq militari għaż-żona")</f>
        <v>toroq militari għaż-żona</v>
      </c>
    </row>
    <row r="25118" ht="15.75" customHeight="1">
      <c r="A25118" s="2" t="s">
        <v>25118</v>
      </c>
      <c r="B25118" s="2" t="str">
        <f>IFERROR(__xludf.DUMMYFUNCTION("GOOGLETRANSLATE(A25118, ""en"", ""mt"")"),"Liema entità hija maħluqa jekk it-tliet istituzzjonijiet differenti ma jistgħux jaslu għal kunsens fi kwalunkwe stadju?")</f>
        <v>Liema entità hija maħluqa jekk it-tliet istituzzjonijiet differenti ma jistgħux jaslu għal kunsens fi kwalunkwe stadju?</v>
      </c>
    </row>
    <row r="25119" ht="15.75" customHeight="1">
      <c r="A25119" s="2" t="s">
        <v>25119</v>
      </c>
      <c r="B25119" s="2" t="str">
        <f>IFERROR(__xludf.DUMMYFUNCTION("GOOGLETRANSLATE(A25119, ""en"", ""mt"")"),"Tgif")</f>
        <v>Tgif</v>
      </c>
    </row>
    <row r="25120" ht="15.75" customHeight="1">
      <c r="A25120" s="2" t="s">
        <v>25120</v>
      </c>
      <c r="B25120" s="2" t="str">
        <f>IFERROR(__xludf.DUMMYFUNCTION("GOOGLETRANSLATE(A25120, ""en"", ""mt"")"),"Matul iċ-ċessjoni mill-moviment tal-Afrika t'Isfel fl-aħħar tas-snin 1980, l-attivisti tal-istudenti bnew ""shantytown"" simboliku fit-tarzna ta 'Harvard u imblukkaw diskors mogħti mill-viċi-konslu tal-Afrika t'Isfel Duke Kent-Brown. Il-Kumpanija ta 'Ġest"&amp;"joni ta' Harvard ripetutament irrifjutat li tbiegħ, u ddikjarat li ""l-ispejjeż operattivi m'għandhomx ikunu soġġetti għal restrizzjonijiet finanzjarjament mhux realistiċi jew carping minn dawk mhux sofistikati jew minn gruppi ta 'interess speċjali."" Mad"&amp;"ankollu, l-università eventwalment naqset l-azjendi tal-Afrika t'Isfel tagħha b '$ 230 miljun (minn $ 400 miljun) b'reazzjoni għall-pressjoni.")</f>
        <v>Matul iċ-ċessjoni mill-moviment tal-Afrika t'Isfel fl-aħħar tas-snin 1980, l-attivisti tal-istudenti bnew "shantytown" simboliku fit-tarzna ta 'Harvard u imblukkaw diskors mogħti mill-viċi-konslu tal-Afrika t'Isfel Duke Kent-Brown. Il-Kumpanija ta 'Ġestjoni ta' Harvard ripetutament irrifjutat li tbiegħ, u ddikjarat li "l-ispejjeż operattivi m'għandhomx ikunu soġġetti għal restrizzjonijiet finanzjarjament mhux realistiċi jew carping minn dawk mhux sofistikati jew minn gruppi ta 'interess speċjali." Madankollu, l-università eventwalment naqset l-azjendi tal-Afrika t'Isfel tagħha b '$ 230 miljun (minn $ 400 miljun) b'reazzjoni għall-pressjoni.</v>
      </c>
    </row>
    <row r="25121" ht="15.75" customHeight="1">
      <c r="A25121" s="2" t="s">
        <v>25121</v>
      </c>
      <c r="B25121" s="2" t="str">
        <f>IFERROR(__xludf.DUMMYFUNCTION("GOOGLETRANSLATE(A25121, ""en"", ""mt"")"),"Suppliment tal-Ħlas tat-Tagħlim")</f>
        <v>Suppliment tal-Ħlas tat-Tagħlim</v>
      </c>
    </row>
    <row r="25122" ht="15.75" customHeight="1">
      <c r="A25122" s="2" t="s">
        <v>25122</v>
      </c>
      <c r="B25122" s="2" t="str">
        <f>IFERROR(__xludf.DUMMYFUNCTION("GOOGLETRANSLATE(A25122, ""en"", ""mt"")"),"vawċer")</f>
        <v>vawċer</v>
      </c>
    </row>
    <row r="25123" ht="15.75" customHeight="1">
      <c r="A25123" s="2" t="s">
        <v>25123</v>
      </c>
      <c r="B25123" s="2" t="str">
        <f>IFERROR(__xludf.DUMMYFUNCTION("GOOGLETRANSLATE(A25123, ""en"", ""mt"")"),"Fuq liema ġurnata kellha l-logħba?")</f>
        <v>Fuq liema ġurnata kellha l-logħba?</v>
      </c>
    </row>
    <row r="25124" ht="15.75" customHeight="1">
      <c r="A25124" s="2" t="s">
        <v>25124</v>
      </c>
      <c r="B25124" s="2" t="str">
        <f>IFERROR(__xludf.DUMMYFUNCTION("GOOGLETRANSLATE(A25124, ""en"", ""mt"")"),"Meta fetħet l-Operazzjoni Anvil?")</f>
        <v>Meta fetħet l-Operazzjoni Anvil?</v>
      </c>
    </row>
    <row r="25125" ht="15.75" customHeight="1">
      <c r="A25125" s="2" t="s">
        <v>25125</v>
      </c>
      <c r="B25125" s="2" t="str">
        <f>IFERROR(__xludf.DUMMYFUNCTION("GOOGLETRANSLATE(A25125, ""en"", ""mt"")"),"Kemm touchdowns tarmi Brock Osweiler fl-istaġun?")</f>
        <v>Kemm touchdowns tarmi Brock Osweiler fl-istaġun?</v>
      </c>
    </row>
    <row r="25126" ht="15.75" customHeight="1">
      <c r="A25126" s="2" t="s">
        <v>25126</v>
      </c>
      <c r="B25126" s="2" t="str">
        <f>IFERROR(__xludf.DUMMYFUNCTION("GOOGLETRANSLATE(A25126, ""en"", ""mt"")"),"Raġunijiet Bibliċi")</f>
        <v>Raġunijiet Bibliċi</v>
      </c>
    </row>
    <row r="25127" ht="15.75" customHeight="1">
      <c r="A25127" s="2" t="s">
        <v>25127</v>
      </c>
      <c r="B25127" s="2" t="str">
        <f>IFERROR(__xludf.DUMMYFUNCTION("GOOGLETRANSLATE(A25127, ""en"", ""mt"")"),"X'inhuma d-djakni mogħtija jekk jinħatru bħala ragħaj fi knisja lokali?")</f>
        <v>X'inhuma d-djakni mogħtija jekk jinħatru bħala ragħaj fi knisja lokali?</v>
      </c>
    </row>
    <row r="25128" ht="15.75" customHeight="1">
      <c r="A25128" s="2" t="s">
        <v>25128</v>
      </c>
      <c r="B25128" s="2" t="str">
        <f>IFERROR(__xludf.DUMMYFUNCTION("GOOGLETRANSLATE(A25128, ""en"", ""mt"")"),"Liema tipi ta 'programmi jgħinu biex jerġgħu jqassmu l-ġid?")</f>
        <v>Liema tipi ta 'programmi jgħinu biex jerġgħu jqassmu l-ġid?</v>
      </c>
    </row>
    <row r="25129" ht="15.75" customHeight="1">
      <c r="A25129" s="2" t="s">
        <v>25129</v>
      </c>
      <c r="B25129" s="2" t="str">
        <f>IFERROR(__xludf.DUMMYFUNCTION("GOOGLETRANSLATE(A25129, ""en"", ""mt"")"),"fagoċitiku")</f>
        <v>fagoċitiku</v>
      </c>
    </row>
    <row r="25130" ht="15.75" customHeight="1">
      <c r="A25130" s="2" t="s">
        <v>25130</v>
      </c>
      <c r="B25130" s="2" t="str">
        <f>IFERROR(__xludf.DUMMYFUNCTION("GOOGLETRANSLATE(A25130, ""en"", ""mt"")"),"il-Lvant Nofsani")</f>
        <v>il-Lvant Nofsani</v>
      </c>
    </row>
    <row r="25131" ht="15.75" customHeight="1">
      <c r="A25131" s="2" t="s">
        <v>25131</v>
      </c>
      <c r="B25131" s="2" t="str">
        <f>IFERROR(__xludf.DUMMYFUNCTION("GOOGLETRANSLATE(A25131, ""en"", ""mt"")"),"Ma 'min għaqqad il-BSKYB għax ma kienx parti mill-konsorzju?")</f>
        <v>Ma 'min għaqqad il-BSKYB għax ma kienx parti mill-konsorzju?</v>
      </c>
    </row>
    <row r="25132" ht="15.75" customHeight="1">
      <c r="A25132" s="2" t="s">
        <v>25132</v>
      </c>
      <c r="B25132" s="2" t="str">
        <f>IFERROR(__xludf.DUMMYFUNCTION("GOOGLETRANSLATE(A25132, ""en"", ""mt"")"),"Kemm baqa 'ħin fuq l-arloġġ meta l-Broncos għamlu l-interċettazzjoni li kisbet il-logħba tal-kampjonat AFC?")</f>
        <v>Kemm baqa 'ħin fuq l-arloġġ meta l-Broncos għamlu l-interċettazzjoni li kisbet il-logħba tal-kampjonat AFC?</v>
      </c>
    </row>
    <row r="25133" ht="15.75" customHeight="1">
      <c r="A25133" s="2" t="s">
        <v>25133</v>
      </c>
      <c r="B25133" s="2" t="str">
        <f>IFERROR(__xludf.DUMMYFUNCTION("GOOGLETRANSLATE(A25133, ""en"", ""mt"")"),"Ko-NP")</f>
        <v>Ko-NP</v>
      </c>
    </row>
    <row r="25134" ht="15.75" customHeight="1">
      <c r="A25134" s="2" t="s">
        <v>25134</v>
      </c>
      <c r="B25134" s="2" t="str">
        <f>IFERROR(__xludf.DUMMYFUNCTION("GOOGLETRANSLATE(A25134, ""en"", ""mt"")"),"Liema battalji navali tilfet Franza fl-1759?")</f>
        <v>Liema battalji navali tilfet Franza fl-1759?</v>
      </c>
    </row>
    <row r="25135" ht="15.75" customHeight="1">
      <c r="A25135" s="2" t="s">
        <v>25135</v>
      </c>
      <c r="B25135" s="2" t="str">
        <f>IFERROR(__xludf.DUMMYFUNCTION("GOOGLETRANSLATE(A25135, ""en"", ""mt"")"),"Min jista 'jkun is-suġġetti ta' investigazzjoni tal-kulleġġ ta 'għalliem?")</f>
        <v>Min jista 'jkun is-suġġetti ta' investigazzjoni tal-kulleġġ ta 'għalliem?</v>
      </c>
    </row>
    <row r="25136" ht="15.75" customHeight="1">
      <c r="A25136" s="2" t="s">
        <v>25136</v>
      </c>
      <c r="B25136" s="2" t="str">
        <f>IFERROR(__xludf.DUMMYFUNCTION("GOOGLETRANSLATE(A25136, ""en"", ""mt"")"),"L-estinzjoni tal-Kretaċeju-Paleogene")</f>
        <v>L-estinzjoni tal-Kretaċeju-Paleogene</v>
      </c>
    </row>
    <row r="25137" ht="15.75" customHeight="1">
      <c r="A25137" s="2" t="s">
        <v>25137</v>
      </c>
      <c r="B25137" s="2" t="str">
        <f>IFERROR(__xludf.DUMMYFUNCTION("GOOGLETRANSLATE(A25137, ""en"", ""mt"")"),"Għaliex Priestley ġeneralment jingħata kreditu talli l-ewwel qed jiskopri l-ossiġnu?")</f>
        <v>Għaliex Priestley ġeneralment jingħata kreditu talli l-ewwel qed jiskopri l-ossiġnu?</v>
      </c>
    </row>
    <row r="25138" ht="15.75" customHeight="1">
      <c r="A25138" s="2" t="s">
        <v>25138</v>
      </c>
      <c r="B25138" s="2" t="str">
        <f>IFERROR(__xludf.DUMMYFUNCTION("GOOGLETRANSLATE(A25138, ""en"", ""mt"")"),"Pjazza tal-Parlament, High Street u George IV Bridge f'Edinburgu")</f>
        <v>Pjazza tal-Parlament, High Street u George IV Bridge f'Edinburgu</v>
      </c>
    </row>
    <row r="25139" ht="15.75" customHeight="1">
      <c r="A25139" s="2" t="s">
        <v>25139</v>
      </c>
      <c r="B25139" s="2" t="str">
        <f>IFERROR(__xludf.DUMMYFUNCTION("GOOGLETRANSLATE(A25139, ""en"", ""mt"")"),"Meta Li Tan mexxa rewwixta?")</f>
        <v>Meta Li Tan mexxa rewwixta?</v>
      </c>
    </row>
    <row r="25140" ht="15.75" customHeight="1">
      <c r="A25140" s="2" t="s">
        <v>25140</v>
      </c>
      <c r="B25140" s="2" t="str">
        <f>IFERROR(__xludf.DUMMYFUNCTION("GOOGLETRANSLATE(A25140, ""en"", ""mt"")"),"12 sa 15-il miljun")</f>
        <v>12 sa 15-il miljun</v>
      </c>
    </row>
    <row r="25141" ht="15.75" customHeight="1">
      <c r="A25141" s="2" t="s">
        <v>25141</v>
      </c>
      <c r="B25141" s="2" t="str">
        <f>IFERROR(__xludf.DUMMYFUNCTION("GOOGLETRANSLATE(A25141, ""en"", ""mt"")"),"Min mexxa l-iktar espansjoni rapida tal-imperu Mongoljan?")</f>
        <v>Min mexxa l-iktar espansjoni rapida tal-imperu Mongoljan?</v>
      </c>
    </row>
    <row r="25142" ht="15.75" customHeight="1">
      <c r="A25142" s="2" t="s">
        <v>25142</v>
      </c>
      <c r="B25142" s="2" t="str">
        <f>IFERROR(__xludf.DUMMYFUNCTION("GOOGLETRANSLATE(A25142, ""en"", ""mt"")"),"extra-legali")</f>
        <v>extra-legali</v>
      </c>
    </row>
    <row r="25143" ht="15.75" customHeight="1">
      <c r="A25143" s="2" t="s">
        <v>25143</v>
      </c>
      <c r="B25143" s="2" t="str">
        <f>IFERROR(__xludf.DUMMYFUNCTION("GOOGLETRANSLATE(A25143, ""en"", ""mt"")"),"Nisrani")</f>
        <v>Nisrani</v>
      </c>
    </row>
    <row r="25144" ht="15.75" customHeight="1">
      <c r="A25144" s="2" t="s">
        <v>25144</v>
      </c>
      <c r="B25144" s="2" t="str">
        <f>IFERROR(__xludf.DUMMYFUNCTION("GOOGLETRANSLATE(A25144, ""en"", ""mt"")"),"fażi likwida")</f>
        <v>fażi likwida</v>
      </c>
    </row>
    <row r="25145" ht="15.75" customHeight="1">
      <c r="A25145" s="2" t="s">
        <v>25145</v>
      </c>
      <c r="B25145" s="2" t="str">
        <f>IFERROR(__xludf.DUMMYFUNCTION("GOOGLETRANSLATE(A25145, ""en"", ""mt"")"),"Mard awtoimmuni, mard infjammatorju u kanċer")</f>
        <v>Mard awtoimmuni, mard infjammatorju u kanċer</v>
      </c>
    </row>
    <row r="25146" ht="15.75" customHeight="1">
      <c r="A25146" s="2" t="s">
        <v>25146</v>
      </c>
      <c r="B25146" s="2" t="str">
        <f>IFERROR(__xludf.DUMMYFUNCTION("GOOGLETRANSLATE(A25146, ""en"", ""mt"")"),"Min kien l-ewwel president tal-Università ta ’Chicago?")</f>
        <v>Min kien l-ewwel president tal-Università ta ’Chicago?</v>
      </c>
    </row>
    <row r="25147" ht="15.75" customHeight="1">
      <c r="A25147" s="2" t="s">
        <v>25147</v>
      </c>
      <c r="B25147" s="2" t="str">
        <f>IFERROR(__xludf.DUMMYFUNCTION("GOOGLETRANSLATE(A25147, ""en"", ""mt"")"),"Estensjoni")</f>
        <v>Estensjoni</v>
      </c>
    </row>
    <row r="25148" ht="15.75" customHeight="1">
      <c r="A25148" s="2" t="s">
        <v>25148</v>
      </c>
      <c r="B25148" s="2" t="str">
        <f>IFERROR(__xludf.DUMMYFUNCTION("GOOGLETRANSLATE(A25148, ""en"", ""mt"")"),"Il-kloroplasti waħedhom jagħmlu kważi l-aċidi amminiċi taċ-ċellula tal-pjanti fl-istoma tagħhom ħlief dawk li fihom il-kubrit bħal ċisteina u metjonina. Cysteine ​​huwa magħmul fil-kloroplast (il-proplastid ukoll) iżda huwa sintetizzat ukoll fiċ-ċitosol u"&amp;" l-mitokondrija, probabbilment minħabba li għandu problemi biex jaqsam il-membrani biex jasal fejn hemm bżonn. Il-kloroplast huwa magħruf li jagħmel il-prekursuri għall-metjonina iżda mhux ċar jekk l-organella twettaqx l-aħħar sieq tal-passaġġ jew jekk ji"&amp;"ġri fiċ-ċitosol.")</f>
        <v>Il-kloroplasti waħedhom jagħmlu kważi l-aċidi amminiċi taċ-ċellula tal-pjanti fl-istoma tagħhom ħlief dawk li fihom il-kubrit bħal ċisteina u metjonina. Cysteine ​​huwa magħmul fil-kloroplast (il-proplastid ukoll) iżda huwa sintetizzat ukoll fiċ-ċitosol u l-mitokondrija, probabbilment minħabba li għandu problemi biex jaqsam il-membrani biex jasal fejn hemm bżonn. Il-kloroplast huwa magħruf li jagħmel il-prekursuri għall-metjonina iżda mhux ċar jekk l-organella twettaqx l-aħħar sieq tal-passaġġ jew jekk jiġri fiċ-ċitosol.</v>
      </c>
    </row>
    <row r="25149" ht="15.75" customHeight="1">
      <c r="A25149" s="2" t="s">
        <v>25149</v>
      </c>
      <c r="B25149" s="2" t="str">
        <f>IFERROR(__xludf.DUMMYFUNCTION("GOOGLETRANSLATE(A25149, ""en"", ""mt"")"),"3–2.7 biljun sena ilu")</f>
        <v>3–2.7 biljun sena ilu</v>
      </c>
    </row>
    <row r="25150" ht="15.75" customHeight="1">
      <c r="A25150" s="2" t="s">
        <v>25150</v>
      </c>
      <c r="B25150" s="2" t="str">
        <f>IFERROR(__xludf.DUMMYFUNCTION("GOOGLETRANSLATE(A25150, ""en"", ""mt"")"),"Klassifikazzjoni baxxa fil-karriera 67.9 passer,")</f>
        <v>Klassifikazzjoni baxxa fil-karriera 67.9 passer,</v>
      </c>
    </row>
    <row r="25151" ht="15.75" customHeight="1">
      <c r="A25151" s="2" t="s">
        <v>25151</v>
      </c>
      <c r="B25151" s="2" t="str">
        <f>IFERROR(__xludf.DUMMYFUNCTION("GOOGLETRANSLATE(A25151, ""en"", ""mt"")"),"Jekk il-forza tal-apparat ta 'żewġ ferzzjonijiet hija repulsiva, x'inhi l-funzjoni spin?")</f>
        <v>Jekk il-forza tal-apparat ta 'żewġ ferzzjonijiet hija repulsiva, x'inhi l-funzjoni spin?</v>
      </c>
    </row>
    <row r="25152" ht="15.75" customHeight="1">
      <c r="A25152" s="2" t="s">
        <v>25152</v>
      </c>
      <c r="B25152" s="2" t="str">
        <f>IFERROR(__xludf.DUMMYFUNCTION("GOOGLETRANSLATE(A25152, ""en"", ""mt"")"),"Innu Creedal Ġermaniż preċedenti,")</f>
        <v>Innu Creedal Ġermaniż preċedenti,</v>
      </c>
    </row>
    <row r="25153" ht="15.75" customHeight="1">
      <c r="A25153" s="2" t="s">
        <v>25153</v>
      </c>
      <c r="B25153" s="2" t="str">
        <f>IFERROR(__xludf.DUMMYFUNCTION("GOOGLETRANSLATE(A25153, ""en"", ""mt"")"),"Dynasties Ċiniżi")</f>
        <v>Dynasties Ċiniżi</v>
      </c>
    </row>
    <row r="25154" ht="15.75" customHeight="1">
      <c r="A25154" s="2" t="s">
        <v>25154</v>
      </c>
      <c r="B25154" s="2" t="str">
        <f>IFERROR(__xludf.DUMMYFUNCTION("GOOGLETRANSLATE(A25154, ""en"", ""mt"")"),"summa cum laude")</f>
        <v>summa cum laude</v>
      </c>
    </row>
    <row r="25155" ht="15.75" customHeight="1">
      <c r="A25155" s="2" t="s">
        <v>25155</v>
      </c>
      <c r="B25155" s="2" t="str">
        <f>IFERROR(__xludf.DUMMYFUNCTION("GOOGLETRANSLATE(A25155, ""en"", ""mt"")"),"Liema tim kien ir-rebbieħ tas-Super Bowl XXXIII?")</f>
        <v>Liema tim kien ir-rebbieħ tas-Super Bowl XXXIII?</v>
      </c>
    </row>
    <row r="25156" ht="15.75" customHeight="1">
      <c r="A25156" s="2" t="s">
        <v>25156</v>
      </c>
      <c r="B25156" s="2" t="str">
        <f>IFERROR(__xludf.DUMMYFUNCTION("GOOGLETRANSLATE(A25156, ""en"", ""mt"")"),"preċiż")</f>
        <v>preċiż</v>
      </c>
    </row>
    <row r="25157" ht="15.75" customHeight="1">
      <c r="A25157" s="2" t="s">
        <v>25157</v>
      </c>
      <c r="B25157" s="2" t="str">
        <f>IFERROR(__xludf.DUMMYFUNCTION("GOOGLETRANSLATE(A25157, ""en"", ""mt"")"),"Meta l-università bdiet ikollha programm ta 'grad ta' baċellerat fiċ-ċinema u l-istudji tal-midja?")</f>
        <v>Meta l-università bdiet ikollha programm ta 'grad ta' baċellerat fiċ-ċinema u l-istudji tal-midja?</v>
      </c>
    </row>
    <row r="25158" ht="15.75" customHeight="1">
      <c r="A25158" s="2" t="s">
        <v>25158</v>
      </c>
      <c r="B25158" s="2" t="str">
        <f>IFERROR(__xludf.DUMMYFUNCTION("GOOGLETRANSLATE(A25158, ""en"", ""mt"")"),"Julia Butterfly Hill")</f>
        <v>Julia Butterfly Hill</v>
      </c>
    </row>
    <row r="25159" ht="15.75" customHeight="1">
      <c r="A25159" s="2" t="s">
        <v>25159</v>
      </c>
      <c r="B25159" s="2" t="str">
        <f>IFERROR(__xludf.DUMMYFUNCTION("GOOGLETRANSLATE(A25159, ""en"", ""mt"")"),"Rakkomandat mill-Konferenza tar-Ragħaj u tal-Knisja tagħhom jew tal-Ħlas, u Imla l-Kors Bażiku għal Qaddej Lajk")</f>
        <v>Rakkomandat mill-Konferenza tar-Ragħaj u tal-Knisja tagħhom jew tal-Ħlas, u Imla l-Kors Bażiku għal Qaddej Lajk</v>
      </c>
    </row>
    <row r="25160" ht="15.75" customHeight="1">
      <c r="A25160" s="2" t="s">
        <v>25160</v>
      </c>
      <c r="B25160" s="2" t="str">
        <f>IFERROR(__xludf.DUMMYFUNCTION("GOOGLETRANSLATE(A25160, ""en"", ""mt"")"),"Meta ġiet rilaxxata s-soundtrack għas-serje 5?")</f>
        <v>Meta ġiet rilaxxata s-soundtrack għas-serje 5?</v>
      </c>
    </row>
    <row r="25161" ht="15.75" customHeight="1">
      <c r="A25161" s="2" t="s">
        <v>25161</v>
      </c>
      <c r="B25161" s="2" t="str">
        <f>IFERROR(__xludf.DUMMYFUNCTION("GOOGLETRANSLATE(A25161, ""en"", ""mt"")"),"Ma 'Tesla ma tissieletx waqt li kienet l-iskola?")</f>
        <v>Ma 'Tesla ma tissieletx waqt li kienet l-iskola?</v>
      </c>
    </row>
    <row r="25162" ht="15.75" customHeight="1">
      <c r="A25162" s="2" t="s">
        <v>25162</v>
      </c>
      <c r="B25162" s="2" t="str">
        <f>IFERROR(__xludf.DUMMYFUNCTION("GOOGLETRANSLATE(A25162, ""en"", ""mt"")"),"Sapun")</f>
        <v>Sapun</v>
      </c>
    </row>
    <row r="25163" ht="15.75" customHeight="1">
      <c r="A25163" s="2" t="s">
        <v>25163</v>
      </c>
      <c r="B25163" s="2" t="str">
        <f>IFERROR(__xludf.DUMMYFUNCTION("GOOGLETRANSLATE(A25163, ""en"", ""mt"")"),"Kemm innijiet ikkontribwew Luther għall-Erfurt Enchiridion?")</f>
        <v>Kemm innijiet ikkontribwew Luther għall-Erfurt Enchiridion?</v>
      </c>
    </row>
    <row r="25164" ht="15.75" customHeight="1">
      <c r="A25164" s="2" t="s">
        <v>25164</v>
      </c>
      <c r="B25164" s="2" t="str">
        <f>IFERROR(__xludf.DUMMYFUNCTION("GOOGLETRANSLATE(A25164, ""en"", ""mt"")"),"Il-mexxej taħt l-art Piłsudski")</f>
        <v>Il-mexxej taħt l-art Piłsudski</v>
      </c>
    </row>
    <row r="25165" ht="15.75" customHeight="1">
      <c r="A25165" s="2" t="s">
        <v>25165</v>
      </c>
      <c r="B25165" s="2" t="str">
        <f>IFERROR(__xludf.DUMMYFUNCTION("GOOGLETRANSLATE(A25165, ""en"", ""mt"")"),"Los Angeles Kings")</f>
        <v>Los Angeles Kings</v>
      </c>
    </row>
    <row r="25166" ht="15.75" customHeight="1">
      <c r="A25166" s="2" t="s">
        <v>25166</v>
      </c>
      <c r="B25166" s="2" t="str">
        <f>IFERROR(__xludf.DUMMYFUNCTION("GOOGLETRANSLATE(A25166, ""en"", ""mt"")"),"negozju")</f>
        <v>negozju</v>
      </c>
    </row>
    <row r="25167" ht="15.75" customHeight="1">
      <c r="A25167" s="2" t="s">
        <v>25167</v>
      </c>
      <c r="B25167" s="2" t="str">
        <f>IFERROR(__xludf.DUMMYFUNCTION("GOOGLETRANSLATE(A25167, ""en"", ""mt"")"),"Tribù Keraite")</f>
        <v>Tribù Keraite</v>
      </c>
    </row>
    <row r="25168" ht="15.75" customHeight="1">
      <c r="A25168" s="2" t="s">
        <v>25168</v>
      </c>
      <c r="B25168" s="2" t="str">
        <f>IFERROR(__xludf.DUMMYFUNCTION("GOOGLETRANSLATE(A25168, ""en"", ""mt"")"),"jerġa 'lura għall-ewwel Ħamis ta' Mejju, multiplu ta 'erba' snin wara l-1999")</f>
        <v>jerġa 'lura għall-ewwel Ħamis ta' Mejju, multiplu ta 'erba' snin wara l-1999</v>
      </c>
    </row>
    <row r="25169" ht="15.75" customHeight="1">
      <c r="A25169" s="2" t="s">
        <v>25169</v>
      </c>
      <c r="B25169" s="2" t="str">
        <f>IFERROR(__xludf.DUMMYFUNCTION("GOOGLETRANSLATE(A25169, ""en"", ""mt"")"),"William II")</f>
        <v>William II</v>
      </c>
    </row>
    <row r="25170" ht="15.75" customHeight="1">
      <c r="A25170" s="2" t="s">
        <v>25170</v>
      </c>
      <c r="B25170" s="2" t="str">
        <f>IFERROR(__xludf.DUMMYFUNCTION("GOOGLETRANSLATE(A25170, ""en"", ""mt"")"),"prodott sekondarju matematiku")</f>
        <v>prodott sekondarju matematiku</v>
      </c>
    </row>
    <row r="25171" ht="15.75" customHeight="1">
      <c r="A25171" s="2" t="s">
        <v>25171</v>
      </c>
      <c r="B25171" s="2" t="str">
        <f>IFERROR(__xludf.DUMMYFUNCTION("GOOGLETRANSLATE(A25171, ""en"", ""mt"")"),"riċetturi immuni speċifiċi")</f>
        <v>riċetturi immuni speċifiċi</v>
      </c>
    </row>
    <row r="25172" ht="15.75" customHeight="1">
      <c r="A25172" s="2" t="s">
        <v>25172</v>
      </c>
      <c r="B25172" s="2" t="str">
        <f>IFERROR(__xludf.DUMMYFUNCTION("GOOGLETRANSLATE(A25172, ""en"", ""mt"")"),"Ġenerali Ban Ki-moon")</f>
        <v>Ġenerali Ban Ki-moon</v>
      </c>
    </row>
    <row r="25173" ht="15.75" customHeight="1">
      <c r="A25173" s="2" t="s">
        <v>25173</v>
      </c>
      <c r="B25173" s="2" t="str">
        <f>IFERROR(__xludf.DUMMYFUNCTION("GOOGLETRANSLATE(A25173, ""en"", ""mt"")"),"Mohammad Iqbal kien x'tip ta 'missier għall-istat tal-Pakistan?")</f>
        <v>Mohammad Iqbal kien x'tip ta 'missier għall-istat tal-Pakistan?</v>
      </c>
    </row>
    <row r="25174" ht="15.75" customHeight="1">
      <c r="A25174" s="2" t="s">
        <v>25174</v>
      </c>
      <c r="B25174" s="2" t="str">
        <f>IFERROR(__xludf.DUMMYFUNCTION("GOOGLETRANSLATE(A25174, ""en"", ""mt"")"),"Ħafna klassijiet ta 'kumplessità magħrufa huma suspettati li huma inugwali")</f>
        <v>Ħafna klassijiet ta 'kumplessità magħrufa huma suspettati li huma inugwali</v>
      </c>
    </row>
    <row r="25175" ht="15.75" customHeight="1">
      <c r="A25175" s="2" t="s">
        <v>25175</v>
      </c>
      <c r="B25175" s="2" t="str">
        <f>IFERROR(__xludf.DUMMYFUNCTION("GOOGLETRANSLATE(A25175, ""en"", ""mt"")"),"Min ivvota kontra l-annessjoni ta 'Jacksonville?")</f>
        <v>Min ivvota kontra l-annessjoni ta 'Jacksonville?</v>
      </c>
    </row>
    <row r="25176" ht="15.75" customHeight="1">
      <c r="A25176" s="2" t="s">
        <v>25176</v>
      </c>
      <c r="B25176" s="2" t="str">
        <f>IFERROR(__xludf.DUMMYFUNCTION("GOOGLETRANSLATE(A25176, ""en"", ""mt"")"),"""Aħna tallab,""")</f>
        <v>"Aħna tallab,"</v>
      </c>
    </row>
    <row r="25177" ht="15.75" customHeight="1">
      <c r="A25177" s="2" t="s">
        <v>25177</v>
      </c>
      <c r="B25177" s="2" t="str">
        <f>IFERROR(__xludf.DUMMYFUNCTION("GOOGLETRANSLATE(A25177, ""en"", ""mt"")"),"Kif waslet il-Mewt l-Iswed għall-Mediterran u l-Ewropa?")</f>
        <v>Kif waslet il-Mewt l-Iswed għall-Mediterran u l-Ewropa?</v>
      </c>
    </row>
    <row r="25178" ht="15.75" customHeight="1">
      <c r="A25178" s="2" t="s">
        <v>25178</v>
      </c>
      <c r="B25178" s="2" t="str">
        <f>IFERROR(__xludf.DUMMYFUNCTION("GOOGLETRANSLATE(A25178, ""en"", ""mt"")"),"Il-Kunsill Leġiżlattiv")</f>
        <v>Il-Kunsill Leġiżlattiv</v>
      </c>
    </row>
    <row r="25179" ht="15.75" customHeight="1">
      <c r="A25179" s="2" t="s">
        <v>25179</v>
      </c>
      <c r="B25179" s="2" t="str">
        <f>IFERROR(__xludf.DUMMYFUNCTION("GOOGLETRANSLATE(A25179, ""en"", ""mt"")"),"1904")</f>
        <v>1904</v>
      </c>
    </row>
    <row r="25180" ht="15.75" customHeight="1">
      <c r="A25180" s="2" t="s">
        <v>25180</v>
      </c>
      <c r="B25180" s="2" t="str">
        <f>IFERROR(__xludf.DUMMYFUNCTION("GOOGLETRANSLATE(A25180, ""en"", ""mt"")"),"Kavallier jirbaħ bout")</f>
        <v>Kavallier jirbaħ bout</v>
      </c>
    </row>
    <row r="25181" ht="15.75" customHeight="1">
      <c r="A25181" s="2" t="s">
        <v>25181</v>
      </c>
      <c r="B25181" s="2" t="str">
        <f>IFERROR(__xludf.DUMMYFUNCTION("GOOGLETRANSLATE(A25181, ""en"", ""mt"")"),"omiċidi")</f>
        <v>omiċidi</v>
      </c>
    </row>
    <row r="25182" ht="15.75" customHeight="1">
      <c r="A25182" s="2" t="s">
        <v>25182</v>
      </c>
      <c r="B25182" s="2" t="str">
        <f>IFERROR(__xludf.DUMMYFUNCTION("GOOGLETRANSLATE(A25182, ""en"", ""mt"")"),"Movimenti anti-kolonjali")</f>
        <v>Movimenti anti-kolonjali</v>
      </c>
    </row>
    <row r="25183" ht="15.75" customHeight="1">
      <c r="A25183" s="2" t="s">
        <v>25183</v>
      </c>
      <c r="B25183" s="2" t="str">
        <f>IFERROR(__xludf.DUMMYFUNCTION("GOOGLETRANSLATE(A25183, ""en"", ""mt"")"),"Sostituzzjoni ta 'tagħmir kapitali")</f>
        <v>Sostituzzjoni ta 'tagħmir kapitali</v>
      </c>
    </row>
    <row r="25184" ht="15.75" customHeight="1">
      <c r="A25184" s="2" t="s">
        <v>25184</v>
      </c>
      <c r="B25184" s="2" t="str">
        <f>IFERROR(__xludf.DUMMYFUNCTION("GOOGLETRANSLATE(A25184, ""en"", ""mt"")"),"Matul iż-żminijiet tal-glaċjali, fejn kien jinsab il-ħalq tar-Renu?")</f>
        <v>Matul iż-żminijiet tal-glaċjali, fejn kien jinsab il-ħalq tar-Renu?</v>
      </c>
    </row>
    <row r="25185" ht="15.75" customHeight="1">
      <c r="A25185" s="2" t="s">
        <v>25185</v>
      </c>
      <c r="B25185" s="2" t="str">
        <f>IFERROR(__xludf.DUMMYFUNCTION("GOOGLETRANSLATE(A25185, ""en"", ""mt"")"),"forza applikata")</f>
        <v>forza applikata</v>
      </c>
    </row>
    <row r="25186" ht="15.75" customHeight="1">
      <c r="A25186" s="2" t="s">
        <v>25186</v>
      </c>
      <c r="B25186" s="2" t="str">
        <f>IFERROR(__xludf.DUMMYFUNCTION("GOOGLETRANSLATE(A25186, ""en"", ""mt"")"),"San Andreas")</f>
        <v>San Andreas</v>
      </c>
    </row>
    <row r="25187" ht="15.75" customHeight="1">
      <c r="A25187" s="2" t="s">
        <v>25187</v>
      </c>
      <c r="B25187" s="2" t="str">
        <f>IFERROR(__xludf.DUMMYFUNCTION("GOOGLETRANSLATE(A25187, ""en"", ""mt"")"),"L-IPCC ma jwettaqx riċerka u lanqas ma jissorvelja d-dejta relatata mal-klima. L-awturi ewlenin tar-rapporti tal-IPCC jivvalutaw l-informazzjoni disponibbli dwar il-bidla fil-klima bbażata fuq sorsi ppubblikati. Skond il-linji gwida tal-IPCC, l-awturi għa"&amp;"ndhom jagħtu prijorità lil sorsi riveduti mill-pari. L-awturi jistgħu jirreferu għal sorsi mhux riveduti mhux mill-peer (il- ""letteratura griża""), sakemm ikunu ta 'kwalità suffiċjenti. Eżempji ta 'sorsi mhux riveduti mhux mill-peer jinkludu riżultati ta"&amp;"l-mudell, rapporti minn aġenziji tal-gvern u organizzazzjonijiet mhux governattivi, u ġurnali tal-industrija. Kull rapport tal-IPCC sussegwenti jinnota oqsma fejn ix-xjenza tjiebet mir-rapport preċedenti u tinnota wkoll oqsma fejn hija meħtieġa aktar riċe"&amp;"rka.")</f>
        <v>L-IPCC ma jwettaqx riċerka u lanqas ma jissorvelja d-dejta relatata mal-klima. L-awturi ewlenin tar-rapporti tal-IPCC jivvalutaw l-informazzjoni disponibbli dwar il-bidla fil-klima bbażata fuq sorsi ppubblikati. Skond il-linji gwida tal-IPCC, l-awturi għandhom jagħtu prijorità lil sorsi riveduti mill-pari. L-awturi jistgħu jirreferu għal sorsi mhux riveduti mhux mill-peer (il- "letteratura griża"), sakemm ikunu ta 'kwalità suffiċjenti. Eżempji ta 'sorsi mhux riveduti mhux mill-peer jinkludu riżultati tal-mudell, rapporti minn aġenziji tal-gvern u organizzazzjonijiet mhux governattivi, u ġurnali tal-industrija. Kull rapport tal-IPCC sussegwenti jinnota oqsma fejn ix-xjenza tjiebet mir-rapport preċedenti u tinnota wkoll oqsma fejn hija meħtieġa aktar riċerka.</v>
      </c>
    </row>
    <row r="25188" ht="15.75" customHeight="1">
      <c r="A25188" s="2" t="s">
        <v>25188</v>
      </c>
      <c r="B25188" s="2" t="str">
        <f>IFERROR(__xludf.DUMMYFUNCTION("GOOGLETRANSLATE(A25188, ""en"", ""mt"")"),"Jekk jarrestaw fuljetti tal-ġurija infurmati bis-sħiħ, il-fuljetti għandhom jingħataw lill-ġurija tal-fuljett stess bħala evidenza")</f>
        <v>Jekk jarrestaw fuljetti tal-ġurija infurmati bis-sħiħ, il-fuljetti għandhom jingħataw lill-ġurija tal-fuljett stess bħala evidenza</v>
      </c>
    </row>
    <row r="25189" ht="15.75" customHeight="1">
      <c r="A25189" s="2" t="s">
        <v>25189</v>
      </c>
      <c r="B25189" s="2" t="str">
        <f>IFERROR(__xludf.DUMMYFUNCTION("GOOGLETRANSLATE(A25189, ""en"", ""mt"")"),"Lil min Luther bagħat ittra li fiha l-95 teżi tiegħu?")</f>
        <v>Lil min Luther bagħat ittra li fiha l-95 teżi tiegħu?</v>
      </c>
    </row>
    <row r="25190" ht="15.75" customHeight="1">
      <c r="A25190" s="2" t="s">
        <v>25190</v>
      </c>
      <c r="B25190" s="2" t="str">
        <f>IFERROR(__xludf.DUMMYFUNCTION("GOOGLETRANSLATE(A25190, ""en"", ""mt"")"),"X'ġara mill-SM malli terġa 'tidħol fl-atmosfera?")</f>
        <v>X'ġara mill-SM malli terġa 'tidħol fl-atmosfera?</v>
      </c>
    </row>
    <row r="25191" ht="15.75" customHeight="1">
      <c r="A25191" s="2" t="s">
        <v>25191</v>
      </c>
      <c r="B25191" s="2" t="str">
        <f>IFERROR(__xludf.DUMMYFUNCTION("GOOGLETRANSLATE(A25191, ""en"", ""mt"")"),"protesta li timblokka traffiku qawwi")</f>
        <v>protesta li timblokka traffiku qawwi</v>
      </c>
    </row>
    <row r="25192" ht="15.75" customHeight="1">
      <c r="A25192" s="2" t="s">
        <v>25192</v>
      </c>
      <c r="B25192" s="2" t="str">
        <f>IFERROR(__xludf.DUMMYFUNCTION("GOOGLETRANSLATE(A25192, ""en"", ""mt"")"),"X'inhu l-isem tal-belt tad-deżert?")</f>
        <v>X'inhu l-isem tal-belt tad-deżert?</v>
      </c>
    </row>
    <row r="25193" ht="15.75" customHeight="1">
      <c r="A25193" s="2" t="s">
        <v>25193</v>
      </c>
      <c r="B25193" s="2" t="str">
        <f>IFERROR(__xludf.DUMMYFUNCTION("GOOGLETRANSLATE(A25193, ""en"", ""mt"")"),"X'tipprojbi l-Artikolu 102 tat-Trattat ta 'Lisbona?")</f>
        <v>X'tipprojbi l-Artikolu 102 tat-Trattat ta 'Lisbona?</v>
      </c>
    </row>
    <row r="25194" ht="15.75" customHeight="1">
      <c r="A25194" s="2" t="s">
        <v>25194</v>
      </c>
      <c r="B25194" s="2" t="str">
        <f>IFERROR(__xludf.DUMMYFUNCTION("GOOGLETRANSLATE(A25194, ""en"", ""mt"")"),"15,100")</f>
        <v>15,100</v>
      </c>
    </row>
    <row r="25195" ht="15.75" customHeight="1">
      <c r="A25195" s="2" t="s">
        <v>25195</v>
      </c>
      <c r="B25195" s="2" t="str">
        <f>IFERROR(__xludf.DUMMYFUNCTION("GOOGLETRANSLATE(A25195, ""en"", ""mt"")"),"Meta kienet ir-rewwixta Olandiża?")</f>
        <v>Meta kienet ir-rewwixta Olandiża?</v>
      </c>
    </row>
    <row r="25196" ht="15.75" customHeight="1">
      <c r="A25196" s="2" t="s">
        <v>25196</v>
      </c>
      <c r="B25196" s="2" t="str">
        <f>IFERROR(__xludf.DUMMYFUNCTION("GOOGLETRANSLATE(A25196, ""en"", ""mt"")"),"Jew il-possedimenti kontinentali tagħha ta 'l-Amerika ta' Fuq fil-lvant tal-Mississippi jew il-gżejjer tal-Karibew ta 'Guadeloupe u Martinique,")</f>
        <v>Jew il-possedimenti kontinentali tagħha ta 'l-Amerika ta' Fuq fil-lvant tal-Mississippi jew il-gżejjer tal-Karibew ta 'Guadeloupe u Martinique,</v>
      </c>
    </row>
    <row r="25197" ht="15.75" customHeight="1">
      <c r="A25197" s="2" t="s">
        <v>25197</v>
      </c>
      <c r="B25197" s="2" t="str">
        <f>IFERROR(__xludf.DUMMYFUNCTION("GOOGLETRANSLATE(A25197, ""en"", ""mt"")"),"Rgħajja")</f>
        <v>Rgħajja</v>
      </c>
    </row>
    <row r="25198" ht="15.75" customHeight="1">
      <c r="A25198" s="2" t="s">
        <v>25198</v>
      </c>
      <c r="B25198" s="2" t="str">
        <f>IFERROR(__xludf.DUMMYFUNCTION("GOOGLETRANSLATE(A25198, ""en"", ""mt"")"),"forza ta 'reazzjoni tar-rebbiegħa")</f>
        <v>forza ta 'reazzjoni tar-rebbiegħa</v>
      </c>
    </row>
    <row r="25199" ht="15.75" customHeight="1">
      <c r="A25199" s="2" t="s">
        <v>25199</v>
      </c>
      <c r="B25199" s="2" t="str">
        <f>IFERROR(__xludf.DUMMYFUNCTION("GOOGLETRANSLATE(A25199, ""en"", ""mt"")"),"Liema karru ta 'Lionsgate kien muri matul is-Super Bowl?")</f>
        <v>Liema karru ta 'Lionsgate kien muri matul is-Super Bowl?</v>
      </c>
    </row>
    <row r="25200" ht="15.75" customHeight="1">
      <c r="A25200" s="2" t="s">
        <v>25200</v>
      </c>
      <c r="B25200" s="2" t="str">
        <f>IFERROR(__xludf.DUMMYFUNCTION("GOOGLETRANSLATE(A25200, ""en"", ""mt"")"),"Huma rranġaw biex l-Iżrael jiġbed lura mill-Peniżola tas-Sinaj u l-Golan Heights")</f>
        <v>Huma rranġaw biex l-Iżrael jiġbed lura mill-Peniżola tas-Sinaj u l-Golan Heights</v>
      </c>
    </row>
    <row r="25201" ht="15.75" customHeight="1">
      <c r="A25201" s="2" t="s">
        <v>25201</v>
      </c>
      <c r="B25201" s="2" t="str">
        <f>IFERROR(__xludf.DUMMYFUNCTION("GOOGLETRANSLATE(A25201, ""en"", ""mt"")"),"Formula ta 'interpolazzjoni kubika")</f>
        <v>Formula ta 'interpolazzjoni kubika</v>
      </c>
    </row>
    <row r="25202" ht="15.75" customHeight="1">
      <c r="A25202" s="2" t="s">
        <v>25202</v>
      </c>
      <c r="B25202" s="2" t="str">
        <f>IFERROR(__xludf.DUMMYFUNCTION("GOOGLETRANSLATE(A25202, ""en"", ""mt"")"),"X'inhu l-aħħar isem tal-plejer li skorja touchdown ta '2-tarzna fir-raba' kwart?")</f>
        <v>X'inhu l-aħħar isem tal-plejer li skorja touchdown ta '2-tarzna fir-raba' kwart?</v>
      </c>
    </row>
    <row r="25203" ht="15.75" customHeight="1">
      <c r="A25203" s="2" t="s">
        <v>25203</v>
      </c>
      <c r="B25203" s="2" t="str">
        <f>IFERROR(__xludf.DUMMYFUNCTION("GOOGLETRANSLATE(A25203, ""en"", ""mt"")"),"Kumitat għall-Kummerċ, ix-Xjenza u t-Trasport")</f>
        <v>Kumitat għall-Kummerċ, ix-Xjenza u t-Trasport</v>
      </c>
    </row>
    <row r="25204" ht="15.75" customHeight="1">
      <c r="A25204" s="2" t="s">
        <v>25204</v>
      </c>
      <c r="B25204" s="2" t="str">
        <f>IFERROR(__xludf.DUMMYFUNCTION("GOOGLETRANSLATE(A25204, ""en"", ""mt"")"),"It-trabi tat-twelid huma vulnerabbli għall-infezzjoni minħabba li m'għandhom l-ebda esponiment preċedenti għal xiex?")</f>
        <v>It-trabi tat-twelid huma vulnerabbli għall-infezzjoni minħabba li m'għandhom l-ebda esponiment preċedenti għal xiex?</v>
      </c>
    </row>
    <row r="25205" ht="15.75" customHeight="1">
      <c r="A25205" s="2" t="s">
        <v>25205</v>
      </c>
      <c r="B25205" s="2" t="str">
        <f>IFERROR(__xludf.DUMMYFUNCTION("GOOGLETRANSLATE(A25205, ""en"", ""mt"")"),"Alpi")</f>
        <v>Alpi</v>
      </c>
    </row>
    <row r="25206" ht="15.75" customHeight="1">
      <c r="A25206" s="2" t="s">
        <v>25206</v>
      </c>
      <c r="B25206" s="2" t="str">
        <f>IFERROR(__xludf.DUMMYFUNCTION("GOOGLETRANSLATE(A25206, ""en"", ""mt"")"),"Aktar minn 100 università")</f>
        <v>Aktar minn 100 università</v>
      </c>
    </row>
    <row r="25207" ht="15.75" customHeight="1">
      <c r="A25207" s="2" t="s">
        <v>25207</v>
      </c>
      <c r="B25207" s="2" t="str">
        <f>IFERROR(__xludf.DUMMYFUNCTION("GOOGLETRANSLATE(A25207, ""en"", ""mt"")"),"Kemm modi huma disponibbli biex jgħinu jnaqqsu l-istress tat-tagħlim?")</f>
        <v>Kemm modi huma disponibbli biex jgħinu jnaqqsu l-istress tat-tagħlim?</v>
      </c>
    </row>
    <row r="25208" ht="15.75" customHeight="1">
      <c r="A25208" s="2" t="s">
        <v>25208</v>
      </c>
      <c r="B25208" s="2" t="str">
        <f>IFERROR(__xludf.DUMMYFUNCTION("GOOGLETRANSLATE(A25208, ""en"", ""mt"")"),"antitetiku")</f>
        <v>antitetiku</v>
      </c>
    </row>
    <row r="25209" ht="15.75" customHeight="1">
      <c r="A25209" s="2" t="s">
        <v>25209</v>
      </c>
      <c r="B25209" s="2" t="str">
        <f>IFERROR(__xludf.DUMMYFUNCTION("GOOGLETRANSLATE(A25209, ""en"", ""mt"")"),"L-esej ta 'Thoreau ma ġiex ippubblikat sa wara t-tmiem tal-Gwerra tal-Messiku")</f>
        <v>L-esej ta 'Thoreau ma ġiex ippubblikat sa wara t-tmiem tal-Gwerra tal-Messiku</v>
      </c>
    </row>
    <row r="25210" ht="15.75" customHeight="1">
      <c r="A25210" s="2" t="s">
        <v>25210</v>
      </c>
      <c r="B25210" s="2" t="str">
        <f>IFERROR(__xludf.DUMMYFUNCTION("GOOGLETRANSLATE(A25210, ""en"", ""mt"")"),"Datanet 1 irrefera biss għan-netwerk u l-utenti konnessi permezz ta 'linji mikrija")</f>
        <v>Datanet 1 irrefera biss għan-netwerk u l-utenti konnessi permezz ta 'linji mikrija</v>
      </c>
    </row>
    <row r="25211" ht="15.75" customHeight="1">
      <c r="A25211" s="2" t="s">
        <v>25211</v>
      </c>
      <c r="B25211" s="2" t="str">
        <f>IFERROR(__xludf.DUMMYFUNCTION("GOOGLETRANSLATE(A25211, ""en"", ""mt"")"),"Liema artist Franċiż famuż li pitter il-Grande Odalisque tal-1814 huwa rrappreżentat fil-kollezzjoni tat-tpinġijiet tal-V &amp; A?")</f>
        <v>Liema artist Franċiż famuż li pitter il-Grande Odalisque tal-1814 huwa rrappreżentat fil-kollezzjoni tat-tpinġijiet tal-V &amp; A?</v>
      </c>
    </row>
    <row r="25212" ht="15.75" customHeight="1">
      <c r="A25212" s="2" t="s">
        <v>25212</v>
      </c>
      <c r="B25212" s="2" t="str">
        <f>IFERROR(__xludf.DUMMYFUNCTION("GOOGLETRANSLATE(A25212, ""en"", ""mt"")"),"Fruntieri bejn Franza l-ġdida u l-kolonji Ingliżi")</f>
        <v>Fruntieri bejn Franza l-ġdida u l-kolonji Ingliżi</v>
      </c>
    </row>
    <row r="25213" ht="15.75" customHeight="1">
      <c r="A25213" s="2" t="s">
        <v>25213</v>
      </c>
      <c r="B25213" s="2" t="str">
        <f>IFERROR(__xludf.DUMMYFUNCTION("GOOGLETRANSLATE(A25213, ""en"", ""mt"")"),"Gandhi's")</f>
        <v>Gandhi's</v>
      </c>
    </row>
    <row r="25214" ht="15.75" customHeight="1">
      <c r="A25214" s="2" t="s">
        <v>25214</v>
      </c>
      <c r="B25214" s="2" t="str">
        <f>IFERROR(__xludf.DUMMYFUNCTION("GOOGLETRANSLATE(A25214, ""en"", ""mt"")"),"X'inhi spjegazzjoni oħra possibbli għas-sors tas-sinjali?")</f>
        <v>X'inhi spjegazzjoni oħra possibbli għas-sors tas-sinjali?</v>
      </c>
    </row>
    <row r="25215" ht="15.75" customHeight="1">
      <c r="A25215" s="2" t="s">
        <v>25215</v>
      </c>
      <c r="B25215" s="2" t="str">
        <f>IFERROR(__xludf.DUMMYFUNCTION("GOOGLETRANSLATE(A25215, ""en"", ""mt"")"),"Edmund Bellinger")</f>
        <v>Edmund Bellinger</v>
      </c>
    </row>
    <row r="25216" ht="15.75" customHeight="1">
      <c r="A25216" s="2" t="s">
        <v>25216</v>
      </c>
      <c r="B25216" s="2" t="str">
        <f>IFERROR(__xludf.DUMMYFUNCTION("GOOGLETRANSLATE(A25216, ""en"", ""mt"")"),"L-inerzja rotazzjonali tal-pjaneta tad-dinja")</f>
        <v>L-inerzja rotazzjonali tal-pjaneta tad-dinja</v>
      </c>
    </row>
    <row r="25217" ht="15.75" customHeight="1">
      <c r="A25217" s="2" t="s">
        <v>25217</v>
      </c>
      <c r="B25217" s="2" t="str">
        <f>IFERROR(__xludf.DUMMYFUNCTION("GOOGLETRANSLATE(A25217, ""en"", ""mt"")"),"gwida u intervent")</f>
        <v>gwida u intervent</v>
      </c>
    </row>
    <row r="25218" ht="15.75" customHeight="1">
      <c r="A25218" s="2" t="s">
        <v>25218</v>
      </c>
      <c r="B25218" s="2" t="str">
        <f>IFERROR(__xludf.DUMMYFUNCTION("GOOGLETRANSLATE(A25218, ""en"", ""mt"")"),"Liema sena miet Charles Avison fi Newcastle?")</f>
        <v>Liema sena miet Charles Avison fi Newcastle?</v>
      </c>
    </row>
    <row r="25219" ht="15.75" customHeight="1">
      <c r="A25219" s="2" t="s">
        <v>25219</v>
      </c>
      <c r="B25219" s="2" t="str">
        <f>IFERROR(__xludf.DUMMYFUNCTION("GOOGLETRANSLATE(A25219, ""en"", ""mt"")"),"Matul dan iż-żmien, l-iskoperta taż-żejt fil-Baħar tat-Tramuntana u l-kampanja li ġejja ""Huwa l-Iskozja taż-Żejt"" tal-Partit Nazzjonali Skoċċiż (SNP) irriżultat f'appoġġ dejjem jiżdied għall-indipendenza Skoċċiża, kif ukoll għall-SNP. Il-partit argument"&amp;"a li d-dħul miż-żejt ma kienx qed jibbenefika l-Iskozja daqs kemm għandhom. L-effett ikkombinat ta 'dawn l-avvenimenti wassal biex il-Prim Ministru Wilson jikkommetti lill-gvern tiegħu għal xi forma ta' leġiżlatura devoluta fl-1974. Madankollu, ma kienx s"&amp;"al-1978 li l-proposti leġiżlattivi finali għal assemblea Skoċċiża ġew mgħoddija mill-Parlament tar-Renju Unit.")</f>
        <v>Matul dan iż-żmien, l-iskoperta taż-żejt fil-Baħar tat-Tramuntana u l-kampanja li ġejja "Huwa l-Iskozja taż-Żejt" tal-Partit Nazzjonali Skoċċiż (SNP) irriżultat f'appoġġ dejjem jiżdied għall-indipendenza Skoċċiża, kif ukoll għall-SNP. Il-partit argumenta li d-dħul miż-żejt ma kienx qed jibbenefika l-Iskozja daqs kemm għandhom. L-effett ikkombinat ta 'dawn l-avvenimenti wassal biex il-Prim Ministru Wilson jikkommetti lill-gvern tiegħu għal xi forma ta' leġiżlatura devoluta fl-1974. Madankollu, ma kienx sal-1978 li l-proposti leġiżlattivi finali għal assemblea Skoċċiża ġew mgħoddija mill-Parlament tar-Renju Unit.</v>
      </c>
    </row>
    <row r="25220" ht="15.75" customHeight="1">
      <c r="A25220" s="2" t="s">
        <v>25220</v>
      </c>
      <c r="B25220" s="2" t="str">
        <f>IFERROR(__xludf.DUMMYFUNCTION("GOOGLETRANSLATE(A25220, ""en"", ""mt"")"),"Min kien l-ewwel persuna li ddoqq il-kaptan?")</f>
        <v>Min kien l-ewwel persuna li ddoqq il-kaptan?</v>
      </c>
    </row>
    <row r="25221" ht="15.75" customHeight="1">
      <c r="A25221" s="2" t="s">
        <v>25221</v>
      </c>
      <c r="B25221" s="2" t="str">
        <f>IFERROR(__xludf.DUMMYFUNCTION("GOOGLETRANSLATE(A25221, ""en"", ""mt"")"),"riċetturi ta 'immunoglobulina taċ-ċelloli qattiela (KIR")</f>
        <v>riċetturi ta 'immunoglobulina taċ-ċelloli qattiela (KIR</v>
      </c>
    </row>
    <row r="25222" ht="15.75" customHeight="1">
      <c r="A25222" s="2" t="s">
        <v>25222</v>
      </c>
      <c r="B25222" s="2" t="str">
        <f>IFERROR(__xludf.DUMMYFUNCTION("GOOGLETRANSLATE(A25222, ""en"", ""mt"")"),"Min hu t-tielet raġel għani fl-Amerika?")</f>
        <v>Min hu t-tielet raġel għani fl-Amerika?</v>
      </c>
    </row>
    <row r="25223" ht="15.75" customHeight="1">
      <c r="A25223" s="2" t="s">
        <v>25223</v>
      </c>
      <c r="B25223" s="2" t="str">
        <f>IFERROR(__xludf.DUMMYFUNCTION("GOOGLETRANSLATE(A25223, ""en"", ""mt"")"),"Kick Back")</f>
        <v>Kick Back</v>
      </c>
    </row>
    <row r="25224" ht="15.75" customHeight="1">
      <c r="A25224" s="2" t="s">
        <v>25224</v>
      </c>
      <c r="B25224" s="2" t="str">
        <f>IFERROR(__xludf.DUMMYFUNCTION("GOOGLETRANSLATE(A25224, ""en"", ""mt"")"),"Liema idea kienet Tesla fan ta '?")</f>
        <v>Liema idea kienet Tesla fan ta '?</v>
      </c>
    </row>
    <row r="25225" ht="15.75" customHeight="1">
      <c r="A25225" s="2" t="s">
        <v>25225</v>
      </c>
      <c r="B25225" s="2" t="str">
        <f>IFERROR(__xludf.DUMMYFUNCTION("GOOGLETRANSLATE(A25225, ""en"", ""mt"")"),"Liema nazzjonalità huma r-riċerkaturi Richard G. Wilkinson u Kate Pickett?")</f>
        <v>Liema nazzjonalità huma r-riċerkaturi Richard G. Wilkinson u Kate Pickett?</v>
      </c>
    </row>
    <row r="25226" ht="15.75" customHeight="1">
      <c r="A25226" s="2" t="s">
        <v>25226</v>
      </c>
      <c r="B25226" s="2" t="str">
        <f>IFERROR(__xludf.DUMMYFUNCTION("GOOGLETRANSLATE(A25226, ""en"", ""mt"")"),"Żvilupp AC")</f>
        <v>Żvilupp AC</v>
      </c>
    </row>
    <row r="25227" ht="15.75" customHeight="1">
      <c r="A25227" s="2" t="s">
        <v>25227</v>
      </c>
      <c r="B25227" s="2" t="str">
        <f>IFERROR(__xludf.DUMMYFUNCTION("GOOGLETRANSLATE(A25227, ""en"", ""mt"")"),"diffiċli biex tissolva")</f>
        <v>diffiċli biex tissolva</v>
      </c>
    </row>
    <row r="25228" ht="15.75" customHeight="1">
      <c r="A25228" s="2" t="s">
        <v>25228</v>
      </c>
      <c r="B25228" s="2" t="str">
        <f>IFERROR(__xludf.DUMMYFUNCTION("GOOGLETRANSLATE(A25228, ""en"", ""mt"")"),"gruppi reliġjużi")</f>
        <v>gruppi reliġjużi</v>
      </c>
    </row>
    <row r="25229" ht="15.75" customHeight="1">
      <c r="A25229" s="2" t="s">
        <v>25229</v>
      </c>
      <c r="B25229" s="2" t="str">
        <f>IFERROR(__xludf.DUMMYFUNCTION("GOOGLETRANSLATE(A25229, ""en"", ""mt"")"),"Katekiżmu")</f>
        <v>Katekiżmu</v>
      </c>
    </row>
    <row r="25230" ht="15.75" customHeight="1">
      <c r="A25230" s="2" t="s">
        <v>25230</v>
      </c>
      <c r="B25230" s="2" t="str">
        <f>IFERROR(__xludf.DUMMYFUNCTION("GOOGLETRANSLATE(A25230, ""en"", ""mt"")"),"Nixxigħat diġitali")</f>
        <v>Nixxigħat diġitali</v>
      </c>
    </row>
    <row r="25231" ht="15.75" customHeight="1">
      <c r="A25231" s="2" t="s">
        <v>25231</v>
      </c>
      <c r="B25231" s="2" t="str">
        <f>IFERROR(__xludf.DUMMYFUNCTION("GOOGLETRANSLATE(A25231, ""en"", ""mt"")"),"Il-belt hija s-sede ta 'Arċidjoċesi Kattolika Rumana (xellug tax-xellug tal-Vistula) u djoċesi (bank tal-lemin), u għandha diversi universitajiet, l-aktar l-aktar l-Akkademja tax-Xjenzi Pollakki u l-Università ta' Varsavja, żewġ djar tal-opra, teatri, muż"&amp;"ewijiet, libreriji u monumenti. Iċ-ċentru storiku tal-belt ta ’Varsavja bil-belt il-qadima pittoreska tagħha fl-1980 kien elenkat bħala sit tal-Wirt Dinji tal-UNESCO. Attrazzjonijiet arkitettoniċi ewlenin oħra jinkludu l-Pjazza tal-Kastell mal-Kastell Irj"&amp;"ali u l-kolonna emblematika tar-Re Sigismund, il-Katidral ta ’San Ġwann, il-Pjazza tas-Suq, il-Palazzi, il-Knejjes u l-Mansions kollha li juru rikkezza ta’ kulur u dettall arkitettoniku. Il-bini jirrappreżenta eżempji ta 'kważi kull stil arkitettoniku Ewr"&amp;"opew u perjodu storiku. Varsavja tipprovdi bosta eżempji ta ’arkitettura mill-perjodi Gotiċi, Rinaxximent, Barokk u Neoklasiku, u madwar kwart tal-belt hija mimlija parks lussużi u ġonna rjali.")</f>
        <v>Il-belt hija s-sede ta 'Arċidjoċesi Kattolika Rumana (xellug tax-xellug tal-Vistula) u djoċesi (bank tal-lemin), u għandha diversi universitajiet, l-aktar l-aktar l-Akkademja tax-Xjenzi Pollakki u l-Università ta' Varsavja, żewġ djar tal-opra, teatri, mużewijiet, libreriji u monumenti. Iċ-ċentru storiku tal-belt ta ’Varsavja bil-belt il-qadima pittoreska tagħha fl-1980 kien elenkat bħala sit tal-Wirt Dinji tal-UNESCO. Attrazzjonijiet arkitettoniċi ewlenin oħra jinkludu l-Pjazza tal-Kastell mal-Kastell Irjali u l-kolonna emblematika tar-Re Sigismund, il-Katidral ta ’San Ġwann, il-Pjazza tas-Suq, il-Palazzi, il-Knejjes u l-Mansions kollha li juru rikkezza ta’ kulur u dettall arkitettoniku. Il-bini jirrappreżenta eżempji ta 'kważi kull stil arkitettoniku Ewropew u perjodu storiku. Varsavja tipprovdi bosta eżempji ta ’arkitettura mill-perjodi Gotiċi, Rinaxximent, Barokk u Neoklasiku, u madwar kwart tal-belt hija mimlija parks lussużi u ġonna rjali.</v>
      </c>
    </row>
    <row r="25232" ht="15.75" customHeight="1">
      <c r="A25232" s="2" t="s">
        <v>25232</v>
      </c>
      <c r="B25232" s="2" t="str">
        <f>IFERROR(__xludf.DUMMYFUNCTION("GOOGLETRANSLATE(A25232, ""en"", ""mt"")"),"Frederick William, Elettur ta 'Brandenburg, stieden lil Huguenots biex joqgħod fl-isfera tiegħu, u numru tad-dixxendenti tagħhom tela' għal pożizzjonijiet ta 'prominenza fil-Prussja. Bosta figuri militari, kulturali u politiċi prominenti Ġermaniżi kienu e"&amp;"tniċi Huguenot, inkluż il-poeta Theodor Fontane, il-Ġeneral Hermann von François, l-eroj tal-ewwel battalja tal-Gwerra Dinjija ta 'Tannenberg, Luftwaffe Ġenerali u l-ġlied Ace Adolf Galland, Luftwaffe Flying Ace Hans-Joachim Marsile , u famuż kaptan tad-d"&amp;"għajsa U-Lothar von Arnauld de la Perière. L-aħħar Prim Ministru tar-Repubblika Demokratika Ġermaniża (tal-Lvant), Lothar de Maizière, huwa wkoll dixxendent ta 'familja Huguenot, kif inhu l-Ministru Federali Ġermaniż ta' l-Intern, Thomas de Maizière.")</f>
        <v>Frederick William, Elettur ta 'Brandenburg, stieden lil Huguenots biex joqgħod fl-isfera tiegħu, u numru tad-dixxendenti tagħhom tela' għal pożizzjonijiet ta 'prominenza fil-Prussja. Bosta figuri militari, kulturali u politiċi prominenti Ġermaniżi kienu etniċi Huguenot, inkluż il-poeta Theodor Fontane, il-Ġeneral Hermann von François, l-eroj tal-ewwel battalja tal-Gwerra Dinjija ta 'Tannenberg, Luftwaffe Ġenerali u l-ġlied Ace Adolf Galland, Luftwaffe Flying Ace Hans-Joachim Marsile , u famuż kaptan tad-dgħajsa U-Lothar von Arnauld de la Perière. L-aħħar Prim Ministru tar-Repubblika Demokratika Ġermaniża (tal-Lvant), Lothar de Maizière, huwa wkoll dixxendent ta 'familja Huguenot, kif inhu l-Ministru Federali Ġermaniż ta' l-Intern, Thomas de Maizière.</v>
      </c>
    </row>
    <row r="25233" ht="15.75" customHeight="1">
      <c r="A25233" s="2" t="s">
        <v>25233</v>
      </c>
      <c r="B25233" s="2" t="str">
        <f>IFERROR(__xludf.DUMMYFUNCTION("GOOGLETRANSLATE(A25233, ""en"", ""mt"")"),"Tibdil fil-klima minbarra d-deforestazzjoni")</f>
        <v>Tibdil fil-klima minbarra d-deforestazzjoni</v>
      </c>
    </row>
    <row r="25234" ht="15.75" customHeight="1">
      <c r="A25234" s="2" t="s">
        <v>25234</v>
      </c>
      <c r="B25234" s="2" t="str">
        <f>IFERROR(__xludf.DUMMYFUNCTION("GOOGLETRANSLATE(A25234, ""en"", ""mt"")"),"Kull naħa hija kapaċi twettaq l-obbligi stabbiliti")</f>
        <v>Kull naħa hija kapaċi twettaq l-obbligi stabbiliti</v>
      </c>
    </row>
    <row r="25235" ht="15.75" customHeight="1">
      <c r="A25235" s="2" t="s">
        <v>25235</v>
      </c>
      <c r="B25235" s="2" t="str">
        <f>IFERROR(__xludf.DUMMYFUNCTION("GOOGLETRANSLATE(A25235, ""en"", ""mt"")"),"Liema sena kienet l-unika verżjoni tal-film ta 'Doctor Who wera?")</f>
        <v>Liema sena kienet l-unika verżjoni tal-film ta 'Doctor Who wera?</v>
      </c>
    </row>
    <row r="25236" ht="15.75" customHeight="1">
      <c r="A25236" s="2" t="s">
        <v>25236</v>
      </c>
      <c r="B25236" s="2" t="str">
        <f>IFERROR(__xludf.DUMMYFUNCTION("GOOGLETRANSLATE(A25236, ""en"", ""mt"")"),"Hemm ħmistax-il fraternitajiet u seba 'sororitajiet fl-Università ta' Chicago, kif ukoll fraternità ta 'servizz komunitarju ko-ed, Alpha Phi Omega. Erba 'mis-sororitajiet huma membri tal-Konferenza Nazzjonali Panhellenic, u għaxra mill-fraternitajiet jiff"&amp;"urmaw il-Kunsill tal-Interfraternità tal-Università ta' Chicago. Fl-2002, id-Direttur Assoċjat tal-Attivitajiet tal-Istudenti stma li 8-10 fil-mija tal-universitarji kienu membri ta 'fraternitajiet jew sororitajiet. L-Uffiċċju tal-Attivitajiet tal-Istuden"&amp;"ti uża figuri simili, u ddikjara li wieħed minn kull għaxra li għadhom ma ggradwawx jipparteċipaw fil-ħajja Griega.")</f>
        <v>Hemm ħmistax-il fraternitajiet u seba 'sororitajiet fl-Università ta' Chicago, kif ukoll fraternità ta 'servizz komunitarju ko-ed, Alpha Phi Omega. Erba 'mis-sororitajiet huma membri tal-Konferenza Nazzjonali Panhellenic, u għaxra mill-fraternitajiet jiffurmaw il-Kunsill tal-Interfraternità tal-Università ta' Chicago. Fl-2002, id-Direttur Assoċjat tal-Attivitajiet tal-Istudenti stma li 8-10 fil-mija tal-universitarji kienu membri ta 'fraternitajiet jew sororitajiet. L-Uffiċċju tal-Attivitajiet tal-Istudenti uża figuri simili, u ddikjara li wieħed minn kull għaxra li għadhom ma ggradwawx jipparteċipaw fil-ħajja Griega.</v>
      </c>
    </row>
    <row r="25237" ht="15.75" customHeight="1">
      <c r="A25237" s="2" t="s">
        <v>25237</v>
      </c>
      <c r="B25237" s="2" t="str">
        <f>IFERROR(__xludf.DUMMYFUNCTION("GOOGLETRANSLATE(A25237, ""en"", ""mt"")"),"Input kontinwu tas-sediment")</f>
        <v>Input kontinwu tas-sediment</v>
      </c>
    </row>
    <row r="25238" ht="15.75" customHeight="1">
      <c r="A25238" s="2" t="s">
        <v>25238</v>
      </c>
      <c r="B25238" s="2" t="str">
        <f>IFERROR(__xludf.DUMMYFUNCTION("GOOGLETRANSLATE(A25238, ""en"", ""mt"")"),"Stabbilizza l-konċentrazzjonijiet tal-gass serra fl-atmosfera")</f>
        <v>Stabbilizza l-konċentrazzjonijiet tal-gass serra fl-atmosfera</v>
      </c>
    </row>
    <row r="25239" ht="15.75" customHeight="1">
      <c r="A25239" s="2" t="s">
        <v>25239</v>
      </c>
      <c r="B25239" s="2" t="str">
        <f>IFERROR(__xludf.DUMMYFUNCTION("GOOGLETRANSLATE(A25239, ""en"", ""mt"")"),"Gwerra u okkupazzjoni twila")</f>
        <v>Gwerra u okkupazzjoni twila</v>
      </c>
    </row>
    <row r="25240" ht="15.75" customHeight="1">
      <c r="A25240" s="2" t="s">
        <v>25240</v>
      </c>
      <c r="B25240" s="2" t="str">
        <f>IFERROR(__xludf.DUMMYFUNCTION("GOOGLETRANSLATE(A25240, ""en"", ""mt"")"),"X'tip ta 'mudelli awto-konsistenti qed jippruvaw jagħmlu li joħolqu teorija ta' kollox?")</f>
        <v>X'tip ta 'mudelli awto-konsistenti qed jippruvaw jagħmlu li joħolqu teorija ta' kollox?</v>
      </c>
    </row>
    <row r="25241" ht="15.75" customHeight="1">
      <c r="A25241" s="2" t="s">
        <v>25241</v>
      </c>
      <c r="B25241" s="2" t="str">
        <f>IFERROR(__xludf.DUMMYFUNCTION("GOOGLETRANSLATE(A25241, ""en"", ""mt"")"),"Liema wirjiet ġew rilaxxati fuq LaserDisc?")</f>
        <v>Liema wirjiet ġew rilaxxati fuq LaserDisc?</v>
      </c>
    </row>
    <row r="25242" ht="15.75" customHeight="1">
      <c r="A25242" s="2" t="s">
        <v>25242</v>
      </c>
      <c r="B25242" s="2" t="str">
        <f>IFERROR(__xludf.DUMMYFUNCTION("GOOGLETRANSLATE(A25242, ""en"", ""mt"")"),"Kważi żewġ terzi")</f>
        <v>Kważi żewġ terzi</v>
      </c>
    </row>
    <row r="25243" ht="15.75" customHeight="1">
      <c r="A25243" s="2" t="s">
        <v>25243</v>
      </c>
      <c r="B25243" s="2" t="str">
        <f>IFERROR(__xludf.DUMMYFUNCTION("GOOGLETRANSLATE(A25243, ""en"", ""mt"")"),"X'inhi s-sistema ta 'edcuation bħalissa?")</f>
        <v>X'inhi s-sistema ta 'edcuation bħalissa?</v>
      </c>
    </row>
    <row r="25244" ht="15.75" customHeight="1">
      <c r="A25244" s="2" t="s">
        <v>25244</v>
      </c>
      <c r="B25244" s="2" t="str">
        <f>IFERROR(__xludf.DUMMYFUNCTION("GOOGLETRANSLATE(A25244, ""en"", ""mt"")"),"Kelma tfisser ħruq fil-lingwa Anglo-Sassona?")</f>
        <v>Kelma tfisser ħruq fil-lingwa Anglo-Sassona?</v>
      </c>
    </row>
    <row r="25245" ht="15.75" customHeight="1">
      <c r="A25245" s="2" t="s">
        <v>25245</v>
      </c>
      <c r="B25245" s="2" t="str">
        <f>IFERROR(__xludf.DUMMYFUNCTION("GOOGLETRANSLATE(A25245, ""en"", ""mt"")"),"Min ippubblika r-rapport tal-Istat tal-Pjaneta 2008-2009?")</f>
        <v>Min ippubblika r-rapport tal-Istat tal-Pjaneta 2008-2009?</v>
      </c>
    </row>
    <row r="25246" ht="15.75" customHeight="1">
      <c r="A25246" s="2" t="s">
        <v>25246</v>
      </c>
      <c r="B25246" s="2" t="str">
        <f>IFERROR(__xludf.DUMMYFUNCTION("GOOGLETRANSLATE(A25246, ""en"", ""mt"")"),"Inqas minn $ 1,000")</f>
        <v>Inqas minn $ 1,000</v>
      </c>
    </row>
    <row r="25247" ht="15.75" customHeight="1">
      <c r="A25247" s="2" t="s">
        <v>25247</v>
      </c>
      <c r="B25247" s="2" t="str">
        <f>IFERROR(__xludf.DUMMYFUNCTION("GOOGLETRANSLATE(A25247, ""en"", ""mt"")"),"Min waqqaf l-UMC?")</f>
        <v>Min waqqaf l-UMC?</v>
      </c>
    </row>
    <row r="25248" ht="15.75" customHeight="1">
      <c r="A25248" s="2" t="s">
        <v>25248</v>
      </c>
      <c r="B25248" s="2" t="str">
        <f>IFERROR(__xludf.DUMMYFUNCTION("GOOGLETRANSLATE(A25248, ""en"", ""mt"")"),"It-torque huwa l-ekwivalenti tar-rotazzjoni tal-forza bl-istess mod li l-angolu huwa l-ekwivalenti rotazzjonali għall-pożizzjoni, il-veloċità angolari għall-veloċità, u l-momentum angolari għall-momentum. Bħala konsegwenza tal-ewwel liġi ta 'mozzjoni ta' "&amp;"Newton, teżisti inerzja rotazzjonali li tiżgura li l-korpi kollha jżommu l-momentum angolari tagħhom sakemm ma jaġixxux minn torque żbilanċjat. Bl-istess mod, it-tieni liġi ta 'moviment ta' Newton tista 'tintuża biex toħroġ ekwazzjoni analoga għall-aċċell"&amp;"erazzjoni angolari istantanja tal-korp riġidu:")</f>
        <v>It-torque huwa l-ekwivalenti tar-rotazzjoni tal-forza bl-istess mod li l-angolu huwa l-ekwivalenti rotazzjonali għall-pożizzjoni, il-veloċità angolari għall-veloċità, u l-momentum angolari għall-momentum. Bħala konsegwenza tal-ewwel liġi ta 'mozzjoni ta' Newton, teżisti inerzja rotazzjonali li tiżgura li l-korpi kollha jżommu l-momentum angolari tagħhom sakemm ma jaġixxux minn torque żbilanċjat. Bl-istess mod, it-tieni liġi ta 'moviment ta' Newton tista 'tintuża biex toħroġ ekwazzjoni analoga għall-aċċellerazzjoni angolari istantanja tal-korp riġidu:</v>
      </c>
    </row>
    <row r="25249" ht="15.75" customHeight="1">
      <c r="A25249" s="2" t="s">
        <v>25249</v>
      </c>
      <c r="B25249" s="2" t="str">
        <f>IFERROR(__xludf.DUMMYFUNCTION("GOOGLETRANSLATE(A25249, ""en"", ""mt"")"),"stat Iżlamiku")</f>
        <v>stat Iżlamiku</v>
      </c>
    </row>
    <row r="25250" ht="15.75" customHeight="1">
      <c r="A25250" s="2" t="s">
        <v>25250</v>
      </c>
      <c r="B25250" s="2" t="str">
        <f>IFERROR(__xludf.DUMMYFUNCTION("GOOGLETRANSLATE(A25250, ""en"", ""mt"")"),"Ħafna ħsarat huma kapaċi jipproduċu terremot ta 'kobor 6.7+, bħalma huma l-ħsara ta' San Andreas, li tista 'tipproduċi avveniment ta' kobor 8.0. Ħsarat oħra jinkludu l-Ħsarat ta 'San Jacinto, il-Ħsarat ta' Puente Hills, u ż-Żona ta 'Ħsarat ta' Elsinore. L"&amp;"-USGS ħarġet tbassir tat-terremot ta 'Kalifornja li jimmudella l-okkorrenza tat-terremot f'Kalifornja.")</f>
        <v>Ħafna ħsarat huma kapaċi jipproduċu terremot ta 'kobor 6.7+, bħalma huma l-ħsara ta' San Andreas, li tista 'tipproduċi avveniment ta' kobor 8.0. Ħsarat oħra jinkludu l-Ħsarat ta 'San Jacinto, il-Ħsarat ta' Puente Hills, u ż-Żona ta 'Ħsarat ta' Elsinore. L-USGS ħarġet tbassir tat-terremot ta 'Kalifornja li jimmudella l-okkorrenza tat-terremot f'Kalifornja.</v>
      </c>
    </row>
    <row r="25251" ht="15.75" customHeight="1">
      <c r="A25251" s="2" t="s">
        <v>25251</v>
      </c>
      <c r="B25251" s="2" t="str">
        <f>IFERROR(__xludf.DUMMYFUNCTION("GOOGLETRANSLATE(A25251, ""en"", ""mt"")"),"Min qabel mal-ħruq tas-sinagogi?")</f>
        <v>Min qabel mal-ħruq tas-sinagogi?</v>
      </c>
    </row>
    <row r="25252" ht="15.75" customHeight="1">
      <c r="A25252" s="2" t="s">
        <v>25252</v>
      </c>
      <c r="B25252" s="2" t="str">
        <f>IFERROR(__xludf.DUMMYFUNCTION("GOOGLETRANSLATE(A25252, ""en"", ""mt"")"),"Fl-1999, speċjali ieħor, Doctor Who u The Curse of Fatal Death, sar għall-eżenzjoni tal-komiks u aktar tard rilaxxat fuq VHS. Parodija affettiva tas-serje televiżiva, ġiet maqsuma f'erba 'segmenti, li timita l-format tas-serje tradizzjonali, kompluta bi c"&amp;"liffhangers, u tiġri l-istess kuritur diversi drabi meta ġiet imfittxija (il-verżjoni rilaxxata fuq il-vidjow kienet maqsuma f'żewġ episodji biss). Fl-istorja, it-Tabib (Rowan Atkinson) jiltaqa ’kemm mal-kaptan (Jonathan Pryce) kif ukoll id-Daleks. Matul "&amp;"l-ispeċjal it-tabib huwa mġiegħel jirriġenera diversi drabi, bl-inkarnazzjonijiet sussegwenti tiegħu jintlagħbu, fl-ordni, Richard E. Grant, Jim Broadbent, Hugh Grant u Joanna Lumley. L-iskrittura nkitbet minn Steven Moffat, aktar tard biex tkun kittieb e"&amp;"wlieni u produttur eżekuttiv għas-serje Revived.")</f>
        <v>Fl-1999, speċjali ieħor, Doctor Who u The Curse of Fatal Death, sar għall-eżenzjoni tal-komiks u aktar tard rilaxxat fuq VHS. Parodija affettiva tas-serje televiżiva, ġiet maqsuma f'erba 'segmenti, li timita l-format tas-serje tradizzjonali, kompluta bi cliffhangers, u tiġri l-istess kuritur diversi drabi meta ġiet imfittxija (il-verżjoni rilaxxata fuq il-vidjow kienet maqsuma f'żewġ episodji biss). Fl-istorja, it-Tabib (Rowan Atkinson) jiltaqa ’kemm mal-kaptan (Jonathan Pryce) kif ukoll id-Daleks. Matul l-ispeċjal it-tabib huwa mġiegħel jirriġenera diversi drabi, bl-inkarnazzjonijiet sussegwenti tiegħu jintlagħbu, fl-ordni, Richard E. Grant, Jim Broadbent, Hugh Grant u Joanna Lumley. L-iskrittura nkitbet minn Steven Moffat, aktar tard biex tkun kittieb ewlieni u produttur eżekuttiv għas-serje Revived.</v>
      </c>
    </row>
    <row r="25253" ht="15.75" customHeight="1">
      <c r="A25253" s="2" t="s">
        <v>25253</v>
      </c>
      <c r="B25253" s="2" t="str">
        <f>IFERROR(__xludf.DUMMYFUNCTION("GOOGLETRANSLATE(A25253, ""en"", ""mt"")"),"F'liema sena kien iddeċieda Wisconsin v. Yoder fil-Qorti Suprema?")</f>
        <v>F'liema sena kien iddeċieda Wisconsin v. Yoder fil-Qorti Suprema?</v>
      </c>
    </row>
    <row r="25254" ht="15.75" customHeight="1">
      <c r="A25254" s="2" t="s">
        <v>25254</v>
      </c>
      <c r="B25254" s="2" t="str">
        <f>IFERROR(__xludf.DUMMYFUNCTION("GOOGLETRANSLATE(A25254, ""en"", ""mt"")"),"Loudoun")</f>
        <v>Loudoun</v>
      </c>
    </row>
    <row r="25255" ht="15.75" customHeight="1">
      <c r="A25255" s="2" t="s">
        <v>25255</v>
      </c>
      <c r="B25255" s="2" t="str">
        <f>IFERROR(__xludf.DUMMYFUNCTION("GOOGLETRANSLATE(A25255, ""en"", ""mt"")"),"X'inhu l-proċess li bih il-patoġeni jevadu s-sistema immunitarja billi jinħbew ġewwa ċ-ċelloli ospitanti?")</f>
        <v>X'inhu l-proċess li bih il-patoġeni jevadu s-sistema immunitarja billi jinħbew ġewwa ċ-ċelloli ospitanti?</v>
      </c>
    </row>
    <row r="25256" ht="15.75" customHeight="1">
      <c r="A25256" s="2" t="s">
        <v>25256</v>
      </c>
      <c r="B25256" s="2" t="str">
        <f>IFERROR(__xludf.DUMMYFUNCTION("GOOGLETRANSLATE(A25256, ""en"", ""mt"")"),"Fuq xiex il-ko-tagħlim iġib lill-istudenti jiffokaw fuqhom?")</f>
        <v>Fuq xiex il-ko-tagħlim iġib lill-istudenti jiffokaw fuqhom?</v>
      </c>
    </row>
    <row r="25257" ht="15.75" customHeight="1">
      <c r="A25257" s="2" t="s">
        <v>25257</v>
      </c>
      <c r="B25257" s="2" t="str">
        <f>IFERROR(__xludf.DUMMYFUNCTION("GOOGLETRANSLATE(A25257, ""en"", ""mt"")"),"Liema sena kienet id-disa 'Newcastle fl-infiq bl-imnut?")</f>
        <v>Liema sena kienet id-disa 'Newcastle fl-infiq bl-imnut?</v>
      </c>
    </row>
    <row r="25258" ht="15.75" customHeight="1">
      <c r="A25258" s="2" t="s">
        <v>25258</v>
      </c>
      <c r="B25258" s="2" t="str">
        <f>IFERROR(__xludf.DUMMYFUNCTION("GOOGLETRANSLATE(A25258, ""en"", ""mt"")"),"X'inhu l-ewwel film magħruf li fih xeni ffilmjati barra fi Newcastle?")</f>
        <v>X'inhu l-ewwel film magħruf li fih xeni ffilmjati barra fi Newcastle?</v>
      </c>
    </row>
    <row r="25259" ht="15.75" customHeight="1">
      <c r="A25259" s="2" t="s">
        <v>25259</v>
      </c>
      <c r="B25259" s="2" t="str">
        <f>IFERROR(__xludf.DUMMYFUNCTION("GOOGLETRANSLATE(A25259, ""en"", ""mt"")"),"Oġġetti ta 'densità kostanti huma proporzjonali għall-volum b'liema forza għandhom jiddefinixxu piżijiet standard?.")</f>
        <v>Oġġetti ta 'densità kostanti huma proporzjonali għall-volum b'liema forza għandhom jiddefinixxu piżijiet standard?.</v>
      </c>
    </row>
    <row r="25260" ht="15.75" customHeight="1">
      <c r="A25260" s="2" t="s">
        <v>25260</v>
      </c>
      <c r="B25260" s="2" t="str">
        <f>IFERROR(__xludf.DUMMYFUNCTION("GOOGLETRANSLATE(A25260, ""en"", ""mt"")"),"55.1%")</f>
        <v>55.1%</v>
      </c>
    </row>
    <row r="25261" ht="15.75" customHeight="1">
      <c r="A25261" s="2" t="s">
        <v>25261</v>
      </c>
      <c r="B25261" s="2" t="str">
        <f>IFERROR(__xludf.DUMMYFUNCTION("GOOGLETRANSLATE(A25261, ""en"", ""mt"")"),"Ekwilibriju dinamiku")</f>
        <v>Ekwilibriju dinamiku</v>
      </c>
    </row>
    <row r="25262" ht="15.75" customHeight="1">
      <c r="A25262" s="2" t="s">
        <v>25262</v>
      </c>
      <c r="B25262" s="2" t="str">
        <f>IFERROR(__xludf.DUMMYFUNCTION("GOOGLETRANSLATE(A25262, ""en"", ""mt"")"),"Kummissjoni v Awstrija")</f>
        <v>Kummissjoni v Awstrija</v>
      </c>
    </row>
    <row r="25263" ht="15.75" customHeight="1">
      <c r="A25263" s="2" t="s">
        <v>25263</v>
      </c>
      <c r="B25263" s="2" t="str">
        <f>IFERROR(__xludf.DUMMYFUNCTION("GOOGLETRANSLATE(A25263, ""en"", ""mt"")"),"X'impatt id-distribuzzjoni tal-ġid meta tevalwa x-xogħol?")</f>
        <v>X'impatt id-distribuzzjoni tal-ġid meta tevalwa x-xogħol?</v>
      </c>
    </row>
    <row r="25264" ht="15.75" customHeight="1">
      <c r="A25264" s="2" t="s">
        <v>25264</v>
      </c>
      <c r="B25264" s="2" t="str">
        <f>IFERROR(__xludf.DUMMYFUNCTION("GOOGLETRANSLATE(A25264, ""en"", ""mt"")"),".6 miljun sena")</f>
        <v>.6 miljun sena</v>
      </c>
    </row>
    <row r="25265" ht="15.75" customHeight="1">
      <c r="A25265" s="2" t="s">
        <v>25265</v>
      </c>
      <c r="B25265" s="2" t="str">
        <f>IFERROR(__xludf.DUMMYFUNCTION("GOOGLETRANSLATE(A25265, ""en"", ""mt"")"),"Min appoġġja politiki li għandhom soluzzjonijiet li jidhru tajbin imma għandhom prospetti ħżiena?")</f>
        <v>Min appoġġja politiki li għandhom soluzzjonijiet li jidhru tajbin imma għandhom prospetti ħżiena?</v>
      </c>
    </row>
    <row r="25266" ht="15.75" customHeight="1">
      <c r="A25266" s="2" t="s">
        <v>25266</v>
      </c>
      <c r="B25266" s="2" t="str">
        <f>IFERROR(__xludf.DUMMYFUNCTION("GOOGLETRANSLATE(A25266, ""en"", ""mt"")"),"X'jista 'jiżdied fir-rigward tal-LM u CSM għall-aħħar ħames missjonijiet?")</f>
        <v>X'jista 'jiżdied fir-rigward tal-LM u CSM għall-aħħar ħames missjonijiet?</v>
      </c>
    </row>
    <row r="25267" ht="15.75" customHeight="1">
      <c r="A25267" s="2" t="s">
        <v>25267</v>
      </c>
      <c r="B25267" s="2" t="str">
        <f>IFERROR(__xludf.DUMMYFUNCTION("GOOGLETRANSLATE(A25267, ""en"", ""mt"")"),"Xi jħossu li xi storiċi mhux Mongoljani jesaġeraw dwar Genghis Khan?")</f>
        <v>Xi jħossu li xi storiċi mhux Mongoljani jesaġeraw dwar Genghis Khan?</v>
      </c>
    </row>
    <row r="25268" ht="15.75" customHeight="1">
      <c r="A25268" s="2" t="s">
        <v>25268</v>
      </c>
      <c r="B25268" s="2" t="str">
        <f>IFERROR(__xludf.DUMMYFUNCTION("GOOGLETRANSLATE(A25268, ""en"", ""mt"")"),"ABC Modern")</f>
        <v>ABC Modern</v>
      </c>
    </row>
    <row r="25269" ht="15.75" customHeight="1">
      <c r="A25269" s="2" t="s">
        <v>25269</v>
      </c>
      <c r="B25269" s="2" t="str">
        <f>IFERROR(__xludf.DUMMYFUNCTION("GOOGLETRANSLATE(A25269, ""en"", ""mt"")"),"Fejn saret il-Konferenza tal-Milied tal-Baltimore tal-1784?")</f>
        <v>Fejn saret il-Konferenza tal-Milied tal-Baltimore tal-1784?</v>
      </c>
    </row>
    <row r="25270" ht="15.75" customHeight="1">
      <c r="A25270" s="2" t="s">
        <v>25270</v>
      </c>
      <c r="B25270" s="2" t="str">
        <f>IFERROR(__xludf.DUMMYFUNCTION("GOOGLETRANSLATE(A25270, ""en"", ""mt"")"),"Fl-Ewropa, it-Teatru tal-Amerika ta ’Fuq tas-seba’ snin tal-gwerra ġeneralment ma jingħatax isem separat. Il-kunflitt internazzjonali kollu huwa magħruf bħala l-gwerra tas-seba 'snin. ""Seba 'Snin"" tirreferi għal avvenimenti fl-Ewropa, mid-dikjarazzjoni "&amp;"uffiċjali tal-gwerra fl-1756 għall-iffirmar tat-Trattat ta' Paċi fl-1763. Dawn id-dati ma jikkorrispondux mal-ġlied fuq l-Amerika ta 'Fuq, fejn il-ġlied bejn iż-żewġ poteri kolonjali kien Konkluż fil-biċċa l-kbira f’sitt snin, mill-battalja ta ’Jumonville"&amp;" Glen fl-1754 sal-qbid ta’ Montreal fl-1760.")</f>
        <v>Fl-Ewropa, it-Teatru tal-Amerika ta ’Fuq tas-seba’ snin tal-gwerra ġeneralment ma jingħatax isem separat. Il-kunflitt internazzjonali kollu huwa magħruf bħala l-gwerra tas-seba 'snin. "Seba 'Snin" tirreferi għal avvenimenti fl-Ewropa, mid-dikjarazzjoni uffiċjali tal-gwerra fl-1756 għall-iffirmar tat-Trattat ta' Paċi fl-1763. Dawn id-dati ma jikkorrispondux mal-ġlied fuq l-Amerika ta 'Fuq, fejn il-ġlied bejn iż-żewġ poteri kolonjali kien Konkluż fil-biċċa l-kbira f’sitt snin, mill-battalja ta ’Jumonville Glen fl-1754 sal-qbid ta’ Montreal fl-1760.</v>
      </c>
    </row>
    <row r="25271" ht="15.75" customHeight="1">
      <c r="A25271" s="2" t="s">
        <v>25271</v>
      </c>
      <c r="B25271" s="2" t="str">
        <f>IFERROR(__xludf.DUMMYFUNCTION("GOOGLETRANSLATE(A25271, ""en"", ""mt"")"),"X'inhu flimkien mal-prezzijiet tal-għasafar biex jagħmluha diffiċli jew impossibbli għal nies foqra li jżommu l-pass?")</f>
        <v>X'inhu flimkien mal-prezzijiet tal-għasafar biex jagħmluha diffiċli jew impossibbli għal nies foqra li jżommu l-pass?</v>
      </c>
    </row>
    <row r="25272" ht="15.75" customHeight="1">
      <c r="A25272" s="2" t="s">
        <v>25272</v>
      </c>
      <c r="B25272" s="2" t="str">
        <f>IFERROR(__xludf.DUMMYFUNCTION("GOOGLETRANSLATE(A25272, ""en"", ""mt"")"),"Min kopra l-kopertura tal-mistrieħ?")</f>
        <v>Min kopra l-kopertura tal-mistrieħ?</v>
      </c>
    </row>
    <row r="25273" ht="15.75" customHeight="1">
      <c r="A25273" s="2" t="s">
        <v>25273</v>
      </c>
      <c r="B25273" s="2" t="str">
        <f>IFERROR(__xludf.DUMMYFUNCTION("GOOGLETRANSLATE(A25273, ""en"", ""mt"")"),"Liġijiet tal-Fiżika")</f>
        <v>Liġijiet tal-Fiżika</v>
      </c>
    </row>
    <row r="25274" ht="15.75" customHeight="1">
      <c r="A25274" s="2" t="s">
        <v>25274</v>
      </c>
      <c r="B25274" s="2" t="str">
        <f>IFERROR(__xludf.DUMMYFUNCTION("GOOGLETRANSLATE(A25274, ""en"", ""mt"")"),"X'tip ta 'linja ferrovjarja hija Nazzjonali tal-Paċifiku?")</f>
        <v>X'tip ta 'linja ferrovjarja hija Nazzjonali tal-Paċifiku?</v>
      </c>
    </row>
    <row r="25275" ht="15.75" customHeight="1">
      <c r="A25275" s="2" t="s">
        <v>25275</v>
      </c>
      <c r="B25275" s="2" t="str">
        <f>IFERROR(__xludf.DUMMYFUNCTION("GOOGLETRANSLATE(A25275, ""en"", ""mt"")"),"X'inhuma l-klades?")</f>
        <v>X'inhuma l-klades?</v>
      </c>
    </row>
    <row r="25276" ht="15.75" customHeight="1">
      <c r="A25276" s="2" t="s">
        <v>25276</v>
      </c>
      <c r="B25276" s="2" t="str">
        <f>IFERROR(__xludf.DUMMYFUNCTION("GOOGLETRANSLATE(A25276, ""en"", ""mt"")"),"ABC meta adotta l-logo ikoniku taċ-ċirku?")</f>
        <v>ABC meta adotta l-logo ikoniku taċ-ċirku?</v>
      </c>
    </row>
    <row r="25277" ht="15.75" customHeight="1">
      <c r="A25277" s="2" t="s">
        <v>25277</v>
      </c>
      <c r="B25277" s="2" t="str">
        <f>IFERROR(__xludf.DUMMYFUNCTION("GOOGLETRANSLATE(A25277, ""en"", ""mt"")"),"Liema distinzjoni għandha t-torri tal-Bank of America?")</f>
        <v>Liema distinzjoni għandha t-torri tal-Bank of America?</v>
      </c>
    </row>
    <row r="25278" ht="15.75" customHeight="1">
      <c r="A25278" s="2" t="s">
        <v>25278</v>
      </c>
      <c r="B25278" s="2" t="str">
        <f>IFERROR(__xludf.DUMMYFUNCTION("GOOGLETRANSLATE(A25278, ""en"", ""mt"")"),"Għal liema patoġen dan jikkawża l-gangrena tal-gass huwa velenuż ossiġenu?")</f>
        <v>Għal liema patoġen dan jikkawża l-gangrena tal-gass huwa velenuż ossiġenu?</v>
      </c>
    </row>
    <row r="25279" ht="15.75" customHeight="1">
      <c r="A25279" s="2" t="s">
        <v>25279</v>
      </c>
      <c r="B25279" s="2" t="str">
        <f>IFERROR(__xludf.DUMMYFUNCTION("GOOGLETRANSLATE(A25279, ""en"", ""mt"")"),"Kemm mili t-trab jivvjaġġa fuq l-Oċean Atlantiku?")</f>
        <v>Kemm mili t-trab jivvjaġġa fuq l-Oċean Atlantiku?</v>
      </c>
    </row>
    <row r="25280" ht="15.75" customHeight="1">
      <c r="A25280" s="2" t="s">
        <v>25280</v>
      </c>
      <c r="B25280" s="2" t="str">
        <f>IFERROR(__xludf.DUMMYFUNCTION("GOOGLETRANSLATE(A25280, ""en"", ""mt"")"),"Apollo 20.")</f>
        <v>Apollo 20.</v>
      </c>
    </row>
    <row r="25281" ht="15.75" customHeight="1">
      <c r="A25281" s="2" t="s">
        <v>25281</v>
      </c>
      <c r="B25281" s="2" t="str">
        <f>IFERROR(__xludf.DUMMYFUNCTION("GOOGLETRANSLATE(A25281, ""en"", ""mt"")"),"huwa meqjus essenzjali għall-bidu tat-traduzzjoni fil-biċċa l-kbira tal-kloroplasti u l-prokarioti")</f>
        <v>huwa meqjus essenzjali għall-bidu tat-traduzzjoni fil-biċċa l-kbira tal-kloroplasti u l-prokarioti</v>
      </c>
    </row>
    <row r="25282" ht="15.75" customHeight="1">
      <c r="A25282" s="2" t="s">
        <v>25282</v>
      </c>
      <c r="B25282" s="2" t="str">
        <f>IFERROR(__xludf.DUMMYFUNCTION("GOOGLETRANSLATE(A25282, ""en"", ""mt"")"),"Kunsill Ewropew")</f>
        <v>Kunsill Ewropew</v>
      </c>
    </row>
    <row r="25283" ht="15.75" customHeight="1">
      <c r="A25283" s="2" t="s">
        <v>25283</v>
      </c>
      <c r="B25283" s="2" t="str">
        <f>IFERROR(__xludf.DUMMYFUNCTION("GOOGLETRANSLATE(A25283, ""en"", ""mt"")"),"ħuħ maħluq jew ħuh tad-demm")</f>
        <v>ħuħ maħluq jew ħuh tad-demm</v>
      </c>
    </row>
    <row r="25284" ht="15.75" customHeight="1">
      <c r="A25284" s="2" t="s">
        <v>25284</v>
      </c>
      <c r="B25284" s="2" t="str">
        <f>IFERROR(__xludf.DUMMYFUNCTION("GOOGLETRANSLATE(A25284, ""en"", ""mt"")"),"Perforin")</f>
        <v>Perforin</v>
      </c>
    </row>
    <row r="25285" ht="15.75" customHeight="1">
      <c r="A25285" s="2" t="s">
        <v>25285</v>
      </c>
      <c r="B25285" s="2" t="str">
        <f>IFERROR(__xludf.DUMMYFUNCTION("GOOGLETRANSLATE(A25285, ""en"", ""mt"")"),"Koran")</f>
        <v>Koran</v>
      </c>
    </row>
    <row r="25286" ht="15.75" customHeight="1">
      <c r="A25286" s="2" t="s">
        <v>25286</v>
      </c>
      <c r="B25286" s="2" t="str">
        <f>IFERROR(__xludf.DUMMYFUNCTION("GOOGLETRANSLATE(A25286, ""en"", ""mt"")"),"apartheid")</f>
        <v>apartheid</v>
      </c>
    </row>
    <row r="25287" ht="15.75" customHeight="1">
      <c r="A25287" s="2" t="s">
        <v>25287</v>
      </c>
      <c r="B25287" s="2" t="str">
        <f>IFERROR(__xludf.DUMMYFUNCTION("GOOGLETRANSLATE(A25287, ""en"", ""mt"")"),"F’San Evroul, tradizzjoni tal-kant kienet żviluppat u l-kor kiseb fama fin-Normandija. Taħt l-abbati Norman Robert de Grantmesnil, diversi patrijiet ta 'Saint-Evroul ħarbu lejn in-Nofsinhar tal-Italja, fejn kienu patronizzati minn Robert Guiscard u stabbi"&amp;"lixxew monasteru Latin f'Sant'eufemia. Hemm komplew it-tradizzjoni tal-kant.")</f>
        <v>F’San Evroul, tradizzjoni tal-kant kienet żviluppat u l-kor kiseb fama fin-Normandija. Taħt l-abbati Norman Robert de Grantmesnil, diversi patrijiet ta 'Saint-Evroul ħarbu lejn in-Nofsinhar tal-Italja, fejn kienu patronizzati minn Robert Guiscard u stabbilixxew monasteru Latin f'Sant'eufemia. Hemm komplew it-tradizzjoni tal-kant.</v>
      </c>
    </row>
    <row r="25288" ht="15.75" customHeight="1">
      <c r="A25288" s="2" t="s">
        <v>25288</v>
      </c>
      <c r="B25288" s="2" t="str">
        <f>IFERROR(__xludf.DUMMYFUNCTION("GOOGLETRANSLATE(A25288, ""en"", ""mt"")"),"Docking")</f>
        <v>Docking</v>
      </c>
    </row>
    <row r="25289" ht="15.75" customHeight="1">
      <c r="A25289" s="2" t="s">
        <v>25289</v>
      </c>
      <c r="B25289" s="2" t="str">
        <f>IFERROR(__xludf.DUMMYFUNCTION("GOOGLETRANSLATE(A25289, ""en"", ""mt"")"),"Kwalità ta 'istituzzjonijiet ta' pajjiż u livelli għoljin ta 'edukazzjoni")</f>
        <v>Kwalità ta 'istituzzjonijiet ta' pajjiż u livelli għoljin ta 'edukazzjoni</v>
      </c>
    </row>
    <row r="25290" ht="15.75" customHeight="1">
      <c r="A25290" s="2" t="s">
        <v>25290</v>
      </c>
      <c r="B25290" s="2" t="str">
        <f>IFERROR(__xludf.DUMMYFUNCTION("GOOGLETRANSLATE(A25290, ""en"", ""mt"")"),"il-Mongoli")</f>
        <v>il-Mongoli</v>
      </c>
    </row>
    <row r="25291" ht="15.75" customHeight="1">
      <c r="A25291" s="2" t="s">
        <v>25291</v>
      </c>
      <c r="B25291" s="2" t="str">
        <f>IFERROR(__xludf.DUMMYFUNCTION("GOOGLETRANSLATE(A25291, ""en"", ""mt"")"),"Min ħassar il-pjanijiet ta 'Roussel de Bailleul għal stat indipendenti?")</f>
        <v>Min ħassar il-pjanijiet ta 'Roussel de Bailleul għal stat indipendenti?</v>
      </c>
    </row>
    <row r="25292" ht="15.75" customHeight="1">
      <c r="A25292" s="2" t="s">
        <v>25292</v>
      </c>
      <c r="B25292" s="2" t="str">
        <f>IFERROR(__xludf.DUMMYFUNCTION("GOOGLETRANSLATE(A25292, ""en"", ""mt"")"),"Nofs il-popolazzjoni ta 'Pariġi ta' 100,000 persuna")</f>
        <v>Nofs il-popolazzjoni ta 'Pariġi ta' 100,000 persuna</v>
      </c>
    </row>
    <row r="25293" ht="15.75" customHeight="1">
      <c r="A25293" s="2" t="s">
        <v>25293</v>
      </c>
      <c r="B25293" s="2" t="str">
        <f>IFERROR(__xludf.DUMMYFUNCTION("GOOGLETRANSLATE(A25293, ""en"", ""mt"")"),"10")</f>
        <v>10</v>
      </c>
    </row>
    <row r="25294" ht="15.75" customHeight="1">
      <c r="A25294" s="2" t="s">
        <v>25294</v>
      </c>
      <c r="B25294" s="2" t="str">
        <f>IFERROR(__xludf.DUMMYFUNCTION("GOOGLETRANSLATE(A25294, ""en"", ""mt"")"),"X'inhu l-proċess li bih is-sistema immunitarja tidentifika t-tumuri?")</f>
        <v>X'inhu l-proċess li bih is-sistema immunitarja tidentifika t-tumuri?</v>
      </c>
    </row>
    <row r="25295" ht="15.75" customHeight="1">
      <c r="A25295" s="2" t="s">
        <v>25295</v>
      </c>
      <c r="B25295" s="2" t="str">
        <f>IFERROR(__xludf.DUMMYFUNCTION("GOOGLETRANSLATE(A25295, ""en"", ""mt"")"),"Kwaternarju")</f>
        <v>Kwaternarju</v>
      </c>
    </row>
    <row r="25296" ht="15.75" customHeight="1">
      <c r="A25296" s="2" t="s">
        <v>25296</v>
      </c>
      <c r="B25296" s="2" t="str">
        <f>IFERROR(__xludf.DUMMYFUNCTION("GOOGLETRANSLATE(A25296, ""en"", ""mt"")"),"Iċ-Ċiniż Han")</f>
        <v>Iċ-Ċiniż Han</v>
      </c>
    </row>
    <row r="25297" ht="15.75" customHeight="1">
      <c r="A25297" s="2" t="s">
        <v>25297</v>
      </c>
      <c r="B25297" s="2" t="str">
        <f>IFERROR(__xludf.DUMMYFUNCTION("GOOGLETRANSLATE(A25297, ""en"", ""mt"")"),"toroq militari lejn iż-żona minn Braddock u Forbes")</f>
        <v>toroq militari lejn iż-żona minn Braddock u Forbes</v>
      </c>
    </row>
    <row r="25298" ht="15.75" customHeight="1">
      <c r="A25298" s="2" t="s">
        <v>25298</v>
      </c>
      <c r="B25298" s="2" t="str">
        <f>IFERROR(__xludf.DUMMYFUNCTION("GOOGLETRANSLATE(A25298, ""en"", ""mt"")"),"Minn ħdejn il-ħalq sat-tarf oppost")</f>
        <v>Minn ħdejn il-ħalq sat-tarf oppost</v>
      </c>
    </row>
    <row r="25299" ht="15.75" customHeight="1">
      <c r="A25299" s="2" t="s">
        <v>25299</v>
      </c>
      <c r="B25299" s="2" t="str">
        <f>IFERROR(__xludf.DUMMYFUNCTION("GOOGLETRANSLATE(A25299, ""en"", ""mt"")"),"Telenet kien l-ewwel netwerk ta 'dejta pubblika liċenzjata mill-FCC fl-Istati Uniti. Din twaqqfet mill-ex direttur tal-IPTO ARPA Larry Roberts bħala mezz biex tagħmel it-teknoloġija ARPANET pubblika. Huwa kien ipprova jinteressa lil AT&amp;T fix-xiri tat-tekn"&amp;"oloġija, iżda r-reazzjoni tal-monopolju kienet li din kienet inkompatibbli mal-futur tagħhom. Bolt, Beranack u Newman (BBN) ipprovdew il-finanzjament. Fil-bidu uża t-teknoloġija ARPANET iżda biddel l-interface ospitanti għal X.25 u l-interface terminali g"&amp;"ħal X.29. Telenet iddisinja dawn il-protokolli u għenhom jistandardizzahom fis-CCITT. Telenet ġie inkorporat fl-1973 u beda l-operazzjonijiet fl-1975. Huwa sar pubbliku fl-1979 u mbagħad inbiegħ lil GTE.")</f>
        <v>Telenet kien l-ewwel netwerk ta 'dejta pubblika liċenzjata mill-FCC fl-Istati Uniti. Din twaqqfet mill-ex direttur tal-IPTO ARPA Larry Roberts bħala mezz biex tagħmel it-teknoloġija ARPANET pubblika. Huwa kien ipprova jinteressa lil AT&amp;T fix-xiri tat-teknoloġija, iżda r-reazzjoni tal-monopolju kienet li din kienet inkompatibbli mal-futur tagħhom. Bolt, Beranack u Newman (BBN) ipprovdew il-finanzjament. Fil-bidu uża t-teknoloġija ARPANET iżda biddel l-interface ospitanti għal X.25 u l-interface terminali għal X.29. Telenet iddisinja dawn il-protokolli u għenhom jistandardizzahom fis-CCITT. Telenet ġie inkorporat fl-1973 u beda l-operazzjonijiet fl-1975. Huwa sar pubbliku fl-1979 u mbagħad inbiegħ lil GTE.</v>
      </c>
    </row>
    <row r="25300" ht="15.75" customHeight="1">
      <c r="A25300" s="2" t="s">
        <v>25300</v>
      </c>
      <c r="B25300" s="2" t="str">
        <f>IFERROR(__xludf.DUMMYFUNCTION("GOOGLETRANSLATE(A25300, ""en"", ""mt"")"),"Kemm touchdowns Manning tarmi fil-logħba?")</f>
        <v>Kemm touchdowns Manning tarmi fil-logħba?</v>
      </c>
    </row>
    <row r="25301" ht="15.75" customHeight="1">
      <c r="A25301" s="2" t="s">
        <v>25301</v>
      </c>
      <c r="B25301" s="2" t="str">
        <f>IFERROR(__xludf.DUMMYFUNCTION("GOOGLETRANSLATE(A25301, ""en"", ""mt"")"),"X'inhu isem tipiku għat-tagħlim li mhux ġewwa l-klassi?")</f>
        <v>X'inhu isem tipiku għat-tagħlim li mhux ġewwa l-klassi?</v>
      </c>
    </row>
    <row r="25302" ht="15.75" customHeight="1">
      <c r="A25302" s="2" t="s">
        <v>25302</v>
      </c>
      <c r="B25302" s="2" t="str">
        <f>IFERROR(__xludf.DUMMYFUNCTION("GOOGLETRANSLATE(A25302, ""en"", ""mt"")"),"Min kien l-MVP tas-Super Bowl I u II?")</f>
        <v>Min kien l-MVP tas-Super Bowl I u II?</v>
      </c>
    </row>
    <row r="25303" ht="15.75" customHeight="1">
      <c r="A25303" s="2" t="s">
        <v>25303</v>
      </c>
      <c r="B25303" s="2" t="str">
        <f>IFERROR(__xludf.DUMMYFUNCTION("GOOGLETRANSLATE(A25303, ""en"", ""mt"")"),"il-proċess ta 'pajjiż li jieħu l-kontroll fiżiku ta' ieħor")</f>
        <v>il-proċess ta 'pajjiż li jieħu l-kontroll fiżiku ta' ieħor</v>
      </c>
    </row>
    <row r="25304" ht="15.75" customHeight="1">
      <c r="A25304" s="2" t="s">
        <v>25304</v>
      </c>
      <c r="B25304" s="2" t="str">
        <f>IFERROR(__xludf.DUMMYFUNCTION("GOOGLETRANSLATE(A25304, ""en"", ""mt"")"),"Kif kien possibbli dan")</f>
        <v>Kif kien possibbli dan</v>
      </c>
    </row>
    <row r="25305" ht="15.75" customHeight="1">
      <c r="A25305" s="2" t="s">
        <v>25305</v>
      </c>
      <c r="B25305" s="2" t="str">
        <f>IFERROR(__xludf.DUMMYFUNCTION("GOOGLETRANSLATE(A25305, ""en"", ""mt"")"),"Liema xmara hija qrib il-post tad-difna probabbli ta 'Genghis Khan?")</f>
        <v>Liema xmara hija qrib il-post tad-difna probabbli ta 'Genghis Khan?</v>
      </c>
    </row>
    <row r="25306" ht="15.75" customHeight="1">
      <c r="A25306" s="2" t="s">
        <v>25306</v>
      </c>
      <c r="B25306" s="2" t="str">
        <f>IFERROR(__xludf.DUMMYFUNCTION("GOOGLETRANSLATE(A25306, ""en"", ""mt"")"),"Liema monument inbena snin wara l-mewt u d-difna ta 'Genghis Khan?")</f>
        <v>Liema monument inbena snin wara l-mewt u d-difna ta 'Genghis Khan?</v>
      </c>
    </row>
    <row r="25307" ht="15.75" customHeight="1">
      <c r="A25307" s="2" t="s">
        <v>25307</v>
      </c>
      <c r="B25307" s="2" t="str">
        <f>IFERROR(__xludf.DUMMYFUNCTION("GOOGLETRANSLATE(A25307, ""en"", ""mt"")"),"Meta kienet il-kostruzzjoni li biddlet id-delta tar-Rhine?")</f>
        <v>Meta kienet il-kostruzzjoni li biddlet id-delta tar-Rhine?</v>
      </c>
    </row>
    <row r="25308" ht="15.75" customHeight="1">
      <c r="A25308" s="2" t="s">
        <v>25308</v>
      </c>
      <c r="B25308" s="2" t="str">
        <f>IFERROR(__xludf.DUMMYFUNCTION("GOOGLETRANSLATE(A25308, ""en"", ""mt"")"),"X'inhi l-akbar belt fil-Polonja?")</f>
        <v>X'inhi l-akbar belt fil-Polonja?</v>
      </c>
    </row>
    <row r="25309" ht="15.75" customHeight="1">
      <c r="A25309" s="2" t="s">
        <v>25309</v>
      </c>
      <c r="B25309" s="2" t="str">
        <f>IFERROR(__xludf.DUMMYFUNCTION("GOOGLETRANSLATE(A25309, ""en"", ""mt"")"),"Filosofi fl-antikità użaw il-kunċett ta ’forza fl-istudju ta’ oġġetti wieqfa u li jiċċaqilqu u magni sempliċi, iżda ħassieba bħal Aristotile u Archimedes żammew żbalji fundamentali fil-fehim tal-forza. Parzjalment dan kien dovut għal fehim mhux komplut ta"&amp;"l-forza ta 'frizzjoni kultant mhux ovvja, u konsegwentement veduta inadegwata tan-natura tal-moviment naturali. Żball fundamentali kien it-twemmin li forza hija meħtieġa biex iżżomm il-moviment, anke b'veloċità kostanti. Il-biċċa l-kbira tan-nuqqas ta 'ft"&amp;"ehim preċedenti dwar il-moviment u l-forza eventwalment ġew ikkoreġuti minn Galileo Galilei u Sir Isaac Newton. Bl-għarfien matematiku tiegħu, Sir Isaac Newton fformula liġijiet ta 'mozzjoni li ma kinux imtejba għal kważi tliet mitt sena. Sal-bidu tas-sek"&amp;"lu 20, Einstein żviluppa teorija tar-Relatività li bassret b'mod korrett l-azzjoni tal-forzi fuq oġġetti b'momment dejjem jiżdied ħdejn il-veloċità tad-dawl, u pprovda wkoll għarfien dwar il-forzi prodotti mill-gravitazzjoni u l-inerzja.")</f>
        <v>Filosofi fl-antikità użaw il-kunċett ta ’forza fl-istudju ta’ oġġetti wieqfa u li jiċċaqilqu u magni sempliċi, iżda ħassieba bħal Aristotile u Archimedes żammew żbalji fundamentali fil-fehim tal-forza. Parzjalment dan kien dovut għal fehim mhux komplut tal-forza ta 'frizzjoni kultant mhux ovvja, u konsegwentement veduta inadegwata tan-natura tal-moviment naturali. Żball fundamentali kien it-twemmin li forza hija meħtieġa biex iżżomm il-moviment, anke b'veloċità kostanti. Il-biċċa l-kbira tan-nuqqas ta 'ftehim preċedenti dwar il-moviment u l-forza eventwalment ġew ikkoreġuti minn Galileo Galilei u Sir Isaac Newton. Bl-għarfien matematiku tiegħu, Sir Isaac Newton fformula liġijiet ta 'mozzjoni li ma kinux imtejba għal kważi tliet mitt sena. Sal-bidu tas-seklu 20, Einstein żviluppa teorija tar-Relatività li bassret b'mod korrett l-azzjoni tal-forzi fuq oġġetti b'momment dejjem jiżdied ħdejn il-veloċità tad-dawl, u pprovda wkoll għarfien dwar il-forzi prodotti mill-gravitazzjoni u l-inerzja.</v>
      </c>
    </row>
    <row r="25310" ht="15.75" customHeight="1">
      <c r="A25310" s="2" t="s">
        <v>25310</v>
      </c>
      <c r="B25310" s="2" t="str">
        <f>IFERROR(__xludf.DUMMYFUNCTION("GOOGLETRANSLATE(A25310, ""en"", ""mt"")"),"Kif jissejjaħ l-ogħla punt tal-Baċin tar-Renu?")</f>
        <v>Kif jissejjaħ l-ogħla punt tal-Baċin tar-Renu?</v>
      </c>
    </row>
    <row r="25311" ht="15.75" customHeight="1">
      <c r="A25311" s="2" t="s">
        <v>25311</v>
      </c>
      <c r="B25311" s="2" t="str">
        <f>IFERROR(__xludf.DUMMYFUNCTION("GOOGLETRANSLATE(A25311, ""en"", ""mt"")"),"Matul liema Eon beda l-ossiġnu ħieles beda jidher fil-kwantità?")</f>
        <v>Matul liema Eon beda l-ossiġnu ħieles beda jidher fil-kwantità?</v>
      </c>
    </row>
    <row r="25312" ht="15.75" customHeight="1">
      <c r="A25312" s="2" t="s">
        <v>25312</v>
      </c>
      <c r="B25312" s="2" t="str">
        <f>IFERROR(__xludf.DUMMYFUNCTION("GOOGLETRANSLATE(A25312, ""en"", ""mt"")"),"Il-Wied ta 'San Fernando")</f>
        <v>Il-Wied ta 'San Fernando</v>
      </c>
    </row>
    <row r="25313" ht="15.75" customHeight="1">
      <c r="A25313" s="2" t="s">
        <v>25313</v>
      </c>
      <c r="B25313" s="2" t="str">
        <f>IFERROR(__xludf.DUMMYFUNCTION("GOOGLETRANSLATE(A25313, ""en"", ""mt"")"),"It-twaqqif ta ’knejjes Protestanti Ġodda")</f>
        <v>It-twaqqif ta ’knejjes Protestanti Ġodda</v>
      </c>
    </row>
    <row r="25314" ht="15.75" customHeight="1">
      <c r="A25314" s="2" t="s">
        <v>25314</v>
      </c>
      <c r="B25314" s="2" t="str">
        <f>IFERROR(__xludf.DUMMYFUNCTION("GOOGLETRANSLATE(A25314, ""en"", ""mt"")"),"tolleranti")</f>
        <v>tolleranti</v>
      </c>
    </row>
    <row r="25315" ht="15.75" customHeight="1">
      <c r="A25315" s="2" t="s">
        <v>25315</v>
      </c>
      <c r="B25315" s="2" t="str">
        <f>IFERROR(__xludf.DUMMYFUNCTION("GOOGLETRANSLATE(A25315, ""en"", ""mt"")"),"Rhin")</f>
        <v>Rhin</v>
      </c>
    </row>
    <row r="25316" ht="15.75" customHeight="1">
      <c r="A25316" s="2" t="s">
        <v>25316</v>
      </c>
      <c r="B25316" s="2" t="str">
        <f>IFERROR(__xludf.DUMMYFUNCTION("GOOGLETRANSLATE(A25316, ""en"", ""mt"")"),"X'inhu l-isem għal rispons tas-sistema immunitarja li tagħmel ħsara lit-tessuti indiġeni tal-ġisem?")</f>
        <v>X'inhu l-isem għal rispons tas-sistema immunitarja li tagħmel ħsara lit-tessuti indiġeni tal-ġisem?</v>
      </c>
    </row>
    <row r="25317" ht="15.75" customHeight="1">
      <c r="A25317" s="2" t="s">
        <v>25317</v>
      </c>
      <c r="B25317" s="2" t="str">
        <f>IFERROR(__xludf.DUMMYFUNCTION("GOOGLETRANSLATE(A25317, ""en"", ""mt"")"),"L-arkitettura performattiva tal-perit Olandiż Janjaap Ruijssenaars il-bini stampat 3D huwa skedat li jinbena meta?")</f>
        <v>L-arkitettura performattiva tal-perit Olandiż Janjaap Ruijssenaars il-bini stampat 3D huwa skedat li jinbena meta?</v>
      </c>
    </row>
    <row r="25318" ht="15.75" customHeight="1">
      <c r="A25318" s="2" t="s">
        <v>25318</v>
      </c>
      <c r="B25318" s="2" t="str">
        <f>IFERROR(__xludf.DUMMYFUNCTION("GOOGLETRANSLATE(A25318, ""en"", ""mt"")"),"Netwerk ta 'Tifel Qadim")</f>
        <v>Netwerk ta 'Tifel Qadim</v>
      </c>
    </row>
    <row r="25319" ht="15.75" customHeight="1">
      <c r="A25319" s="2" t="s">
        <v>25319</v>
      </c>
      <c r="B25319" s="2" t="str">
        <f>IFERROR(__xludf.DUMMYFUNCTION("GOOGLETRANSLATE(A25319, ""en"", ""mt"")"),"Dak li joffri definizzjoni kunċettwali tal-forza?")</f>
        <v>Dak li joffri definizzjoni kunċettwali tal-forza?</v>
      </c>
    </row>
    <row r="25320" ht="15.75" customHeight="1">
      <c r="A25320" s="2" t="s">
        <v>25320</v>
      </c>
      <c r="B25320" s="2" t="str">
        <f>IFERROR(__xludf.DUMMYFUNCTION("GOOGLETRANSLATE(A25320, ""en"", ""mt"")"),"F'liema ħin miet Martin Luther?")</f>
        <v>F'liema ħin miet Martin Luther?</v>
      </c>
    </row>
    <row r="25321" ht="15.75" customHeight="1">
      <c r="A25321" s="2" t="s">
        <v>25321</v>
      </c>
      <c r="B25321" s="2" t="str">
        <f>IFERROR(__xludf.DUMMYFUNCTION("GOOGLETRANSLATE(A25321, ""en"", ""mt"")"),"It-terminu konferenza annwali spiss jintuża biex jirreferi għal xiex?")</f>
        <v>It-terminu konferenza annwali spiss jintuża biex jirreferi għal xiex?</v>
      </c>
    </row>
    <row r="25322" ht="15.75" customHeight="1">
      <c r="A25322" s="2" t="s">
        <v>25322</v>
      </c>
      <c r="B25322" s="2" t="str">
        <f>IFERROR(__xludf.DUMMYFUNCTION("GOOGLETRANSLATE(A25322, ""en"", ""mt"")"),"il-magna gun")</f>
        <v>il-magna gun</v>
      </c>
    </row>
    <row r="25323" ht="15.75" customHeight="1">
      <c r="A25323" s="2" t="s">
        <v>25323</v>
      </c>
      <c r="B25323" s="2" t="str">
        <f>IFERROR(__xludf.DUMMYFUNCTION("GOOGLETRANSLATE(A25323, ""en"", ""mt"")"),"Il-logo għat-Tnax-il Tabib")</f>
        <v>Il-logo għat-Tnax-il Tabib</v>
      </c>
    </row>
    <row r="25324" ht="15.75" customHeight="1">
      <c r="A25324" s="2" t="s">
        <v>25324</v>
      </c>
      <c r="B25324" s="2" t="str">
        <f>IFERROR(__xludf.DUMMYFUNCTION("GOOGLETRANSLATE(A25324, ""en"", ""mt"")"),"Wara r-riżultati Franċiżi ġeneralment foqra fil-biċċa l-kbira tat-teatri tal-gwerra tas-seba 'snin fl-1758, il-ministru barrani l-ġdid ta' Franza, id-Duc de Choiseul, iddeċieda li jiffoka fuq invażjoni tal-Gran Brittanja, biex jiġbed riżorsi Ingliżi 'l bo"&amp;"għod mill-Amerika ta' Fuq u l-Ewropew kontinentali. L-invażjoni naqset kemm militarment kif ukoll politikament, hekk kif Pitt reġa 'ppjana kampanji sinifikanti kontra Franza l-ġdida, u bagħat fondi lill-alleat tal-Gran Brittanja fuq il-kontinent, il-Pruss"&amp;"ja, u n-Navy Franċiża fallew fil-battalji navali tal-1759 fil-Lagos u l-Bajja ta' Quiberon. F’biċċa waħda ta ’fortuna tajba, xi vapuri tal-provvista Franċiżi rnexxielhom jitilqu minn Franza, u ħadu l-imblokk Ingliż tal-kosta Franċiża.")</f>
        <v>Wara r-riżultati Franċiżi ġeneralment foqra fil-biċċa l-kbira tat-teatri tal-gwerra tas-seba 'snin fl-1758, il-ministru barrani l-ġdid ta' Franza, id-Duc de Choiseul, iddeċieda li jiffoka fuq invażjoni tal-Gran Brittanja, biex jiġbed riżorsi Ingliżi 'l bogħod mill-Amerika ta' Fuq u l-Ewropew kontinentali. L-invażjoni naqset kemm militarment kif ukoll politikament, hekk kif Pitt reġa 'ppjana kampanji sinifikanti kontra Franza l-ġdida, u bagħat fondi lill-alleat tal-Gran Brittanja fuq il-kontinent, il-Prussja, u n-Navy Franċiża fallew fil-battalji navali tal-1759 fil-Lagos u l-Bajja ta' Quiberon. F’biċċa waħda ta ’fortuna tajba, xi vapuri tal-provvista Franċiżi rnexxielhom jitilqu minn Franza, u ħadu l-imblokk Ingliż tal-kosta Franċiża.</v>
      </c>
    </row>
    <row r="25325" ht="15.75" customHeight="1">
      <c r="A25325" s="2" t="s">
        <v>25325</v>
      </c>
      <c r="B25325" s="2" t="str">
        <f>IFERROR(__xludf.DUMMYFUNCTION("GOOGLETRANSLATE(A25325, ""en"", ""mt"")"),"Kif ġew assimilati l-kolonizzaturi Huguenot fis-soċjetà ta 'l-Amerika ta' Fuq?")</f>
        <v>Kif ġew assimilati l-kolonizzaturi Huguenot fis-soċjetà ta 'l-Amerika ta' Fuq?</v>
      </c>
    </row>
    <row r="25326" ht="15.75" customHeight="1">
      <c r="A25326" s="2" t="s">
        <v>25326</v>
      </c>
      <c r="B25326" s="2" t="str">
        <f>IFERROR(__xludf.DUMMYFUNCTION("GOOGLETRANSLATE(A25326, ""en"", ""mt"")"),"L-iktar wirja popolari")</f>
        <v>L-iktar wirja popolari</v>
      </c>
    </row>
    <row r="25327" ht="15.75" customHeight="1">
      <c r="A25327" s="2" t="s">
        <v>25327</v>
      </c>
      <c r="B25327" s="2" t="str">
        <f>IFERROR(__xludf.DUMMYFUNCTION("GOOGLETRANSLATE(A25327, ""en"", ""mt"")"),"Massachusetts")</f>
        <v>Massachusetts</v>
      </c>
    </row>
    <row r="25328" ht="15.75" customHeight="1">
      <c r="A25328" s="2" t="s">
        <v>25328</v>
      </c>
      <c r="B25328" s="2" t="str">
        <f>IFERROR(__xludf.DUMMYFUNCTION("GOOGLETRANSLATE(A25328, ""en"", ""mt"")"),"7,000,000 kilometru kwadru (2,70")</f>
        <v>7,000,000 kilometru kwadru (2,70</v>
      </c>
    </row>
    <row r="25329" ht="15.75" customHeight="1">
      <c r="A25329" s="2" t="s">
        <v>25329</v>
      </c>
      <c r="B25329" s="2" t="str">
        <f>IFERROR(__xludf.DUMMYFUNCTION("GOOGLETRANSLATE(A25329, ""en"", ""mt"")"),"Il-Qorti Ewropea tad-Drittijiet tal-Bniedem")</f>
        <v>Il-Qorti Ewropea tad-Drittijiet tal-Bniedem</v>
      </c>
    </row>
    <row r="25330" ht="15.75" customHeight="1">
      <c r="A25330" s="2" t="s">
        <v>25330</v>
      </c>
      <c r="B25330" s="2" t="str">
        <f>IFERROR(__xludf.DUMMYFUNCTION("GOOGLETRANSLATE(A25330, ""en"", ""mt"")"),"Min irrapporta fuq il-ġenb għal ESPN Deportes?")</f>
        <v>Min irrapporta fuq il-ġenb għal ESPN Deportes?</v>
      </c>
    </row>
    <row r="25331" ht="15.75" customHeight="1">
      <c r="A25331" s="2" t="s">
        <v>25331</v>
      </c>
      <c r="B25331" s="2" t="str">
        <f>IFERROR(__xludf.DUMMYFUNCTION("GOOGLETRANSLATE(A25331, ""en"", ""mt"")"),"1883")</f>
        <v>1883</v>
      </c>
    </row>
    <row r="25332" ht="15.75" customHeight="1">
      <c r="A25332" s="2" t="s">
        <v>25332</v>
      </c>
      <c r="B25332" s="2" t="str">
        <f>IFERROR(__xludf.DUMMYFUNCTION("GOOGLETRANSLATE(A25332, ""en"", ""mt"")"),"Liema proprjetajiet huma analizzati b'lenti konoskopika minn petrologi?")</f>
        <v>Liema proprjetajiet huma analizzati b'lenti konoskopika minn petrologi?</v>
      </c>
    </row>
    <row r="25333" ht="15.75" customHeight="1">
      <c r="A25333" s="2" t="s">
        <v>25333</v>
      </c>
      <c r="B25333" s="2" t="str">
        <f>IFERROR(__xludf.DUMMYFUNCTION("GOOGLETRANSLATE(A25333, ""en"", ""mt"")"),"Energiprojekt ab")</f>
        <v>Energiprojekt ab</v>
      </c>
    </row>
    <row r="25334" ht="15.75" customHeight="1">
      <c r="A25334" s="2" t="s">
        <v>25334</v>
      </c>
      <c r="B25334" s="2" t="str">
        <f>IFERROR(__xludf.DUMMYFUNCTION("GOOGLETRANSLATE(A25334, ""en"", ""mt"")"),"Jekk l-uċuħ tal-unitajiet tal-blat fil-jingħalaq jibqgħu jippuntaw 'il fuq, huma jissejħu?")</f>
        <v>Jekk l-uċuħ tal-unitajiet tal-blat fil-jingħalaq jibqgħu jippuntaw 'il fuq, huma jissejħu?</v>
      </c>
    </row>
    <row r="25335" ht="15.75" customHeight="1">
      <c r="A25335" s="2" t="s">
        <v>25335</v>
      </c>
      <c r="B25335" s="2" t="str">
        <f>IFERROR(__xludf.DUMMYFUNCTION("GOOGLETRANSLATE(A25335, ""en"", ""mt"")"),"Meta ġie mwaqqaf il-fond fiduċjarju tal-IPCC?")</f>
        <v>Meta ġie mwaqqaf il-fond fiduċjarju tal-IPCC?</v>
      </c>
    </row>
    <row r="25336" ht="15.75" customHeight="1">
      <c r="A25336" s="2" t="s">
        <v>25336</v>
      </c>
      <c r="B25336" s="2" t="str">
        <f>IFERROR(__xludf.DUMMYFUNCTION("GOOGLETRANSLATE(A25336, ""en"", ""mt"")"),"X'tip ta 'diviżjoni tal-poter kellu l-gvern ta' Kublai?")</f>
        <v>X'tip ta 'diviżjoni tal-poter kellu l-gvern ta' Kublai?</v>
      </c>
    </row>
    <row r="25337" ht="15.75" customHeight="1">
      <c r="A25337" s="2" t="s">
        <v>25337</v>
      </c>
      <c r="B25337" s="2" t="str">
        <f>IFERROR(__xludf.DUMMYFUNCTION("GOOGLETRANSLATE(A25337, ""en"", ""mt"")"),"Kif tgħid it-teorija sekondarja li ħafna cpDNA hija strutturata?")</f>
        <v>Kif tgħid it-teorija sekondarja li ħafna cpDNA hija strutturata?</v>
      </c>
    </row>
    <row r="25338" ht="15.75" customHeight="1">
      <c r="A25338" s="2" t="s">
        <v>25338</v>
      </c>
      <c r="B25338" s="2" t="str">
        <f>IFERROR(__xludf.DUMMYFUNCTION("GOOGLETRANSLATE(A25338, ""en"", ""mt"")"),"X'għandha t-tendenza li l-ekonomija Amerikana tmur ""minn bużżieqa għal bużżieqa""?")</f>
        <v>X'għandha t-tendenza li l-ekonomija Amerikana tmur "minn bużżieqa għal bużżieqa"?</v>
      </c>
    </row>
    <row r="25339" ht="15.75" customHeight="1">
      <c r="A25339" s="2" t="s">
        <v>25339</v>
      </c>
      <c r="B25339" s="2" t="str">
        <f>IFERROR(__xludf.DUMMYFUNCTION("GOOGLETRANSLATE(A25339, ""en"", ""mt"")"),"student")</f>
        <v>student</v>
      </c>
    </row>
    <row r="25340" ht="15.75" customHeight="1">
      <c r="A25340" s="2" t="s">
        <v>25340</v>
      </c>
      <c r="B25340" s="2" t="str">
        <f>IFERROR(__xludf.DUMMYFUNCTION("GOOGLETRANSLATE(A25340, ""en"", ""mt"")"),"Bejn wieħed u ieħor kemm xogħlijiet ta 'arti huma inklużi fil-kollezzjonijiet tal-Lvant Imbiegħed?")</f>
        <v>Bejn wieħed u ieħor kemm xogħlijiet ta 'arti huma inklużi fil-kollezzjonijiet tal-Lvant Imbiegħed?</v>
      </c>
    </row>
    <row r="25341" ht="15.75" customHeight="1">
      <c r="A25341" s="2" t="s">
        <v>25341</v>
      </c>
      <c r="B25341" s="2" t="str">
        <f>IFERROR(__xludf.DUMMYFUNCTION("GOOGLETRANSLATE(A25341, ""en"", ""mt"")"),"2100")</f>
        <v>2100</v>
      </c>
    </row>
    <row r="25342" ht="15.75" customHeight="1">
      <c r="A25342" s="2" t="s">
        <v>25342</v>
      </c>
      <c r="B25342" s="2" t="str">
        <f>IFERROR(__xludf.DUMMYFUNCTION("GOOGLETRANSLATE(A25342, ""en"", ""mt"")"),"naqqset il-popolazzjoni ta 'Sivilja bin-nofs")</f>
        <v>naqqset il-popolazzjoni ta 'Sivilja bin-nofs</v>
      </c>
    </row>
    <row r="25343" ht="15.75" customHeight="1">
      <c r="A25343" s="2" t="s">
        <v>25343</v>
      </c>
      <c r="B25343" s="2" t="str">
        <f>IFERROR(__xludf.DUMMYFUNCTION("GOOGLETRANSLATE(A25343, ""en"", ""mt"")"),"Komponenti li jinħallu")</f>
        <v>Komponenti li jinħallu</v>
      </c>
    </row>
    <row r="25344" ht="15.75" customHeight="1">
      <c r="A25344" s="2" t="s">
        <v>25344</v>
      </c>
      <c r="B25344" s="2" t="str">
        <f>IFERROR(__xludf.DUMMYFUNCTION("GOOGLETRANSLATE(A25344, ""en"", ""mt"")"),"Perspettiva Iżlamika qawwija")</f>
        <v>Perspettiva Iżlamika qawwija</v>
      </c>
    </row>
    <row r="25345" ht="15.75" customHeight="1">
      <c r="A25345" s="2" t="s">
        <v>25345</v>
      </c>
      <c r="B25345" s="2" t="str">
        <f>IFERROR(__xludf.DUMMYFUNCTION("GOOGLETRANSLATE(A25345, ""en"", ""mt"")"),"John Mearsheimer u Robert Pape")</f>
        <v>John Mearsheimer u Robert Pape</v>
      </c>
    </row>
    <row r="25346" ht="15.75" customHeight="1">
      <c r="A25346" s="2" t="s">
        <v>25346</v>
      </c>
      <c r="B25346" s="2" t="str">
        <f>IFERROR(__xludf.DUMMYFUNCTION("GOOGLETRANSLATE(A25346, ""en"", ""mt"")"),"Fl-Istati Uniti, il-logħba ġiet televiżiva minn CBS, bħala parti minn ċiklu bejn it-tliet imsieħba tat-televiżjoni tax-xandir ewlenin tal-NFL. It-tim tax-xandir taċ-ċomb tan-netwerk ta 'Jim Nantz u Phil Simms sejħu l-konkors, ma' Tracy Wolfson u Evan Wash"&amp;"burn fuq il-ġenb. CBS introduċiet karatteristiċi ġodda matul it-telecast, inklużi kameras tal-pilastru u mikrofoni flimkien ma 'EyeVision 360 - firxa ta' 36 kamera tul il-gverta ta 'fuq li jistgħu jintużaw biex jipprovdu veduta ta' 360 grad ta 'logħob u e"&amp;"ffetti ta' ""ħin tal-balal"". (Verżjoni preċedenti ta 'EyeVision intużat l-aħħar fis-Super Bowl XXXV; għal Super Bowl 50, il-kameras ġew aġġornati għar-riżoluzzjoni 5K.)")</f>
        <v>Fl-Istati Uniti, il-logħba ġiet televiżiva minn CBS, bħala parti minn ċiklu bejn it-tliet imsieħba tat-televiżjoni tax-xandir ewlenin tal-NFL. It-tim tax-xandir taċ-ċomb tan-netwerk ta 'Jim Nantz u Phil Simms sejħu l-konkors, ma' Tracy Wolfson u Evan Washburn fuq il-ġenb. CBS introduċiet karatteristiċi ġodda matul it-telecast, inklużi kameras tal-pilastru u mikrofoni flimkien ma 'EyeVision 360 - firxa ta' 36 kamera tul il-gverta ta 'fuq li jistgħu jintużaw biex jipprovdu veduta ta' 360 grad ta 'logħob u effetti ta' "ħin tal-balal". (Verżjoni preċedenti ta 'EyeVision intużat l-aħħar fis-Super Bowl XXXV; għal Super Bowl 50, il-kameras ġew aġġornati għar-riżoluzzjoni 5K.)</v>
      </c>
    </row>
    <row r="25347" ht="15.75" customHeight="1">
      <c r="A25347" s="2" t="s">
        <v>25347</v>
      </c>
      <c r="B25347" s="2" t="str">
        <f>IFERROR(__xludf.DUMMYFUNCTION("GOOGLETRANSLATE(A25347, ""en"", ""mt"")"),"Min innota l-użi attwali differenti tad-diżubbidjenza ċivili?")</f>
        <v>Min innota l-użi attwali differenti tad-diżubbidjenza ċivili?</v>
      </c>
    </row>
    <row r="25348" ht="15.75" customHeight="1">
      <c r="A25348" s="2" t="s">
        <v>25348</v>
      </c>
      <c r="B25348" s="2" t="str">
        <f>IFERROR(__xludf.DUMMYFUNCTION("GOOGLETRANSLATE(A25348, ""en"", ""mt"")"),"Għaliex id-ditti jissostitwixxu tagħmir għall-ħaddiema?")</f>
        <v>Għaliex id-ditti jissostitwixxu tagħmir għall-ħaddiema?</v>
      </c>
    </row>
    <row r="25349" ht="15.75" customHeight="1">
      <c r="A25349" s="2" t="s">
        <v>25349</v>
      </c>
      <c r="B25349" s="2" t="str">
        <f>IFERROR(__xludf.DUMMYFUNCTION("GOOGLETRANSLATE(A25349, ""en"", ""mt"")"),"jidhru li jsiru eħfef u jidhru li jitilfu xi ħaġa fil-proċess")</f>
        <v>jidhru li jsiru eħfef u jidhru li jitilfu xi ħaġa fil-proċess</v>
      </c>
    </row>
    <row r="25350" ht="15.75" customHeight="1">
      <c r="A25350" s="2" t="s">
        <v>25350</v>
      </c>
      <c r="B25350" s="2" t="str">
        <f>IFERROR(__xludf.DUMMYFUNCTION("GOOGLETRANSLATE(A25350, ""en"", ""mt"")"),"Kaptan Amerika: Gwerra Ċivili")</f>
        <v>Kaptan Amerika: Gwerra Ċivili</v>
      </c>
    </row>
    <row r="25351" ht="15.75" customHeight="1">
      <c r="A25351" s="2" t="s">
        <v>25351</v>
      </c>
      <c r="B25351" s="2" t="str">
        <f>IFERROR(__xludf.DUMMYFUNCTION("GOOGLETRANSLATE(A25351, ""en"", ""mt"")"),"Shakespeare's")</f>
        <v>Shakespeare's</v>
      </c>
    </row>
    <row r="25352" ht="15.75" customHeight="1">
      <c r="A25352" s="2" t="s">
        <v>25352</v>
      </c>
      <c r="B25352" s="2" t="str">
        <f>IFERROR(__xludf.DUMMYFUNCTION("GOOGLETRANSLATE(A25352, ""en"", ""mt"")"),"Luther kif wieġeb għal Agricola?")</f>
        <v>Luther kif wieġeb għal Agricola?</v>
      </c>
    </row>
    <row r="25353" ht="15.75" customHeight="1">
      <c r="A25353" s="2" t="s">
        <v>25353</v>
      </c>
      <c r="B25353" s="2" t="str">
        <f>IFERROR(__xludf.DUMMYFUNCTION("GOOGLETRANSLATE(A25353, ""en"", ""mt"")"),"Matul liema perjodu Jacksonville sar destinazzjoni popolari għas-sinjuri?")</f>
        <v>Matul liema perjodu Jacksonville sar destinazzjoni popolari għas-sinjuri?</v>
      </c>
    </row>
    <row r="25354" ht="15.75" customHeight="1">
      <c r="A25354" s="2" t="s">
        <v>25354</v>
      </c>
      <c r="B25354" s="2" t="str">
        <f>IFERROR(__xludf.DUMMYFUNCTION("GOOGLETRANSLATE(A25354, ""en"", ""mt"")"),"Studju mill-Istitut Dinji għar-Riċerka dwar l-Ekonomija għall-Iżvilupp fl-Università tan-Nazzjonijiet Uniti jirrapporta li l-aktar sinjuri 1% tal-adulti biss kellhom 40% tal-assi globali fis-sena 2000. L-aktar tliet persuni sinjuri fid-dinja għandhom akta"&amp;"r assi finanzjarji mill-inqas 48 nazzjon magħquda. Il-ġid ikkombinat tal- ""10 miljun dollaru ta 'miljunarji"" kiber għal kważi $ 41 triljun fl-2008. Rapport ta' Jannar 2014 minn Oxfam jiddikjara li l-85 individwu sinjur fid-dinja għandhom ġid ikkombinat "&amp;"daqs dak tal-qiegħ 50% tal-popolazzjoni tad-dinja , jew madwar 3.5 biljun persuna. Skond analiżi tar-rapport ta 'Los Angeles Times, l-aktar sinjur 1% għandu 46% tal-ġid tad-dinja; Il-85 persuna l-aktar sinjura, parti żgħira tal-1% sinjura, għandhom madwar"&amp;" 0.7% tal-ġid tal-popolazzjoni umana, li hija l-istess bħan-nofs tal-qiegħ tal-popolazzjoni. Aktar reċentement, f'Jannar 2015, Oxfam irrapporta li l-aktar sinjur 1 fil-mija se jkollu aktar minn nofs il-ġid globali sal-2016. Studju ta 'Ottubru 2014 minn Cr"&amp;"edit Suisse jiddikjara wkoll li l-aqwa 1% issa għandhom kważi nofs nofs il-ġid tad-dinja u dak Id-disparità tal-aċċellerazzjoni tista 'tikkawża riċessjoni. F’Ottubru 2015, Credit Suisse ppubblikat studju li juri li l-inugwaljanza globali qed tkompli tiżdi"&amp;"ed, u li nofs il-ġid tad-dinja issa jinsab f’idejn dawk fl-aqwa perċentili, li l-assi tagħhom jaqbżu kull $ 759,900. Rapport tal-2016 minn Oxfam jiddikjara li t-62 individwu l-aktar sinjur għandhom daqshekk ġid daqs l-ifqar nofs tal-popolazzjoni globali f"&amp;"limkien. It-talbiet ta 'Oxfam madankollu ġew interrogati fuq il-bażi tal-metodoloġija uża Iċ-Ċina (minħabba tendenza akbar li tieħu d-djun). [Sors mhux affidabbli?] [Sors mhux affidabbli?] Anthony Shorrocks, l-awtur ewlieni tar-Rapport Credit Suisse li hu"&amp;"wa wieħed mis-sorsi tad-dejta ta 'Oxfam, iqis il-kritika dwar id-dejn tkun ""argument iblah"" u ""nuqqas ta 'ħruġ ... devjazzjoni.""")</f>
        <v>Studju mill-Istitut Dinji għar-Riċerka dwar l-Ekonomija għall-Iżvilupp fl-Università tan-Nazzjonijiet Uniti jirrapporta li l-aktar sinjuri 1% tal-adulti biss kellhom 40% tal-assi globali fis-sena 2000. L-aktar tliet persuni sinjuri fid-dinja għandhom aktar assi finanzjarji mill-inqas 48 nazzjon magħquda. Il-ġid ikkombinat tal- "10 miljun dollaru ta 'miljunarji" kiber għal kważi $ 41 triljun fl-2008. Rapport ta' Jannar 2014 minn Oxfam jiddikjara li l-85 individwu sinjur fid-dinja għandhom ġid ikkombinat daqs dak tal-qiegħ 50% tal-popolazzjoni tad-dinja , jew madwar 3.5 biljun persuna. Skond analiżi tar-rapport ta 'Los Angeles Times, l-aktar sinjur 1% għandu 46% tal-ġid tad-dinja; Il-85 persuna l-aktar sinjura, parti żgħira tal-1% sinjura, għandhom madwar 0.7% tal-ġid tal-popolazzjoni umana, li hija l-istess bħan-nofs tal-qiegħ tal-popolazzjoni. Aktar reċentement, f'Jannar 2015, Oxfam irrapporta li l-aktar sinjur 1 fil-mija se jkollu aktar minn nofs il-ġid globali sal-2016. Studju ta 'Ottubru 2014 minn Credit Suisse jiddikjara wkoll li l-aqwa 1% issa għandhom kważi nofs nofs il-ġid tad-dinja u dak Id-disparità tal-aċċellerazzjoni tista 'tikkawża riċessjoni. F’Ottubru 2015, Credit Suisse ppubblikat studju li juri li l-inugwaljanza globali qed tkompli tiżdied, u li nofs il-ġid tad-dinja issa jinsab f’idejn dawk fl-aqwa perċentili, li l-assi tagħhom jaqbżu kull $ 759,900. Rapport tal-2016 minn Oxfam jiddikjara li t-62 individwu l-aktar sinjur għandhom daqshekk ġid daqs l-ifqar nofs tal-popolazzjoni globali flimkien. It-talbiet ta 'Oxfam madankollu ġew interrogati fuq il-bażi tal-metodoloġija uża Iċ-Ċina (minħabba tendenza akbar li tieħu d-djun). [Sors mhux affidabbli?] [Sors mhux affidabbli?] Anthony Shorrocks, l-awtur ewlieni tar-Rapport Credit Suisse li huwa wieħed mis-sorsi tad-dejta ta 'Oxfam, iqis il-kritika dwar id-dejn tkun "argument iblah" u "nuqqas ta 'ħruġ ... devjazzjoni."</v>
      </c>
    </row>
    <row r="25355" ht="15.75" customHeight="1">
      <c r="A25355" s="2" t="s">
        <v>25355</v>
      </c>
      <c r="B25355" s="2" t="str">
        <f>IFERROR(__xludf.DUMMYFUNCTION("GOOGLETRANSLATE(A25355, ""en"", ""mt"")"),"Min seta 'ġie msejjaħ biex jiffinanzja l-festival assoċjat mas-Super Bowl f'Santa Clara?")</f>
        <v>Min seta 'ġie msejjaħ biex jiffinanzja l-festival assoċjat mas-Super Bowl f'Santa Clara?</v>
      </c>
    </row>
    <row r="25356" ht="15.75" customHeight="1">
      <c r="A25356" s="2" t="s">
        <v>25356</v>
      </c>
      <c r="B25356" s="2" t="str">
        <f>IFERROR(__xludf.DUMMYFUNCTION("GOOGLETRANSLATE(A25356, ""en"", ""mt"")"),"X'tistabx il-Konfederazzjoni ta 'Varsavja formalment fl-1573?")</f>
        <v>X'tistabx il-Konfederazzjoni ta 'Varsavja formalment fl-1573?</v>
      </c>
    </row>
    <row r="25357" ht="15.75" customHeight="1">
      <c r="A25357" s="2" t="s">
        <v>25357</v>
      </c>
      <c r="B25357" s="2" t="str">
        <f>IFERROR(__xludf.DUMMYFUNCTION("GOOGLETRANSLATE(A25357, ""en"", ""mt"")"),"Franza Antartika")</f>
        <v>Franza Antartika</v>
      </c>
    </row>
    <row r="25358" ht="15.75" customHeight="1">
      <c r="A25358" s="2" t="s">
        <v>25358</v>
      </c>
      <c r="B25358" s="2" t="str">
        <f>IFERROR(__xludf.DUMMYFUNCTION("GOOGLETRANSLATE(A25358, ""en"", ""mt"")"),"Ir-rata tal-fluss żdiedet")</f>
        <v>Ir-rata tal-fluss żdiedet</v>
      </c>
    </row>
    <row r="25359" ht="15.75" customHeight="1">
      <c r="A25359" s="2" t="s">
        <v>25359</v>
      </c>
      <c r="B25359" s="2" t="str">
        <f>IFERROR(__xludf.DUMMYFUNCTION("GOOGLETRANSLATE(A25359, ""en"", ""mt"")"),"Liema korp iddikjara li t-tobba jistgħu wkoll iwarrbu l-mediċini taħt kundizzjonijiet speċifiċi?")</f>
        <v>Liema korp iddikjara li t-tobba jistgħu wkoll iwarrbu l-mediċini taħt kundizzjonijiet speċifiċi?</v>
      </c>
    </row>
    <row r="25360" ht="15.75" customHeight="1">
      <c r="A25360" s="2" t="s">
        <v>25360</v>
      </c>
      <c r="B25360" s="2" t="str">
        <f>IFERROR(__xludf.DUMMYFUNCTION("GOOGLETRANSLATE(A25360, ""en"", ""mt"")"),"Liema sena bdiet l-ewwel stampar tal-Amerika ta 'l-Amerika ta' Fuq?")</f>
        <v>Liema sena bdiet l-ewwel stampar tal-Amerika ta 'l-Amerika ta' Fuq?</v>
      </c>
    </row>
    <row r="25361" ht="15.75" customHeight="1">
      <c r="A25361" s="2" t="s">
        <v>25361</v>
      </c>
      <c r="B25361" s="2" t="str">
        <f>IFERROR(__xludf.DUMMYFUNCTION("GOOGLETRANSLATE(A25361, ""en"", ""mt"")"),"Idroġenu likwidu maħruq")</f>
        <v>Idroġenu likwidu maħruq</v>
      </c>
    </row>
    <row r="25362" ht="15.75" customHeight="1">
      <c r="A25362" s="2" t="s">
        <v>25362</v>
      </c>
      <c r="B25362" s="2" t="str">
        <f>IFERROR(__xludf.DUMMYFUNCTION("GOOGLETRANSLATE(A25362, ""en"", ""mt"")"),"Siġra tad-Deċiżjoni hija eżempju ta 'liema tip ta' miżura?")</f>
        <v>Siġra tad-Deċiżjoni hija eżempju ta 'liema tip ta' miżura?</v>
      </c>
    </row>
    <row r="25363" ht="15.75" customHeight="1">
      <c r="A25363" s="2" t="s">
        <v>25363</v>
      </c>
      <c r="B25363" s="2" t="str">
        <f>IFERROR(__xludf.DUMMYFUNCTION("GOOGLETRANSLATE(A25363, ""en"", ""mt"")"),"Kemm nazzjonijiet jikkontrollaw dan ir-reġjun b'kollox?")</f>
        <v>Kemm nazzjonijiet jikkontrollaw dan ir-reġjun b'kollox?</v>
      </c>
    </row>
    <row r="25364" ht="15.75" customHeight="1">
      <c r="A25364" s="2" t="s">
        <v>25364</v>
      </c>
      <c r="B25364" s="2" t="str">
        <f>IFERROR(__xludf.DUMMYFUNCTION("GOOGLETRANSLATE(A25364, ""en"", ""mt"")"),"Peress li ma emminx li s-salvazzjoni ġiet akkwistata permezz ta 'għemejjel tajbin, kif inkiseb?")</f>
        <v>Peress li ma emminx li s-salvazzjoni ġiet akkwistata permezz ta 'għemejjel tajbin, kif inkiseb?</v>
      </c>
    </row>
    <row r="25365" ht="15.75" customHeight="1">
      <c r="A25365" s="2" t="s">
        <v>25365</v>
      </c>
      <c r="B25365" s="2" t="str">
        <f>IFERROR(__xludf.DUMMYFUNCTION("GOOGLETRANSLATE(A25365, ""en"", ""mt"")"),"X'inhi attribwita l-inugwaljanza tad-dħul?")</f>
        <v>X'inhi attribwita l-inugwaljanza tad-dħul?</v>
      </c>
    </row>
    <row r="25366" ht="15.75" customHeight="1">
      <c r="A25366" s="2" t="s">
        <v>25366</v>
      </c>
      <c r="B25366" s="2" t="str">
        <f>IFERROR(__xludf.DUMMYFUNCTION("GOOGLETRANSLATE(A25366, ""en"", ""mt"")"),"Il-Parlament Skoċċiż kiber")</f>
        <v>Il-Parlament Skoċċiż kiber</v>
      </c>
    </row>
    <row r="25367" ht="15.75" customHeight="1">
      <c r="A25367" s="2" t="s">
        <v>25367</v>
      </c>
      <c r="B25367" s="2" t="str">
        <f>IFERROR(__xludf.DUMMYFUNCTION("GOOGLETRANSLATE(A25367, ""en"", ""mt"")"),"Is-Soċjetà Filosofika Amerikana")</f>
        <v>Is-Soċjetà Filosofika Amerikana</v>
      </c>
    </row>
    <row r="25368" ht="15.75" customHeight="1">
      <c r="A25368" s="2" t="s">
        <v>25368</v>
      </c>
      <c r="B25368" s="2" t="str">
        <f>IFERROR(__xludf.DUMMYFUNCTION("GOOGLETRANSLATE(A25368, ""en"", ""mt"")"),"IgE")</f>
        <v>IgE</v>
      </c>
    </row>
    <row r="25369" ht="15.75" customHeight="1">
      <c r="A25369" s="2" t="s">
        <v>25369</v>
      </c>
      <c r="B25369" s="2" t="str">
        <f>IFERROR(__xludf.DUMMYFUNCTION("GOOGLETRANSLATE(A25369, ""en"", ""mt"")"),"L-ordni ta 'l-ordinazzjoni ta' djaknu tranżitorju ġiet abolita")</f>
        <v>L-ordni ta 'l-ordinazzjoni ta' djaknu tranżitorju ġiet abolita</v>
      </c>
    </row>
    <row r="25370" ht="15.75" customHeight="1">
      <c r="A25370" s="2" t="s">
        <v>25370</v>
      </c>
      <c r="B25370" s="2" t="str">
        <f>IFERROR(__xludf.DUMMYFUNCTION("GOOGLETRANSLATE(A25370, ""en"", ""mt"")"),"Liema element jintuża bħala likwidu li jkessaħ fil-proċess li jagħmel ossiġnu likwidu?")</f>
        <v>Liema element jintuża bħala likwidu li jkessaħ fil-proċess li jagħmel ossiġnu likwidu?</v>
      </c>
    </row>
    <row r="25371" ht="15.75" customHeight="1">
      <c r="A25371" s="2" t="s">
        <v>25371</v>
      </c>
      <c r="B25371" s="2" t="str">
        <f>IFERROR(__xludf.DUMMYFUNCTION("GOOGLETRANSLATE(A25371, ""en"", ""mt"")"),"Min kien l-ewwel xjenzat tan-NASA fl-ispazju?")</f>
        <v>Min kien l-ewwel xjenzat tan-NASA fl-ispazju?</v>
      </c>
    </row>
    <row r="25372" ht="15.75" customHeight="1">
      <c r="A25372" s="2" t="s">
        <v>25372</v>
      </c>
      <c r="B25372" s="2" t="str">
        <f>IFERROR(__xludf.DUMMYFUNCTION("GOOGLETRANSLATE(A25372, ""en"", ""mt"")"),"Meta nqabad l-istadium ta 'Levi għal Super Bowl 50?")</f>
        <v>Meta nqabad l-istadium ta 'Levi għal Super Bowl 50?</v>
      </c>
    </row>
    <row r="25373" ht="15.75" customHeight="1">
      <c r="A25373" s="2" t="s">
        <v>25373</v>
      </c>
      <c r="B25373" s="2" t="str">
        <f>IFERROR(__xludf.DUMMYFUNCTION("GOOGLETRANSLATE(A25373, ""en"", ""mt"")"),"Il-Mużew tal-Ispazju")</f>
        <v>Il-Mużew tal-Ispazju</v>
      </c>
    </row>
    <row r="25374" ht="15.75" customHeight="1">
      <c r="A25374" s="2" t="s">
        <v>25374</v>
      </c>
      <c r="B25374" s="2" t="str">
        <f>IFERROR(__xludf.DUMMYFUNCTION("GOOGLETRANSLATE(A25374, ""en"", ""mt"")"),"Trijonf minn difiża kuraġġuża")</f>
        <v>Trijonf minn difiża kuraġġuża</v>
      </c>
    </row>
    <row r="25375" ht="15.75" customHeight="1">
      <c r="A25375" s="2" t="s">
        <v>25375</v>
      </c>
      <c r="B25375" s="2" t="str">
        <f>IFERROR(__xludf.DUMMYFUNCTION("GOOGLETRANSLATE(A25375, ""en"", ""mt"")"),"Liema telf nett sofrew il-Konservattivi?")</f>
        <v>Liema telf nett sofrew il-Konservattivi?</v>
      </c>
    </row>
    <row r="25376" ht="15.75" customHeight="1">
      <c r="A25376" s="2" t="s">
        <v>25376</v>
      </c>
      <c r="B25376" s="2" t="str">
        <f>IFERROR(__xludf.DUMMYFUNCTION("GOOGLETRANSLATE(A25376, ""en"", ""mt"")"),"Liema korriment sofra Thomas Davis fil-Kampjonat NFC?")</f>
        <v>Liema korriment sofra Thomas Davis fil-Kampjonat NFC?</v>
      </c>
    </row>
    <row r="25377" ht="15.75" customHeight="1">
      <c r="A25377" s="2" t="s">
        <v>25377</v>
      </c>
      <c r="B25377" s="2" t="str">
        <f>IFERROR(__xludf.DUMMYFUNCTION("GOOGLETRANSLATE(A25377, ""en"", ""mt"")"),"X'għandhom il-forzi fir-rigward ta 'kwantitajiet addittivi?")</f>
        <v>X'għandhom il-forzi fir-rigward ta 'kwantitajiet addittivi?</v>
      </c>
    </row>
    <row r="25378" ht="15.75" customHeight="1">
      <c r="A25378" s="2" t="s">
        <v>25378</v>
      </c>
      <c r="B25378" s="2" t="str">
        <f>IFERROR(__xludf.DUMMYFUNCTION("GOOGLETRANSLATE(A25378, ""en"", ""mt"")"),"Sail loft fuq Triq il-Baċir")</f>
        <v>Sail loft fuq Triq il-Baċir</v>
      </c>
    </row>
    <row r="25379" ht="15.75" customHeight="1">
      <c r="A25379" s="2" t="s">
        <v>25379</v>
      </c>
      <c r="B25379" s="2" t="str">
        <f>IFERROR(__xludf.DUMMYFUNCTION("GOOGLETRANSLATE(A25379, ""en"", ""mt"")"),"Cytokine TBF-B irażżan l-attività ta 'liema tipi ta' ċelloli?")</f>
        <v>Cytokine TBF-B irażżan l-attività ta 'liema tipi ta' ċelloli?</v>
      </c>
    </row>
    <row r="25380" ht="15.75" customHeight="1">
      <c r="A25380" s="2" t="s">
        <v>25380</v>
      </c>
      <c r="B25380" s="2" t="str">
        <f>IFERROR(__xludf.DUMMYFUNCTION("GOOGLETRANSLATE(A25380, ""en"", ""mt"")"),"30,000")</f>
        <v>30,000</v>
      </c>
    </row>
    <row r="25381" ht="15.75" customHeight="1">
      <c r="A25381" s="2" t="s">
        <v>25381</v>
      </c>
      <c r="B25381" s="2" t="str">
        <f>IFERROR(__xludf.DUMMYFUNCTION("GOOGLETRANSLATE(A25381, ""en"", ""mt"")"),"X'kien il-kulur tal-flokkijiet fis-Super Bowl XXXII meta Elway kien quarterback?")</f>
        <v>X'kien il-kulur tal-flokkijiet fis-Super Bowl XXXII meta Elway kien quarterback?</v>
      </c>
    </row>
    <row r="25382" ht="15.75" customHeight="1">
      <c r="A25382" s="2" t="s">
        <v>25382</v>
      </c>
      <c r="B25382" s="2" t="str">
        <f>IFERROR(__xludf.DUMMYFUNCTION("GOOGLETRANSLATE(A25382, ""en"", ""mt"")"),"xjenza")</f>
        <v>xjenza</v>
      </c>
    </row>
    <row r="25383" ht="15.75" customHeight="1">
      <c r="A25383" s="2" t="s">
        <v>25383</v>
      </c>
      <c r="B25383" s="2" t="str">
        <f>IFERROR(__xludf.DUMMYFUNCTION("GOOGLETRANSLATE(A25383, ""en"", ""mt"")"),"X'għandu l-ittestjar reċenti tat-teorija tal-Kuznets b'data superjuri?")</f>
        <v>X'għandu l-ittestjar reċenti tat-teorija tal-Kuznets b'data superjuri?</v>
      </c>
    </row>
    <row r="25384" ht="15.75" customHeight="1">
      <c r="A25384" s="2" t="s">
        <v>25384</v>
      </c>
      <c r="B25384" s="2" t="str">
        <f>IFERROR(__xludf.DUMMYFUNCTION("GOOGLETRANSLATE(A25384, ""en"", ""mt"")"),"Id-dell tax-xita")</f>
        <v>Id-dell tax-xita</v>
      </c>
    </row>
    <row r="25385" ht="15.75" customHeight="1">
      <c r="A25385" s="2" t="s">
        <v>25385</v>
      </c>
      <c r="B25385" s="2" t="str">
        <f>IFERROR(__xludf.DUMMYFUNCTION("GOOGLETRANSLATE(A25385, ""en"", ""mt"")"),"Biss nies qaddisa essenzjalment")</f>
        <v>Biss nies qaddisa essenzjalment</v>
      </c>
    </row>
    <row r="25386" ht="15.75" customHeight="1">
      <c r="A25386" s="2" t="s">
        <v>25386</v>
      </c>
      <c r="B25386" s="2" t="str">
        <f>IFERROR(__xludf.DUMMYFUNCTION("GOOGLETRANSLATE(A25386, ""en"", ""mt"")"),"it-tielet stadju")</f>
        <v>it-tielet stadju</v>
      </c>
    </row>
    <row r="25387" ht="15.75" customHeight="1">
      <c r="A25387" s="2" t="s">
        <v>25387</v>
      </c>
      <c r="B25387" s="2" t="str">
        <f>IFERROR(__xludf.DUMMYFUNCTION("GOOGLETRANSLATE(A25387, ""en"", ""mt"")"),"Min skorja l-ewwel touchdown tal-Panthers?")</f>
        <v>Min skorja l-ewwel touchdown tal-Panthers?</v>
      </c>
    </row>
    <row r="25388" ht="15.75" customHeight="1">
      <c r="A25388" s="2" t="s">
        <v>25388</v>
      </c>
      <c r="B25388" s="2" t="str">
        <f>IFERROR(__xludf.DUMMYFUNCTION("GOOGLETRANSLATE(A25388, ""en"", ""mt"")"),"bott")</f>
        <v>bott</v>
      </c>
    </row>
    <row r="25389" ht="15.75" customHeight="1">
      <c r="A25389" s="2" t="s">
        <v>25389</v>
      </c>
      <c r="B25389" s="2" t="str">
        <f>IFERROR(__xludf.DUMMYFUNCTION("GOOGLETRANSLATE(A25389, ""en"", ""mt"")"),"L-Adrijatiku")</f>
        <v>L-Adrijatiku</v>
      </c>
    </row>
    <row r="25390" ht="15.75" customHeight="1">
      <c r="A25390" s="2" t="s">
        <v>25390</v>
      </c>
      <c r="B25390" s="2" t="str">
        <f>IFERROR(__xludf.DUMMYFUNCTION("GOOGLETRANSLATE(A25390, ""en"", ""mt"")"),"Il-bini huwa lest biex jokkupa")</f>
        <v>Il-bini huwa lest biex jokkupa</v>
      </c>
    </row>
    <row r="25391" ht="15.75" customHeight="1">
      <c r="A25391" s="2" t="s">
        <v>25391</v>
      </c>
      <c r="B25391" s="2" t="str">
        <f>IFERROR(__xludf.DUMMYFUNCTION("GOOGLETRANSLATE(A25391, ""en"", ""mt"")"),"Ġuħ Saturnjan,")</f>
        <v>Ġuħ Saturnjan,</v>
      </c>
    </row>
    <row r="25392" ht="15.75" customHeight="1">
      <c r="A25392" s="2" t="s">
        <v>25392</v>
      </c>
      <c r="B25392" s="2" t="str">
        <f>IFERROR(__xludf.DUMMYFUNCTION("GOOGLETRANSLATE(A25392, ""en"", ""mt"")"),"Il-Konferenza Ġenerali")</f>
        <v>Il-Konferenza Ġenerali</v>
      </c>
    </row>
    <row r="25393" ht="15.75" customHeight="1">
      <c r="A25393" s="2" t="s">
        <v>25393</v>
      </c>
      <c r="B25393" s="2" t="str">
        <f>IFERROR(__xludf.DUMMYFUNCTION("GOOGLETRANSLATE(A25393, ""en"", ""mt"")"),"1313")</f>
        <v>1313</v>
      </c>
    </row>
    <row r="25394" ht="15.75" customHeight="1">
      <c r="A25394" s="2" t="s">
        <v>25394</v>
      </c>
      <c r="B25394" s="2" t="str">
        <f>IFERROR(__xludf.DUMMYFUNCTION("GOOGLETRANSLATE(A25394, ""en"", ""mt"")"),"Bażi tat-titanju")</f>
        <v>Bażi tat-titanju</v>
      </c>
    </row>
    <row r="25395" ht="15.75" customHeight="1">
      <c r="A25395" s="2" t="s">
        <v>25395</v>
      </c>
      <c r="B25395" s="2" t="str">
        <f>IFERROR(__xludf.DUMMYFUNCTION("GOOGLETRANSLATE(A25395, ""en"", ""mt"")"),"is-sitt")</f>
        <v>is-sitt</v>
      </c>
    </row>
    <row r="25396" ht="15.75" customHeight="1">
      <c r="A25396" s="2" t="s">
        <v>25396</v>
      </c>
      <c r="B25396" s="2" t="str">
        <f>IFERROR(__xludf.DUMMYFUNCTION("GOOGLETRANSLATE(A25396, ""en"", ""mt"")"),"Il-ħakkiem tal-Karluk Kara-Khanid")</f>
        <v>Il-ħakkiem tal-Karluk Kara-Khanid</v>
      </c>
    </row>
    <row r="25397" ht="15.75" customHeight="1">
      <c r="A25397" s="2" t="s">
        <v>25397</v>
      </c>
      <c r="B25397" s="2" t="str">
        <f>IFERROR(__xludf.DUMMYFUNCTION("GOOGLETRANSLATE(A25397, ""en"", ""mt"")"),"kummerċ ħieles")</f>
        <v>kummerċ ħieles</v>
      </c>
    </row>
    <row r="25398" ht="15.75" customHeight="1">
      <c r="A25398" s="2" t="s">
        <v>25398</v>
      </c>
      <c r="B25398" s="2" t="str">
        <f>IFERROR(__xludf.DUMMYFUNCTION("GOOGLETRANSLATE(A25398, ""en"", ""mt"")"),"Dak li jiddistingwi t-Tylakoids Granal?")</f>
        <v>Dak li jiddistingwi t-Tylakoids Granal?</v>
      </c>
    </row>
    <row r="25399" ht="15.75" customHeight="1">
      <c r="A25399" s="2" t="s">
        <v>25399</v>
      </c>
      <c r="B25399" s="2" t="str">
        <f>IFERROR(__xludf.DUMMYFUNCTION("GOOGLETRANSLATE(A25399, ""en"", ""mt"")"),"γδ")</f>
        <v>γδ</v>
      </c>
    </row>
    <row r="25400" ht="15.75" customHeight="1">
      <c r="A25400" s="2" t="s">
        <v>25400</v>
      </c>
      <c r="B25400" s="2" t="str">
        <f>IFERROR(__xludf.DUMMYFUNCTION("GOOGLETRANSLATE(A25400, ""en"", ""mt"")"),"L-ewwel oġġett ta 'negozju nhar ta' Erbgħa normalment huwa l-ħin għar-riflessjoni, li fih kelliem jindirizza lill-membri sa erba 'minuti, jaqsam perspettiva dwar kwistjonijiet ta' fidi. Dan jikkuntrasta mal-istil formali ta '""talb"", li huwa l-ewwel oġġe"&amp;"tt ta' negozju fil-laqgħat tal-House of Commons. Il-kelliema huma meħuda minn madwar l-Iskozja u huma magħżula biex jirrappreżentaw il-bilanċ tat-twemmin reliġjuż skont iċ-ċensiment Skoċċiż. Stediniet biex jindirizzaw il-Parlament b'dan il-mod huma determ"&amp;"inati mill-uffiċjal li jippresiedi dwar il-parir tal-Uffiċċju Parlamentari. Gruppi ta 'fidi jistgħu jagħmlu rappreżentazzjonijiet diretti lill-uffiċjal li jippresiedi biex jinnomina l-kelliema.")</f>
        <v>L-ewwel oġġett ta 'negozju nhar ta' Erbgħa normalment huwa l-ħin għar-riflessjoni, li fih kelliem jindirizza lill-membri sa erba 'minuti, jaqsam perspettiva dwar kwistjonijiet ta' fidi. Dan jikkuntrasta mal-istil formali ta '"talb", li huwa l-ewwel oġġett ta' negozju fil-laqgħat tal-House of Commons. Il-kelliema huma meħuda minn madwar l-Iskozja u huma magħżula biex jirrappreżentaw il-bilanċ tat-twemmin reliġjuż skont iċ-ċensiment Skoċċiż. Stediniet biex jindirizzaw il-Parlament b'dan il-mod huma determinati mill-uffiċjal li jippresiedi dwar il-parir tal-Uffiċċju Parlamentari. Gruppi ta 'fidi jistgħu jagħmlu rappreżentazzjonijiet diretti lill-uffiċjal li jippresiedi biex jinnomina l-kelliema.</v>
      </c>
    </row>
    <row r="25401" ht="15.75" customHeight="1">
      <c r="A25401" s="2" t="s">
        <v>25401</v>
      </c>
      <c r="B25401" s="2" t="str">
        <f>IFERROR(__xludf.DUMMYFUNCTION("GOOGLETRANSLATE(A25401, ""en"", ""mt"")"),"Diatom (heterokontophye) derivat")</f>
        <v>Diatom (heterokontophye) derivat</v>
      </c>
    </row>
    <row r="25402" ht="15.75" customHeight="1">
      <c r="A25402" s="2" t="s">
        <v>25402</v>
      </c>
      <c r="B25402" s="2" t="str">
        <f>IFERROR(__xludf.DUMMYFUNCTION("GOOGLETRANSLATE(A25402, ""en"", ""mt"")"),"fil-punent ta 'Kashgar")</f>
        <v>fil-punent ta 'Kashgar</v>
      </c>
    </row>
    <row r="25403" ht="15.75" customHeight="1">
      <c r="A25403" s="2" t="s">
        <v>25403</v>
      </c>
      <c r="B25403" s="2" t="str">
        <f>IFERROR(__xludf.DUMMYFUNCTION("GOOGLETRANSLATE(A25403, ""en"", ""mt"")"),"Hekk kif jidħlu fis-seħħ")</f>
        <v>Hekk kif jidħlu fis-seħħ</v>
      </c>
    </row>
    <row r="25404" ht="15.75" customHeight="1">
      <c r="A25404" s="2" t="s">
        <v>25404</v>
      </c>
      <c r="B25404" s="2" t="str">
        <f>IFERROR(__xludf.DUMMYFUNCTION("GOOGLETRANSLATE(A25404, ""en"", ""mt"")"),"Wara t-trattat sabiħ, kien hemm tentattiv biex tirriforma l-liġi kostituzzjonali tal-Unjoni Ewropea u tagħmilha aktar trasparenti; Dan kien jipproduċi wkoll dokument kostituzzjonali wieħed. Madankollu, bħala riżultat tar-referendum fi Franza u r-referendu"&amp;"m fl-Olanda, it-trattat tal-2004 li jistabbilixxi kostituzzjoni għall-Ewropa qatt ma daħal fis-seħħ. Minflok, it-Trattat ta 'Lisbona ġie promulgat. Is-sustanza tagħha kienet simili ħafna għat-trattat kostituzzjonali propost, iżda kienet formalment trattat"&amp;" li jemenda, u - għalkemm biddel b'mod sinifikanti t-trattati eżistenti - ma ħaditx kompletament.")</f>
        <v>Wara t-trattat sabiħ, kien hemm tentattiv biex tirriforma l-liġi kostituzzjonali tal-Unjoni Ewropea u tagħmilha aktar trasparenti; Dan kien jipproduċi wkoll dokument kostituzzjonali wieħed. Madankollu, bħala riżultat tar-referendum fi Franza u r-referendum fl-Olanda, it-trattat tal-2004 li jistabbilixxi kostituzzjoni għall-Ewropa qatt ma daħal fis-seħħ. Minflok, it-Trattat ta 'Lisbona ġie promulgat. Is-sustanza tagħha kienet simili ħafna għat-trattat kostituzzjonali propost, iżda kienet formalment trattat li jemenda, u - għalkemm biddel b'mod sinifikanti t-trattati eżistenti - ma ħaditx kompletament.</v>
      </c>
    </row>
    <row r="25405" ht="15.75" customHeight="1">
      <c r="A25405" s="2" t="s">
        <v>25405</v>
      </c>
      <c r="B25405" s="2" t="str">
        <f>IFERROR(__xludf.DUMMYFUNCTION("GOOGLETRANSLATE(A25405, ""en"", ""mt"")"),"Il-Knisja Metodista Magħquda fl-Afrika.")</f>
        <v>Il-Knisja Metodista Magħquda fl-Afrika.</v>
      </c>
    </row>
    <row r="25406" ht="15.75" customHeight="1">
      <c r="A25406" s="2" t="s">
        <v>25406</v>
      </c>
      <c r="B25406" s="2" t="str">
        <f>IFERROR(__xludf.DUMMYFUNCTION("GOOGLETRANSLATE(A25406, ""en"", ""mt"")"),"Liema Super Bowl Elway rebħet fit-38 sena?")</f>
        <v>Liema Super Bowl Elway rebħet fit-38 sena?</v>
      </c>
    </row>
    <row r="25407" ht="15.75" customHeight="1">
      <c r="A25407" s="2" t="s">
        <v>25407</v>
      </c>
      <c r="B25407" s="2" t="str">
        <f>IFERROR(__xludf.DUMMYFUNCTION("GOOGLETRANSLATE(A25407, ""en"", ""mt"")"),"Min kienu Otachi?")</f>
        <v>Min kienu Otachi?</v>
      </c>
    </row>
    <row r="25408" ht="15.75" customHeight="1">
      <c r="A25408" s="2" t="s">
        <v>25408</v>
      </c>
      <c r="B25408" s="2" t="str">
        <f>IFERROR(__xludf.DUMMYFUNCTION("GOOGLETRANSLATE(A25408, ""en"", ""mt"")"),"Notazzjoni preċiża ħafna ta 'pronunzja Afrikana korretta")</f>
        <v>Notazzjoni preċiża ħafna ta 'pronunzja Afrikana korretta</v>
      </c>
    </row>
    <row r="25409" ht="15.75" customHeight="1">
      <c r="A25409" s="2" t="s">
        <v>25409</v>
      </c>
      <c r="B25409" s="2" t="str">
        <f>IFERROR(__xludf.DUMMYFUNCTION("GOOGLETRANSLATE(A25409, ""en"", ""mt"")"),"nies")</f>
        <v>nies</v>
      </c>
    </row>
    <row r="25410" ht="15.75" customHeight="1">
      <c r="A25410" s="2" t="s">
        <v>25410</v>
      </c>
      <c r="B25410" s="2" t="str">
        <f>IFERROR(__xludf.DUMMYFUNCTION("GOOGLETRANSLATE(A25410, ""en"", ""mt"")"),"Min kienu l-ewwel żewġ atturi li lagħbu tabib min?")</f>
        <v>Min kienu l-ewwel żewġ atturi li lagħbu tabib min?</v>
      </c>
    </row>
    <row r="25411" ht="15.75" customHeight="1">
      <c r="A25411" s="2" t="s">
        <v>25411</v>
      </c>
      <c r="B25411" s="2" t="str">
        <f>IFERROR(__xludf.DUMMYFUNCTION("GOOGLETRANSLATE(A25411, ""en"", ""mt"")"),"Liema srevice addizzjonali offra BSKYB minbarra l-kanali HD li huma ddikjaraw offruti ""sostanzjalment aktar valur""?")</f>
        <v>Liema srevice addizzjonali offra BSKYB minbarra l-kanali HD li huma ddikjaraw offruti "sostanzjalment aktar valur"?</v>
      </c>
    </row>
    <row r="25412" ht="15.75" customHeight="1">
      <c r="A25412" s="2" t="s">
        <v>25412</v>
      </c>
      <c r="B25412" s="2" t="str">
        <f>IFERROR(__xludf.DUMMYFUNCTION("GOOGLETRANSLATE(A25412, ""en"", ""mt"")"),"Taħt it-termini tal-Att tal-Iskozja tal-1978, se titwaqqaf assemblea eletta f'Edinburgu sakemm il-maġġoranza tal-elettorat Skoċċiż ivvota għalih f'referendum li għandu jsir fl-1 ta 'Marzu 1979 li kien jirrappreżenta mill-inqas 40% tal-elettorat totali. Ir"&amp;"-referendum tad-devoluzzjoni Skoċċiża tal-1979 biex jiġi stabbilit assemblea Skoċċiża devolta falliet. Għalkemm il-votazzjoni kienet ta '51 .6% favur assemblea Skoċċiża, din iċ-ċifra ma kinitx daqs l-40% tal-limitu tal-elettorat totali meqjus neċessarju b"&amp;"iex tgħaddi l-miżura, peress li 32.9% tal-popolazzjoni tal-votazzjoni eliġibbli ma kinitx, jew ma setgħetx, vot.")</f>
        <v>Taħt it-termini tal-Att tal-Iskozja tal-1978, se titwaqqaf assemblea eletta f'Edinburgu sakemm il-maġġoranza tal-elettorat Skoċċiż ivvota għalih f'referendum li għandu jsir fl-1 ta 'Marzu 1979 li kien jirrappreżenta mill-inqas 40% tal-elettorat totali. Ir-referendum tad-devoluzzjoni Skoċċiża tal-1979 biex jiġi stabbilit assemblea Skoċċiża devolta falliet. Għalkemm il-votazzjoni kienet ta '51 .6% favur assemblea Skoċċiża, din iċ-ċifra ma kinitx daqs l-40% tal-limitu tal-elettorat totali meqjus neċessarju biex tgħaddi l-miżura, peress li 32.9% tal-popolazzjoni tal-votazzjoni eliġibbli ma kinitx, jew ma setgħetx, vot.</v>
      </c>
    </row>
    <row r="25413" ht="15.75" customHeight="1">
      <c r="A25413" s="2" t="s">
        <v>25413</v>
      </c>
      <c r="B25413" s="2" t="str">
        <f>IFERROR(__xludf.DUMMYFUNCTION("GOOGLETRANSLATE(A25413, ""en"", ""mt"")"),"X'ifisser ""Da Yuan Tong Zhi""?")</f>
        <v>X'ifisser "Da Yuan Tong Zhi"?</v>
      </c>
    </row>
    <row r="25414" ht="15.75" customHeight="1">
      <c r="A25414" s="2" t="s">
        <v>25414</v>
      </c>
      <c r="B25414" s="2" t="str">
        <f>IFERROR(__xludf.DUMMYFUNCTION("GOOGLETRANSLATE(A25414, ""en"", ""mt"")"),"Din espandiet")</f>
        <v>Din espandiet</v>
      </c>
    </row>
    <row r="25415" ht="15.75" customHeight="1">
      <c r="A25415" s="2" t="s">
        <v>25415</v>
      </c>
      <c r="B25415" s="2" t="str">
        <f>IFERROR(__xludf.DUMMYFUNCTION("GOOGLETRANSLATE(A25415, ""en"", ""mt"")"),"Hamas")</f>
        <v>Hamas</v>
      </c>
    </row>
    <row r="25416" ht="15.75" customHeight="1">
      <c r="A25416" s="2" t="s">
        <v>25416</v>
      </c>
      <c r="B25416" s="2" t="str">
        <f>IFERROR(__xludf.DUMMYFUNCTION("GOOGLETRANSLATE(A25416, ""en"", ""mt"")"),"Il-bdil tal-pakketti jikkuntrasta ma 'paradigma ta' netwerking prinċipali ieħor, swiċċjar taċ-ċirkwit, metodu li jalloka minn qabel il-wisa 'tal-frekwenza netwerk iddedikat speċifikament għal kull sessjoni ta' komunikazzjoni, kull wieħed għandu rata ta 'b"&amp;"it kostanti u latenza bejn l-għoqiedi. F'każijiet ta 'servizzi li jistgħu jiġu kkonsenjati, bħal servizzi ta' komunikazzjoni ċellulari, iċ-ċirkwiti huma kkaratterizzati minn tariffa għal kull unità ta 'ħin ta' konnessjoni, anke meta l-ebda data ma tiġi tr"&amp;"asferita, filwaqt li l-iswiċċ tal-pakketti jista 'jkun ikkaratterizzat minn tariffa għal kull unità ta' informazzjoni trażmessa, bħal karattri , pakketti, jew messaġġi.")</f>
        <v>Il-bdil tal-pakketti jikkuntrasta ma 'paradigma ta' netwerking prinċipali ieħor, swiċċjar taċ-ċirkwit, metodu li jalloka minn qabel il-wisa 'tal-frekwenza netwerk iddedikat speċifikament għal kull sessjoni ta' komunikazzjoni, kull wieħed għandu rata ta 'bit kostanti u latenza bejn l-għoqiedi. F'każijiet ta 'servizzi li jistgħu jiġu kkonsenjati, bħal servizzi ta' komunikazzjoni ċellulari, iċ-ċirkwiti huma kkaratterizzati minn tariffa għal kull unità ta 'ħin ta' konnessjoni, anke meta l-ebda data ma tiġi trasferita, filwaqt li l-iswiċċ tal-pakketti jista 'jkun ikkaratterizzat minn tariffa għal kull unità ta' informazzjoni trażmessa, bħal karattri , pakketti, jew messaġġi.</v>
      </c>
    </row>
    <row r="25417" ht="15.75" customHeight="1">
      <c r="A25417" s="2" t="s">
        <v>25417</v>
      </c>
      <c r="B25417" s="2" t="str">
        <f>IFERROR(__xludf.DUMMYFUNCTION("GOOGLETRANSLATE(A25417, ""en"", ""mt"")"),"Roger Goodell")</f>
        <v>Roger Goodell</v>
      </c>
    </row>
    <row r="25418" ht="15.75" customHeight="1">
      <c r="A25418" s="2" t="s">
        <v>25418</v>
      </c>
      <c r="B25418" s="2" t="str">
        <f>IFERROR(__xludf.DUMMYFUNCTION("GOOGLETRANSLATE(A25418, ""en"", ""mt"")"),"Min, ma 'Jim Nantz, kien membru tat-tim tax-xandir ewlieni tal-logħba?")</f>
        <v>Min, ma 'Jim Nantz, kien membru tat-tim tax-xandir ewlieni tal-logħba?</v>
      </c>
    </row>
    <row r="25419" ht="15.75" customHeight="1">
      <c r="A25419" s="2" t="s">
        <v>25419</v>
      </c>
      <c r="B25419" s="2" t="str">
        <f>IFERROR(__xludf.DUMMYFUNCTION("GOOGLETRANSLATE(A25419, ""en"", ""mt"")"),"Gwerra Williamite")</f>
        <v>Gwerra Williamite</v>
      </c>
    </row>
    <row r="25420" ht="15.75" customHeight="1">
      <c r="A25420" s="2" t="s">
        <v>25420</v>
      </c>
      <c r="B25420" s="2" t="str">
        <f>IFERROR(__xludf.DUMMYFUNCTION("GOOGLETRANSLATE(A25420, ""en"", ""mt"")"),"Kemm astronawti żaru l-ispazju fuq missjonijiet u ġew ippremjati għall-isforzi tagħhom?")</f>
        <v>Kemm astronawti żaru l-ispazju fuq missjonijiet u ġew ippremjati għall-isforzi tagħhom?</v>
      </c>
    </row>
    <row r="25421" ht="15.75" customHeight="1">
      <c r="A25421" s="2" t="s">
        <v>25421</v>
      </c>
      <c r="B25421" s="2" t="str">
        <f>IFERROR(__xludf.DUMMYFUNCTION("GOOGLETRANSLATE(A25421, ""en"", ""mt"")"),"Meta laħqet l-espansjoni ta 'Bantu mill-Afrika tal-Punent-Ċentrali?")</f>
        <v>Meta laħqet l-espansjoni ta 'Bantu mill-Afrika tal-Punent-Ċentrali?</v>
      </c>
    </row>
    <row r="25422" ht="15.75" customHeight="1">
      <c r="A25422" s="2" t="s">
        <v>25422</v>
      </c>
      <c r="B25422" s="2" t="str">
        <f>IFERROR(__xludf.DUMMYFUNCTION("GOOGLETRANSLATE(A25422, ""en"", ""mt"")"),"Min inħatar biex imexxi tim biex isib il-problemi li l-Amerika ta ’Fuq kellha rigward titjira spazjali mgħammra?")</f>
        <v>Min inħatar biex imexxi tim biex isib il-problemi li l-Amerika ta ’Fuq kellha rigward titjira spazjali mgħammra?</v>
      </c>
    </row>
    <row r="25423" ht="15.75" customHeight="1">
      <c r="A25423" s="2" t="s">
        <v>25423</v>
      </c>
      <c r="B25423" s="2" t="str">
        <f>IFERROR(__xludf.DUMMYFUNCTION("GOOGLETRANSLATE(A25423, ""en"", ""mt"")"),"Filwaqt li l-eżistenza ta 'dawn id-dipartimenti tal-gvern ċentrali u s-sitt ministeri (li kienu ġew introdotti mill-dinastiji Sui u Tang) taw immaġni siniċizzata fl-amministrazzjoni tal-wan, il-funzjonijiet attwali ta' dawn il-ministeri rriflettew ukoll k"&amp;"if il-prijoritajiet u l-politiki Mongoljani reġgħu bdew mill-ġdid u reditjaw dawk istituzzjonijiet. Pereżempju, l-awtorità tas-sistema legali tal-wan, il-Ministeru tal-Ġustizzja, ma estendietx għal każijiet legali li jinvolvu Mongoli u Semuren, li kellhom"&amp;" qrati separati tal-ġustizzja. Każijiet li jinvolvu membri ta 'aktar minn grupp etniku wieħed ġew deċiżi minn bord imħallat li jikkonsisti minn Ċiniżi u Mongoli. Eżempju ieħor kien l-insinifikanti tal-Ministeru tal-Gwerra meta mqabbel mad-dinastiji Ċiniżi"&amp;" indiġeni, peress li l-awtorità militari reali fi żminijiet ta 'Yuan kienet toqgħod fil-Kunsill Privat.")</f>
        <v>Filwaqt li l-eżistenza ta 'dawn id-dipartimenti tal-gvern ċentrali u s-sitt ministeri (li kienu ġew introdotti mill-dinastiji Sui u Tang) taw immaġni siniċizzata fl-amministrazzjoni tal-wan, il-funzjonijiet attwali ta' dawn il-ministeri rriflettew ukoll kif il-prijoritajiet u l-politiki Mongoljani reġgħu bdew mill-ġdid u reditjaw dawk istituzzjonijiet. Pereżempju, l-awtorità tas-sistema legali tal-wan, il-Ministeru tal-Ġustizzja, ma estendietx għal każijiet legali li jinvolvu Mongoli u Semuren, li kellhom qrati separati tal-ġustizzja. Każijiet li jinvolvu membri ta 'aktar minn grupp etniku wieħed ġew deċiżi minn bord imħallat li jikkonsisti minn Ċiniżi u Mongoli. Eżempju ieħor kien l-insinifikanti tal-Ministeru tal-Gwerra meta mqabbel mad-dinastiji Ċiniżi indiġeni, peress li l-awtorità militari reali fi żminijiet ta 'Yuan kienet toqgħod fil-Kunsill Privat.</v>
      </c>
    </row>
    <row r="25424" ht="15.75" customHeight="1">
      <c r="A25424" s="2" t="s">
        <v>25424</v>
      </c>
      <c r="B25424" s="2" t="str">
        <f>IFERROR(__xludf.DUMMYFUNCTION("GOOGLETRANSLATE(A25424, ""en"", ""mt"")"),"It-tieni liġi ta 'Newton tafferma l-proporzjonalità diretta ta' aċċellerazzjoni għall-forza u l-proporzjonalità inversa ta 'aċċellerazzjoni għall-massa. L-aċċellerazzjonijiet jistgħu jiġu definiti permezz ta 'kejl kinematiku. Madankollu, filwaqt li l-kine"&amp;"matika hija deskritta sew permezz ta 'analiżi tal-qafas ta' referenza fil-fiżika avvanzata, għad hemm mistoqsijiet profondi li jibqgħu dwar x'inhi d-definizzjoni xierqa tal-massa. Ir-Relatività Ġenerali toffri ekwivalenza bejn l-ispazju-ħin u l-massa, iżd"&amp;"a nieqsa minn teorija koerenti tal-gravità kwantistika, mhuwiex ċar dwar kif jew jekk din il-konnessjoni hijiex rilevanti fuq il-mikroskali. B'xi ġustifikazzjoni, it-tieni liġi ta 'Newton tista' tittieħed bħala definizzjoni kwantitattiva tal-massa billi t"&amp;"ikteb il-liġi bħala ugwaljanza; L-unitajiet relattivi tal-forza u l-massa mbagħad huma ffissati.")</f>
        <v>It-tieni liġi ta 'Newton tafferma l-proporzjonalità diretta ta' aċċellerazzjoni għall-forza u l-proporzjonalità inversa ta 'aċċellerazzjoni għall-massa. L-aċċellerazzjonijiet jistgħu jiġu definiti permezz ta 'kejl kinematiku. Madankollu, filwaqt li l-kinematika hija deskritta sew permezz ta 'analiżi tal-qafas ta' referenza fil-fiżika avvanzata, għad hemm mistoqsijiet profondi li jibqgħu dwar x'inhi d-definizzjoni xierqa tal-massa. Ir-Relatività Ġenerali toffri ekwivalenza bejn l-ispazju-ħin u l-massa, iżda nieqsa minn teorija koerenti tal-gravità kwantistika, mhuwiex ċar dwar kif jew jekk din il-konnessjoni hijiex rilevanti fuq il-mikroskali. B'xi ġustifikazzjoni, it-tieni liġi ta 'Newton tista' tittieħed bħala definizzjoni kwantitattiva tal-massa billi tikteb il-liġi bħala ugwaljanza; L-unitajiet relattivi tal-forza u l-massa mbagħad huma ffissati.</v>
      </c>
    </row>
    <row r="25425" ht="15.75" customHeight="1">
      <c r="A25425" s="2" t="s">
        <v>25425</v>
      </c>
      <c r="B25425" s="2" t="str">
        <f>IFERROR(__xludf.DUMMYFUNCTION("GOOGLETRANSLATE(A25425, ""en"", ""mt"")"),"Madwar l-1700")</f>
        <v>Madwar l-1700</v>
      </c>
    </row>
    <row r="25426" ht="15.75" customHeight="1">
      <c r="A25426" s="2" t="s">
        <v>25426</v>
      </c>
      <c r="B25426" s="2" t="str">
        <f>IFERROR(__xludf.DUMMYFUNCTION("GOOGLETRANSLATE(A25426, ""en"", ""mt"")"),"F'liema data ddeċidiet il-Leġislatura ta 'Florida kontra l-pjan li tirranġa l-Miami Stadium?")</f>
        <v>F'liema data ddeċidiet il-Leġislatura ta 'Florida kontra l-pjan li tirranġa l-Miami Stadium?</v>
      </c>
    </row>
    <row r="25427" ht="15.75" customHeight="1">
      <c r="A25427" s="2" t="s">
        <v>25427</v>
      </c>
      <c r="B25427" s="2" t="str">
        <f>IFERROR(__xludf.DUMMYFUNCTION("GOOGLETRANSLATE(A25427, ""en"", ""mt"")"),"Liema teżi tistaqsi l-azzjonijiet tal-Papa fil-bini tal-bażilika ta 'San Pietru bil-flus tal-foqra?")</f>
        <v>Liema teżi tistaqsi l-azzjonijiet tal-Papa fil-bini tal-bażilika ta 'San Pietru bil-flus tal-foqra?</v>
      </c>
    </row>
    <row r="25428" ht="15.75" customHeight="1">
      <c r="A25428" s="2" t="s">
        <v>25428</v>
      </c>
      <c r="B25428" s="2" t="str">
        <f>IFERROR(__xludf.DUMMYFUNCTION("GOOGLETRANSLATE(A25428, ""en"", ""mt"")"),"In-nies meta reġgħu bdew juru interess f'Tesla?")</f>
        <v>In-nies meta reġgħu bdew juru interess f'Tesla?</v>
      </c>
    </row>
    <row r="25429" ht="15.75" customHeight="1">
      <c r="A25429" s="2" t="s">
        <v>25429</v>
      </c>
      <c r="B25429" s="2" t="str">
        <f>IFERROR(__xludf.DUMMYFUNCTION("GOOGLETRANSLATE(A25429, ""en"", ""mt"")"),"Il-Merkits")</f>
        <v>Il-Merkits</v>
      </c>
    </row>
    <row r="25430" ht="15.75" customHeight="1">
      <c r="A25430" s="2" t="s">
        <v>25430</v>
      </c>
      <c r="B25430" s="2" t="str">
        <f>IFERROR(__xludf.DUMMYFUNCTION("GOOGLETRANSLATE(A25430, ""en"", ""mt"")"),"irrazzjonali u lura")</f>
        <v>irrazzjonali u lura</v>
      </c>
    </row>
    <row r="25431" ht="15.75" customHeight="1">
      <c r="A25431" s="2" t="s">
        <v>25431</v>
      </c>
      <c r="B25431" s="2" t="str">
        <f>IFERROR(__xludf.DUMMYFUNCTION("GOOGLETRANSLATE(A25431, ""en"", ""mt"")"),"Li ddeċidiet id-Dukat tan-Normandija")</f>
        <v>Li ddeċidiet id-Dukat tan-Normandija</v>
      </c>
    </row>
    <row r="25432" ht="15.75" customHeight="1">
      <c r="A25432" s="2" t="s">
        <v>25432</v>
      </c>
      <c r="B25432" s="2" t="str">
        <f>IFERROR(__xludf.DUMMYFUNCTION("GOOGLETRANSLATE(A25432, ""en"", ""mt"")"),"Min iddisinja l-bini tal-Parlament Skoċċiż?")</f>
        <v>Min iddisinja l-bini tal-Parlament Skoċċiż?</v>
      </c>
    </row>
    <row r="25433" ht="15.75" customHeight="1">
      <c r="A25433" s="2" t="s">
        <v>25433</v>
      </c>
      <c r="B25433" s="2" t="str">
        <f>IFERROR(__xludf.DUMMYFUNCTION("GOOGLETRANSLATE(A25433, ""en"", ""mt"")"),"sajjetti")</f>
        <v>sajjetti</v>
      </c>
    </row>
    <row r="25434" ht="15.75" customHeight="1">
      <c r="A25434" s="2" t="s">
        <v>25434</v>
      </c>
      <c r="B25434" s="2" t="str">
        <f>IFERROR(__xludf.DUMMYFUNCTION("GOOGLETRANSLATE(A25434, ""en"", ""mt"")"),"L-iktar passaġġ antisemitiku radikalment qatt ippubblikat")</f>
        <v>L-iktar passaġġ antisemitiku radikalment qatt ippubblikat</v>
      </c>
    </row>
    <row r="25435" ht="15.75" customHeight="1">
      <c r="A25435" s="2" t="s">
        <v>25435</v>
      </c>
      <c r="B25435" s="2" t="str">
        <f>IFERROR(__xludf.DUMMYFUNCTION("GOOGLETRANSLATE(A25435, ""en"", ""mt"")"),"Fuq liema kienet tiffoka l-enfasi?")</f>
        <v>Fuq liema kienet tiffoka l-enfasi?</v>
      </c>
    </row>
    <row r="25436" ht="15.75" customHeight="1">
      <c r="A25436" s="2" t="s">
        <v>25436</v>
      </c>
      <c r="B25436" s="2" t="str">
        <f>IFERROR(__xludf.DUMMYFUNCTION("GOOGLETRANSLATE(A25436, ""en"", ""mt"")"),"Jirrifjuta b'mod kollettiv li jiffirma l-ħelsien mill-arrest sakemm jintlaħqu ċerti talbiet")</f>
        <v>Jirrifjuta b'mod kollettiv li jiffirma l-ħelsien mill-arrest sakemm jintlaħqu ċerti talbiet</v>
      </c>
    </row>
    <row r="25437" ht="15.75" customHeight="1">
      <c r="A25437" s="2" t="s">
        <v>25437</v>
      </c>
      <c r="B25437" s="2" t="str">
        <f>IFERROR(__xludf.DUMMYFUNCTION("GOOGLETRANSLATE(A25437, ""en"", ""mt"")"),"Neuroimmuni")</f>
        <v>Neuroimmuni</v>
      </c>
    </row>
    <row r="25438" ht="15.75" customHeight="1">
      <c r="A25438" s="2" t="s">
        <v>25438</v>
      </c>
      <c r="B25438" s="2" t="str">
        <f>IFERROR(__xludf.DUMMYFUNCTION("GOOGLETRANSLATE(A25438, ""en"", ""mt"")"),"Fil-bidu tal-2009, Disney-ABC Television Group ingħaqdet ABC Entertainment u ABC Studios f'diviżjoni ġdida, ABC Entertainment Group, li tkun responsabbli kemm għall-operazzjonijiet tal-produzzjoni kif ukoll tax-xandir tiegħu. Matul din ir-riorganizzazzjon"&amp;"i, il-grupp ħabbar li se jkeċċi 5% tal-ħaddiema tiegħu. Fit-2 ta 'April, 2009, Citadel Communications ħabbret li se terġa' tibda r-radju ABC bħala Citadel Media; Madankollu, ABC News kompla jipprovdi kontenut tal-aħbarijiet għaċ-Ċittadella. Fit-22 ta 'Diċ"&amp;"embru, Disney-ABC Television Group ħabbar sħubija ma' Apple Inc. biex tagħmel episodji individwali ta 'programmi ABC u Disney Channel disponibbli għax-xiri fuq iTunes.")</f>
        <v>Fil-bidu tal-2009, Disney-ABC Television Group ingħaqdet ABC Entertainment u ABC Studios f'diviżjoni ġdida, ABC Entertainment Group, li tkun responsabbli kemm għall-operazzjonijiet tal-produzzjoni kif ukoll tax-xandir tiegħu. Matul din ir-riorganizzazzjoni, il-grupp ħabbar li se jkeċċi 5% tal-ħaddiema tiegħu. Fit-2 ta 'April, 2009, Citadel Communications ħabbret li se terġa' tibda r-radju ABC bħala Citadel Media; Madankollu, ABC News kompla jipprovdi kontenut tal-aħbarijiet għaċ-Ċittadella. Fit-22 ta 'Diċembru, Disney-ABC Television Group ħabbar sħubija ma' Apple Inc. biex tagħmel episodji individwali ta 'programmi ABC u Disney Channel disponibbli għax-xiri fuq iTunes.</v>
      </c>
    </row>
    <row r="25439" ht="15.75" customHeight="1">
      <c r="A25439" s="2" t="s">
        <v>25439</v>
      </c>
      <c r="B25439" s="2" t="str">
        <f>IFERROR(__xludf.DUMMYFUNCTION("GOOGLETRANSLATE(A25439, ""en"", ""mt"")"),"DOCTER_WHO")</f>
        <v>DOCTER_WHO</v>
      </c>
    </row>
    <row r="25440" ht="15.75" customHeight="1">
      <c r="A25440" s="2" t="s">
        <v>25440</v>
      </c>
      <c r="B25440" s="2" t="str">
        <f>IFERROR(__xludf.DUMMYFUNCTION("GOOGLETRANSLATE(A25440, ""en"", ""mt"")"),"Min jagħmel it-tim tal-kummentarju tal-BBC ma 'Greg Brady u Rocky Boiman?")</f>
        <v>Min jagħmel it-tim tal-kummentarju tal-BBC ma 'Greg Brady u Rocky Boiman?</v>
      </c>
    </row>
    <row r="25441" ht="15.75" customHeight="1">
      <c r="A25441" s="2" t="s">
        <v>25441</v>
      </c>
      <c r="B25441" s="2" t="str">
        <f>IFERROR(__xludf.DUMMYFUNCTION("GOOGLETRANSLATE(A25441, ""en"", ""mt"")"),"Il-gvernijiet riedu wkoll iżidu l-indipendenza tagħhom u jsaħħu l-leġiżlazzjoni")</f>
        <v>Il-gvernijiet riedu wkoll iżidu l-indipendenza tagħhom u jsaħħu l-leġiżlazzjoni</v>
      </c>
    </row>
    <row r="25442" ht="15.75" customHeight="1">
      <c r="A25442" s="2" t="s">
        <v>25442</v>
      </c>
      <c r="B25442" s="2" t="str">
        <f>IFERROR(__xludf.DUMMYFUNCTION("GOOGLETRANSLATE(A25442, ""en"", ""mt"")"),"inane")</f>
        <v>inane</v>
      </c>
    </row>
    <row r="25443" ht="15.75" customHeight="1">
      <c r="A25443" s="2" t="s">
        <v>25443</v>
      </c>
      <c r="B25443" s="2" t="str">
        <f>IFERROR(__xludf.DUMMYFUNCTION("GOOGLETRANSLATE(A25443, ""en"", ""mt"")"),"South Wales")</f>
        <v>South Wales</v>
      </c>
    </row>
    <row r="25444" ht="15.75" customHeight="1">
      <c r="A25444" s="2" t="s">
        <v>25444</v>
      </c>
      <c r="B25444" s="2" t="str">
        <f>IFERROR(__xludf.DUMMYFUNCTION("GOOGLETRANSLATE(A25444, ""en"", ""mt"")"),"Lowry Digital")</f>
        <v>Lowry Digital</v>
      </c>
    </row>
    <row r="25445" ht="15.75" customHeight="1">
      <c r="A25445" s="2" t="s">
        <v>25445</v>
      </c>
      <c r="B25445" s="2" t="str">
        <f>IFERROR(__xludf.DUMMYFUNCTION("GOOGLETRANSLATE(A25445, ""en"", ""mt"")"),"Liema tipi ta 'gruppi Ewropej setgħu jevitaw il-pesta?")</f>
        <v>Liema tipi ta 'gruppi Ewropej setgħu jevitaw il-pesta?</v>
      </c>
    </row>
    <row r="25446" ht="15.75" customHeight="1">
      <c r="A25446" s="2" t="s">
        <v>25446</v>
      </c>
      <c r="B25446" s="2" t="str">
        <f>IFERROR(__xludf.DUMMYFUNCTION("GOOGLETRANSLATE(A25446, ""en"", ""mt"")"),"66")</f>
        <v>66</v>
      </c>
    </row>
    <row r="25447" ht="15.75" customHeight="1">
      <c r="A25447" s="2" t="s">
        <v>25447</v>
      </c>
      <c r="B25447" s="2" t="str">
        <f>IFERROR(__xludf.DUMMYFUNCTION("GOOGLETRANSLATE(A25447, ""en"", ""mt"")"),"Liema kejl kumpless ġew definiti minn ""fuq il-kumplessità tal-komputazzjoni tal-algoritmi""?")</f>
        <v>Liema kejl kumpless ġew definiti minn "fuq il-kumplessità tal-komputazzjoni tal-algoritmi"?</v>
      </c>
    </row>
    <row r="25448" ht="15.75" customHeight="1">
      <c r="A25448" s="2" t="s">
        <v>25448</v>
      </c>
      <c r="B25448" s="2" t="str">
        <f>IFERROR(__xludf.DUMMYFUNCTION("GOOGLETRANSLATE(A25448, ""en"", ""mt"")"),"It-tieni l-akbar produttur globali")</f>
        <v>It-tieni l-akbar produttur globali</v>
      </c>
    </row>
    <row r="25449" ht="15.75" customHeight="1">
      <c r="A25449" s="2" t="s">
        <v>25449</v>
      </c>
      <c r="B25449" s="2" t="str">
        <f>IFERROR(__xludf.DUMMYFUNCTION("GOOGLETRANSLATE(A25449, ""en"", ""mt"")"),"arja kkundizzjonata")</f>
        <v>arja kkundizzjonata</v>
      </c>
    </row>
    <row r="25450" ht="15.75" customHeight="1">
      <c r="A25450" s="2" t="s">
        <v>25450</v>
      </c>
      <c r="B25450" s="2" t="str">
        <f>IFERROR(__xludf.DUMMYFUNCTION("GOOGLETRANSLATE(A25450, ""en"", ""mt"")"),"Konsulent")</f>
        <v>Konsulent</v>
      </c>
    </row>
    <row r="25451" ht="15.75" customHeight="1">
      <c r="A25451" s="2" t="s">
        <v>25451</v>
      </c>
      <c r="B25451" s="2" t="str">
        <f>IFERROR(__xludf.DUMMYFUNCTION("GOOGLETRANSLATE(A25451, ""en"", ""mt"")"),"perjodu ta 'dominazzjoni barranija")</f>
        <v>perjodu ta 'dominazzjoni barranija</v>
      </c>
    </row>
    <row r="25452" ht="15.75" customHeight="1">
      <c r="A25452" s="2" t="s">
        <v>25452</v>
      </c>
      <c r="B25452" s="2" t="str">
        <f>IFERROR(__xludf.DUMMYFUNCTION("GOOGLETRANSLATE(A25452, ""en"", ""mt"")"),"Jani Beg")</f>
        <v>Jani Beg</v>
      </c>
    </row>
    <row r="25453" ht="15.75" customHeight="1">
      <c r="A25453" s="2" t="s">
        <v>25453</v>
      </c>
      <c r="B25453" s="2" t="str">
        <f>IFERROR(__xludf.DUMMYFUNCTION("GOOGLETRANSLATE(A25453, ""en"", ""mt"")"),"Espansjoni rapida fit-telekomunikazzjoni u l-attività finanzjarja")</f>
        <v>Espansjoni rapida fit-telekomunikazzjoni u l-attività finanzjarja</v>
      </c>
    </row>
    <row r="25454" ht="15.75" customHeight="1">
      <c r="A25454" s="2" t="s">
        <v>25454</v>
      </c>
      <c r="B25454" s="2" t="str">
        <f>IFERROR(__xludf.DUMMYFUNCTION("GOOGLETRANSLATE(A25454, ""en"", ""mt"")"),"$ 4.093 miljun")</f>
        <v>$ 4.093 miljun</v>
      </c>
    </row>
    <row r="25455" ht="15.75" customHeight="1">
      <c r="A25455" s="2" t="s">
        <v>25455</v>
      </c>
      <c r="B25455" s="2" t="str">
        <f>IFERROR(__xludf.DUMMYFUNCTION("GOOGLETRANSLATE(A25455, ""en"", ""mt"")"),"rata ta 'l-aqwa taxxa")</f>
        <v>rata ta 'l-aqwa taxxa</v>
      </c>
    </row>
    <row r="25456" ht="15.75" customHeight="1">
      <c r="A25456" s="2" t="s">
        <v>25456</v>
      </c>
      <c r="B25456" s="2" t="str">
        <f>IFERROR(__xludf.DUMMYFUNCTION("GOOGLETRANSLATE(A25456, ""en"", ""mt"")"),"Il-Kumpanija Maling")</f>
        <v>Il-Kumpanija Maling</v>
      </c>
    </row>
    <row r="25457" ht="15.75" customHeight="1">
      <c r="A25457" s="2" t="s">
        <v>25457</v>
      </c>
      <c r="B25457" s="2" t="str">
        <f>IFERROR(__xludf.DUMMYFUNCTION("GOOGLETRANSLATE(A25457, ""en"", ""mt"")"),"infurmati")</f>
        <v>infurmati</v>
      </c>
    </row>
    <row r="25458" ht="15.75" customHeight="1">
      <c r="A25458" s="2" t="s">
        <v>25458</v>
      </c>
      <c r="B25458" s="2" t="str">
        <f>IFERROR(__xludf.DUMMYFUNCTION("GOOGLETRANSLATE(A25458, ""en"", ""mt"")"),"Daqs tal-input")</f>
        <v>Daqs tal-input</v>
      </c>
    </row>
    <row r="25459" ht="15.75" customHeight="1">
      <c r="A25459" s="2" t="s">
        <v>25459</v>
      </c>
      <c r="B25459" s="2" t="str">
        <f>IFERROR(__xludf.DUMMYFUNCTION("GOOGLETRANSLATE(A25459, ""en"", ""mt"")"),"Skola Groton")</f>
        <v>Skola Groton</v>
      </c>
    </row>
    <row r="25460" ht="15.75" customHeight="1">
      <c r="A25460" s="2" t="s">
        <v>25460</v>
      </c>
      <c r="B25460" s="2" t="str">
        <f>IFERROR(__xludf.DUMMYFUNCTION("GOOGLETRANSLATE(A25460, ""en"", ""mt"")"),"X'kien jibża 'li missier Tesla kien se jiġri lilu fl-iskola?")</f>
        <v>X'kien jibża 'li missier Tesla kien se jiġri lilu fl-iskola?</v>
      </c>
    </row>
    <row r="25461" ht="15.75" customHeight="1">
      <c r="A25461" s="2" t="s">
        <v>25461</v>
      </c>
      <c r="B25461" s="2" t="str">
        <f>IFERROR(__xludf.DUMMYFUNCTION("GOOGLETRANSLATE(A25461, ""en"", ""mt"")"),"1332")</f>
        <v>1332</v>
      </c>
    </row>
    <row r="25462" ht="15.75" customHeight="1">
      <c r="A25462" s="2" t="s">
        <v>25462</v>
      </c>
      <c r="B25462" s="2" t="str">
        <f>IFERROR(__xludf.DUMMYFUNCTION("GOOGLETRANSLATE(A25462, ""en"", ""mt"")"),"Il-knisja tirrifjuta kienet bħala strument ta 'xiex?")</f>
        <v>Il-knisja tirrifjuta kienet bħala strument ta 'xiex?</v>
      </c>
    </row>
    <row r="25463" ht="15.75" customHeight="1">
      <c r="A25463" s="2" t="s">
        <v>25463</v>
      </c>
      <c r="B25463" s="2" t="str">
        <f>IFERROR(__xludf.DUMMYFUNCTION("GOOGLETRANSLATE(A25463, ""en"", ""mt"")"),"Il-kunċett ta 'inerzja jista' jiġi ġeneralizzat aktar biex jispjega t-tendenza ta 'oġġetti li jkomplu f'ħafna forom differenti ta' moviment kostanti, anke dawk li mhumiex veloċità strettament kostanti. L-inerzja rotazzjonali tal-pjaneta tad-Dinja hija dik"&amp;" li tiffissa l-kostanza tat-tul ta 'ġurnata u t-tul ta' sena. Albert Einstein estenda l-prinċipju ta 'l-inerzja aktar meta spjega li l-oqfsa ta' referenza soġġetti għal aċċellerazzjoni kostanti, bħal dawk li jaqgħu ħielsa lejn oġġett li jxaqilbu, kienu fi"&amp;"żikament ekwivalenti għal frejms ta 'referenza inerzjali. Din hija r-raġuni għaliex, pereżempju, l-astronawti jesperjenzaw piż żejjed meta jkunu fl-orbita tal-waqgħa ħielsa madwar id-Dinja, u għaliex il-liġijiet tal-moviment ta 'Newton huma aktar faċilmen"&amp;"t diskussi f'ambjenti bħal dawn. Jekk astronawt ipoġġi oġġett bil-massa f'nofs l-arja ħdejh innifsu, jibqa 'wieqaf fir-rigward tal-astronawt minħabba l-inerzja tiegħu. Din hija l-istess ħaġa li sseħħ jekk l-astronawt u l-oġġett kienu fi spazju intergalatt"&amp;"iku mingħajr l-ebda forza netta tal-gravità li taġixxi fuq il-qafas ta 'referenza komuni tagħhom. Dan il-prinċipju ta 'ekwivalenza kien wieħed mill-irfid fundamentali għall-iżvilupp tat-teorija ġenerali tar-relatività.")</f>
        <v>Il-kunċett ta 'inerzja jista' jiġi ġeneralizzat aktar biex jispjega t-tendenza ta 'oġġetti li jkomplu f'ħafna forom differenti ta' moviment kostanti, anke dawk li mhumiex veloċità strettament kostanti. L-inerzja rotazzjonali tal-pjaneta tad-Dinja hija dik li tiffissa l-kostanza tat-tul ta 'ġurnata u t-tul ta' sena. Albert Einstein estenda l-prinċipju ta 'l-inerzja aktar meta spjega li l-oqfsa ta' referenza soġġetti għal aċċellerazzjoni kostanti, bħal dawk li jaqgħu ħielsa lejn oġġett li jxaqilbu, kienu fiżikament ekwivalenti għal frejms ta 'referenza inerzjali. Din hija r-raġuni għaliex, pereżempju, l-astronawti jesperjenzaw piż żejjed meta jkunu fl-orbita tal-waqgħa ħielsa madwar id-Dinja, u għaliex il-liġijiet tal-moviment ta 'Newton huma aktar faċilment diskussi f'ambjenti bħal dawn. Jekk astronawt ipoġġi oġġett bil-massa f'nofs l-arja ħdejh innifsu, jibqa 'wieqaf fir-rigward tal-astronawt minħabba l-inerzja tiegħu. Din hija l-istess ħaġa li sseħħ jekk l-astronawt u l-oġġett kienu fi spazju intergalattiku mingħajr l-ebda forza netta tal-gravità li taġixxi fuq il-qafas ta 'referenza komuni tagħhom. Dan il-prinċipju ta 'ekwivalenza kien wieħed mill-irfid fundamentali għall-iżvilupp tat-teorija ġenerali tar-relatività.</v>
      </c>
    </row>
    <row r="25464" ht="15.75" customHeight="1">
      <c r="A25464" s="2" t="s">
        <v>25464</v>
      </c>
      <c r="B25464" s="2" t="str">
        <f>IFERROR(__xludf.DUMMYFUNCTION("GOOGLETRANSLATE(A25464, ""en"", ""mt"")"),"X'tissel il-kloni barranin ta 'Datapac")</f>
        <v>X'tissel il-kloni barranin ta 'Datapac</v>
      </c>
    </row>
    <row r="25465" ht="15.75" customHeight="1">
      <c r="A25465" s="2" t="s">
        <v>25465</v>
      </c>
      <c r="B25465" s="2" t="str">
        <f>IFERROR(__xludf.DUMMYFUNCTION("GOOGLETRANSLATE(A25465, ""en"", ""mt"")"),"L-ewwel ippubblikat minn Sir Charles Lyell fl-1830 dan il-ktieb kien imsejjaħ xiex?")</f>
        <v>L-ewwel ippubblikat minn Sir Charles Lyell fl-1830 dan il-ktieb kien imsejjaħ xiex?</v>
      </c>
    </row>
    <row r="25466" ht="15.75" customHeight="1">
      <c r="A25466" s="2" t="s">
        <v>25466</v>
      </c>
      <c r="B25466" s="2" t="str">
        <f>IFERROR(__xludf.DUMMYFUNCTION("GOOGLETRANSLATE(A25466, ""en"", ""mt"")"),"Sessjoni")</f>
        <v>Sessjoni</v>
      </c>
    </row>
    <row r="25467" ht="15.75" customHeight="1">
      <c r="A25467" s="2" t="s">
        <v>25467</v>
      </c>
      <c r="B25467" s="2" t="str">
        <f>IFERROR(__xludf.DUMMYFUNCTION("GOOGLETRANSLATE(A25467, ""en"", ""mt"")"),"Netwerk Internazzjonali tal-Komunikazzjonijiet tad-Dejta bil-kwartjieri ġenerali f'San Jose, CA")</f>
        <v>Netwerk Internazzjonali tal-Komunikazzjonijiet tad-Dejta bil-kwartjieri ġenerali f'San Jose, CA</v>
      </c>
    </row>
    <row r="25468" ht="15.75" customHeight="1">
      <c r="A25468" s="2" t="s">
        <v>25468</v>
      </c>
      <c r="B25468" s="2" t="str">
        <f>IFERROR(__xludf.DUMMYFUNCTION("GOOGLETRANSLATE(A25468, ""en"", ""mt"")"),"Pedagoġija")</f>
        <v>Pedagoġija</v>
      </c>
    </row>
    <row r="25469" ht="15.75" customHeight="1">
      <c r="A25469" s="2" t="s">
        <v>25469</v>
      </c>
      <c r="B25469" s="2" t="str">
        <f>IFERROR(__xludf.DUMMYFUNCTION("GOOGLETRANSLATE(A25469, ""en"", ""mt"")"),"Mard relatat ma 'Apicomplexan")</f>
        <v>Mard relatat ma 'Apicomplexan</v>
      </c>
    </row>
    <row r="25470" ht="15.75" customHeight="1">
      <c r="A25470" s="2" t="s">
        <v>25470</v>
      </c>
      <c r="B25470" s="2" t="str">
        <f>IFERROR(__xludf.DUMMYFUNCTION("GOOGLETRANSLATE(A25470, ""en"", ""mt"")"),"Minħabba l-elettroni mhux imqabbla tagħha")</f>
        <v>Minħabba l-elettroni mhux imqabbla tagħha</v>
      </c>
    </row>
    <row r="25471" ht="15.75" customHeight="1">
      <c r="A25471" s="2" t="s">
        <v>25471</v>
      </c>
      <c r="B25471" s="2" t="str">
        <f>IFERROR(__xludf.DUMMYFUNCTION("GOOGLETRANSLATE(A25471, ""en"", ""mt"")"),"Minn liema kuxxinett ġie mniedi Apollo 5?")</f>
        <v>Minn liema kuxxinett ġie mniedi Apollo 5?</v>
      </c>
    </row>
    <row r="25472" ht="15.75" customHeight="1">
      <c r="A25472" s="2" t="s">
        <v>25472</v>
      </c>
      <c r="B25472" s="2" t="str">
        <f>IFERROR(__xludf.DUMMYFUNCTION("GOOGLETRANSLATE(A25472, ""en"", ""mt"")"),"Kemm il-liġi Daniża kienet teħtieġ li tibda kumpanija?")</f>
        <v>Kemm il-liġi Daniża kienet teħtieġ li tibda kumpanija?</v>
      </c>
    </row>
    <row r="25473" ht="15.75" customHeight="1">
      <c r="A25473" s="2" t="s">
        <v>25473</v>
      </c>
      <c r="B25473" s="2" t="str">
        <f>IFERROR(__xludf.DUMMYFUNCTION("GOOGLETRANSLATE(A25473, ""en"", ""mt"")"),"X'inhu terminu li jfisser temperatura kostanti?")</f>
        <v>X'inhu terminu li jfisser temperatura kostanti?</v>
      </c>
    </row>
    <row r="25474" ht="15.75" customHeight="1">
      <c r="A25474" s="2" t="s">
        <v>25474</v>
      </c>
      <c r="B25474" s="2" t="str">
        <f>IFERROR(__xludf.DUMMYFUNCTION("GOOGLETRANSLATE(A25474, ""en"", ""mt"")"),"Wara liema battalja rritornaw u jokkupaw lil Jacksonville għall-bqija tal-gwerra?")</f>
        <v>Wara liema battalja rritornaw u jokkupaw lil Jacksonville għall-bqija tal-gwerra?</v>
      </c>
    </row>
    <row r="25475" ht="15.75" customHeight="1">
      <c r="A25475" s="2" t="s">
        <v>25475</v>
      </c>
      <c r="B25475" s="2" t="str">
        <f>IFERROR(__xludf.DUMMYFUNCTION("GOOGLETRANSLATE(A25475, ""en"", ""mt"")"),"Min bagħat il-Mongoli lil Bukhara bħala amministraturi?")</f>
        <v>Min bagħat il-Mongoli lil Bukhara bħala amministraturi?</v>
      </c>
    </row>
    <row r="25476" ht="15.75" customHeight="1">
      <c r="A25476" s="2" t="s">
        <v>25476</v>
      </c>
      <c r="B25476" s="2" t="str">
        <f>IFERROR(__xludf.DUMMYFUNCTION("GOOGLETRANSLATE(A25476, ""en"", ""mt"")"),"Ix-xita mnaqqsa severament u żieda fit-temperaturi")</f>
        <v>Ix-xita mnaqqsa severament u żieda fit-temperaturi</v>
      </c>
    </row>
    <row r="25477" ht="15.75" customHeight="1">
      <c r="A25477" s="2" t="s">
        <v>25477</v>
      </c>
      <c r="B25477" s="2" t="str">
        <f>IFERROR(__xludf.DUMMYFUNCTION("GOOGLETRANSLATE(A25477, ""en"", ""mt"")"),"Liema xogħol ta 'Luther sar popolari?")</f>
        <v>Liema xogħol ta 'Luther sar popolari?</v>
      </c>
    </row>
    <row r="25478" ht="15.75" customHeight="1">
      <c r="A25478" s="2" t="s">
        <v>25478</v>
      </c>
      <c r="B25478" s="2" t="str">
        <f>IFERROR(__xludf.DUMMYFUNCTION("GOOGLETRANSLATE(A25478, ""en"", ""mt"")"),"Indirizz tad-Destinazzjoni, Indirizz tas-Sors, ​​u Numri tal-Port")</f>
        <v>Indirizz tad-Destinazzjoni, Indirizz tas-Sors, ​​u Numri tal-Port</v>
      </c>
    </row>
    <row r="25479" ht="15.75" customHeight="1">
      <c r="A25479" s="2" t="s">
        <v>25479</v>
      </c>
      <c r="B25479" s="2" t="str">
        <f>IFERROR(__xludf.DUMMYFUNCTION("GOOGLETRANSLATE(A25479, ""en"", ""mt"")"),"bħala grubs taħt l-art")</f>
        <v>bħala grubs taħt l-art</v>
      </c>
    </row>
    <row r="25480" ht="15.75" customHeight="1">
      <c r="A25480" s="2" t="s">
        <v>25480</v>
      </c>
      <c r="B25480" s="2" t="str">
        <f>IFERROR(__xludf.DUMMYFUNCTION("GOOGLETRANSLATE(A25480, ""en"", ""mt"")"),"X'inhu l-metodu konvenzjonali biex titkejjel ir-Renu?")</f>
        <v>X'inhu l-metodu konvenzjonali biex titkejjel ir-Renu?</v>
      </c>
    </row>
    <row r="25481" ht="15.75" customHeight="1">
      <c r="A25481" s="2" t="s">
        <v>25481</v>
      </c>
      <c r="B25481" s="2" t="str">
        <f>IFERROR(__xludf.DUMMYFUNCTION("GOOGLETRANSLATE(A25481, ""en"", ""mt"")"),"X'għandhom il-veterani mhux Afgani li rritornaw id-dar minbarra l-prestiġju tagħhom?")</f>
        <v>X'għandhom il-veterani mhux Afgani li rritornaw id-dar minbarra l-prestiġju tagħhom?</v>
      </c>
    </row>
    <row r="25482" ht="15.75" customHeight="1">
      <c r="A25482" s="2" t="s">
        <v>25482</v>
      </c>
      <c r="B25482" s="2" t="str">
        <f>IFERROR(__xludf.DUMMYFUNCTION("GOOGLETRANSLATE(A25482, ""en"", ""mt"")"),"F'Diċembru 1984, Thomas S. Murphy, uffiċjal kap eżekuttiv ta 'Capital Cities Communications, ikkuntattja lil Leonard Goldenson dwar proposta biex jingħaqdu l-kumpaniji rispettivi tagħhom. Fis-16 ta 'Marzu, 1985, il-kumitat eżekuttiv ta' ABC aċċetta l-offe"&amp;"rta ta 'għaqda, li ġiet imħabbra formalment fit-18 ta' Marzu, 1985, bil-Bliet Kapitali jixtru ABC u l-proprjetajiet relatati tagħha għal $ 3.5 biljun u $ 118 għal kull wieħed mill-ishma ta 'ABC kif ukoll garanzija ta' 10 % (jew $ 3) għal total ta '$ 121 k"&amp;"ull sehem. Biex tiffinanzja x-xiri, il-bliet kapitali ssellfu $ 2.1 biljun mingħand konsorzju ta 'banek, li biegħ ċerti assi li l-kapital jikkwota ma setax jakkwista jew iżomm minħabba r-regoli ta' sjieda tal-FCC għal $ 900 miljun ikkombinati u biegħu div"&amp;"ersi sistemi tat-televiżjoni bil-kejbil, li nbiegħu Il-Kumpanija ta ’Washington Post (li tifforma l-kejbil tal-lum). Il-bqija ta '$ 500 miljun ġew mislufa minn Warren Buffett, li wiegħed li l-kumpanija tiegħu Berkshire Hathaway kienet se tixtri $ 3 miljun"&amp;" f'ishma, bi $ 172.50. Minħabba projbizzjoni tal-FCC fuq is-sjieda tal-istess suq ta 'stazzjonijiet tat-televiżjoni u tar-radju minn kumpanija waħda (għalkemm il-ftehim kien ikun ikkonformat ma' regoli ta 'sjieda ġodda implimentati mill-FCC f'Jannar 1985,"&amp;" li ppermettew lix-xandara biex ikollhom massimu ta '12 -il stazzjon televiżiv ), ABC u Bliet Kapitali rispettivament iddeċidew li jbiegħu WXYZ-TV u l-Istazzjon Indipendenti ta 'WFTS-TV lill-Kumpanija E. W. Scripps (għalkemm il-Bliet Kapitali / ABC oriġin"&amp;"arjament kienu maħsuba biex ifittxu rinunzja ta' sjieda biex iżommu l-istazzjonijiet tar-radju WXYZ u bliet kapitali Wjr u whyt).")</f>
        <v>F'Diċembru 1984, Thomas S. Murphy, uffiċjal kap eżekuttiv ta 'Capital Cities Communications, ikkuntattja lil Leonard Goldenson dwar proposta biex jingħaqdu l-kumpaniji rispettivi tagħhom. Fis-16 ta 'Marzu, 1985, il-kumitat eżekuttiv ta' ABC aċċetta l-offerta ta 'għaqda, li ġiet imħabbra formalment fit-18 ta' Marzu, 1985, bil-Bliet Kapitali jixtru ABC u l-proprjetajiet relatati tagħha għal $ 3.5 biljun u $ 118 għal kull wieħed mill-ishma ta 'ABC kif ukoll garanzija ta' 10 % (jew $ 3) għal total ta '$ 121 kull sehem. Biex tiffinanzja x-xiri, il-bliet kapitali ssellfu $ 2.1 biljun mingħand konsorzju ta 'banek, li biegħ ċerti assi li l-kapital jikkwota ma setax jakkwista jew iżomm minħabba r-regoli ta' sjieda tal-FCC għal $ 900 miljun ikkombinati u biegħu diversi sistemi tat-televiżjoni bil-kejbil, li nbiegħu Il-Kumpanija ta ’Washington Post (li tifforma l-kejbil tal-lum). Il-bqija ta '$ 500 miljun ġew mislufa minn Warren Buffett, li wiegħed li l-kumpanija tiegħu Berkshire Hathaway kienet se tixtri $ 3 miljun f'ishma, bi $ 172.50. Minħabba projbizzjoni tal-FCC fuq is-sjieda tal-istess suq ta 'stazzjonijiet tat-televiżjoni u tar-radju minn kumpanija waħda (għalkemm il-ftehim kien ikun ikkonformat ma' regoli ta 'sjieda ġodda implimentati mill-FCC f'Jannar 1985, li ppermettew lix-xandara biex ikollhom massimu ta '12 -il stazzjon televiżiv ), ABC u Bliet Kapitali rispettivament iddeċidew li jbiegħu WXYZ-TV u l-Istazzjon Indipendenti ta 'WFTS-TV lill-Kumpanija E. W. Scripps (għalkemm il-Bliet Kapitali / ABC oriġinarjament kienu maħsuba biex ifittxu rinunzja ta' sjieda biex iżommu l-istazzjonijiet tar-radju WXYZ u bliet kapitali Wjr u whyt).</v>
      </c>
    </row>
    <row r="25483" ht="15.75" customHeight="1">
      <c r="A25483" s="2" t="s">
        <v>25483</v>
      </c>
      <c r="B25483" s="2" t="str">
        <f>IFERROR(__xludf.DUMMYFUNCTION("GOOGLETRANSLATE(A25483, ""en"", ""mt"")"),"X'effett għandu l-kummerċ ma 'pajjiżi l-aktar fqar fuq il-ħaddiema f'pajjiżi aktar sinjuri?")</f>
        <v>X'effett għandu l-kummerċ ma 'pajjiżi l-aktar fqar fuq il-ħaddiema f'pajjiżi aktar sinjuri?</v>
      </c>
    </row>
    <row r="25484" ht="15.75" customHeight="1">
      <c r="A25484" s="2" t="s">
        <v>25484</v>
      </c>
      <c r="B25484" s="2" t="str">
        <f>IFERROR(__xludf.DUMMYFUNCTION("GOOGLETRANSLATE(A25484, ""en"", ""mt"")"),"Soluzzjonijiet tal-Laħam Cargill u Foster Farms")</f>
        <v>Soluzzjonijiet tal-Laħam Cargill u Foster Farms</v>
      </c>
    </row>
    <row r="25485" ht="15.75" customHeight="1">
      <c r="A25485" s="2" t="s">
        <v>25485</v>
      </c>
      <c r="B25485" s="2" t="str">
        <f>IFERROR(__xludf.DUMMYFUNCTION("GOOGLETRANSLATE(A25485, ""en"", ""mt"")"),"Meta ġew megħluba l-Mongoli mit-Tran?")</f>
        <v>Meta ġew megħluba l-Mongoli mit-Tran?</v>
      </c>
    </row>
    <row r="25486" ht="15.75" customHeight="1">
      <c r="A25486" s="2" t="s">
        <v>25486</v>
      </c>
      <c r="B25486" s="2" t="str">
        <f>IFERROR(__xludf.DUMMYFUNCTION("GOOGLETRANSLATE(A25486, ""en"", ""mt"")"),"Huma għandhom żewġ membrani taċ-ċelloli.")</f>
        <v>Huma għandhom żewġ membrani taċ-ċelloli.</v>
      </c>
    </row>
    <row r="25487" ht="15.75" customHeight="1">
      <c r="A25487" s="2" t="s">
        <v>25487</v>
      </c>
      <c r="B25487" s="2" t="str">
        <f>IFERROR(__xludf.DUMMYFUNCTION("GOOGLETRANSLATE(A25487, ""en"", ""mt"")"),"Qabel Manning, min kien l-eqdem quarterback li lagħab fis-Super Bowl?")</f>
        <v>Qabel Manning, min kien l-eqdem quarterback li lagħab fis-Super Bowl?</v>
      </c>
    </row>
    <row r="25488" ht="15.75" customHeight="1">
      <c r="A25488" s="2" t="s">
        <v>25488</v>
      </c>
      <c r="B25488" s="2" t="str">
        <f>IFERROR(__xludf.DUMMYFUNCTION("GOOGLETRANSLATE(A25488, ""en"", ""mt"")"),"X'għandha l-Pleurobrachia fuq in-naħat opposti ta 'ġisimha?")</f>
        <v>X'għandha l-Pleurobrachia fuq in-naħat opposti ta 'ġisimha?</v>
      </c>
    </row>
    <row r="25489" ht="15.75" customHeight="1">
      <c r="A25489" s="2" t="s">
        <v>25489</v>
      </c>
      <c r="B25489" s="2" t="str">
        <f>IFERROR(__xludf.DUMMYFUNCTION("GOOGLETRANSLATE(A25489, ""en"", ""mt"")"),"Porzjon żgħir tal-popolazzjoni jgħix dħul mill-proprjetà mhux mistħoqq")</f>
        <v>Porzjon żgħir tal-popolazzjoni jgħix dħul mill-proprjetà mhux mistħoqq</v>
      </c>
    </row>
    <row r="25490" ht="15.75" customHeight="1">
      <c r="A25490" s="2" t="s">
        <v>25490</v>
      </c>
      <c r="B25490" s="2" t="str">
        <f>IFERROR(__xludf.DUMMYFUNCTION("GOOGLETRANSLATE(A25490, ""en"", ""mt"")"),"Membri tal-Assoċjazzjoni Internazzjonali tal-Iskejjel, Kulleġġi u Universitajiet relatati mal-Metodisti. Il-knisja topera tliet mija sittin scho")</f>
        <v>Membri tal-Assoċjazzjoni Internazzjonali tal-Iskejjel, Kulleġġi u Universitajiet relatati mal-Metodisti. Il-knisja topera tliet mija sittin scho</v>
      </c>
    </row>
    <row r="25491" ht="15.75" customHeight="1">
      <c r="A25491" s="2" t="s">
        <v>25491</v>
      </c>
      <c r="B25491" s="2" t="str">
        <f>IFERROR(__xludf.DUMMYFUNCTION("GOOGLETRANSLATE(A25491, ""en"", ""mt"")"),"Chancel Chapel")</f>
        <v>Chancel Chapel</v>
      </c>
    </row>
    <row r="25492" ht="15.75" customHeight="1">
      <c r="A25492" s="2" t="s">
        <v>25492</v>
      </c>
      <c r="B25492" s="2" t="str">
        <f>IFERROR(__xludf.DUMMYFUNCTION("GOOGLETRANSLATE(A25492, ""en"", ""mt"")"),"argumenta li kiser il-libertajiet demokratiċi")</f>
        <v>argumenta li kiser il-libertajiet demokratiċi</v>
      </c>
    </row>
    <row r="25493" ht="15.75" customHeight="1">
      <c r="A25493" s="2" t="s">
        <v>25493</v>
      </c>
      <c r="B25493" s="2" t="str">
        <f>IFERROR(__xludf.DUMMYFUNCTION("GOOGLETRANSLATE(A25493, ""en"", ""mt"")"),"Fejn xi kultant jinstabu l-kloroplasti?")</f>
        <v>Fejn xi kultant jinstabu l-kloroplasti?</v>
      </c>
    </row>
    <row r="25494" ht="15.75" customHeight="1">
      <c r="A25494" s="2" t="s">
        <v>25494</v>
      </c>
      <c r="B25494" s="2" t="str">
        <f>IFERROR(__xludf.DUMMYFUNCTION("GOOGLETRANSLATE(A25494, ""en"", ""mt"")"),"X’sejjaħ Luther xogħlijiet tajbin li kienu jeżistu biss biex jattiraw il-favur ta ’Alla?")</f>
        <v>X’sejjaħ Luther xogħlijiet tajbin li kienu jeżistu biss biex jattiraw il-favur ta ’Alla?</v>
      </c>
    </row>
    <row r="25495" ht="15.75" customHeight="1">
      <c r="A25495" s="2" t="s">
        <v>25495</v>
      </c>
      <c r="B25495" s="2" t="str">
        <f>IFERROR(__xludf.DUMMYFUNCTION("GOOGLETRANSLATE(A25495, ""en"", ""mt"")"),"WZZM u WOTV")</f>
        <v>WZZM u WOTV</v>
      </c>
    </row>
    <row r="25496" ht="15.75" customHeight="1">
      <c r="A25496" s="2" t="s">
        <v>25496</v>
      </c>
      <c r="B25496" s="2" t="str">
        <f>IFERROR(__xludf.DUMMYFUNCTION("GOOGLETRANSLATE(A25496, ""en"", ""mt"")"),"kontra entitajiet governattivi")</f>
        <v>kontra entitajiet governattivi</v>
      </c>
    </row>
    <row r="25497" ht="15.75" customHeight="1">
      <c r="A25497" s="2" t="s">
        <v>25497</v>
      </c>
      <c r="B25497" s="2" t="str">
        <f>IFERROR(__xludf.DUMMYFUNCTION("GOOGLETRANSLATE(A25497, ""en"", ""mt"")"),"L-għan tal-liġi tal-kompetizzjoni Franċiża kien li tagħmel xiex?")</f>
        <v>L-għan tal-liġi tal-kompetizzjoni Franċiża kien li tagħmel xiex?</v>
      </c>
    </row>
    <row r="25498" ht="15.75" customHeight="1">
      <c r="A25498" s="2" t="s">
        <v>25498</v>
      </c>
      <c r="B25498" s="2" t="str">
        <f>IFERROR(__xludf.DUMMYFUNCTION("GOOGLETRANSLATE(A25498, ""en"", ""mt"")"),"Liema Ctenophora kienu l-iktar studji?")</f>
        <v>Liema Ctenophora kienu l-iktar studji?</v>
      </c>
    </row>
    <row r="25499" ht="15.75" customHeight="1">
      <c r="A25499" s="2" t="s">
        <v>25499</v>
      </c>
      <c r="B25499" s="2" t="str">
        <f>IFERROR(__xludf.DUMMYFUNCTION("GOOGLETRANSLATE(A25499, ""en"", ""mt"")"),"Duka Kent-Brown")</f>
        <v>Duka Kent-Brown</v>
      </c>
    </row>
    <row r="25500" ht="15.75" customHeight="1">
      <c r="A25500" s="2" t="s">
        <v>25500</v>
      </c>
      <c r="B25500" s="2" t="str">
        <f>IFERROR(__xludf.DUMMYFUNCTION("GOOGLETRANSLATE(A25500, ""en"", ""mt"")"),"Iż-żewġ klabbs AAA qasmu l-istat f'Kalifornja tat-Tramuntana u tan-Nofsinhar għall-kuntrarju ta 'liema punt ta' vista?")</f>
        <v>Iż-żewġ klabbs AAA qasmu l-istat f'Kalifornja tat-Tramuntana u tan-Nofsinhar għall-kuntrarju ta 'liema punt ta' vista?</v>
      </c>
    </row>
    <row r="25501" ht="15.75" customHeight="1">
      <c r="A25501" s="2" t="s">
        <v>25501</v>
      </c>
      <c r="B25501" s="2" t="str">
        <f>IFERROR(__xludf.DUMMYFUNCTION("GOOGLETRANSLATE(A25501, ""en"", ""mt"")"),"Tungstenu")</f>
        <v>Tungstenu</v>
      </c>
    </row>
    <row r="25502" ht="15.75" customHeight="1">
      <c r="A25502" s="2" t="s">
        <v>25502</v>
      </c>
      <c r="B25502" s="2" t="str">
        <f>IFERROR(__xludf.DUMMYFUNCTION("GOOGLETRANSLATE(A25502, ""en"", ""mt"")"),"kosta tal-Lvant tal-kontinent,")</f>
        <v>kosta tal-Lvant tal-kontinent,</v>
      </c>
    </row>
    <row r="25503" ht="15.75" customHeight="1">
      <c r="A25503" s="2" t="s">
        <v>25503</v>
      </c>
      <c r="B25503" s="2" t="str">
        <f>IFERROR(__xludf.DUMMYFUNCTION("GOOGLETRANSLATE(A25503, ""en"", ""mt"")"),"X'tip ta 'valv jintuża minn valvi ta' sigurtà reċenti?")</f>
        <v>X'tip ta 'valv jintuża minn valvi ta' sigurtà reċenti?</v>
      </c>
    </row>
    <row r="25504" ht="15.75" customHeight="1">
      <c r="A25504" s="2" t="s">
        <v>25504</v>
      </c>
      <c r="B25504" s="2" t="str">
        <f>IFERROR(__xludf.DUMMYFUNCTION("GOOGLETRANSLATE(A25504, ""en"", ""mt"")"),"5k")</f>
        <v>5k</v>
      </c>
    </row>
    <row r="25505" ht="15.75" customHeight="1">
      <c r="A25505" s="2" t="s">
        <v>25505</v>
      </c>
      <c r="B25505" s="2" t="str">
        <f>IFERROR(__xludf.DUMMYFUNCTION("GOOGLETRANSLATE(A25505, ""en"", ""mt"")"),"Ħafna mistoqsijiet rigward in-numri ewlenin jibqgħu miftuħa, bħall-konġettura ta 'Goldbach (li kull numru sħiħ akbar minn 2 jistgħu jiġu espressi bħala s-somma ta' żewġ primes), u l-konġettura ġemellata primarja (li hemm infinitament ħafna pari ta 'primes"&amp;" li d-differenza tagħhom hija 2) - Tali mistoqsijiet xprunaw l-iżvilupp ta 'diversi fergħat tat-teorija tan-numri, li jiffokaw fuq aspetti analitiċi jew alġebriċi tan-numri. Il-primes jintużaw f'diversi rutini fit-teknoloġija tal-informazzjoni, bħal kript"&amp;"ografija taċ-ċavetta pubblika, li tagħmel użu minn proprjetajiet bħad-diffikultà ta 'fattur ta' numru kbir fil-fatturi ewlenin tagħhom. In-numri ewlenin iwasslu għal diversi ġeneralizzazzjonijiet f'oqsma matematiċi oħra, prinċipalment alġebra, bħal elemen"&amp;"ti ewlenin u ideali ewlenin.")</f>
        <v>Ħafna mistoqsijiet rigward in-numri ewlenin jibqgħu miftuħa, bħall-konġettura ta 'Goldbach (li kull numru sħiħ akbar minn 2 jistgħu jiġu espressi bħala s-somma ta' żewġ primes), u l-konġettura ġemellata primarja (li hemm infinitament ħafna pari ta 'primes li d-differenza tagħhom hija 2) - Tali mistoqsijiet xprunaw l-iżvilupp ta 'diversi fergħat tat-teorija tan-numri, li jiffokaw fuq aspetti analitiċi jew alġebriċi tan-numri. Il-primes jintużaw f'diversi rutini fit-teknoloġija tal-informazzjoni, bħal kriptografija taċ-ċavetta pubblika, li tagħmel użu minn proprjetajiet bħad-diffikultà ta 'fattur ta' numru kbir fil-fatturi ewlenin tagħhom. In-numri ewlenin iwasslu għal diversi ġeneralizzazzjonijiet f'oqsma matematiċi oħra, prinċipalment alġebra, bħal elementi ewlenin u ideali ewlenin.</v>
      </c>
    </row>
    <row r="25506" ht="15.75" customHeight="1">
      <c r="A25506" s="2" t="s">
        <v>25506</v>
      </c>
      <c r="B25506" s="2" t="str">
        <f>IFERROR(__xludf.DUMMYFUNCTION("GOOGLETRANSLATE(A25506, ""en"", ""mt"")"),"Kompromess tal-1850")</f>
        <v>Kompromess tal-1850</v>
      </c>
    </row>
    <row r="25507" ht="15.75" customHeight="1">
      <c r="A25507" s="2" t="s">
        <v>25507</v>
      </c>
      <c r="B25507" s="2" t="str">
        <f>IFERROR(__xludf.DUMMYFUNCTION("GOOGLETRANSLATE(A25507, ""en"", ""mt"")"),"Studju ta 'pożizzjonijiet ta' unitajiet tal-blat u d-deformazzjoni tagħhom")</f>
        <v>Studju ta 'pożizzjonijiet ta' unitajiet tal-blat u d-deformazzjoni tagħhom</v>
      </c>
    </row>
    <row r="25508" ht="15.75" customHeight="1">
      <c r="A25508" s="2" t="s">
        <v>25508</v>
      </c>
      <c r="B25508" s="2" t="str">
        <f>IFERROR(__xludf.DUMMYFUNCTION("GOOGLETRANSLATE(A25508, ""en"", ""mt"")"),"ferħ")</f>
        <v>ferħ</v>
      </c>
    </row>
    <row r="25509" ht="15.75" customHeight="1">
      <c r="A25509" s="2" t="s">
        <v>25509</v>
      </c>
      <c r="B25509" s="2" t="str">
        <f>IFERROR(__xludf.DUMMYFUNCTION("GOOGLETRANSLATE(A25509, ""en"", ""mt"")"),"Ikseb Carter")</f>
        <v>Ikseb Carter</v>
      </c>
    </row>
    <row r="25510" ht="15.75" customHeight="1">
      <c r="A25510" s="2" t="s">
        <v>25510</v>
      </c>
      <c r="B25510" s="2" t="str">
        <f>IFERROR(__xludf.DUMMYFUNCTION("GOOGLETRANSLATE(A25510, ""en"", ""mt"")"),"Fejn jiġi pprattikat l-iktar kastig korporali?")</f>
        <v>Fejn jiġi pprattikat l-iktar kastig korporali?</v>
      </c>
    </row>
    <row r="25511" ht="15.75" customHeight="1">
      <c r="A25511" s="2" t="s">
        <v>25511</v>
      </c>
      <c r="B25511" s="2" t="str">
        <f>IFERROR(__xludf.DUMMYFUNCTION("GOOGLETRANSLATE(A25511, ""en"", ""mt"")"),"żball tipografiku")</f>
        <v>żball tipografiku</v>
      </c>
    </row>
    <row r="25512" ht="15.75" customHeight="1">
      <c r="A25512" s="2" t="s">
        <v>25512</v>
      </c>
      <c r="B25512" s="2" t="str">
        <f>IFERROR(__xludf.DUMMYFUNCTION("GOOGLETRANSLATE(A25512, ""en"", ""mt"")"),"X’taħseb li Luther kien l-uniku sors ta ’għarfien ta’ Alla?")</f>
        <v>X’taħseb li Luther kien l-uniku sors ta ’għarfien ta’ Alla?</v>
      </c>
    </row>
    <row r="25513" ht="15.75" customHeight="1">
      <c r="A25513" s="2" t="s">
        <v>25513</v>
      </c>
      <c r="B25513" s="2" t="str">
        <f>IFERROR(__xludf.DUMMYFUNCTION("GOOGLETRANSLATE(A25513, ""en"", ""mt"")"),"Elettroni mhux imqabbla fil-molekula")</f>
        <v>Elettroni mhux imqabbla fil-molekula</v>
      </c>
    </row>
    <row r="25514" ht="15.75" customHeight="1">
      <c r="A25514" s="2" t="s">
        <v>25514</v>
      </c>
      <c r="B25514" s="2" t="str">
        <f>IFERROR(__xludf.DUMMYFUNCTION("GOOGLETRANSLATE(A25514, ""en"", ""mt"")"),"Mitokondrija")</f>
        <v>Mitokondrija</v>
      </c>
    </row>
    <row r="25515" ht="15.75" customHeight="1">
      <c r="A25515" s="2" t="s">
        <v>25515</v>
      </c>
      <c r="B25515" s="2" t="str">
        <f>IFERROR(__xludf.DUMMYFUNCTION("GOOGLETRANSLATE(A25515, ""en"", ""mt"")"),"X'qed jitqies dan l-aħħar bħala status fundamentali ta 'ċittadini tal-istat membru mill-Qorti tal-Ġustizzja?")</f>
        <v>X'qed jitqies dan l-aħħar bħala status fundamentali ta 'ċittadini tal-istat membru mill-Qorti tal-Ġustizzja?</v>
      </c>
    </row>
    <row r="25516" ht="15.75" customHeight="1">
      <c r="A25516" s="2" t="s">
        <v>25516</v>
      </c>
      <c r="B25516" s="2" t="str">
        <f>IFERROR(__xludf.DUMMYFUNCTION("GOOGLETRANSLATE(A25516, ""en"", ""mt"")"),"Ċerti numru ta 'salarji tal-għalliema jitħallsu mill-istat")</f>
        <v>Ċerti numru ta 'salarji tal-għalliema jitħallsu mill-istat</v>
      </c>
    </row>
    <row r="25517" ht="15.75" customHeight="1">
      <c r="A25517" s="2" t="s">
        <v>25517</v>
      </c>
      <c r="B25517" s="2" t="str">
        <f>IFERROR(__xludf.DUMMYFUNCTION("GOOGLETRANSLATE(A25517, ""en"", ""mt"")"),"kellu jitwettaq b'suċċess")</f>
        <v>kellu jitwettaq b'suċċess</v>
      </c>
    </row>
    <row r="25518" ht="15.75" customHeight="1">
      <c r="A25518" s="2" t="s">
        <v>25518</v>
      </c>
      <c r="B25518" s="2" t="str">
        <f>IFERROR(__xludf.DUMMYFUNCTION("GOOGLETRANSLATE(A25518, ""en"", ""mt"")"),"pitturi")</f>
        <v>pitturi</v>
      </c>
    </row>
    <row r="25519" ht="15.75" customHeight="1">
      <c r="A25519" s="2" t="s">
        <v>25519</v>
      </c>
      <c r="B25519" s="2" t="str">
        <f>IFERROR(__xludf.DUMMYFUNCTION("GOOGLETRANSLATE(A25519, ""en"", ""mt"")"),"Min avviċina l-BBC fl-1989 dwar it-tnedija mill-ġdid tal-ispettaklu?")</f>
        <v>Min avviċina l-BBC fl-1989 dwar it-tnedija mill-ġdid tal-ispettaklu?</v>
      </c>
    </row>
    <row r="25520" ht="15.75" customHeight="1">
      <c r="A25520" s="2" t="s">
        <v>25520</v>
      </c>
      <c r="B25520" s="2" t="str">
        <f>IFERROR(__xludf.DUMMYFUNCTION("GOOGLETRANSLATE(A25520, ""en"", ""mt"")"),"Metodisti Magħquda dwar l-Abort u s-Sesswalità (TUMAS)")</f>
        <v>Metodisti Magħquda dwar l-Abort u s-Sesswalità (TUMAS)</v>
      </c>
    </row>
    <row r="25521" ht="15.75" customHeight="1">
      <c r="A25521" s="2" t="s">
        <v>25521</v>
      </c>
      <c r="B25521" s="2" t="str">
        <f>IFERROR(__xludf.DUMMYFUNCTION("GOOGLETRANSLATE(A25521, ""en"", ""mt"")"),"Arkitettura Vittorjana")</f>
        <v>Arkitettura Vittorjana</v>
      </c>
    </row>
    <row r="25522" ht="15.75" customHeight="1">
      <c r="A25522" s="2" t="s">
        <v>25522</v>
      </c>
      <c r="B25522" s="2" t="str">
        <f>IFERROR(__xludf.DUMMYFUNCTION("GOOGLETRANSLATE(A25522, ""en"", ""mt"")"),"Il-Punent raw lilhom infushom bħala dak meta mqabbel mal-Lvant?")</f>
        <v>Il-Punent raw lilhom infushom bħala dak meta mqabbel mal-Lvant?</v>
      </c>
    </row>
    <row r="25523" ht="15.75" customHeight="1">
      <c r="A25523" s="2" t="s">
        <v>25523</v>
      </c>
      <c r="B25523" s="2" t="str">
        <f>IFERROR(__xludf.DUMMYFUNCTION("GOOGLETRANSLATE(A25523, ""en"", ""mt"")"),"il-kwadrangles ewlenin")</f>
        <v>il-kwadrangles ewlenin</v>
      </c>
    </row>
    <row r="25524" ht="15.75" customHeight="1">
      <c r="A25524" s="2" t="s">
        <v>25524</v>
      </c>
      <c r="B25524" s="2" t="str">
        <f>IFERROR(__xludf.DUMMYFUNCTION("GOOGLETRANSLATE(A25524, ""en"", ""mt"")"),"Mużajk")</f>
        <v>Mużajk</v>
      </c>
    </row>
    <row r="25525" ht="15.75" customHeight="1">
      <c r="A25525" s="2" t="s">
        <v>25525</v>
      </c>
      <c r="B25525" s="2" t="str">
        <f>IFERROR(__xludf.DUMMYFUNCTION("GOOGLETRANSLATE(A25525, ""en"", ""mt"")"),"Meta Tesla bdiet tesperimenta deliberatament bl-immaġni tar-raġġi X?")</f>
        <v>Meta Tesla bdiet tesperimenta deliberatament bl-immaġni tar-raġġi X?</v>
      </c>
    </row>
    <row r="25526" ht="15.75" customHeight="1">
      <c r="A25526" s="2" t="s">
        <v>25526</v>
      </c>
      <c r="B25526" s="2" t="str">
        <f>IFERROR(__xludf.DUMMYFUNCTION("GOOGLETRANSLATE(A25526, ""en"", ""mt"")"),"2%")</f>
        <v>2%</v>
      </c>
    </row>
    <row r="25527" ht="15.75" customHeight="1">
      <c r="A25527" s="2" t="s">
        <v>25527</v>
      </c>
      <c r="B25527" s="2" t="str">
        <f>IFERROR(__xludf.DUMMYFUNCTION("GOOGLETRANSLATE(A25527, ""en"", ""mt"")"),"Liema filosofija tal-ħsieb tindirizza l-inugwaljanza tal-ġid?")</f>
        <v>Liema filosofija tal-ħsieb tindirizza l-inugwaljanza tal-ġid?</v>
      </c>
    </row>
    <row r="25528" ht="15.75" customHeight="1">
      <c r="A25528" s="2" t="s">
        <v>25528</v>
      </c>
      <c r="B25528" s="2" t="str">
        <f>IFERROR(__xludf.DUMMYFUNCTION("GOOGLETRANSLATE(A25528, ""en"", ""mt"")"),"2008-2009")</f>
        <v>2008-2009</v>
      </c>
    </row>
    <row r="25529" ht="15.75" customHeight="1">
      <c r="A25529" s="2" t="s">
        <v>25529</v>
      </c>
      <c r="B25529" s="2" t="str">
        <f>IFERROR(__xludf.DUMMYFUNCTION("GOOGLETRANSLATE(A25529, ""en"", ""mt"")"),"Sanders")</f>
        <v>Sanders</v>
      </c>
    </row>
    <row r="25530" ht="15.75" customHeight="1">
      <c r="A25530" s="2" t="s">
        <v>25530</v>
      </c>
      <c r="B25530" s="2" t="str">
        <f>IFERROR(__xludf.DUMMYFUNCTION("GOOGLETRANSLATE(A25530, ""en"", ""mt"")"),"Il-konċentrazzjoni tal-ġid hija proċess teoretiku [skond min?] Li permezz tiegħu, taħt ċerti kundizzjonijiet, konċentrati tal-ġid maħluqa ġodda fil-pussess ta 'individwi jew entitajiet diġà sinjifikanti. Skond din it-teorija, dawk li diġà għandhom il-ġid "&amp;"għandhom il-mezzi biex jinvestu f'sorsi ġodda ta 'ħolqien ta' ġid jew biex inkella jsaħħu l-akkumulazzjoni tal-ġid, u għalhekk huma l-benefiċjarji tal-ġid il-ġdid. Maż-żmien, il-kondensazzjoni tal-ġid tista 'tikkontribwixxi b'mod sinifikanti għall-persist"&amp;"enza ta' inugwaljanza fis-soċjetà. Thomas Piketty fil-ktieb tal-ktieb tiegħu fis-seklu wieħed u għoxrin jargumenta li l-forza fundamentali għad-diverġenza hija r-ritorn ġeneralment ikbar tal-kapital (R) milli t-tkabbir ekonomiku (G), u li l-fortuni akbar "&amp;"jiġġeneraw qligħ ogħla [PP. 384 Tabella 12.2, Daqs tad-Dotazzjoni tal-Università ta 'l-Istati Uniti vs Rata ta' Ritorn Annwali Real]")</f>
        <v>Il-konċentrazzjoni tal-ġid hija proċess teoretiku [skond min?] Li permezz tiegħu, taħt ċerti kundizzjonijiet, konċentrati tal-ġid maħluqa ġodda fil-pussess ta 'individwi jew entitajiet diġà sinjifikanti. Skond din it-teorija, dawk li diġà għandhom il-ġid għandhom il-mezzi biex jinvestu f'sorsi ġodda ta 'ħolqien ta' ġid jew biex inkella jsaħħu l-akkumulazzjoni tal-ġid, u għalhekk huma l-benefiċjarji tal-ġid il-ġdid. Maż-żmien, il-kondensazzjoni tal-ġid tista 'tikkontribwixxi b'mod sinifikanti għall-persistenza ta' inugwaljanza fis-soċjetà. Thomas Piketty fil-ktieb tal-ktieb tiegħu fis-seklu wieħed u għoxrin jargumenta li l-forza fundamentali għad-diverġenza hija r-ritorn ġeneralment ikbar tal-kapital (R) milli t-tkabbir ekonomiku (G), u li l-fortuni akbar jiġġeneraw qligħ ogħla [PP. 384 Tabella 12.2, Daqs tad-Dotazzjoni tal-Università ta 'l-Istati Uniti vs Rata ta' Ritorn Annwali Real]</v>
      </c>
    </row>
    <row r="25531" ht="15.75" customHeight="1">
      <c r="A25531" s="2" t="s">
        <v>25531</v>
      </c>
      <c r="B25531" s="2" t="str">
        <f>IFERROR(__xludf.DUMMYFUNCTION("GOOGLETRANSLATE(A25531, ""en"", ""mt"")"),"Meta Pachauri rriżenja bħala president tal-IPCC?")</f>
        <v>Meta Pachauri rriżenja bħala president tal-IPCC?</v>
      </c>
    </row>
    <row r="25532" ht="15.75" customHeight="1">
      <c r="A25532" s="2" t="s">
        <v>25532</v>
      </c>
      <c r="B25532" s="2" t="str">
        <f>IFERROR(__xludf.DUMMYFUNCTION("GOOGLETRANSLATE(A25532, ""en"", ""mt"")"),"L-invażjoni tal-USSR fl-Afganistan kienet biss sinjal wieħed ta 'nuqqas ta' sigurtà fir-reġjun, immarkat ukoll minn żieda fil-bejgħ tal-armi Amerikani, teknoloġija u preżenza militari diretta. L-Arabja Sawdita u l-Iran saru dejjem aktar dipendenti fuq l-a"&amp;"ssigurazzjoni tas-sigurtà Amerikana biex jimmaniġġjaw kemm theddid estern kif ukoll intern, inkluż żieda fil-kompetizzjoni militari bejniethom fuq żieda fid-dħul taż-żejt. Iż-żewġ stati kienu qed jikkompetu għall-preeminenza fil-Golf Persjan u jużaw dħul "&amp;"miżjud biex jiffinanzjaw militari estiżi. Sal-1979, ix-xiri tal-armi Sawdi mill-Istati Uniti qabeż ħames darbiet l-Iżrael. Motiv ieħor għax-xiri ta 'armi fuq skala kbira mill-Istati Uniti mill-Arabja Sawdija kien il-falliment tax-Shah matul Jannar 1979 bi"&amp;"ex iżomm il-kontroll tal-Iran, nazzjon Musulman mhux Għarbi iżda fil-biċċa l-kbira Shiite, li waqa' għal gvern Iżlatiku teokratiku taħt l-Ayatollah Ruhollah Khomeini wara r-Rivoluzzjoni Iranjana tal-1979. L-Arabja Sawdita, min-naħa l-oħra, hija nazzjon Għ"&amp;"arbi, fil-biċċa l-kbira Sunni Musulman immexxi minn monarkija kważi assolutista. Wara r-rivoluzzjoni Iranjana, is-Saudis kienu mġiegħla jittrattaw il-prospett ta 'destabilizzazzjoni interna permezz tar-radikaliżmu tal-Iżlamiżmu, realtà li malajr tiġi żvel"&amp;"ata fil-qbid tal-Moskea Gran Revolta fir-reġjun b'ħafna żejt al-Hasa fl-Arabja Sawdija f'Diċembru tal-istess sena. F'Novembru 2010, WikiLeaks nixxew kejbils diplomatiċi kunfidenzjali li għandhom x'jaqsmu ma 'l-Istati Uniti u l-alleati tagħha li żvelaw li "&amp;"r-re Sawdi tal-mibki Abdullah ħeġġeġ lill-Istati Uniti biex jattakkaw l-Iran sabiex jeqirdu l-programm potenzjali tiegħu ta' armi nukleari, li ddeskriva l-Iran bħala ""serp li għandhom jinqatgħu mingħajr ebda procrastination. """)</f>
        <v>L-invażjoni tal-USSR fl-Afganistan kienet biss sinjal wieħed ta 'nuqqas ta' sigurtà fir-reġjun, immarkat ukoll minn żieda fil-bejgħ tal-armi Amerikani, teknoloġija u preżenza militari diretta. L-Arabja Sawdita u l-Iran saru dejjem aktar dipendenti fuq l-assigurazzjoni tas-sigurtà Amerikana biex jimmaniġġjaw kemm theddid estern kif ukoll intern, inkluż żieda fil-kompetizzjoni militari bejniethom fuq żieda fid-dħul taż-żejt. Iż-żewġ stati kienu qed jikkompetu għall-preeminenza fil-Golf Persjan u jużaw dħul miżjud biex jiffinanzjaw militari estiżi. Sal-1979, ix-xiri tal-armi Sawdi mill-Istati Uniti qabeż ħames darbiet l-Iżrael. Motiv ieħor għax-xiri ta 'armi fuq skala kbira mill-Istati Uniti mill-Arabja Sawdija kien il-falliment tax-Shah matul Jannar 1979 biex iżomm il-kontroll tal-Iran, nazzjon Musulman mhux Għarbi iżda fil-biċċa l-kbira Shiite, li waqa' għal gvern Iżlatiku teokratiku taħt l-Ayatollah Ruhollah Khomeini wara r-Rivoluzzjoni Iranjana tal-1979. L-Arabja Sawdita, min-naħa l-oħra, hija nazzjon Għarbi, fil-biċċa l-kbira Sunni Musulman immexxi minn monarkija kważi assolutista. Wara r-rivoluzzjoni Iranjana, is-Saudis kienu mġiegħla jittrattaw il-prospett ta 'destabilizzazzjoni interna permezz tar-radikaliżmu tal-Iżlamiżmu, realtà li malajr tiġi żvelata fil-qbid tal-Moskea Gran Revolta fir-reġjun b'ħafna żejt al-Hasa fl-Arabja Sawdija f'Diċembru tal-istess sena. F'Novembru 2010, WikiLeaks nixxew kejbils diplomatiċi kunfidenzjali li għandhom x'jaqsmu ma 'l-Istati Uniti u l-alleati tagħha li żvelaw li r-re Sawdi tal-mibki Abdullah ħeġġeġ lill-Istati Uniti biex jattakkaw l-Iran sabiex jeqirdu l-programm potenzjali tiegħu ta' armi nukleari, li ddeskriva l-Iran bħala "serp li għandhom jinqatgħu mingħajr ebda procrastination. "</v>
      </c>
    </row>
    <row r="25533" ht="15.75" customHeight="1">
      <c r="A25533" s="2" t="s">
        <v>25533</v>
      </c>
      <c r="B25533" s="2" t="str">
        <f>IFERROR(__xludf.DUMMYFUNCTION("GOOGLETRANSLATE(A25533, ""en"", ""mt"")"),"Kemm qed jiżdied il-livell tal-baħar malajr?")</f>
        <v>Kemm qed jiżdied il-livell tal-baħar malajr?</v>
      </c>
    </row>
    <row r="25534" ht="15.75" customHeight="1">
      <c r="A25534" s="2" t="s">
        <v>25534</v>
      </c>
      <c r="B25534" s="2" t="str">
        <f>IFERROR(__xludf.DUMMYFUNCTION("GOOGLETRANSLATE(A25534, ""en"", ""mt"")"),"Sky Digital")</f>
        <v>Sky Digital</v>
      </c>
    </row>
    <row r="25535" ht="15.75" customHeight="1">
      <c r="A25535" s="2" t="s">
        <v>25535</v>
      </c>
      <c r="B25535" s="2" t="str">
        <f>IFERROR(__xludf.DUMMYFUNCTION("GOOGLETRANSLATE(A25535, ""en"", ""mt"")"),"Ippjanar, [ċitazzjoni meħtieġa] disinn, u finanzjament u jkompli sakemm jinbena l-proġett")</f>
        <v>Ippjanar, [ċitazzjoni meħtieġa] disinn, u finanzjament u jkompli sakemm jinbena l-proġett</v>
      </c>
    </row>
    <row r="25536" ht="15.75" customHeight="1">
      <c r="A25536" s="2" t="s">
        <v>25536</v>
      </c>
      <c r="B25536" s="2" t="str">
        <f>IFERROR(__xludf.DUMMYFUNCTION("GOOGLETRANSLATE(A25536, ""en"", ""mt"")"),"X'inhu Creon jipprova jwaqqaf lil Antigone milli jagħmel fid-dramm?")</f>
        <v>X'inhu Creon jipprova jwaqqaf lil Antigone milli jagħmel fid-dramm?</v>
      </c>
    </row>
    <row r="25537" ht="15.75" customHeight="1">
      <c r="A25537" s="2" t="s">
        <v>25537</v>
      </c>
      <c r="B25537" s="2" t="str">
        <f>IFERROR(__xludf.DUMMYFUNCTION("GOOGLETRANSLATE(A25537, ""en"", ""mt"")"),"jaħbi Lhudi fid-dar tagħhom")</f>
        <v>jaħbi Lhudi fid-dar tagħhom</v>
      </c>
    </row>
    <row r="25538" ht="15.75" customHeight="1">
      <c r="A25538" s="2" t="s">
        <v>25538</v>
      </c>
      <c r="B25538" s="2" t="str">
        <f>IFERROR(__xludf.DUMMYFUNCTION("GOOGLETRANSLATE(A25538, ""en"", ""mt"")"),"Min temm is-serje fl-1989?")</f>
        <v>Min temm is-serje fl-1989?</v>
      </c>
    </row>
    <row r="25539" ht="15.75" customHeight="1">
      <c r="A25539" s="2" t="s">
        <v>25539</v>
      </c>
      <c r="B25539" s="2" t="str">
        <f>IFERROR(__xludf.DUMMYFUNCTION("GOOGLETRANSLATE(A25539, ""en"", ""mt"")"),"1568–1609")</f>
        <v>1568–1609</v>
      </c>
    </row>
    <row r="25540" ht="15.75" customHeight="1">
      <c r="A25540" s="2" t="s">
        <v>25540</v>
      </c>
      <c r="B25540" s="2" t="str">
        <f>IFERROR(__xludf.DUMMYFUNCTION("GOOGLETRANSLATE(A25540, ""en"", ""mt"")"),"Istitut Irjali tal-Periti Brittaniċi")</f>
        <v>Istitut Irjali tal-Periti Brittaniċi</v>
      </c>
    </row>
    <row r="25541" ht="15.75" customHeight="1">
      <c r="A25541" s="2" t="s">
        <v>25541</v>
      </c>
      <c r="B25541" s="2" t="str">
        <f>IFERROR(__xludf.DUMMYFUNCTION("GOOGLETRANSLATE(A25541, ""en"", ""mt"")"),"aktar minn 40,000 lira")</f>
        <v>aktar minn 40,000 lira</v>
      </c>
    </row>
    <row r="25542" ht="15.75" customHeight="1">
      <c r="A25542" s="2" t="s">
        <v>25542</v>
      </c>
      <c r="B25542" s="2" t="str">
        <f>IFERROR(__xludf.DUMMYFUNCTION("GOOGLETRANSLATE(A25542, ""en"", ""mt"")"),"Min xtara jew ikkummissjona x-xogħlijiet ta 'artisti Ewropej inkludew il-galleriji Ingliżi tal-V &amp; A?")</f>
        <v>Min xtara jew ikkummissjona x-xogħlijiet ta 'artisti Ewropej inkludew il-galleriji Ingliżi tal-V &amp; A?</v>
      </c>
    </row>
    <row r="25543" ht="15.75" customHeight="1">
      <c r="A25543" s="2" t="s">
        <v>25543</v>
      </c>
      <c r="B25543" s="2" t="str">
        <f>IFERROR(__xludf.DUMMYFUNCTION("GOOGLETRANSLATE(A25543, ""en"", ""mt"")"),"Aritmetika Presburger")</f>
        <v>Aritmetika Presburger</v>
      </c>
    </row>
    <row r="25544" ht="15.75" customHeight="1">
      <c r="A25544" s="2" t="s">
        <v>25544</v>
      </c>
      <c r="B25544" s="2" t="str">
        <f>IFERROR(__xludf.DUMMYFUNCTION("GOOGLETRANSLATE(A25544, ""en"", ""mt"")"),"Trioxygen (o
3) ġeneralment huwa magħruf bħala ożonu u huwa allotrope reattiv ħafna ta 'ossiġnu li jagħmel ħsara lit-tessut tal-pulmun. L-ożonu huwa prodott fl-atmosfera ta 'fuq meta o
2 tgħaqqad ma 'ossiġnu atomiku magħmul mill-qsim ta' o
2 minn radjazzj"&amp;"oni ultravjola (UV). Peress li l-ożonu jassorbi b'mod qawwi fir-reġjun UV ta 'l-ispettru, is-saff ta' l-ożonu ta 'l-atmosfera ta' fuq jaħdem bħala tarka ta 'radjazzjoni protettiva għall-pjaneta. Ħdejn il-wiċċ tad-Dinja, huwa tniġġis iffurmat bħala prodott"&amp;" sekondarju tal-egżost tal-karozzi. Il-molekula metastabbli tetraoxygen (o
4) ġie skopert fl-2001, u ġie preżunt li jeżisti f'waħda mis-sitt fażijiet ta 'ossiġnu solidu. Ġie ppruvat fl-2006 li din il-fażi, maħluqa billi tippressa l-O
2 sa 20 GPa, fil-fatt"&amp;" huwa rhombohedral o
8 cluster. Dan il-cluster għandu l-potenzjal li jkun ossidizzatur ferm aktar qawwi minn jew o
2 jew o
3 u għalhekk jista 'jintuża fil-fjuwil tar-rokit. Ġiet skoperta fażi metallika fl-1990 meta ossiġnu solidu huwa soġġett għal pressjo"&amp;"ni ta '' l fuq minn 96 GPa u ntwera fl-1998 li f'temperaturi baxxi ħafna, din il-fażi ssir superkonduttiva.")</f>
        <v>Trioxygen (o
3) ġeneralment huwa magħruf bħala ożonu u huwa allotrope reattiv ħafna ta 'ossiġnu li jagħmel ħsara lit-tessut tal-pulmun. L-ożonu huwa prodott fl-atmosfera ta 'fuq meta o
2 tgħaqqad ma 'ossiġnu atomiku magħmul mill-qsim ta' o
2 minn radjazzjoni ultravjola (UV). Peress li l-ożonu jassorbi b'mod qawwi fir-reġjun UV ta 'l-ispettru, is-saff ta' l-ożonu ta 'l-atmosfera ta' fuq jaħdem bħala tarka ta 'radjazzjoni protettiva għall-pjaneta. Ħdejn il-wiċċ tad-Dinja, huwa tniġġis iffurmat bħala prodott sekondarju tal-egżost tal-karozzi. Il-molekula metastabbli tetraoxygen (o
4) ġie skopert fl-2001, u ġie preżunt li jeżisti f'waħda mis-sitt fażijiet ta 'ossiġnu solidu. Ġie ppruvat fl-2006 li din il-fażi, maħluqa billi tippressa l-O
2 sa 20 GPa, fil-fatt huwa rhombohedral o
8 cluster. Dan il-cluster għandu l-potenzjal li jkun ossidizzatur ferm aktar qawwi minn jew o
2 jew o
3 u għalhekk jista 'jintuża fil-fjuwil tar-rokit. Ġiet skoperta fażi metallika fl-1990 meta ossiġnu solidu huwa soġġett għal pressjoni ta '' l fuq minn 96 GPa u ntwera fl-1998 li f'temperaturi baxxi ħafna, din il-fażi ssir superkonduttiva.</v>
      </c>
    </row>
    <row r="25545" ht="15.75" customHeight="1">
      <c r="A25545" s="2" t="s">
        <v>25545</v>
      </c>
      <c r="B25545" s="2" t="str">
        <f>IFERROR(__xludf.DUMMYFUNCTION("GOOGLETRANSLATE(A25545, ""en"", ""mt"")"),"Liema grupp ta 'diżubbidjenti ċivili ġab il-mediċina fl-Iraq mingħajr il-permess tal-gvern?")</f>
        <v>Liema grupp ta 'diżubbidjenti ċivili ġab il-mediċina fl-Iraq mingħajr il-permess tal-gvern?</v>
      </c>
    </row>
    <row r="25546" ht="15.75" customHeight="1">
      <c r="A25546" s="2" t="s">
        <v>25546</v>
      </c>
      <c r="B25546" s="2" t="str">
        <f>IFERROR(__xludf.DUMMYFUNCTION("GOOGLETRANSLATE(A25546, ""en"", ""mt"")"),"silikati (f'minerali tas-silikat)")</f>
        <v>silikati (f'minerali tas-silikat)</v>
      </c>
    </row>
    <row r="25547" ht="15.75" customHeight="1">
      <c r="A25547" s="2" t="s">
        <v>25547</v>
      </c>
      <c r="B25547" s="2" t="str">
        <f>IFERROR(__xludf.DUMMYFUNCTION("GOOGLETRANSLATE(A25547, ""en"", ""mt"")"),"Ir-rikostruzzjoni tal-ħsieb reliġjuż fl-Islam")</f>
        <v>Ir-rikostruzzjoni tal-ħsieb reliġjuż fl-Islam</v>
      </c>
    </row>
    <row r="25548" ht="15.75" customHeight="1">
      <c r="A25548" s="2" t="s">
        <v>25548</v>
      </c>
      <c r="B25548" s="2" t="str">
        <f>IFERROR(__xludf.DUMMYFUNCTION("GOOGLETRANSLATE(A25548, ""en"", ""mt"")"),"Waqt li tesperimenta, Tesla involontarjament tefa 'ġeneratur tal-power station, u kkawża waqfien mill-enerġija. F'Awwissu tal-1917, Tesla spjegat dak li ġara fl-esperiment elettriku: ""Bħala eżempju ta 'dak li sar b'diversi mijiet ta' kilowatts ta 'enerġi"&amp;"ja ta' frekwenza għolja meħlusa, instab li d-dinamo f'dar f'qawwa ta 'sitt mili' l bogħod inħaraq ripetutament , minħabba l-kurrenti qawwija ta 'frekwenza għolja stabbiliti fihom, u li kkawżaw xrar tqal biex jaqbżu mill-koljaturi u jeqirdu l-insulazzjoni!"&amp;" """)</f>
        <v>Waqt li tesperimenta, Tesla involontarjament tefa 'ġeneratur tal-power station, u kkawża waqfien mill-enerġija. F'Awwissu tal-1917, Tesla spjegat dak li ġara fl-esperiment elettriku: "Bħala eżempju ta 'dak li sar b'diversi mijiet ta' kilowatts ta 'enerġija ta' frekwenza għolja meħlusa, instab li d-dinamo f'dar f'qawwa ta 'sitt mili' l bogħod inħaraq ripetutament , minħabba l-kurrenti qawwija ta 'frekwenza għolja stabbiliti fihom, u li kkawżaw xrar tqal biex jaqbżu mill-koljaturi u jeqirdu l-insulazzjoni! "</v>
      </c>
    </row>
    <row r="25549" ht="15.75" customHeight="1">
      <c r="A25549" s="2" t="s">
        <v>25549</v>
      </c>
      <c r="B25549" s="2" t="str">
        <f>IFERROR(__xludf.DUMMYFUNCTION("GOOGLETRANSLATE(A25549, ""en"", ""mt"")"),"New Orleans '")</f>
        <v>New Orleans '</v>
      </c>
    </row>
    <row r="25550" ht="15.75" customHeight="1">
      <c r="A25550" s="2" t="s">
        <v>25550</v>
      </c>
      <c r="B25550" s="2" t="str">
        <f>IFERROR(__xludf.DUMMYFUNCTION("GOOGLETRANSLATE(A25550, ""en"", ""mt"")"),"Huwa inċert")</f>
        <v>Huwa inċert</v>
      </c>
    </row>
    <row r="25551" ht="15.75" customHeight="1">
      <c r="A25551" s="2" t="s">
        <v>25551</v>
      </c>
      <c r="B25551" s="2" t="str">
        <f>IFERROR(__xludf.DUMMYFUNCTION("GOOGLETRANSLATE(A25551, ""en"", ""mt"")"),"Tliet mija sittin skola u istituzzjoni barranin.")</f>
        <v>Tliet mija sittin skola u istituzzjoni barranin.</v>
      </c>
    </row>
    <row r="25552" ht="15.75" customHeight="1">
      <c r="A25552" s="2" t="s">
        <v>25552</v>
      </c>
      <c r="B25552" s="2" t="str">
        <f>IFERROR(__xludf.DUMMYFUNCTION("GOOGLETRANSLATE(A25552, ""en"", ""mt"")"),"Makrofaġi u limfoċiti")</f>
        <v>Makrofaġi u limfoċiti</v>
      </c>
    </row>
    <row r="25553" ht="15.75" customHeight="1">
      <c r="A25553" s="2" t="s">
        <v>25553</v>
      </c>
      <c r="B25553" s="2" t="str">
        <f>IFERROR(__xludf.DUMMYFUNCTION("GOOGLETRANSLATE(A25553, ""en"", ""mt"")"),"Bħal fil-House of Commons, numru ta 'kwalifiki japplikaw għal MSP. Dawn il-kwalifiki ġew introdotti taħt l-Att dwar l-1975 tal-House of Commons tal-1975 u l-Att dwar in-Nazzjonalità Brittanika tal-1981. Speċifikament, il-membri jridu jkunu aktar minn 18-i"&amp;"l sena u għandhom ikunu ċittadin tar-Renju Unit, ir-Repubblika tal-Irlanda, wieħed mill-pajjiżi Commonwealth of Nations, ċittadin ta ’territorju Brittaniku barrani, jew ċittadin tal-Unjoni Ewropea residenti fir-Renju Unit. Il-membri tal-pulizija u tal-for"&amp;"zi armati huma skwalifikati milli joqogħdu fil-Parlament Skoċċiż bħala MSPs eletti, u bl-istess mod, impjegati taċ-ċivil u membri tal-leġiżlaturi barranin huma skwalifikati. Individwu ma jistax joqgħod fil-Parlament Skoċċiż jekk hu jew hi jiġi ġġudikat li"&amp;" jkun insane skont it-termini tal-Att dwar is-Saħħa Mentali (Kura u Trattament) (l-Iskozja) tal-2003.")</f>
        <v>Bħal fil-House of Commons, numru ta 'kwalifiki japplikaw għal MSP. Dawn il-kwalifiki ġew introdotti taħt l-Att dwar l-1975 tal-House of Commons tal-1975 u l-Att dwar in-Nazzjonalità Brittanika tal-1981. Speċifikament, il-membri jridu jkunu aktar minn 18-il sena u għandhom ikunu ċittadin tar-Renju Unit, ir-Repubblika tal-Irlanda, wieħed mill-pajjiżi Commonwealth of Nations, ċittadin ta ’territorju Brittaniku barrani, jew ċittadin tal-Unjoni Ewropea residenti fir-Renju Unit. Il-membri tal-pulizija u tal-forzi armati huma skwalifikati milli joqogħdu fil-Parlament Skoċċiż bħala MSPs eletti, u bl-istess mod, impjegati taċ-ċivil u membri tal-leġiżlaturi barranin huma skwalifikati. Individwu ma jistax joqgħod fil-Parlament Skoċċiż jekk hu jew hi jiġi ġġudikat li jkun insane skont it-termini tal-Att dwar is-Saħħa Mentali (Kura u Trattament) (l-Iskozja) tal-2003.</v>
      </c>
    </row>
    <row r="25554" ht="15.75" customHeight="1">
      <c r="A25554" s="2" t="s">
        <v>25554</v>
      </c>
      <c r="B25554" s="2" t="str">
        <f>IFERROR(__xludf.DUMMYFUNCTION("GOOGLETRANSLATE(A25554, ""en"", ""mt"")"),"It-tielet tip ta 'konġetturi jikkonċerna aspetti tad-distribuzzjoni tal-primes. Huwa konġetta li hemm ħafna primes twin, pari ta 'primes b'differenza 2 (konġettura Twin Prime). Il-konġettura ta 'Polignac hija tisħiħ ta' dik il-konġettura, hija tiddikjara "&amp;"li għal kull numru sħiħ pożittiv, hemm ħafna pari ta 'primes konsekuttivi li huma differenti minn 2n. Huwa konġettat li hemm infinitament ħafna primes tal-forma N2 + 1. Dawn il-konġetturi huma każijiet speċjali tal-ipoteżi wiesgħa ta 'Schinzel H. Il-konġe"&amp;"ttura ta' Brocard tgħid li dejjem hemm mill-inqas erba 'primes bejn il-kwadri ta' primes konsekuttivi akbar minn 2. Il-konġettura ta 'Legendre jiddikjara li hemm numru ewlieni bejn N2 u (n + 1) 2 għal kull numru sħiħ pożittiv n. Huwa implikat mill-konġett"&amp;"ura ta 'Cramér aktar b'saħħitha.")</f>
        <v>It-tielet tip ta 'konġetturi jikkonċerna aspetti tad-distribuzzjoni tal-primes. Huwa konġetta li hemm ħafna primes twin, pari ta 'primes b'differenza 2 (konġettura Twin Prime). Il-konġettura ta 'Polignac hija tisħiħ ta' dik il-konġettura, hija tiddikjara li għal kull numru sħiħ pożittiv, hemm ħafna pari ta 'primes konsekuttivi li huma differenti minn 2n. Huwa konġettat li hemm infinitament ħafna primes tal-forma N2 + 1. Dawn il-konġetturi huma każijiet speċjali tal-ipoteżi wiesgħa ta 'Schinzel H. Il-konġettura ta' Brocard tgħid li dejjem hemm mill-inqas erba 'primes bejn il-kwadri ta' primes konsekuttivi akbar minn 2. Il-konġettura ta 'Legendre jiddikjara li hemm numru ewlieni bejn N2 u (n + 1) 2 għal kull numru sħiħ pożittiv n. Huwa implikat mill-konġettura ta 'Cramér aktar b'saħħitha.</v>
      </c>
    </row>
    <row r="25555" ht="15.75" customHeight="1">
      <c r="A25555" s="2" t="s">
        <v>25555</v>
      </c>
      <c r="B25555" s="2" t="str">
        <f>IFERROR(__xludf.DUMMYFUNCTION("GOOGLETRANSLATE(A25555, ""en"", ""mt"")"),"Min kien l-ewwel president ta 'Varsavja?")</f>
        <v>Min kien l-ewwel president ta 'Varsavja?</v>
      </c>
    </row>
    <row r="25556" ht="15.75" customHeight="1">
      <c r="A25556" s="2" t="s">
        <v>25556</v>
      </c>
      <c r="B25556" s="2" t="str">
        <f>IFERROR(__xludf.DUMMYFUNCTION("GOOGLETRANSLATE(A25556, ""en"", ""mt"")"),"X'inhu l-ogħla quċċata fir-Rabat?")</f>
        <v>X'inhu l-ogħla quċċata fir-Rabat?</v>
      </c>
    </row>
    <row r="25557" ht="15.75" customHeight="1">
      <c r="A25557" s="2" t="s">
        <v>25557</v>
      </c>
      <c r="B25557" s="2" t="str">
        <f>IFERROR(__xludf.DUMMYFUNCTION("GOOGLETRANSLATE(A25557, ""en"", ""mt"")"),"jisraq")</f>
        <v>jisraq</v>
      </c>
    </row>
    <row r="25558" ht="15.75" customHeight="1">
      <c r="A25558" s="2" t="s">
        <v>25558</v>
      </c>
      <c r="B25558" s="2" t="str">
        <f>IFERROR(__xludf.DUMMYFUNCTION("GOOGLETRANSLATE(A25558, ""en"", ""mt"")"),"skola tad-dar")</f>
        <v>skola tad-dar</v>
      </c>
    </row>
    <row r="25559" ht="15.75" customHeight="1">
      <c r="A25559" s="2" t="s">
        <v>25559</v>
      </c>
      <c r="B25559" s="2" t="str">
        <f>IFERROR(__xludf.DUMMYFUNCTION("GOOGLETRANSLATE(A25559, ""en"", ""mt"")"),"Savanna fit-Tramuntana u l-Lvant")</f>
        <v>Savanna fit-Tramuntana u l-Lvant</v>
      </c>
    </row>
    <row r="25560" ht="15.75" customHeight="1">
      <c r="A25560" s="2" t="s">
        <v>25560</v>
      </c>
      <c r="B25560" s="2" t="str">
        <f>IFERROR(__xludf.DUMMYFUNCTION("GOOGLETRANSLATE(A25560, ""en"", ""mt"")"),"X'inhi d-densità tal-primes kollha kompatibbli ma 'Modulo 9?")</f>
        <v>X'inhi d-densità tal-primes kollha kompatibbli ma 'Modulo 9?</v>
      </c>
    </row>
    <row r="25561" ht="15.75" customHeight="1">
      <c r="A25561" s="2" t="s">
        <v>25561</v>
      </c>
      <c r="B25561" s="2" t="str">
        <f>IFERROR(__xludf.DUMMYFUNCTION("GOOGLETRANSLATE(A25561, ""en"", ""mt"")"),"Liema teorija tiddikjara li l-karatteristiċi tad-Dinja baqgħu ma nbidlux wara li ffurmaw f'avveniment katastrofiku wieħed?")</f>
        <v>Liema teorija tiddikjara li l-karatteristiċi tad-Dinja baqgħu ma nbidlux wara li ffurmaw f'avveniment katastrofiku wieħed?</v>
      </c>
    </row>
    <row r="25562" ht="15.75" customHeight="1">
      <c r="A25562" s="2" t="s">
        <v>25562</v>
      </c>
      <c r="B25562" s="2" t="str">
        <f>IFERROR(__xludf.DUMMYFUNCTION("GOOGLETRANSLATE(A25562, ""en"", ""mt"")"),"X’qal Luther li kien jippermetti lill-Lhud jibqgħu?")</f>
        <v>X’qal Luther li kien jippermetti lill-Lhud jibqgħu?</v>
      </c>
    </row>
    <row r="25563" ht="15.75" customHeight="1">
      <c r="A25563" s="2" t="s">
        <v>25563</v>
      </c>
      <c r="B25563" s="2" t="str">
        <f>IFERROR(__xludf.DUMMYFUNCTION("GOOGLETRANSLATE(A25563, ""en"", ""mt"")"),"Powered bil-fwar")</f>
        <v>Powered bil-fwar</v>
      </c>
    </row>
    <row r="25564" ht="15.75" customHeight="1">
      <c r="A25564" s="2" t="s">
        <v>25564</v>
      </c>
      <c r="B25564" s="2" t="str">
        <f>IFERROR(__xludf.DUMMYFUNCTION("GOOGLETRANSLATE(A25564, ""en"", ""mt"")"),"id-19")</f>
        <v>id-19</v>
      </c>
    </row>
    <row r="25565" ht="15.75" customHeight="1">
      <c r="A25565" s="2" t="s">
        <v>25565</v>
      </c>
      <c r="B25565" s="2" t="str">
        <f>IFERROR(__xludf.DUMMYFUNCTION("GOOGLETRANSLATE(A25565, ""en"", ""mt"")"),"Min brevettat magna kompost bi pressjoni għolja fl-1805?")</f>
        <v>Min brevettat magna kompost bi pressjoni għolja fl-1805?</v>
      </c>
    </row>
    <row r="25566" ht="15.75" customHeight="1">
      <c r="A25566" s="2" t="s">
        <v>25566</v>
      </c>
      <c r="B25566" s="2" t="str">
        <f>IFERROR(__xludf.DUMMYFUNCTION("GOOGLETRANSLATE(A25566, ""en"", ""mt"")"),"X'inhu l-oppost ta 'rwol kontinwu tat-tagħlim?")</f>
        <v>X'inhu l-oppost ta 'rwol kontinwu tat-tagħlim?</v>
      </c>
    </row>
    <row r="25567" ht="15.75" customHeight="1">
      <c r="A25567" s="2" t="s">
        <v>25567</v>
      </c>
      <c r="B25567" s="2" t="str">
        <f>IFERROR(__xludf.DUMMYFUNCTION("GOOGLETRANSLATE(A25567, ""en"", ""mt"")"),"Kemm membri fis-siġġijiet tal-Parlament Skoċċiż huma membri tal-gvern Skoċċiż?")</f>
        <v>Kemm membri fis-siġġijiet tal-Parlament Skoċċiż huma membri tal-gvern Skoċċiż?</v>
      </c>
    </row>
    <row r="25568" ht="15.75" customHeight="1">
      <c r="A25568" s="2" t="s">
        <v>25568</v>
      </c>
      <c r="B25568" s="2" t="str">
        <f>IFERROR(__xludf.DUMMYFUNCTION("GOOGLETRANSLATE(A25568, ""en"", ""mt"")"),"eżempju problema")</f>
        <v>eżempju problema</v>
      </c>
    </row>
    <row r="25569" ht="15.75" customHeight="1">
      <c r="A25569" s="2" t="s">
        <v>25569</v>
      </c>
      <c r="B25569" s="2" t="str">
        <f>IFERROR(__xludf.DUMMYFUNCTION("GOOGLETRANSLATE(A25569, ""en"", ""mt"")"),"1982")</f>
        <v>1982</v>
      </c>
    </row>
    <row r="25570" ht="15.75" customHeight="1">
      <c r="A25570" s="2" t="s">
        <v>25570</v>
      </c>
      <c r="B25570" s="2" t="str">
        <f>IFERROR(__xludf.DUMMYFUNCTION("GOOGLETRANSLATE(A25570, ""en"", ""mt"")"),"X'inhi l-ogħla qorti fid-denominazzjoni Metodista Magħquda?")</f>
        <v>X'inhi l-ogħla qorti fid-denominazzjoni Metodista Magħquda?</v>
      </c>
    </row>
    <row r="25571" ht="15.75" customHeight="1">
      <c r="A25571" s="2" t="s">
        <v>25571</v>
      </c>
      <c r="B25571" s="2" t="str">
        <f>IFERROR(__xludf.DUMMYFUNCTION("GOOGLETRANSLATE(A25571, ""en"", ""mt"")"),"X'inhu l-isem tal-itwal pont fil-Ġermanja?")</f>
        <v>X'inhu l-isem tal-itwal pont fil-Ġermanja?</v>
      </c>
    </row>
    <row r="25572" ht="15.75" customHeight="1">
      <c r="A25572" s="2" t="s">
        <v>25572</v>
      </c>
      <c r="B25572" s="2" t="str">
        <f>IFERROR(__xludf.DUMMYFUNCTION("GOOGLETRANSLATE(A25572, ""en"", ""mt"")"),"Sabiex tkun immarkata b'mod preċiż il-bijomassa tal-Amażonja u l-emissjonijiet sussegwenti relatati mal-karbonju, il-klassifikazzjoni tal-istadji tat-tkabbir tas-siġar f'partijiet differenti tal-foresta hija kruċjali. Fl-2006 Tatiana Kuplich organizzat is"&amp;"-siġar tal-Amażonja f'erba 'kategoriji: (1) foresta matura, (2) li tirriġenera foresta [inqas minn tliet snin], (3) li tirriġenera foresta [bejn tlieta u ħames snin ta' regrowth], u (4 ) tirriġenera foresta [ħdax sa tmintax-il sena ta 'żvilupp kontinwu]. "&amp;"Ir-riċerkatur uża kombinazzjoni ta 'radar ta' apertura sintetika (SAR) u mapper tematiku (TM) biex ipoġġi b'mod preċiż il-porzjonijiet differenti ta 'l-Amażonja f'waħda mill-erba' klassifikazzjonijiet.")</f>
        <v>Sabiex tkun immarkata b'mod preċiż il-bijomassa tal-Amażonja u l-emissjonijiet sussegwenti relatati mal-karbonju, il-klassifikazzjoni tal-istadji tat-tkabbir tas-siġar f'partijiet differenti tal-foresta hija kruċjali. Fl-2006 Tatiana Kuplich organizzat is-siġar tal-Amażonja f'erba 'kategoriji: (1) foresta matura, (2) li tirriġenera foresta [inqas minn tliet snin], (3) li tirriġenera foresta [bejn tlieta u ħames snin ta' regrowth], u (4 ) tirriġenera foresta [ħdax sa tmintax-il sena ta 'żvilupp kontinwu]. Ir-riċerkatur uża kombinazzjoni ta 'radar ta' apertura sintetika (SAR) u mapper tematiku (TM) biex ipoġġi b'mod preċiż il-porzjonijiet differenti ta 'l-Amażonja f'waħda mill-erba' klassifikazzjonijiet.</v>
      </c>
    </row>
    <row r="25573" ht="15.75" customHeight="1">
      <c r="A25573" s="2" t="s">
        <v>25573</v>
      </c>
      <c r="B25573" s="2" t="str">
        <f>IFERROR(__xludf.DUMMYFUNCTION("GOOGLETRANSLATE(A25573, ""en"", ""mt"")"),"Il-prinċipju ta 'relazzjonijiet transkonfinali")</f>
        <v>Il-prinċipju ta 'relazzjonijiet transkonfinali</v>
      </c>
    </row>
    <row r="25574" ht="15.75" customHeight="1">
      <c r="A25574" s="2" t="s">
        <v>25574</v>
      </c>
      <c r="B25574" s="2" t="str">
        <f>IFERROR(__xludf.DUMMYFUNCTION("GOOGLETRANSLATE(A25574, ""en"", ""mt"")"),"Paul Revere")</f>
        <v>Paul Revere</v>
      </c>
    </row>
    <row r="25575" ht="15.75" customHeight="1">
      <c r="A25575" s="2" t="s">
        <v>25575</v>
      </c>
      <c r="B25575" s="2" t="str">
        <f>IFERROR(__xludf.DUMMYFUNCTION("GOOGLETRANSLATE(A25575, ""en"", ""mt"")"),"L-iktar qawwa ta 'x'tip hija ġġenerata minn turbini tal-fwar illum?")</f>
        <v>L-iktar qawwa ta 'x'tip hija ġġenerata minn turbini tal-fwar illum?</v>
      </c>
    </row>
    <row r="25576" ht="15.75" customHeight="1">
      <c r="A25576" s="2" t="s">
        <v>25576</v>
      </c>
      <c r="B25576" s="2" t="str">
        <f>IFERROR(__xludf.DUMMYFUNCTION("GOOGLETRANSLATE(A25576, ""en"", ""mt"")"),"Prevenzjoni milli tinqata '")</f>
        <v>Prevenzjoni milli tinqata '</v>
      </c>
    </row>
    <row r="25577" ht="15.75" customHeight="1">
      <c r="A25577" s="2" t="s">
        <v>25577</v>
      </c>
      <c r="B25577" s="2" t="str">
        <f>IFERROR(__xludf.DUMMYFUNCTION("GOOGLETRANSLATE(A25577, ""en"", ""mt"")"),"Minn fejn il-president ħatar membri tal-kabinett?")</f>
        <v>Minn fejn il-president ħatar membri tal-kabinett?</v>
      </c>
    </row>
    <row r="25578" ht="15.75" customHeight="1">
      <c r="A25578" s="2" t="s">
        <v>25578</v>
      </c>
      <c r="B25578" s="2" t="str">
        <f>IFERROR(__xludf.DUMMYFUNCTION("GOOGLETRANSLATE(A25578, ""en"", ""mt"")"),"F'liema sena l-finzjoni oriġinali kienet tidher Doctor Who?")</f>
        <v>F'liema sena l-finzjoni oriġinali kienet tidher Doctor Who?</v>
      </c>
    </row>
    <row r="25579" ht="15.75" customHeight="1">
      <c r="A25579" s="2" t="s">
        <v>25579</v>
      </c>
      <c r="B25579" s="2" t="str">
        <f>IFERROR(__xludf.DUMMYFUNCTION("GOOGLETRANSLATE(A25579, ""en"", ""mt"")"),"Dan ifisser li f'sistema magħluqa ta 'partiċelli, m'hemm l-ebda forzi interni li huma żbilanċjati. Jiġifieri, il-forza ta 'reazzjoni ta' azzjoni maqsuma bejn kwalunkwe żewġ oġġetti f'sistema magħluqa ma tikkawżax li ċ-ċentru tal-massa tas-sistema jaċċelle"&amp;"ra. L-oġġetti kostitwenti jaċċelleraw biss fir-rigward ta 'xulxin, is-sistema nnifisha tibqa' mhux aċċellerata. Alternattivament, jekk forza esterna taġixxi fis-sistema, allura ċ-ċentru tal-massa jesperjenza aċċelerazzjoni proporzjonali għall-kobor tal-fo"&amp;"rza esterna diviż bil-massa tas-sistema.")</f>
        <v>Dan ifisser li f'sistema magħluqa ta 'partiċelli, m'hemm l-ebda forzi interni li huma żbilanċjati. Jiġifieri, il-forza ta 'reazzjoni ta' azzjoni maqsuma bejn kwalunkwe żewġ oġġetti f'sistema magħluqa ma tikkawżax li ċ-ċentru tal-massa tas-sistema jaċċellera. L-oġġetti kostitwenti jaċċelleraw biss fir-rigward ta 'xulxin, is-sistema nnifisha tibqa' mhux aċċellerata. Alternattivament, jekk forza esterna taġixxi fis-sistema, allura ċ-ċentru tal-massa jesperjenza aċċelerazzjoni proporzjonali għall-kobor tal-forza esterna diviż bil-massa tas-sistema.</v>
      </c>
    </row>
    <row r="25580" ht="15.75" customHeight="1">
      <c r="A25580" s="2" t="s">
        <v>25580</v>
      </c>
      <c r="B25580" s="2" t="str">
        <f>IFERROR(__xludf.DUMMYFUNCTION("GOOGLETRANSLATE(A25580, ""en"", ""mt"")"),"Min jippossjedi aktar ġid mill-qiegħ 90 fil-mija tan-nies fl-Istati Uniti?")</f>
        <v>Min jippossjedi aktar ġid mill-qiegħ 90 fil-mija tan-nies fl-Istati Uniti?</v>
      </c>
    </row>
    <row r="25581" ht="15.75" customHeight="1">
      <c r="A25581" s="2" t="s">
        <v>25581</v>
      </c>
      <c r="B25581" s="2" t="str">
        <f>IFERROR(__xludf.DUMMYFUNCTION("GOOGLETRANSLATE(A25581, ""en"", ""mt"")"),"stress")</f>
        <v>stress</v>
      </c>
    </row>
    <row r="25582" ht="15.75" customHeight="1">
      <c r="A25582" s="2" t="s">
        <v>25582</v>
      </c>
      <c r="B25582" s="2" t="str">
        <f>IFERROR(__xludf.DUMMYFUNCTION("GOOGLETRANSLATE(A25582, ""en"", ""mt"")"),"Konverżjoni Lhudija għall-Kristjaneżmu")</f>
        <v>Konverżjoni Lhudija għall-Kristjaneżmu</v>
      </c>
    </row>
    <row r="25583" ht="15.75" customHeight="1">
      <c r="A25583" s="2" t="s">
        <v>25583</v>
      </c>
      <c r="B25583" s="2" t="str">
        <f>IFERROR(__xludf.DUMMYFUNCTION("GOOGLETRANSLATE(A25583, ""en"", ""mt"")"),"Ħsad fqir fl-1757")</f>
        <v>Ħsad fqir fl-1757</v>
      </c>
    </row>
    <row r="25584" ht="15.75" customHeight="1">
      <c r="A25584" s="2" t="s">
        <v>25584</v>
      </c>
      <c r="B25584" s="2" t="str">
        <f>IFERROR(__xludf.DUMMYFUNCTION("GOOGLETRANSLATE(A25584, ""en"", ""mt"")"),"Tancred")</f>
        <v>Tancred</v>
      </c>
    </row>
    <row r="25585" ht="15.75" customHeight="1">
      <c r="A25585" s="2" t="s">
        <v>25585</v>
      </c>
      <c r="B25585" s="2" t="str">
        <f>IFERROR(__xludf.DUMMYFUNCTION("GOOGLETRANSLATE(A25585, ""en"", ""mt"")"),"Lil min jissottometti l-abbozz finali?")</f>
        <v>Lil min jissottometti l-abbozz finali?</v>
      </c>
    </row>
    <row r="25586" ht="15.75" customHeight="1">
      <c r="A25586" s="2" t="s">
        <v>25586</v>
      </c>
      <c r="B25586" s="2" t="str">
        <f>IFERROR(__xludf.DUMMYFUNCTION("GOOGLETRANSLATE(A25586, ""en"", ""mt"")"),"Tesla gradwat mill-università?")</f>
        <v>Tesla gradwat mill-università?</v>
      </c>
    </row>
    <row r="25587" ht="15.75" customHeight="1">
      <c r="A25587" s="2" t="s">
        <v>25587</v>
      </c>
      <c r="B25587" s="2" t="str">
        <f>IFERROR(__xludf.DUMMYFUNCTION("GOOGLETRANSLATE(A25587, ""en"", ""mt"")"),"Fl-1993, Galor u Zeira wrew li l-inugwaljanza fil-preżenza tal-imperfezzjonijiet tas-suq tal-kreditu għandha effett detrimentali fit-tul fuq il-formazzjoni tal-kapital uman u l-iżvilupp ekonomiku. Studju tal-1996 minn Perotti eżamina l-kanali li permezz t"&amp;"agħhom l-inugwaljanza tista 'taffettwa t-tkabbir ekonomiku. Huwa wera li, skont l-approċċ tal-imperfezzjoni tas-suq tal-kreditu, l-inugwaljanza hija assoċjata ma 'livell aktar baxx ta' formazzjoni ta 'kapital uman (edukazzjoni, esperjenza, u apprendistat)"&amp;" u livell ogħla ta' fertilità, u b'hekk livelli aktar baxxi ta 'tkabbir. Huwa sab li l-inugwaljanza hija assoċjata ma 'livelli ogħla ta' tassazzjoni ridistributtiva, li hija assoċjata ma 'livelli aktar baxxi ta' tkabbir minn tnaqqis fl-iffrankar privat u "&amp;"l-investiment. Perotti kkonkluda li, ""aktar soċjetajiet ugwali għandhom rati ta 'fertilità aktar baxxi u rati ogħla ta' investiment fl-edukazzjoni. It-tnejn huma riflessi f'rati ogħla ta 'tkabbir. Ukoll, soċjetajiet mhux ugwali ħafna għandhom it-tendenza"&amp;" li jkunu politikament u soċjalment instabbli, li huwa rifless f'rati aktar baxxi ta' investiment u għalhekk tkabbir. """)</f>
        <v>Fl-1993, Galor u Zeira wrew li l-inugwaljanza fil-preżenza tal-imperfezzjonijiet tas-suq tal-kreditu għandha effett detrimentali fit-tul fuq il-formazzjoni tal-kapital uman u l-iżvilupp ekonomiku. Studju tal-1996 minn Perotti eżamina l-kanali li permezz tagħhom l-inugwaljanza tista 'taffettwa t-tkabbir ekonomiku. Huwa wera li, skont l-approċċ tal-imperfezzjoni tas-suq tal-kreditu, l-inugwaljanza hija assoċjata ma 'livell aktar baxx ta' formazzjoni ta 'kapital uman (edukazzjoni, esperjenza, u apprendistat) u livell ogħla ta' fertilità, u b'hekk livelli aktar baxxi ta 'tkabbir. Huwa sab li l-inugwaljanza hija assoċjata ma 'livelli ogħla ta' tassazzjoni ridistributtiva, li hija assoċjata ma 'livelli aktar baxxi ta' tkabbir minn tnaqqis fl-iffrankar privat u l-investiment. Perotti kkonkluda li, "aktar soċjetajiet ugwali għandhom rati ta 'fertilità aktar baxxi u rati ogħla ta' investiment fl-edukazzjoni. It-tnejn huma riflessi f'rati ogħla ta 'tkabbir. Ukoll, soċjetajiet mhux ugwali ħafna għandhom it-tendenza li jkunu politikament u soċjalment instabbli, li huwa rifless f'rati aktar baxxi ta' investiment u għalhekk tkabbir. "</v>
      </c>
    </row>
    <row r="25588" ht="15.75" customHeight="1">
      <c r="A25588" s="2" t="s">
        <v>25588</v>
      </c>
      <c r="B25588" s="2" t="str">
        <f>IFERROR(__xludf.DUMMYFUNCTION("GOOGLETRANSLATE(A25588, ""en"", ""mt"")"),"Ferra anti-komunista li qed tikber")</f>
        <v>Ferra anti-komunista li qed tikber</v>
      </c>
    </row>
    <row r="25589" ht="15.75" customHeight="1">
      <c r="A25589" s="2" t="s">
        <v>25589</v>
      </c>
      <c r="B25589" s="2" t="str">
        <f>IFERROR(__xludf.DUMMYFUNCTION("GOOGLETRANSLATE(A25589, ""en"", ""mt"")"),"miċħuda")</f>
        <v>miċħuda</v>
      </c>
    </row>
    <row r="25590" ht="15.75" customHeight="1">
      <c r="A25590" s="2" t="s">
        <v>25590</v>
      </c>
      <c r="B25590" s="2" t="str">
        <f>IFERROR(__xludf.DUMMYFUNCTION("GOOGLETRANSLATE(A25590, ""en"", ""mt"")"),"Liema sena nfetħet uffiċjalment l-istazzjon tax-xarabank il-ġdid fi Newcastle?")</f>
        <v>Liema sena nfetħet uffiċjalment l-istazzjon tax-xarabank il-ġdid fi Newcastle?</v>
      </c>
    </row>
    <row r="25591" ht="15.75" customHeight="1">
      <c r="A25591" s="2" t="s">
        <v>25591</v>
      </c>
      <c r="B25591" s="2" t="str">
        <f>IFERROR(__xludf.DUMMYFUNCTION("GOOGLETRANSLATE(A25591, ""en"", ""mt"")"),"Lincoln Continental,")</f>
        <v>Lincoln Continental,</v>
      </c>
    </row>
    <row r="25592" ht="15.75" customHeight="1">
      <c r="A25592" s="2" t="s">
        <v>25592</v>
      </c>
      <c r="B25592" s="2" t="str">
        <f>IFERROR(__xludf.DUMMYFUNCTION("GOOGLETRANSLATE(A25592, ""en"", ""mt"")"),"Jonqos Karl von Miltitz")</f>
        <v>Jonqos Karl von Miltitz</v>
      </c>
    </row>
    <row r="25593" ht="15.75" customHeight="1">
      <c r="A25593" s="2" t="s">
        <v>25593</v>
      </c>
      <c r="B25593" s="2" t="str">
        <f>IFERROR(__xludf.DUMMYFUNCTION("GOOGLETRANSLATE(A25593, ""en"", ""mt"")"),"mhedda")</f>
        <v>mhedda</v>
      </c>
    </row>
    <row r="25594" ht="15.75" customHeight="1">
      <c r="A25594" s="2" t="s">
        <v>25594</v>
      </c>
      <c r="B25594" s="2" t="str">
        <f>IFERROR(__xludf.DUMMYFUNCTION("GOOGLETRANSLATE(A25594, ""en"", ""mt"")"),"Imblokk Ingliż tal-kosta Franċiża")</f>
        <v>Imblokk Ingliż tal-kosta Franċiża</v>
      </c>
    </row>
    <row r="25595" ht="15.75" customHeight="1">
      <c r="A25595" s="2" t="s">
        <v>25595</v>
      </c>
      <c r="B25595" s="2" t="str">
        <f>IFERROR(__xludf.DUMMYFUNCTION("GOOGLETRANSLATE(A25595, ""en"", ""mt"")"),"Min irritorna punt għal 61 tarzni, li waqqaf rekord ġdid ta 'Super Bowl?")</f>
        <v>Min irritorna punt għal 61 tarzni, li waqqaf rekord ġdid ta 'Super Bowl?</v>
      </c>
    </row>
    <row r="25596" ht="15.75" customHeight="1">
      <c r="A25596" s="2" t="s">
        <v>25596</v>
      </c>
      <c r="B25596" s="2" t="str">
        <f>IFERROR(__xludf.DUMMYFUNCTION("GOOGLETRANSLATE(A25596, ""en"", ""mt"")"),"50 ittra")</f>
        <v>50 ittra</v>
      </c>
    </row>
    <row r="25597" ht="15.75" customHeight="1">
      <c r="A25597" s="2" t="s">
        <v>25597</v>
      </c>
      <c r="B25597" s="2" t="str">
        <f>IFERROR(__xludf.DUMMYFUNCTION("GOOGLETRANSLATE(A25597, ""en"", ""mt"")"),"Kemm hemm istituti ta 'riċerka li l-università taħdem fuq il-kampus?")</f>
        <v>Kemm hemm istituti ta 'riċerka li l-università taħdem fuq il-kampus?</v>
      </c>
    </row>
    <row r="25598" ht="15.75" customHeight="1">
      <c r="A25598" s="2" t="s">
        <v>25598</v>
      </c>
      <c r="B25598" s="2" t="str">
        <f>IFERROR(__xludf.DUMMYFUNCTION("GOOGLETRANSLATE(A25598, ""en"", ""mt"")"),"X'jista 'jgħin ir-ripetizzjonijiet maqluba?")</f>
        <v>X'jista 'jgħin ir-ripetizzjonijiet maqluba?</v>
      </c>
    </row>
    <row r="25599" ht="15.75" customHeight="1">
      <c r="A25599" s="2" t="s">
        <v>25599</v>
      </c>
      <c r="B25599" s="2" t="str">
        <f>IFERROR(__xludf.DUMMYFUNCTION("GOOGLETRANSLATE(A25599, ""en"", ""mt"")"),"Problema ta 'sodisfazzjon Boolean NP-komplut NP")</f>
        <v>Problema ta 'sodisfazzjon Boolean NP-komplut NP</v>
      </c>
    </row>
    <row r="25600" ht="15.75" customHeight="1">
      <c r="A25600" s="2" t="s">
        <v>25600</v>
      </c>
      <c r="B25600" s="2" t="str">
        <f>IFERROR(__xludf.DUMMYFUNCTION("GOOGLETRANSLATE(A25600, ""en"", ""mt"")"),"X'inhu l-għoli tat-taqsima li ddur fit-tramuntana?")</f>
        <v>X'inhu l-għoli tat-taqsima li ddur fit-tramuntana?</v>
      </c>
    </row>
    <row r="25601" ht="15.75" customHeight="1">
      <c r="A25601" s="2" t="s">
        <v>25601</v>
      </c>
      <c r="B25601" s="2" t="str">
        <f>IFERROR(__xludf.DUMMYFUNCTION("GOOGLETRANSLATE(A25601, ""en"", ""mt"")"),"X'inhuma l-uċuħ tal-flus ewlenin fil-Kenja?")</f>
        <v>X'inhuma l-uċuħ tal-flus ewlenin fil-Kenja?</v>
      </c>
    </row>
    <row r="25602" ht="15.75" customHeight="1">
      <c r="A25602" s="2" t="s">
        <v>25602</v>
      </c>
      <c r="B25602" s="2" t="str">
        <f>IFERROR(__xludf.DUMMYFUNCTION("GOOGLETRANSLATE(A25602, ""en"", ""mt"")"),"Kilogramma-forza")</f>
        <v>Kilogramma-forza</v>
      </c>
    </row>
    <row r="25603" ht="15.75" customHeight="1">
      <c r="A25603" s="2" t="s">
        <v>25603</v>
      </c>
      <c r="B25603" s="2" t="str">
        <f>IFERROR(__xludf.DUMMYFUNCTION("GOOGLETRANSLATE(A25603, ""en"", ""mt"")"),"Orbitali molekulari")</f>
        <v>Orbitali molekulari</v>
      </c>
    </row>
    <row r="25604" ht="15.75" customHeight="1">
      <c r="A25604" s="2" t="s">
        <v>25604</v>
      </c>
      <c r="B25604" s="2" t="str">
        <f>IFERROR(__xludf.DUMMYFUNCTION("GOOGLETRANSLATE(A25604, ""en"", ""mt"")"),"Tiffany &amp; Co.")</f>
        <v>Tiffany &amp; Co.</v>
      </c>
    </row>
    <row r="25605" ht="15.75" customHeight="1">
      <c r="A25605" s="2" t="s">
        <v>25605</v>
      </c>
      <c r="B25605" s="2" t="str">
        <f>IFERROR(__xludf.DUMMYFUNCTION("GOOGLETRANSLATE(A25605, ""en"", ""mt"")"),"Il-Gwerra Franċiża u Indjana (1754-1763) kienet it-Teatru tal-Amerika ta ’Fuq tal-Gwerra Dinjija ta’ Seba ’Snin. Il-gwerra ġiet miġġielda bejn il-kolonji ta 'l-Amerika Ingliża u New France, biż-żewġ naħat sostnuti minn unitajiet militari mill-pajjiżi ġeni"&amp;"turi tagħhom tal-Gran Brittanja u Franza, kif ukoll l-alleati Amerikani Nattivi. Fil-bidu tal-gwerra, il-kolonji Franċiżi tal-Amerika ta ’Fuq kellhom popolazzjoni ta’ madwar 60,000 kolonizzatur Ewropew, meta mqabbla ma ’2 miljun fil-kolonji Ingliżi tal-Am"&amp;"erika ta’ Fuq. Il-Franċiż numeruż kien jiddependi partikolarment mill-Indjani. F’kunflitt twil, in-nazzjonijiet tal-metropoli ddikjaraw gwerra fuq xulxin fl-1756, li żdiedet il-gwerra minn affari reġjonali f’kunflitt interkontinentali.")</f>
        <v>Il-Gwerra Franċiża u Indjana (1754-1763) kienet it-Teatru tal-Amerika ta ’Fuq tal-Gwerra Dinjija ta’ Seba ’Snin. Il-gwerra ġiet miġġielda bejn il-kolonji ta 'l-Amerika Ingliża u New France, biż-żewġ naħat sostnuti minn unitajiet militari mill-pajjiżi ġenituri tagħhom tal-Gran Brittanja u Franza, kif ukoll l-alleati Amerikani Nattivi. Fil-bidu tal-gwerra, il-kolonji Franċiżi tal-Amerika ta ’Fuq kellhom popolazzjoni ta’ madwar 60,000 kolonizzatur Ewropew, meta mqabbla ma ’2 miljun fil-kolonji Ingliżi tal-Amerika ta’ Fuq. Il-Franċiż numeruż kien jiddependi partikolarment mill-Indjani. F’kunflitt twil, in-nazzjonijiet tal-metropoli ddikjaraw gwerra fuq xulxin fl-1756, li żdiedet il-gwerra minn affari reġjonali f’kunflitt interkontinentali.</v>
      </c>
    </row>
    <row r="25606" ht="15.75" customHeight="1">
      <c r="A25606" s="2" t="s">
        <v>25606</v>
      </c>
      <c r="B25606" s="2" t="str">
        <f>IFERROR(__xludf.DUMMYFUNCTION("GOOGLETRANSLATE(A25606, ""en"", ""mt"")"),"Liema qrati għandhom id-dmir li jinterpretaw il-liġi domestika kemm jista 'jkun?")</f>
        <v>Liema qrati għandhom id-dmir li jinterpretaw il-liġi domestika kemm jista 'jkun?</v>
      </c>
    </row>
    <row r="25607" ht="15.75" customHeight="1">
      <c r="A25607" s="2" t="s">
        <v>25607</v>
      </c>
      <c r="B25607" s="2" t="str">
        <f>IFERROR(__xludf.DUMMYFUNCTION("GOOGLETRANSLATE(A25607, ""en"", ""mt"")"),"Bħal ħafna bliet fl-Ewropa Ċentrali u tal-Lvant, l-infrastruttura f'Varsavja sofriet konsiderevolment matul iż-żmien tagħha bħala ekonomija tal-blokk tal-Lvant - għalkemm ta 'min isemmi li l-pjan inizjali ta' tliet snin biex jerġa 'jibni l-Polonja (speċja"&amp;"lment Varsavja) kien suċċess kbir, imma dak li segwa kien ħafna l-oppost. Madankollu, matul l-aħħar għaxar snin Varsavja rat bosta titjib minħabba tkabbir ekonomiku solidu, żieda fl-investiment barrani kif ukoll fondi mill-Unjoni Ewropea. B'mod partikolar"&amp;"i, il-metro tal-belt, toroq, bankini, faċilitajiet tal-kura tas-saħħa u faċilitajiet ta 'sanità tjiebu sew.")</f>
        <v>Bħal ħafna bliet fl-Ewropa Ċentrali u tal-Lvant, l-infrastruttura f'Varsavja sofriet konsiderevolment matul iż-żmien tagħha bħala ekonomija tal-blokk tal-Lvant - għalkemm ta 'min isemmi li l-pjan inizjali ta' tliet snin biex jerġa 'jibni l-Polonja (speċjalment Varsavja) kien suċċess kbir, imma dak li segwa kien ħafna l-oppost. Madankollu, matul l-aħħar għaxar snin Varsavja rat bosta titjib minħabba tkabbir ekonomiku solidu, żieda fl-investiment barrani kif ukoll fondi mill-Unjoni Ewropea. B'mod partikolari, il-metro tal-belt, toroq, bankini, faċilitajiet tal-kura tas-saħħa u faċilitajiet ta 'sanità tjiebu sew.</v>
      </c>
    </row>
    <row r="25608" ht="15.75" customHeight="1">
      <c r="A25608" s="2" t="s">
        <v>25608</v>
      </c>
      <c r="B25608" s="2" t="str">
        <f>IFERROR(__xludf.DUMMYFUNCTION("GOOGLETRANSLATE(A25608, ""en"", ""mt"")"),"489")</f>
        <v>489</v>
      </c>
    </row>
    <row r="25609" ht="15.75" customHeight="1">
      <c r="A25609" s="2" t="s">
        <v>25609</v>
      </c>
      <c r="B25609" s="2" t="str">
        <f>IFERROR(__xludf.DUMMYFUNCTION("GOOGLETRANSLATE(A25609, ""en"", ""mt"")"),"X'inhi t-tmien l-iktar belt popolata fin-nazzjon?")</f>
        <v>X'inhi t-tmien l-iktar belt popolata fin-nazzjon?</v>
      </c>
    </row>
    <row r="25610" ht="15.75" customHeight="1">
      <c r="A25610" s="2" t="s">
        <v>25610</v>
      </c>
      <c r="B25610" s="2" t="str">
        <f>IFERROR(__xludf.DUMMYFUNCTION("GOOGLETRANSLATE(A25610, ""en"", ""mt"")"),"id-dikjarazzjoni uffiċjali tal-gwerra fl-1756 għall-iffirmar tat-trattat ta 'paċi fl-1763")</f>
        <v>id-dikjarazzjoni uffiċjali tal-gwerra fl-1756 għall-iffirmar tat-trattat ta 'paċi fl-1763</v>
      </c>
    </row>
    <row r="25611" ht="15.75" customHeight="1">
      <c r="A25611" s="2" t="s">
        <v>25611</v>
      </c>
      <c r="B25611" s="2" t="str">
        <f>IFERROR(__xludf.DUMMYFUNCTION("GOOGLETRANSLATE(A25611, ""en"", ""mt"")"),"PBS")</f>
        <v>PBS</v>
      </c>
    </row>
    <row r="25612" ht="15.75" customHeight="1">
      <c r="A25612" s="2" t="s">
        <v>25612</v>
      </c>
      <c r="B25612" s="2" t="str">
        <f>IFERROR(__xludf.DUMMYFUNCTION("GOOGLETRANSLATE(A25612, ""en"", ""mt"")"),"Brown v. Board of Education of Topeka")</f>
        <v>Brown v. Board of Education of Topeka</v>
      </c>
    </row>
    <row r="25613" ht="15.75" customHeight="1">
      <c r="A25613" s="2" t="s">
        <v>25613</v>
      </c>
      <c r="B25613" s="2" t="str">
        <f>IFERROR(__xludf.DUMMYFUNCTION("GOOGLETRANSLATE(A25613, ""en"", ""mt"")"),"X'kienet it-tmiem tal-gwerra tas-suċċessjoni Awstrijaka?")</f>
        <v>X'kienet it-tmiem tal-gwerra tas-suċċessjoni Awstrijaka?</v>
      </c>
    </row>
    <row r="25614" ht="15.75" customHeight="1">
      <c r="A25614" s="2" t="s">
        <v>25614</v>
      </c>
      <c r="B25614" s="2" t="str">
        <f>IFERROR(__xludf.DUMMYFUNCTION("GOOGLETRANSLATE(A25614, ""en"", ""mt"")"),"żid")</f>
        <v>żid</v>
      </c>
    </row>
    <row r="25615" ht="15.75" customHeight="1">
      <c r="A25615" s="2" t="s">
        <v>25615</v>
      </c>
      <c r="B25615" s="2" t="str">
        <f>IFERROR(__xludf.DUMMYFUNCTION("GOOGLETRANSLATE(A25615, ""en"", ""mt"")"),"Il-kloroplasti huma wieħed minn ħafna tipi ta 'organelli fiċ-ċellula tal-pjanti. Huma meqjusa li oriġinaw minn ċjanobatterji permezz ta 'endosimbjożi - meta ċellola ewkarjotika ħakmet cyanobacterium fotosintetizzata li saret residenti permanenti fiċ-ċellu"&amp;"la. Il-mitokondrija huma maħsuba li kienu ġejjin minn avveniment simili, fejn inbela prokaryote aerobika. Din l-oriġini tal-kloroplasti ġiet issuġġerita l-ewwel darba mill-bijologu Russu Konstantin Mereschkowski fl-1905 wara li Andreas Schimper osserva fl"&amp;"-1883 li l-kloroplasti jixbħu mill-qrib iċ-ċjanobatterji. Il-kloroplasti jinstabu biss fil-pjanti u l-alka.")</f>
        <v>Il-kloroplasti huma wieħed minn ħafna tipi ta 'organelli fiċ-ċellula tal-pjanti. Huma meqjusa li oriġinaw minn ċjanobatterji permezz ta 'endosimbjożi - meta ċellola ewkarjotika ħakmet cyanobacterium fotosintetizzata li saret residenti permanenti fiċ-ċellula. Il-mitokondrija huma maħsuba li kienu ġejjin minn avveniment simili, fejn inbela prokaryote aerobika. Din l-oriġini tal-kloroplasti ġiet issuġġerita l-ewwel darba mill-bijologu Russu Konstantin Mereschkowski fl-1905 wara li Andreas Schimper osserva fl-1883 li l-kloroplasti jixbħu mill-qrib iċ-ċjanobatterji. Il-kloroplasti jinstabu biss fil-pjanti u l-alka.</v>
      </c>
    </row>
    <row r="25616" ht="15.75" customHeight="1">
      <c r="A25616" s="2" t="s">
        <v>25616</v>
      </c>
      <c r="B25616" s="2" t="str">
        <f>IFERROR(__xludf.DUMMYFUNCTION("GOOGLETRANSLATE(A25616, ""en"", ""mt"")"),"kompetizzjoni")</f>
        <v>kompetizzjoni</v>
      </c>
    </row>
    <row r="25617" ht="15.75" customHeight="1">
      <c r="A25617" s="2" t="s">
        <v>25617</v>
      </c>
      <c r="B25617" s="2" t="str">
        <f>IFERROR(__xludf.DUMMYFUNCTION("GOOGLETRANSLATE(A25617, ""en"", ""mt"")"),"il-kastità tiegħu")</f>
        <v>il-kastità tiegħu</v>
      </c>
    </row>
    <row r="25618" ht="15.75" customHeight="1">
      <c r="A25618" s="2" t="s">
        <v>25618</v>
      </c>
      <c r="B25618" s="2" t="str">
        <f>IFERROR(__xludf.DUMMYFUNCTION("GOOGLETRANSLATE(A25618, ""en"", ""mt"")"),"sistema kurrenti alternattiva")</f>
        <v>sistema kurrenti alternattiva</v>
      </c>
    </row>
    <row r="25619" ht="15.75" customHeight="1">
      <c r="A25619" s="2" t="s">
        <v>25619</v>
      </c>
      <c r="B25619" s="2" t="str">
        <f>IFERROR(__xludf.DUMMYFUNCTION("GOOGLETRANSLATE(A25619, ""en"", ""mt"")"),"Jappartjeni lil Warsz")</f>
        <v>Jappartjeni lil Warsz</v>
      </c>
    </row>
    <row r="25620" ht="15.75" customHeight="1">
      <c r="A25620" s="2" t="s">
        <v>25620</v>
      </c>
      <c r="B25620" s="2" t="str">
        <f>IFERROR(__xludf.DUMMYFUNCTION("GOOGLETRANSLATE(A25620, ""en"", ""mt"")"),"Teorema ta 'l-aritmetika")</f>
        <v>Teorema ta 'l-aritmetika</v>
      </c>
    </row>
    <row r="25621" ht="15.75" customHeight="1">
      <c r="A25621" s="2" t="s">
        <v>25621</v>
      </c>
      <c r="B25621" s="2" t="str">
        <f>IFERROR(__xludf.DUMMYFUNCTION("GOOGLETRANSLATE(A25621, ""en"", ""mt"")"),"Liema karozza turi r-reviżjoni tal-kategoriji tad-DOT?")</f>
        <v>Liema karozza turi r-reviżjoni tal-kategoriji tad-DOT?</v>
      </c>
    </row>
    <row r="25622" ht="15.75" customHeight="1">
      <c r="A25622" s="2" t="s">
        <v>25622</v>
      </c>
      <c r="B25622" s="2" t="str">
        <f>IFERROR(__xludf.DUMMYFUNCTION("GOOGLETRANSLATE(A25622, ""en"", ""mt"")"),"F'liema stati l-kliniċi tal-ispiżjar jingħataw awtorità preskrittiva u dijanjostika?")</f>
        <v>F'liema stati l-kliniċi tal-ispiżjar jingħataw awtorità preskrittiva u dijanjostika?</v>
      </c>
    </row>
    <row r="25623" ht="15.75" customHeight="1">
      <c r="A25623" s="2" t="s">
        <v>25623</v>
      </c>
      <c r="B25623" s="2" t="str">
        <f>IFERROR(__xludf.DUMMYFUNCTION("GOOGLETRANSLATE(A25623, ""en"", ""mt"")"),"Biex iddur bilanċ")</f>
        <v>Biex iddur bilanċ</v>
      </c>
    </row>
    <row r="25624" ht="15.75" customHeight="1">
      <c r="A25624" s="2" t="s">
        <v>25624</v>
      </c>
      <c r="B25624" s="2" t="str">
        <f>IFERROR(__xludf.DUMMYFUNCTION("GOOGLETRANSLATE(A25624, ""en"", ""mt"")"),"sit-ins")</f>
        <v>sit-ins</v>
      </c>
    </row>
    <row r="25625" ht="15.75" customHeight="1">
      <c r="A25625" s="2" t="s">
        <v>25625</v>
      </c>
      <c r="B25625" s="2" t="str">
        <f>IFERROR(__xludf.DUMMYFUNCTION("GOOGLETRANSLATE(A25625, ""en"", ""mt"")"),"1914")</f>
        <v>1914</v>
      </c>
    </row>
    <row r="25626" ht="15.75" customHeight="1">
      <c r="A25626" s="2" t="s">
        <v>25626</v>
      </c>
      <c r="B25626" s="2" t="str">
        <f>IFERROR(__xludf.DUMMYFUNCTION("GOOGLETRANSLATE(A25626, ""en"", ""mt"")"),"X'għandhom iż-żewġ movimenti Iżlamisti differenti li ġew deskritti bħala li joxxillaw bejniethom?")</f>
        <v>X'għandhom iż-żewġ movimenti Iżlamisti differenti li ġew deskritti bħala li joxxillaw bejniethom?</v>
      </c>
    </row>
    <row r="25627" ht="15.75" customHeight="1">
      <c r="A25627" s="2" t="s">
        <v>25627</v>
      </c>
      <c r="B25627" s="2" t="str">
        <f>IFERROR(__xludf.DUMMYFUNCTION("GOOGLETRANSLATE(A25627, ""en"", ""mt"")"),"41")</f>
        <v>41</v>
      </c>
    </row>
    <row r="25628" ht="15.75" customHeight="1">
      <c r="A25628" s="2" t="s">
        <v>25628</v>
      </c>
      <c r="B25628" s="2" t="str">
        <f>IFERROR(__xludf.DUMMYFUNCTION("GOOGLETRANSLATE(A25628, ""en"", ""mt"")"),"Liema pjanijiet tal-Ingliżi waqqfu dan fuq Oneida stabbilit lura?")</f>
        <v>Liema pjanijiet tal-Ingliżi waqqfu dan fuq Oneida stabbilit lura?</v>
      </c>
    </row>
    <row r="25629" ht="15.75" customHeight="1">
      <c r="A25629" s="2" t="s">
        <v>25629</v>
      </c>
      <c r="B25629" s="2" t="str">
        <f>IFERROR(__xludf.DUMMYFUNCTION("GOOGLETRANSLATE(A25629, ""en"", ""mt"")"),"Babai u Eugene Luks")</f>
        <v>Babai u Eugene Luks</v>
      </c>
    </row>
    <row r="25630" ht="15.75" customHeight="1">
      <c r="A25630" s="2" t="s">
        <v>25630</v>
      </c>
      <c r="B25630" s="2" t="str">
        <f>IFERROR(__xludf.DUMMYFUNCTION("GOOGLETRANSLATE(A25630, ""en"", ""mt"")"),"Liema diviżjoni ABC tieħu ħsieb id-distribuzzjoni tat-televiżjoni domestika?")</f>
        <v>Liema diviżjoni ABC tieħu ħsieb id-distribuzzjoni tat-televiżjoni domestika?</v>
      </c>
    </row>
    <row r="25631" ht="15.75" customHeight="1">
      <c r="A25631" s="2" t="s">
        <v>25631</v>
      </c>
      <c r="B25631" s="2" t="str">
        <f>IFERROR(__xludf.DUMMYFUNCTION("GOOGLETRANSLATE(A25631, ""en"", ""mt"")"),"Dave Logan")</f>
        <v>Dave Logan</v>
      </c>
    </row>
    <row r="25632" ht="15.75" customHeight="1">
      <c r="A25632" s="2" t="s">
        <v>25632</v>
      </c>
      <c r="B25632" s="2" t="str">
        <f>IFERROR(__xludf.DUMMYFUNCTION("GOOGLETRANSLATE(A25632, ""en"", ""mt"")"),"Bert Bolin")</f>
        <v>Bert Bolin</v>
      </c>
    </row>
    <row r="25633" ht="15.75" customHeight="1">
      <c r="A25633" s="2" t="s">
        <v>25633</v>
      </c>
      <c r="B25633" s="2" t="str">
        <f>IFERROR(__xludf.DUMMYFUNCTION("GOOGLETRANSLATE(A25633, ""en"", ""mt"")"),"Min mexxa għal touchdown Carolina biex jagħmel l-iskor 10–7?")</f>
        <v>Min mexxa għal touchdown Carolina biex jagħmel l-iskor 10–7?</v>
      </c>
    </row>
    <row r="25634" ht="15.75" customHeight="1">
      <c r="A25634" s="2" t="s">
        <v>25634</v>
      </c>
      <c r="B25634" s="2" t="str">
        <f>IFERROR(__xludf.DUMMYFUNCTION("GOOGLETRANSLATE(A25634, ""en"", ""mt"")"),"Liema staġun kien meta Genghis Khan ħa lil Xiliang-Fu mit-Tanguts?")</f>
        <v>Liema staġun kien meta Genghis Khan ħa lil Xiliang-Fu mit-Tanguts?</v>
      </c>
    </row>
    <row r="25635" ht="15.75" customHeight="1">
      <c r="A25635" s="2" t="s">
        <v>25635</v>
      </c>
      <c r="B25635" s="2" t="str">
        <f>IFERROR(__xludf.DUMMYFUNCTION("GOOGLETRANSLATE(A25635, ""en"", ""mt"")"),"X’wassal għal protesti u tiftaħ skreditazzjoni tal-Eck?")</f>
        <v>X’wassal għal protesti u tiftaħ skreditazzjoni tal-Eck?</v>
      </c>
    </row>
    <row r="25636" ht="15.75" customHeight="1">
      <c r="A25636" s="2" t="s">
        <v>25636</v>
      </c>
      <c r="B25636" s="2" t="str">
        <f>IFERROR(__xludf.DUMMYFUNCTION("GOOGLETRANSLATE(A25636, ""en"", ""mt"")"),"X'effett għandu l-kummerċ ma 'pajjiżi aktar sinjuri fuq il-ħaddiema f'pajjiżi ifqar?")</f>
        <v>X'effett għandu l-kummerċ ma 'pajjiżi aktar sinjuri fuq il-ħaddiema f'pajjiżi ifqar?</v>
      </c>
    </row>
    <row r="25637" ht="15.75" customHeight="1">
      <c r="A25637" s="2" t="s">
        <v>25637</v>
      </c>
      <c r="B25637" s="2" t="str">
        <f>IFERROR(__xludf.DUMMYFUNCTION("GOOGLETRANSLATE(A25637, ""en"", ""mt"")"),"Min inkella osserva li Luther View of Souls kienet forma differenti ta ’aktar tard?")</f>
        <v>Min inkella osserva li Luther View of Souls kienet forma differenti ta ’aktar tard?</v>
      </c>
    </row>
    <row r="25638" ht="15.75" customHeight="1">
      <c r="A25638" s="2" t="s">
        <v>25638</v>
      </c>
      <c r="B25638" s="2" t="str">
        <f>IFERROR(__xludf.DUMMYFUNCTION("GOOGLETRANSLATE(A25638, ""en"", ""mt"")"),"Valley Rhine")</f>
        <v>Valley Rhine</v>
      </c>
    </row>
    <row r="25639" ht="15.75" customHeight="1">
      <c r="A25639" s="2" t="s">
        <v>25639</v>
      </c>
      <c r="B25639" s="2" t="str">
        <f>IFERROR(__xludf.DUMMYFUNCTION("GOOGLETRANSLATE(A25639, ""en"", ""mt"")"),"L-Assoċjazzjoni Belġjana tal-Futbol V Bosman")</f>
        <v>L-Assoċjazzjoni Belġjana tal-Futbol V Bosman</v>
      </c>
    </row>
    <row r="25640" ht="15.75" customHeight="1">
      <c r="A25640" s="2" t="s">
        <v>25640</v>
      </c>
      <c r="B25640" s="2" t="str">
        <f>IFERROR(__xludf.DUMMYFUNCTION("GOOGLETRANSLATE(A25640, ""en"", ""mt"")"),"infinitament ħafna numri ewlenin")</f>
        <v>infinitament ħafna numri ewlenin</v>
      </c>
    </row>
    <row r="25641" ht="15.75" customHeight="1">
      <c r="A25641" s="2" t="s">
        <v>25641</v>
      </c>
      <c r="B25641" s="2" t="str">
        <f>IFERROR(__xludf.DUMMYFUNCTION("GOOGLETRANSLATE(A25641, ""en"", ""mt"")"),"Deċiżjonijiet ta 'aġenziji mhux governattivi")</f>
        <v>Deċiżjonijiet ta 'aġenziji mhux governattivi</v>
      </c>
    </row>
    <row r="25642" ht="15.75" customHeight="1">
      <c r="A25642" s="2" t="s">
        <v>25642</v>
      </c>
      <c r="B25642" s="2" t="str">
        <f>IFERROR(__xludf.DUMMYFUNCTION("GOOGLETRANSLATE(A25642, ""en"", ""mt"")"),"Netwerk Aħmar NBC")</f>
        <v>Netwerk Aħmar NBC</v>
      </c>
    </row>
    <row r="25643" ht="15.75" customHeight="1">
      <c r="A25643" s="2" t="s">
        <v>25643</v>
      </c>
      <c r="B25643" s="2" t="str">
        <f>IFERROR(__xludf.DUMMYFUNCTION("GOOGLETRANSLATE(A25643, ""en"", ""mt"")"),"X'kienet l-unika kummiedja li kisbet it-tieni staġun għall-iskeda 2010-11?")</f>
        <v>X'kienet l-unika kummiedja li kisbet it-tieni staġun għall-iskeda 2010-11?</v>
      </c>
    </row>
    <row r="25644" ht="15.75" customHeight="1">
      <c r="A25644" s="2" t="s">
        <v>25644</v>
      </c>
      <c r="B25644" s="2" t="str">
        <f>IFERROR(__xludf.DUMMYFUNCTION("GOOGLETRANSLATE(A25644, ""en"", ""mt"")"),"L-elezzjoni li saret fl-1988 rat il-miġja tas-sistema Mlolongo (kju), fejn il-votanti suppost kellhom jallinjaw wara l-kandidati favoriti tagħhom minflok votazzjoni sigrieta. Dan kien meqjus bħala l-qofol ta 'reġim mhux demokratiku ħafna u wassal għal aġi"&amp;"tazzjoni mifruxa għar-riforma kostituzzjonali. Bosta klawsoli kontenzjużi, inkluż waħda li ppermettiet għal partit politiku wieħed biss inbidlu fis-snin ta 'wara. Fl-elezzjonijiet Demokratiċi, Multiparty fl-1992 u fl-1997, Daniel Arap Moi rebaħ l-elezzjon"&amp;"i mill-ġdid.")</f>
        <v>L-elezzjoni li saret fl-1988 rat il-miġja tas-sistema Mlolongo (kju), fejn il-votanti suppost kellhom jallinjaw wara l-kandidati favoriti tagħhom minflok votazzjoni sigrieta. Dan kien meqjus bħala l-qofol ta 'reġim mhux demokratiku ħafna u wassal għal aġitazzjoni mifruxa għar-riforma kostituzzjonali. Bosta klawsoli kontenzjużi, inkluż waħda li ppermettiet għal partit politiku wieħed biss inbidlu fis-snin ta 'wara. Fl-elezzjonijiet Demokratiċi, Multiparty fl-1992 u fl-1997, Daniel Arap Moi rebaħ l-elezzjoni mill-ġdid.</v>
      </c>
    </row>
    <row r="25645" ht="15.75" customHeight="1">
      <c r="A25645" s="2" t="s">
        <v>25645</v>
      </c>
      <c r="B25645" s="2" t="str">
        <f>IFERROR(__xludf.DUMMYFUNCTION("GOOGLETRANSLATE(A25645, ""en"", ""mt"")"),"Kombustjoni rapida")</f>
        <v>Kombustjoni rapida</v>
      </c>
    </row>
    <row r="25646" ht="15.75" customHeight="1">
      <c r="A25646" s="2" t="s">
        <v>25646</v>
      </c>
      <c r="B25646" s="2" t="str">
        <f>IFERROR(__xludf.DUMMYFUNCTION("GOOGLETRANSLATE(A25646, ""en"", ""mt"")"),"F'liema każ il-Qorti tal-Ġustizzja kienet tgħid li qorti Ġermaniża ma setgħetx tiċħad lil kumpanija tal-bini Olandiża d-dritt li tinforza kuntratt ibbażat fil-Ġermanja?")</f>
        <v>F'liema każ il-Qorti tal-Ġustizzja kienet tgħid li qorti Ġermaniża ma setgħetx tiċħad lil kumpanija tal-bini Olandiża d-dritt li tinforza kuntratt ibbażat fil-Ġermanja?</v>
      </c>
    </row>
    <row r="25647" ht="15.75" customHeight="1">
      <c r="A25647" s="2" t="s">
        <v>25647</v>
      </c>
      <c r="B25647" s="2" t="str">
        <f>IFERROR(__xludf.DUMMYFUNCTION("GOOGLETRANSLATE(A25647, ""en"", ""mt"")"),"Fl-1967, Manuel Blum żviluppa teorija ta 'kumplessità axiomatic ibbażata fuq l-assijomi tiegħu u wera riżultat importanti, l-hekk imsejħa, teorema ta' veloċità. Il-qasam verament beda jiffjorixxi fl-1971 meta r-riċerkatur tal-Istati Uniti Stephen Cook u, "&amp;"jaħdem b'mod indipendenti, Leonid Levin fl-USSR, wera li jeżistu problemi prattikament rilevanti li huma kompluti NP. Fl-1972, Richard Karp ħa din l-idea qabża 'l quddiem bil-karta tal-monument tiegħu, ""Reducibility fost problemi kombinatorji"", li fiha "&amp;"wera li 21 problemi teoretiċi kombinatorji u graff differenti, kull wieħed infami għall-intrattabilità komputazzjonali tiegħu, huma NP-kompluta.")</f>
        <v>Fl-1967, Manuel Blum żviluppa teorija ta 'kumplessità axiomatic ibbażata fuq l-assijomi tiegħu u wera riżultat importanti, l-hekk imsejħa, teorema ta' veloċità. Il-qasam verament beda jiffjorixxi fl-1971 meta r-riċerkatur tal-Istati Uniti Stephen Cook u, jaħdem b'mod indipendenti, Leonid Levin fl-USSR, wera li jeżistu problemi prattikament rilevanti li huma kompluti NP. Fl-1972, Richard Karp ħa din l-idea qabża 'l quddiem bil-karta tal-monument tiegħu, "Reducibility fost problemi kombinatorji", li fiha wera li 21 problemi teoretiċi kombinatorji u graff differenti, kull wieħed infami għall-intrattabilità komputazzjonali tiegħu, huma NP-kompluta.</v>
      </c>
    </row>
    <row r="25648" ht="15.75" customHeight="1">
      <c r="A25648" s="2" t="s">
        <v>25648</v>
      </c>
      <c r="B25648" s="2" t="str">
        <f>IFERROR(__xludf.DUMMYFUNCTION("GOOGLETRANSLATE(A25648, ""en"", ""mt"")"),"Kemm għandhom il-lapidi li jirreferu għall-pesta?")</f>
        <v>Kemm għandhom il-lapidi li jirreferu għall-pesta?</v>
      </c>
    </row>
    <row r="25649" ht="15.75" customHeight="1">
      <c r="A25649" s="2" t="s">
        <v>25649</v>
      </c>
      <c r="B25649" s="2" t="str">
        <f>IFERROR(__xludf.DUMMYFUNCTION("GOOGLETRANSLATE(A25649, ""en"", ""mt"")"),"Hasar, Hachiun, u Temüge")</f>
        <v>Hasar, Hachiun, u Temüge</v>
      </c>
    </row>
    <row r="25650" ht="15.75" customHeight="1">
      <c r="A25650" s="2" t="s">
        <v>25650</v>
      </c>
      <c r="B25650" s="2" t="str">
        <f>IFERROR(__xludf.DUMMYFUNCTION("GOOGLETRANSLATE(A25650, ""en"", ""mt"")"),"Aħżen")</f>
        <v>Aħżen</v>
      </c>
    </row>
    <row r="25651" ht="15.75" customHeight="1">
      <c r="A25651" s="2" t="s">
        <v>25651</v>
      </c>
      <c r="B25651" s="2" t="str">
        <f>IFERROR(__xludf.DUMMYFUNCTION("GOOGLETRANSLATE(A25651, ""en"", ""mt"")"),"is-sala ewlenija")</f>
        <v>is-sala ewlenija</v>
      </c>
    </row>
    <row r="25652" ht="15.75" customHeight="1">
      <c r="A25652" s="2" t="s">
        <v>25652</v>
      </c>
      <c r="B25652" s="2" t="str">
        <f>IFERROR(__xludf.DUMMYFUNCTION("GOOGLETRANSLATE(A25652, ""en"", ""mt"")"),"BBC Radio 5 Live")</f>
        <v>BBC Radio 5 Live</v>
      </c>
    </row>
    <row r="25653" ht="15.75" customHeight="1">
      <c r="A25653" s="2" t="s">
        <v>25653</v>
      </c>
      <c r="B25653" s="2" t="str">
        <f>IFERROR(__xludf.DUMMYFUNCTION("GOOGLETRANSLATE(A25653, ""en"", ""mt"")"),"il-probabbiltà ta 'ħsara lill-faċilitajiet tal-elettriku, tad-drenaġġ, tat-telefon u tal-kejbil eżistenti eżistenti")</f>
        <v>il-probabbiltà ta 'ħsara lill-faċilitajiet tal-elettriku, tad-drenaġġ, tat-telefon u tal-kejbil eżistenti eżistenti</v>
      </c>
    </row>
    <row r="25654" ht="15.75" customHeight="1">
      <c r="A25654" s="2" t="s">
        <v>25654</v>
      </c>
      <c r="B25654" s="2" t="str">
        <f>IFERROR(__xludf.DUMMYFUNCTION("GOOGLETRANSLATE(A25654, ""en"", ""mt"")"),"300 irġiel")</f>
        <v>300 irġiel</v>
      </c>
    </row>
    <row r="25655" ht="15.75" customHeight="1">
      <c r="A25655" s="2" t="s">
        <v>25655</v>
      </c>
      <c r="B25655" s="2" t="str">
        <f>IFERROR(__xludf.DUMMYFUNCTION("GOOGLETRANSLATE(A25655, ""en"", ""mt"")"),"1851")</f>
        <v>1851</v>
      </c>
    </row>
    <row r="25656" ht="15.75" customHeight="1">
      <c r="A25656" s="2" t="s">
        <v>25656</v>
      </c>
      <c r="B25656" s="2" t="str">
        <f>IFERROR(__xludf.DUMMYFUNCTION("GOOGLETRANSLATE(A25656, ""en"", ""mt"")"),"Kemm idumu d-dibattitu tal-membri?")</f>
        <v>Kemm idumu d-dibattitu tal-membri?</v>
      </c>
    </row>
    <row r="25657" ht="15.75" customHeight="1">
      <c r="A25657" s="2" t="s">
        <v>25657</v>
      </c>
      <c r="B25657" s="2" t="str">
        <f>IFERROR(__xludf.DUMMYFUNCTION("GOOGLETRANSLATE(A25657, ""en"", ""mt"")"),"Arkivji tal-Privattivi")</f>
        <v>Arkivji tal-Privattivi</v>
      </c>
    </row>
    <row r="25658" ht="15.75" customHeight="1">
      <c r="A25658" s="2" t="s">
        <v>25658</v>
      </c>
      <c r="B25658" s="2" t="str">
        <f>IFERROR(__xludf.DUMMYFUNCTION("GOOGLETRANSLATE(A25658, ""en"", ""mt"")"),"saċerdoti, mexxejja reliġjużi, u ħaddiema tal-każijiet kif ukoll għalliema")</f>
        <v>saċerdoti, mexxejja reliġjużi, u ħaddiema tal-każijiet kif ukoll għalliema</v>
      </c>
    </row>
    <row r="25659" ht="15.75" customHeight="1">
      <c r="A25659" s="2" t="s">
        <v>25659</v>
      </c>
      <c r="B25659" s="2" t="str">
        <f>IFERROR(__xludf.DUMMYFUNCTION("GOOGLETRANSLATE(A25659, ""en"", ""mt"")"),"Il-pjan ta 'min talab li l-armata Mongoljana tinqasam fi tnejn wara l-konkwista ta' Khwarezmian?")</f>
        <v>Il-pjan ta 'min talab li l-armata Mongoljana tinqasam fi tnejn wara l-konkwista ta' Khwarezmian?</v>
      </c>
    </row>
    <row r="25660" ht="15.75" customHeight="1">
      <c r="A25660" s="2" t="s">
        <v>25660</v>
      </c>
      <c r="B25660" s="2" t="str">
        <f>IFERROR(__xludf.DUMMYFUNCTION("GOOGLETRANSLATE(A25660, ""en"", ""mt"")"),"Diċembru 2014")</f>
        <v>Diċembru 2014</v>
      </c>
    </row>
    <row r="25661" ht="15.75" customHeight="1">
      <c r="A25661" s="2" t="s">
        <v>25661</v>
      </c>
      <c r="B25661" s="2" t="str">
        <f>IFERROR(__xludf.DUMMYFUNCTION("GOOGLETRANSLATE(A25661, ""en"", ""mt"")"),"Pre-Kolumbjan")</f>
        <v>Pre-Kolumbjan</v>
      </c>
    </row>
    <row r="25662" ht="15.75" customHeight="1">
      <c r="A25662" s="2" t="s">
        <v>25662</v>
      </c>
      <c r="B25662" s="2" t="str">
        <f>IFERROR(__xludf.DUMMYFUNCTION("GOOGLETRANSLATE(A25662, ""en"", ""mt"")"),"Min mexxa l-attakk tal-kolonja Franċiża fl-1565?")</f>
        <v>Min mexxa l-attakk tal-kolonja Franċiża fl-1565?</v>
      </c>
    </row>
    <row r="25663" ht="15.75" customHeight="1">
      <c r="A25663" s="2" t="s">
        <v>25663</v>
      </c>
      <c r="B25663" s="2" t="str">
        <f>IFERROR(__xludf.DUMMYFUNCTION("GOOGLETRANSLATE(A25663, ""en"", ""mt"")"),"linji jew esej tal-kastig")</f>
        <v>linji jew esej tal-kastig</v>
      </c>
    </row>
    <row r="25664" ht="15.75" customHeight="1">
      <c r="A25664" s="2" t="s">
        <v>25664</v>
      </c>
      <c r="B25664" s="2" t="str">
        <f>IFERROR(__xludf.DUMMYFUNCTION("GOOGLETRANSLATE(A25664, ""en"", ""mt"")"),"X'inhi l-idjoma tal-arkitettura Norman?")</f>
        <v>X'inhi l-idjoma tal-arkitettura Norman?</v>
      </c>
    </row>
    <row r="25665" ht="15.75" customHeight="1">
      <c r="A25665" s="2" t="s">
        <v>25665</v>
      </c>
      <c r="B25665" s="2" t="str">
        <f>IFERROR(__xludf.DUMMYFUNCTION("GOOGLETRANSLATE(A25665, ""en"", ""mt"")"),"33")</f>
        <v>33</v>
      </c>
    </row>
    <row r="25666" ht="15.75" customHeight="1">
      <c r="A25666" s="2" t="s">
        <v>25666</v>
      </c>
      <c r="B25666" s="2" t="str">
        <f>IFERROR(__xludf.DUMMYFUNCTION("GOOGLETRANSLATE(A25666, ""en"", ""mt"")"),"13 ta ’Ġunju 1525")</f>
        <v>13 ta ’Ġunju 1525</v>
      </c>
    </row>
    <row r="25667" ht="15.75" customHeight="1">
      <c r="A25667" s="2" t="s">
        <v>25667</v>
      </c>
      <c r="B25667" s="2" t="str">
        <f>IFERROR(__xludf.DUMMYFUNCTION("GOOGLETRANSLATE(A25667, ""en"", ""mt"")"),"Kronikament sottovalutat")</f>
        <v>Kronikament sottovalutat</v>
      </c>
    </row>
    <row r="25668" ht="15.75" customHeight="1">
      <c r="A25668" s="2" t="s">
        <v>25668</v>
      </c>
      <c r="B25668" s="2" t="str">
        <f>IFERROR(__xludf.DUMMYFUNCTION("GOOGLETRANSLATE(A25668, ""en"", ""mt"")"),"X'inhuma fost l-aktar esperimenti magħrufa fil-ġeoloġija strutturali?")</f>
        <v>X'inhuma fost l-aktar esperimenti magħrufa fil-ġeoloġija strutturali?</v>
      </c>
    </row>
    <row r="25669" ht="15.75" customHeight="1">
      <c r="A25669" s="2" t="s">
        <v>25669</v>
      </c>
      <c r="B25669" s="2" t="str">
        <f>IFERROR(__xludf.DUMMYFUNCTION("GOOGLETRANSLATE(A25669, ""en"", ""mt"")"),"Xi jfissru l-mexxejja tal-partiti tal-oppożizzjoni u MSPs oħra?")</f>
        <v>Xi jfissru l-mexxejja tal-partiti tal-oppożizzjoni u MSPs oħra?</v>
      </c>
    </row>
    <row r="25670" ht="15.75" customHeight="1">
      <c r="A25670" s="2" t="s">
        <v>25670</v>
      </c>
      <c r="B25670" s="2" t="str">
        <f>IFERROR(__xludf.DUMMYFUNCTION("GOOGLETRANSLATE(A25670, ""en"", ""mt"")"),"Qabbad kompjuters ospitanti (servers) f'eluf ta 'kumpaniji kbar, istituzzjonijiet edukattivi, u aġenziji tal-gvern")</f>
        <v>Qabbad kompjuters ospitanti (servers) f'eluf ta 'kumpaniji kbar, istituzzjonijiet edukattivi, u aġenziji tal-gvern</v>
      </c>
    </row>
    <row r="25671" ht="15.75" customHeight="1">
      <c r="A25671" s="2" t="s">
        <v>25671</v>
      </c>
      <c r="B25671" s="2" t="str">
        <f>IFERROR(__xludf.DUMMYFUNCTION("GOOGLETRANSLATE(A25671, ""en"", ""mt"")"),"Liema mexxej Protestant Ewropew ieħor ġie edukat fl-Università ta 'Pariġi?")</f>
        <v>Liema mexxej Protestant Ewropew ieħor ġie edukat fl-Università ta 'Pariġi?</v>
      </c>
    </row>
    <row r="25672" ht="15.75" customHeight="1">
      <c r="A25672" s="2" t="s">
        <v>25672</v>
      </c>
      <c r="B25672" s="2" t="str">
        <f>IFERROR(__xludf.DUMMYFUNCTION("GOOGLETRANSLATE(A25672, ""en"", ""mt"")"),"0")</f>
        <v>0</v>
      </c>
    </row>
    <row r="25673" ht="15.75" customHeight="1">
      <c r="A25673" s="2" t="s">
        <v>25673</v>
      </c>
      <c r="B25673" s="2" t="str">
        <f>IFERROR(__xludf.DUMMYFUNCTION("GOOGLETRANSLATE(A25673, ""en"", ""mt"")"),"Liema karatteristika normalment tippermetti lit-TARDIS jaħbi lilu nnifsu?")</f>
        <v>Liema karatteristika normalment tippermetti lit-TARDIS jaħbi lilu nnifsu?</v>
      </c>
    </row>
    <row r="25674" ht="15.75" customHeight="1">
      <c r="A25674" s="2" t="s">
        <v>25674</v>
      </c>
      <c r="B25674" s="2" t="str">
        <f>IFERROR(__xludf.DUMMYFUNCTION("GOOGLETRANSLATE(A25674, ""en"", ""mt"")"),"ABC oriġinarjament tnediet fit-12 ta 'Ottubru, 1943 bħala netwerk tar-radju, separat minn u jservi bħala s-suċċessur għan-netwerk Blue NBC, li kien mixtri minn Edward J. Noble. Huwa estenda l-operazzjonijiet tiegħu għat-televiżjoni fl-1948, wara l-passi t"&amp;"an-netwerks tax-xandir stabbiliti CBS u NBC. F'nofs is-snin 1950, ABC ingħaqdet ma 'United Paramount Theaters, katina ta' teatri tal-films li qabel kienu joperaw bħala sussidjarja ta 'Paramount Pictures. Leonard Goldenson, li kien il-kap tal-UPT, għamel i"&amp;"n-netwerk tat-televiżjoni l-ġdid ta 'profitt billi għen biex jiżviluppa u jdawwal ħafna serje ta' suċċess. Fis-snin 80, wara li xtara interess ta '80% fil-kanal sportiv tal-kejbil ESPN, il-ġenitur tan-netwerk ingħaqad ma 'Komunikazzjonijiet tal-Bliet Kapi"&amp;"tali, sid ta' diversi pubblikazzjonijiet stampati, u stazzjonijiet tat-televiżjoni u tar-radju. Fl-1996, il-biċċa l-kbira tal-assi kapitali / l-assi tal-ABC ġew mixtrija mill-Walt Disney Company.")</f>
        <v>ABC oriġinarjament tnediet fit-12 ta 'Ottubru, 1943 bħala netwerk tar-radju, separat minn u jservi bħala s-suċċessur għan-netwerk Blue NBC, li kien mixtri minn Edward J. Noble. Huwa estenda l-operazzjonijiet tiegħu għat-televiżjoni fl-1948, wara l-passi tan-netwerks tax-xandir stabbiliti CBS u NBC. F'nofs is-snin 1950, ABC ingħaqdet ma 'United Paramount Theaters, katina ta' teatri tal-films li qabel kienu joperaw bħala sussidjarja ta 'Paramount Pictures. Leonard Goldenson, li kien il-kap tal-UPT, għamel in-netwerk tat-televiżjoni l-ġdid ta 'profitt billi għen biex jiżviluppa u jdawwal ħafna serje ta' suċċess. Fis-snin 80, wara li xtara interess ta '80% fil-kanal sportiv tal-kejbil ESPN, il-ġenitur tan-netwerk ingħaqad ma 'Komunikazzjonijiet tal-Bliet Kapitali, sid ta' diversi pubblikazzjonijiet stampati, u stazzjonijiet tat-televiżjoni u tar-radju. Fl-1996, il-biċċa l-kbira tal-assi kapitali / l-assi tal-ABC ġew mixtrija mill-Walt Disney Company.</v>
      </c>
    </row>
    <row r="25675" ht="15.75" customHeight="1">
      <c r="A25675" s="2" t="s">
        <v>25675</v>
      </c>
      <c r="B25675" s="2" t="str">
        <f>IFERROR(__xludf.DUMMYFUNCTION("GOOGLETRANSLATE(A25675, ""en"", ""mt"")"),"Kompressar u Tkessiħ")</f>
        <v>Kompressar u Tkessiħ</v>
      </c>
    </row>
    <row r="25676" ht="15.75" customHeight="1">
      <c r="A25676" s="2" t="s">
        <v>25676</v>
      </c>
      <c r="B25676" s="2" t="str">
        <f>IFERROR(__xludf.DUMMYFUNCTION("GOOGLETRANSLATE(A25676, ""en"", ""mt"")"),"Hassan Al Banna")</f>
        <v>Hassan Al Banna</v>
      </c>
    </row>
    <row r="25677" ht="15.75" customHeight="1">
      <c r="A25677" s="2" t="s">
        <v>25677</v>
      </c>
      <c r="B25677" s="2" t="str">
        <f>IFERROR(__xludf.DUMMYFUNCTION("GOOGLETRANSLATE(A25677, ""en"", ""mt"")"),"Biex terġa 'titbena")</f>
        <v>Biex terġa 'titbena</v>
      </c>
    </row>
    <row r="25678" ht="15.75" customHeight="1">
      <c r="A25678" s="2" t="s">
        <v>25678</v>
      </c>
      <c r="B25678" s="2" t="str">
        <f>IFERROR(__xludf.DUMMYFUNCTION("GOOGLETRANSLATE(A25678, ""en"", ""mt"")"),"WBT-FM (99.3 FM)")</f>
        <v>WBT-FM (99.3 FM)</v>
      </c>
    </row>
    <row r="25679" ht="15.75" customHeight="1">
      <c r="A25679" s="2" t="s">
        <v>25679</v>
      </c>
      <c r="B25679" s="2" t="str">
        <f>IFERROR(__xludf.DUMMYFUNCTION("GOOGLETRANSLATE(A25679, ""en"", ""mt"")"),"il-massa tas-sistema")</f>
        <v>il-massa tas-sistema</v>
      </c>
    </row>
    <row r="25680" ht="15.75" customHeight="1">
      <c r="A25680" s="2" t="s">
        <v>25680</v>
      </c>
      <c r="B25680" s="2" t="str">
        <f>IFERROR(__xludf.DUMMYFUNCTION("GOOGLETRANSLATE(A25680, ""en"", ""mt"")"),"Ixxukkjat bit-tifkira tal-parti tiegħu fil-ħabta tas-suq tal-ishma u bil-ksur tal-kuntratt ta 'Tesla")</f>
        <v>Ixxukkjat bit-tifkira tal-parti tiegħu fil-ħabta tas-suq tal-ishma u bil-ksur tal-kuntratt ta 'Tesla</v>
      </c>
    </row>
    <row r="25681" ht="15.75" customHeight="1">
      <c r="A25681" s="2" t="s">
        <v>25681</v>
      </c>
      <c r="B25681" s="2" t="str">
        <f>IFERROR(__xludf.DUMMYFUNCTION("GOOGLETRANSLATE(A25681, ""en"", ""mt"")"),"Fondazzjoni Nazzjonali tax-Xjenza")</f>
        <v>Fondazzjoni Nazzjonali tax-Xjenza</v>
      </c>
    </row>
    <row r="25682" ht="15.75" customHeight="1">
      <c r="A25682" s="2" t="s">
        <v>25682</v>
      </c>
      <c r="B25682" s="2" t="str">
        <f>IFERROR(__xludf.DUMMYFUNCTION("GOOGLETRANSLATE(A25682, ""en"", ""mt"")"),"Rati ta 'żieda fil-livell tal-baħar")</f>
        <v>Rati ta 'żieda fil-livell tal-baħar</v>
      </c>
    </row>
    <row r="25683" ht="15.75" customHeight="1">
      <c r="A25683" s="2" t="s">
        <v>25683</v>
      </c>
      <c r="B25683" s="2" t="str">
        <f>IFERROR(__xludf.DUMMYFUNCTION("GOOGLETRANSLATE(A25683, ""en"", ""mt"")"),"22 fil-mija")</f>
        <v>22 fil-mija</v>
      </c>
    </row>
    <row r="25684" ht="15.75" customHeight="1">
      <c r="A25684" s="2" t="s">
        <v>25684</v>
      </c>
      <c r="B25684" s="2" t="str">
        <f>IFERROR(__xludf.DUMMYFUNCTION("GOOGLETRANSLATE(A25684, ""en"", ""mt"")"),"Il-Gvernatur Robert Dinwiddie ta ’Virginia kien investitur fil-Kumpanija Ohio, li kienet titlef il-flus jekk il-Franċiżi kellhom it-talba tagħhom. Biex tiġġieled il-preżenza militari Franċiża fl-Ohio, f'Ottubru 1753 Dinwiddie ordnat lill-Maġġur ta '21 sen"&amp;"a George Washington (li ħuh kien investitur ieħor tal-kumpanija Ohio) tar-Reġiment ta 'Virginia biex iwissi lill-Franċiżi biex jitilqu mit-territorju ta' Virginia. Washington telaq b'parti żgħira, qabad matul it-triq Jacob van Braam bħala interpretu; Chri"&amp;"stopher Gist, survejter tal-kumpanija li jaħdem fiż-żona; u ftit Mingo mmexxija minn Tanaghrisson. Fit-12 ta 'Diċembru, Washington u l-irġiel tiegħu laħqu Fort Le Boeuf.")</f>
        <v>Il-Gvernatur Robert Dinwiddie ta ’Virginia kien investitur fil-Kumpanija Ohio, li kienet titlef il-flus jekk il-Franċiżi kellhom it-talba tagħhom. Biex tiġġieled il-preżenza militari Franċiża fl-Ohio, f'Ottubru 1753 Dinwiddie ordnat lill-Maġġur ta '21 sena George Washington (li ħuh kien investitur ieħor tal-kumpanija Ohio) tar-Reġiment ta 'Virginia biex iwissi lill-Franċiżi biex jitilqu mit-territorju ta' Virginia. Washington telaq b'parti żgħira, qabad matul it-triq Jacob van Braam bħala interpretu; Christopher Gist, survejter tal-kumpanija li jaħdem fiż-żona; u ftit Mingo mmexxija minn Tanaghrisson. Fit-12 ta 'Diċembru, Washington u l-irġiel tiegħu laħqu Fort Le Boeuf.</v>
      </c>
    </row>
    <row r="25685" ht="15.75" customHeight="1">
      <c r="A25685" s="2" t="s">
        <v>25685</v>
      </c>
      <c r="B25685" s="2" t="str">
        <f>IFERROR(__xludf.DUMMYFUNCTION("GOOGLETRANSLATE(A25685, ""en"", ""mt"")"),"Apollo waqqaf diversi punti importanti tal-fluss spazjali uman. Huwa waħdu li jibgħat missjonijiet ekwivalenti lil hinn mill-orbita baxxa tad-Dinja. Apollo 8 kien l-ewwel vettura spazjali bl-ekwipaġġ li jorbita korp ċelesti ieħor, filwaqt li l-missjoni Ap"&amp;"ollo 17 finali mmarkat is-sitt inżul tal-qamar u d-disa 'missjoni ekwivalenti lil hinn mill-orbita baxxa tad-Dinja. Il-programm irritorna 842 libbra (382 kg) ta 'blat lunari u ħamrija lejn l-art, li jikkontribwixxi ħafna għall-fehim tal-kompożizzjoni tal-"&amp;"qamar u l-istorja ġeoloġika. Il-programm stabbilixxa l-pedament għall-kapaċità ta 'fluss spazjali uman attwali tan-NASA, u l-kostruzzjoni ffinanzjat taċ-Ċentru Spazjali Johnson u ċ-Ċentru Spazjali Kennedy tiegħu. Apollo xpruna wkoll avvanzi f'ħafna oqsma "&amp;"ta 'teknoloġija inċidentali għar-rokit u l-ispazju spazjali bl-ekwipaġġ, inklużi l-avjoniċi, it-telekomunikazzjonijiet, u l-kompjuters.")</f>
        <v>Apollo waqqaf diversi punti importanti tal-fluss spazjali uman. Huwa waħdu li jibgħat missjonijiet ekwivalenti lil hinn mill-orbita baxxa tad-Dinja. Apollo 8 kien l-ewwel vettura spazjali bl-ekwipaġġ li jorbita korp ċelesti ieħor, filwaqt li l-missjoni Apollo 17 finali mmarkat is-sitt inżul tal-qamar u d-disa 'missjoni ekwivalenti lil hinn mill-orbita baxxa tad-Dinja. Il-programm irritorna 842 libbra (382 kg) ta 'blat lunari u ħamrija lejn l-art, li jikkontribwixxi ħafna għall-fehim tal-kompożizzjoni tal-qamar u l-istorja ġeoloġika. Il-programm stabbilixxa l-pedament għall-kapaċità ta 'fluss spazjali uman attwali tan-NASA, u l-kostruzzjoni ffinanzjat taċ-Ċentru Spazjali Johnson u ċ-Ċentru Spazjali Kennedy tiegħu. Apollo xpruna wkoll avvanzi f'ħafna oqsma ta 'teknoloġija inċidentali għar-rokit u l-ispazju spazjali bl-ekwipaġġ, inklużi l-avjoniċi, it-telekomunikazzjonijiet, u l-kompjuters.</v>
      </c>
    </row>
    <row r="25686" ht="15.75" customHeight="1">
      <c r="A25686" s="2" t="s">
        <v>25686</v>
      </c>
      <c r="B25686" s="2" t="str">
        <f>IFERROR(__xludf.DUMMYFUNCTION("GOOGLETRANSLATE(A25686, ""en"", ""mt"")"),"Tip ta 'pistuni reċiprokanti")</f>
        <v>Tip ta 'pistuni reċiprokanti</v>
      </c>
    </row>
    <row r="25687" ht="15.75" customHeight="1">
      <c r="A25687" s="2" t="s">
        <v>25687</v>
      </c>
      <c r="B25687" s="2" t="str">
        <f>IFERROR(__xludf.DUMMYFUNCTION("GOOGLETRANSLATE(A25687, ""en"", ""mt"")"),"X'inhu definit bħala l-vot tal-maġġoranza?")</f>
        <v>X'inhu definit bħala l-vot tal-maġġoranza?</v>
      </c>
    </row>
    <row r="25688" ht="15.75" customHeight="1">
      <c r="A25688" s="2" t="s">
        <v>25688</v>
      </c>
      <c r="B25688" s="2" t="str">
        <f>IFERROR(__xludf.DUMMYFUNCTION("GOOGLETRANSLATE(A25688, ""en"", ""mt"")"),"F'liema sena s-Super Bowl saret l-aħħar fiż-żona ta 'Miami / South Florida?")</f>
        <v>F'liema sena s-Super Bowl saret l-aħħar fiż-żona ta 'Miami / South Florida?</v>
      </c>
    </row>
    <row r="25689" ht="15.75" customHeight="1">
      <c r="A25689" s="2" t="s">
        <v>25689</v>
      </c>
      <c r="B25689" s="2" t="str">
        <f>IFERROR(__xludf.DUMMYFUNCTION("GOOGLETRANSLATE(A25689, ""en"", ""mt"")"),"Ġnien Sassonu")</f>
        <v>Ġnien Sassonu</v>
      </c>
    </row>
    <row r="25690" ht="15.75" customHeight="1">
      <c r="A25690" s="2" t="s">
        <v>25690</v>
      </c>
      <c r="B25690" s="2" t="str">
        <f>IFERROR(__xludf.DUMMYFUNCTION("GOOGLETRANSLATE(A25690, ""en"", ""mt"")"),"Kumitat tal-Konċiljazzjoni")</f>
        <v>Kumitat tal-Konċiljazzjoni</v>
      </c>
    </row>
    <row r="25691" ht="15.75" customHeight="1">
      <c r="A25691" s="2" t="s">
        <v>25691</v>
      </c>
      <c r="B25691" s="2" t="str">
        <f>IFERROR(__xludf.DUMMYFUNCTION("GOOGLETRANSLATE(A25691, ""en"", ""mt"")"),"7,200")</f>
        <v>7,200</v>
      </c>
    </row>
    <row r="25692" ht="15.75" customHeight="1">
      <c r="A25692" s="2" t="s">
        <v>25692</v>
      </c>
      <c r="B25692" s="2" t="str">
        <f>IFERROR(__xludf.DUMMYFUNCTION("GOOGLETRANSLATE(A25692, ""en"", ""mt"")"),"Minn Newcastle International Ferry Terminal, fi North Shields, DFDS Seaways Daniż imexxi servizz lejn Ijmuiden (qrib Amsterdam). Is-Servizz tal-Ferry DFDS lil Gothenburg, l-Isvezja, waqaf fl-aħħar ta 'Ottubru 2006 - il-kumpanija kkwotat prezzijiet għoljin"&amp;" tal-fjuwil u kompetizzjoni ġdida minn servizzi ta' l-ajru bi prezz baxx bħala l-kawża - u s-servizz tagħhom għal Bergen u Stavanger, in-Norveġja ntemmet tard fl-2008. Mis-sajf tal-2007, Thomson Cruise Lines inkludew Newcastle bħala port tat-tluq fuq il-k"&amp;"ruċiera Norveġiżi u Fjords tagħha.")</f>
        <v>Minn Newcastle International Ferry Terminal, fi North Shields, DFDS Seaways Daniż imexxi servizz lejn Ijmuiden (qrib Amsterdam). Is-Servizz tal-Ferry DFDS lil Gothenburg, l-Isvezja, waqaf fl-aħħar ta 'Ottubru 2006 - il-kumpanija kkwotat prezzijiet għoljin tal-fjuwil u kompetizzjoni ġdida minn servizzi ta' l-ajru bi prezz baxx bħala l-kawża - u s-servizz tagħhom għal Bergen u Stavanger, in-Norveġja ntemmet tard fl-2008. Mis-sajf tal-2007, Thomson Cruise Lines inkludew Newcastle bħala port tat-tluq fuq il-kruċiera Norveġiżi u Fjords tagħha.</v>
      </c>
    </row>
    <row r="25693" ht="15.75" customHeight="1">
      <c r="A25693" s="2" t="s">
        <v>25693</v>
      </c>
      <c r="B25693" s="2" t="str">
        <f>IFERROR(__xludf.DUMMYFUNCTION("GOOGLETRANSLATE(A25693, ""en"", ""mt"")"),"appoġġ għar-rewwixta")</f>
        <v>appoġġ għar-rewwixta</v>
      </c>
    </row>
    <row r="25694" ht="15.75" customHeight="1">
      <c r="A25694" s="2" t="s">
        <v>25694</v>
      </c>
      <c r="B25694" s="2" t="str">
        <f>IFERROR(__xludf.DUMMYFUNCTION("GOOGLETRANSLATE(A25694, ""en"", ""mt"")"),"617.1")</f>
        <v>617.1</v>
      </c>
    </row>
    <row r="25695" ht="15.75" customHeight="1">
      <c r="A25695" s="2" t="s">
        <v>25695</v>
      </c>
      <c r="B25695" s="2" t="str">
        <f>IFERROR(__xludf.DUMMYFUNCTION("GOOGLETRANSLATE(A25695, ""en"", ""mt"")"),"pjaga mibgħuta biex tikkastiga lill-Kristjani")</f>
        <v>pjaga mibgħuta biex tikkastiga lill-Kristjani</v>
      </c>
    </row>
    <row r="25696" ht="15.75" customHeight="1">
      <c r="A25696" s="2" t="s">
        <v>25696</v>
      </c>
      <c r="B25696" s="2" t="str">
        <f>IFERROR(__xludf.DUMMYFUNCTION("GOOGLETRANSLATE(A25696, ""en"", ""mt"")"),"kombustibbli")</f>
        <v>kombustibbli</v>
      </c>
    </row>
    <row r="25697" ht="15.75" customHeight="1">
      <c r="A25697" s="2" t="s">
        <v>25697</v>
      </c>
      <c r="B25697" s="2" t="str">
        <f>IFERROR(__xludf.DUMMYFUNCTION("GOOGLETRANSLATE(A25697, ""en"", ""mt"")"),"Barra minn hekk, il-Knisja Metodista Magħquda tipprojbixxi ċ-ċelebrazzjoni tal-għaqdiet tal-istess sess. Rev Jimmy Creech ġie mneħħi wara prova tal-knisja ppubbliċizzata ħafna fl-1999 minħabba l-parteċipazzjoni tiegħu f'ċerimonji tal-unjoni tal-istess ses"&amp;"s. Huwa jipprojbixxi kwalunkwe bord Metodist, aġenzija, kumitat, kummissjoni, jew kunsill biex jagħti fondi Metodisti magħquda lil kwalunkwe organizzazzjoni jew grupp omosesswali, jew inkella juża dawn il-fondi biex jippromwovi l-aċċettazzjoni tal-omosess"&amp;"walità. Ministri oħra ġew imneħħija għall-uffiċjal fi tiġijiet tal-istess sess u diversi provi ta 'oħrajn huma skedati. Xorta, xi kongregazzjonijiet fittxew modi oħra kif jirrikonoxxu koppji tal-istess sess. Pereżempju, kongregazzjoni waħda ospitat propos"&amp;"ta għal koppja tal-istess sess li ħabbret l-impenn tagħhom. Barra minn hekk, xi knejjes, speċjalment fl-2016 wara li ż-żwieġ tal-istess sess kien legalizzat fuq livell nazzjonali, ipprovdew barkiet għal żwiġijiet tal-istess sess. F'April tal-2016, isqof M"&amp;"etodist Magħqud għamel dikjarazzjoni kuraġġuża billi wettaq żwieġ tal-istess sess fil-knisja bħala sinjal ċar tal-promozzjoni tiegħu għall-bidla.")</f>
        <v>Barra minn hekk, il-Knisja Metodista Magħquda tipprojbixxi ċ-ċelebrazzjoni tal-għaqdiet tal-istess sess. Rev Jimmy Creech ġie mneħħi wara prova tal-knisja ppubbliċizzata ħafna fl-1999 minħabba l-parteċipazzjoni tiegħu f'ċerimonji tal-unjoni tal-istess sess. Huwa jipprojbixxi kwalunkwe bord Metodist, aġenzija, kumitat, kummissjoni, jew kunsill biex jagħti fondi Metodisti magħquda lil kwalunkwe organizzazzjoni jew grupp omosesswali, jew inkella juża dawn il-fondi biex jippromwovi l-aċċettazzjoni tal-omosesswalità. Ministri oħra ġew imneħħija għall-uffiċjal fi tiġijiet tal-istess sess u diversi provi ta 'oħrajn huma skedati. Xorta, xi kongregazzjonijiet fittxew modi oħra kif jirrikonoxxu koppji tal-istess sess. Pereżempju, kongregazzjoni waħda ospitat proposta għal koppja tal-istess sess li ħabbret l-impenn tagħhom. Barra minn hekk, xi knejjes, speċjalment fl-2016 wara li ż-żwieġ tal-istess sess kien legalizzat fuq livell nazzjonali, ipprovdew barkiet għal żwiġijiet tal-istess sess. F'April tal-2016, isqof Metodist Magħqud għamel dikjarazzjoni kuraġġuża billi wettaq żwieġ tal-istess sess fil-knisja bħala sinjal ċar tal-promozzjoni tiegħu għall-bidla.</v>
      </c>
    </row>
    <row r="25698" ht="15.75" customHeight="1">
      <c r="A25698" s="2" t="s">
        <v>25698</v>
      </c>
      <c r="B25698" s="2" t="str">
        <f>IFERROR(__xludf.DUMMYFUNCTION("GOOGLETRANSLATE(A25698, ""en"", ""mt"")"),"Min kien Warsz?")</f>
        <v>Min kien Warsz?</v>
      </c>
    </row>
    <row r="25699" ht="15.75" customHeight="1">
      <c r="A25699" s="2" t="s">
        <v>25699</v>
      </c>
      <c r="B25699" s="2" t="str">
        <f>IFERROR(__xludf.DUMMYFUNCTION("GOOGLETRANSLATE(A25699, ""en"", ""mt"")"),"L-aħħar evoluzzjoni ewlenija tad-disinn tal-magna bil-fwar kienet l-użu ta 'turbini tal-fwar li jibdew fil-parti tard tas-seklu 19. It-turbini tal-fwar huma ġeneralment aktar effiċjenti minn magni tal-fwar tat-tip pistun reċiprokanti (għal outputs 'il fuq"&amp;" minn bosta mijiet ta' horsepower), għandhom inqas partijiet li jiċċaqalqu, u jipprovdu enerġija li jdur direttament minflok permezz ta 'sistema ta' virga ta 'konnessjoni jew mezzi simili. It-turbini tal-fwar prattikament issostitwixxew magni reċiprokanti"&amp;" fl-istazzjonijiet li jiġġeneraw l-elettriku kmieni fis-seklu 20, fejn l-effiċjenza tagħhom, veloċità ogħla xierqa għas-servizz tal-ġeneratur, u rotazzjoni bla xkiel kienu vantaġġi. Illum il-biċċa l-kbira tal-enerġija elettrika hija pprovduta minn turbini"&amp;" tal-fwar. Fl-Istati Uniti 90% tal-enerġija elettrika hija prodotta b'dan il-mod bl-użu ta 'varjetà ta' sorsi tas-sħana. It-turbini tal-fwar ġew applikati b'mod estensiv għall-propulsjoni ta 'vapuri kbar matul il-biċċa l-kbira tas-seklu 20.")</f>
        <v>L-aħħar evoluzzjoni ewlenija tad-disinn tal-magna bil-fwar kienet l-użu ta 'turbini tal-fwar li jibdew fil-parti tard tas-seklu 19. It-turbini tal-fwar huma ġeneralment aktar effiċjenti minn magni tal-fwar tat-tip pistun reċiprokanti (għal outputs 'il fuq minn bosta mijiet ta' horsepower), għandhom inqas partijiet li jiċċaqalqu, u jipprovdu enerġija li jdur direttament minflok permezz ta 'sistema ta' virga ta 'konnessjoni jew mezzi simili. It-turbini tal-fwar prattikament issostitwixxew magni reċiprokanti fl-istazzjonijiet li jiġġeneraw l-elettriku kmieni fis-seklu 20, fejn l-effiċjenza tagħhom, veloċità ogħla xierqa għas-servizz tal-ġeneratur, u rotazzjoni bla xkiel kienu vantaġġi. Illum il-biċċa l-kbira tal-enerġija elettrika hija pprovduta minn turbini tal-fwar. Fl-Istati Uniti 90% tal-enerġija elettrika hija prodotta b'dan il-mod bl-użu ta 'varjetà ta' sorsi tas-sħana. It-turbini tal-fwar ġew applikati b'mod estensiv għall-propulsjoni ta 'vapuri kbar matul il-biċċa l-kbira tas-seklu 20.</v>
      </c>
    </row>
    <row r="25700" ht="15.75" customHeight="1">
      <c r="A25700" s="2" t="s">
        <v>25700</v>
      </c>
      <c r="B25700" s="2" t="str">
        <f>IFERROR(__xludf.DUMMYFUNCTION("GOOGLETRANSLATE(A25700, ""en"", ""mt"")"),"X'kienu wħud mill-esperimenti ta 'Tesla?")</f>
        <v>X'kienu wħud mill-esperimenti ta 'Tesla?</v>
      </c>
    </row>
    <row r="25701" ht="15.75" customHeight="1">
      <c r="A25701" s="2" t="s">
        <v>25701</v>
      </c>
      <c r="B25701" s="2" t="str">
        <f>IFERROR(__xludf.DUMMYFUNCTION("GOOGLETRANSLATE(A25701, ""en"", ""mt"")"),"Taħt liema politika huma mħeġġa l-għaqdiet tax-xogħol?")</f>
        <v>Taħt liema politika huma mħeġġa l-għaqdiet tax-xogħol?</v>
      </c>
    </row>
    <row r="25702" ht="15.75" customHeight="1">
      <c r="A25702" s="2" t="s">
        <v>25702</v>
      </c>
      <c r="B25702" s="2" t="str">
        <f>IFERROR(__xludf.DUMMYFUNCTION("GOOGLETRANSLATE(A25702, ""en"", ""mt"")"),"Min ġiegħel erba 'fumbles għall-Broncos fl-istaġun 2015?")</f>
        <v>Min ġiegħel erba 'fumbles għall-Broncos fl-istaġun 2015?</v>
      </c>
    </row>
    <row r="25703" ht="15.75" customHeight="1">
      <c r="A25703" s="2" t="s">
        <v>25703</v>
      </c>
      <c r="B25703" s="2" t="str">
        <f>IFERROR(__xludf.DUMMYFUNCTION("GOOGLETRANSLATE(A25703, ""en"", ""mt"")"),"X’kawżaw ir-riformaturi radikali fl-ordni l-ġdida?")</f>
        <v>X’kawżaw ir-riformaturi radikali fl-ordni l-ġdida?</v>
      </c>
    </row>
    <row r="25704" ht="15.75" customHeight="1">
      <c r="A25704" s="2" t="s">
        <v>25704</v>
      </c>
      <c r="B25704" s="2" t="str">
        <f>IFERROR(__xludf.DUMMYFUNCTION("GOOGLETRANSLATE(A25704, ""en"", ""mt"")"),"negozjati")</f>
        <v>negozjati</v>
      </c>
    </row>
    <row r="25705" ht="15.75" customHeight="1">
      <c r="A25705" s="2" t="s">
        <v>25705</v>
      </c>
      <c r="B25705" s="2" t="str">
        <f>IFERROR(__xludf.DUMMYFUNCTION("GOOGLETRANSLATE(A25705, ""en"", ""mt"")"),"Bojkotts illegali, ċaħdiet li jħallsu t-taxxi, abbozzi ta 'dodging, attakki ta' ċaħda ta 'servizz imqassma, u sit-ins")</f>
        <v>Bojkotts illegali, ċaħdiet li jħallsu t-taxxi, abbozzi ta 'dodging, attakki ta' ċaħda ta 'servizz imqassma, u sit-ins</v>
      </c>
    </row>
    <row r="25706" ht="15.75" customHeight="1">
      <c r="A25706" s="2" t="s">
        <v>25706</v>
      </c>
      <c r="B25706" s="2" t="str">
        <f>IFERROR(__xludf.DUMMYFUNCTION("GOOGLETRANSLATE(A25706, ""en"", ""mt"")"),"Sal-1932 it-tul ġeneralment aċċettat tar-Renu kien ta ’1,230 kilometru (764 mil). Fl-1932 l-Enċiklopedija Ġermaniża Knaurs Lexikon iddikjarat it-tul bħala 1,320 kilometru (820 mil), preżumibbilment żball tipografiku. Wara li dan in-numru tqiegħed fl-awtor"&amp;"evoli Brockhaus Enzyklopädie, ġeneralment sar aċċettat u sab triqtu f’bosta kotba u pubblikazzjonijiet uffiċjali. L-iżball ġie skopert fl-2010, u l-Olandiż Rijkswaterstaat jikkonferma t-tul ta '1,232 kilometru (766 mil). [Nota 1]")</f>
        <v>Sal-1932 it-tul ġeneralment aċċettat tar-Renu kien ta ’1,230 kilometru (764 mil). Fl-1932 l-Enċiklopedija Ġermaniża Knaurs Lexikon iddikjarat it-tul bħala 1,320 kilometru (820 mil), preżumibbilment żball tipografiku. Wara li dan in-numru tqiegħed fl-awtorevoli Brockhaus Enzyklopädie, ġeneralment sar aċċettat u sab triqtu f’bosta kotba u pubblikazzjonijiet uffiċjali. L-iżball ġie skopert fl-2010, u l-Olandiż Rijkswaterstaat jikkonferma t-tul ta '1,232 kilometru (766 mil). [Nota 1]</v>
      </c>
    </row>
    <row r="25707" ht="15.75" customHeight="1">
      <c r="A25707" s="2" t="s">
        <v>25707</v>
      </c>
      <c r="B25707" s="2" t="str">
        <f>IFERROR(__xludf.DUMMYFUNCTION("GOOGLETRANSLATE(A25707, ""en"", ""mt"")"),"Triq Mosley")</f>
        <v>Triq Mosley</v>
      </c>
    </row>
    <row r="25708" ht="15.75" customHeight="1">
      <c r="A25708" s="2" t="s">
        <v>25708</v>
      </c>
      <c r="B25708" s="2" t="str">
        <f>IFERROR(__xludf.DUMMYFUNCTION("GOOGLETRANSLATE(A25708, ""en"", ""mt"")"),"Abe Silverstein")</f>
        <v>Abe Silverstein</v>
      </c>
    </row>
    <row r="25709" ht="15.75" customHeight="1">
      <c r="A25709" s="2" t="s">
        <v>25709</v>
      </c>
      <c r="B25709" s="2" t="str">
        <f>IFERROR(__xludf.DUMMYFUNCTION("GOOGLETRANSLATE(A25709, ""en"", ""mt"")"),"Trotsky ħaseb dak li kien meħtieġ għal rivoluzzjoni Russa vera.")</f>
        <v>Trotsky ħaseb dak li kien meħtieġ għal rivoluzzjoni Russa vera.</v>
      </c>
    </row>
    <row r="25710" ht="15.75" customHeight="1">
      <c r="A25710" s="2" t="s">
        <v>25710</v>
      </c>
      <c r="B25710" s="2" t="str">
        <f>IFERROR(__xludf.DUMMYFUNCTION("GOOGLETRANSLATE(A25710, ""en"", ""mt"")"),"Għaqda ta ’Alla")</f>
        <v>Għaqda ta ’Alla</v>
      </c>
    </row>
    <row r="25711" ht="15.75" customHeight="1">
      <c r="A25711" s="2" t="s">
        <v>25711</v>
      </c>
      <c r="B25711" s="2" t="str">
        <f>IFERROR(__xludf.DUMMYFUNCTION("GOOGLETRANSLATE(A25711, ""en"", ""mt"")"),"Kiesaħ wisq fl-Ewropa tat-Tramuntana għas-sopravivenza tal-briegħed")</f>
        <v>Kiesaħ wisq fl-Ewropa tat-Tramuntana għas-sopravivenza tal-briegħed</v>
      </c>
    </row>
    <row r="25712" ht="15.75" customHeight="1">
      <c r="A25712" s="2" t="s">
        <v>25712</v>
      </c>
      <c r="B25712" s="2" t="str">
        <f>IFERROR(__xludf.DUMMYFUNCTION("GOOGLETRANSLATE(A25712, ""en"", ""mt"")"),"Il-fruntiera tal-Istati Uniti tal-Messiku")</f>
        <v>Il-fruntiera tal-Istati Uniti tal-Messiku</v>
      </c>
    </row>
    <row r="25713" ht="15.75" customHeight="1">
      <c r="A25713" s="2" t="s">
        <v>25713</v>
      </c>
      <c r="B25713" s="2" t="str">
        <f>IFERROR(__xludf.DUMMYFUNCTION("GOOGLETRANSLATE(A25713, ""en"", ""mt"")"),"Pajjiżi oħra kif kellhom kopji tal-ispettaklu?")</f>
        <v>Pajjiżi oħra kif kellhom kopji tal-ispettaklu?</v>
      </c>
    </row>
    <row r="25714" ht="15.75" customHeight="1">
      <c r="A25714" s="2" t="s">
        <v>25714</v>
      </c>
      <c r="B25714" s="2" t="str">
        <f>IFERROR(__xludf.DUMMYFUNCTION("GOOGLETRANSLATE(A25714, ""en"", ""mt"")"),"Flimkien ma 'magni ta' kombustjoni interna, liema magni ħadu l-fwar f'xi żoni?")</f>
        <v>Flimkien ma 'magni ta' kombustjoni interna, liema magni ħadu l-fwar f'xi żoni?</v>
      </c>
    </row>
    <row r="25715" ht="15.75" customHeight="1">
      <c r="A25715" s="2" t="s">
        <v>25715</v>
      </c>
      <c r="B25715" s="2" t="str">
        <f>IFERROR(__xludf.DUMMYFUNCTION("GOOGLETRANSLATE(A25715, ""en"", ""mt"")"),"Studenti fl-Università ta ’Chicago jmexxu aktar minn 400 klabb u organizzazzjonijiet magħrufa bħala organizzazzjonijiet ta’ studenti rikonoxxuti (RSOs). Dawn jinkludu gruppi kulturali u reliġjużi, klabbs u timijiet akkademiċi, u organizzazzjonijiet ta 'in"&amp;"teress komuni. Gruppi extra-kurrikulari notevoli jinkludu t-tim tal-Università ta 'Chicago College Bowl, li rebaħ 118-il tournaments u 15-il kampjonat nazzjonali, li jwasslu ż-żewġ kategoriji internazzjonalment. Il-mudell kompetittiv tal-università tat-ti"&amp;"m tan-Nazzjonijiet Uniti kien l-aqwa tim ikklassifikat fl-Amerika ta ’Fuq fl-2013-14 u fl-2014-2015. Fost l-RSOs notevoli hemm l-itwal films tal-films tal-istudenti li jmexxu kontinwament in-nazzjon, Kumitat Organizzazzjoni għall-Università ta 'Chicago Sc"&amp;"avenger Hunt, il-gazzetta studenti darbtejn fil-ġimgħa The Chicago Maroon, il-gazzetta tal-istudenti alternattivi ta' kull ġimgħa South Side Weekly, it-tieni l-eqdem tan-nazzjon kontinwament ġiri kontinwament Studenti Improvisational Theatre Troupe Off-Of"&amp;"f Campus, u l-istazzjon tar-radju tal-università WHPK.")</f>
        <v>Studenti fl-Università ta ’Chicago jmexxu aktar minn 400 klabb u organizzazzjonijiet magħrufa bħala organizzazzjonijiet ta’ studenti rikonoxxuti (RSOs). Dawn jinkludu gruppi kulturali u reliġjużi, klabbs u timijiet akkademiċi, u organizzazzjonijiet ta 'interess komuni. Gruppi extra-kurrikulari notevoli jinkludu t-tim tal-Università ta 'Chicago College Bowl, li rebaħ 118-il tournaments u 15-il kampjonat nazzjonali, li jwasslu ż-żewġ kategoriji internazzjonalment. Il-mudell kompetittiv tal-università tat-tim tan-Nazzjonijiet Uniti kien l-aqwa tim ikklassifikat fl-Amerika ta ’Fuq fl-2013-14 u fl-2014-2015. Fost l-RSOs notevoli hemm l-itwal films tal-films tal-istudenti li jmexxu kontinwament in-nazzjon, Kumitat Organizzazzjoni għall-Università ta 'Chicago Scavenger Hunt, il-gazzetta studenti darbtejn fil-ġimgħa The Chicago Maroon, il-gazzetta tal-istudenti alternattivi ta' kull ġimgħa South Side Weekly, it-tieni l-eqdem tan-nazzjon kontinwament ġiri kontinwament Studenti Improvisational Theatre Troupe Off-Off Campus, u l-istazzjon tar-radju tal-università WHPK.</v>
      </c>
    </row>
    <row r="25716" ht="15.75" customHeight="1">
      <c r="A25716" s="2" t="s">
        <v>25716</v>
      </c>
      <c r="B25716" s="2" t="str">
        <f>IFERROR(__xludf.DUMMYFUNCTION("GOOGLETRANSLATE(A25716, ""en"", ""mt"")"),"Liema missjoni Apollo ġiet ikkanċellata l-ewwel minħabba li ma tkunx meħtieġa biex tibni l-iskylab fl-ispazju, peress li kienet mibnija minn qabel fuq l-art?")</f>
        <v>Liema missjoni Apollo ġiet ikkanċellata l-ewwel minħabba li ma tkunx meħtieġa biex tibni l-iskylab fl-ispazju, peress li kienet mibnija minn qabel fuq l-art?</v>
      </c>
    </row>
    <row r="25717" ht="15.75" customHeight="1">
      <c r="A25717" s="2" t="s">
        <v>25717</v>
      </c>
      <c r="B25717" s="2" t="str">
        <f>IFERROR(__xludf.DUMMYFUNCTION("GOOGLETRANSLATE(A25717, ""en"", ""mt"")"),"Is-snin 1960 u 1970")</f>
        <v>Is-snin 1960 u 1970</v>
      </c>
    </row>
    <row r="25718" ht="15.75" customHeight="1">
      <c r="A25718" s="2" t="s">
        <v>25718</v>
      </c>
      <c r="B25718" s="2" t="str">
        <f>IFERROR(__xludf.DUMMYFUNCTION("GOOGLETRANSLATE(A25718, ""en"", ""mt"")"),"Malli sar jaf ta 'partit li jiskonta Franċiż fiż-żona, x'għamel f'Washington?")</f>
        <v>Malli sar jaf ta 'partit li jiskonta Franċiż fiż-żona, x'għamel f'Washington?</v>
      </c>
    </row>
    <row r="25719" ht="15.75" customHeight="1">
      <c r="A25719" s="2" t="s">
        <v>25719</v>
      </c>
      <c r="B25719" s="2" t="str">
        <f>IFERROR(__xludf.DUMMYFUNCTION("GOOGLETRANSLATE(A25719, ""en"", ""mt"")"),"F'liema sena ABC nediet il-film tal-ġimgħa?")</f>
        <v>F'liema sena ABC nediet il-film tal-ġimgħa?</v>
      </c>
    </row>
    <row r="25720" ht="15.75" customHeight="1">
      <c r="A25720" s="2" t="s">
        <v>25720</v>
      </c>
      <c r="B25720" s="2" t="str">
        <f>IFERROR(__xludf.DUMMYFUNCTION("GOOGLETRANSLATE(A25720, ""en"", ""mt"")"),"Wara l-massakru ta 'Peterloo liema poeta kiteb il-massakru ta' l-anarkija?")</f>
        <v>Wara l-massakru ta 'Peterloo liema poeta kiteb il-massakru ta' l-anarkija?</v>
      </c>
    </row>
    <row r="25721" ht="15.75" customHeight="1">
      <c r="A25721" s="2" t="s">
        <v>25721</v>
      </c>
      <c r="B25721" s="2" t="str">
        <f>IFERROR(__xludf.DUMMYFUNCTION("GOOGLETRANSLATE(A25721, ""en"", ""mt"")"),"Kemm hemm tipi ta 'netwerks X.25 oriġinarjament kien hemm")</f>
        <v>Kemm hemm tipi ta 'netwerks X.25 oriġinarjament kien hemm</v>
      </c>
    </row>
    <row r="25722" ht="15.75" customHeight="1">
      <c r="A25722" s="2" t="s">
        <v>25722</v>
      </c>
      <c r="B25722" s="2" t="str">
        <f>IFERROR(__xludf.DUMMYFUNCTION("GOOGLETRANSLATE(A25722, ""en"", ""mt"")"),"Fejn is-soltu jitwettaq il-kastig korporali f'dawn il-jiem?")</f>
        <v>Fejn is-soltu jitwettaq il-kastig korporali f'dawn il-jiem?</v>
      </c>
    </row>
    <row r="25723" ht="15.75" customHeight="1">
      <c r="A25723" s="2" t="s">
        <v>25723</v>
      </c>
      <c r="B25723" s="2" t="str">
        <f>IFERROR(__xludf.DUMMYFUNCTION("GOOGLETRANSLATE(A25723, ""en"", ""mt"")"),"5")</f>
        <v>5</v>
      </c>
    </row>
    <row r="25724" ht="15.75" customHeight="1">
      <c r="A25724" s="2" t="s">
        <v>25724</v>
      </c>
      <c r="B25724" s="2" t="str">
        <f>IFERROR(__xludf.DUMMYFUNCTION("GOOGLETRANSLATE(A25724, ""en"", ""mt"")"),"X'inhu l-akbar oġġett mill-Italja li huwa parti mill-kollezzjoni tal-iskultura?")</f>
        <v>X'inhu l-akbar oġġett mill-Italja li huwa parti mill-kollezzjoni tal-iskultura?</v>
      </c>
    </row>
    <row r="25725" ht="15.75" customHeight="1">
      <c r="A25725" s="2" t="s">
        <v>25725</v>
      </c>
      <c r="B25725" s="2" t="str">
        <f>IFERROR(__xludf.DUMMYFUNCTION("GOOGLETRANSLATE(A25725, ""en"", ""mt"")"),"Liema sena twaqqfet il-franchise ta 'Carolina Panthers?")</f>
        <v>Liema sena twaqqfet il-franchise ta 'Carolina Panthers?</v>
      </c>
    </row>
    <row r="25726" ht="15.75" customHeight="1">
      <c r="A25726" s="2" t="s">
        <v>25726</v>
      </c>
      <c r="B25726" s="2" t="str">
        <f>IFERROR(__xludf.DUMMYFUNCTION("GOOGLETRANSLATE(A25726, ""en"", ""mt"")"),"Liema tossina tinduċi apoptożi fiċ-ċellula fil-mira?")</f>
        <v>Liema tossina tinduċi apoptożi fiċ-ċellula fil-mira?</v>
      </c>
    </row>
    <row r="25727" ht="15.75" customHeight="1">
      <c r="A25727" s="2" t="s">
        <v>25727</v>
      </c>
      <c r="B25727" s="2" t="str">
        <f>IFERROR(__xludf.DUMMYFUNCTION("GOOGLETRANSLATE(A25727, ""en"", ""mt"")"),"Konservazzjoni tal-momentum")</f>
        <v>Konservazzjoni tal-momentum</v>
      </c>
    </row>
    <row r="25728" ht="15.75" customHeight="1">
      <c r="A25728" s="2" t="s">
        <v>25728</v>
      </c>
      <c r="B25728" s="2" t="str">
        <f>IFERROR(__xludf.DUMMYFUNCTION("GOOGLETRANSLATE(A25728, ""en"", ""mt"")"),"Uffiċċju politiku ogħla")</f>
        <v>Uffiċċju politiku ogħla</v>
      </c>
    </row>
    <row r="25729" ht="15.75" customHeight="1">
      <c r="A25729" s="2" t="s">
        <v>25729</v>
      </c>
      <c r="B25729" s="2" t="str">
        <f>IFERROR(__xludf.DUMMYFUNCTION("GOOGLETRANSLATE(A25729, ""en"", ""mt"")"),"Min kompla jżomm iċ-Ċittadella ta 'Bukhara wara li l-Mongoli ħadu l-kumplament tal-belt?")</f>
        <v>Min kompla jżomm iċ-Ċittadella ta 'Bukhara wara li l-Mongoli ħadu l-kumplament tal-belt?</v>
      </c>
    </row>
    <row r="25730" ht="15.75" customHeight="1">
      <c r="A25730" s="2" t="s">
        <v>25730</v>
      </c>
      <c r="B25730" s="2" t="str">
        <f>IFERROR(__xludf.DUMMYFUNCTION("GOOGLETRANSLATE(A25730, ""en"", ""mt"")"),"nitroġenu / ossiġnu")</f>
        <v>nitroġenu / ossiġnu</v>
      </c>
    </row>
    <row r="25731" ht="15.75" customHeight="1">
      <c r="A25731" s="2" t="s">
        <v>25731</v>
      </c>
      <c r="B25731" s="2" t="str">
        <f>IFERROR(__xludf.DUMMYFUNCTION("GOOGLETRANSLATE(A25731, ""en"", ""mt"")"),"Mużew Rebbiegħa ta 'Varsavja")</f>
        <v>Mużew Rebbiegħa ta 'Varsavja</v>
      </c>
    </row>
    <row r="25732" ht="15.75" customHeight="1">
      <c r="A25732" s="2" t="s">
        <v>25732</v>
      </c>
      <c r="B25732" s="2" t="str">
        <f>IFERROR(__xludf.DUMMYFUNCTION("GOOGLETRANSLATE(A25732, ""en"", ""mt"")"),"3, 4, &amp; 5")</f>
        <v>3, 4, &amp; 5</v>
      </c>
    </row>
    <row r="25733" ht="15.75" customHeight="1">
      <c r="A25733" s="2" t="s">
        <v>25733</v>
      </c>
      <c r="B25733" s="2" t="str">
        <f>IFERROR(__xludf.DUMMYFUNCTION("GOOGLETRANSLATE(A25733, ""en"", ""mt"")"),"Differenzi fil-valur miżjud minn klassifikazzjonijiet differenti tal-ħaddiema")</f>
        <v>Differenzi fil-valur miżjud minn klassifikazzjonijiet differenti tal-ħaddiema</v>
      </c>
    </row>
    <row r="25734" ht="15.75" customHeight="1">
      <c r="A25734" s="2" t="s">
        <v>25734</v>
      </c>
      <c r="B25734" s="2" t="str">
        <f>IFERROR(__xludf.DUMMYFUNCTION("GOOGLETRANSLATE(A25734, ""en"", ""mt"")"),"Għaxra")</f>
        <v>Għaxra</v>
      </c>
    </row>
    <row r="25735" ht="15.75" customHeight="1">
      <c r="A25735" s="2" t="s">
        <v>25735</v>
      </c>
      <c r="B25735" s="2" t="str">
        <f>IFERROR(__xludf.DUMMYFUNCTION("GOOGLETRANSLATE(A25735, ""en"", ""mt"")"),"Stampi ABC")</f>
        <v>Stampi ABC</v>
      </c>
    </row>
    <row r="25736" ht="15.75" customHeight="1">
      <c r="A25736" s="2" t="s">
        <v>25736</v>
      </c>
      <c r="B25736" s="2" t="str">
        <f>IFERROR(__xludf.DUMMYFUNCTION("GOOGLETRANSLATE(A25736, ""en"", ""mt"")"),"Bastimenti tal-ħażna")</f>
        <v>Bastimenti tal-ħażna</v>
      </c>
    </row>
    <row r="25737" ht="15.75" customHeight="1">
      <c r="A25737" s="2" t="s">
        <v>25737</v>
      </c>
      <c r="B25737" s="2" t="str">
        <f>IFERROR(__xludf.DUMMYFUNCTION("GOOGLETRANSLATE(A25737, ""en"", ""mt"")"),"1259")</f>
        <v>1259</v>
      </c>
    </row>
    <row r="25738" ht="15.75" customHeight="1">
      <c r="A25738" s="2" t="s">
        <v>25738</v>
      </c>
      <c r="B25738" s="2" t="str">
        <f>IFERROR(__xludf.DUMMYFUNCTION("GOOGLETRANSLATE(A25738, ""en"", ""mt"")"),"1987")</f>
        <v>1987</v>
      </c>
    </row>
    <row r="25739" ht="15.75" customHeight="1">
      <c r="A25739" s="2" t="s">
        <v>25739</v>
      </c>
      <c r="B25739" s="2" t="str">
        <f>IFERROR(__xludf.DUMMYFUNCTION("GOOGLETRANSLATE(A25739, ""en"", ""mt"")"),"Korp tal-Knisja superviżorja")</f>
        <v>Korp tal-Knisja superviżorja</v>
      </c>
    </row>
    <row r="25740" ht="15.75" customHeight="1">
      <c r="A25740" s="2" t="s">
        <v>25740</v>
      </c>
      <c r="B25740" s="2" t="str">
        <f>IFERROR(__xludf.DUMMYFUNCTION("GOOGLETRANSLATE(A25740, ""en"", ""mt"")"),"1880")</f>
        <v>1880</v>
      </c>
    </row>
    <row r="25741" ht="15.75" customHeight="1">
      <c r="A25741" s="2" t="s">
        <v>25741</v>
      </c>
      <c r="B25741" s="2" t="str">
        <f>IFERROR(__xludf.DUMMYFUNCTION("GOOGLETRANSLATE(A25741, ""en"", ""mt"")"),"1565")</f>
        <v>1565</v>
      </c>
    </row>
    <row r="25742" ht="15.75" customHeight="1">
      <c r="A25742" s="2" t="s">
        <v>25742</v>
      </c>
      <c r="B25742" s="2" t="str">
        <f>IFERROR(__xludf.DUMMYFUNCTION("GOOGLETRANSLATE(A25742, ""en"", ""mt"")"),"""Blurreng ta 'differenzi teoloġiċi u konfessjonali fl-interessi tal-għaqda")</f>
        <v>"Blurreng ta 'differenzi teoloġiċi u konfessjonali fl-interessi tal-għaqda</v>
      </c>
    </row>
    <row r="25743" ht="15.75" customHeight="1">
      <c r="A25743" s="2" t="s">
        <v>25743</v>
      </c>
      <c r="B25743" s="2" t="str">
        <f>IFERROR(__xludf.DUMMYFUNCTION("GOOGLETRANSLATE(A25743, ""en"", ""mt"")"),"ħamsin")</f>
        <v>ħamsin</v>
      </c>
    </row>
    <row r="25744" ht="15.75" customHeight="1">
      <c r="A25744" s="2" t="s">
        <v>25744</v>
      </c>
      <c r="B25744" s="2" t="str">
        <f>IFERROR(__xludf.DUMMYFUNCTION("GOOGLETRANSLATE(A25744, ""en"", ""mt"")"),"Konsorzju ta 'Netwerking tal-Kompjuter ta' l-Istati Uniti mhux għall-profitt immexxi minn membri mill-komunitajiet ta 'riċerka u edukazzjoni, industrija u gvern")</f>
        <v>Konsorzju ta 'Netwerking tal-Kompjuter ta' l-Istati Uniti mhux għall-profitt immexxi minn membri mill-komunitajiet ta 'riċerka u edukazzjoni, industrija u gvern</v>
      </c>
    </row>
    <row r="25745" ht="15.75" customHeight="1">
      <c r="A25745" s="2" t="s">
        <v>25745</v>
      </c>
      <c r="B25745" s="2" t="str">
        <f>IFERROR(__xludf.DUMMYFUNCTION("GOOGLETRANSLATE(A25745, ""en"", ""mt"")"),"prinċipali")</f>
        <v>prinċipali</v>
      </c>
    </row>
    <row r="25746" ht="15.75" customHeight="1">
      <c r="A25746" s="2" t="s">
        <v>25746</v>
      </c>
      <c r="B25746" s="2" t="str">
        <f>IFERROR(__xludf.DUMMYFUNCTION("GOOGLETRANSLATE(A25746, ""en"", ""mt"")"),"Assent Royal")</f>
        <v>Assent Royal</v>
      </c>
    </row>
    <row r="25747" ht="15.75" customHeight="1">
      <c r="A25747" s="2" t="s">
        <v>25747</v>
      </c>
      <c r="B25747" s="2" t="str">
        <f>IFERROR(__xludf.DUMMYFUNCTION("GOOGLETRANSLATE(A25747, ""en"", ""mt"")"),"Ctenophore Mnemiopsis Leidyi")</f>
        <v>Ctenophore Mnemiopsis Leidyi</v>
      </c>
    </row>
    <row r="25748" ht="15.75" customHeight="1">
      <c r="A25748" s="2" t="s">
        <v>25748</v>
      </c>
      <c r="B25748" s="2" t="str">
        <f>IFERROR(__xludf.DUMMYFUNCTION("GOOGLETRANSLATE(A25748, ""en"", ""mt"")"),"Ma 'min ikkollabora l-Istati Uniti fuq missjoni ta' orbita tad-dinja fl-1975?")</f>
        <v>Ma 'min ikkollabora l-Istati Uniti fuq missjoni ta' orbita tad-dinja fl-1975?</v>
      </c>
    </row>
    <row r="25749" ht="15.75" customHeight="1">
      <c r="A25749" s="2" t="s">
        <v>25749</v>
      </c>
      <c r="B25749" s="2" t="str">
        <f>IFERROR(__xludf.DUMMYFUNCTION("GOOGLETRANSLATE(A25749, ""en"", ""mt"")"),"X'inhi l-unika forma ta 'enerġija potenzjali li tista' tinbidel?")</f>
        <v>X'inhi l-unika forma ta 'enerġija potenzjali li tista' tinbidel?</v>
      </c>
    </row>
    <row r="25750" ht="15.75" customHeight="1">
      <c r="A25750" s="2" t="s">
        <v>25750</v>
      </c>
      <c r="B25750" s="2" t="str">
        <f>IFERROR(__xludf.DUMMYFUNCTION("GOOGLETRANSLATE(A25750, ""en"", ""mt"")"),"Kemm irġiel bagħtu Duquesne biex itaffu lil Saint-Pierre?")</f>
        <v>Kemm irġiel bagħtu Duquesne biex itaffu lil Saint-Pierre?</v>
      </c>
    </row>
    <row r="25751" ht="15.75" customHeight="1">
      <c r="A25751" s="2" t="s">
        <v>25751</v>
      </c>
      <c r="B25751" s="2" t="str">
        <f>IFERROR(__xludf.DUMMYFUNCTION("GOOGLETRANSLATE(A25751, ""en"", ""mt"")"),"Bħala t-tim tad-dar magħżul fir-rotazzjoni annwali bejn timijiet AFC u NFC, il-Broncos ġew eletti biex jilbsu l-flokkijiet bojod tat-triq tagħhom ma 'qliezet bojod li jaqblu. Elway iddikjara, ""Kellna suċċess tas-Super Bowl fl-uniformijiet bojod tagħna."""&amp;" L-aħħar Broncos kienu jilbsu flokkijiet bojod u qliezet fis-Super Bowl fis-Super Bowl XXXIII, l-aħħar logħba ta 'Elway bħala Denver QB, meta għelbu lill-Atlanta Falcons 34-19. Fl-unika rebħa oħra tas-Super Bowl tagħhom fis-Super Bowl XXXII, Denver kienu "&amp;"jilbsu flokkijiet blu, li kien il-kulur primarju tagħhom dak iż-żmien. Huma tilfu wkoll Super Bowl XXI meta kienu jilbsu flokkijiet bojod, iżda huma 0-4 fis-Super Bowls meta jilbsu flokkijiet oranġjo, jitilfu fis-Super Bowl XII, XXII, XXIV, u XLVIII. L-un"&amp;"iku tim ieħor taċ-champion tal-AFC li kien jintlibes abjad bħala t-tim tad-dar magħżul fis-Super Bowl kien il-Pittsburgh Steelers; Huma għelbu lil Seattle Seahawks 21-10 fis-Super Bowl XL 10 staġuni qabel. Id-deċiżjoni tal-Broncos li jilbsu l-abjad kienet"&amp;" tfisser li l-Panthers jilbsu l-uniformi tad-dar standard tagħhom: flokkijiet suwed bi qliezet tal-fidda.")</f>
        <v>Bħala t-tim tad-dar magħżul fir-rotazzjoni annwali bejn timijiet AFC u NFC, il-Broncos ġew eletti biex jilbsu l-flokkijiet bojod tat-triq tagħhom ma 'qliezet bojod li jaqblu. Elway iddikjara, "Kellna suċċess tas-Super Bowl fl-uniformijiet bojod tagħna." L-aħħar Broncos kienu jilbsu flokkijiet bojod u qliezet fis-Super Bowl fis-Super Bowl XXXIII, l-aħħar logħba ta 'Elway bħala Denver QB, meta għelbu lill-Atlanta Falcons 34-19. Fl-unika rebħa oħra tas-Super Bowl tagħhom fis-Super Bowl XXXII, Denver kienu jilbsu flokkijiet blu, li kien il-kulur primarju tagħhom dak iż-żmien. Huma tilfu wkoll Super Bowl XXI meta kienu jilbsu flokkijiet bojod, iżda huma 0-4 fis-Super Bowls meta jilbsu flokkijiet oranġjo, jitilfu fis-Super Bowl XII, XXII, XXIV, u XLVIII. L-uniku tim ieħor taċ-champion tal-AFC li kien jintlibes abjad bħala t-tim tad-dar magħżul fis-Super Bowl kien il-Pittsburgh Steelers; Huma għelbu lil Seattle Seahawks 21-10 fis-Super Bowl XL 10 staġuni qabel. Id-deċiżjoni tal-Broncos li jilbsu l-abjad kienet tfisser li l-Panthers jilbsu l-uniformi tad-dar standard tagħhom: flokkijiet suwed bi qliezet tal-fidda.</v>
      </c>
    </row>
    <row r="25752" ht="15.75" customHeight="1">
      <c r="A25752" s="2" t="s">
        <v>25752</v>
      </c>
      <c r="B25752" s="2" t="str">
        <f>IFERROR(__xludf.DUMMYFUNCTION("GOOGLETRANSLATE(A25752, ""en"", ""mt"")"),"Matul liema era l-aztek u l-imperi incan jirnexxu?")</f>
        <v>Matul liema era l-aztek u l-imperi incan jirnexxu?</v>
      </c>
    </row>
    <row r="25753" ht="15.75" customHeight="1">
      <c r="A25753" s="2" t="s">
        <v>25753</v>
      </c>
      <c r="B25753" s="2" t="str">
        <f>IFERROR(__xludf.DUMMYFUNCTION("GOOGLETRANSLATE(A25753, ""en"", ""mt"")"),"Xbox")</f>
        <v>Xbox</v>
      </c>
    </row>
    <row r="25754" ht="15.75" customHeight="1">
      <c r="A25754" s="2" t="s">
        <v>25754</v>
      </c>
      <c r="B25754" s="2" t="str">
        <f>IFERROR(__xludf.DUMMYFUNCTION("GOOGLETRANSLATE(A25754, ""en"", ""mt"")"),"Permezz tal-funzjonazzjonijiet dejjem jiżdiedu")</f>
        <v>Permezz tal-funzjonazzjonijiet dejjem jiżdiedu</v>
      </c>
    </row>
    <row r="25755" ht="15.75" customHeight="1">
      <c r="A25755" s="2" t="s">
        <v>25755</v>
      </c>
      <c r="B25755" s="2" t="str">
        <f>IFERROR(__xludf.DUMMYFUNCTION("GOOGLETRANSLATE(A25755, ""en"", ""mt"")"),"X'jista 'jkun ikkombinat ma' dejta ġeofiżika biex tipproduċi veduta aħjar tas-sub-wiċċ?")</f>
        <v>X'jista 'jkun ikkombinat ma' dejta ġeofiżika biex tipproduċi veduta aħjar tas-sub-wiċċ?</v>
      </c>
    </row>
    <row r="25756" ht="15.75" customHeight="1">
      <c r="A25756" s="2" t="s">
        <v>25756</v>
      </c>
      <c r="B25756" s="2" t="str">
        <f>IFERROR(__xludf.DUMMYFUNCTION("GOOGLETRANSLATE(A25756, ""en"", ""mt"")"),"Id-Dipartiment għall-Kultura, il-Midja u l-Isport.")</f>
        <v>Id-Dipartiment għall-Kultura, il-Midja u l-Isport.</v>
      </c>
    </row>
    <row r="25757" ht="15.75" customHeight="1">
      <c r="A25757" s="2" t="s">
        <v>25757</v>
      </c>
      <c r="B25757" s="2" t="str">
        <f>IFERROR(__xludf.DUMMYFUNCTION("GOOGLETRANSLATE(A25757, ""en"", ""mt"")"),"Ħxejjex")</f>
        <v>Ħxejjex</v>
      </c>
    </row>
    <row r="25758" ht="15.75" customHeight="1">
      <c r="A25758" s="2" t="s">
        <v>25758</v>
      </c>
      <c r="B25758" s="2" t="str">
        <f>IFERROR(__xludf.DUMMYFUNCTION("GOOGLETRANSLATE(A25758, ""en"", ""mt"")"),"X'inhu fattur regolatorju prodott mill-makrofaġi?")</f>
        <v>X'inhu fattur regolatorju prodott mill-makrofaġi?</v>
      </c>
    </row>
    <row r="25759" ht="15.75" customHeight="1">
      <c r="A25759" s="2" t="s">
        <v>25759</v>
      </c>
      <c r="B25759" s="2" t="str">
        <f>IFERROR(__xludf.DUMMYFUNCTION("GOOGLETRANSLATE(A25759, ""en"", ""mt"")"),"Kemm djar kellhom is-servizz satellitari dirett għal dar ta 'BSKYB disponibbli għalihom fl-2010?")</f>
        <v>Kemm djar kellhom is-servizz satellitari dirett għal dar ta 'BSKYB disponibbli għalihom fl-2010?</v>
      </c>
    </row>
    <row r="25760" ht="15.75" customHeight="1">
      <c r="A25760" s="2" t="s">
        <v>25760</v>
      </c>
      <c r="B25760" s="2" t="str">
        <f>IFERROR(__xludf.DUMMYFUNCTION("GOOGLETRANSLATE(A25760, ""en"", ""mt"")"),"Liema park ikopri żona ta '76 ettari.?")</f>
        <v>Liema park ikopri żona ta '76 ettari.?</v>
      </c>
    </row>
    <row r="25761" ht="15.75" customHeight="1">
      <c r="A25761" s="2" t="s">
        <v>25761</v>
      </c>
      <c r="B25761" s="2" t="str">
        <f>IFERROR(__xludf.DUMMYFUNCTION("GOOGLETRANSLATE(A25761, ""en"", ""mt"")"),"Min hu l-president attwali u r-rappreżentant għoli għall-politika barranija u ta 'sigurtà?")</f>
        <v>Min hu l-president attwali u r-rappreżentant għoli għall-politika barranija u ta 'sigurtà?</v>
      </c>
    </row>
    <row r="25762" ht="15.75" customHeight="1">
      <c r="A25762" s="2" t="s">
        <v>25762</v>
      </c>
      <c r="B25762" s="2" t="str">
        <f>IFERROR(__xludf.DUMMYFUNCTION("GOOGLETRANSLATE(A25762, ""en"", ""mt"")"),"Liema skultura minn Michelangelo għandha replika ta 'daqs sħiħ fil-qrati mitfugħa?")</f>
        <v>Liema skultura minn Michelangelo għandha replika ta 'daqs sħiħ fil-qrati mitfugħa?</v>
      </c>
    </row>
    <row r="25763" ht="15.75" customHeight="1">
      <c r="A25763" s="2" t="s">
        <v>25763</v>
      </c>
      <c r="B25763" s="2" t="str">
        <f>IFERROR(__xludf.DUMMYFUNCTION("GOOGLETRANSLATE(A25763, ""en"", ""mt"")"),"Negozjanti Ġenesi")</f>
        <v>Negozjanti Ġenesi</v>
      </c>
    </row>
    <row r="25764" ht="15.75" customHeight="1">
      <c r="A25764" s="2" t="s">
        <v>25764</v>
      </c>
      <c r="B25764" s="2" t="str">
        <f>IFERROR(__xludf.DUMMYFUNCTION("GOOGLETRANSLATE(A25764, ""en"", ""mt"")"),"Iċ-ċikkulata kollha Taljana hija magħmula minn dak biss?")</f>
        <v>Iċ-ċikkulata kollha Taljana hija magħmula minn dak biss?</v>
      </c>
    </row>
    <row r="25765" ht="15.75" customHeight="1">
      <c r="A25765" s="2" t="s">
        <v>25765</v>
      </c>
      <c r="B25765" s="2" t="str">
        <f>IFERROR(__xludf.DUMMYFUNCTION("GOOGLETRANSLATE(A25765, ""en"", ""mt"")"),"Minħabba l-elettronegatività tiegħu, l-ossiġnu jifforma bonds kimiċi ma 'kważi l-elementi l-oħra kollha biex jagħtu ossidi korrispondenti. Il-wiċċ tal-biċċa l-kbira tal-metalli, bħall-aluminju u t-titanju, huma ossidizzati fil-preżenza ta 'l-arja u jsiru "&amp;"miksija b'film irqiq ta' ossidu li jiċċaqlaq il-metall u jrażżan aktar korrużjoni. Ħafna ossidi tal-metalli ta 'transizzjoni huma komposti mhux stojkjometriċi, bi ftit inqas metall milli turi l-formula kimika. Pereżempju, il-FEO minerali (Wüstite) huwa mi"&amp;"ktub bħala Fe
1 - xo, fejn x normalment ikun madwar 0.05.")</f>
        <v>Minħabba l-elettronegatività tiegħu, l-ossiġnu jifforma bonds kimiċi ma 'kważi l-elementi l-oħra kollha biex jagħtu ossidi korrispondenti. Il-wiċċ tal-biċċa l-kbira tal-metalli, bħall-aluminju u t-titanju, huma ossidizzati fil-preżenza ta 'l-arja u jsiru miksija b'film irqiq ta' ossidu li jiċċaqlaq il-metall u jrażżan aktar korrużjoni. Ħafna ossidi tal-metalli ta 'transizzjoni huma komposti mhux stojkjometriċi, bi ftit inqas metall milli turi l-formula kimika. Pereżempju, il-FEO minerali (Wüstite) huwa miktub bħala Fe
1 - xo, fejn x normalment ikun madwar 0.05.</v>
      </c>
    </row>
    <row r="25766" ht="15.75" customHeight="1">
      <c r="A25766" s="2" t="s">
        <v>25766</v>
      </c>
      <c r="B25766" s="2" t="str">
        <f>IFERROR(__xludf.DUMMYFUNCTION("GOOGLETRANSLATE(A25766, ""en"", ""mt"")"),"Min ippunt il-ballun għal Carolina?")</f>
        <v>Min ippunt il-ballun għal Carolina?</v>
      </c>
    </row>
    <row r="25767" ht="15.75" customHeight="1">
      <c r="A25767" s="2" t="s">
        <v>25767</v>
      </c>
      <c r="B25767" s="2" t="str">
        <f>IFERROR(__xludf.DUMMYFUNCTION("GOOGLETRANSLATE(A25767, ""en"", ""mt"")"),"Molekuli instabbli ta 'sitt karboniċi li jqassmu immedjatament")</f>
        <v>Molekuli instabbli ta 'sitt karboniċi li jqassmu immedjatament</v>
      </c>
    </row>
    <row r="25768" ht="15.75" customHeight="1">
      <c r="A25768" s="2" t="s">
        <v>25768</v>
      </c>
      <c r="B25768" s="2" t="str">
        <f>IFERROR(__xludf.DUMMYFUNCTION("GOOGLETRANSLATE(A25768, ""en"", ""mt"")"),"ħadem biex jirradikalizza l-moviment Iżlamista")</f>
        <v>ħadem biex jirradikalizza l-moviment Iżlamista</v>
      </c>
    </row>
    <row r="25769" ht="15.75" customHeight="1">
      <c r="A25769" s="2" t="s">
        <v>25769</v>
      </c>
      <c r="B25769" s="2" t="str">
        <f>IFERROR(__xludf.DUMMYFUNCTION("GOOGLETRANSLATE(A25769, ""en"", ""mt"")"),"Il-bennejja jitolbu ftit flus biex tlesti l-proġett")</f>
        <v>Il-bennejja jitolbu ftit flus biex tlesti l-proġett</v>
      </c>
    </row>
    <row r="25770" ht="15.75" customHeight="1">
      <c r="A25770" s="2" t="s">
        <v>25770</v>
      </c>
      <c r="B25770" s="2" t="str">
        <f>IFERROR(__xludf.DUMMYFUNCTION("GOOGLETRANSLATE(A25770, ""en"", ""mt"")"),"11")</f>
        <v>11</v>
      </c>
    </row>
    <row r="25771" ht="15.75" customHeight="1">
      <c r="A25771" s="2" t="s">
        <v>25771</v>
      </c>
      <c r="B25771" s="2" t="str">
        <f>IFERROR(__xludf.DUMMYFUNCTION("GOOGLETRANSLATE(A25771, ""en"", ""mt"")"),"Knisja konfessjonali bbażata fuq fidi u esperjenza personali u knisja territorjali inkluża kollha f'lokalità partikolari")</f>
        <v>Knisja konfessjonali bbażata fuq fidi u esperjenza personali u knisja territorjali inkluża kollha f'lokalità partikolari</v>
      </c>
    </row>
    <row r="25772" ht="15.75" customHeight="1">
      <c r="A25772" s="2" t="s">
        <v>25772</v>
      </c>
      <c r="B25772" s="2" t="str">
        <f>IFERROR(__xludf.DUMMYFUNCTION("GOOGLETRANSLATE(A25772, ""en"", ""mt"")"),"Th1")</f>
        <v>Th1</v>
      </c>
    </row>
    <row r="25773" ht="15.75" customHeight="1">
      <c r="A25773" s="2" t="s">
        <v>25773</v>
      </c>
      <c r="B25773" s="2" t="str">
        <f>IFERROR(__xludf.DUMMYFUNCTION("GOOGLETRANSLATE(A25773, ""en"", ""mt"")"),"Il-mantell tad-dinja")</f>
        <v>Il-mantell tad-dinja</v>
      </c>
    </row>
    <row r="25774" ht="15.75" customHeight="1">
      <c r="A25774" s="2" t="s">
        <v>25774</v>
      </c>
      <c r="B25774" s="2" t="str">
        <f>IFERROR(__xludf.DUMMYFUNCTION("GOOGLETRANSLATE(A25774, ""en"", ""mt"")"),"Mit-twaqqif tagħha, l-UE ħadmet fost pluralità dejjem tiżdied ta 'sistemi legali nazzjonali u globalizzanti. Dan fisser kemm il-Qorti Ewropea tal-Ġustizzja kif ukoll l-ogħla qrati nazzjonali kellhom jiżviluppaw prinċipji biex isolvu kunflitti ta 'liġijiet"&amp;" bejn sistemi differenti. Fi ħdan l-UE nnifisha, il-fehma tal-Qorti tal-Ġustizzja hija li jekk il-liġi tal-UE tkun f’kunflitti ma ’dispożizzjoni tal-liġi nazzjonali, allura l-liġi tal-UE għandha l-primat. Fl-ewwel każ ewlieni fl-1964, Costa v Enel, avukat"&amp;" Milanese, u ex-azzjonist ta 'kumpanija tal-enerġija, bl-isem is-Sur Costa rrifjutaw li jħallsu l-kont tal-elettriku tiegħu biex jeħlu, bħala protesta kontra n-nazzjonalizzazzjoni tal-korporazzjonijiet tal-enerġija Taljani. Huwa ddikjara li l-liġi tan-naz"&amp;"zjonalizzazzjoni Taljana kienet f’kunflitt mat-Trattat ta ’Ruma, u talab referenza kemm lill-Qorti Kostituzzjonali Taljana kif ukoll lill-Qorti tal-Ġustizzja taħt l-Artikolu 267. Il-Qorti Kostituzzjonali Taljana tat opinjoni li minħabba l-liġi tan-nazzjon"&amp;"alizzazzjoni kienet mill-1962 , u t-trattat kien fis-seħħ mill-1958, Costa ma kellha l-ebda talba. B'kuntrast, il-Qorti tal-Ġustizzja ddeċidiet li fl-aħħar it-Trattat ta 'Ruma bl-ebda mod ma evita n-nazzjonalizzazzjoni tal-enerġija, u fi kwalunkwe każ taħ"&amp;"t id-dispożizzjonijiet tat-trattati biss il-Kummissjoni setgħet ġabet talba, mhux is-Sur Costa. Madankollu, fil-prinċipju, is-Sur Costa kien intitolat li jinvoka li t-trattat kien f’kunflitt mal-liġi nazzjonali, u l-qorti jkollha d-dmir li tikkunsidra t-t"&amp;"alba tiegħu li tagħmel referenza jekk ma jkun hemm l-ebda appell kontra d-deċiżjoni tiegħu. Il-Qorti tal-Ġustizzja, li rrepetiet il-fehma tagħha f'Van Gend en Loos, qalet li l-istati membri ""għalkemm fi sferi limitati, illimitaw id-drittijiet sovrani tag"&amp;"ħhom u ħolqu korp ta 'liġi applikabbli kemm għaċ-ċittadini tagħhom kif ukoll lilhom infushom"" fuq il- ""bażi ta' reċiproċità"" - Il-liġi tal-UE ma tkunx ""twarrab minn dispożizzjonijiet legali domestiċi, madankollu inkwadrata ... mingħajr il-bażi legali "&amp;"tal-komunità nnifisha ma tkunx ikkontestata."" Dan kien ifisser kull ""att unilaterali sussegwenti"" ta 'l-Istat Membru inapplikabbli. Bl-istess mod, f'Amministrazione Delle Finanze vs Simmenthal Spa, kumpanija, Simmenthal Spa, sostniet li ħlas ta 'spezzj"&amp;"oni tas-saħħa pubblika taħt il-liġi Taljana tal-1970 għall-importazzjoni taċ-ċanga minn Franza lejn l-Italja għall-Italja kien kuntrarju għal żewġ regolamenti mill-1964 u l-1968. Il-prinċipju tal-preċedenza tal-liġi tal-komunità, ""qalet il-Qorti tal-Ġust"&amp;"izzja,"" il-miżuri applikabbli direttament tal-istituzzjonijiet ""(bħar-regolamenti fil-każ)"" tirrendi awtomatikament inapplikabbli kwalunkwe dispożizzjoni konfliġġenti tal-liġi nazzjonali attwali "". Dan kien meħtieġ biex jiġi evitat ""ċaħda korrisponde"&amp;"nti"" ta 'obbligi ta' trattat ""imwettqa mingħajr kundizzjonijiet u irrevokabbilment mill-istati membri"", li jistgħu ""jimperixxu l-pedamenti stess ta 'l-UE. Iżda minkejja l-opinjonijiet tal-Qorti tal-Ġustizzja, il-Qrati Nazzjonali tal-Istati Membri ma a"&amp;"ċċettawx l-istess analiżi.")</f>
        <v>Mit-twaqqif tagħha, l-UE ħadmet fost pluralità dejjem tiżdied ta 'sistemi legali nazzjonali u globalizzanti. Dan fisser kemm il-Qorti Ewropea tal-Ġustizzja kif ukoll l-ogħla qrati nazzjonali kellhom jiżviluppaw prinċipji biex isolvu kunflitti ta 'liġijiet bejn sistemi differenti. Fi ħdan l-UE nnifisha, il-fehma tal-Qorti tal-Ġustizzja hija li jekk il-liġi tal-UE tkun f’kunflitti ma ’dispożizzjoni tal-liġi nazzjonali, allura l-liġi tal-UE għandha l-primat. Fl-ewwel każ ewlieni fl-1964, Costa v Enel, avukat Milanese, u ex-azzjonist ta 'kumpanija tal-enerġija, bl-isem is-Sur Costa rrifjutaw li jħallsu l-kont tal-elettriku tiegħu biex jeħlu, bħala protesta kontra n-nazzjonalizzazzjoni tal-korporazzjonijiet tal-enerġija Taljani. Huwa ddikjara li l-liġi tan-nazzjonalizzazzjoni Taljana kienet f’kunflitt mat-Trattat ta ’Ruma, u talab referenza kemm lill-Qorti Kostituzzjonali Taljana kif ukoll lill-Qorti tal-Ġustizzja taħt l-Artikolu 267. Il-Qorti Kostituzzjonali Taljana tat opinjoni li minħabba l-liġi tan-nazzjonalizzazzjoni kienet mill-1962 , u t-trattat kien fis-seħħ mill-1958, Costa ma kellha l-ebda talba. B'kuntrast, il-Qorti tal-Ġustizzja ddeċidiet li fl-aħħar it-Trattat ta 'Ruma bl-ebda mod ma evita n-nazzjonalizzazzjoni tal-enerġija, u fi kwalunkwe każ taħt id-dispożizzjonijiet tat-trattati biss il-Kummissjoni setgħet ġabet talba, mhux is-Sur Costa. Madankollu, fil-prinċipju, is-Sur Costa kien intitolat li jinvoka li t-trattat kien f’kunflitt mal-liġi nazzjonali, u l-qorti jkollha d-dmir li tikkunsidra t-talba tiegħu li tagħmel referenza jekk ma jkun hemm l-ebda appell kontra d-deċiżjoni tiegħu. Il-Qorti tal-Ġustizzja, li rrepetiet il-fehma tagħha f'Van Gend en Loos, qalet li l-istati membri "għalkemm fi sferi limitati, illimitaw id-drittijiet sovrani tagħhom u ħolqu korp ta 'liġi applikabbli kemm għaċ-ċittadini tagħhom kif ukoll lilhom infushom" fuq il- "bażi ta' reċiproċità" - Il-liġi tal-UE ma tkunx "twarrab minn dispożizzjonijiet legali domestiċi, madankollu inkwadrata ... mingħajr il-bażi legali tal-komunità nnifisha ma tkunx ikkontestata." Dan kien ifisser kull "att unilaterali sussegwenti" ta 'l-Istat Membru inapplikabbli. Bl-istess mod, f'Amministrazione Delle Finanze vs Simmenthal Spa, kumpanija, Simmenthal Spa, sostniet li ħlas ta 'spezzjoni tas-saħħa pubblika taħt il-liġi Taljana tal-1970 għall-importazzjoni taċ-ċanga minn Franza lejn l-Italja għall-Italja kien kuntrarju għal żewġ regolamenti mill-1964 u l-1968. Il-prinċipju tal-preċedenza tal-liġi tal-komunità, "qalet il-Qorti tal-Ġustizzja," il-miżuri applikabbli direttament tal-istituzzjonijiet "(bħar-regolamenti fil-każ)" tirrendi awtomatikament inapplikabbli kwalunkwe dispożizzjoni konfliġġenti tal-liġi nazzjonali attwali ". Dan kien meħtieġ biex jiġi evitat "ċaħda korrispondenti" ta 'obbligi ta' trattat "imwettqa mingħajr kundizzjonijiet u irrevokabbilment mill-istati membri", li jistgħu "jimperixxu l-pedamenti stess ta 'l-UE. Iżda minkejja l-opinjonijiet tal-Qorti tal-Ġustizzja, il-Qrati Nazzjonali tal-Istati Membri ma aċċettawx l-istess analiżi.</v>
      </c>
    </row>
    <row r="25775" ht="15.75" customHeight="1">
      <c r="A25775" s="2" t="s">
        <v>25775</v>
      </c>
      <c r="B25775" s="2" t="str">
        <f>IFERROR(__xludf.DUMMYFUNCTION("GOOGLETRANSLATE(A25775, ""en"", ""mt"")"),"Id-dritt li jinħolqu skejjel privati ​​fil-Ġermanja jinsab fl-Artikolu 7, il-paragrafu 4 tal-Grundgesetz u ma jistax jiġi sospiż anke fi stat ta 'emerġenza. Mhuwiex possibbli wkoll li jitneħħew dawn id-drittijiet. Din il-protezzjoni mhux tas-soltu ta 'ske"&amp;"jjel privati ​​ġiet implimentata biex tipproteġi dawn l-iskejjel mit-tieni Gleichschaltung jew avveniment simili fil-futur. Xorta, huma inqas komuni milli f'ħafna pajjiżi oħra. B'mod ġenerali, bejn l-1992 u l-2008 il-mija tal-istudenti fi skejjel bħal daw"&amp;"n fil-Ġermanja żdiedu minn 6.1% għal 7.8% (inkluż żieda minn 0.5% għal 6.1% fl-eks GDR). Perċentwali ta 'studenti fi skejjel għolja privati ​​laħqu 11.1%.")</f>
        <v>Id-dritt li jinħolqu skejjel privati ​​fil-Ġermanja jinsab fl-Artikolu 7, il-paragrafu 4 tal-Grundgesetz u ma jistax jiġi sospiż anke fi stat ta 'emerġenza. Mhuwiex possibbli wkoll li jitneħħew dawn id-drittijiet. Din il-protezzjoni mhux tas-soltu ta 'skejjel privati ​​ġiet implimentata biex tipproteġi dawn l-iskejjel mit-tieni Gleichschaltung jew avveniment simili fil-futur. Xorta, huma inqas komuni milli f'ħafna pajjiżi oħra. B'mod ġenerali, bejn l-1992 u l-2008 il-mija tal-istudenti fi skejjel bħal dawn fil-Ġermanja żdiedu minn 6.1% għal 7.8% (inkluż żieda minn 0.5% għal 6.1% fl-eks GDR). Perċentwali ta 'studenti fi skejjel għolja privati ​​laħqu 11.1%.</v>
      </c>
    </row>
    <row r="25776" ht="15.75" customHeight="1">
      <c r="A25776" s="2" t="s">
        <v>25776</v>
      </c>
      <c r="B25776" s="2" t="str">
        <f>IFERROR(__xludf.DUMMYFUNCTION("GOOGLETRANSLATE(A25776, ""en"", ""mt"")"),"Min hu l-quarterback preżenti tal-Broncos?")</f>
        <v>Min hu l-quarterback preżenti tal-Broncos?</v>
      </c>
    </row>
    <row r="25777" ht="15.75" customHeight="1">
      <c r="A25777" s="2" t="s">
        <v>25777</v>
      </c>
      <c r="B25777" s="2" t="str">
        <f>IFERROR(__xludf.DUMMYFUNCTION("GOOGLETRANSLATE(A25777, ""en"", ""mt"")"),"Liema perjodu kien 2.5 miljun sena ilu?")</f>
        <v>Liema perjodu kien 2.5 miljun sena ilu?</v>
      </c>
    </row>
    <row r="25778" ht="15.75" customHeight="1">
      <c r="A25778" s="2" t="s">
        <v>25778</v>
      </c>
      <c r="B25778" s="2" t="str">
        <f>IFERROR(__xludf.DUMMYFUNCTION("GOOGLETRANSLATE(A25778, ""en"", ""mt"")"),"Għaliex il-Viżjoni 2030 żiedet il-NCCAP?")</f>
        <v>Għaliex il-Viżjoni 2030 żiedet il-NCCAP?</v>
      </c>
    </row>
    <row r="25779" ht="15.75" customHeight="1">
      <c r="A25779" s="2" t="s">
        <v>25779</v>
      </c>
      <c r="B25779" s="2" t="str">
        <f>IFERROR(__xludf.DUMMYFUNCTION("GOOGLETRANSLATE(A25779, ""en"", ""mt"")"),"X'inhu l-isem tal-istadium fiż-Żona tal-Bajja ta 'San Francisco?")</f>
        <v>X'inhu l-isem tal-istadium fiż-Żona tal-Bajja ta 'San Francisco?</v>
      </c>
    </row>
    <row r="25780" ht="15.75" customHeight="1">
      <c r="A25780" s="2" t="s">
        <v>25780</v>
      </c>
      <c r="B25780" s="2" t="str">
        <f>IFERROR(__xludf.DUMMYFUNCTION("GOOGLETRANSLATE(A25780, ""en"", ""mt"")"),"Il-Maroons huma apparti liema assoċjazzjoni?")</f>
        <v>Il-Maroons huma apparti liema assoċjazzjoni?</v>
      </c>
    </row>
    <row r="25781" ht="15.75" customHeight="1">
      <c r="A25781" s="2" t="s">
        <v>25781</v>
      </c>
      <c r="B25781" s="2" t="str">
        <f>IFERROR(__xludf.DUMMYFUNCTION("GOOGLETRANSLATE(A25781, ""en"", ""mt"")"),"""Triq Huguenot Distrett Storiku"" fi New Paltz")</f>
        <v>"Triq Huguenot Distrett Storiku" fi New Paltz</v>
      </c>
    </row>
    <row r="25782" ht="15.75" customHeight="1">
      <c r="A25782" s="2" t="s">
        <v>25782</v>
      </c>
      <c r="B25782" s="2" t="str">
        <f>IFERROR(__xludf.DUMMYFUNCTION("GOOGLETRANSLATE(A25782, ""en"", ""mt"")"),"Onon")</f>
        <v>Onon</v>
      </c>
    </row>
    <row r="25783" ht="15.75" customHeight="1">
      <c r="A25783" s="2" t="s">
        <v>25783</v>
      </c>
      <c r="B25783" s="2" t="str">
        <f>IFERROR(__xludf.DUMMYFUNCTION("GOOGLETRANSLATE(A25783, ""en"", ""mt"")"),"1253")</f>
        <v>1253</v>
      </c>
    </row>
    <row r="25784" ht="15.75" customHeight="1">
      <c r="A25784" s="2" t="s">
        <v>25784</v>
      </c>
      <c r="B25784" s="2" t="str">
        <f>IFERROR(__xludf.DUMMYFUNCTION("GOOGLETRANSLATE(A25784, ""en"", ""mt"")"),"Esperimenti fiżiċi")</f>
        <v>Esperimenti fiżiċi</v>
      </c>
    </row>
    <row r="25785" ht="15.75" customHeight="1">
      <c r="A25785" s="2" t="s">
        <v>25785</v>
      </c>
      <c r="B25785" s="2" t="str">
        <f>IFERROR(__xludf.DUMMYFUNCTION("GOOGLETRANSLATE(A25785, ""en"", ""mt"")"),"il-prodott tal-membrana taċ-ċellula tal-ospitanti li tinftiehem biex tifforma vesicle biex tdawwar iċ-cyanobacterium antenat")</f>
        <v>il-prodott tal-membrana taċ-ċellula tal-ospitanti li tinftiehem biex tifforma vesicle biex tdawwar iċ-cyanobacterium antenat</v>
      </c>
    </row>
    <row r="25786" ht="15.75" customHeight="1">
      <c r="A25786" s="2" t="s">
        <v>25786</v>
      </c>
      <c r="B25786" s="2" t="str">
        <f>IFERROR(__xludf.DUMMYFUNCTION("GOOGLETRANSLATE(A25786, ""en"", ""mt"")"),"Matul il-Watersheds ta 'San Lawrenz u Mississippi")</f>
        <v>Matul il-Watersheds ta 'San Lawrenz u Mississippi</v>
      </c>
    </row>
    <row r="25787" ht="15.75" customHeight="1">
      <c r="A25787" s="2" t="s">
        <v>25787</v>
      </c>
      <c r="B25787" s="2" t="str">
        <f>IFERROR(__xludf.DUMMYFUNCTION("GOOGLETRANSLATE(A25787, ""en"", ""mt"")"),"Biex tevita li tfixkel jew tfixkel lin-nies, Luther evita bidla estrema. Huwa wkoll ma riedx jissostitwixxi sistema ta 'kontroll waħda ma' oħra. Huwa kkonċentra fuq il-knisja fl-elettorat tas-Sassonja, li jaġixxi biss bħala konsulent għall-knejjes f'terri"&amp;"torji ġodda, li ħafna minnhom segwew il-mudell Sassonu tiegħu. Huwa ħadem mill-qrib mal-elettur il-ġdid, John the Staadfast, li miegħu rrikorra għal tmexxija sekulari u fondi f'isem knisja fil-biċċa l-kbira ta 'l-assi u d-dħul tagħha wara l-waqfa ma' Ruma"&amp;". Għall-bijografu ta 'Luther Martin Brecht, din is-sħubija ""kienet il-bidu ta' żvilupp dubjuż u oriġinarjament mhux intenzjonat lejn gvern tal-knisja taħt is-sovran temporali"". L-elettur awtorizza żjara tal-knisja, poter li qabel kien eżerċitat mill-isq"&amp;"fijiet. Xi drabi, ir-riformi prattiċi ta 'Luther ma kinux qosra mill-pronunzji radikali preċedenti tiegħu. Pereżempju, l-istruzzjonijiet għall-viżitaturi tar-ragħajja parrokkjali fis-Sassonja Elettorali (1528), abbozzati minn Melanchthon bl-approvazzjoni "&amp;"ta 'Luther, enfasizzaw ir-rwol tal-indiema fil-maħfra tad-dnubiet, minkejja l-pożizzjoni ta' Luther li l-fidi waħedha tiżgura l-ġustifikazzjoni. Ir-riformatur ta 'Eisleben Johannes Agricola kkontesta dan il-kompromess, u Luther ikkundannah għat-tagħlim li"&amp;" l-fidi hija separata mix-xogħlijiet. L-istruzzjoni hija dokument problematiku għal dawk li jfittxu evoluzzjoni konsistenti fil-ħsieb u l-prattika ta 'Luther.")</f>
        <v>Biex tevita li tfixkel jew tfixkel lin-nies, Luther evita bidla estrema. Huwa wkoll ma riedx jissostitwixxi sistema ta 'kontroll waħda ma' oħra. Huwa kkonċentra fuq il-knisja fl-elettorat tas-Sassonja, li jaġixxi biss bħala konsulent għall-knejjes f'territorji ġodda, li ħafna minnhom segwew il-mudell Sassonu tiegħu. Huwa ħadem mill-qrib mal-elettur il-ġdid, John the Staadfast, li miegħu rrikorra għal tmexxija sekulari u fondi f'isem knisja fil-biċċa l-kbira ta 'l-assi u d-dħul tagħha wara l-waqfa ma' Ruma. Għall-bijografu ta 'Luther Martin Brecht, din is-sħubija "kienet il-bidu ta' żvilupp dubjuż u oriġinarjament mhux intenzjonat lejn gvern tal-knisja taħt is-sovran temporali". L-elettur awtorizza żjara tal-knisja, poter li qabel kien eżerċitat mill-isqfijiet. Xi drabi, ir-riformi prattiċi ta 'Luther ma kinux qosra mill-pronunzji radikali preċedenti tiegħu. Pereżempju, l-istruzzjonijiet għall-viżitaturi tar-ragħajja parrokkjali fis-Sassonja Elettorali (1528), abbozzati minn Melanchthon bl-approvazzjoni ta 'Luther, enfasizzaw ir-rwol tal-indiema fil-maħfra tad-dnubiet, minkejja l-pożizzjoni ta' Luther li l-fidi waħedha tiżgura l-ġustifikazzjoni. Ir-riformatur ta 'Eisleben Johannes Agricola kkontesta dan il-kompromess, u Luther ikkundannah għat-tagħlim li l-fidi hija separata mix-xogħlijiet. L-istruzzjoni hija dokument problematiku għal dawk li jfittxu evoluzzjoni konsistenti fil-ħsieb u l-prattika ta 'Luther.</v>
      </c>
    </row>
    <row r="25788" ht="15.75" customHeight="1">
      <c r="A25788" s="2" t="s">
        <v>25788</v>
      </c>
      <c r="B25788" s="2" t="str">
        <f>IFERROR(__xludf.DUMMYFUNCTION("GOOGLETRANSLATE(A25788, ""en"", ""mt"")"),"il-kontenut ta 'enerġija tiegħu")</f>
        <v>il-kontenut ta 'enerġija tiegħu</v>
      </c>
    </row>
    <row r="25789" ht="15.75" customHeight="1">
      <c r="A25789" s="2" t="s">
        <v>25789</v>
      </c>
      <c r="B25789" s="2" t="str">
        <f>IFERROR(__xludf.DUMMYFUNCTION("GOOGLETRANSLATE(A25789, ""en"", ""mt"")"),"X'għandhom jgħaddu n-nies għal popolazzjonijiet indiġeni?")</f>
        <v>X'għandhom jgħaddu n-nies għal popolazzjonijiet indiġeni?</v>
      </c>
    </row>
    <row r="25790" ht="15.75" customHeight="1">
      <c r="A25790" s="2" t="s">
        <v>25790</v>
      </c>
      <c r="B25790" s="2" t="str">
        <f>IFERROR(__xludf.DUMMYFUNCTION("GOOGLETRANSLATE(A25790, ""en"", ""mt"")"),"riżultat taż-żieda tal-kriminalità u tal-faqar")</f>
        <v>riżultat taż-żieda tal-kriminalità u tal-faqar</v>
      </c>
    </row>
    <row r="25791" ht="15.75" customHeight="1">
      <c r="A25791" s="2" t="s">
        <v>25791</v>
      </c>
      <c r="B25791" s="2" t="str">
        <f>IFERROR(__xludf.DUMMYFUNCTION("GOOGLETRANSLATE(A25791, ""en"", ""mt"")"),"Petrolju")</f>
        <v>Petrolju</v>
      </c>
    </row>
    <row r="25792" ht="15.75" customHeight="1">
      <c r="A25792" s="2" t="s">
        <v>25792</v>
      </c>
      <c r="B25792" s="2" t="str">
        <f>IFERROR(__xludf.DUMMYFUNCTION("GOOGLETRANSLATE(A25792, ""en"", ""mt"")"),"Delta tal-marea")</f>
        <v>Delta tal-marea</v>
      </c>
    </row>
    <row r="25793" ht="15.75" customHeight="1">
      <c r="A25793" s="2" t="s">
        <v>25793</v>
      </c>
      <c r="B25793" s="2" t="str">
        <f>IFERROR(__xludf.DUMMYFUNCTION("GOOGLETRANSLATE(A25793, ""en"", ""mt"")"),"Sena kull darba,")</f>
        <v>Sena kull darba,</v>
      </c>
    </row>
    <row r="25794" ht="15.75" customHeight="1">
      <c r="A25794" s="2" t="s">
        <v>25794</v>
      </c>
      <c r="B25794" s="2" t="str">
        <f>IFERROR(__xludf.DUMMYFUNCTION("GOOGLETRANSLATE(A25794, ""en"", ""mt"")"),"Jan Hus")</f>
        <v>Jan Hus</v>
      </c>
    </row>
    <row r="25795" ht="15.75" customHeight="1">
      <c r="A25795" s="2" t="s">
        <v>25795</v>
      </c>
      <c r="B25795" s="2" t="str">
        <f>IFERROR(__xludf.DUMMYFUNCTION("GOOGLETRANSLATE(A25795, ""en"", ""mt"")"),"ir-renju")</f>
        <v>ir-renju</v>
      </c>
    </row>
    <row r="25796" ht="15.75" customHeight="1">
      <c r="A25796" s="2" t="s">
        <v>25796</v>
      </c>
      <c r="B25796" s="2" t="str">
        <f>IFERROR(__xludf.DUMMYFUNCTION("GOOGLETRANSLATE(A25796, ""en"", ""mt"")"),"Ilma skur")</f>
        <v>Ilma skur</v>
      </c>
    </row>
    <row r="25797" ht="15.75" customHeight="1">
      <c r="A25797" s="2" t="s">
        <v>25797</v>
      </c>
      <c r="B25797" s="2" t="str">
        <f>IFERROR(__xludf.DUMMYFUNCTION("GOOGLETRANSLATE(A25797, ""en"", ""mt"")"),"Min ħaseb li Luther kien wara t-teżijiet tal-Antinomjani li jiċċirkolaw f'Wittenberg?")</f>
        <v>Min ħaseb li Luther kien wara t-teżijiet tal-Antinomjani li jiċċirkolaw f'Wittenberg?</v>
      </c>
    </row>
    <row r="25798" ht="15.75" customHeight="1">
      <c r="A25798" s="2" t="s">
        <v>25798</v>
      </c>
      <c r="B25798" s="2" t="str">
        <f>IFERROR(__xludf.DUMMYFUNCTION("GOOGLETRANSLATE(A25798, ""en"", ""mt"")"),"Wara s-sufan")</f>
        <v>Wara s-sufan</v>
      </c>
    </row>
    <row r="25799" ht="15.75" customHeight="1">
      <c r="A25799" s="2" t="s">
        <v>25799</v>
      </c>
      <c r="B25799" s="2" t="str">
        <f>IFERROR(__xludf.DUMMYFUNCTION("GOOGLETRANSLATE(A25799, ""en"", ""mt"")"),"tqajjem il-produttività ta 'kull ħaddiem")</f>
        <v>tqajjem il-produttività ta 'kull ħaddiem</v>
      </c>
    </row>
    <row r="25800" ht="15.75" customHeight="1">
      <c r="A25800" s="2" t="s">
        <v>25800</v>
      </c>
      <c r="B25800" s="2" t="str">
        <f>IFERROR(__xludf.DUMMYFUNCTION("GOOGLETRANSLATE(A25800, ""en"", ""mt"")"),"tirrifletti x-xewqa li tħeġġeġ kunsens fost il-membri eletti")</f>
        <v>tirrifletti x-xewqa li tħeġġeġ kunsens fost il-membri eletti</v>
      </c>
    </row>
    <row r="25801" ht="15.75" customHeight="1">
      <c r="A25801" s="2" t="s">
        <v>25801</v>
      </c>
      <c r="B25801" s="2" t="str">
        <f>IFERROR(__xludf.DUMMYFUNCTION("GOOGLETRANSLATE(A25801, ""en"", ""mt"")"),"triplu")</f>
        <v>triplu</v>
      </c>
    </row>
    <row r="25802" ht="15.75" customHeight="1">
      <c r="A25802" s="2" t="s">
        <v>25802</v>
      </c>
      <c r="B25802" s="2" t="str">
        <f>IFERROR(__xludf.DUMMYFUNCTION("GOOGLETRANSLATE(A25802, ""en"", ""mt"")"),"Waqt eskursjoni tal-kaċċa waħda")</f>
        <v>Waqt eskursjoni tal-kaċċa waħda</v>
      </c>
    </row>
    <row r="25803" ht="15.75" customHeight="1">
      <c r="A25803" s="2" t="s">
        <v>25803</v>
      </c>
      <c r="B25803" s="2" t="str">
        <f>IFERROR(__xludf.DUMMYFUNCTION("GOOGLETRANSLATE(A25803, ""en"", ""mt"")"),"10 ta 'tè ta' nofsinhar (chai ya saa nne) u l-4 pm")</f>
        <v>10 ta 'tè ta' nofsinhar (chai ya saa nne) u l-4 pm</v>
      </c>
    </row>
    <row r="25804" ht="15.75" customHeight="1">
      <c r="A25804" s="2" t="s">
        <v>25804</v>
      </c>
      <c r="B25804" s="2" t="str">
        <f>IFERROR(__xludf.DUMMYFUNCTION("GOOGLETRANSLATE(A25804, ""en"", ""mt"")"),"Meta kien id-debutt tal-ispeċjal tal-1983 imsejjaħ il-Ħames Tobba?")</f>
        <v>Meta kien id-debutt tal-ispeċjal tal-1983 imsejjaħ il-Ħames Tobba?</v>
      </c>
    </row>
    <row r="25805" ht="15.75" customHeight="1">
      <c r="A25805" s="2" t="s">
        <v>25805</v>
      </c>
      <c r="B25805" s="2" t="str">
        <f>IFERROR(__xludf.DUMMYFUNCTION("GOOGLETRANSLATE(A25805, ""en"", ""mt"")"),"Is-soċjalisti jattribwixxu d-differenzi kbar fil-ġid lill-pussess privat tal-mezzi ta 'produzzjoni minn klassi ta' sidien, li joħolqu sitwazzjoni fejn porzjon żgħir tal-popolazzjoni jgħix dħul mill-propjetà mhux mistħoqq bis-saħħa ta 'titli ta' sjieda f't"&amp;"agħmir kapitali, assi finanzjarji u korporattivi stokk. B'kuntrast, il-maġġoranza l-kbira tal-popolazzjoni tiddependi fuq id-dħul fil-forma ta 'paga jew salarju. Sabiex jiġu rranġati din is-sitwazzjoni, is-soċjalisti jargumentaw li l-mezzi ta 'produzzjoni"&amp;" għandhom ikunu proprjetà soċjalment sabiex id-differenzjali tad-dħul jirriflettu l-kontribuzzjonijiet individwali għall-prodott soċjali.")</f>
        <v>Is-soċjalisti jattribwixxu d-differenzi kbar fil-ġid lill-pussess privat tal-mezzi ta 'produzzjoni minn klassi ta' sidien, li joħolqu sitwazzjoni fejn porzjon żgħir tal-popolazzjoni jgħix dħul mill-propjetà mhux mistħoqq bis-saħħa ta 'titli ta' sjieda f'tagħmir kapitali, assi finanzjarji u korporattivi stokk. B'kuntrast, il-maġġoranza l-kbira tal-popolazzjoni tiddependi fuq id-dħul fil-forma ta 'paga jew salarju. Sabiex jiġu rranġati din is-sitwazzjoni, is-soċjalisti jargumentaw li l-mezzi ta 'produzzjoni għandhom ikunu proprjetà soċjalment sabiex id-differenzjali tad-dħul jirriflettu l-kontribuzzjonijiet individwali għall-prodott soċjali.</v>
      </c>
    </row>
    <row r="25806" ht="15.75" customHeight="1">
      <c r="A25806" s="2" t="s">
        <v>25806</v>
      </c>
      <c r="B25806" s="2" t="str">
        <f>IFERROR(__xludf.DUMMYFUNCTION("GOOGLETRANSLATE(A25806, ""en"", ""mt"")"),"il-ġenb")</f>
        <v>il-ġenb</v>
      </c>
    </row>
    <row r="25807" ht="15.75" customHeight="1">
      <c r="A25807" s="2" t="s">
        <v>25807</v>
      </c>
      <c r="B25807" s="2" t="str">
        <f>IFERROR(__xludf.DUMMYFUNCTION("GOOGLETRANSLATE(A25807, ""en"", ""mt"")"),"agrikoltura")</f>
        <v>agrikoltura</v>
      </c>
    </row>
    <row r="25808" ht="15.75" customHeight="1">
      <c r="A25808" s="2" t="s">
        <v>25808</v>
      </c>
      <c r="B25808" s="2" t="str">
        <f>IFERROR(__xludf.DUMMYFUNCTION("GOOGLETRANSLATE(A25808, ""en"", ""mt"")"),"Il-fuljetti għandhom jingħataw lill-ġurija tal-fuljett stess bħala evidenza")</f>
        <v>Il-fuljetti għandhom jingħataw lill-ġurija tal-fuljett stess bħala evidenza</v>
      </c>
    </row>
    <row r="25809" ht="15.75" customHeight="1">
      <c r="A25809" s="2" t="s">
        <v>25809</v>
      </c>
      <c r="B25809" s="2" t="str">
        <f>IFERROR(__xludf.DUMMYFUNCTION("GOOGLETRANSLATE(A25809, ""en"", ""mt"")"),"il-Ġermaniż Te Deum")</f>
        <v>il-Ġermaniż Te Deum</v>
      </c>
    </row>
    <row r="25810" ht="15.75" customHeight="1">
      <c r="A25810" s="2" t="s">
        <v>25810</v>
      </c>
      <c r="B25810" s="2" t="str">
        <f>IFERROR(__xludf.DUMMYFUNCTION("GOOGLETRANSLATE(A25810, ""en"", ""mt"")"),"F'liema spiss jipparteċipaw l-ispiżjara kliniċi?")</f>
        <v>F'liema spiss jipparteċipaw l-ispiżjara kliniċi?</v>
      </c>
    </row>
    <row r="25811" ht="15.75" customHeight="1">
      <c r="A25811" s="2" t="s">
        <v>25811</v>
      </c>
      <c r="B25811" s="2" t="str">
        <f>IFERROR(__xludf.DUMMYFUNCTION("GOOGLETRANSLATE(A25811, ""en"", ""mt"")"),"iffrankar u investiment")</f>
        <v>iffrankar u investiment</v>
      </c>
    </row>
    <row r="25812" ht="15.75" customHeight="1">
      <c r="A25812" s="2" t="s">
        <v>25812</v>
      </c>
      <c r="B25812" s="2" t="str">
        <f>IFERROR(__xludf.DUMMYFUNCTION("GOOGLETRANSLATE(A25812, ""en"", ""mt"")"),"Kemm flus spejjeż kummerċjali ta '1/2 minuta?")</f>
        <v>Kemm flus spejjeż kummerċjali ta '1/2 minuta?</v>
      </c>
    </row>
    <row r="25813" ht="15.75" customHeight="1">
      <c r="A25813" s="2" t="s">
        <v>25813</v>
      </c>
      <c r="B25813" s="2" t="str">
        <f>IFERROR(__xludf.DUMMYFUNCTION("GOOGLETRANSLATE(A25813, ""en"", ""mt"")"),"Kemm il-karbonju jinħela billi juża O2 minflok CO2?")</f>
        <v>Kemm il-karbonju jinħela billi juża O2 minflok CO2?</v>
      </c>
    </row>
    <row r="25814" ht="15.75" customHeight="1">
      <c r="A25814" s="2" t="s">
        <v>25814</v>
      </c>
      <c r="B25814" s="2" t="str">
        <f>IFERROR(__xludf.DUMMYFUNCTION("GOOGLETRANSLATE(A25814, ""en"", ""mt"")"),"Kemm hemm kwadrangles il-kwadrangles ewlenin?")</f>
        <v>Kemm hemm kwadrangles il-kwadrangles ewlenin?</v>
      </c>
    </row>
    <row r="25815" ht="15.75" customHeight="1">
      <c r="A25815" s="2" t="s">
        <v>25815</v>
      </c>
      <c r="B25815" s="2" t="str">
        <f>IFERROR(__xludf.DUMMYFUNCTION("GOOGLETRANSLATE(A25815, ""en"", ""mt"")"),"Rapporti jiddokumentaw li kemm hemm protestanti ta 'Parisien inqatlu sas-17 ta' Settembru?")</f>
        <v>Rapporti jiddokumentaw li kemm hemm protestanti ta 'Parisien inqatlu sas-17 ta' Settembru?</v>
      </c>
    </row>
    <row r="25816" ht="15.75" customHeight="1">
      <c r="A25816" s="2" t="s">
        <v>25816</v>
      </c>
      <c r="B25816" s="2" t="str">
        <f>IFERROR(__xludf.DUMMYFUNCTION("GOOGLETRANSLATE(A25816, ""en"", ""mt"")"),"istantanjament f'pari ta 'reazzjoni ta' azzjoni")</f>
        <v>istantanjament f'pari ta 'reazzjoni ta' azzjoni</v>
      </c>
    </row>
    <row r="25817" ht="15.75" customHeight="1">
      <c r="A25817" s="2" t="s">
        <v>25817</v>
      </c>
      <c r="B25817" s="2" t="str">
        <f>IFERROR(__xludf.DUMMYFUNCTION("GOOGLETRANSLATE(A25817, ""en"", ""mt"")"),"Aqsam biex tifforma pirenojdi ġodda, jew tiġi prodotta ""de novo""")</f>
        <v>Aqsam biex tifforma pirenojdi ġodda, jew tiġi prodotta "de novo"</v>
      </c>
    </row>
    <row r="25818" ht="15.75" customHeight="1">
      <c r="A25818" s="2" t="s">
        <v>25818</v>
      </c>
      <c r="B25818" s="2" t="str">
        <f>IFERROR(__xludf.DUMMYFUNCTION("GOOGLETRANSLATE(A25818, ""en"", ""mt"")"),"Jirriżenja")</f>
        <v>Jirriżenja</v>
      </c>
    </row>
    <row r="25819" ht="15.75" customHeight="1">
      <c r="A25819" s="2" t="s">
        <v>25819</v>
      </c>
      <c r="B25819" s="2" t="str">
        <f>IFERROR(__xludf.DUMMYFUNCTION("GOOGLETRANSLATE(A25819, ""en"", ""mt"")"),"X'niedi l-Papa Leo X kontra Luther?")</f>
        <v>X'niedi l-Papa Leo X kontra Luther?</v>
      </c>
    </row>
    <row r="25820" ht="15.75" customHeight="1">
      <c r="A25820" s="2" t="s">
        <v>25820</v>
      </c>
      <c r="B25820" s="2" t="str">
        <f>IFERROR(__xludf.DUMMYFUNCTION("GOOGLETRANSLATE(A25820, ""en"", ""mt"")"),"110 mph")</f>
        <v>110 mph</v>
      </c>
    </row>
    <row r="25821" ht="15.75" customHeight="1">
      <c r="A25821" s="2" t="s">
        <v>25821</v>
      </c>
      <c r="B25821" s="2" t="str">
        <f>IFERROR(__xludf.DUMMYFUNCTION("GOOGLETRANSLATE(A25821, ""en"", ""mt"")"),"Sa liema età l-istudenti fir-Renju Unit jattendu skejjel preparatorji?")</f>
        <v>Sa liema età l-istudenti fir-Renju Unit jattendu skejjel preparatorji?</v>
      </c>
    </row>
    <row r="25822" ht="15.75" customHeight="1">
      <c r="A25822" s="2" t="s">
        <v>25822</v>
      </c>
      <c r="B25822" s="2" t="str">
        <f>IFERROR(__xludf.DUMMYFUNCTION("GOOGLETRANSLATE(A25822, ""en"", ""mt"")"),"Il-Kap tat-Tama t-Tajba")</f>
        <v>Il-Kap tat-Tama t-Tajba</v>
      </c>
    </row>
    <row r="25823" ht="15.75" customHeight="1">
      <c r="A25823" s="2" t="s">
        <v>25823</v>
      </c>
      <c r="B25823" s="2" t="str">
        <f>IFERROR(__xludf.DUMMYFUNCTION("GOOGLETRANSLATE(A25823, ""en"", ""mt"")"),"Satellita li kejjel l-ammont ta 'trab li tmur l-Amazon kien imsemmi xiex?")</f>
        <v>Satellita li kejjel l-ammont ta 'trab li tmur l-Amazon kien imsemmi xiex?</v>
      </c>
    </row>
    <row r="25824" ht="15.75" customHeight="1">
      <c r="A25824" s="2" t="s">
        <v>25824</v>
      </c>
      <c r="B25824" s="2" t="str">
        <f>IFERROR(__xludf.DUMMYFUNCTION("GOOGLETRANSLATE(A25824, ""en"", ""mt"")"),"Transpac")</f>
        <v>Transpac</v>
      </c>
    </row>
    <row r="25825" ht="15.75" customHeight="1">
      <c r="A25825" s="2" t="s">
        <v>25825</v>
      </c>
      <c r="B25825" s="2" t="str">
        <f>IFERROR(__xludf.DUMMYFUNCTION("GOOGLETRANSLATE(A25825, ""en"", ""mt"")"),"timpjega spiżjara konsulenti u / jew tipprovdi servizzi ta 'konsultazzjoni")</f>
        <v>timpjega spiżjara konsulenti u / jew tipprovdi servizzi ta 'konsultazzjoni</v>
      </c>
    </row>
    <row r="25826" ht="15.75" customHeight="1">
      <c r="A25826" s="2" t="s">
        <v>25826</v>
      </c>
      <c r="B25826" s="2" t="str">
        <f>IFERROR(__xludf.DUMMYFUNCTION("GOOGLETRANSLATE(A25826, ""en"", ""mt"")"),"nies li għandhom piż żejjed")</f>
        <v>nies li għandhom piż żejjed</v>
      </c>
    </row>
    <row r="25827" ht="15.75" customHeight="1">
      <c r="A25827" s="2" t="s">
        <v>25827</v>
      </c>
      <c r="B25827" s="2" t="str">
        <f>IFERROR(__xludf.DUMMYFUNCTION("GOOGLETRANSLATE(A25827, ""en"", ""mt"")"),"Ċentru tat-Titjira Spazjali Marshall (MSFC)")</f>
        <v>Ċentru tat-Titjira Spazjali Marshall (MSFC)</v>
      </c>
    </row>
    <row r="25828" ht="15.75" customHeight="1">
      <c r="A25828" s="2" t="s">
        <v>25828</v>
      </c>
      <c r="B25828" s="2" t="str">
        <f>IFERROR(__xludf.DUMMYFUNCTION("GOOGLETRANSLATE(A25828, ""en"", ""mt"")"),"1798")</f>
        <v>1798</v>
      </c>
    </row>
    <row r="25829" ht="15.75" customHeight="1">
      <c r="A25829" s="2" t="s">
        <v>25829</v>
      </c>
      <c r="B25829" s="2" t="str">
        <f>IFERROR(__xludf.DUMMYFUNCTION("GOOGLETRANSLATE(A25829, ""en"", ""mt"")"),"It-tentakli twal fuq il-Pleurbrachia huma protetti minn xiex?")</f>
        <v>It-tentakli twal fuq il-Pleurbrachia huma protetti minn xiex?</v>
      </c>
    </row>
    <row r="25830" ht="15.75" customHeight="1">
      <c r="A25830" s="2" t="s">
        <v>25830</v>
      </c>
      <c r="B25830" s="2" t="str">
        <f>IFERROR(__xludf.DUMMYFUNCTION("GOOGLETRANSLATE(A25830, ""en"", ""mt"")"),"X’għamlu l-istoriċi fin-nuqqas ta ’figuri taċ-ċensiment?")</f>
        <v>X’għamlu l-istoriċi fin-nuqqas ta ’figuri taċ-ċensiment?</v>
      </c>
    </row>
    <row r="25831" ht="15.75" customHeight="1">
      <c r="A25831" s="2" t="s">
        <v>25831</v>
      </c>
      <c r="B25831" s="2" t="str">
        <f>IFERROR(__xludf.DUMMYFUNCTION("GOOGLETRANSLATE(A25831, ""en"", ""mt"")"),"X'inhi d-Delta fir-Rhine delimitat fil-Punent?")</f>
        <v>X'inhi d-Delta fir-Rhine delimitat fil-Punent?</v>
      </c>
    </row>
    <row r="25832" ht="15.75" customHeight="1">
      <c r="A25832" s="2" t="s">
        <v>25832</v>
      </c>
      <c r="B25832" s="2" t="str">
        <f>IFERROR(__xludf.DUMMYFUNCTION("GOOGLETRANSLATE(A25832, ""en"", ""mt"")"),"Min hu responsabbli biex jiżgura li l-Parlament jaħdem sewwa?")</f>
        <v>Min hu responsabbli biex jiżgura li l-Parlament jaħdem sewwa?</v>
      </c>
    </row>
    <row r="25833" ht="15.75" customHeight="1">
      <c r="A25833" s="2" t="s">
        <v>25833</v>
      </c>
      <c r="B25833" s="2" t="str">
        <f>IFERROR(__xludf.DUMMYFUNCTION("GOOGLETRANSLATE(A25833, ""en"", ""mt"")"),"Min kiteb il-poeżija The Mark of Anarchy?")</f>
        <v>Min kiteb il-poeżija The Mark of Anarchy?</v>
      </c>
    </row>
    <row r="25834" ht="15.75" customHeight="1">
      <c r="A25834" s="2" t="s">
        <v>25834</v>
      </c>
      <c r="B25834" s="2" t="str">
        <f>IFERROR(__xludf.DUMMYFUNCTION("GOOGLETRANSLATE(A25834, ""en"", ""mt"")"),"Kemm hi wiesgħa r-Renu fil-Ġermanja bejn Emmrich u Cleves?")</f>
        <v>Kemm hi wiesgħa r-Renu fil-Ġermanja bejn Emmrich u Cleves?</v>
      </c>
    </row>
    <row r="25835" ht="15.75" customHeight="1">
      <c r="A25835" s="2" t="s">
        <v>25835</v>
      </c>
      <c r="B25835" s="2" t="str">
        <f>IFERROR(__xludf.DUMMYFUNCTION("GOOGLETRANSLATE(A25835, ""en"", ""mt"")"),"Videoguard")</f>
        <v>Videoguard</v>
      </c>
    </row>
    <row r="25836" ht="15.75" customHeight="1">
      <c r="A25836" s="2" t="s">
        <v>25836</v>
      </c>
      <c r="B25836" s="2" t="str">
        <f>IFERROR(__xludf.DUMMYFUNCTION("GOOGLETRANSLATE(A25836, ""en"", ""mt"")"),"F'liema nisel tal-kloroplast tinsab Cyanophora?")</f>
        <v>F'liema nisel tal-kloroplast tinsab Cyanophora?</v>
      </c>
    </row>
    <row r="25837" ht="15.75" customHeight="1">
      <c r="A25837" s="2" t="s">
        <v>25837</v>
      </c>
      <c r="B25837" s="2" t="str">
        <f>IFERROR(__xludf.DUMMYFUNCTION("GOOGLETRANSLATE(A25837, ""en"", ""mt"")"),"Hugh Downs")</f>
        <v>Hugh Downs</v>
      </c>
    </row>
    <row r="25838" ht="15.75" customHeight="1">
      <c r="A25838" s="2" t="s">
        <v>25838</v>
      </c>
      <c r="B25838" s="2" t="str">
        <f>IFERROR(__xludf.DUMMYFUNCTION("GOOGLETRANSLATE(A25838, ""en"", ""mt"")"),"Min mexxa t-truppi ta 'Kievjan Rus kontra l-armata Mongoljana ta' Subutai?")</f>
        <v>Min mexxa t-truppi ta 'Kievjan Rus kontra l-armata Mongoljana ta' Subutai?</v>
      </c>
    </row>
    <row r="25839" ht="15.75" customHeight="1">
      <c r="A25839" s="2" t="s">
        <v>25839</v>
      </c>
      <c r="B25839" s="2" t="str">
        <f>IFERROR(__xludf.DUMMYFUNCTION("GOOGLETRANSLATE(A25839, ""en"", ""mt"")"),"Meta kienet il-Battalja ta 'Frankenhausen?")</f>
        <v>Meta kienet il-Battalja ta 'Frankenhausen?</v>
      </c>
    </row>
    <row r="25840" ht="15.75" customHeight="1">
      <c r="A25840" s="2" t="s">
        <v>25840</v>
      </c>
      <c r="B25840" s="2" t="str">
        <f>IFERROR(__xludf.DUMMYFUNCTION("GOOGLETRANSLATE(A25840, ""en"", ""mt"")"),"Nies li jagħtu servizzi ""għar-remunerazzjoni"", speċjalment attività kummerċjali jew professjonali")</f>
        <v>Nies li jagħtu servizzi "għar-remunerazzjoni", speċjalment attività kummerċjali jew professjonali</v>
      </c>
    </row>
    <row r="25841" ht="15.75" customHeight="1">
      <c r="A25841" s="2" t="s">
        <v>25841</v>
      </c>
      <c r="B25841" s="2" t="str">
        <f>IFERROR(__xludf.DUMMYFUNCTION("GOOGLETRANSLATE(A25841, ""en"", ""mt"")"),"Davies huwa kkreditat li jgħaqqad il-bdil tal-pakketti tal-isem modern u jispira bosta netwerks tal-iswiċċ tal-pakketti fl-Ewropa")</f>
        <v>Davies huwa kkreditat li jgħaqqad il-bdil tal-pakketti tal-isem modern u jispira bosta netwerks tal-iswiċċ tal-pakketti fl-Ewropa</v>
      </c>
    </row>
    <row r="25842" ht="15.75" customHeight="1">
      <c r="A25842" s="2" t="s">
        <v>25842</v>
      </c>
      <c r="B25842" s="2" t="str">
        <f>IFERROR(__xludf.DUMMYFUNCTION("GOOGLETRANSLATE(A25842, ""en"", ""mt"")"),"tkun maqtula permezz ta 'xogħol żejjed")</f>
        <v>tkun maqtula permezz ta 'xogħol żejjed</v>
      </c>
    </row>
    <row r="25843" ht="15.75" customHeight="1">
      <c r="A25843" s="2" t="s">
        <v>25843</v>
      </c>
      <c r="B25843" s="2" t="str">
        <f>IFERROR(__xludf.DUMMYFUNCTION("GOOGLETRANSLATE(A25843, ""en"", ""mt"")"),"Eżattament fit-8.10 p.m.")</f>
        <v>Eżattament fit-8.10 p.m.</v>
      </c>
    </row>
    <row r="25844" ht="15.75" customHeight="1">
      <c r="A25844" s="2" t="s">
        <v>25844</v>
      </c>
      <c r="B25844" s="2" t="str">
        <f>IFERROR(__xludf.DUMMYFUNCTION("GOOGLETRANSLATE(A25844, ""en"", ""mt"")"),"Prim")</f>
        <v>Prim</v>
      </c>
    </row>
    <row r="25845" ht="15.75" customHeight="1">
      <c r="A25845" s="2" t="s">
        <v>25845</v>
      </c>
      <c r="B25845" s="2" t="str">
        <f>IFERROR(__xludf.DUMMYFUNCTION("GOOGLETRANSLATE(A25845, ""en"", ""mt"")"),"F’liema sena fetħet il-plejers tal-pranzu u tal-kumpanija tajba ta ’Roger Rocka?")</f>
        <v>F’liema sena fetħet il-plejers tal-pranzu u tal-kumpanija tajba ta ’Roger Rocka?</v>
      </c>
    </row>
    <row r="25846" ht="15.75" customHeight="1">
      <c r="A25846" s="2" t="s">
        <v>25846</v>
      </c>
      <c r="B25846" s="2" t="str">
        <f>IFERROR(__xludf.DUMMYFUNCTION("GOOGLETRANSLATE(A25846, ""en"", ""mt"")"),"Ġeofiżika")</f>
        <v>Ġeofiżika</v>
      </c>
    </row>
    <row r="25847" ht="15.75" customHeight="1">
      <c r="A25847" s="2" t="s">
        <v>25847</v>
      </c>
      <c r="B25847" s="2" t="str">
        <f>IFERROR(__xludf.DUMMYFUNCTION("GOOGLETRANSLATE(A25847, ""en"", ""mt"")"),"X'inhi r-rata medja ta 'tkabbir tal-istat?")</f>
        <v>X'inhi r-rata medja ta 'tkabbir tal-istat?</v>
      </c>
    </row>
    <row r="25848" ht="15.75" customHeight="1">
      <c r="A25848" s="2" t="s">
        <v>25848</v>
      </c>
      <c r="B25848" s="2" t="str">
        <f>IFERROR(__xludf.DUMMYFUNCTION("GOOGLETRANSLATE(A25848, ""en"", ""mt"")"),"Liema president Eġizzjan ħabs eluf ta 'membri tal-fratellanza?")</f>
        <v>Liema president Eġizzjan ħabs eluf ta 'membri tal-fratellanza?</v>
      </c>
    </row>
    <row r="25849" ht="15.75" customHeight="1">
      <c r="A25849" s="2" t="s">
        <v>25849</v>
      </c>
      <c r="B25849" s="2" t="str">
        <f>IFERROR(__xludf.DUMMYFUNCTION("GOOGLETRANSLATE(A25849, ""en"", ""mt"")"),"Meta ssieħbu l-Meuse u l-Waal?")</f>
        <v>Meta ssieħbu l-Meuse u l-Waal?</v>
      </c>
    </row>
    <row r="25850" ht="15.75" customHeight="1">
      <c r="A25850" s="2" t="s">
        <v>25850</v>
      </c>
      <c r="B25850" s="2" t="str">
        <f>IFERROR(__xludf.DUMMYFUNCTION("GOOGLETRANSLATE(A25850, ""en"", ""mt"")"),"X'kien għan fit-tul tal-politika barranija Franċiża tul ir-Renu?")</f>
        <v>X'kien għan fit-tul tal-politika barranija Franċiża tul ir-Renu?</v>
      </c>
    </row>
    <row r="25851" ht="15.75" customHeight="1">
      <c r="A25851" s="2" t="s">
        <v>25851</v>
      </c>
      <c r="B25851" s="2" t="str">
        <f>IFERROR(__xludf.DUMMYFUNCTION("GOOGLETRANSLATE(A25851, ""en"", ""mt"")"),"7:00 sad-9.00 a.m")</f>
        <v>7:00 sad-9.00 a.m</v>
      </c>
    </row>
    <row r="25852" ht="15.75" customHeight="1">
      <c r="A25852" s="2" t="s">
        <v>25852</v>
      </c>
      <c r="B25852" s="2" t="str">
        <f>IFERROR(__xludf.DUMMYFUNCTION("GOOGLETRANSLATE(A25852, ""en"", ""mt"")"),"Hemm żewġ tipi ta 'thylakoids - thylakoids granali, li huma rranġati f'Grana, u thylakoids stromali, li huma f'kuntatt mal-istoma. Thylakoids tal-granal huma diski ċirkulari b'forma ta 'pancake madwar 300-600 nanometru fid-dijametru. Thylakoids stromali h"&amp;"uma folji helicoid li spirali madwar Grana. L-uċuħ ċatti u l-qigħan tat-thylakoids tal-granal fihom biss il-kumpless tal-proteina Photosystem II relattivament ċatt. Dan jippermettilhom li jwaqqfu sewwa, u jiffurmaw Grana b'ħafna saffi ta 'membrana stretta"&amp;"ment, imsejħa membrana tal-granal, li żżid l-istabbiltà u l-erja tal-wiċċ għall-qbid tad-dawl.")</f>
        <v>Hemm żewġ tipi ta 'thylakoids - thylakoids granali, li huma rranġati f'Grana, u thylakoids stromali, li huma f'kuntatt mal-istoma. Thylakoids tal-granal huma diski ċirkulari b'forma ta 'pancake madwar 300-600 nanometru fid-dijametru. Thylakoids stromali huma folji helicoid li spirali madwar Grana. L-uċuħ ċatti u l-qigħan tat-thylakoids tal-granal fihom biss il-kumpless tal-proteina Photosystem II relattivament ċatt. Dan jippermettilhom li jwaqqfu sewwa, u jiffurmaw Grana b'ħafna saffi ta 'membrana strettament, imsejħa membrana tal-granal, li żżid l-istabbiltà u l-erja tal-wiċċ għall-qbid tad-dawl.</v>
      </c>
    </row>
    <row r="25853" ht="15.75" customHeight="1">
      <c r="A25853" s="2" t="s">
        <v>25853</v>
      </c>
      <c r="B25853" s="2" t="str">
        <f>IFERROR(__xludf.DUMMYFUNCTION("GOOGLETRANSLATE(A25853, ""en"", ""mt"")"),"L-ekonomija, l-enerġija u t-turiżmu huwa wieħed minn xiex?")</f>
        <v>L-ekonomija, l-enerġija u t-turiżmu huwa wieħed minn xiex?</v>
      </c>
    </row>
    <row r="25854" ht="15.75" customHeight="1">
      <c r="A25854" s="2" t="s">
        <v>25854</v>
      </c>
      <c r="B25854" s="2" t="str">
        <f>IFERROR(__xludf.DUMMYFUNCTION("GOOGLETRANSLATE(A25854, ""en"", ""mt"")"),"X'kienet id-difiża Ingliża normali?")</f>
        <v>X'kienet id-difiża Ingliża normali?</v>
      </c>
    </row>
    <row r="25855" ht="15.75" customHeight="1">
      <c r="A25855" s="2" t="s">
        <v>25855</v>
      </c>
      <c r="B25855" s="2" t="str">
        <f>IFERROR(__xludf.DUMMYFUNCTION("GOOGLETRANSLATE(A25855, ""en"", ""mt"")"),"Serje 1")</f>
        <v>Serje 1</v>
      </c>
    </row>
    <row r="25856" ht="15.75" customHeight="1">
      <c r="A25856" s="2" t="s">
        <v>25856</v>
      </c>
      <c r="B25856" s="2" t="str">
        <f>IFERROR(__xludf.DUMMYFUNCTION("GOOGLETRANSLATE(A25856, ""en"", ""mt"")"),"Afranji")</f>
        <v>Afranji</v>
      </c>
    </row>
    <row r="25857" ht="15.75" customHeight="1">
      <c r="A25857" s="2" t="s">
        <v>25857</v>
      </c>
      <c r="B25857" s="2" t="str">
        <f>IFERROR(__xludf.DUMMYFUNCTION("GOOGLETRANSLATE(A25857, ""en"", ""mt"")"),"ditti involuti fil-ġestjoni ta 'proġetti ta' kostruzzjoni")</f>
        <v>ditti involuti fil-ġestjoni ta 'proġetti ta' kostruzzjoni</v>
      </c>
    </row>
    <row r="25858" ht="15.75" customHeight="1">
      <c r="A25858" s="2" t="s">
        <v>25858</v>
      </c>
      <c r="B25858" s="2" t="str">
        <f>IFERROR(__xludf.DUMMYFUNCTION("GOOGLETRANSLATE(A25858, ""en"", ""mt"")"),"X'tipi ta 'djar huma ddisinjati minn Fresno Architects?")</f>
        <v>X'tipi ta 'djar huma ddisinjati minn Fresno Architects?</v>
      </c>
    </row>
    <row r="25859" ht="15.75" customHeight="1">
      <c r="A25859" s="2" t="s">
        <v>25859</v>
      </c>
      <c r="B25859" s="2" t="str">
        <f>IFERROR(__xludf.DUMMYFUNCTION("GOOGLETRANSLATE(A25859, ""en"", ""mt"")"),"Gradjenti topografiċi")</f>
        <v>Gradjenti topografiċi</v>
      </c>
    </row>
    <row r="25860" ht="15.75" customHeight="1">
      <c r="A25860" s="2" t="s">
        <v>25860</v>
      </c>
      <c r="B25860" s="2" t="str">
        <f>IFERROR(__xludf.DUMMYFUNCTION("GOOGLETRANSLATE(A25860, ""en"", ""mt"")"),"1712")</f>
        <v>1712</v>
      </c>
    </row>
    <row r="25861" ht="15.75" customHeight="1">
      <c r="A25861" s="2" t="s">
        <v>25861</v>
      </c>
      <c r="B25861" s="2" t="str">
        <f>IFERROR(__xludf.DUMMYFUNCTION("GOOGLETRANSLATE(A25861, ""en"", ""mt"")"),"Interazzjonijiet potenzjali tal-mediċina, reazzjonijiet avversi għall-mediċina, u jivvalutaw l-allerġiji tal-mediċina tal-pazjent")</f>
        <v>Interazzjonijiet potenzjali tal-mediċina, reazzjonijiet avversi għall-mediċina, u jivvalutaw l-allerġiji tal-mediċina tal-pazjent</v>
      </c>
    </row>
    <row r="25862" ht="15.75" customHeight="1">
      <c r="A25862" s="2" t="s">
        <v>25862</v>
      </c>
      <c r="B25862" s="2" t="str">
        <f>IFERROR(__xludf.DUMMYFUNCTION("GOOGLETRANSLATE(A25862, ""en"", ""mt"")"),"Nolo Contendere")</f>
        <v>Nolo Contendere</v>
      </c>
    </row>
    <row r="25863" ht="15.75" customHeight="1">
      <c r="A25863" s="2" t="s">
        <v>25863</v>
      </c>
      <c r="B25863" s="2" t="str">
        <f>IFERROR(__xludf.DUMMYFUNCTION("GOOGLETRANSLATE(A25863, ""en"", ""mt"")"),"Liema oġġetti jinkludu l-kollezzjoni John Jones?")</f>
        <v>Liema oġġetti jinkludu l-kollezzjoni John Jones?</v>
      </c>
    </row>
    <row r="25864" ht="15.75" customHeight="1">
      <c r="A25864" s="2" t="s">
        <v>25864</v>
      </c>
      <c r="B25864" s="2" t="str">
        <f>IFERROR(__xludf.DUMMYFUNCTION("GOOGLETRANSLATE(A25864, ""en"", ""mt"")"),"Is-sitt inqas")</f>
        <v>Is-sitt inqas</v>
      </c>
    </row>
    <row r="25865" ht="15.75" customHeight="1">
      <c r="A25865" s="2" t="s">
        <v>25865</v>
      </c>
      <c r="B25865" s="2" t="str">
        <f>IFERROR(__xludf.DUMMYFUNCTION("GOOGLETRANSLATE(A25865, ""en"", ""mt"")"),"Min ippreżenta lill-Mac lill-Parlament Skoċċiż meta kien inizjalment miftuħ?")</f>
        <v>Min ippreżenta lill-Mac lill-Parlament Skoċċiż meta kien inizjalment miftuħ?</v>
      </c>
    </row>
    <row r="25866" ht="15.75" customHeight="1">
      <c r="A25866" s="2" t="s">
        <v>25866</v>
      </c>
      <c r="B25866" s="2" t="str">
        <f>IFERROR(__xludf.DUMMYFUNCTION("GOOGLETRANSLATE(A25866, ""en"", ""mt"")"),"il-faċilità ta 'prattika tal-istat ta' San Jose")</f>
        <v>il-faċilità ta 'prattika tal-istat ta' San Jose</v>
      </c>
    </row>
    <row r="25867" ht="15.75" customHeight="1">
      <c r="A25867" s="2" t="s">
        <v>25867</v>
      </c>
      <c r="B25867" s="2" t="str">
        <f>IFERROR(__xludf.DUMMYFUNCTION("GOOGLETRANSLATE(A25867, ""en"", ""mt"")"),"Reġjun ta 'Upper Rhine")</f>
        <v>Reġjun ta 'Upper Rhine</v>
      </c>
    </row>
    <row r="25868" ht="15.75" customHeight="1">
      <c r="A25868" s="2" t="s">
        <v>25868</v>
      </c>
      <c r="B25868" s="2" t="str">
        <f>IFERROR(__xludf.DUMMYFUNCTION("GOOGLETRANSLATE(A25868, ""en"", ""mt"")"),"labirint ta 'problemi semantiċi")</f>
        <v>labirint ta 'problemi semantiċi</v>
      </c>
    </row>
    <row r="25869" ht="15.75" customHeight="1">
      <c r="A25869" s="2" t="s">
        <v>25869</v>
      </c>
      <c r="B25869" s="2" t="str">
        <f>IFERROR(__xludf.DUMMYFUNCTION("GOOGLETRANSLATE(A25869, ""en"", ""mt"")"),"Liema xmara tifred lil Jacksonville?")</f>
        <v>Liema xmara tifred lil Jacksonville?</v>
      </c>
    </row>
    <row r="25870" ht="15.75" customHeight="1">
      <c r="A25870" s="2" t="s">
        <v>25870</v>
      </c>
      <c r="B25870" s="2" t="str">
        <f>IFERROR(__xludf.DUMMYFUNCTION("GOOGLETRANSLATE(A25870, ""en"", ""mt"")"),"Min ta lil Newcastle charter ġdid fl-1589?")</f>
        <v>Min ta lil Newcastle charter ġdid fl-1589?</v>
      </c>
    </row>
    <row r="25871" ht="15.75" customHeight="1">
      <c r="A25871" s="2" t="s">
        <v>25871</v>
      </c>
      <c r="B25871" s="2" t="str">
        <f>IFERROR(__xludf.DUMMYFUNCTION("GOOGLETRANSLATE(A25871, ""en"", ""mt"")"),"X'inhi l-qalba storika ta 'Newcastle?")</f>
        <v>X'inhi l-qalba storika ta 'Newcastle?</v>
      </c>
    </row>
    <row r="25872" ht="15.75" customHeight="1">
      <c r="A25872" s="2" t="s">
        <v>25872</v>
      </c>
      <c r="B25872" s="2" t="str">
        <f>IFERROR(__xludf.DUMMYFUNCTION("GOOGLETRANSLATE(A25872, ""en"", ""mt"")"),"Mhuwiex ċert kif ctenophores jikkontrollaw il-galleġġjatura tagħhom, iżda l-esperimenti wrew li xi speċi jiddependu fuq pressjoni osmotika biex jadattaw għall-ilma ta 'densitajiet differenti. Il-fluwidi tal-ġisem tagħhom huma normalment ikkonċentrati daqs"&amp;" l-ilma baħar. Jekk jidħlu f'ilma brackish inqas dens, il-rosettes ciliary fil-kavità tal-ġisem jistgħu jippompjaw dan fil-mesoglea biex iżidu l-massa tiegħu u jnaqqsu d-densità tiegħu, biex jevitaw l-għarqa. Bil-maqlub jekk jimxu minn salmura għal ilma b"&amp;"aħar b'saħħa sħiħa, ir-rosettes jistgħu jippompjaw l-ilma barra mill-mesoglea biex inaqqsu l-volum tiegħu u jżidu d-densità tiegħu.")</f>
        <v>Mhuwiex ċert kif ctenophores jikkontrollaw il-galleġġjatura tagħhom, iżda l-esperimenti wrew li xi speċi jiddependu fuq pressjoni osmotika biex jadattaw għall-ilma ta 'densitajiet differenti. Il-fluwidi tal-ġisem tagħhom huma normalment ikkonċentrati daqs l-ilma baħar. Jekk jidħlu f'ilma brackish inqas dens, il-rosettes ciliary fil-kavità tal-ġisem jistgħu jippompjaw dan fil-mesoglea biex iżidu l-massa tiegħu u jnaqqsu d-densità tiegħu, biex jevitaw l-għarqa. Bil-maqlub jekk jimxu minn salmura għal ilma baħar b'saħħa sħiħa, ir-rosettes jistgħu jippompjaw l-ilma barra mill-mesoglea biex inaqqsu l-volum tiegħu u jżidu d-densità tiegħu.</v>
      </c>
    </row>
    <row r="25873" ht="15.75" customHeight="1">
      <c r="A25873" s="2" t="s">
        <v>25873</v>
      </c>
      <c r="B25873" s="2" t="str">
        <f>IFERROR(__xludf.DUMMYFUNCTION("GOOGLETRANSLATE(A25873, ""en"", ""mt"")"),"Meta jseħħu l-plastoglobuli fi gruppi marbuta?")</f>
        <v>Meta jseħħu l-plastoglobuli fi gruppi marbuta?</v>
      </c>
    </row>
    <row r="25874" ht="15.75" customHeight="1">
      <c r="A25874" s="2" t="s">
        <v>25874</v>
      </c>
      <c r="B25874" s="2" t="str">
        <f>IFERROR(__xludf.DUMMYFUNCTION("GOOGLETRANSLATE(A25874, ""en"", ""mt"")"),"Xi jfisser li l-Mużew Nazzjonali jiftaħar mill-kollezzjoni privata ta 'Adolf Hitler?")</f>
        <v>Xi jfisser li l-Mużew Nazzjonali jiftaħar mill-kollezzjoni privata ta 'Adolf Hitler?</v>
      </c>
    </row>
    <row r="25875" ht="15.75" customHeight="1">
      <c r="A25875" s="2" t="s">
        <v>25875</v>
      </c>
      <c r="B25875" s="2" t="str">
        <f>IFERROR(__xludf.DUMMYFUNCTION("GOOGLETRANSLATE(A25875, ""en"", ""mt"")"),"X'tagħmel din id-dikjarazzjoni tal-ispettaklu ta 'Tetzel dwaru?")</f>
        <v>X'tagħmel din id-dikjarazzjoni tal-ispettaklu ta 'Tetzel dwaru?</v>
      </c>
    </row>
    <row r="25876" ht="15.75" customHeight="1">
      <c r="A25876" s="2" t="s">
        <v>25876</v>
      </c>
      <c r="B25876" s="2" t="str">
        <f>IFERROR(__xludf.DUMMYFUNCTION("GOOGLETRANSLATE(A25876, ""en"", ""mt"")"),"Kemm hemm kloroplasti f'mm kwadru ta 'werqa?")</f>
        <v>Kemm hemm kloroplasti f'mm kwadru ta 'werqa?</v>
      </c>
    </row>
    <row r="25877" ht="15.75" customHeight="1">
      <c r="A25877" s="2" t="s">
        <v>25877</v>
      </c>
      <c r="B25877" s="2" t="str">
        <f>IFERROR(__xludf.DUMMYFUNCTION("GOOGLETRANSLATE(A25877, ""en"", ""mt"")"),"eżegwit")</f>
        <v>eżegwit</v>
      </c>
    </row>
    <row r="25878" ht="15.75" customHeight="1">
      <c r="A25878" s="2" t="s">
        <v>25878</v>
      </c>
      <c r="B25878" s="2" t="str">
        <f>IFERROR(__xludf.DUMMYFUNCTION("GOOGLETRANSLATE(A25878, ""en"", ""mt"")"),"F'liema sena kien il-mudell definittiv ta 'Alan Turing ta' apparat tal-komputazzjoni li rċieva?")</f>
        <v>F'liema sena kien il-mudell definittiv ta 'Alan Turing ta' apparat tal-komputazzjoni li rċieva?</v>
      </c>
    </row>
    <row r="25879" ht="15.75" customHeight="1">
      <c r="A25879" s="2" t="s">
        <v>25879</v>
      </c>
      <c r="B25879" s="2" t="str">
        <f>IFERROR(__xludf.DUMMYFUNCTION("GOOGLETRANSLATE(A25879, ""en"", ""mt"")"),"Irkupra s-sħana moħbija tal-vaporizzazzjoni")</f>
        <v>Irkupra s-sħana moħbija tal-vaporizzazzjoni</v>
      </c>
    </row>
    <row r="25880" ht="15.75" customHeight="1">
      <c r="A25880" s="2" t="s">
        <v>25880</v>
      </c>
      <c r="B25880" s="2" t="str">
        <f>IFERROR(__xludf.DUMMYFUNCTION("GOOGLETRANSLATE(A25880, ""en"", ""mt"")"),"Min kien l-aqwa riċevitur tal-logħba?")</f>
        <v>Min kien l-aqwa riċevitur tal-logħba?</v>
      </c>
    </row>
    <row r="25881" ht="15.75" customHeight="1">
      <c r="A25881" s="2" t="s">
        <v>25881</v>
      </c>
      <c r="B25881" s="2" t="str">
        <f>IFERROR(__xludf.DUMMYFUNCTION("GOOGLETRANSLATE(A25881, ""en"", ""mt"")"),"Min iddisinja Salamanca?")</f>
        <v>Min iddisinja Salamanca?</v>
      </c>
    </row>
    <row r="25882" ht="15.75" customHeight="1">
      <c r="A25882" s="2" t="s">
        <v>25882</v>
      </c>
      <c r="B25882" s="2" t="str">
        <f>IFERROR(__xludf.DUMMYFUNCTION("GOOGLETRANSLATE(A25882, ""en"", ""mt"")"),"L-akbar proġetti ta 'kostruzzjoni huma magħrufa bħala?")</f>
        <v>L-akbar proġetti ta 'kostruzzjoni huma magħrufa bħala?</v>
      </c>
    </row>
    <row r="25883" ht="15.75" customHeight="1">
      <c r="A25883" s="2" t="s">
        <v>25883</v>
      </c>
      <c r="B25883" s="2" t="str">
        <f>IFERROR(__xludf.DUMMYFUNCTION("GOOGLETRANSLATE(A25883, ""en"", ""mt"")"),"Liema żewġ ferroviji għandhom railyards fil-belt ta 'Fresno?")</f>
        <v>Liema żewġ ferroviji għandhom railyards fil-belt ta 'Fresno?</v>
      </c>
    </row>
    <row r="25884" ht="15.75" customHeight="1">
      <c r="A25884" s="2" t="s">
        <v>25884</v>
      </c>
      <c r="B25884" s="2" t="str">
        <f>IFERROR(__xludf.DUMMYFUNCTION("GOOGLETRANSLATE(A25884, ""en"", ""mt"")"),"Proġetti ta 'missili")</f>
        <v>Proġetti ta 'missili</v>
      </c>
    </row>
    <row r="25885" ht="15.75" customHeight="1">
      <c r="A25885" s="2" t="s">
        <v>25885</v>
      </c>
      <c r="B25885" s="2" t="str">
        <f>IFERROR(__xludf.DUMMYFUNCTION("GOOGLETRANSLATE(A25885, ""en"", ""mt"")"),"X'jagħmlu dawn l-għalliema?")</f>
        <v>X'jagħmlu dawn l-għalliema?</v>
      </c>
    </row>
    <row r="25886" ht="15.75" customHeight="1">
      <c r="A25886" s="2" t="s">
        <v>25886</v>
      </c>
      <c r="B25886" s="2" t="str">
        <f>IFERROR(__xludf.DUMMYFUNCTION("GOOGLETRANSLATE(A25886, ""en"", ""mt"")"),"Kif tissejjaħ il-gerżuma?")</f>
        <v>Kif tissejjaħ il-gerżuma?</v>
      </c>
    </row>
    <row r="25887" ht="15.75" customHeight="1">
      <c r="A25887" s="2" t="s">
        <v>25887</v>
      </c>
      <c r="B25887" s="2" t="str">
        <f>IFERROR(__xludf.DUMMYFUNCTION("GOOGLETRANSLATE(A25887, ""en"", ""mt"")"),"Ma 'liema pajjiż Ewropew ħassitha l-Huguenots għall-emigrazzjoni?")</f>
        <v>Ma 'liema pajjiż Ewropew ħassitha l-Huguenots għall-emigrazzjoni?</v>
      </c>
    </row>
    <row r="25888" ht="15.75" customHeight="1">
      <c r="A25888" s="2" t="s">
        <v>25888</v>
      </c>
      <c r="B25888" s="2" t="str">
        <f>IFERROR(__xludf.DUMMYFUNCTION("GOOGLETRANSLATE(A25888, ""en"", ""mt"")"),"Nicholas E. Golovin")</f>
        <v>Nicholas E. Golovin</v>
      </c>
    </row>
    <row r="25889" ht="15.75" customHeight="1">
      <c r="A25889" s="2" t="s">
        <v>25889</v>
      </c>
      <c r="B25889" s="2" t="str">
        <f>IFERROR(__xludf.DUMMYFUNCTION("GOOGLETRANSLATE(A25889, ""en"", ""mt"")"),"li jikkonvertu")</f>
        <v>li jikkonvertu</v>
      </c>
    </row>
    <row r="25890" ht="15.75" customHeight="1">
      <c r="A25890" s="2" t="s">
        <v>25890</v>
      </c>
      <c r="B25890" s="2" t="str">
        <f>IFERROR(__xludf.DUMMYFUNCTION("GOOGLETRANSLATE(A25890, ""en"", ""mt"")"),"Liema żewġ rwoli ewlenin audra McDonald wettqet meta kienet fl-iskola għolja?")</f>
        <v>Liema żewġ rwoli ewlenin audra McDonald wettqet meta kienet fl-iskola għolja?</v>
      </c>
    </row>
    <row r="25891" ht="15.75" customHeight="1">
      <c r="A25891" s="2" t="s">
        <v>25891</v>
      </c>
      <c r="B25891" s="2" t="str">
        <f>IFERROR(__xludf.DUMMYFUNCTION("GOOGLETRANSLATE(A25891, ""en"", ""mt"")"),"L-eqdem triq fl-Istati Uniti tal-Amerika")</f>
        <v>L-eqdem triq fl-Istati Uniti tal-Amerika</v>
      </c>
    </row>
    <row r="25892" ht="15.75" customHeight="1">
      <c r="A25892" s="2" t="s">
        <v>25892</v>
      </c>
      <c r="B25892" s="2" t="str">
        <f>IFERROR(__xludf.DUMMYFUNCTION("GOOGLETRANSLATE(A25892, ""en"", ""mt"")"),"Xi jfisser l-investiment taċ-Ċina għall-Kenja?")</f>
        <v>Xi jfisser l-investiment taċ-Ċina għall-Kenja?</v>
      </c>
    </row>
    <row r="25893" ht="15.75" customHeight="1">
      <c r="A25893" s="2" t="s">
        <v>25893</v>
      </c>
      <c r="B25893" s="2" t="str">
        <f>IFERROR(__xludf.DUMMYFUNCTION("GOOGLETRANSLATE(A25893, ""en"", ""mt"")"),"Dirett lejn iċ-ċentru tal-passaġġ mgħawweġ")</f>
        <v>Dirett lejn iċ-ċentru tal-passaġġ mgħawweġ</v>
      </c>
    </row>
    <row r="25894" ht="15.75" customHeight="1">
      <c r="A25894" s="2" t="s">
        <v>25894</v>
      </c>
      <c r="B25894" s="2" t="str">
        <f>IFERROR(__xludf.DUMMYFUNCTION("GOOGLETRANSLATE(A25894, ""en"", ""mt"")"),"F'liema era xi membri ta 'din il-komunità emigraw lejn l-Istati Uniti?")</f>
        <v>F'liema era xi membri ta 'din il-komunità emigraw lejn l-Istati Uniti?</v>
      </c>
    </row>
    <row r="25895" ht="15.75" customHeight="1">
      <c r="A25895" s="2" t="s">
        <v>25895</v>
      </c>
      <c r="B25895" s="2" t="str">
        <f>IFERROR(__xludf.DUMMYFUNCTION("GOOGLETRANSLATE(A25895, ""en"", ""mt"")"),"abbonament ta 'kull xahar")</f>
        <v>abbonament ta 'kull xahar</v>
      </c>
    </row>
    <row r="25896" ht="15.75" customHeight="1">
      <c r="A25896" s="2" t="s">
        <v>25896</v>
      </c>
      <c r="B25896" s="2" t="str">
        <f>IFERROR(__xludf.DUMMYFUNCTION("GOOGLETRANSLATE(A25896, ""en"", ""mt"")"),"Dak iż-żmien, pajjiżi bħal Spanja ma kellhomx reat kontra xiex?")</f>
        <v>Dak iż-żmien, pajjiżi bħal Spanja ma kellhomx reat kontra xiex?</v>
      </c>
    </row>
    <row r="25897" ht="15.75" customHeight="1">
      <c r="A25897" s="2" t="s">
        <v>25897</v>
      </c>
      <c r="B25897" s="2" t="str">
        <f>IFERROR(__xludf.DUMMYFUNCTION("GOOGLETRANSLATE(A25897, ""en"", ""mt"")"),"X’bdew il-gvern u l-organizzazzjonijiet tas-soċjetà ċivili wara l-irvellijiet?")</f>
        <v>X’bdew il-gvern u l-organizzazzjonijiet tas-soċjetà ċivili wara l-irvellijiet?</v>
      </c>
    </row>
    <row r="25898" ht="15.75" customHeight="1">
      <c r="A25898" s="2" t="s">
        <v>25898</v>
      </c>
      <c r="B25898" s="2" t="str">
        <f>IFERROR(__xludf.DUMMYFUNCTION("GOOGLETRANSLATE(A25898, ""en"", ""mt"")"),"Patruni Ingliżi")</f>
        <v>Patruni Ingliżi</v>
      </c>
    </row>
    <row r="25899" ht="15.75" customHeight="1">
      <c r="A25899" s="2" t="s">
        <v>25899</v>
      </c>
      <c r="B25899" s="2" t="str">
        <f>IFERROR(__xludf.DUMMYFUNCTION("GOOGLETRANSLATE(A25899, ""en"", ""mt"")"),"Avvenimenti partikolari f'ħajtu")</f>
        <v>Avvenimenti partikolari f'ħajtu</v>
      </c>
    </row>
    <row r="25900" ht="15.75" customHeight="1">
      <c r="A25900" s="2" t="s">
        <v>25900</v>
      </c>
      <c r="B25900" s="2" t="str">
        <f>IFERROR(__xludf.DUMMYFUNCTION("GOOGLETRANSLATE(A25900, ""en"", ""mt"")"),"Jelme u Bo'orchu")</f>
        <v>Jelme u Bo'orchu</v>
      </c>
    </row>
    <row r="25901" ht="15.75" customHeight="1">
      <c r="A25901" s="2" t="s">
        <v>25901</v>
      </c>
      <c r="B25901" s="2" t="str">
        <f>IFERROR(__xludf.DUMMYFUNCTION("GOOGLETRANSLATE(A25901, ""en"", ""mt"")"),"7 ta 'Frar, 2016")</f>
        <v>7 ta 'Frar, 2016</v>
      </c>
    </row>
    <row r="25902" ht="15.75" customHeight="1">
      <c r="A25902" s="2" t="s">
        <v>25902</v>
      </c>
      <c r="B25902" s="2" t="str">
        <f>IFERROR(__xludf.DUMMYFUNCTION("GOOGLETRANSLATE(A25902, ""en"", ""mt"")"),"Funzjoni TOTIEEN TA 'EULER")</f>
        <v>Funzjoni TOTIEEN TA 'EULER</v>
      </c>
    </row>
    <row r="25903" ht="15.75" customHeight="1">
      <c r="A25903" s="2" t="s">
        <v>25903</v>
      </c>
      <c r="B25903" s="2" t="str">
        <f>IFERROR(__xludf.DUMMYFUNCTION("GOOGLETRANSLATE(A25903, ""en"", ""mt"")"),"Itfi d-difiżi ospitanti.")</f>
        <v>Itfi d-difiżi ospitanti.</v>
      </c>
    </row>
    <row r="25904" ht="15.75" customHeight="1">
      <c r="A25904" s="2" t="s">
        <v>25904</v>
      </c>
      <c r="B25904" s="2" t="str">
        <f>IFERROR(__xludf.DUMMYFUNCTION("GOOGLETRANSLATE(A25904, ""en"", ""mt"")"),"tiċrita żoni kbar ta 'art fil-baħar")</f>
        <v>tiċrita żoni kbar ta 'art fil-baħar</v>
      </c>
    </row>
    <row r="25905" ht="15.75" customHeight="1">
      <c r="A25905" s="2" t="s">
        <v>25905</v>
      </c>
      <c r="B25905" s="2" t="str">
        <f>IFERROR(__xludf.DUMMYFUNCTION("GOOGLETRANSLATE(A25905, ""en"", ""mt"")"),"Meta kienet id-dinastija Ming fil-poter?")</f>
        <v>Meta kienet id-dinastija Ming fil-poter?</v>
      </c>
    </row>
    <row r="25906" ht="15.75" customHeight="1">
      <c r="A25906" s="2" t="s">
        <v>25906</v>
      </c>
      <c r="B25906" s="2" t="str">
        <f>IFERROR(__xludf.DUMMYFUNCTION("GOOGLETRANSLATE(A25906, ""en"", ""mt"")"),"X'għandha sistema ta 'klassifikazzjoni għall-kumpaniji tal-kostruzzjoni?")</f>
        <v>X'għandha sistema ta 'klassifikazzjoni għall-kumpaniji tal-kostruzzjoni?</v>
      </c>
    </row>
    <row r="25907" ht="15.75" customHeight="1">
      <c r="A25907" s="2" t="s">
        <v>25907</v>
      </c>
      <c r="B25907" s="2" t="str">
        <f>IFERROR(__xludf.DUMMYFUNCTION("GOOGLETRANSLATE(A25907, ""en"", ""mt"")"),"X’għamel dan l-għajnuna?")</f>
        <v>X’għamel dan l-għajnuna?</v>
      </c>
    </row>
    <row r="25908" ht="15.75" customHeight="1">
      <c r="A25908" s="2" t="s">
        <v>25908</v>
      </c>
      <c r="B25908" s="2" t="str">
        <f>IFERROR(__xludf.DUMMYFUNCTION("GOOGLETRANSLATE(A25908, ""en"", ""mt"")"),"Għal liema tip ta 'bhejjem kien magħruf ir-reġjun argrikulturali?")</f>
        <v>Għal liema tip ta 'bhejjem kien magħruf ir-reġjun argrikulturali?</v>
      </c>
    </row>
    <row r="25909" ht="15.75" customHeight="1">
      <c r="A25909" s="2" t="s">
        <v>25909</v>
      </c>
      <c r="B25909" s="2" t="str">
        <f>IFERROR(__xludf.DUMMYFUNCTION("GOOGLETRANSLATE(A25909, ""en"", ""mt"")"),"Effett Pulfrich")</f>
        <v>Effett Pulfrich</v>
      </c>
    </row>
    <row r="25910" ht="15.75" customHeight="1">
      <c r="A25910" s="2" t="s">
        <v>25910</v>
      </c>
      <c r="B25910" s="2" t="str">
        <f>IFERROR(__xludf.DUMMYFUNCTION("GOOGLETRANSLATE(A25910, ""en"", ""mt"")"),"Kif jissejjaħ ix-xenarju li fih ma nbiddlux il-prattiki tal-ħolqien tal-gass serra tagħna?")</f>
        <v>Kif jissejjaħ ix-xenarju li fih ma nbiddlux il-prattiki tal-ħolqien tal-gass serra tagħna?</v>
      </c>
    </row>
    <row r="25911" ht="15.75" customHeight="1">
      <c r="A25911" s="2" t="s">
        <v>25911</v>
      </c>
      <c r="B25911" s="2" t="str">
        <f>IFERROR(__xludf.DUMMYFUNCTION("GOOGLETRANSLATE(A25911, ""en"", ""mt"")"),"F'liema data seħħ l-ewwel vjaġġ bil-ferrovija fid-dinja?")</f>
        <v>F'liema data seħħ l-ewwel vjaġġ bil-ferrovija fid-dinja?</v>
      </c>
    </row>
    <row r="25912" ht="15.75" customHeight="1">
      <c r="A25912" s="2" t="s">
        <v>25912</v>
      </c>
      <c r="B25912" s="2" t="str">
        <f>IFERROR(__xludf.DUMMYFUNCTION("GOOGLETRANSLATE(A25912, ""en"", ""mt"")"),"Seklu 17.")</f>
        <v>Seklu 17.</v>
      </c>
    </row>
    <row r="25913" ht="15.75" customHeight="1">
      <c r="A25913" s="2" t="s">
        <v>25913</v>
      </c>
      <c r="B25913" s="2" t="str">
        <f>IFERROR(__xludf.DUMMYFUNCTION("GOOGLETRANSLATE(A25913, ""en"", ""mt"")"),"mard tal-qalb, uġigħ kroniku, u ażma")</f>
        <v>mard tal-qalb, uġigħ kroniku, u ażma</v>
      </c>
    </row>
    <row r="25914" ht="15.75" customHeight="1">
      <c r="A25914" s="2" t="s">
        <v>25914</v>
      </c>
      <c r="B25914" s="2" t="str">
        <f>IFERROR(__xludf.DUMMYFUNCTION("GOOGLETRANSLATE(A25914, ""en"", ""mt"")"),"Anglikan")</f>
        <v>Anglikan</v>
      </c>
    </row>
    <row r="25915" ht="15.75" customHeight="1">
      <c r="A25915" s="2" t="s">
        <v>25915</v>
      </c>
      <c r="B25915" s="2" t="str">
        <f>IFERROR(__xludf.DUMMYFUNCTION("GOOGLETRANSLATE(A25915, ""en"", ""mt"")"),"X'kien ikkanċellat min-NASA wara l-ittestjar ta 'Apollo 6, wara li jqis is-Saturn V lest biex iżomm l-irġiel?")</f>
        <v>X'kien ikkanċellat min-NASA wara l-ittestjar ta 'Apollo 6, wara li jqis is-Saturn V lest biex iżomm l-irġiel?</v>
      </c>
    </row>
    <row r="25916" ht="15.75" customHeight="1">
      <c r="A25916" s="2" t="s">
        <v>25916</v>
      </c>
      <c r="B25916" s="2" t="str">
        <f>IFERROR(__xludf.DUMMYFUNCTION("GOOGLETRANSLATE(A25916, ""en"", ""mt"")"),"Phycobilin Phycoerytherin")</f>
        <v>Phycobilin Phycoerytherin</v>
      </c>
    </row>
    <row r="25917" ht="15.75" customHeight="1">
      <c r="A25917" s="2" t="s">
        <v>25917</v>
      </c>
      <c r="B25917" s="2" t="str">
        <f>IFERROR(__xludf.DUMMYFUNCTION("GOOGLETRANSLATE(A25917, ""en"", ""mt"")"),"Obbligatament anerobiku")</f>
        <v>Obbligatament anerobiku</v>
      </c>
    </row>
    <row r="25918" ht="15.75" customHeight="1">
      <c r="A25918" s="2" t="s">
        <v>25918</v>
      </c>
      <c r="B25918" s="2" t="str">
        <f>IFERROR(__xludf.DUMMYFUNCTION("GOOGLETRANSLATE(A25918, ""en"", ""mt"")"),"Fuq in-naħa tat-televiżjoni, f'Settembru 1969, ABC nediet il-film tal-ġimgħa, vetrina ta 'kull ġimgħa mmirata biex tikkapitalizza fuq is-suċċess dejjem jikber ta' films magħmula għat-TV mill-bidu tas-snin 1960. Il-Films Dramatiċi tal-Feature Movie tal-Ġim"&amp;"għa mxandra diretti minn produtturi tal-films tali talent bħal Aaron Spelling, David Wolper u Steven Spielberg (dan tal-aħħar li kisbu suċċess bikri permezz tal-vetrina għad-duel tal-films tiegħu tal-1971) li ġew prodotti fuq baġit medju ta ' $ 400,000 - "&amp;"$ 450,000. Hits għan-netwerk tat-televiżjoni matul l-aħħar tas-snin 1960 u l-bidu tas-snin sebgħin inkludew il-qorti ta 'missier Eddie, il-Brady Bunch u l-Familja Partridge.")</f>
        <v>Fuq in-naħa tat-televiżjoni, f'Settembru 1969, ABC nediet il-film tal-ġimgħa, vetrina ta 'kull ġimgħa mmirata biex tikkapitalizza fuq is-suċċess dejjem jikber ta' films magħmula għat-TV mill-bidu tas-snin 1960. Il-Films Dramatiċi tal-Feature Movie tal-Ġimgħa mxandra diretti minn produtturi tal-films tali talent bħal Aaron Spelling, David Wolper u Steven Spielberg (dan tal-aħħar li kisbu suċċess bikri permezz tal-vetrina għad-duel tal-films tiegħu tal-1971) li ġew prodotti fuq baġit medju ta ' $ 400,000 - $ 450,000. Hits għan-netwerk tat-televiżjoni matul l-aħħar tas-snin 1960 u l-bidu tas-snin sebgħin inkludew il-qorti ta 'missier Eddie, il-Brady Bunch u l-Familja Partridge.</v>
      </c>
    </row>
    <row r="25919" ht="15.75" customHeight="1">
      <c r="A25919" s="2" t="s">
        <v>25919</v>
      </c>
      <c r="B25919" s="2" t="str">
        <f>IFERROR(__xludf.DUMMYFUNCTION("GOOGLETRANSLATE(A25919, ""en"", ""mt"")"),"patoġeni jew ċelloli infettati mill-patoġeni")</f>
        <v>patoġeni jew ċelloli infettati mill-patoġeni</v>
      </c>
    </row>
    <row r="25920" ht="15.75" customHeight="1">
      <c r="A25920" s="2" t="s">
        <v>25920</v>
      </c>
      <c r="B25920" s="2" t="str">
        <f>IFERROR(__xludf.DUMMYFUNCTION("GOOGLETRANSLATE(A25920, ""en"", ""mt"")"),"Michael Heckenberger")</f>
        <v>Michael Heckenberger</v>
      </c>
    </row>
    <row r="25921" ht="15.75" customHeight="1">
      <c r="A25921" s="2" t="s">
        <v>25921</v>
      </c>
      <c r="B25921" s="2" t="str">
        <f>IFERROR(__xludf.DUMMYFUNCTION("GOOGLETRANSLATE(A25921, ""en"", ""mt"")"),"X'inhu l-isem tal-iskema li tipprovdi tagħlim u għajnuna għall-miżati lill-istudenti minħabba l-iskrizzjoni żejda?")</f>
        <v>X'inhu l-isem tal-iskema li tipprovdi tagħlim u għajnuna għall-miżati lill-istudenti minħabba l-iskrizzjoni żejda?</v>
      </c>
    </row>
    <row r="25922" ht="15.75" customHeight="1">
      <c r="A25922" s="2" t="s">
        <v>25922</v>
      </c>
      <c r="B25922" s="2" t="str">
        <f>IFERROR(__xludf.DUMMYFUNCTION("GOOGLETRANSLATE(A25922, ""en"", ""mt"")"),"Min introduċa l-pesta lejn l-Ewropa?")</f>
        <v>Min introduċa l-pesta lejn l-Ewropa?</v>
      </c>
    </row>
    <row r="25923" ht="15.75" customHeight="1">
      <c r="A25923" s="2" t="s">
        <v>25923</v>
      </c>
      <c r="B25923" s="2" t="str">
        <f>IFERROR(__xludf.DUMMYFUNCTION("GOOGLETRANSLATE(A25923, ""en"", ""mt"")"),"X'inhu mkabbar fl-artijiet għolja fertili?")</f>
        <v>X'inhu mkabbar fl-artijiet għolja fertili?</v>
      </c>
    </row>
    <row r="25924" ht="15.75" customHeight="1">
      <c r="A25924" s="2" t="s">
        <v>25924</v>
      </c>
      <c r="B25924" s="2" t="str">
        <f>IFERROR(__xludf.DUMMYFUNCTION("GOOGLETRANSLATE(A25924, ""en"", ""mt"")"),"Bill Clinton")</f>
        <v>Bill Clinton</v>
      </c>
    </row>
    <row r="25925" ht="15.75" customHeight="1">
      <c r="A25925" s="2" t="s">
        <v>25925</v>
      </c>
      <c r="B25925" s="2" t="str">
        <f>IFERROR(__xludf.DUMMYFUNCTION("GOOGLETRANSLATE(A25925, ""en"", ""mt"")"),"X'tip ta 'matematika kien avvanzat matul il-wan?")</f>
        <v>X'tip ta 'matematika kien avvanzat matul il-wan?</v>
      </c>
    </row>
    <row r="25926" ht="15.75" customHeight="1">
      <c r="A25926" s="2" t="s">
        <v>25926</v>
      </c>
      <c r="B25926" s="2" t="str">
        <f>IFERROR(__xludf.DUMMYFUNCTION("GOOGLETRANSLATE(A25926, ""en"", ""mt"")"),"Guru")</f>
        <v>Guru</v>
      </c>
    </row>
    <row r="25927" ht="15.75" customHeight="1">
      <c r="A25927" s="2" t="s">
        <v>25927</v>
      </c>
      <c r="B25927" s="2" t="str">
        <f>IFERROR(__xludf.DUMMYFUNCTION("GOOGLETRANSLATE(A25927, ""en"", ""mt"")"),"Liema xogħol ta 'Luther huwa meqjus bħala tagħlim reliġjuż ċar?")</f>
        <v>Liema xogħol ta 'Luther huwa meqjus bħala tagħlim reliġjuż ċar?</v>
      </c>
    </row>
    <row r="25928" ht="15.75" customHeight="1">
      <c r="A25928" s="2" t="s">
        <v>25928</v>
      </c>
      <c r="B25928" s="2" t="str">
        <f>IFERROR(__xludf.DUMMYFUNCTION("GOOGLETRANSLATE(A25928, ""en"", ""mt"")"),"Repubblika Olandiża")</f>
        <v>Repubblika Olandiża</v>
      </c>
    </row>
    <row r="25929" ht="15.75" customHeight="1">
      <c r="A25929" s="2" t="s">
        <v>25929</v>
      </c>
      <c r="B25929" s="2" t="str">
        <f>IFERROR(__xludf.DUMMYFUNCTION("GOOGLETRANSLATE(A25929, ""en"", ""mt"")"),"likwidu")</f>
        <v>likwidu</v>
      </c>
    </row>
    <row r="25930" ht="15.75" customHeight="1">
      <c r="A25930" s="2" t="s">
        <v>25930</v>
      </c>
      <c r="B25930" s="2" t="str">
        <f>IFERROR(__xludf.DUMMYFUNCTION("GOOGLETRANSLATE(A25930, ""en"", ""mt"")"),"Ċidippids ta 'daqs żgħir")</f>
        <v>Ċidippids ta 'daqs żgħir</v>
      </c>
    </row>
    <row r="25931" ht="15.75" customHeight="1">
      <c r="A25931" s="2" t="s">
        <v>25931</v>
      </c>
      <c r="B25931" s="2" t="str">
        <f>IFERROR(__xludf.DUMMYFUNCTION("GOOGLETRANSLATE(A25931, ""en"", ""mt"")"),"F'liema format jittrasmettu l-affiljati ABC ta 'Hearst Television?")</f>
        <v>F'liema format jittrasmettu l-affiljati ABC ta 'Hearst Television?</v>
      </c>
    </row>
    <row r="25932" ht="15.75" customHeight="1">
      <c r="A25932" s="2" t="s">
        <v>25932</v>
      </c>
      <c r="B25932" s="2" t="str">
        <f>IFERROR(__xludf.DUMMYFUNCTION("GOOGLETRANSLATE(A25932, ""en"", ""mt"")"),"binarji, sinjalazzjoni u wajers ġenerali")</f>
        <v>binarji, sinjalazzjoni u wajers ġenerali</v>
      </c>
    </row>
    <row r="25933" ht="15.75" customHeight="1">
      <c r="A25933" s="2" t="s">
        <v>25933</v>
      </c>
      <c r="B25933" s="2" t="str">
        <f>IFERROR(__xludf.DUMMYFUNCTION("GOOGLETRANSLATE(A25933, ""en"", ""mt"")"),"Liema forma huma Tylakoids Granal?")</f>
        <v>Liema forma huma Tylakoids Granal?</v>
      </c>
    </row>
    <row r="25934" ht="15.75" customHeight="1">
      <c r="A25934" s="2" t="s">
        <v>25934</v>
      </c>
      <c r="B25934" s="2" t="str">
        <f>IFERROR(__xludf.DUMMYFUNCTION("GOOGLETRANSLATE(A25934, ""en"", ""mt"")"),"X'qed jiġri għall-età medja tal-għalliema f'Wales?")</f>
        <v>X'qed jiġri għall-età medja tal-għalliema f'Wales?</v>
      </c>
    </row>
    <row r="25935" ht="15.75" customHeight="1">
      <c r="A25935" s="2" t="s">
        <v>25935</v>
      </c>
      <c r="B25935" s="2" t="str">
        <f>IFERROR(__xludf.DUMMYFUNCTION("GOOGLETRANSLATE(A25935, ""en"", ""mt"")"),"Kemm kien twil it-teatru tas-sajf fl-operazzjoni?")</f>
        <v>Kemm kien twil it-teatru tas-sajf fl-operazzjoni?</v>
      </c>
    </row>
    <row r="25936" ht="15.75" customHeight="1">
      <c r="A25936" s="2" t="s">
        <v>25936</v>
      </c>
      <c r="B25936" s="2" t="str">
        <f>IFERROR(__xludf.DUMMYFUNCTION("GOOGLETRANSLATE(A25936, ""en"", ""mt"")"),"$ 15.5 miljun")</f>
        <v>$ 15.5 miljun</v>
      </c>
    </row>
    <row r="25937" ht="15.75" customHeight="1">
      <c r="A25937" s="2" t="s">
        <v>25937</v>
      </c>
      <c r="B25937" s="2" t="str">
        <f>IFERROR(__xludf.DUMMYFUNCTION("GOOGLETRANSLATE(A25937, ""en"", ""mt"")"),"Iżlamisti moderati u riformisti li jaċċettaw u jaħdmu fil-proċess demokratiku jinkludu partijiet bħall-moviment Tuneżin Ennahda. Il-Jamaat-e-Islami tal-Pakistan huwa bażikament partit soċjo-politiku u Demokratiku Vanguard iżda kiseb ukoll influwenza polit"&amp;"ika permezz ta 'kolp ta' stat militari fil-passat. Il-gruppi Iżlamisti bħal Hezbollah fil-Libanu u l-Ħamas fil-Palestina jipparteċipaw fil-proċess demokratiku u politiku kif ukoll attakki armati, li jfittxu li jabolixxu l-istat ta ’Iżrael. Organizzazzjoni"&amp;"jiet Iżlamiċi radikali bħal Al-Qaeda u l-Ġiħad Iżlamiku Eġizzjan, u gruppi bħat-Taliban, jirrifjutaw kompletament id-demokrazija, li spiss jiddikjaraw bħala kuffar dawk il-Musulmani li jappoġġjawha (ara t-takfirizmu), kif ukoll jitolbu għal jihad vjolenti"&amp;" / offensiv jew li jħeġġeġ twettaq attakki fuq bażi reliġjuża.")</f>
        <v>Iżlamisti moderati u riformisti li jaċċettaw u jaħdmu fil-proċess demokratiku jinkludu partijiet bħall-moviment Tuneżin Ennahda. Il-Jamaat-e-Islami tal-Pakistan huwa bażikament partit soċjo-politiku u Demokratiku Vanguard iżda kiseb ukoll influwenza politika permezz ta 'kolp ta' stat militari fil-passat. Il-gruppi Iżlamisti bħal Hezbollah fil-Libanu u l-Ħamas fil-Palestina jipparteċipaw fil-proċess demokratiku u politiku kif ukoll attakki armati, li jfittxu li jabolixxu l-istat ta ’Iżrael. Organizzazzjonijiet Iżlamiċi radikali bħal Al-Qaeda u l-Ġiħad Iżlamiku Eġizzjan, u gruppi bħat-Taliban, jirrifjutaw kompletament id-demokrazija, li spiss jiddikjaraw bħala kuffar dawk il-Musulmani li jappoġġjawha (ara t-takfirizmu), kif ukoll jitolbu għal jihad vjolenti / offensiv jew li jħeġġeġ twettaq attakki fuq bażi reliġjuża.</v>
      </c>
    </row>
    <row r="25938" ht="15.75" customHeight="1">
      <c r="A25938" s="2" t="s">
        <v>25938</v>
      </c>
      <c r="B25938" s="2" t="str">
        <f>IFERROR(__xludf.DUMMYFUNCTION("GOOGLETRANSLATE(A25938, ""en"", ""mt"")"),"Share Recordings")</f>
        <v>Share Recordings</v>
      </c>
    </row>
    <row r="25939" ht="15.75" customHeight="1">
      <c r="A25939" s="2" t="s">
        <v>25939</v>
      </c>
      <c r="B25939" s="2" t="str">
        <f>IFERROR(__xludf.DUMMYFUNCTION("GOOGLETRANSLATE(A25939, ""en"", ""mt"")"),"Konservazzjoni tal-enerġija mekkanika")</f>
        <v>Konservazzjoni tal-enerġija mekkanika</v>
      </c>
    </row>
    <row r="25940" ht="15.75" customHeight="1">
      <c r="A25940" s="2" t="s">
        <v>25940</v>
      </c>
      <c r="B25940" s="2" t="str">
        <f>IFERROR(__xludf.DUMMYFUNCTION("GOOGLETRANSLATE(A25940, ""en"", ""mt"")"),"It-tiswir ta 'ideat dwar is-suq ħieles")</f>
        <v>It-tiswir ta 'ideat dwar is-suq ħieles</v>
      </c>
    </row>
    <row r="25941" ht="15.75" customHeight="1">
      <c r="A25941" s="2" t="s">
        <v>25941</v>
      </c>
      <c r="B25941" s="2" t="str">
        <f>IFERROR(__xludf.DUMMYFUNCTION("GOOGLETRANSLATE(A25941, ""en"", ""mt"")"),"il-karti tiegħu")</f>
        <v>il-karti tiegħu</v>
      </c>
    </row>
    <row r="25942" ht="15.75" customHeight="1">
      <c r="A25942" s="2" t="s">
        <v>25942</v>
      </c>
      <c r="B25942" s="2" t="str">
        <f>IFERROR(__xludf.DUMMYFUNCTION("GOOGLETRANSLATE(A25942, ""en"", ""mt"")"),"Hemm ukoll numru dejjem jikber ta 'forom ġodda ta' akkwist li jinvolvu kuntratti ta 'relazzjoni fejn l-enfasi hija fuq relazzjoni kooperattiva bejn il-prinċipal u l-kuntrattur u partijiet interessati oħra fi proġett ta' kostruzzjoni. Formoli ġodda jinklud"&amp;"u sħubija bħalma huma s-sħubija pubblika-privata (PPPs) magħruf ukoll bħala inizjattivi ta 'finanzi privati ​​(PFIs) u alleanzi bħal alleanzi ""puri"" jew ""proġett"" u alleanzi ""impuri"" jew ""strateġiċi"". L-enfasi fuq il-kooperazzjoni hija li ttejjeb "&amp;"il-ħafna problemi li jinħolqu mill-prattiki ta 'spiss kompetittivi u kontradittorji fl-industrija tal-kostruzzjoni.")</f>
        <v>Hemm ukoll numru dejjem jikber ta 'forom ġodda ta' akkwist li jinvolvu kuntratti ta 'relazzjoni fejn l-enfasi hija fuq relazzjoni kooperattiva bejn il-prinċipal u l-kuntrattur u partijiet interessati oħra fi proġett ta' kostruzzjoni. Formoli ġodda jinkludu sħubija bħalma huma s-sħubija pubblika-privata (PPPs) magħruf ukoll bħala inizjattivi ta 'finanzi privati ​​(PFIs) u alleanzi bħal alleanzi "puri" jew "proġett" u alleanzi "impuri" jew "strateġiċi". L-enfasi fuq il-kooperazzjoni hija li ttejjeb il-ħafna problemi li jinħolqu mill-prattiki ta 'spiss kompetittivi u kontradittorji fl-industrija tal-kostruzzjoni.</v>
      </c>
    </row>
    <row r="25943" ht="15.75" customHeight="1">
      <c r="A25943" s="2" t="s">
        <v>25943</v>
      </c>
      <c r="B25943" s="2" t="str">
        <f>IFERROR(__xludf.DUMMYFUNCTION("GOOGLETRANSLATE(A25943, ""en"", ""mt"")"),"Storja tal-Armi")</f>
        <v>Storja tal-Armi</v>
      </c>
    </row>
    <row r="25944" ht="15.75" customHeight="1">
      <c r="A25944" s="2" t="s">
        <v>25944</v>
      </c>
      <c r="B25944" s="2" t="str">
        <f>IFERROR(__xludf.DUMMYFUNCTION("GOOGLETRANSLATE(A25944, ""en"", ""mt"")"),"Televiżjoni tal-BBC")</f>
        <v>Televiżjoni tal-BBC</v>
      </c>
    </row>
    <row r="25945" ht="15.75" customHeight="1">
      <c r="A25945" s="2" t="s">
        <v>25945</v>
      </c>
      <c r="B25945" s="2" t="str">
        <f>IFERROR(__xludf.DUMMYFUNCTION("GOOGLETRANSLATE(A25945, ""en"", ""mt"")"),"Il-Kapitali tal-Arti tar-Renju Unit")</f>
        <v>Il-Kapitali tal-Arti tar-Renju Unit</v>
      </c>
    </row>
    <row r="25946" ht="15.75" customHeight="1">
      <c r="A25946" s="2" t="s">
        <v>25946</v>
      </c>
      <c r="B25946" s="2" t="str">
        <f>IFERROR(__xludf.DUMMYFUNCTION("GOOGLETRANSLATE(A25946, ""en"", ""mt"")"),"Il-liberalizzazzjoni tal-kummerċ tista 'tbiddel l-inugwaljanza ekonomika minn skala globali għal domestika. Meta pajjiżi sinjuri jinnegozjaw ma 'pajjiżi foqra, il-ħaddiema b'ħiliet baxxi fil-pajjiżi sinjuri jistgħu jaraw pagi mnaqqsa bħala riżultat tal-ko"&amp;"mpetizzjoni, filwaqt li ħaddiema b'ħiliet baxxi fil-pajjiżi foqra jistgħu jaraw żieda fil-pagi. L-ekonomista tal-kummerċ Paul Krugman jistma li l-liberalizzazzjoni tal-kummerċ kellha effett li jista 'jitkejjel fuq l-inugwaljanza dejjem tikber fl-Istati Un"&amp;"iti. Huwa jattribwixxi din ix-xejra għal żieda fil-kummerċ ma 'pajjiżi foqra u l-frammentazzjoni tal-mezzi ta' produzzjoni, li tirriżulta f'impjiegi b'ħiliet baxxi jsiru aktar kummerċjabbli. Madankollu, huwa jammetti li l-effett tal-kummerċ fuq l-inugwalj"&amp;"anza fl-Amerika huwa minuri meta mqabbel ma 'kawżi oħra, bħal innovazzjoni teknoloġika, fehma maqsuma minn esperti oħra. L-ekonomisti empiriċi Max Roser u Jesus Crespo-Cuaresma jsibu appoġġ fid-dejta li l-kummerċ internazzjonali qed iżid l-inugwaljanza fi"&amp;"d-dħul. Huma jikkonfermaw b'mod empiriku l-previżjonijiet tat-teorema ta 'Stolper - Samuelson rigward l-effetti tal-kummerċ internazzjonali fuq id-distribuzzjoni tad-dħul. Lawrence Katz jistma li l-kummerċ kien jirrappreżenta biss 5-15% tal-inugwaljanza t"&amp;"ad-dħul dejjem tiżdied. Robert Lawrence jargumenta li l-innovazzjoni u l-awtomazzjoni teknoloġika fissru li impjiegi b'ħiliet baxxi ġew sostitwiti minn xogħol tal-magni f'pajjiżi sinjuri, u li pajjiżi aktar sinjuri m'għadx għandhom numru sinifikanti ta 'ħ"&amp;"addiema tal-manifattura b'ħiliet baxxi li jistgħu jiġu affettwati mill-kompetizzjoni minn pajjiżi foqra.")</f>
        <v>Il-liberalizzazzjoni tal-kummerċ tista 'tbiddel l-inugwaljanza ekonomika minn skala globali għal domestika. Meta pajjiżi sinjuri jinnegozjaw ma 'pajjiżi foqra, il-ħaddiema b'ħiliet baxxi fil-pajjiżi sinjuri jistgħu jaraw pagi mnaqqsa bħala riżultat tal-kompetizzjoni, filwaqt li ħaddiema b'ħiliet baxxi fil-pajjiżi foqra jistgħu jaraw żieda fil-pagi. L-ekonomista tal-kummerċ Paul Krugman jistma li l-liberalizzazzjoni tal-kummerċ kellha effett li jista 'jitkejjel fuq l-inugwaljanza dejjem tikber fl-Istati Uniti. Huwa jattribwixxi din ix-xejra għal żieda fil-kummerċ ma 'pajjiżi foqra u l-frammentazzjoni tal-mezzi ta' produzzjoni, li tirriżulta f'impjiegi b'ħiliet baxxi jsiru aktar kummerċjabbli. Madankollu, huwa jammetti li l-effett tal-kummerċ fuq l-inugwaljanza fl-Amerika huwa minuri meta mqabbel ma 'kawżi oħra, bħal innovazzjoni teknoloġika, fehma maqsuma minn esperti oħra. L-ekonomisti empiriċi Max Roser u Jesus Crespo-Cuaresma jsibu appoġġ fid-dejta li l-kummerċ internazzjonali qed iżid l-inugwaljanza fid-dħul. Huma jikkonfermaw b'mod empiriku l-previżjonijiet tat-teorema ta 'Stolper - Samuelson rigward l-effetti tal-kummerċ internazzjonali fuq id-distribuzzjoni tad-dħul. Lawrence Katz jistma li l-kummerċ kien jirrappreżenta biss 5-15% tal-inugwaljanza tad-dħul dejjem tiżdied. Robert Lawrence jargumenta li l-innovazzjoni u l-awtomazzjoni teknoloġika fissru li impjiegi b'ħiliet baxxi ġew sostitwiti minn xogħol tal-magni f'pajjiżi sinjuri, u li pajjiżi aktar sinjuri m'għadx għandhom numru sinifikanti ta 'ħaddiema tal-manifattura b'ħiliet baxxi li jistgħu jiġu affettwati mill-kompetizzjoni minn pajjiżi foqra.</v>
      </c>
    </row>
    <row r="25947" ht="15.75" customHeight="1">
      <c r="A25947" s="2" t="s">
        <v>25947</v>
      </c>
      <c r="B25947" s="2" t="str">
        <f>IFERROR(__xludf.DUMMYFUNCTION("GOOGLETRANSLATE(A25947, ""en"", ""mt"")"),"suċċess")</f>
        <v>suċċess</v>
      </c>
    </row>
    <row r="25948" ht="15.75" customHeight="1">
      <c r="A25948" s="2" t="s">
        <v>25948</v>
      </c>
      <c r="B25948" s="2" t="str">
        <f>IFERROR(__xludf.DUMMYFUNCTION("GOOGLETRANSLATE(A25948, ""en"", ""mt"")"),"Liema xogħol ta 'Luther huwa effettiv fit-tagħlim tat-tfal?")</f>
        <v>Liema xogħol ta 'Luther huwa effettiv fit-tagħlim tat-tfal?</v>
      </c>
    </row>
    <row r="25949" ht="15.75" customHeight="1">
      <c r="A25949" s="2" t="s">
        <v>25949</v>
      </c>
      <c r="B25949" s="2" t="str">
        <f>IFERROR(__xludf.DUMMYFUNCTION("GOOGLETRANSLATE(A25949, ""en"", ""mt"")"),"Il-familji ta ’ħutu")</f>
        <v>Il-familji ta ’ħutu</v>
      </c>
    </row>
    <row r="25950" ht="15.75" customHeight="1">
      <c r="A25950" s="2" t="s">
        <v>25950</v>
      </c>
      <c r="B25950" s="2" t="str">
        <f>IFERROR(__xludf.DUMMYFUNCTION("GOOGLETRANSLATE(A25950, ""en"", ""mt"")"),"Liema kanal kien imħaffer fi Franza biex iġorr l-ilma ta 'Rhine?")</f>
        <v>Liema kanal kien imħaffer fi Franza biex iġorr l-ilma ta 'Rhine?</v>
      </c>
    </row>
    <row r="25951" ht="15.75" customHeight="1">
      <c r="A25951" s="2" t="s">
        <v>25951</v>
      </c>
      <c r="B25951" s="2" t="str">
        <f>IFERROR(__xludf.DUMMYFUNCTION("GOOGLETRANSLATE(A25951, ""en"", ""mt"")"),"rappreżentanti")</f>
        <v>rappreżentanti</v>
      </c>
    </row>
    <row r="25952" ht="15.75" customHeight="1">
      <c r="A25952" s="2" t="s">
        <v>25952</v>
      </c>
      <c r="B25952" s="2" t="str">
        <f>IFERROR(__xludf.DUMMYFUNCTION("GOOGLETRANSLATE(A25952, ""en"", ""mt"")"),"Los Angeles jinsab fil-parti ta ’isfel ta’ xiex?")</f>
        <v>Los Angeles jinsab fil-parti ta ’isfel ta’ xiex?</v>
      </c>
    </row>
    <row r="25953" ht="15.75" customHeight="1">
      <c r="A25953" s="2" t="s">
        <v>25953</v>
      </c>
      <c r="B25953" s="2" t="str">
        <f>IFERROR(__xludf.DUMMYFUNCTION("GOOGLETRANSLATE(A25953, ""en"", ""mt"")"),"Blat imġebbda li għafsu fil-lentijiet huma magħrufa minn liema kelma?")</f>
        <v>Blat imġebbda li għafsu fil-lentijiet huma magħrufa minn liema kelma?</v>
      </c>
    </row>
    <row r="25954" ht="15.75" customHeight="1">
      <c r="A25954" s="2" t="s">
        <v>25954</v>
      </c>
      <c r="B25954" s="2" t="str">
        <f>IFERROR(__xludf.DUMMYFUNCTION("GOOGLETRANSLATE(A25954, ""en"", ""mt"")"),"L-Indiċi Gini")</f>
        <v>L-Indiċi Gini</v>
      </c>
    </row>
    <row r="25955" ht="15.75" customHeight="1">
      <c r="A25955" s="2" t="s">
        <v>25955</v>
      </c>
      <c r="B25955" s="2" t="str">
        <f>IFERROR(__xludf.DUMMYFUNCTION("GOOGLETRANSLATE(A25955, ""en"", ""mt"")"),"Min iddikjara l-knejjes li ssuġġerixxa tkeċċija ta ’Lhud mill-Ġermanja?")</f>
        <v>Min iddikjara l-knejjes li ssuġġerixxa tkeċċija ta ’Lhud mill-Ġermanja?</v>
      </c>
    </row>
    <row r="25956" ht="15.75" customHeight="1">
      <c r="A25956" s="2" t="s">
        <v>25956</v>
      </c>
      <c r="B25956" s="2" t="str">
        <f>IFERROR(__xludf.DUMMYFUNCTION("GOOGLETRANSLATE(A25956, ""en"", ""mt"")"),"X’għamlet Tesla fl-iskola antika tiegħu fl-1879?")</f>
        <v>X’għamlet Tesla fl-iskola antika tiegħu fl-1879?</v>
      </c>
    </row>
    <row r="25957" ht="15.75" customHeight="1">
      <c r="A25957" s="2" t="s">
        <v>25957</v>
      </c>
      <c r="B25957" s="2" t="str">
        <f>IFERROR(__xludf.DUMMYFUNCTION("GOOGLETRANSLATE(A25957, ""en"", ""mt"")"),"Meta l-gvernijiet tal-Punent appoġġjaw l-Iżlamisti li qed joħorġu?")</f>
        <v>Meta l-gvernijiet tal-Punent appoġġjaw l-Iżlamisti li qed joħorġu?</v>
      </c>
    </row>
    <row r="25958" ht="15.75" customHeight="1">
      <c r="A25958" s="2" t="s">
        <v>25958</v>
      </c>
      <c r="B25958" s="2" t="str">
        <f>IFERROR(__xludf.DUMMYFUNCTION("GOOGLETRANSLATE(A25958, ""en"", ""mt"")"),"16 ta ’Ottubru, 1973")</f>
        <v>16 ta ’Ottubru, 1973</v>
      </c>
    </row>
    <row r="25959" ht="15.75" customHeight="1">
      <c r="A25959" s="2" t="s">
        <v>25959</v>
      </c>
      <c r="B25959" s="2" t="str">
        <f>IFERROR(__xludf.DUMMYFUNCTION("GOOGLETRANSLATE(A25959, ""en"", ""mt"")"),"88")</f>
        <v>88</v>
      </c>
    </row>
    <row r="25960" ht="15.75" customHeight="1">
      <c r="A25960" s="2" t="s">
        <v>25960</v>
      </c>
      <c r="B25960" s="2" t="str">
        <f>IFERROR(__xludf.DUMMYFUNCTION("GOOGLETRANSLATE(A25960, ""en"", ""mt"")"),"X'inhi l-ekonomija ta 'Varsavja?")</f>
        <v>X'inhi l-ekonomija ta 'Varsavja?</v>
      </c>
    </row>
    <row r="25961" ht="15.75" customHeight="1">
      <c r="A25961" s="2" t="s">
        <v>25961</v>
      </c>
      <c r="B25961" s="2" t="str">
        <f>IFERROR(__xludf.DUMMYFUNCTION("GOOGLETRANSLATE(A25961, ""en"", ""mt"")"),"bidla fid-dehra")</f>
        <v>bidla fid-dehra</v>
      </c>
    </row>
    <row r="25962" ht="15.75" customHeight="1">
      <c r="A25962" s="2" t="s">
        <v>25962</v>
      </c>
      <c r="B25962" s="2" t="str">
        <f>IFERROR(__xludf.DUMMYFUNCTION("GOOGLETRANSLATE(A25962, ""en"", ""mt"")"),"Konġettura Twin Prime")</f>
        <v>Konġettura Twin Prime</v>
      </c>
    </row>
    <row r="25963" ht="15.75" customHeight="1">
      <c r="A25963" s="2" t="s">
        <v>25963</v>
      </c>
      <c r="B25963" s="2" t="str">
        <f>IFERROR(__xludf.DUMMYFUNCTION("GOOGLETRANSLATE(A25963, ""en"", ""mt"")"),"Xi wħud fl-UMC iħossu li l-ekumeniżmu falz jista 'jirriżulta f'liema?")</f>
        <v>Xi wħud fl-UMC iħossu li l-ekumeniżmu falz jista 'jirriżulta f'liema?</v>
      </c>
    </row>
    <row r="25964" ht="15.75" customHeight="1">
      <c r="A25964" s="2" t="s">
        <v>25964</v>
      </c>
      <c r="B25964" s="2" t="str">
        <f>IFERROR(__xludf.DUMMYFUNCTION("GOOGLETRANSLATE(A25964, ""en"", ""mt"")"),"Kemm jista 'jdum kelliem jindirizza lill-membri matul il-ħin tar-riflessjoni?")</f>
        <v>Kemm jista 'jdum kelliem jindirizza lill-membri matul il-ħin tar-riflessjoni?</v>
      </c>
    </row>
    <row r="25965" ht="15.75" customHeight="1">
      <c r="A25965" s="2" t="s">
        <v>25965</v>
      </c>
      <c r="B25965" s="2" t="str">
        <f>IFERROR(__xludf.DUMMYFUNCTION("GOOGLETRANSLATE(A25965, ""en"", ""mt"")"),"kuntrattur ewlieni")</f>
        <v>kuntrattur ewlieni</v>
      </c>
    </row>
    <row r="25966" ht="15.75" customHeight="1">
      <c r="A25966" s="2" t="s">
        <v>25966</v>
      </c>
      <c r="B25966" s="2" t="str">
        <f>IFERROR(__xludf.DUMMYFUNCTION("GOOGLETRANSLATE(A25966, ""en"", ""mt"")"),"istanza")</f>
        <v>istanza</v>
      </c>
    </row>
    <row r="25967" ht="15.75" customHeight="1">
      <c r="A25967" s="2" t="s">
        <v>25967</v>
      </c>
      <c r="B25967" s="2" t="str">
        <f>IFERROR(__xludf.DUMMYFUNCTION("GOOGLETRANSLATE(A25967, ""en"", ""mt"")"),"Kemm ulied Börte kien iġorr Genghis Khan wara Jochi?")</f>
        <v>Kemm ulied Börte kien iġorr Genghis Khan wara Jochi?</v>
      </c>
    </row>
    <row r="25968" ht="15.75" customHeight="1">
      <c r="A25968" s="2" t="s">
        <v>25968</v>
      </c>
      <c r="B25968" s="2" t="str">
        <f>IFERROR(__xludf.DUMMYFUNCTION("GOOGLETRANSLATE(A25968, ""en"", ""mt"")"),"F'kundizzjonijiet ta 'dawl baxx")</f>
        <v>F'kundizzjonijiet ta 'dawl baxx</v>
      </c>
    </row>
    <row r="25969" ht="15.75" customHeight="1">
      <c r="A25969" s="2" t="s">
        <v>25969</v>
      </c>
      <c r="B25969" s="2" t="str">
        <f>IFERROR(__xludf.DUMMYFUNCTION("GOOGLETRANSLATE(A25969, ""en"", ""mt"")"),"raġonevolment tajjeb")</f>
        <v>raġonevolment tajjeb</v>
      </c>
    </row>
    <row r="25970" ht="15.75" customHeight="1">
      <c r="A25970" s="2" t="s">
        <v>25970</v>
      </c>
      <c r="B25970" s="2" t="str">
        <f>IFERROR(__xludf.DUMMYFUNCTION("GOOGLETRANSLATE(A25970, ""en"", ""mt"")"),"Il-kombustjoni hija kkawżata minn ossidant u fjuwil. X'irwol għandu l-ossiġnu fil-kombustjoni?")</f>
        <v>Il-kombustjoni hija kkawżata minn ossidant u fjuwil. X'irwol għandu l-ossiġnu fil-kombustjoni?</v>
      </c>
    </row>
    <row r="25971" ht="15.75" customHeight="1">
      <c r="A25971" s="2" t="s">
        <v>25971</v>
      </c>
      <c r="B25971" s="2" t="str">
        <f>IFERROR(__xludf.DUMMYFUNCTION("GOOGLETRANSLATE(A25971, ""en"", ""mt"")"),"Kemm fumbles Von Miller forza fis-Super Bowl 50?")</f>
        <v>Kemm fumbles Von Miller forza fis-Super Bowl 50?</v>
      </c>
    </row>
    <row r="25972" ht="15.75" customHeight="1">
      <c r="A25972" s="2" t="s">
        <v>25972</v>
      </c>
      <c r="B25972" s="2" t="str">
        <f>IFERROR(__xludf.DUMMYFUNCTION("GOOGLETRANSLATE(A25972, ""en"", ""mt"")"),"Turiżmu sportiv")</f>
        <v>Turiżmu sportiv</v>
      </c>
    </row>
    <row r="25973" ht="15.75" customHeight="1">
      <c r="A25973" s="2" t="s">
        <v>25973</v>
      </c>
      <c r="B25973" s="2" t="str">
        <f>IFERROR(__xludf.DUMMYFUNCTION("GOOGLETRANSLATE(A25973, ""en"", ""mt"")"),"Komunità LGBT")</f>
        <v>Komunità LGBT</v>
      </c>
    </row>
    <row r="25974" ht="15.75" customHeight="1">
      <c r="A25974" s="2" t="s">
        <v>25974</v>
      </c>
      <c r="B25974" s="2" t="str">
        <f>IFERROR(__xludf.DUMMYFUNCTION("GOOGLETRANSLATE(A25974, ""en"", ""mt"")"),"Betty Meggers")</f>
        <v>Betty Meggers</v>
      </c>
    </row>
    <row r="25975" ht="15.75" customHeight="1">
      <c r="A25975" s="2" t="s">
        <v>25975</v>
      </c>
      <c r="B25975" s="2" t="str">
        <f>IFERROR(__xludf.DUMMYFUNCTION("GOOGLETRANSLATE(A25975, ""en"", ""mt"")"),"X'ammont ta 'ħin kien l-itwal li Tesla qattgħet taħdem mingħajr ma waqfet biex tistrieħ?")</f>
        <v>X'ammont ta 'ħin kien l-itwal li Tesla qattgħet taħdem mingħajr ma waqfet biex tistrieħ?</v>
      </c>
    </row>
    <row r="25976" ht="15.75" customHeight="1">
      <c r="A25976" s="2" t="s">
        <v>25976</v>
      </c>
      <c r="B25976" s="2" t="str">
        <f>IFERROR(__xludf.DUMMYFUNCTION("GOOGLETRANSLATE(A25976, ""en"", ""mt"")"),"il-horde tad-deheb")</f>
        <v>il-horde tad-deheb</v>
      </c>
    </row>
    <row r="25977" ht="15.75" customHeight="1">
      <c r="A25977" s="2" t="s">
        <v>25977</v>
      </c>
      <c r="B25977" s="2" t="str">
        <f>IFERROR(__xludf.DUMMYFUNCTION("GOOGLETRANSLATE(A25977, ""en"", ""mt"")"),"Kemm analisti tal-kulur kienu involuti mas-Super Bowl 50?")</f>
        <v>Kemm analisti tal-kulur kienu involuti mas-Super Bowl 50?</v>
      </c>
    </row>
    <row r="25978" ht="15.75" customHeight="1">
      <c r="A25978" s="2" t="s">
        <v>25978</v>
      </c>
      <c r="B25978" s="2" t="str">
        <f>IFERROR(__xludf.DUMMYFUNCTION("GOOGLETRANSLATE(A25978, ""en"", ""mt"")"),"li jġorr il-moxt")</f>
        <v>li jġorr il-moxt</v>
      </c>
    </row>
    <row r="25979" ht="15.75" customHeight="1">
      <c r="A25979" s="2" t="s">
        <v>25979</v>
      </c>
      <c r="B25979" s="2" t="str">
        <f>IFERROR(__xludf.DUMMYFUNCTION("GOOGLETRANSLATE(A25979, ""en"", ""mt"")"),"5,000 sa 30,000")</f>
        <v>5,000 sa 30,000</v>
      </c>
    </row>
    <row r="25980" ht="15.75" customHeight="1">
      <c r="A25980" s="2" t="s">
        <v>25980</v>
      </c>
      <c r="B25980" s="2" t="str">
        <f>IFERROR(__xludf.DUMMYFUNCTION("GOOGLETRANSLATE(A25980, ""en"", ""mt"")"),"Politikament, ir-Rabat għandha 37 siġġu fil-Kamra tar-Rappreżentanti Awstraljana u 12-il siġġu fis-Senat Awstraljan. Fil-livell tal-istat, il-Parlament tar-Rabat jikkonsisti fl-Assemblea Leġiżlattiva (il-Kamra l-Baxxa) u l-Kunsill Leġiżlattiv (il-Kamra ta"&amp;" ’Fuq). Victoria bħalissa hija rregolata mill-Partit Laburista, ma 'Daniel Andrews il-premier attwali. Ir-rappreżentant personali tar-Reġina tal-Awstralja fl-istat huwa l-Gvernatur tar-Rabat, bħalissa Linda Dessau. Il-gvern lokali huwa kkonċentrat f'79 di"&amp;"strett muniċipali, inklużi 33 belt, għalkemm numru ta 'żoni mhux inkorporati għadhom jeżistu, li huma amministrati direttament mill-istat.")</f>
        <v>Politikament, ir-Rabat għandha 37 siġġu fil-Kamra tar-Rappreżentanti Awstraljana u 12-il siġġu fis-Senat Awstraljan. Fil-livell tal-istat, il-Parlament tar-Rabat jikkonsisti fl-Assemblea Leġiżlattiva (il-Kamra l-Baxxa) u l-Kunsill Leġiżlattiv (il-Kamra ta ’Fuq). Victoria bħalissa hija rregolata mill-Partit Laburista, ma 'Daniel Andrews il-premier attwali. Ir-rappreżentant personali tar-Reġina tal-Awstralja fl-istat huwa l-Gvernatur tar-Rabat, bħalissa Linda Dessau. Il-gvern lokali huwa kkonċentrat f'79 distrett muniċipali, inklużi 33 belt, għalkemm numru ta 'żoni mhux inkorporati għadhom jeżistu, li huma amministrati direttament mill-istat.</v>
      </c>
    </row>
    <row r="25981" ht="15.75" customHeight="1">
      <c r="A25981" s="2" t="s">
        <v>25981</v>
      </c>
      <c r="B25981" s="2" t="str">
        <f>IFERROR(__xludf.DUMMYFUNCTION("GOOGLETRANSLATE(A25981, ""en"", ""mt"")"),"Lampea")</f>
        <v>Lampea</v>
      </c>
    </row>
    <row r="25982" ht="15.75" customHeight="1">
      <c r="A25982" s="2" t="s">
        <v>25982</v>
      </c>
      <c r="B25982" s="2" t="str">
        <f>IFERROR(__xludf.DUMMYFUNCTION("GOOGLETRANSLATE(A25982, ""en"", ""mt"")"),"1538")</f>
        <v>1538</v>
      </c>
    </row>
    <row r="25983" ht="15.75" customHeight="1">
      <c r="A25983" s="2" t="s">
        <v>25983</v>
      </c>
      <c r="B25983" s="2" t="str">
        <f>IFERROR(__xludf.DUMMYFUNCTION("GOOGLETRANSLATE(A25983, ""en"", ""mt"")"),"Kotba tal-BBC")</f>
        <v>Kotba tal-BBC</v>
      </c>
    </row>
    <row r="25984" ht="15.75" customHeight="1">
      <c r="A25984" s="2" t="s">
        <v>25984</v>
      </c>
      <c r="B25984" s="2" t="str">
        <f>IFERROR(__xludf.DUMMYFUNCTION("GOOGLETRANSLATE(A25984, ""en"", ""mt"")"),"Liema benefiċċji addizzjonali hemm għall-komunità tal-madwar ta 'espansjoni?")</f>
        <v>Liema benefiċċji addizzjonali hemm għall-komunità tal-madwar ta 'espansjoni?</v>
      </c>
    </row>
    <row r="25985" ht="15.75" customHeight="1">
      <c r="A25985" s="2" t="s">
        <v>25985</v>
      </c>
      <c r="B25985" s="2" t="str">
        <f>IFERROR(__xludf.DUMMYFUNCTION("GOOGLETRANSLATE(A25985, ""en"", ""mt"")"),"1973–1974")</f>
        <v>1973–1974</v>
      </c>
    </row>
    <row r="25986" ht="15.75" customHeight="1">
      <c r="A25986" s="2" t="s">
        <v>25986</v>
      </c>
      <c r="B25986" s="2" t="str">
        <f>IFERROR(__xludf.DUMMYFUNCTION("GOOGLETRANSLATE(A25986, ""en"", ""mt"")"),"Chevrolet Bel Air, u Ford Galaxie 500")</f>
        <v>Chevrolet Bel Air, u Ford Galaxie 500</v>
      </c>
    </row>
    <row r="25987" ht="15.75" customHeight="1">
      <c r="A25987" s="2" t="s">
        <v>25987</v>
      </c>
      <c r="B25987" s="2" t="str">
        <f>IFERROR(__xludf.DUMMYFUNCTION("GOOGLETRANSLATE(A25987, ""en"", ""mt"")"),"Little Hugos")</f>
        <v>Little Hugos</v>
      </c>
    </row>
    <row r="25988" ht="15.75" customHeight="1">
      <c r="A25988" s="2" t="s">
        <v>25988</v>
      </c>
      <c r="B25988" s="2" t="str">
        <f>IFERROR(__xludf.DUMMYFUNCTION("GOOGLETRANSLATE(A25988, ""en"", ""mt"")"),"Ma 'xiex tirrelata d-diżubbidjenza ċivili?")</f>
        <v>Ma 'xiex tirrelata d-diżubbidjenza ċivili?</v>
      </c>
    </row>
    <row r="25989" ht="15.75" customHeight="1">
      <c r="A25989" s="2" t="s">
        <v>25989</v>
      </c>
      <c r="B25989" s="2" t="str">
        <f>IFERROR(__xludf.DUMMYFUNCTION("GOOGLETRANSLATE(A25989, ""en"", ""mt"")"),"Nuqqas ta 'dispjaċir")</f>
        <v>Nuqqas ta 'dispjaċir</v>
      </c>
    </row>
    <row r="25990" ht="15.75" customHeight="1">
      <c r="A25990" s="2" t="s">
        <v>25990</v>
      </c>
      <c r="B25990" s="2" t="str">
        <f>IFERROR(__xludf.DUMMYFUNCTION("GOOGLETRANSLATE(A25990, ""en"", ""mt"")"),"bunker")</f>
        <v>bunker</v>
      </c>
    </row>
    <row r="25991" ht="15.75" customHeight="1">
      <c r="A25991" s="2" t="s">
        <v>25991</v>
      </c>
      <c r="B25991" s="2" t="str">
        <f>IFERROR(__xludf.DUMMYFUNCTION("GOOGLETRANSLATE(A25991, ""en"", ""mt"")"),"Għaliex il-vjolenza rampanti tipprevjeni lin-nies milli jaħdmu?")</f>
        <v>Għaliex il-vjolenza rampanti tipprevjeni lin-nies milli jaħdmu?</v>
      </c>
    </row>
    <row r="25992" ht="15.75" customHeight="1">
      <c r="A25992" s="2" t="s">
        <v>25992</v>
      </c>
      <c r="B25992" s="2" t="str">
        <f>IFERROR(__xludf.DUMMYFUNCTION("GOOGLETRANSLATE(A25992, ""en"", ""mt"")"),"Kemm kien kbir il-bini tal-assemblaġġ vertikali?")</f>
        <v>Kemm kien kbir il-bini tal-assemblaġġ vertikali?</v>
      </c>
    </row>
    <row r="25993" ht="15.75" customHeight="1">
      <c r="A25993" s="2" t="s">
        <v>25993</v>
      </c>
      <c r="B25993" s="2" t="str">
        <f>IFERROR(__xludf.DUMMYFUNCTION("GOOGLETRANSLATE(A25993, ""en"", ""mt"")"),"Tard is-seklu 17")</f>
        <v>Tard is-seklu 17</v>
      </c>
    </row>
    <row r="25994" ht="15.75" customHeight="1">
      <c r="A25994" s="2" t="s">
        <v>25994</v>
      </c>
      <c r="B25994" s="2" t="str">
        <f>IFERROR(__xludf.DUMMYFUNCTION("GOOGLETRANSLATE(A25994, ""en"", ""mt"")"),"X'inhu katalist importanti ta 'tkabbir ekonomiku?")</f>
        <v>X'inhu katalist importanti ta 'tkabbir ekonomiku?</v>
      </c>
    </row>
    <row r="25995" ht="15.75" customHeight="1">
      <c r="A25995" s="2" t="s">
        <v>25995</v>
      </c>
      <c r="B25995" s="2" t="str">
        <f>IFERROR(__xludf.DUMMYFUNCTION("GOOGLETRANSLATE(A25995, ""en"", ""mt"")"),"1980s")</f>
        <v>1980s</v>
      </c>
    </row>
    <row r="25996" ht="15.75" customHeight="1">
      <c r="A25996" s="2" t="s">
        <v>25996</v>
      </c>
      <c r="B25996" s="2" t="str">
        <f>IFERROR(__xludf.DUMMYFUNCTION("GOOGLETRANSLATE(A25996, ""en"", ""mt"")"),"IgG")</f>
        <v>IgG</v>
      </c>
    </row>
    <row r="25997" ht="15.75" customHeight="1">
      <c r="A25997" s="2" t="s">
        <v>25997</v>
      </c>
      <c r="B25997" s="2" t="str">
        <f>IFERROR(__xludf.DUMMYFUNCTION("GOOGLETRANSLATE(A25997, ""en"", ""mt"")"),"Fejn hi l-fruntiera tal-Isvizzera u l-Awstrija?")</f>
        <v>Fejn hi l-fruntiera tal-Isvizzera u l-Awstrija?</v>
      </c>
    </row>
    <row r="25998" ht="15.75" customHeight="1">
      <c r="A25998" s="2" t="s">
        <v>25998</v>
      </c>
      <c r="B25998" s="2" t="str">
        <f>IFERROR(__xludf.DUMMYFUNCTION("GOOGLETRANSLATE(A25998, ""en"", ""mt"")"),"Ħafna mill-bażi tat-taxxa tal-belt tinħela, u twassal għal problemi bil-finanzjament tal-edukazzjoni, is-sanità u l-kontroll tat-traffiku fil-limiti tal-belt. Barra minn hekk, ir-residenti fis-subborgi mhux inkorporati kellhom diffikultà biex jiksbu servi"&amp;"zzi muniċipali, bħalma huma l-infurzar tad-drenaġġ u l-kodiċi tal-bini. Fl-1958, studju rrakkomanda li l-Belt ta 'Jacksonville tibda tehmeż komunitajiet periferiċi sabiex toħloq il-bażi tat-taxxa meħtieġa biex ittejjeb is-servizzi madwar il-kontea. Il-vot"&amp;"anti barra l-limiti tal-belt ċaħdu pjanijiet ta ’annessjoni f’sitt referendum bejn l-1960 u l-1965.")</f>
        <v>Ħafna mill-bażi tat-taxxa tal-belt tinħela, u twassal għal problemi bil-finanzjament tal-edukazzjoni, is-sanità u l-kontroll tat-traffiku fil-limiti tal-belt. Barra minn hekk, ir-residenti fis-subborgi mhux inkorporati kellhom diffikultà biex jiksbu servizzi muniċipali, bħalma huma l-infurzar tad-drenaġġ u l-kodiċi tal-bini. Fl-1958, studju rrakkomanda li l-Belt ta 'Jacksonville tibda tehmeż komunitajiet periferiċi sabiex toħloq il-bażi tat-taxxa meħtieġa biex ittejjeb is-servizzi madwar il-kontea. Il-votanti barra l-limiti tal-belt ċaħdu pjanijiet ta ’annessjoni f’sitt referendum bejn l-1960 u l-1965.</v>
      </c>
    </row>
    <row r="25999" ht="15.75" customHeight="1">
      <c r="A25999" s="2" t="s">
        <v>25999</v>
      </c>
      <c r="B25999" s="2" t="str">
        <f>IFERROR(__xludf.DUMMYFUNCTION("GOOGLETRANSLATE(A25999, ""en"", ""mt"")"),"fuq ix-xatt tal-lemin tal-Vistula")</f>
        <v>fuq ix-xatt tal-lemin tal-Vistula</v>
      </c>
    </row>
    <row r="26000" ht="15.75" customHeight="1">
      <c r="A26000" s="2" t="s">
        <v>26000</v>
      </c>
      <c r="B26000" s="2" t="str">
        <f>IFERROR(__xludf.DUMMYFUNCTION("GOOGLETRANSLATE(A26000, ""en"", ""mt"")"),"Ix-xita fil-baċin matul l-LGM kienet inqas milli għall-preżent")</f>
        <v>Ix-xita fil-baċin matul l-LGM kienet inqas milli għall-preżent</v>
      </c>
    </row>
    <row r="26001" ht="15.75" customHeight="1">
      <c r="A26001" s="2" t="s">
        <v>26001</v>
      </c>
      <c r="B26001" s="2" t="str">
        <f>IFERROR(__xludf.DUMMYFUNCTION("GOOGLETRANSLATE(A26001, ""en"", ""mt"")"),"Evidenza oħra tal-wallons u Huguenots f'Canterbury tinkludi blokka ta 'djar f'Turnagain Lane, fejn it-twieqi ta' Weavers jibqgħu ħajjin fis-sular ta 'fuq, peress li ħafna Huguenots ħadmu bħala nisġa. In-Weavers, dar nofs bl-iskeda mix-xmara, kienet is-sit"&amp;" ta 'skola ta' l-insiġ mill-aħħar tas-seklu 16 sal-1830. (Ġie adattat bħala restorant - ara illustrazzjoni hawn fuq. Id-dar toħroġ isimha minn skola ta 'l-insiġ li kien imċaqlaq hemm fl-aħħar snin tas-seklu 19, li reġa ’beda użu preċedenti.) Oħrajn refuġj"&amp;"ati pprattikaw il-varjetà ta’ okkupazzjonijiet meħtieġa biex isostnu l-komunità bħala distinta mill-popolazzjoni indiġena. Din is-separazzjoni ekonomika kienet il-kundizzjoni tal-aċċettazzjoni inizjali tar-refuġjati fil-belt. Huma stabbilixxew ukoll x'imk"&amp;"ien ieħor f'Kent, partikolarment Sandwich, Faversham u Maidstone - it-trobbija li fihom kien hemm knejjes refuġjati.")</f>
        <v>Evidenza oħra tal-wallons u Huguenots f'Canterbury tinkludi blokka ta 'djar f'Turnagain Lane, fejn it-twieqi ta' Weavers jibqgħu ħajjin fis-sular ta 'fuq, peress li ħafna Huguenots ħadmu bħala nisġa. In-Weavers, dar nofs bl-iskeda mix-xmara, kienet is-sit ta 'skola ta' l-insiġ mill-aħħar tas-seklu 16 sal-1830. (Ġie adattat bħala restorant - ara illustrazzjoni hawn fuq. Id-dar toħroġ isimha minn skola ta 'l-insiġ li kien imċaqlaq hemm fl-aħħar snin tas-seklu 19, li reġa ’beda użu preċedenti.) Oħrajn refuġjati pprattikaw il-varjetà ta’ okkupazzjonijiet meħtieġa biex isostnu l-komunità bħala distinta mill-popolazzjoni indiġena. Din is-separazzjoni ekonomika kienet il-kundizzjoni tal-aċċettazzjoni inizjali tar-refuġjati fil-belt. Huma stabbilixxew ukoll x'imkien ieħor f'Kent, partikolarment Sandwich, Faversham u Maidstone - it-trobbija li fihom kien hemm knejjes refuġjati.</v>
      </c>
    </row>
    <row r="26002" ht="15.75" customHeight="1">
      <c r="A26002" s="2" t="s">
        <v>26002</v>
      </c>
      <c r="B26002" s="2" t="str">
        <f>IFERROR(__xludf.DUMMYFUNCTION("GOOGLETRANSLATE(A26002, ""en"", ""mt"")"),"fin-nofsinhar")</f>
        <v>fin-nofsinhar</v>
      </c>
    </row>
    <row r="26003" ht="15.75" customHeight="1">
      <c r="A26003" s="2" t="s">
        <v>26003</v>
      </c>
      <c r="B26003" s="2" t="str">
        <f>IFERROR(__xludf.DUMMYFUNCTION("GOOGLETRANSLATE(A26003, ""en"", ""mt"")"),"Liema riċerkatur wera li l-arja hija neċessità għall-kombustjoni?")</f>
        <v>Liema riċerkatur wera li l-arja hija neċessità għall-kombustjoni?</v>
      </c>
    </row>
    <row r="26004" ht="15.75" customHeight="1">
      <c r="A26004" s="2" t="s">
        <v>26004</v>
      </c>
      <c r="B26004" s="2" t="str">
        <f>IFERROR(__xludf.DUMMYFUNCTION("GOOGLETRANSLATE(A26004, ""en"", ""mt"")"),"free-to-view")</f>
        <v>free-to-view</v>
      </c>
    </row>
    <row r="26005" ht="15.75" customHeight="1">
      <c r="A26005" s="2" t="s">
        <v>26005</v>
      </c>
      <c r="B26005" s="2" t="str">
        <f>IFERROR(__xludf.DUMMYFUNCTION("GOOGLETRANSLATE(A26005, ""en"", ""mt"")"),"James Hutton ħafna drabi huwa meqjus bħala l-ewwel ġeologu modern. Fl-1785 huwa ppreżenta dokument intitolat Teorija tad-Dinja lis-Soċjetà Rjali ta 'Edinburgu. Fil-karta tiegħu, huwa spjega t-teorija tiegħu li d-dinja trid tkun ferm ixjeħ milli suppost ki"&amp;"enet suppost biex tippermetti ħin biżżejjed biex il-muntanji jitnaqqru u għas-sedimenti jiffurmaw blat ġodda fil-qiegħ tal-baħar, li mbagħad tqajmu sa art niexfa. Hutton ippubblika verżjoni b'żewġ volumi ta 'l-ideat tiegħu fl-1795 (Vol. 1, vol. 2).")</f>
        <v>James Hutton ħafna drabi huwa meqjus bħala l-ewwel ġeologu modern. Fl-1785 huwa ppreżenta dokument intitolat Teorija tad-Dinja lis-Soċjetà Rjali ta 'Edinburgu. Fil-karta tiegħu, huwa spjega t-teorija tiegħu li d-dinja trid tkun ferm ixjeħ milli suppost kienet suppost biex tippermetti ħin biżżejjed biex il-muntanji jitnaqqru u għas-sedimenti jiffurmaw blat ġodda fil-qiegħ tal-baħar, li mbagħad tqajmu sa art niexfa. Hutton ippubblika verżjoni b'żewġ volumi ta 'l-ideat tiegħu fl-1795 (Vol. 1, vol. 2).</v>
      </c>
    </row>
    <row r="26006" ht="15.75" customHeight="1">
      <c r="A26006" s="2" t="s">
        <v>26006</v>
      </c>
      <c r="B26006" s="2" t="str">
        <f>IFERROR(__xludf.DUMMYFUNCTION("GOOGLETRANSLATE(A26006, ""en"", ""mt"")"),"1944")</f>
        <v>1944</v>
      </c>
    </row>
    <row r="26007" ht="15.75" customHeight="1">
      <c r="A26007" s="2" t="s">
        <v>26007</v>
      </c>
      <c r="B26007" s="2" t="str">
        <f>IFERROR(__xludf.DUMMYFUNCTION("GOOGLETRANSLATE(A26007, ""en"", ""mt"")"),"Min kienet it-tieni laureat Nobel femminili?")</f>
        <v>Min kienet it-tieni laureat Nobel femminili?</v>
      </c>
    </row>
    <row r="26008" ht="15.75" customHeight="1">
      <c r="A26008" s="2" t="s">
        <v>26008</v>
      </c>
      <c r="B26008" s="2" t="str">
        <f>IFERROR(__xludf.DUMMYFUNCTION("GOOGLETRANSLATE(A26008, ""en"", ""mt"")"),"It-tieni grad ta 'baċellerat")</f>
        <v>It-tieni grad ta 'baċellerat</v>
      </c>
    </row>
    <row r="26009" ht="15.75" customHeight="1">
      <c r="A26009" s="2" t="s">
        <v>26009</v>
      </c>
      <c r="B26009" s="2" t="str">
        <f>IFERROR(__xludf.DUMMYFUNCTION("GOOGLETRANSLATE(A26009, ""en"", ""mt"")"),"l-iktar komuni")</f>
        <v>l-iktar komuni</v>
      </c>
    </row>
    <row r="26010" ht="15.75" customHeight="1">
      <c r="A26010" s="2" t="s">
        <v>26010</v>
      </c>
      <c r="B26010" s="2" t="str">
        <f>IFERROR(__xludf.DUMMYFUNCTION("GOOGLETRANSLATE(A26010, ""en"", ""mt"")"),"Min ġie mħabbar bħala l-kuntrattur LEM f'Novembru 1962?")</f>
        <v>Min ġie mħabbar bħala l-kuntrattur LEM f'Novembru 1962?</v>
      </c>
    </row>
    <row r="26011" ht="15.75" customHeight="1">
      <c r="A26011" s="2" t="s">
        <v>26011</v>
      </c>
      <c r="B26011" s="2" t="str">
        <f>IFERROR(__xludf.DUMMYFUNCTION("GOOGLETRANSLATE(A26011, ""en"", ""mt"")"),"$ 125 kull xahar")</f>
        <v>$ 125 kull xahar</v>
      </c>
    </row>
    <row r="26012" ht="15.75" customHeight="1">
      <c r="A26012" s="2" t="s">
        <v>26012</v>
      </c>
      <c r="B26012" s="2" t="str">
        <f>IFERROR(__xludf.DUMMYFUNCTION("GOOGLETRANSLATE(A26012, ""en"", ""mt"")"),"Minn fejn ġej l-akbar numru ta 'turisti?")</f>
        <v>Minn fejn ġej l-akbar numru ta 'turisti?</v>
      </c>
    </row>
    <row r="26013" ht="15.75" customHeight="1">
      <c r="A26013" s="2" t="s">
        <v>26013</v>
      </c>
      <c r="B26013" s="2" t="str">
        <f>IFERROR(__xludf.DUMMYFUNCTION("GOOGLETRANSLATE(A26013, ""en"", ""mt"")"),"persuna jew grupp ta 'nies")</f>
        <v>persuna jew grupp ta 'nies</v>
      </c>
    </row>
    <row r="26014" ht="15.75" customHeight="1">
      <c r="A26014" s="2" t="s">
        <v>26014</v>
      </c>
      <c r="B26014" s="2" t="str">
        <f>IFERROR(__xludf.DUMMYFUNCTION("GOOGLETRANSLATE(A26014, ""en"", ""mt"")"),"Minn Jannar 2012, l-ipprogrammar ABC kollu ġie ppreżentat f'liema format?")</f>
        <v>Minn Jannar 2012, l-ipprogrammar ABC kollu ġie ppreżentat f'liema format?</v>
      </c>
    </row>
    <row r="26015" ht="15.75" customHeight="1">
      <c r="A26015" s="2" t="s">
        <v>26015</v>
      </c>
      <c r="B26015" s="2" t="str">
        <f>IFERROR(__xludf.DUMMYFUNCTION("GOOGLETRANSLATE(A26015, ""en"", ""mt"")"),"Nitroġenu")</f>
        <v>Nitroġenu</v>
      </c>
    </row>
    <row r="26016" ht="15.75" customHeight="1">
      <c r="A26016" s="2" t="s">
        <v>26016</v>
      </c>
      <c r="B26016" s="2" t="str">
        <f>IFERROR(__xludf.DUMMYFUNCTION("GOOGLETRANSLATE(A26016, ""en"", ""mt"")"),"X'għamel Gano fl-attentat ta '44-yard yard fil-grawnd?")</f>
        <v>X'għamel Gano fl-attentat ta '44-yard yard fil-grawnd?</v>
      </c>
    </row>
    <row r="26017" ht="15.75" customHeight="1">
      <c r="A26017" s="2" t="s">
        <v>26017</v>
      </c>
      <c r="B26017" s="2" t="str">
        <f>IFERROR(__xludf.DUMMYFUNCTION("GOOGLETRANSLATE(A26017, ""en"", ""mt"")"),"predaturi")</f>
        <v>predaturi</v>
      </c>
    </row>
    <row r="26018" ht="15.75" customHeight="1">
      <c r="A26018" s="2" t="s">
        <v>26018</v>
      </c>
      <c r="B26018" s="2" t="str">
        <f>IFERROR(__xludf.DUMMYFUNCTION("GOOGLETRANSLATE(A26018, ""en"", ""mt"")"),"Jekk detenzjoni titlob lill-istudent biex jikteb, x'għandhom jiktbu?")</f>
        <v>Jekk detenzjoni titlob lill-istudent biex jikteb, x'għandhom jiktbu?</v>
      </c>
    </row>
    <row r="26019" ht="15.75" customHeight="1">
      <c r="A26019" s="2" t="s">
        <v>26019</v>
      </c>
      <c r="B26019" s="2" t="str">
        <f>IFERROR(__xludf.DUMMYFUNCTION("GOOGLETRANSLATE(A26019, ""en"", ""mt"")"),"Xlokk")</f>
        <v>Xlokk</v>
      </c>
    </row>
    <row r="26020" ht="15.75" customHeight="1">
      <c r="A26020" s="2" t="s">
        <v>26020</v>
      </c>
      <c r="B26020" s="2" t="str">
        <f>IFERROR(__xludf.DUMMYFUNCTION("GOOGLETRANSLATE(A26020, ""en"", ""mt"")"),"Dr Harrison Schmitt")</f>
        <v>Dr Harrison Schmitt</v>
      </c>
    </row>
    <row r="26021" ht="15.75" customHeight="1">
      <c r="A26021" s="2" t="s">
        <v>26021</v>
      </c>
      <c r="B26021" s="2" t="str">
        <f>IFERROR(__xludf.DUMMYFUNCTION("GOOGLETRANSLATE(A26021, ""en"", ""mt"")"),"X'kien imsaħħaħ fl-2014?")</f>
        <v>X'kien imsaħħaħ fl-2014?</v>
      </c>
    </row>
    <row r="26022" ht="15.75" customHeight="1">
      <c r="A26022" s="2" t="s">
        <v>26022</v>
      </c>
      <c r="B26022" s="2" t="str">
        <f>IFERROR(__xludf.DUMMYFUNCTION("GOOGLETRANSLATE(A26022, ""en"", ""mt"")"),"Kemm idum sakemm tiġi aġġornata r-reġistrazzjoni proviżorja, jekk jintlaħqu r-rekwiżiti?")</f>
        <v>Kemm idum sakemm tiġi aġġornata r-reġistrazzjoni proviżorja, jekk jintlaħqu r-rekwiżiti?</v>
      </c>
    </row>
    <row r="26023" ht="15.75" customHeight="1">
      <c r="A26023" s="2" t="s">
        <v>26023</v>
      </c>
      <c r="B26023" s="2" t="str">
        <f>IFERROR(__xludf.DUMMYFUNCTION("GOOGLETRANSLATE(A26023, ""en"", ""mt"")"),"Sir Francis Chantrey")</f>
        <v>Sir Francis Chantrey</v>
      </c>
    </row>
    <row r="26024" ht="15.75" customHeight="1">
      <c r="A26024" s="2" t="s">
        <v>26024</v>
      </c>
      <c r="B26024" s="2" t="str">
        <f>IFERROR(__xludf.DUMMYFUNCTION("GOOGLETRANSLATE(A26024, ""en"", ""mt"")"),"Fuq liema storja kienet ibbażata fuq l-ewwel Doctor Who Audio Release?")</f>
        <v>Fuq liema storja kienet ibbażata fuq l-ewwel Doctor Who Audio Release?</v>
      </c>
    </row>
    <row r="26025" ht="15.75" customHeight="1">
      <c r="A26025" s="2" t="s">
        <v>26025</v>
      </c>
      <c r="B26025" s="2" t="str">
        <f>IFERROR(__xludf.DUMMYFUNCTION("GOOGLETRANSLATE(A26025, ""en"", ""mt"")"),"Il-bini huwa lest biex jokkupa")</f>
        <v>Il-bini huwa lest biex jokkupa</v>
      </c>
    </row>
    <row r="26026" ht="15.75" customHeight="1">
      <c r="A26026" s="2" t="s">
        <v>26026</v>
      </c>
      <c r="B26026" s="2" t="str">
        <f>IFERROR(__xludf.DUMMYFUNCTION("GOOGLETRANSLATE(A26026, ""en"", ""mt"")"),"Min għamel it-telfa tal-Broncos fil-logħba tal-kampjonat AFC?")</f>
        <v>Min għamel it-telfa tal-Broncos fil-logħba tal-kampjonat AFC?</v>
      </c>
    </row>
    <row r="26027" ht="15.75" customHeight="1">
      <c r="A26027" s="2" t="s">
        <v>26027</v>
      </c>
      <c r="B26027" s="2" t="str">
        <f>IFERROR(__xludf.DUMMYFUNCTION("GOOGLETRANSLATE(A26027, ""en"", ""mt"")"),"Roone Arledge")</f>
        <v>Roone Arledge</v>
      </c>
    </row>
    <row r="26028" ht="15.75" customHeight="1">
      <c r="A26028" s="2" t="s">
        <v>26028</v>
      </c>
      <c r="B26028" s="2" t="str">
        <f>IFERROR(__xludf.DUMMYFUNCTION("GOOGLETRANSLATE(A26028, ""en"", ""mt"")"),"ċelloli T regolatorji")</f>
        <v>ċelloli T regolatorji</v>
      </c>
    </row>
    <row r="26029" ht="15.75" customHeight="1">
      <c r="A26029" s="2" t="s">
        <v>26029</v>
      </c>
      <c r="B26029" s="2" t="str">
        <f>IFERROR(__xludf.DUMMYFUNCTION("GOOGLETRANSLATE(A26029, ""en"", ""mt"")"),"Kemm kienet twila d-dewmien tax-xandir l-ewwel darba li s-serje ħarġet?")</f>
        <v>Kemm kienet twila d-dewmien tax-xandir l-ewwel darba li s-serje ħarġet?</v>
      </c>
    </row>
    <row r="26030" ht="15.75" customHeight="1">
      <c r="A26030" s="2" t="s">
        <v>26030</v>
      </c>
      <c r="B26030" s="2" t="str">
        <f>IFERROR(__xludf.DUMMYFUNCTION("GOOGLETRANSLATE(A26030, ""en"", ""mt"")"),"Il-kloroplasti tal-kloroplastidan, jew kloroplasti ħodor, huma nisel ieħor tal-kloroplast primarju kbir, divers ħafna. L-organiżmi ospitanti tagħhom huma komunement magħrufa bħala l-alka ħadra u l-pjanti tal-art. Huma differenti minn glaukofite u kloropla"&amp;"sti tal-alka ħamra billi tilfu l-phycobilisomes tagħhom, u fihom il-klorofilla B minflok. Il-biċċa l-kbira tal-kloroplasti ħodor huma (ovvjament) ħodor, għalkemm xi wħud mhumiex, bħal xi forom ta 'hæmatococcus pluvialis, minħabba pigmenti aċċessorji li jw"&amp;"arrbu l-kuluri ħodor tal-klorofillli. Il-kloroplasti tal-kloroplastidan tilfu l-ħajt tal-peptidoglycan bejn il-membrana doppja tagħhom, u biddluh bi spazju intermembrane. Xi pjanti jidhru li żammew il-ġeni għas-sintesi tas-saff tal-peptidoglycan, għalkemm"&amp;" minflok ġew imdaħħlin mill-ġdid għall-użu fid-diviżjoni tal-kloroplast minflok.")</f>
        <v>Il-kloroplasti tal-kloroplastidan, jew kloroplasti ħodor, huma nisel ieħor tal-kloroplast primarju kbir, divers ħafna. L-organiżmi ospitanti tagħhom huma komunement magħrufa bħala l-alka ħadra u l-pjanti tal-art. Huma differenti minn glaukofite u kloroplasti tal-alka ħamra billi tilfu l-phycobilisomes tagħhom, u fihom il-klorofilla B minflok. Il-biċċa l-kbira tal-kloroplasti ħodor huma (ovvjament) ħodor, għalkemm xi wħud mhumiex, bħal xi forom ta 'hæmatococcus pluvialis, minħabba pigmenti aċċessorji li jwarrbu l-kuluri ħodor tal-klorofillli. Il-kloroplasti tal-kloroplastidan tilfu l-ħajt tal-peptidoglycan bejn il-membrana doppja tagħhom, u biddluh bi spazju intermembrane. Xi pjanti jidhru li żammew il-ġeni għas-sintesi tas-saff tal-peptidoglycan, għalkemm minflok ġew imdaħħlin mill-ġdid għall-użu fid-diviżjoni tal-kloroplast minflok.</v>
      </c>
    </row>
    <row r="26031" ht="15.75" customHeight="1">
      <c r="A26031" s="2" t="s">
        <v>26031</v>
      </c>
      <c r="B26031" s="2" t="str">
        <f>IFERROR(__xludf.DUMMYFUNCTION("GOOGLETRANSLATE(A26031, ""en"", ""mt"")"),"Rigal minn Alla")</f>
        <v>Rigal minn Alla</v>
      </c>
    </row>
    <row r="26032" ht="15.75" customHeight="1">
      <c r="A26032" s="2" t="s">
        <v>26032</v>
      </c>
      <c r="B26032" s="2" t="str">
        <f>IFERROR(__xludf.DUMMYFUNCTION("GOOGLETRANSLATE(A26032, ""en"", ""mt"")"),"Min ipprova jirranġa kompromess?")</f>
        <v>Min ipprova jirranġa kompromess?</v>
      </c>
    </row>
    <row r="26033" ht="15.75" customHeight="1">
      <c r="A26033" s="2" t="s">
        <v>26033</v>
      </c>
      <c r="B26033" s="2" t="str">
        <f>IFERROR(__xludf.DUMMYFUNCTION("GOOGLETRANSLATE(A26033, ""en"", ""mt"")"),"id-dominanza tagħha f'distanza medja u atletika fuq distanza twila")</f>
        <v>id-dominanza tagħha f'distanza medja u atletika fuq distanza twila</v>
      </c>
    </row>
    <row r="26034" ht="15.75" customHeight="1">
      <c r="A26034" s="2" t="s">
        <v>26034</v>
      </c>
      <c r="B26034" s="2" t="str">
        <f>IFERROR(__xludf.DUMMYFUNCTION("GOOGLETRANSLATE(A26034, ""en"", ""mt"")"),"Super Bowl 50 iddeċieda ċ-ċampjin tal-NFL għal liema staġun?")</f>
        <v>Super Bowl 50 iddeċieda ċ-ċampjin tal-NFL għal liema staġun?</v>
      </c>
    </row>
    <row r="26035" ht="15.75" customHeight="1">
      <c r="A26035" s="2" t="s">
        <v>26035</v>
      </c>
      <c r="B26035" s="2" t="str">
        <f>IFERROR(__xludf.DUMMYFUNCTION("GOOGLETRANSLATE(A26035, ""en"", ""mt"")"),"Eġittu")</f>
        <v>Eġittu</v>
      </c>
    </row>
    <row r="26036" ht="15.75" customHeight="1">
      <c r="A26036" s="2" t="s">
        <v>26036</v>
      </c>
      <c r="B26036" s="2" t="str">
        <f>IFERROR(__xludf.DUMMYFUNCTION("GOOGLETRANSLATE(A26036, ""en"", ""mt"")"),"L-editt ipproteġi l-Kattoliċi billi jiskoraġġixxi xiex?")</f>
        <v>L-editt ipproteġi l-Kattoliċi billi jiskoraġġixxi xiex?</v>
      </c>
    </row>
    <row r="26037" ht="15.75" customHeight="1">
      <c r="A26037" s="2" t="s">
        <v>26037</v>
      </c>
      <c r="B26037" s="2" t="str">
        <f>IFERROR(__xludf.DUMMYFUNCTION("GOOGLETRANSLATE(A26037, ""en"", ""mt"")"),"L-UMC stabbilixxa u huwa affiljat ma 'bejn wieħed u ieħor kemm hemm kulleġġi u universitajiet fl-Istati Uniti?")</f>
        <v>L-UMC stabbilixxa u huwa affiljat ma 'bejn wieħed u ieħor kemm hemm kulleġġi u universitajiet fl-Istati Uniti?</v>
      </c>
    </row>
    <row r="26038" ht="15.75" customHeight="1">
      <c r="A26038" s="2" t="s">
        <v>26038</v>
      </c>
      <c r="B26038" s="2" t="str">
        <f>IFERROR(__xludf.DUMMYFUNCTION("GOOGLETRANSLATE(A26038, ""en"", ""mt"")"),"Tbattal l-art tal-madwar")</f>
        <v>Tbattal l-art tal-madwar</v>
      </c>
    </row>
    <row r="26039" ht="15.75" customHeight="1">
      <c r="A26039" s="2" t="s">
        <v>26039</v>
      </c>
      <c r="B26039" s="2" t="str">
        <f>IFERROR(__xludf.DUMMYFUNCTION("GOOGLETRANSLATE(A26039, ""en"", ""mt"")"),"Fejn kien jinsab l-ewwel korsa taż-żwiemel?")</f>
        <v>Fejn kien jinsab l-ewwel korsa taż-żwiemel?</v>
      </c>
    </row>
    <row r="26040" ht="15.75" customHeight="1">
      <c r="A26040" s="2" t="s">
        <v>26040</v>
      </c>
      <c r="B26040" s="2" t="str">
        <f>IFERROR(__xludf.DUMMYFUNCTION("GOOGLETRANSLATE(A26040, ""en"", ""mt"")"),"Kemm kameras użaw EyeVision 360?")</f>
        <v>Kemm kameras użaw EyeVision 360?</v>
      </c>
    </row>
    <row r="26041" ht="15.75" customHeight="1">
      <c r="A26041" s="2" t="s">
        <v>26041</v>
      </c>
      <c r="B26041" s="2" t="str">
        <f>IFERROR(__xludf.DUMMYFUNCTION("GOOGLETRANSLATE(A26041, ""en"", ""mt"")"),"entużjażmu tal-għalliem")</f>
        <v>entużjażmu tal-għalliem</v>
      </c>
    </row>
    <row r="26042" ht="15.75" customHeight="1">
      <c r="A26042" s="2" t="s">
        <v>26042</v>
      </c>
      <c r="B26042" s="2" t="str">
        <f>IFERROR(__xludf.DUMMYFUNCTION("GOOGLETRANSLATE(A26042, ""en"", ""mt"")"),"elett")</f>
        <v>elett</v>
      </c>
    </row>
    <row r="26043" ht="15.75" customHeight="1">
      <c r="A26043" s="2" t="s">
        <v>26043</v>
      </c>
      <c r="B26043" s="2" t="str">
        <f>IFERROR(__xludf.DUMMYFUNCTION("GOOGLETRANSLATE(A26043, ""en"", ""mt"")"),"Il-forzi jaġixxu f'direzzjoni partikolari u għandhom daqsijiet dipendenti fuq kemm hi qawwija l-imbuttatura jew il-ġibda. Minħabba dawn il-karatteristiċi, il-forzi huma kklassifikati bħala ""kwantitajiet ta 'vettur"". Dan ifisser li l-forzi jsegwu sett di"&amp;"fferenti ta 'regoli matematiċi minn kwantitajiet fiżiċi li m'għandhomx direzzjoni (kwantitajiet skalari denotati). Pereżempju, meta jiġu ddeterminati x'jiġri meta żewġ forzi jaġixxu fuq l-istess oġġett, huwa meħtieġ li tkun taf kemm il-kobor kif ukoll id-"&amp;"direzzjoni taż-żewġ forzi biex tikkalkula r-riżultat. Jekk dawn iż-żewġ biċċiet ta 'informazzjoni mhumiex magħrufa għal kull forza, is-sitwazzjoni hija ambigwa. Pereżempju, jekk taf li żewġ persuni qed jiġbdu l-istess ħabel bil-kobor tal-forza magħrufa im"&amp;"ma ma tafx liema direzzjoni qed tiġbed, huwa impossibbli li tiddetermina x'inhi l-aċċellerazzjoni tal-ħabel. Iż-żewġ persuni jistgħu jkunu qed jiġbdu kontra xulxin hekk kif fl-irmonk tal-gwerra jew iż-żewġ persuni jistgħu jiġbdu fl-istess direzzjoni. F'da"&amp;"n l-eżempju sempliċi b'dimensjoni waħda, mingħajr ma tkun taf id-direzzjoni tal-forzi huwa impossibbli li tiddeċiedi jekk il-forza netta hijiex ir-riżultat li żżid iż-żewġ kobor tal-forza jew li tnaqqas waħda mill-oħra. L-assoċjazzjoni tal-forzi ma 'vetto"&amp;"ri tevita problemi bħal dawn.")</f>
        <v>Il-forzi jaġixxu f'direzzjoni partikolari u għandhom daqsijiet dipendenti fuq kemm hi qawwija l-imbuttatura jew il-ġibda. Minħabba dawn il-karatteristiċi, il-forzi huma kklassifikati bħala "kwantitajiet ta 'vettur". Dan ifisser li l-forzi jsegwu sett differenti ta 'regoli matematiċi minn kwantitajiet fiżiċi li m'għandhomx direzzjoni (kwantitajiet skalari denotati). Pereżempju, meta jiġu ddeterminati x'jiġri meta żewġ forzi jaġixxu fuq l-istess oġġett, huwa meħtieġ li tkun taf kemm il-kobor kif ukoll id-direzzjoni taż-żewġ forzi biex tikkalkula r-riżultat. Jekk dawn iż-żewġ biċċiet ta 'informazzjoni mhumiex magħrufa għal kull forza, is-sitwazzjoni hija ambigwa. Pereżempju, jekk taf li żewġ persuni qed jiġbdu l-istess ħabel bil-kobor tal-forza magħrufa imma ma tafx liema direzzjoni qed tiġbed, huwa impossibbli li tiddetermina x'inhi l-aċċellerazzjoni tal-ħabel. Iż-żewġ persuni jistgħu jkunu qed jiġbdu kontra xulxin hekk kif fl-irmonk tal-gwerra jew iż-żewġ persuni jistgħu jiġbdu fl-istess direzzjoni. F'dan l-eżempju sempliċi b'dimensjoni waħda, mingħajr ma tkun taf id-direzzjoni tal-forzi huwa impossibbli li tiddeċiedi jekk il-forza netta hijiex ir-riżultat li żżid iż-żewġ kobor tal-forza jew li tnaqqas waħda mill-oħra. L-assoċjazzjoni tal-forzi ma 'vettori tevita problemi bħal dawn.</v>
      </c>
    </row>
    <row r="26044" ht="15.75" customHeight="1">
      <c r="A26044" s="2" t="s">
        <v>26044</v>
      </c>
      <c r="B26044" s="2" t="str">
        <f>IFERROR(__xludf.DUMMYFUNCTION("GOOGLETRANSLATE(A26044, ""en"", ""mt"")"),"Is-16 u s-17-il seklu,")</f>
        <v>Is-16 u s-17-il seklu,</v>
      </c>
    </row>
    <row r="26045" ht="15.75" customHeight="1">
      <c r="A26045" s="2" t="s">
        <v>26045</v>
      </c>
      <c r="B26045" s="2" t="str">
        <f>IFERROR(__xludf.DUMMYFUNCTION("GOOGLETRANSLATE(A26045, ""en"", ""mt"")"),"aktar b'saħħtu fil-parlament Skoċċiż milli f'sistemi parlamentari oħra")</f>
        <v>aktar b'saħħtu fil-parlament Skoċċiż milli f'sistemi parlamentari oħra</v>
      </c>
    </row>
    <row r="26046" ht="15.75" customHeight="1">
      <c r="A26046" s="2" t="s">
        <v>26046</v>
      </c>
      <c r="B26046" s="2" t="str">
        <f>IFERROR(__xludf.DUMMYFUNCTION("GOOGLETRANSLATE(A26046, ""en"", ""mt"")"),"Northumberland")</f>
        <v>Northumberland</v>
      </c>
    </row>
    <row r="26047" ht="15.75" customHeight="1">
      <c r="A26047" s="2" t="s">
        <v>26047</v>
      </c>
      <c r="B26047" s="2" t="str">
        <f>IFERROR(__xludf.DUMMYFUNCTION("GOOGLETRANSLATE(A26047, ""en"", ""mt"")"),"Liema serje tal-logħob tal-kompjuter għamel Alex Seropian?")</f>
        <v>Liema serje tal-logħob tal-kompjuter għamel Alex Seropian?</v>
      </c>
    </row>
    <row r="26048" ht="15.75" customHeight="1">
      <c r="A26048" s="2" t="s">
        <v>26048</v>
      </c>
      <c r="B26048" s="2" t="str">
        <f>IFERROR(__xludf.DUMMYFUNCTION("GOOGLETRANSLATE(A26048, ""en"", ""mt"")"),"Kif tissejjaħ il-forza riżultanti meta żewġ forzi jaġixxu fuq partikula?")</f>
        <v>Kif tissejjaħ il-forza riżultanti meta żewġ forzi jaġixxu fuq partikula?</v>
      </c>
    </row>
    <row r="26049" ht="15.75" customHeight="1">
      <c r="A26049" s="2" t="s">
        <v>26049</v>
      </c>
      <c r="B26049" s="2" t="str">
        <f>IFERROR(__xludf.DUMMYFUNCTION("GOOGLETRANSLATE(A26049, ""en"", ""mt"")"),"Kif inkella jista 'tabib jieħu vantaġġ mill-interess innifsu?")</f>
        <v>Kif inkella jista 'tabib jieħu vantaġġ mill-interess innifsu?</v>
      </c>
    </row>
    <row r="26050" ht="15.75" customHeight="1">
      <c r="A26050" s="2" t="s">
        <v>26050</v>
      </c>
      <c r="B26050" s="2" t="str">
        <f>IFERROR(__xludf.DUMMYFUNCTION("GOOGLETRANSLATE(A26050, ""en"", ""mt"")"),"X'inhi l-bażi tal-innu?")</f>
        <v>X'inhi l-bażi tal-innu?</v>
      </c>
    </row>
    <row r="26051" ht="15.75" customHeight="1">
      <c r="A26051" s="2" t="s">
        <v>26051</v>
      </c>
      <c r="B26051" s="2" t="str">
        <f>IFERROR(__xludf.DUMMYFUNCTION("GOOGLETRANSLATE(A26051, ""en"", ""mt"")"),"X'kien it-titlu tax-xogħol ta 'Philo?")</f>
        <v>X'kien it-titlu tax-xogħol ta 'Philo?</v>
      </c>
    </row>
    <row r="26052" ht="15.75" customHeight="1">
      <c r="A26052" s="2" t="s">
        <v>26052</v>
      </c>
      <c r="B26052" s="2" t="str">
        <f>IFERROR(__xludf.DUMMYFUNCTION("GOOGLETRANSLATE(A26052, ""en"", ""mt"")"),"Inugwaljanza bejn is-sessi fl-edukazzjoni")</f>
        <v>Inugwaljanza bejn is-sessi fl-edukazzjoni</v>
      </c>
    </row>
    <row r="26053" ht="15.75" customHeight="1">
      <c r="A26053" s="2" t="s">
        <v>26053</v>
      </c>
      <c r="B26053" s="2" t="str">
        <f>IFERROR(__xludf.DUMMYFUNCTION("GOOGLETRANSLATE(A26053, ""en"", ""mt"")"),"Kemm Vittorjani mhumiex reliġjużi?")</f>
        <v>Kemm Vittorjani mhumiex reliġjużi?</v>
      </c>
    </row>
    <row r="26054" ht="15.75" customHeight="1">
      <c r="A26054" s="2" t="s">
        <v>26054</v>
      </c>
      <c r="B26054" s="2" t="str">
        <f>IFERROR(__xludf.DUMMYFUNCTION("GOOGLETRANSLATE(A26054, ""en"", ""mt"")"),"Rappreżentanti maħtura minn gvernijiet u organizzazzjonijiet")</f>
        <v>Rappreżentanti maħtura minn gvernijiet u organizzazzjonijiet</v>
      </c>
    </row>
    <row r="26055" ht="15.75" customHeight="1">
      <c r="A26055" s="2" t="s">
        <v>26055</v>
      </c>
      <c r="B26055" s="2" t="str">
        <f>IFERROR(__xludf.DUMMYFUNCTION("GOOGLETRANSLATE(A26055, ""en"", ""mt"")"),"Protestant")</f>
        <v>Protestant</v>
      </c>
    </row>
    <row r="26056" ht="15.75" customHeight="1">
      <c r="A26056" s="2" t="s">
        <v>26056</v>
      </c>
      <c r="B26056" s="2" t="str">
        <f>IFERROR(__xludf.DUMMYFUNCTION("GOOGLETRANSLATE(A26056, ""en"", ""mt"")"),"F'April 2014, kemm studenti ta 'New Zealand attendew skejjel privati?")</f>
        <v>F'April 2014, kemm studenti ta 'New Zealand attendew skejjel privati?</v>
      </c>
    </row>
    <row r="26057" ht="15.75" customHeight="1">
      <c r="A26057" s="2" t="s">
        <v>26057</v>
      </c>
      <c r="B26057" s="2" t="str">
        <f>IFERROR(__xludf.DUMMYFUNCTION("GOOGLETRANSLATE(A26057, ""en"", ""mt"")"),"Korp kbir ta 'xogħol matematiku xorta jkun validu meta jsejjaħ 1 prim, iżda t-teorema fundamentali ta' Euclid ta 'l-aritmetika (imsemmija hawn fuq) ma żżommx kif intqal. Pereżempju, in-numru 15 jista 'jiġi kkunsidrat bħala 3 · 5 u 1 · 3 · 5; Jekk 1 ġew am"&amp;"messi bħala prim, dawn iż-żewġ preżentazzjonijiet ikunu kkunsidrati fatturizzazzjonijiet differenti ta '15 f'numri ewlenin, u għalhekk id-dikjarazzjoni ta 'dak it-teorema kellha tiġi modifikata. Bl-istess mod, l-passatur ta 'Eratosthenes ma jaħdimx sew je"&amp;"kk 1 kien ikkunsidrat bħala prim: verżjoni modifikata ta' l-għarbiel li tqis 1 bħala Prime li telimina l-multipli kollha ta '1 (jiġifieri, in-numri l-oħra kollha) u tipproduċi bħala output biss in-numru uniku 1. Barra minn hekk, in-numri ewlenin għandhom "&amp;"diversi proprjetajiet li n-numru 1 jonqos, bħar-relazzjoni tan-numru mal-valur korrispondenti tiegħu tal-funzjoni totjenti ta 'Euler jew is-somma tal-funzjoni tad-diviżuri.")</f>
        <v>Korp kbir ta 'xogħol matematiku xorta jkun validu meta jsejjaħ 1 prim, iżda t-teorema fundamentali ta' Euclid ta 'l-aritmetika (imsemmija hawn fuq) ma żżommx kif intqal. Pereżempju, in-numru 15 jista 'jiġi kkunsidrat bħala 3 · 5 u 1 · 3 · 5; Jekk 1 ġew ammessi bħala prim, dawn iż-żewġ preżentazzjonijiet ikunu kkunsidrati fatturizzazzjonijiet differenti ta '15 f'numri ewlenin, u għalhekk id-dikjarazzjoni ta 'dak it-teorema kellha tiġi modifikata. Bl-istess mod, l-passatur ta 'Eratosthenes ma jaħdimx sew jekk 1 kien ikkunsidrat bħala prim: verżjoni modifikata ta' l-għarbiel li tqis 1 bħala Prime li telimina l-multipli kollha ta '1 (jiġifieri, in-numri l-oħra kollha) u tipproduċi bħala output biss in-numru uniku 1. Barra minn hekk, in-numri ewlenin għandhom diversi proprjetajiet li n-numru 1 jonqos, bħar-relazzjoni tan-numru mal-valur korrispondenti tiegħu tal-funzjoni totjenti ta 'Euler jew is-somma tal-funzjoni tad-diviżuri.</v>
      </c>
    </row>
    <row r="26058" ht="15.75" customHeight="1">
      <c r="A26058" s="2" t="s">
        <v>26058</v>
      </c>
      <c r="B26058" s="2" t="str">
        <f>IFERROR(__xludf.DUMMYFUNCTION("GOOGLETRANSLATE(A26058, ""en"", ""mt"")"),"Apollo Spacraft")</f>
        <v>Apollo Spacraft</v>
      </c>
    </row>
    <row r="26059" ht="15.75" customHeight="1">
      <c r="A26059" s="2" t="s">
        <v>26059</v>
      </c>
      <c r="B26059" s="2" t="str">
        <f>IFERROR(__xludf.DUMMYFUNCTION("GOOGLETRANSLATE(A26059, ""en"", ""mt"")"),"X'kienet is-sena meta Tesla marret lura Smiljan?")</f>
        <v>X'kienet is-sena meta Tesla marret lura Smiljan?</v>
      </c>
    </row>
    <row r="26060" ht="15.75" customHeight="1">
      <c r="A26060" s="2" t="s">
        <v>26060</v>
      </c>
      <c r="B26060" s="2" t="str">
        <f>IFERROR(__xludf.DUMMYFUNCTION("GOOGLETRANSLATE(A26060, ""en"", ""mt"")"),"Għall-Librerija Presidenzjali George W. Bush")</f>
        <v>Għall-Librerija Presidenzjali George W. Bush</v>
      </c>
    </row>
    <row r="26061" ht="15.75" customHeight="1">
      <c r="A26061" s="2" t="s">
        <v>26061</v>
      </c>
      <c r="B26061" s="2" t="str">
        <f>IFERROR(__xludf.DUMMYFUNCTION("GOOGLETRANSLATE(A26061, ""en"", ""mt"")"),"klassi")</f>
        <v>klassi</v>
      </c>
    </row>
    <row r="26062" ht="15.75" customHeight="1">
      <c r="A26062" s="2" t="s">
        <v>26062</v>
      </c>
      <c r="B26062" s="2" t="str">
        <f>IFERROR(__xludf.DUMMYFUNCTION("GOOGLETRANSLATE(A26062, ""en"", ""mt"")"),"Talent lokali")</f>
        <v>Talent lokali</v>
      </c>
    </row>
    <row r="26063" ht="15.75" customHeight="1">
      <c r="A26063" s="2" t="s">
        <v>26063</v>
      </c>
      <c r="B26063" s="2" t="str">
        <f>IFERROR(__xludf.DUMMYFUNCTION("GOOGLETRANSLATE(A26063, ""en"", ""mt"")"),"Kemm btieħi l-punt ta 'l-ivvjaġġar ta' Brad Nortman?")</f>
        <v>Kemm btieħi l-punt ta 'l-ivvjaġġar ta' Brad Nortman?</v>
      </c>
    </row>
    <row r="26064" ht="15.75" customHeight="1">
      <c r="A26064" s="2" t="s">
        <v>26064</v>
      </c>
      <c r="B26064" s="2" t="str">
        <f>IFERROR(__xludf.DUMMYFUNCTION("GOOGLETRANSLATE(A26064, ""en"", ""mt"")"),"Art Tibetana minn liema perjodu hija rappreżentata fil-kollezzjoni V &amp; A?")</f>
        <v>Art Tibetana minn liema perjodu hija rappreżentata fil-kollezzjoni V &amp; A?</v>
      </c>
    </row>
    <row r="26065" ht="15.75" customHeight="1">
      <c r="A26065" s="2" t="s">
        <v>26065</v>
      </c>
      <c r="B26065" s="2" t="str">
        <f>IFERROR(__xludf.DUMMYFUNCTION("GOOGLETRANSLATE(A26065, ""en"", ""mt"")"),"Liema baħar imdawwar mal-imperu ta 'Genghis Khan lejn il-Lvant meta miet?")</f>
        <v>Liema baħar imdawwar mal-imperu ta 'Genghis Khan lejn il-Lvant meta miet?</v>
      </c>
    </row>
    <row r="26066" ht="15.75" customHeight="1">
      <c r="A26066" s="2" t="s">
        <v>26066</v>
      </c>
      <c r="B26066" s="2" t="str">
        <f>IFERROR(__xludf.DUMMYFUNCTION("GOOGLETRANSLATE(A26066, ""en"", ""mt"")"),"Parassita tal-malarja")</f>
        <v>Parassita tal-malarja</v>
      </c>
    </row>
    <row r="26067" ht="15.75" customHeight="1">
      <c r="A26067" s="2" t="s">
        <v>26067</v>
      </c>
      <c r="B26067" s="2" t="str">
        <f>IFERROR(__xludf.DUMMYFUNCTION("GOOGLETRANSLATE(A26067, ""en"", ""mt"")"),"Madwar 2.5 miljun")</f>
        <v>Madwar 2.5 miljun</v>
      </c>
    </row>
    <row r="26068" ht="15.75" customHeight="1">
      <c r="A26068" s="2" t="s">
        <v>26068</v>
      </c>
      <c r="B26068" s="2" t="str">
        <f>IFERROR(__xludf.DUMMYFUNCTION("GOOGLETRANSLATE(A26068, ""en"", ""mt"")"),"Staġuni 3, 4, &amp; 5")</f>
        <v>Staġuni 3, 4, &amp; 5</v>
      </c>
    </row>
    <row r="26069" ht="15.75" customHeight="1">
      <c r="A26069" s="2" t="s">
        <v>26069</v>
      </c>
      <c r="B26069" s="2" t="str">
        <f>IFERROR(__xludf.DUMMYFUNCTION("GOOGLETRANSLATE(A26069, ""en"", ""mt"")"),"barra mill-kosta ta 'Brest,")</f>
        <v>barra mill-kosta ta 'Brest,</v>
      </c>
    </row>
    <row r="26070" ht="15.75" customHeight="1">
      <c r="A26070" s="2" t="s">
        <v>26070</v>
      </c>
      <c r="B26070" s="2" t="str">
        <f>IFERROR(__xludf.DUMMYFUNCTION("GOOGLETRANSLATE(A26070, ""en"", ""mt"")"),"Jiggle TV")</f>
        <v>Jiggle TV</v>
      </c>
    </row>
    <row r="26071" ht="15.75" customHeight="1">
      <c r="A26071" s="2" t="s">
        <v>26071</v>
      </c>
      <c r="B26071" s="2" t="str">
        <f>IFERROR(__xludf.DUMMYFUNCTION("GOOGLETRANSLATE(A26071, ""en"", ""mt"")"),"Knisja ta ’San Ġorġ")</f>
        <v>Knisja ta ’San Ġorġ</v>
      </c>
    </row>
    <row r="26072" ht="15.75" customHeight="1">
      <c r="A26072" s="2" t="s">
        <v>26072</v>
      </c>
      <c r="B26072" s="2" t="str">
        <f>IFERROR(__xludf.DUMMYFUNCTION("GOOGLETRANSLATE(A26072, ""en"", ""mt"")"),"250,000")</f>
        <v>250,000</v>
      </c>
    </row>
    <row r="26073" ht="15.75" customHeight="1">
      <c r="A26073" s="2" t="s">
        <v>26073</v>
      </c>
      <c r="B26073" s="2" t="str">
        <f>IFERROR(__xludf.DUMMYFUNCTION("GOOGLETRANSLATE(A26073, ""en"", ""mt"")"),"Fejn instab is-sit tad-dfin għall-ittestjar?")</f>
        <v>Fejn instab is-sit tad-dfin għall-ittestjar?</v>
      </c>
    </row>
    <row r="26074" ht="15.75" customHeight="1">
      <c r="A26074" s="2" t="s">
        <v>26074</v>
      </c>
      <c r="B26074" s="2" t="str">
        <f>IFERROR(__xludf.DUMMYFUNCTION("GOOGLETRANSLATE(A26074, ""en"", ""mt"")"),"Min kien responsabbli għar-riċerka arkeoloġika preliminari f'Olonesailie u Hyrax Hill?")</f>
        <v>Min kien responsabbli għar-riċerka arkeoloġika preliminari f'Olonesailie u Hyrax Hill?</v>
      </c>
    </row>
    <row r="26075" ht="15.75" customHeight="1">
      <c r="A26075" s="2" t="s">
        <v>26075</v>
      </c>
      <c r="B26075" s="2" t="str">
        <f>IFERROR(__xludf.DUMMYFUNCTION("GOOGLETRANSLATE(A26075, ""en"", ""mt"")"),"skaduti jew japrovidu biss jekk ir-rimedji tal-ħxejjex kienu offruti fil-biċċa l-kbira")</f>
        <v>skaduti jew japrovidu biss jekk ir-rimedji tal-ħxejjex kienu offruti fil-biċċa l-kbira</v>
      </c>
    </row>
    <row r="26076" ht="15.75" customHeight="1">
      <c r="A26076" s="2" t="s">
        <v>26076</v>
      </c>
      <c r="B26076" s="2" t="str">
        <f>IFERROR(__xludf.DUMMYFUNCTION("GOOGLETRANSLATE(A26076, ""en"", ""mt"")"),"Il-landa kienet żdiedet fil-piż u dik iż-żieda kienet l-istess bħall-piż tal-arja li ġrew lura")</f>
        <v>Il-landa kienet żdiedet fil-piż u dik iż-żieda kienet l-istess bħall-piż tal-arja li ġrew lura</v>
      </c>
    </row>
    <row r="26077" ht="15.75" customHeight="1">
      <c r="A26077" s="2" t="s">
        <v>26077</v>
      </c>
      <c r="B26077" s="2" t="str">
        <f>IFERROR(__xludf.DUMMYFUNCTION("GOOGLETRANSLATE(A26077, ""en"", ""mt"")"),"Bejn liema żewġ toroq tul Kearney Boulevard kienu residenti Afrikani-Amerikani għonja?")</f>
        <v>Bejn liema żewġ toroq tul Kearney Boulevard kienu residenti Afrikani-Amerikani għonja?</v>
      </c>
    </row>
    <row r="26078" ht="15.75" customHeight="1">
      <c r="A26078" s="2" t="s">
        <v>26078</v>
      </c>
      <c r="B26078" s="2" t="str">
        <f>IFERROR(__xludf.DUMMYFUNCTION("GOOGLETRANSLATE(A26078, ""en"", ""mt"")"),"Tibda f'liema sena Harvard qabeż il-klassifiki akkademiċi ta 'universitajiet dinjija?")</f>
        <v>Tibda f'liema sena Harvard qabeż il-klassifiki akkademiċi ta 'universitajiet dinjija?</v>
      </c>
    </row>
    <row r="26079" ht="15.75" customHeight="1">
      <c r="A26079" s="2" t="s">
        <v>26079</v>
      </c>
      <c r="B26079" s="2" t="str">
        <f>IFERROR(__xludf.DUMMYFUNCTION("GOOGLETRANSLATE(A26079, ""en"", ""mt"")"),"$ 2,000")</f>
        <v>$ 2,000</v>
      </c>
    </row>
    <row r="26080" ht="15.75" customHeight="1">
      <c r="A26080" s="2" t="s">
        <v>26080</v>
      </c>
      <c r="B26080" s="2" t="str">
        <f>IFERROR(__xludf.DUMMYFUNCTION("GOOGLETRANSLATE(A26080, ""en"", ""mt"")"),"New York Times")</f>
        <v>New York Times</v>
      </c>
    </row>
    <row r="26081" ht="15.75" customHeight="1">
      <c r="A26081" s="2" t="s">
        <v>26081</v>
      </c>
      <c r="B26081" s="2" t="str">
        <f>IFERROR(__xludf.DUMMYFUNCTION("GOOGLETRANSLATE(A26081, ""en"", ""mt"")"),"Dizzjunarju storiku u kritiku")</f>
        <v>Dizzjunarju storiku u kritiku</v>
      </c>
    </row>
    <row r="26082" ht="15.75" customHeight="1">
      <c r="A26082" s="2" t="s">
        <v>26082</v>
      </c>
      <c r="B26082" s="2" t="str">
        <f>IFERROR(__xludf.DUMMYFUNCTION("GOOGLETRANSLATE(A26082, ""en"", ""mt"")"),"X'inhu l-isem ta 'algoritmu wieħed utli għall-ittestjar b'mod konvenjenti tal-primalità ta' numri kbar?")</f>
        <v>X'inhu l-isem ta 'algoritmu wieħed utli għall-ittestjar b'mod konvenjenti tal-primalità ta' numri kbar?</v>
      </c>
    </row>
    <row r="26083" ht="15.75" customHeight="1">
      <c r="A26083" s="2" t="s">
        <v>26083</v>
      </c>
      <c r="B26083" s="2" t="str">
        <f>IFERROR(__xludf.DUMMYFUNCTION("GOOGLETRANSLATE(A26083, ""en"", ""mt"")"),"Netwerk ta 'Komunikazzjonijiet tad-Dejta Internazzjonali")</f>
        <v>Netwerk ta 'Komunikazzjonijiet tad-Dejta Internazzjonali</v>
      </c>
    </row>
    <row r="26084" ht="15.75" customHeight="1">
      <c r="A26084" s="2" t="s">
        <v>26084</v>
      </c>
      <c r="B26084" s="2" t="str">
        <f>IFERROR(__xludf.DUMMYFUNCTION("GOOGLETRANSLATE(A26084, ""en"", ""mt"")"),"Liema tabib li nkiteb mingħajr tabib min fih?")</f>
        <v>Liema tabib li nkiteb mingħajr tabib min fih?</v>
      </c>
    </row>
    <row r="26085" ht="15.75" customHeight="1">
      <c r="A26085" s="2" t="s">
        <v>26085</v>
      </c>
      <c r="B26085" s="2" t="str">
        <f>IFERROR(__xludf.DUMMYFUNCTION("GOOGLETRANSLATE(A26085, ""en"", ""mt"")"),"F'liema sena kienet il-prova ta 'Rev Jimmy Creech?")</f>
        <v>F'liema sena kienet il-prova ta 'Rev Jimmy Creech?</v>
      </c>
    </row>
    <row r="26086" ht="15.75" customHeight="1">
      <c r="A26086" s="2" t="s">
        <v>26086</v>
      </c>
      <c r="B26086" s="2" t="str">
        <f>IFERROR(__xludf.DUMMYFUNCTION("GOOGLETRANSLATE(A26086, ""en"", ""mt"")"),"X'inhu sors supplimentari tal-liġi tal-Unjoni Ewropea?")</f>
        <v>X'inhu sors supplimentari tal-liġi tal-Unjoni Ewropea?</v>
      </c>
    </row>
    <row r="26087" ht="15.75" customHeight="1">
      <c r="A26087" s="2" t="s">
        <v>26087</v>
      </c>
      <c r="B26087" s="2" t="str">
        <f>IFERROR(__xludf.DUMMYFUNCTION("GOOGLETRANSLATE(A26087, ""en"", ""mt"")"),"85%")</f>
        <v>85%</v>
      </c>
    </row>
    <row r="26088" ht="15.75" customHeight="1">
      <c r="A26088" s="2" t="s">
        <v>26088</v>
      </c>
      <c r="B26088" s="2" t="str">
        <f>IFERROR(__xludf.DUMMYFUNCTION("GOOGLETRANSLATE(A26088, ""en"", ""mt"")"),"F'liema sena kienet il-battalja li rriżultat minn unità tal-kavallerija konfederata li tattakka spedizzjoni tal-unjoni?")</f>
        <v>F'liema sena kienet il-battalja li rriżultat minn unità tal-kavallerija konfederata li tattakka spedizzjoni tal-unjoni?</v>
      </c>
    </row>
    <row r="26089" ht="15.75" customHeight="1">
      <c r="A26089" s="2" t="s">
        <v>26089</v>
      </c>
      <c r="B26089" s="2" t="str">
        <f>IFERROR(__xludf.DUMMYFUNCTION("GOOGLETRANSLATE(A26089, ""en"", ""mt"")"),"4,222,000")</f>
        <v>4,222,000</v>
      </c>
    </row>
    <row r="26090" ht="15.75" customHeight="1">
      <c r="A26090" s="2" t="s">
        <v>26090</v>
      </c>
      <c r="B26090" s="2" t="str">
        <f>IFERROR(__xludf.DUMMYFUNCTION("GOOGLETRANSLATE(A26090, ""en"", ""mt"")"),"X'inhu l-isem tal-proċess li jikkonferma l-primalità ta 'numru N?")</f>
        <v>X'inhu l-isem tal-proċess li jikkonferma l-primalità ta 'numru N?</v>
      </c>
    </row>
    <row r="26091" ht="15.75" customHeight="1">
      <c r="A26091" s="2" t="s">
        <v>26091</v>
      </c>
      <c r="B26091" s="2" t="str">
        <f>IFERROR(__xludf.DUMMYFUNCTION("GOOGLETRANSLATE(A26091, ""en"", ""mt"")"),"Graubünden")</f>
        <v>Graubünden</v>
      </c>
    </row>
    <row r="26092" ht="15.75" customHeight="1">
      <c r="A26092" s="2" t="s">
        <v>26092</v>
      </c>
      <c r="B26092" s="2" t="str">
        <f>IFERROR(__xludf.DUMMYFUNCTION("GOOGLETRANSLATE(A26092, ""en"", ""mt"")"),"F'liema każ ingħataw il-vjeġġi tal-viġilanti Franċiżi ta 'frawli Spanjoli?")</f>
        <v>F'liema każ ingħataw il-vjeġġi tal-viġilanti Franċiżi ta 'frawli Spanjoli?</v>
      </c>
    </row>
    <row r="26093" ht="15.75" customHeight="1">
      <c r="A26093" s="2" t="s">
        <v>26093</v>
      </c>
      <c r="B26093" s="2" t="str">
        <f>IFERROR(__xludf.DUMMYFUNCTION("GOOGLETRANSLATE(A26093, ""en"", ""mt"")"),"mhux magħruf")</f>
        <v>mhux magħruf</v>
      </c>
    </row>
    <row r="26094" ht="15.75" customHeight="1">
      <c r="A26094" s="2" t="s">
        <v>26094</v>
      </c>
      <c r="B26094" s="2" t="str">
        <f>IFERROR(__xludf.DUMMYFUNCTION("GOOGLETRANSLATE(A26094, ""en"", ""mt"")"),"Liema qasam tax-xjenza tal-kompjuter janalizza l-algoritmi kollha possibbli biex jiddeterminaw ir-rekwiżiti tar-riżorsi meħtieġa biex isolvu għal problema partikolari?")</f>
        <v>Liema qasam tax-xjenza tal-kompjuter janalizza l-algoritmi kollha possibbli biex jiddeterminaw ir-rekwiżiti tar-riżorsi meħtieġa biex isolvu għal problema partikolari?</v>
      </c>
    </row>
    <row r="26095" ht="15.75" customHeight="1">
      <c r="A26095" s="2" t="s">
        <v>26095</v>
      </c>
      <c r="B26095" s="2" t="str">
        <f>IFERROR(__xludf.DUMMYFUNCTION("GOOGLETRANSLATE(A26095, ""en"", ""mt"")"),"William Pitt")</f>
        <v>William Pitt</v>
      </c>
    </row>
    <row r="26096" ht="15.75" customHeight="1">
      <c r="A26096" s="2" t="s">
        <v>26096</v>
      </c>
      <c r="B26096" s="2" t="str">
        <f>IFERROR(__xludf.DUMMYFUNCTION("GOOGLETRANSLATE(A26096, ""en"", ""mt"")"),"Liema reġjun tar-Renu nbidel mill-programm ta 'rilaxx ta' Rhine?")</f>
        <v>Liema reġjun tar-Renu nbidel mill-programm ta 'rilaxx ta' Rhine?</v>
      </c>
    </row>
    <row r="26097" ht="15.75" customHeight="1">
      <c r="A26097" s="2" t="s">
        <v>26097</v>
      </c>
      <c r="B26097" s="2" t="str">
        <f>IFERROR(__xludf.DUMMYFUNCTION("GOOGLETRANSLATE(A26097, ""en"", ""mt"")"),"Oliver")</f>
        <v>Oliver</v>
      </c>
    </row>
    <row r="26098" ht="15.75" customHeight="1">
      <c r="A26098" s="2" t="s">
        <v>26098</v>
      </c>
      <c r="B26098" s="2" t="str">
        <f>IFERROR(__xludf.DUMMYFUNCTION("GOOGLETRANSLATE(A26098, ""en"", ""mt"")"),"X'kienet ir-rata ta 'falliment ta' trażżin fi studju ta 'pjanti tat-tabakk bl-użu ta' trasformazzjoni tal-plastidi?")</f>
        <v>X'kienet ir-rata ta 'falliment ta' trażżin fi studju ta 'pjanti tat-tabakk bl-użu ta' trasformazzjoni tal-plastidi?</v>
      </c>
    </row>
    <row r="26099" ht="15.75" customHeight="1">
      <c r="A26099" s="2" t="s">
        <v>26099</v>
      </c>
      <c r="B26099" s="2" t="str">
        <f>IFERROR(__xludf.DUMMYFUNCTION("GOOGLETRANSLATE(A26099, ""en"", ""mt"")"),"Stati jew dipartimenti f'erba 'nazzjonijiet fihom ""Amazonas"" f'isimhom.")</f>
        <v>Stati jew dipartimenti f'erba 'nazzjonijiet fihom "Amazonas" f'isimhom.</v>
      </c>
    </row>
    <row r="26100" ht="15.75" customHeight="1">
      <c r="A26100" s="2" t="s">
        <v>26100</v>
      </c>
      <c r="B26100" s="2" t="str">
        <f>IFERROR(__xludf.DUMMYFUNCTION("GOOGLETRANSLATE(A26100, ""en"", ""mt"")"),"Billi jegħlbu ġisimhom kif ukoll mis-swat tal-moxt-rows tagħhom")</f>
        <v>Billi jegħlbu ġisimhom kif ukoll mis-swat tal-moxt-rows tagħhom</v>
      </c>
    </row>
    <row r="26101" ht="15.75" customHeight="1">
      <c r="A26101" s="2" t="s">
        <v>26101</v>
      </c>
      <c r="B26101" s="2" t="str">
        <f>IFERROR(__xludf.DUMMYFUNCTION("GOOGLETRANSLATE(A26101, ""en"", ""mt"")"),"Liema direzzjoni jgħumu Ctenophore?")</f>
        <v>Liema direzzjoni jgħumu Ctenophore?</v>
      </c>
    </row>
    <row r="26102" ht="15.75" customHeight="1">
      <c r="A26102" s="2" t="s">
        <v>26102</v>
      </c>
      <c r="B26102" s="2" t="str">
        <f>IFERROR(__xludf.DUMMYFUNCTION("GOOGLETRANSLATE(A26102, ""en"", ""mt"")"),"X'inhu essenzjali għall-eżekuzzjoni b'suċċess ta 'proġett?")</f>
        <v>X'inhu essenzjali għall-eżekuzzjoni b'suċċess ta 'proġett?</v>
      </c>
    </row>
    <row r="26103" ht="15.75" customHeight="1">
      <c r="A26103" s="2" t="s">
        <v>26103</v>
      </c>
      <c r="B26103" s="2" t="str">
        <f>IFERROR(__xludf.DUMMYFUNCTION("GOOGLETRANSLATE(A26103, ""en"", ""mt"")"),"Fl-2016")</f>
        <v>Fl-2016</v>
      </c>
    </row>
    <row r="26104" ht="15.75" customHeight="1">
      <c r="A26104" s="2" t="s">
        <v>26104</v>
      </c>
      <c r="B26104" s="2" t="str">
        <f>IFERROR(__xludf.DUMMYFUNCTION("GOOGLETRANSLATE(A26104, ""en"", ""mt"")"),"Liema kumpanija kkonfermat li Beyoncé jipparteċipa fl-ispettaklu tas-Super Bowl 50 f'ħin il-mistrieħ?")</f>
        <v>Liema kumpanija kkonfermat li Beyoncé jipparteċipa fl-ispettaklu tas-Super Bowl 50 f'ħin il-mistrieħ?</v>
      </c>
    </row>
    <row r="26105" ht="15.75" customHeight="1">
      <c r="A26105" s="2" t="s">
        <v>26105</v>
      </c>
      <c r="B26105" s="2" t="str">
        <f>IFERROR(__xludf.DUMMYFUNCTION("GOOGLETRANSLATE(A26105, ""en"", ""mt"")"),"lealtà bla waqfien")</f>
        <v>lealtà bla waqfien</v>
      </c>
    </row>
    <row r="26106" ht="15.75" customHeight="1">
      <c r="A26106" s="2" t="s">
        <v>26106</v>
      </c>
      <c r="B26106" s="2" t="str">
        <f>IFERROR(__xludf.DUMMYFUNCTION("GOOGLETRANSLATE(A26106, ""en"", ""mt"")"),"B'baġit ta '$ 230,000, id-dejta tax-xandir Lunar oriġinali li tibqa' ħajja minn Apollo 11 ġiet ikkompilata minn Nafzger u assenjata lil Lowry Digital għar-restawr. Il-video ġie pproċessat biex jitneħħa l-istorbju bl-addoċċ u ħawwad il-kamera mingħajr ma j"&amp;"eqred il-leġittimità storika. L-immaġini kienu minn tapes fl-Awstralja, l-Arkivju tal-Aħbarijiet tas-CBS, u r-reġistrazzjonijiet ta 'Kinescope li saru fiċ-Ċentru Spazjali Johnson. Il-video restawrat, li jibqa 'bl-iswed u bl-abjad, fih titjib diġitali kons"&amp;"ervattiv u ma kienx jinkludi titjib tal-kwalità tal-ħoss.")</f>
        <v>B'baġit ta '$ 230,000, id-dejta tax-xandir Lunar oriġinali li tibqa' ħajja minn Apollo 11 ġiet ikkompilata minn Nafzger u assenjata lil Lowry Digital għar-restawr. Il-video ġie pproċessat biex jitneħħa l-istorbju bl-addoċċ u ħawwad il-kamera mingħajr ma jeqred il-leġittimità storika. L-immaġini kienu minn tapes fl-Awstralja, l-Arkivju tal-Aħbarijiet tas-CBS, u r-reġistrazzjonijiet ta 'Kinescope li saru fiċ-Ċentru Spazjali Johnson. Il-video restawrat, li jibqa 'bl-iswed u bl-abjad, fih titjib diġitali konservattiv u ma kienx jinkludi titjib tal-kwalità tal-ħoss.</v>
      </c>
    </row>
    <row r="26107" ht="15.75" customHeight="1">
      <c r="A26107" s="2" t="s">
        <v>26107</v>
      </c>
      <c r="B26107" s="2" t="str">
        <f>IFERROR(__xludf.DUMMYFUNCTION("GOOGLETRANSLATE(A26107, ""en"", ""mt"")"),"Miller-Boyett Productions")</f>
        <v>Miller-Boyett Productions</v>
      </c>
    </row>
    <row r="26108" ht="15.75" customHeight="1">
      <c r="A26108" s="2" t="s">
        <v>26108</v>
      </c>
      <c r="B26108" s="2" t="str">
        <f>IFERROR(__xludf.DUMMYFUNCTION("GOOGLETRANSLATE(A26108, ""en"", ""mt"")"),"Meta nħolqot id-direttiva tal-leave tal-ġenituri?")</f>
        <v>Meta nħolqot id-direttiva tal-leave tal-ġenituri?</v>
      </c>
    </row>
    <row r="26109" ht="15.75" customHeight="1">
      <c r="A26109" s="2" t="s">
        <v>26109</v>
      </c>
      <c r="B26109" s="2" t="str">
        <f>IFERROR(__xludf.DUMMYFUNCTION("GOOGLETRANSLATE(A26109, ""en"", ""mt"")"),"Fejn hi l-iktar sezzjoni kiesħa tar-Rabat?")</f>
        <v>Fejn hi l-iktar sezzjoni kiesħa tar-Rabat?</v>
      </c>
    </row>
    <row r="26110" ht="15.75" customHeight="1">
      <c r="A26110" s="2" t="s">
        <v>26110</v>
      </c>
      <c r="B26110" s="2" t="str">
        <f>IFERROR(__xludf.DUMMYFUNCTION("GOOGLETRANSLATE(A26110, ""en"", ""mt"")"),"Liema università għamlet Tesla Verifika fl-1880?")</f>
        <v>Liema università għamlet Tesla Verifika fl-1880?</v>
      </c>
    </row>
    <row r="26111" ht="15.75" customHeight="1">
      <c r="A26111" s="2" t="s">
        <v>26111</v>
      </c>
      <c r="B26111" s="2" t="str">
        <f>IFERROR(__xludf.DUMMYFUNCTION("GOOGLETRANSLATE(A26111, ""en"", ""mt"")"),"Skond skema ta 'aċċess multipli")</f>
        <v>Skond skema ta 'aċċess multipli</v>
      </c>
    </row>
    <row r="26112" ht="15.75" customHeight="1">
      <c r="A26112" s="2" t="s">
        <v>26112</v>
      </c>
      <c r="B26112" s="2" t="str">
        <f>IFERROR(__xludf.DUMMYFUNCTION("GOOGLETRANSLATE(A26112, ""en"", ""mt"")"),"L-użu tal-flus,")</f>
        <v>L-użu tal-flus,</v>
      </c>
    </row>
    <row r="26113" ht="15.75" customHeight="1">
      <c r="A26113" s="2" t="s">
        <v>26113</v>
      </c>
      <c r="B26113" s="2" t="str">
        <f>IFERROR(__xludf.DUMMYFUNCTION("GOOGLETRANSLATE(A26113, ""en"", ""mt"")"),"aċidu gastriku u proteasi")</f>
        <v>aċidu gastriku u proteasi</v>
      </c>
    </row>
    <row r="26114" ht="15.75" customHeight="1">
      <c r="A26114" s="2" t="s">
        <v>26114</v>
      </c>
      <c r="B26114" s="2" t="str">
        <f>IFERROR(__xludf.DUMMYFUNCTION("GOOGLETRANSLATE(A26114, ""en"", ""mt"")"),"2,290 m3 / s")</f>
        <v>2,290 m3 / s</v>
      </c>
    </row>
    <row r="26115" ht="15.75" customHeight="1">
      <c r="A26115" s="2" t="s">
        <v>26115</v>
      </c>
      <c r="B26115" s="2" t="str">
        <f>IFERROR(__xludf.DUMMYFUNCTION("GOOGLETRANSLATE(A26115, ""en"", ""mt"")"),"Fejn kien jokkupa r-Rhine waqt l-Oloken?")</f>
        <v>Fejn kien jokkupa r-Rhine waqt l-Oloken?</v>
      </c>
    </row>
    <row r="26116" ht="15.75" customHeight="1">
      <c r="A26116" s="2" t="s">
        <v>26116</v>
      </c>
      <c r="B26116" s="2" t="str">
        <f>IFERROR(__xludf.DUMMYFUNCTION("GOOGLETRANSLATE(A26116, ""en"", ""mt"")"),"X'inhu l-eżempju ta 'problema oħra kkaratterizzata minn każijiet kbar li tissolva rutina minn maniġers SAT li jużaw algoritmi effiċjenti?")</f>
        <v>X'inhu l-eżempju ta 'problema oħra kkaratterizzata minn każijiet kbar li tissolva rutina minn maniġers SAT li jużaw algoritmi effiċjenti?</v>
      </c>
    </row>
    <row r="26117" ht="15.75" customHeight="1">
      <c r="A26117" s="2" t="s">
        <v>26117</v>
      </c>
      <c r="B26117" s="2" t="str">
        <f>IFERROR(__xludf.DUMMYFUNCTION("GOOGLETRANSLATE(A26117, ""en"", ""mt"")"),"X'kien l-isem tal-Ispecial tal-Milied tal-2007?")</f>
        <v>X'kien l-isem tal-Ispecial tal-Milied tal-2007?</v>
      </c>
    </row>
    <row r="26118" ht="15.75" customHeight="1">
      <c r="A26118" s="2" t="s">
        <v>26118</v>
      </c>
      <c r="B26118" s="2" t="str">
        <f>IFERROR(__xludf.DUMMYFUNCTION("GOOGLETRANSLATE(A26118, ""en"", ""mt"")"),"Charles i")</f>
        <v>Charles i</v>
      </c>
    </row>
    <row r="26119" ht="15.75" customHeight="1">
      <c r="A26119" s="2" t="s">
        <v>26119</v>
      </c>
      <c r="B26119" s="2" t="str">
        <f>IFERROR(__xludf.DUMMYFUNCTION("GOOGLETRANSLATE(A26119, ""en"", ""mt"")"),"Kemm kienu ppjanati oriġinarjament pads tal-varar?")</f>
        <v>Kemm kienu ppjanati oriġinarjament pads tal-varar?</v>
      </c>
    </row>
    <row r="26120" ht="15.75" customHeight="1">
      <c r="A26120" s="2" t="s">
        <v>26120</v>
      </c>
      <c r="B26120" s="2" t="str">
        <f>IFERROR(__xludf.DUMMYFUNCTION("GOOGLETRANSLATE(A26120, ""en"", ""mt"")"),"Liema opra tas-sapun bħalissa tidher fl-ipprogrammar ta 'bi nhar l-ABC?")</f>
        <v>Liema opra tas-sapun bħalissa tidher fl-ipprogrammar ta 'bi nhar l-ABC?</v>
      </c>
    </row>
    <row r="26121" ht="15.75" customHeight="1">
      <c r="A26121" s="2" t="s">
        <v>26121</v>
      </c>
      <c r="B26121" s="2" t="str">
        <f>IFERROR(__xludf.DUMMYFUNCTION("GOOGLETRANSLATE(A26121, ""en"", ""mt"")"),"Schrödinger")</f>
        <v>Schrödinger</v>
      </c>
    </row>
    <row r="26122" ht="15.75" customHeight="1">
      <c r="A26122" s="2" t="s">
        <v>26122</v>
      </c>
      <c r="B26122" s="2" t="str">
        <f>IFERROR(__xludf.DUMMYFUNCTION("GOOGLETRANSLATE(A26122, ""en"", ""mt"")"),"Luteran u Riformat")</f>
        <v>Luteran u Riformat</v>
      </c>
    </row>
    <row r="26123" ht="15.75" customHeight="1">
      <c r="A26123" s="2" t="s">
        <v>26123</v>
      </c>
      <c r="B26123" s="2" t="str">
        <f>IFERROR(__xludf.DUMMYFUNCTION("GOOGLETRANSLATE(A26123, ""en"", ""mt"")"),"L-Att tal-2012")</f>
        <v>L-Att tal-2012</v>
      </c>
    </row>
    <row r="26124" ht="15.75" customHeight="1">
      <c r="A26124" s="2" t="s">
        <v>26124</v>
      </c>
      <c r="B26124" s="2" t="str">
        <f>IFERROR(__xludf.DUMMYFUNCTION("GOOGLETRANSLATE(A26124, ""en"", ""mt"")"),"X'għandu jgħaddi bl-użu ta 'mezzi demokratiċi mill-komunità skolastika kollha?")</f>
        <v>X'għandu jgħaddi bl-użu ta 'mezzi demokratiċi mill-komunità skolastika kollha?</v>
      </c>
    </row>
    <row r="26125" ht="15.75" customHeight="1">
      <c r="A26125" s="2" t="s">
        <v>26125</v>
      </c>
      <c r="B26125" s="2" t="str">
        <f>IFERROR(__xludf.DUMMYFUNCTION("GOOGLETRANSLATE(A26125, ""en"", ""mt"")"),"Tesla, ma tifhimx l-umoriżmu Amerikan tagħna")</f>
        <v>Tesla, ma tifhimx l-umoriżmu Amerikan tagħna</v>
      </c>
    </row>
    <row r="26126" ht="15.75" customHeight="1">
      <c r="A26126" s="2" t="s">
        <v>26126</v>
      </c>
      <c r="B26126" s="2" t="str">
        <f>IFERROR(__xludf.DUMMYFUNCTION("GOOGLETRANSLATE(A26126, ""en"", ""mt"")"),"F'liema temperaturi l-O2 huwa aktar solubbli?")</f>
        <v>F'liema temperaturi l-O2 huwa aktar solubbli?</v>
      </c>
    </row>
    <row r="26127" ht="15.75" customHeight="1">
      <c r="A26127" s="2" t="s">
        <v>26127</v>
      </c>
      <c r="B26127" s="2" t="str">
        <f>IFERROR(__xludf.DUMMYFUNCTION("GOOGLETRANSLATE(A26127, ""en"", ""mt"")"),"kinetiku")</f>
        <v>kinetiku</v>
      </c>
    </row>
    <row r="26128" ht="15.75" customHeight="1">
      <c r="A26128" s="2" t="s">
        <v>26128</v>
      </c>
      <c r="B26128" s="2" t="str">
        <f>IFERROR(__xludf.DUMMYFUNCTION("GOOGLETRANSLATE(A26128, ""en"", ""mt"")"),"konferma")</f>
        <v>konferma</v>
      </c>
    </row>
    <row r="26129" ht="15.75" customHeight="1">
      <c r="A26129" s="2" t="s">
        <v>26129</v>
      </c>
      <c r="B26129" s="2" t="str">
        <f>IFERROR(__xludf.DUMMYFUNCTION("GOOGLETRANSLATE(A26129, ""en"", ""mt"")"),"Il-kompetenza leġiżlattiva tal-ispeċi tal-parlament liema oqsma?")</f>
        <v>Il-kompetenza leġiżlattiva tal-ispeċi tal-parlament liema oqsma?</v>
      </c>
    </row>
    <row r="26130" ht="15.75" customHeight="1">
      <c r="A26130" s="2" t="s">
        <v>26130</v>
      </c>
      <c r="B26130" s="2" t="str">
        <f>IFERROR(__xludf.DUMMYFUNCTION("GOOGLETRANSLATE(A26130, ""en"", ""mt"")"),"Kwalità ta 'istituzzjonijiet ta' pajjiż")</f>
        <v>Kwalità ta 'istituzzjonijiet ta' pajjiż</v>
      </c>
    </row>
    <row r="26131" ht="15.75" customHeight="1">
      <c r="A26131" s="2" t="s">
        <v>26131</v>
      </c>
      <c r="B26131" s="2" t="str">
        <f>IFERROR(__xludf.DUMMYFUNCTION("GOOGLETRANSLATE(A26131, ""en"", ""mt"")"),"Cricket")</f>
        <v>Cricket</v>
      </c>
    </row>
    <row r="26132" ht="15.75" customHeight="1">
      <c r="A26132" s="2" t="s">
        <v>26132</v>
      </c>
      <c r="B26132" s="2" t="str">
        <f>IFERROR(__xludf.DUMMYFUNCTION("GOOGLETRANSLATE(A26132, ""en"", ""mt"")"),"Chris Chibnall")</f>
        <v>Chris Chibnall</v>
      </c>
    </row>
    <row r="26133" ht="15.75" customHeight="1">
      <c r="A26133" s="2" t="s">
        <v>26133</v>
      </c>
      <c r="B26133" s="2" t="str">
        <f>IFERROR(__xludf.DUMMYFUNCTION("GOOGLETRANSLATE(A26133, ""en"", ""mt"")"),"Il-fakultà attwali tinkludi l-antropologu Marshall Sahlins, l-istoriku Dipesh Chakrabarty, il-paleontologi Neil Shubin u Paul Sereno, il-bijologu evoluzzjonarju Jerry Coyne, il-fiżiċista rebbieħ tal-Premju Nobel Yoichiro Nambu, il-fiżiċista rebbieħa tal-P"&amp;"remju Nobel James Cronin, l-ekonomisti tal-prizing Nobel, l-ekonomisti rebbieħa tal-Nobel, Eugene Fama Hansen, Roger Myerson u Robert Lucas, Jr., awtur Freakonomics u l-ekonomista nnotat Steven Levitt, il-gvernatur attwali tal-bank ċentrali tal-Indja Ragh"&amp;"uram Rajan, l-74 Segretarju tal-Istati Uniti tat-Teżor u l-eks President Goldman Sachs u l-Kap Eżekuttiv Hank Paulson, ex-president tal-President Il-Kunsill tal-Konsulenti Ekonomiċi ta 'Barack Obama Austan Goolsbee, l-istudjuż Shakespeare David Bevington,"&amp;" u xjenzati politiċi magħrufa John Mearsheimer u Robert Pape.")</f>
        <v>Il-fakultà attwali tinkludi l-antropologu Marshall Sahlins, l-istoriku Dipesh Chakrabarty, il-paleontologi Neil Shubin u Paul Sereno, il-bijologu evoluzzjonarju Jerry Coyne, il-fiżiċista rebbieħ tal-Premju Nobel Yoichiro Nambu, il-fiżiċista rebbieħa tal-Premju Nobel James Cronin, l-ekonomisti tal-prizing Nobel, l-ekonomisti rebbieħa tal-Nobel, Eugene Fama Hansen, Roger Myerson u Robert Lucas, Jr., awtur Freakonomics u l-ekonomista nnotat Steven Levitt, il-gvernatur attwali tal-bank ċentrali tal-Indja Raghuram Rajan, l-74 Segretarju tal-Istati Uniti tat-Teżor u l-eks President Goldman Sachs u l-Kap Eżekuttiv Hank Paulson, ex-president tal-President Il-Kunsill tal-Konsulenti Ekonomiċi ta 'Barack Obama Austan Goolsbee, l-istudjuż Shakespeare David Bevington, u xjenzati politiċi magħrufa John Mearsheimer u Robert Pape.</v>
      </c>
    </row>
    <row r="26134" ht="15.75" customHeight="1">
      <c r="A26134" s="2" t="s">
        <v>26134</v>
      </c>
      <c r="B26134" s="2" t="str">
        <f>IFERROR(__xludf.DUMMYFUNCTION("GOOGLETRANSLATE(A26134, ""en"", ""mt"")"),"100–5,000")</f>
        <v>100–5,000</v>
      </c>
    </row>
    <row r="26135" ht="15.75" customHeight="1">
      <c r="A26135" s="2" t="s">
        <v>26135</v>
      </c>
      <c r="B26135" s="2" t="str">
        <f>IFERROR(__xludf.DUMMYFUNCTION("GOOGLETRANSLATE(A26135, ""en"", ""mt"")"),"X'inhu l-iktar tul komuni ta 'episodji ta' Doctor Who?")</f>
        <v>X'inhu l-iktar tul komuni ta 'episodji ta' Doctor Who?</v>
      </c>
    </row>
    <row r="26136" ht="15.75" customHeight="1">
      <c r="A26136" s="2" t="s">
        <v>26136</v>
      </c>
      <c r="B26136" s="2" t="str">
        <f>IFERROR(__xludf.DUMMYFUNCTION("GOOGLETRANSLATE(A26136, ""en"", ""mt"")"),"L-ipoteżi ta 'Riemann mhux ippruvata, li tmur mill-1859, tiddikjara li ħlief għal S = −2, −4, ..., iż-żero kollha tal-funzjoni ζ għandhom parti reali daqs 1/2. Il-konnessjoni man-numri ewlenin hija li essenzjalment tgħid li l-primes huma mqassma regolarme"&amp;"nt kemm jista 'jkun. [Kjarifika meħtieġa] mil-lat fiżiku, bejn wieħed u ieħor jiddikjara li l-irregolarità fid-distribuzzjoni tal-primes ġejja biss minn ħoss bl-addoċċ. Mil-lat matematiku, bejn wieħed u ieħor jiddikjara li d-distribuzzjoni bla sintomi ta "&amp;"'primes (madwar x / log X ta' numri inqas minn X huma primes, it-teorema tan-numru ewlieni) iżomm ukoll għal intervalli ferm iqsar ta 'tul madwar l-għerq kwadru ta' X (għal intervalli qrib x). Din l-ipoteżi hija ġeneralment maħsuba li hija korretta. B'mod"&amp;" partikolari, l-iktar suppożizzjoni sempliċi hija li l-primes m'għandhomx ikollhom irregolaritajiet sinifikanti mingħajr raġuni tajba.")</f>
        <v>L-ipoteżi ta 'Riemann mhux ippruvata, li tmur mill-1859, tiddikjara li ħlief għal S = −2, −4, ..., iż-żero kollha tal-funzjoni ζ għandhom parti reali daqs 1/2. Il-konnessjoni man-numri ewlenin hija li essenzjalment tgħid li l-primes huma mqassma regolarment kemm jista 'jkun. [Kjarifika meħtieġa] mil-lat fiżiku, bejn wieħed u ieħor jiddikjara li l-irregolarità fid-distribuzzjoni tal-primes ġejja biss minn ħoss bl-addoċċ. Mil-lat matematiku, bejn wieħed u ieħor jiddikjara li d-distribuzzjoni bla sintomi ta 'primes (madwar x / log X ta' numri inqas minn X huma primes, it-teorema tan-numru ewlieni) iżomm ukoll għal intervalli ferm iqsar ta 'tul madwar l-għerq kwadru ta' X (għal intervalli qrib x). Din l-ipoteżi hija ġeneralment maħsuba li hija korretta. B'mod partikolari, l-iktar suppożizzjoni sempliċi hija li l-primes m'għandhomx ikollhom irregolaritajiet sinifikanti mingħajr raġuni tajba.</v>
      </c>
    </row>
    <row r="26137" ht="15.75" customHeight="1">
      <c r="A26137" s="2" t="s">
        <v>26137</v>
      </c>
      <c r="B26137" s="2" t="str">
        <f>IFERROR(__xludf.DUMMYFUNCTION("GOOGLETRANSLATE(A26137, ""en"", ""mt"")"),"X'inhu t-tieni ajruport l-iktar traffikuż fl-Istati Uniti?")</f>
        <v>X'inhu t-tieni ajruport l-iktar traffikuż fl-Istati Uniti?</v>
      </c>
    </row>
    <row r="26138" ht="15.75" customHeight="1">
      <c r="A26138" s="2" t="s">
        <v>26138</v>
      </c>
      <c r="B26138" s="2" t="str">
        <f>IFERROR(__xludf.DUMMYFUNCTION("GOOGLETRANSLATE(A26138, ""en"", ""mt"")"),"Luther meta kiteb Quddiesa Ġermaniża?")</f>
        <v>Luther meta kiteb Quddiesa Ġermaniża?</v>
      </c>
    </row>
    <row r="26139" ht="15.75" customHeight="1">
      <c r="A26139" s="2" t="s">
        <v>26139</v>
      </c>
      <c r="B26139" s="2" t="str">
        <f>IFERROR(__xludf.DUMMYFUNCTION("GOOGLETRANSLATE(A26139, ""en"", ""mt"")"),"Min kien ir-rivali ewlieni ta 'Louis XIV?")</f>
        <v>Min kien ir-rivali ewlieni ta 'Louis XIV?</v>
      </c>
    </row>
    <row r="26140" ht="15.75" customHeight="1">
      <c r="A26140" s="2" t="s">
        <v>26140</v>
      </c>
      <c r="B26140" s="2" t="str">
        <f>IFERROR(__xludf.DUMMYFUNCTION("GOOGLETRANSLATE(A26140, ""en"", ""mt"")"),"Fejn ħarbu l-patrijiet?")</f>
        <v>Fejn ħarbu l-patrijiet?</v>
      </c>
    </row>
    <row r="26141" ht="15.75" customHeight="1">
      <c r="A26141" s="2" t="s">
        <v>26141</v>
      </c>
      <c r="B26141" s="2" t="str">
        <f>IFERROR(__xludf.DUMMYFUNCTION("GOOGLETRANSLATE(A26141, ""en"", ""mt"")"),"Azzar li ma jissaddadx")</f>
        <v>Azzar li ma jissaddadx</v>
      </c>
    </row>
    <row r="26142" ht="15.75" customHeight="1">
      <c r="A26142" s="2" t="s">
        <v>26142</v>
      </c>
      <c r="B26142" s="2" t="str">
        <f>IFERROR(__xludf.DUMMYFUNCTION("GOOGLETRANSLATE(A26142, ""en"", ""mt"")"),"X'jista 'jżomm oġġett milli jiċċaqlaq meta jkun qed jiġi mbuttat fuq wiċċ?")</f>
        <v>X'jista 'jżomm oġġett milli jiċċaqlaq meta jkun qed jiġi mbuttat fuq wiċċ?</v>
      </c>
    </row>
    <row r="26143" ht="15.75" customHeight="1">
      <c r="A26143" s="2" t="s">
        <v>26143</v>
      </c>
      <c r="B26143" s="2" t="str">
        <f>IFERROR(__xludf.DUMMYFUNCTION("GOOGLETRANSLATE(A26143, ""en"", ""mt"")"),"Fis-snin bikrin, ħafna Huguenots stabbilixxew ukoll fl-inħawi tal-lum Charleston, South Carolina. Fl-1685, Rev Elie Prioleau mill-belt ta ’Pons fi Franza, kienet fost l-ewwel li toqgħod hemm. Huwa sar ragħaj tal-Ewwel Knisja Huguenot fl-Amerika ta ’Fuq f’"&amp;"dik il-belt. Wara r-revoka tal-editt ta 'Nantes fl-1685, diversi familji Huguenot ta' Norman u n-nobbil u d-dixxendenza Karolingjana, inkluż Edmund Bohun ta 'Suffolk l-Ingilterra mil-linja ta' Humphrey de Bohun ta 'royalties Franċiżi imnissla minn Charlem"&amp;"agne, Jean Postell ta' Dippe France, Alexander Pepin, Antoine Poitevin ta 'Orsement France, u Jacques de Bordeaux ta' Grenoble, immigraw lejn id-Distrett ta 'Charleston Orange. Kienu suċċess kbir fiż-żwieġ u l-ispekulazzjoni tal-propjetà. Wara li għamlu p"&amp;"etizzjoni lill-Kuruna Ingliża fl-1697 għad-dritt li għandhom art fil-baronies, huma rnexxew bħala sidien ta 'skjavi fuq il-pjantaġġuni ta' Cooper, Ashepoo, Ashley u Santee River li xtraw mill-landgrave Ingliża Edmund Bellinger. Uħud mid-dixxendenti tagħho"&amp;"m marru fil-Deep South u Texas, fejn żviluppaw pjantaġġuni ġodda.")</f>
        <v>Fis-snin bikrin, ħafna Huguenots stabbilixxew ukoll fl-inħawi tal-lum Charleston, South Carolina. Fl-1685, Rev Elie Prioleau mill-belt ta ’Pons fi Franza, kienet fost l-ewwel li toqgħod hemm. Huwa sar ragħaj tal-Ewwel Knisja Huguenot fl-Amerika ta ’Fuq f’dik il-belt. Wara r-revoka tal-editt ta 'Nantes fl-1685, diversi familji Huguenot ta' Norman u n-nobbil u d-dixxendenza Karolingjana, inkluż Edmund Bohun ta 'Suffolk l-Ingilterra mil-linja ta' Humphrey de Bohun ta 'royalties Franċiżi imnissla minn Charlemagne, Jean Postell ta' Dippe France, Alexander Pepin, Antoine Poitevin ta 'Orsement France, u Jacques de Bordeaux ta' Grenoble, immigraw lejn id-Distrett ta 'Charleston Orange. Kienu suċċess kbir fiż-żwieġ u l-ispekulazzjoni tal-propjetà. Wara li għamlu petizzjoni lill-Kuruna Ingliża fl-1697 għad-dritt li għandhom art fil-baronies, huma rnexxew bħala sidien ta 'skjavi fuq il-pjantaġġuni ta' Cooper, Ashepoo, Ashley u Santee River li xtraw mill-landgrave Ingliża Edmund Bellinger. Uħud mid-dixxendenti tagħhom marru fil-Deep South u Texas, fejn żviluppaw pjantaġġuni ġodda.</v>
      </c>
    </row>
    <row r="26144" ht="15.75" customHeight="1">
      <c r="A26144" s="2" t="s">
        <v>26144</v>
      </c>
      <c r="B26144" s="2" t="str">
        <f>IFERROR(__xludf.DUMMYFUNCTION("GOOGLETRANSLATE(A26144, ""en"", ""mt"")"),"pistun")</f>
        <v>pistun</v>
      </c>
    </row>
    <row r="26145" ht="15.75" customHeight="1">
      <c r="A26145" s="2" t="s">
        <v>26145</v>
      </c>
      <c r="B26145" s="2" t="str">
        <f>IFERROR(__xludf.DUMMYFUNCTION("GOOGLETRANSLATE(A26145, ""en"", ""mt"")"),"Kif jissejħu skejjel sekondarji privati ​​fil-Ġermanja?")</f>
        <v>Kif jissejħu skejjel sekondarji privati ​​fil-Ġermanja?</v>
      </c>
    </row>
    <row r="26146" ht="15.75" customHeight="1">
      <c r="A26146" s="2" t="s">
        <v>26146</v>
      </c>
      <c r="B26146" s="2" t="str">
        <f>IFERROR(__xludf.DUMMYFUNCTION("GOOGLETRANSLATE(A26146, ""en"", ""mt"")"),"Moviment tal-fwar avvanzat")</f>
        <v>Moviment tal-fwar avvanzat</v>
      </c>
    </row>
    <row r="26147" ht="15.75" customHeight="1">
      <c r="A26147" s="2" t="s">
        <v>26147</v>
      </c>
      <c r="B26147" s="2" t="str">
        <f>IFERROR(__xludf.DUMMYFUNCTION("GOOGLETRANSLATE(A26147, ""en"", ""mt"")"),"Liema terminu rriżulta mill-ktieb ta 'Dioscorides?")</f>
        <v>Liema terminu rriżulta mill-ktieb ta 'Dioscorides?</v>
      </c>
    </row>
    <row r="26148" ht="15.75" customHeight="1">
      <c r="A26148" s="2" t="s">
        <v>26148</v>
      </c>
      <c r="B26148" s="2" t="str">
        <f>IFERROR(__xludf.DUMMYFUNCTION("GOOGLETRANSLATE(A26148, ""en"", ""mt"")"),"żewġ katekiżmi.")</f>
        <v>żewġ katekiżmi.</v>
      </c>
    </row>
    <row r="26149" ht="15.75" customHeight="1">
      <c r="A26149" s="2" t="s">
        <v>26149</v>
      </c>
      <c r="B26149" s="2" t="str">
        <f>IFERROR(__xludf.DUMMYFUNCTION("GOOGLETRANSLATE(A26149, ""en"", ""mt"")"),"Kif huma rregolati l-ispiżjara fil-biċċa l-kbira tal-ġurisdizzjonijiet?")</f>
        <v>Kif huma rregolati l-ispiżjara fil-biċċa l-kbira tal-ġurisdizzjonijiet?</v>
      </c>
    </row>
    <row r="26150" ht="15.75" customHeight="1">
      <c r="A26150" s="2" t="s">
        <v>26150</v>
      </c>
      <c r="B26150" s="2" t="str">
        <f>IFERROR(__xludf.DUMMYFUNCTION("GOOGLETRANSLATE(A26150, ""en"", ""mt"")"),"Cobb, Shepley, Rutan u Coolidge, Holabird &amp; Roche,")</f>
        <v>Cobb, Shepley, Rutan u Coolidge, Holabird &amp; Roche,</v>
      </c>
    </row>
    <row r="26151" ht="15.75" customHeight="1">
      <c r="A26151" s="2" t="s">
        <v>26151</v>
      </c>
      <c r="B26151" s="2" t="str">
        <f>IFERROR(__xludf.DUMMYFUNCTION("GOOGLETRANSLATE(A26151, ""en"", ""mt"")"),"Uża l-enerġija potenzjali maħżuna f'H +, jew gradjent tal-joni tal-idroġenu biex tiġġenera l-enerġija ATP")</f>
        <v>Uża l-enerġija potenzjali maħżuna f'H +, jew gradjent tal-joni tal-idroġenu biex tiġġenera l-enerġija ATP</v>
      </c>
    </row>
    <row r="26152" ht="15.75" customHeight="1">
      <c r="A26152" s="2" t="s">
        <v>26152</v>
      </c>
      <c r="B26152" s="2" t="str">
        <f>IFERROR(__xludf.DUMMYFUNCTION("GOOGLETRANSLATE(A26152, ""en"", ""mt"")"),"X’irrifjuta li jagħmel Luther?")</f>
        <v>X’irrifjuta li jagħmel Luther?</v>
      </c>
    </row>
    <row r="26153" ht="15.75" customHeight="1">
      <c r="A26153" s="2" t="s">
        <v>26153</v>
      </c>
      <c r="B26153" s="2" t="str">
        <f>IFERROR(__xludf.DUMMYFUNCTION("GOOGLETRANSLATE(A26153, ""en"", ""mt"")"),"F'Novembru tal-1969, il-veteran tal-Gemini Charles ""Pete"" Conrad u r-rookie Alan L. Bean għamlu inżul ta 'preċiżjoni fuq Apollo 12 f'distanza bil-mixi tas-Surveyor 3 sonda lunari mingħajr ekwipaġġ, li kienet żbarkata f'April 1967 fuq l-oċean tal-maltemp"&amp;"ati. Il-pilota tal-modulu tal-kmand kien il-veteran ta ’Gemini Richard F. Gordon, Jr. Conrad u Bean ġarrbu l-ewwel kamera televiżiva tal-kulur tal-wiċċ Lunar, iżda kien bil-ħsara meta aċċidentalment indika fix-Xemx. Huma għamlu żewġ EVAs li jammontaw għal"&amp;" 7 sigħat u 45 minuta. Fuq waħda, huma telqu lejn is-Surveyor, fotografawh, u neħħew xi partijiet li rritornaw fid-Dinja.")</f>
        <v>F'Novembru tal-1969, il-veteran tal-Gemini Charles "Pete" Conrad u r-rookie Alan L. Bean għamlu inżul ta 'preċiżjoni fuq Apollo 12 f'distanza bil-mixi tas-Surveyor 3 sonda lunari mingħajr ekwipaġġ, li kienet żbarkata f'April 1967 fuq l-oċean tal-maltempati. Il-pilota tal-modulu tal-kmand kien il-veteran ta ’Gemini Richard F. Gordon, Jr. Conrad u Bean ġarrbu l-ewwel kamera televiżiva tal-kulur tal-wiċċ Lunar, iżda kien bil-ħsara meta aċċidentalment indika fix-Xemx. Huma għamlu żewġ EVAs li jammontaw għal 7 sigħat u 45 minuta. Fuq waħda, huma telqu lejn is-Surveyor, fotografawh, u neħħew xi partijiet li rritornaw fid-Dinja.</v>
      </c>
    </row>
    <row r="26154" ht="15.75" customHeight="1">
      <c r="A26154" s="2" t="s">
        <v>26154</v>
      </c>
      <c r="B26154" s="2" t="str">
        <f>IFERROR(__xludf.DUMMYFUNCTION("GOOGLETRANSLATE(A26154, ""en"", ""mt"")"),"Iktar ma tkun żgħira l-inugwaljanza ekonomika, iktar ikun maħluq l-iskart u t-tniġġis, li jirriżulta f'ħafna każijiet, f'aktar degradazzjoni ambjentali. Dan jista 'jiġi spjegat mill-fatt li hekk kif in-nies foqra fis-soċjetà jsiru aktar sinjuri, din iżżid"&amp;" l-emissjonijiet ta' karbonju annwali tagħhom. Din ir-relazzjoni hija espressa mill-kurva tal-Kuznets ambjentali (EKC). [Mhux fiċ-ċitazzjoni mogħtija] għandu jkun innotat hawnhekk li f'ċerti każijiet, b'inugwaljanza ekonomika kbira, madankollu m'hemmx akt"&amp;"ar skart u tniġġis maħluqa bħala l-iskart / tniġġis Imnaddaf aħjar wara (trattament tal-ilma, filtrazzjoni, ...) .... Innota wkoll li ż-żieda kollha fid-degradazzjoni ambjentali hija r-riżultat taż-żieda ta 'emissjonijiet għal kull persuna li tiġi mmultip"&amp;"likata b'ħafna multiplikatur. Jekk kien hemm inqas nies madankollu, dan il-multiplikatur ikun aktar baxx, u għalhekk l-ammont ta 'degradazzjoni ambjentali jkun inqas ukoll. Bħala tali, il-livell għoli attwali ta 'popolazzjoni għandu impatt kbir ukoll fuq "&amp;"dan. Jekk (kif argumentat il-WWF), il-livelli tal-popolazzjoni jibdew jonqsu għal livell sostenibbli (1/3 tal-livelli attwali, għalhekk madwar 2 biljun persuna), l-inugwaljanza umana tista 'tiġi indirizzata / ikkoreġuta, filwaqt li xorta ma tirriżulta f'ż"&amp;"ieda ta' ħsara ambjentali -")</f>
        <v>Iktar ma tkun żgħira l-inugwaljanza ekonomika, iktar ikun maħluq l-iskart u t-tniġġis, li jirriżulta f'ħafna każijiet, f'aktar degradazzjoni ambjentali. Dan jista 'jiġi spjegat mill-fatt li hekk kif in-nies foqra fis-soċjetà jsiru aktar sinjuri, din iżżid l-emissjonijiet ta' karbonju annwali tagħhom. Din ir-relazzjoni hija espressa mill-kurva tal-Kuznets ambjentali (EKC). [Mhux fiċ-ċitazzjoni mogħtija] għandu jkun innotat hawnhekk li f'ċerti każijiet, b'inugwaljanza ekonomika kbira, madankollu m'hemmx aktar skart u tniġġis maħluqa bħala l-iskart / tniġġis Imnaddaf aħjar wara (trattament tal-ilma, filtrazzjoni, ...) .... Innota wkoll li ż-żieda kollha fid-degradazzjoni ambjentali hija r-riżultat taż-żieda ta 'emissjonijiet għal kull persuna li tiġi mmultiplikata b'ħafna multiplikatur. Jekk kien hemm inqas nies madankollu, dan il-multiplikatur ikun aktar baxx, u għalhekk l-ammont ta 'degradazzjoni ambjentali jkun inqas ukoll. Bħala tali, il-livell għoli attwali ta 'popolazzjoni għandu impatt kbir ukoll fuq dan. Jekk (kif argumentat il-WWF), il-livelli tal-popolazzjoni jibdew jonqsu għal livell sostenibbli (1/3 tal-livelli attwali, għalhekk madwar 2 biljun persuna), l-inugwaljanza umana tista 'tiġi indirizzata / ikkoreġuta, filwaqt li xorta ma tirriżulta f'żieda ta' ħsara ambjentali -</v>
      </c>
    </row>
    <row r="26155" ht="15.75" customHeight="1">
      <c r="A26155" s="2" t="s">
        <v>26155</v>
      </c>
      <c r="B26155" s="2" t="str">
        <f>IFERROR(__xludf.DUMMYFUNCTION("GOOGLETRANSLATE(A26155, ""en"", ""mt"")"),"tmien snin")</f>
        <v>tmien snin</v>
      </c>
    </row>
    <row r="26156" ht="15.75" customHeight="1">
      <c r="A26156" s="2" t="s">
        <v>26156</v>
      </c>
      <c r="B26156" s="2" t="str">
        <f>IFERROR(__xludf.DUMMYFUNCTION("GOOGLETRANSLATE(A26156, ""en"", ""mt"")"),"Skond it-test, kemm ġabru flus il-kumitat ospitanti?")</f>
        <v>Skond it-test, kemm ġabru flus il-kumitat ospitanti?</v>
      </c>
    </row>
    <row r="26157" ht="15.75" customHeight="1">
      <c r="A26157" s="2" t="s">
        <v>26157</v>
      </c>
      <c r="B26157" s="2" t="str">
        <f>IFERROR(__xludf.DUMMYFUNCTION("GOOGLETRANSLATE(A26157, ""en"", ""mt"")"),"L-angoli kollha jibqgħu l-istess")</f>
        <v>L-angoli kollha jibqgħu l-istess</v>
      </c>
    </row>
    <row r="26158" ht="15.75" customHeight="1">
      <c r="A26158" s="2" t="s">
        <v>26158</v>
      </c>
      <c r="B26158" s="2" t="str">
        <f>IFERROR(__xludf.DUMMYFUNCTION("GOOGLETRANSLATE(A26158, ""en"", ""mt"")"),"Knisja u t-tradizzjoni teoloġika Metodista-Kristjana")</f>
        <v>Knisja u t-tradizzjoni teoloġika Metodista-Kristjana</v>
      </c>
    </row>
    <row r="26159" ht="15.75" customHeight="1">
      <c r="A26159" s="2" t="s">
        <v>26159</v>
      </c>
      <c r="B26159" s="2" t="str">
        <f>IFERROR(__xludf.DUMMYFUNCTION("GOOGLETRANSLATE(A26159, ""en"", ""mt"")"),"Meta jsir il-Festival Wianki?")</f>
        <v>Meta jsir il-Festival Wianki?</v>
      </c>
    </row>
    <row r="26160" ht="15.75" customHeight="1">
      <c r="A26160" s="2" t="s">
        <v>26160</v>
      </c>
      <c r="B26160" s="2" t="str">
        <f>IFERROR(__xludf.DUMMYFUNCTION("GOOGLETRANSLATE(A26160, ""en"", ""mt"")"),"għerq")</f>
        <v>għerq</v>
      </c>
    </row>
    <row r="26161" ht="15.75" customHeight="1">
      <c r="A26161" s="2" t="s">
        <v>26161</v>
      </c>
      <c r="B26161" s="2" t="str">
        <f>IFERROR(__xludf.DUMMYFUNCTION("GOOGLETRANSLATE(A26161, ""en"", ""mt"")"),"Trattat ta 'Hubertusburg fil-15 ta' Frar 1763")</f>
        <v>Trattat ta 'Hubertusburg fil-15 ta' Frar 1763</v>
      </c>
    </row>
    <row r="26162" ht="15.75" customHeight="1">
      <c r="A26162" s="2" t="s">
        <v>26162</v>
      </c>
      <c r="B26162" s="2" t="str">
        <f>IFERROR(__xludf.DUMMYFUNCTION("GOOGLETRANSLATE(A26162, ""en"", ""mt"")"),"Pereżempju, ikkunsidra l-algoritmu ta 'l-issortjar deterministiku Quicksort. Dan isolvi l-problema tal-għażla ta 'lista ta' numri interi li tingħata bħala l-input. L-agħar każ huwa meta l-input jiġi magħżul jew magħżul f'ordni invers, u l-algoritmu jieħu "&amp;"ż-żmien O (N2) għal dan il-każ. Jekk nassumu li l-permutazzjonijiet kollha possibbli tal-lista tal-input huma ugwalment probabbli, il-ħin medju meħud għall-issortjar huwa O (n log n). L-aħjar każ iseħħ meta kull pivoting jaqsam il-lista bin-nofs, jeħtieġ "&amp;"ukoll il-ħin O (n log n).")</f>
        <v>Pereżempju, ikkunsidra l-algoritmu ta 'l-issortjar deterministiku Quicksort. Dan isolvi l-problema tal-għażla ta 'lista ta' numri interi li tingħata bħala l-input. L-agħar każ huwa meta l-input jiġi magħżul jew magħżul f'ordni invers, u l-algoritmu jieħu ż-żmien O (N2) għal dan il-każ. Jekk nassumu li l-permutazzjonijiet kollha possibbli tal-lista tal-input huma ugwalment probabbli, il-ħin medju meħud għall-issortjar huwa O (n log n). L-aħjar każ iseħħ meta kull pivoting jaqsam il-lista bin-nofs, jeħtieġ ukoll il-ħin O (n log n).</v>
      </c>
    </row>
    <row r="26163" ht="15.75" customHeight="1">
      <c r="A26163" s="2" t="s">
        <v>26163</v>
      </c>
      <c r="B26163" s="2" t="str">
        <f>IFERROR(__xludf.DUMMYFUNCTION("GOOGLETRANSLATE(A26163, ""en"", ""mt"")"),"Liġijiet tajbin u ċari")</f>
        <v>Liġijiet tajbin u ċari</v>
      </c>
    </row>
    <row r="26164" ht="15.75" customHeight="1">
      <c r="A26164" s="2" t="s">
        <v>26164</v>
      </c>
      <c r="B26164" s="2" t="str">
        <f>IFERROR(__xludf.DUMMYFUNCTION("GOOGLETRANSLATE(A26164, ""en"", ""mt"")"),"Thomas Savery")</f>
        <v>Thomas Savery</v>
      </c>
    </row>
    <row r="26165" ht="15.75" customHeight="1">
      <c r="A26165" s="2" t="s">
        <v>26165</v>
      </c>
      <c r="B26165" s="2" t="str">
        <f>IFERROR(__xludf.DUMMYFUNCTION("GOOGLETRANSLATE(A26165, ""en"", ""mt"")"),"Ticonderoga")</f>
        <v>Ticonderoga</v>
      </c>
    </row>
    <row r="26166" ht="15.75" customHeight="1">
      <c r="A26166" s="2" t="s">
        <v>26166</v>
      </c>
      <c r="B26166" s="2" t="str">
        <f>IFERROR(__xludf.DUMMYFUNCTION("GOOGLETRANSLATE(A26166, ""en"", ""mt"")"),"is-seine")</f>
        <v>is-seine</v>
      </c>
    </row>
    <row r="26167" ht="15.75" customHeight="1">
      <c r="A26167" s="2" t="s">
        <v>26167</v>
      </c>
      <c r="B26167" s="2" t="str">
        <f>IFERROR(__xludf.DUMMYFUNCTION("GOOGLETRANSLATE(A26167, ""en"", ""mt"")"),"F'liema data ingħata Super Bowl 50 lill-Levi's Stadium?")</f>
        <v>F'liema data ingħata Super Bowl 50 lill-Levi's Stadium?</v>
      </c>
    </row>
    <row r="26168" ht="15.75" customHeight="1">
      <c r="A26168" s="2" t="s">
        <v>26168</v>
      </c>
      <c r="B26168" s="2" t="str">
        <f>IFERROR(__xludf.DUMMYFUNCTION("GOOGLETRANSLATE(A26168, ""en"", ""mt"")"),"Il-Ħamas kompla jkun attur ewlieni fil-Palestina. Mill-2000 sal-2007 qatel 542 persuna f'140 bombi suwiċida jew ""operazzjonijiet ta 'martirju"". Fl-elezzjoni leġiżlattiva ta 'Jannar 2006 - l-ewwel inkwiet tagħha fil-proċess politiku - rebaħ il-maġġoranza"&amp;" tas-siġġijiet, u fl-2007 huwa mexxa l-PLO barra minn Gaża. Il-Ħamas ġie mfaħħar mill-Musulmani talli jsuq lil Iżrael barra mill-istrixxa ta 'Gaża, iżda kkritika għan-nuqqas li jinkisbu t-talbiet tiegħu fil-gwerer ta' Gaża 2008-9 u 2014 minkejja qerda qaw"&amp;"wija u telf sinifikanti ta 'ħajja.")</f>
        <v>Il-Ħamas kompla jkun attur ewlieni fil-Palestina. Mill-2000 sal-2007 qatel 542 persuna f'140 bombi suwiċida jew "operazzjonijiet ta 'martirju". Fl-elezzjoni leġiżlattiva ta 'Jannar 2006 - l-ewwel inkwiet tagħha fil-proċess politiku - rebaħ il-maġġoranza tas-siġġijiet, u fl-2007 huwa mexxa l-PLO barra minn Gaża. Il-Ħamas ġie mfaħħar mill-Musulmani talli jsuq lil Iżrael barra mill-istrixxa ta 'Gaża, iżda kkritika għan-nuqqas li jinkisbu t-talbiet tiegħu fil-gwerer ta' Gaża 2008-9 u 2014 minkejja qerda qawwija u telf sinifikanti ta 'ħajja.</v>
      </c>
    </row>
    <row r="26169" ht="15.75" customHeight="1">
      <c r="A26169" s="2" t="s">
        <v>26169</v>
      </c>
      <c r="B26169" s="2" t="str">
        <f>IFERROR(__xludf.DUMMYFUNCTION("GOOGLETRANSLATE(A26169, ""en"", ""mt"")"),"Ir-ribelljonijiet Huguenot")</f>
        <v>Ir-ribelljonijiet Huguenot</v>
      </c>
    </row>
    <row r="26170" ht="15.75" customHeight="1">
      <c r="A26170" s="2" t="s">
        <v>26170</v>
      </c>
      <c r="B26170" s="2" t="str">
        <f>IFERROR(__xludf.DUMMYFUNCTION("GOOGLETRANSLATE(A26170, ""en"", ""mt"")"),"Mewt fil-ġisem u r-ruħ")</f>
        <v>Mewt fil-ġisem u r-ruħ</v>
      </c>
    </row>
    <row r="26171" ht="15.75" customHeight="1">
      <c r="A26171" s="2" t="s">
        <v>26171</v>
      </c>
      <c r="B26171" s="2" t="str">
        <f>IFERROR(__xludf.DUMMYFUNCTION("GOOGLETRANSLATE(A26171, ""en"", ""mt"")"),"Artikoli ta 'Smalcald")</f>
        <v>Artikoli ta 'Smalcald</v>
      </c>
    </row>
    <row r="26172" ht="15.75" customHeight="1">
      <c r="A26172" s="2" t="s">
        <v>26172</v>
      </c>
      <c r="B26172" s="2" t="str">
        <f>IFERROR(__xludf.DUMMYFUNCTION("GOOGLETRANSLATE(A26172, ""en"", ""mt"")"),"Ordni Agostinjan")</f>
        <v>Ordni Agostinjan</v>
      </c>
    </row>
    <row r="26173" ht="15.75" customHeight="1">
      <c r="A26173" s="2" t="s">
        <v>26173</v>
      </c>
      <c r="B26173" s="2" t="str">
        <f>IFERROR(__xludf.DUMMYFUNCTION("GOOGLETRANSLATE(A26173, ""en"", ""mt"")"),"Flimkien ma 'magni tal-baħar u unitajiet industrijali, f'liema magni kienu qed jikkomponu popolari?")</f>
        <v>Flimkien ma 'magni tal-baħar u unitajiet industrijali, f'liema magni kienu qed jikkomponu popolari?</v>
      </c>
    </row>
    <row r="26174" ht="15.75" customHeight="1">
      <c r="A26174" s="2" t="s">
        <v>26174</v>
      </c>
      <c r="B26174" s="2" t="str">
        <f>IFERROR(__xludf.DUMMYFUNCTION("GOOGLETRANSLATE(A26174, ""en"", ""mt"")"),"Ewropew")</f>
        <v>Ewropew</v>
      </c>
    </row>
    <row r="26175" ht="15.75" customHeight="1">
      <c r="A26175" s="2" t="s">
        <v>26175</v>
      </c>
      <c r="B26175" s="2" t="str">
        <f>IFERROR(__xludf.DUMMYFUNCTION("GOOGLETRANSLATE(A26175, ""en"", ""mt"")"),"skejjel privati ​​tradizzjonali")</f>
        <v>skejjel privati ​​tradizzjonali</v>
      </c>
    </row>
    <row r="26176" ht="15.75" customHeight="1">
      <c r="A26176" s="2" t="s">
        <v>26176</v>
      </c>
      <c r="B26176" s="2" t="str">
        <f>IFERROR(__xludf.DUMMYFUNCTION("GOOGLETRANSLATE(A26176, ""en"", ""mt"")"),"X'inhu mnaqqas billi twaqqaf l-espansjoni f'ċilindri multipli?")</f>
        <v>X'inhu mnaqqas billi twaqqaf l-espansjoni f'ċilindri multipli?</v>
      </c>
    </row>
    <row r="26177" ht="15.75" customHeight="1">
      <c r="A26177" s="2" t="s">
        <v>26177</v>
      </c>
      <c r="B26177" s="2" t="str">
        <f>IFERROR(__xludf.DUMMYFUNCTION("GOOGLETRANSLATE(A26177, ""en"", ""mt"")"),"X'inhu l-Istadju 1 fil-ħajja ta 'kont?")</f>
        <v>X'inhu l-Istadju 1 fil-ħajja ta 'kont?</v>
      </c>
    </row>
    <row r="26178" ht="15.75" customHeight="1">
      <c r="A26178" s="2" t="s">
        <v>26178</v>
      </c>
      <c r="B26178" s="2" t="str">
        <f>IFERROR(__xludf.DUMMYFUNCTION("GOOGLETRANSLATE(A26178, ""en"", ""mt"")"),"Xi jfisser ħafna ħaddiema lesti li jaħdmu għal ħafna ħin jikkompetu għal xogħol li jirrikjedi biss li ftit ħaddiema jirriżultaw?")</f>
        <v>Xi jfisser ħafna ħaddiema lesti li jaħdmu għal ħafna ħin jikkompetu għal xogħol li jirrikjedi biss li ftit ħaddiema jirriżultaw?</v>
      </c>
    </row>
    <row r="26179" ht="15.75" customHeight="1">
      <c r="A26179" s="2" t="s">
        <v>26179</v>
      </c>
      <c r="B26179" s="2" t="str">
        <f>IFERROR(__xludf.DUMMYFUNCTION("GOOGLETRANSLATE(A26179, ""en"", ""mt"")"),"1869,")</f>
        <v>1869,</v>
      </c>
    </row>
    <row r="26180" ht="15.75" customHeight="1">
      <c r="A26180" s="2" t="s">
        <v>26180</v>
      </c>
      <c r="B26180" s="2" t="str">
        <f>IFERROR(__xludf.DUMMYFUNCTION("GOOGLETRANSLATE(A26180, ""en"", ""mt"")"),"Normalment huwa rikonoxxut li t-tfassil tal-liġi, jekk ma jsirx pubblikament, għall-inqas irid jitħabbar pubblikament sabiex jikkostitwixxi diżubbidjenza ċivili. Iżda Stephen Eilmann jargumenta li jekk huwa meħtieġ li ma jobdux ir-regoli ta 'dak il-morali"&amp;"tà, nistgħu nistaqsu għaliex id-diżubbidjenza għandha tieħu l-forma ta' diżubbidjenza ċivili pubblika aktar milli sempliċement tkompli l-liġi. Jekk avukat jixtieq jgħin lil klijent jegħleb l-ostakli legali biex jiżgura d-drittijiet naturali tiegħu jew tie"&amp;"għu, huwa jista ', pereżempju, isib li l-assistenza fil-fabbrikazzjoni ta' evidenza jew li tikkommetti sperġur ​​hija aktar effettiva minn diżubbidjenza miftuħa. Dan jassumi li l-moralità komuni m'għandhiex projbizzjoni fuq l-ingann f'sitwazzjonijiet bħal"&amp;" dawn. Il-pubblikazzjoni tal-assoċjazzjoni tal-ġurija infurmata bis-sħiħ ""A Primer For Prospettivi"" tinnota, ""aħseb dwar id-dilemma li tiffaċċja ċittadini Ġermaniżi meta l-pulizija sigrieta ta 'Hitler talbet biex tkun taf jekk kinux qed jaħbu Lhudi fid"&amp;"-dar tagħhom."" Permezz ta 'din id-definizzjoni, id-diżubbidjenza ċivili tista' tiġi rintraċċata għall-Ktieb ta 'l-Eżodu, fejn Shiphrah u Puah irrifjutaw ordni diretta tal-Fargħun iżda rrappreżentaw ħażin kif għamlu dan. (Eżodu 1: 15-19)")</f>
        <v>Normalment huwa rikonoxxut li t-tfassil tal-liġi, jekk ma jsirx pubblikament, għall-inqas irid jitħabbar pubblikament sabiex jikkostitwixxi diżubbidjenza ċivili. Iżda Stephen Eilmann jargumenta li jekk huwa meħtieġ li ma jobdux ir-regoli ta 'dak il-moralità, nistgħu nistaqsu għaliex id-diżubbidjenza għandha tieħu l-forma ta' diżubbidjenza ċivili pubblika aktar milli sempliċement tkompli l-liġi. Jekk avukat jixtieq jgħin lil klijent jegħleb l-ostakli legali biex jiżgura d-drittijiet naturali tiegħu jew tiegħu, huwa jista ', pereżempju, isib li l-assistenza fil-fabbrikazzjoni ta' evidenza jew li tikkommetti sperġur ​​hija aktar effettiva minn diżubbidjenza miftuħa. Dan jassumi li l-moralità komuni m'għandhiex projbizzjoni fuq l-ingann f'sitwazzjonijiet bħal dawn. Il-pubblikazzjoni tal-assoċjazzjoni tal-ġurija infurmata bis-sħiħ "A Primer For Prospettivi" tinnota, "aħseb dwar id-dilemma li tiffaċċja ċittadini Ġermaniżi meta l-pulizija sigrieta ta 'Hitler talbet biex tkun taf jekk kinux qed jaħbu Lhudi fid-dar tagħhom." Permezz ta 'din id-definizzjoni, id-diżubbidjenza ċivili tista' tiġi rintraċċata għall-Ktieb ta 'l-Eżodu, fejn Shiphrah u Puah irrifjutaw ordni diretta tal-Fargħun iżda rrappreżentaw ħażin kif għamlu dan. (Eżodu 1: 15-19)</v>
      </c>
    </row>
    <row r="26181" ht="15.75" customHeight="1">
      <c r="A26181" s="2" t="s">
        <v>26181</v>
      </c>
      <c r="B26181" s="2" t="str">
        <f>IFERROR(__xludf.DUMMYFUNCTION("GOOGLETRANSLATE(A26181, ""en"", ""mt"")"),"Kemm abitanti kienu jemmnu li Betty Meggers jistgħu jokkupaw kull kilometru kwadru tal-Amażonja?")</f>
        <v>Kemm abitanti kienu jemmnu li Betty Meggers jistgħu jokkupaw kull kilometru kwadru tal-Amażonja?</v>
      </c>
    </row>
    <row r="26182" ht="15.75" customHeight="1">
      <c r="A26182" s="2" t="s">
        <v>26182</v>
      </c>
      <c r="B26182" s="2" t="str">
        <f>IFERROR(__xludf.DUMMYFUNCTION("GOOGLETRANSLATE(A26182, ""en"", ""mt"")"),"Kien hemm ħafna Ċiniżi b'liema status mhux mistenni?")</f>
        <v>Kien hemm ħafna Ċiniżi b'liema status mhux mistenni?</v>
      </c>
    </row>
    <row r="26183" ht="15.75" customHeight="1">
      <c r="A26183" s="2" t="s">
        <v>26183</v>
      </c>
      <c r="B26183" s="2" t="str">
        <f>IFERROR(__xludf.DUMMYFUNCTION("GOOGLETRANSLATE(A26183, ""en"", ""mt"")"),"X'inhu l-isem tar-rumanzier tal-Premju Pulitzer li kien ukoll alumni tal-università?")</f>
        <v>X'inhu l-isem tar-rumanzier tal-Premju Pulitzer li kien ukoll alumni tal-università?</v>
      </c>
    </row>
    <row r="26184" ht="15.75" customHeight="1">
      <c r="A26184" s="2" t="s">
        <v>26184</v>
      </c>
      <c r="B26184" s="2" t="str">
        <f>IFERROR(__xludf.DUMMYFUNCTION("GOOGLETRANSLATE(A26184, ""en"", ""mt"")"),"L-invażjoni falliet kemm militarment kif ukoll politikament, hekk kif Pitt reġa 'ppjana kampanji sinifikanti kontra Franza l-ġdida")</f>
        <v>L-invażjoni falliet kemm militarment kif ukoll politikament, hekk kif Pitt reġa 'ppjana kampanji sinifikanti kontra Franza l-ġdida</v>
      </c>
    </row>
    <row r="26185" ht="15.75" customHeight="1">
      <c r="A26185" s="2" t="s">
        <v>26185</v>
      </c>
      <c r="B26185" s="2" t="str">
        <f>IFERROR(__xludf.DUMMYFUNCTION("GOOGLETRANSLATE(A26185, ""en"", ""mt"")"),"Jawaharlal Nehru")</f>
        <v>Jawaharlal Nehru</v>
      </c>
    </row>
    <row r="26186" ht="15.75" customHeight="1">
      <c r="A26186" s="2" t="s">
        <v>26186</v>
      </c>
      <c r="B26186" s="2" t="str">
        <f>IFERROR(__xludf.DUMMYFUNCTION("GOOGLETRANSLATE(A26186, ""en"", ""mt"")"),"It-Talons ta 'Weng-Chiang")</f>
        <v>It-Talons ta 'Weng-Chiang</v>
      </c>
    </row>
    <row r="26187" ht="15.75" customHeight="1">
      <c r="A26187" s="2" t="s">
        <v>26187</v>
      </c>
      <c r="B26187" s="2" t="str">
        <f>IFERROR(__xludf.DUMMYFUNCTION("GOOGLETRANSLATE(A26187, ""en"", ""mt"")"),"Liema kumpanija ħallset għal Super Bowl 50 AD biex turi karru ta 'X-Men: Apocalypse?")</f>
        <v>Liema kumpanija ħallset għal Super Bowl 50 AD biex turi karru ta 'X-Men: Apocalypse?</v>
      </c>
    </row>
    <row r="26188" ht="15.75" customHeight="1">
      <c r="A26188" s="2" t="s">
        <v>26188</v>
      </c>
      <c r="B26188" s="2" t="str">
        <f>IFERROR(__xludf.DUMMYFUNCTION("GOOGLETRANSLATE(A26188, ""en"", ""mt"")"),"Liema grupp ta bidu għad-djalogi tal-komunità?")</f>
        <v>Liema grupp ta bidu għad-djalogi tal-komunità?</v>
      </c>
    </row>
    <row r="26189" ht="15.75" customHeight="1">
      <c r="A26189" s="2" t="s">
        <v>26189</v>
      </c>
      <c r="B26189" s="2" t="str">
        <f>IFERROR(__xludf.DUMMYFUNCTION("GOOGLETRANSLATE(A26189, ""en"", ""mt"")"),"Tunbridge Wells.")</f>
        <v>Tunbridge Wells.</v>
      </c>
    </row>
    <row r="26190" ht="15.75" customHeight="1">
      <c r="A26190" s="2" t="s">
        <v>26190</v>
      </c>
      <c r="B26190" s="2" t="str">
        <f>IFERROR(__xludf.DUMMYFUNCTION("GOOGLETRANSLATE(A26190, ""en"", ""mt"")"),"X'ġara mill-baġit tan-NASA wara l-ewwel inżul tal-qamar ta 'suċċess?")</f>
        <v>X'ġara mill-baġit tan-NASA wara l-ewwel inżul tal-qamar ta 'suċċess?</v>
      </c>
    </row>
    <row r="26191" ht="15.75" customHeight="1">
      <c r="A26191" s="2" t="s">
        <v>26191</v>
      </c>
      <c r="B26191" s="2" t="str">
        <f>IFERROR(__xludf.DUMMYFUNCTION("GOOGLETRANSLATE(A26191, ""en"", ""mt"")"),"Min kien l-ewwel Huguenot li jasal fil-Kap tat-Tama Tajba?")</f>
        <v>Min kien l-ewwel Huguenot li jasal fil-Kap tat-Tama Tajba?</v>
      </c>
    </row>
    <row r="26192" ht="15.75" customHeight="1">
      <c r="A26192" s="2" t="s">
        <v>26192</v>
      </c>
      <c r="B26192" s="2" t="str">
        <f>IFERROR(__xludf.DUMMYFUNCTION("GOOGLETRANSLATE(A26192, ""en"", ""mt"")"),"Kumitat tas-Senat tal-Istati Uniti dwar il-Kummerċ, ix-Xjenza u t-Trasport")</f>
        <v>Kumitat tas-Senat tal-Istati Uniti dwar il-Kummerċ, ix-Xjenza u t-Trasport</v>
      </c>
    </row>
    <row r="26193" ht="15.75" customHeight="1">
      <c r="A26193" s="2" t="s">
        <v>26193</v>
      </c>
      <c r="B26193" s="2" t="str">
        <f>IFERROR(__xludf.DUMMYFUNCTION("GOOGLETRANSLATE(A26193, ""en"", ""mt"")"),"Partijiet oħra")</f>
        <v>Partijiet oħra</v>
      </c>
    </row>
    <row r="26194" ht="15.75" customHeight="1">
      <c r="A26194" s="2" t="s">
        <v>26194</v>
      </c>
      <c r="B26194" s="2" t="str">
        <f>IFERROR(__xludf.DUMMYFUNCTION("GOOGLETRANSLATE(A26194, ""en"", ""mt"")"),"X’kinxur il-grad ta ’Luther fl-1509?")</f>
        <v>X’kinxur il-grad ta ’Luther fl-1509?</v>
      </c>
    </row>
    <row r="26195" ht="15.75" customHeight="1">
      <c r="A26195" s="2" t="s">
        <v>26195</v>
      </c>
      <c r="B26195" s="2" t="str">
        <f>IFERROR(__xludf.DUMMYFUNCTION("GOOGLETRANSLATE(A26195, ""en"", ""mt"")"),"X’għandu Artur Oppman lid-dinja?")</f>
        <v>X’għandu Artur Oppman lid-dinja?</v>
      </c>
    </row>
    <row r="26196" ht="15.75" customHeight="1">
      <c r="A26196" s="2" t="s">
        <v>26196</v>
      </c>
      <c r="B26196" s="2" t="str">
        <f>IFERROR(__xludf.DUMMYFUNCTION("GOOGLETRANSLATE(A26196, ""en"", ""mt"")"),"dejjem aktar aggressiv")</f>
        <v>dejjem aktar aggressiv</v>
      </c>
    </row>
    <row r="26197" ht="15.75" customHeight="1">
      <c r="A26197" s="2" t="s">
        <v>26197</v>
      </c>
      <c r="B26197" s="2" t="str">
        <f>IFERROR(__xludf.DUMMYFUNCTION("GOOGLETRANSLATE(A26197, ""en"", ""mt"")"),"2000 mistieden")</f>
        <v>2000 mistieden</v>
      </c>
    </row>
    <row r="26198" ht="15.75" customHeight="1">
      <c r="A26198" s="2" t="s">
        <v>26198</v>
      </c>
      <c r="B26198" s="2" t="str">
        <f>IFERROR(__xludf.DUMMYFUNCTION("GOOGLETRANSLATE(A26198, ""en"", ""mt"")"),"Mill-1894, Tesla beda jinvestiga dak li rrefera għaliha bħala enerġija radjanti ta 'tipi ""inviżibbli"" wara li kien innota film bil-ħsara fil-laboratorju tiegħu f'esperimenti preċedenti (aktar tard identifikat bħala ""Roentgen Rays"" jew ""X-Rays""). L-e"&amp;"sperimenti bikrija tiegħu kienu ma 'tubi ta' crookes, tubu tal-iskarikar elettriku tal-katodu kiesaħ. Ftit wara, ħafna mir-riċerka bikrija ta 'Tesla - mijiet ta' mudelli ta 'invenzjoni, noti, dejta tal-laboratorju, għodod, ritratti, stmati għal $ 50,000 -"&amp;" mitlufa fin-nar tal-Laboratorju tal-5 Avenue ta' Marzu 1895. Tesla hija kkwotata minn The New York Times bħala Tgħid, ""Jiena wisq niket biex nitkellem. X'nista 'ngħid?"" Tesla setgħet bi żball qabdet immaġni tar-raġġi X - predazzjoni, minn ftit ġimgħat,"&amp;" it-tħabbira ta 'Wilhelm Röntgen f'Diċembru 1895 dwar l-iskoperta tar-raġġi X - meta pprova jirritratta lil Mark Twain imdawwal minn tubu ta' Geissler, tip preċedenti ta 'rimi tal-gass tubu. L-unika ħaġa maqbuda fl-immaġni kienet il-kamin tal-qfil tal-met"&amp;"all fuq il-lenti tal-kamera.:134")</f>
        <v>Mill-1894, Tesla beda jinvestiga dak li rrefera għaliha bħala enerġija radjanti ta 'tipi "inviżibbli" wara li kien innota film bil-ħsara fil-laboratorju tiegħu f'esperimenti preċedenti (aktar tard identifikat bħala "Roentgen Rays" jew "X-Rays"). L-esperimenti bikrija tiegħu kienu ma 'tubi ta' crookes, tubu tal-iskarikar elettriku tal-katodu kiesaħ. Ftit wara, ħafna mir-riċerka bikrija ta 'Tesla - mijiet ta' mudelli ta 'invenzjoni, noti, dejta tal-laboratorju, għodod, ritratti, stmati għal $ 50,000 - mitlufa fin-nar tal-Laboratorju tal-5 Avenue ta' Marzu 1895. Tesla hija kkwotata minn The New York Times bħala Tgħid, "Jiena wisq niket biex nitkellem. X'nista 'ngħid?" Tesla setgħet bi żball qabdet immaġni tar-raġġi X - predazzjoni, minn ftit ġimgħat, it-tħabbira ta 'Wilhelm Röntgen f'Diċembru 1895 dwar l-iskoperta tar-raġġi X - meta pprova jirritratta lil Mark Twain imdawwal minn tubu ta' Geissler, tip preċedenti ta 'rimi tal-gass tubu. L-unika ħaġa maqbuda fl-immaġni kienet il-kamin tal-qfil tal-metall fuq il-lenti tal-kamera.:134</v>
      </c>
    </row>
    <row r="26199" ht="15.75" customHeight="1">
      <c r="A26199" s="2" t="s">
        <v>26199</v>
      </c>
      <c r="B26199" s="2" t="str">
        <f>IFERROR(__xludf.DUMMYFUNCTION("GOOGLETRANSLATE(A26199, ""en"", ""mt"")"),"Kemm-il darba l-California tan-Nofsinhar ippruvat tikseb stat separat?")</f>
        <v>Kemm-il darba l-California tan-Nofsinhar ippruvat tikseb stat separat?</v>
      </c>
    </row>
    <row r="26200" ht="15.75" customHeight="1">
      <c r="A26200" s="2" t="s">
        <v>26200</v>
      </c>
      <c r="B26200" s="2" t="str">
        <f>IFERROR(__xludf.DUMMYFUNCTION("GOOGLETRANSLATE(A26200, ""en"", ""mt"")"),"Fejn kien it-Teatri Amerikani tax-Xandir-Paramount, Inc bil-kwartjieri ġenerali wara l-għaqda?")</f>
        <v>Fejn kien it-Teatri Amerikani tax-Xandir-Paramount, Inc bil-kwartjieri ġenerali wara l-għaqda?</v>
      </c>
    </row>
    <row r="26201" ht="15.75" customHeight="1">
      <c r="A26201" s="2" t="s">
        <v>26201</v>
      </c>
      <c r="B26201" s="2" t="str">
        <f>IFERROR(__xludf.DUMMYFUNCTION("GOOGLETRANSLATE(A26201, ""en"", ""mt"")"),"Ingħaqad ma 'Politeknika jew Kulleġġ Tekniku ieħor")</f>
        <v>Ingħaqad ma 'Politeknika jew Kulleġġ Tekniku ieħor</v>
      </c>
    </row>
    <row r="26202" ht="15.75" customHeight="1">
      <c r="A26202" s="2" t="s">
        <v>26202</v>
      </c>
      <c r="B26202" s="2" t="str">
        <f>IFERROR(__xludf.DUMMYFUNCTION("GOOGLETRANSLATE(A26202, ""en"", ""mt"")"),"Mikroorganiżmi")</f>
        <v>Mikroorganiżmi</v>
      </c>
    </row>
    <row r="26203" ht="15.75" customHeight="1">
      <c r="A26203" s="2" t="s">
        <v>26203</v>
      </c>
      <c r="B26203" s="2" t="str">
        <f>IFERROR(__xludf.DUMMYFUNCTION("GOOGLETRANSLATE(A26203, ""en"", ""mt"")"),"F'liema pajjiż xi kleru fl-UMC kultant jipprattika l-eżorċiżmu?")</f>
        <v>F'liema pajjiż xi kleru fl-UMC kultant jipprattika l-eżorċiżmu?</v>
      </c>
    </row>
    <row r="26204" ht="15.75" customHeight="1">
      <c r="A26204" s="2" t="s">
        <v>26204</v>
      </c>
      <c r="B26204" s="2" t="str">
        <f>IFERROR(__xludf.DUMMYFUNCTION("GOOGLETRANSLATE(A26204, ""en"", ""mt"")"),"2 Differenzi Beten X.25 u Arpnet Cita Technologies")</f>
        <v>2 Differenzi Beten X.25 u Arpnet Cita Technologies</v>
      </c>
    </row>
    <row r="26205" ht="15.75" customHeight="1">
      <c r="A26205" s="2" t="s">
        <v>26205</v>
      </c>
      <c r="B26205" s="2" t="str">
        <f>IFERROR(__xludf.DUMMYFUNCTION("GOOGLETRANSLATE(A26205, ""en"", ""mt"")"),"Min kien ir-reporter tal-ġenb għall-ESPN Deportes?")</f>
        <v>Min kien ir-reporter tal-ġenb għall-ESPN Deportes?</v>
      </c>
    </row>
    <row r="26206" ht="15.75" customHeight="1">
      <c r="A26206" s="2" t="s">
        <v>26206</v>
      </c>
      <c r="B26206" s="2" t="str">
        <f>IFERROR(__xludf.DUMMYFUNCTION("GOOGLETRANSLATE(A26206, ""en"", ""mt"")"),"""Jacksonvillians"" jew ""Jaxsons""")</f>
        <v>"Jacksonvillians" jew "Jaxsons"</v>
      </c>
    </row>
    <row r="26207" ht="15.75" customHeight="1">
      <c r="A26207" s="2" t="s">
        <v>26207</v>
      </c>
      <c r="B26207" s="2" t="str">
        <f>IFERROR(__xludf.DUMMYFUNCTION("GOOGLETRANSLATE(A26207, ""en"", ""mt"")"),"$ 200,000")</f>
        <v>$ 200,000</v>
      </c>
    </row>
    <row r="26208" ht="15.75" customHeight="1">
      <c r="A26208" s="2" t="s">
        <v>26208</v>
      </c>
      <c r="B26208" s="2" t="str">
        <f>IFERROR(__xludf.DUMMYFUNCTION("GOOGLETRANSLATE(A26208, ""en"", ""mt"")"),"mikrobi")</f>
        <v>mikrobi</v>
      </c>
    </row>
    <row r="26209" ht="15.75" customHeight="1">
      <c r="A26209" s="2" t="s">
        <v>26209</v>
      </c>
      <c r="B26209" s="2" t="str">
        <f>IFERROR(__xludf.DUMMYFUNCTION("GOOGLETRANSLATE(A26209, ""en"", ""mt"")"),"bidla organizzattiva, relazzjonijiet ma 'studenti, għalliema sħabhom, u persunal amministrattiv, ambjent tax-xogħol, aspettattivi biex tissostitwixxi")</f>
        <v>bidla organizzattiva, relazzjonijiet ma 'studenti, għalliema sħabhom, u persunal amministrattiv, ambjent tax-xogħol, aspettattivi biex tissostitwixxi</v>
      </c>
    </row>
    <row r="26210" ht="15.75" customHeight="1">
      <c r="A26210" s="2" t="s">
        <v>26210</v>
      </c>
      <c r="B26210" s="2" t="str">
        <f>IFERROR(__xludf.DUMMYFUNCTION("GOOGLETRANSLATE(A26210, ""en"", ""mt"")"),"F'liema baħar ġie skopert iż-żejt?")</f>
        <v>F'liema baħar ġie skopert iż-żejt?</v>
      </c>
    </row>
    <row r="26211" ht="15.75" customHeight="1">
      <c r="A26211" s="2" t="s">
        <v>26211</v>
      </c>
      <c r="B26211" s="2" t="str">
        <f>IFERROR(__xludf.DUMMYFUNCTION("GOOGLETRANSLATE(A26211, ""en"", ""mt"")"),"Kapitali tal-Film tax-Xitwa tad-Dinja")</f>
        <v>Kapitali tal-Film tax-Xitwa tad-Dinja</v>
      </c>
    </row>
    <row r="26212" ht="15.75" customHeight="1">
      <c r="A26212" s="2" t="s">
        <v>26212</v>
      </c>
      <c r="B26212" s="2" t="str">
        <f>IFERROR(__xludf.DUMMYFUNCTION("GOOGLETRANSLATE(A26212, ""en"", ""mt"")"),"L-Awtorità tal-Pulizija Metropolitana")</f>
        <v>L-Awtorità tal-Pulizija Metropolitana</v>
      </c>
    </row>
    <row r="26213" ht="15.75" customHeight="1">
      <c r="A26213" s="2" t="s">
        <v>26213</v>
      </c>
      <c r="B26213" s="2" t="str">
        <f>IFERROR(__xludf.DUMMYFUNCTION("GOOGLETRANSLATE(A26213, ""en"", ""mt"")"),"Kemm mill-erba 'tentattivi ta' gowl fil-grawnd irnexxielu McManus matul Super Bowl 50?")</f>
        <v>Kemm mill-erba 'tentattivi ta' gowl fil-grawnd irnexxielu McManus matul Super Bowl 50?</v>
      </c>
    </row>
    <row r="26214" ht="15.75" customHeight="1">
      <c r="A26214" s="2" t="s">
        <v>26214</v>
      </c>
      <c r="B26214" s="2" t="str">
        <f>IFERROR(__xludf.DUMMYFUNCTION("GOOGLETRANSLATE(A26214, ""en"", ""mt"")"),"jekk hux se jinvoka ħati jew le.")</f>
        <v>jekk hux se jinvoka ħati jew le.</v>
      </c>
    </row>
    <row r="26215" ht="15.75" customHeight="1">
      <c r="A26215" s="2" t="s">
        <v>26215</v>
      </c>
      <c r="B26215" s="2" t="str">
        <f>IFERROR(__xludf.DUMMYFUNCTION("GOOGLETRANSLATE(A26215, ""en"", ""mt"")"),"Liġi u Filosofija")</f>
        <v>Liġi u Filosofija</v>
      </c>
    </row>
    <row r="26216" ht="15.75" customHeight="1">
      <c r="A26216" s="2" t="s">
        <v>26216</v>
      </c>
      <c r="B26216" s="2" t="str">
        <f>IFERROR(__xludf.DUMMYFUNCTION("GOOGLETRANSLATE(A26216, ""en"", ""mt"")"),"tajjeb")</f>
        <v>tajjeb</v>
      </c>
    </row>
    <row r="26217" ht="15.75" customHeight="1">
      <c r="A26217" s="2" t="s">
        <v>26217</v>
      </c>
      <c r="B26217" s="2" t="str">
        <f>IFERROR(__xludf.DUMMYFUNCTION("GOOGLETRANSLATE(A26217, ""en"", ""mt"")"),"Marzu 1896")</f>
        <v>Marzu 1896</v>
      </c>
    </row>
    <row r="26218" ht="15.75" customHeight="1">
      <c r="A26218" s="2" t="s">
        <v>26218</v>
      </c>
      <c r="B26218" s="2" t="str">
        <f>IFERROR(__xludf.DUMMYFUNCTION("GOOGLETRANSLATE(A26218, ""en"", ""mt"")"),"Predaturi kbar tal-foresta tropikali tal-Amazon jinkludu l-Jaguar, Cougar, u Anaconda, x'inhu eżempju ieħor?")</f>
        <v>Predaturi kbar tal-foresta tropikali tal-Amazon jinkludu l-Jaguar, Cougar, u Anaconda, x'inhu eżempju ieħor?</v>
      </c>
    </row>
    <row r="26219" ht="15.75" customHeight="1">
      <c r="A26219" s="2" t="s">
        <v>26219</v>
      </c>
      <c r="B26219" s="2" t="str">
        <f>IFERROR(__xludf.DUMMYFUNCTION("GOOGLETRANSLATE(A26219, ""en"", ""mt"")"),"qoxra u litosfera")</f>
        <v>qoxra u litosfera</v>
      </c>
    </row>
    <row r="26220" ht="15.75" customHeight="1">
      <c r="A26220" s="2" t="s">
        <v>26220</v>
      </c>
      <c r="B26220" s="2" t="str">
        <f>IFERROR(__xludf.DUMMYFUNCTION("GOOGLETRANSLATE(A26220, ""en"", ""mt"")"),"Algoritmu tal-Ħin Polinomjali")</f>
        <v>Algoritmu tal-Ħin Polinomjali</v>
      </c>
    </row>
    <row r="26221" ht="15.75" customHeight="1">
      <c r="A26221" s="2" t="s">
        <v>26221</v>
      </c>
      <c r="B26221" s="2" t="str">
        <f>IFERROR(__xludf.DUMMYFUNCTION("GOOGLETRANSLATE(A26221, ""en"", ""mt"")"),"it-tielet l-iktar")</f>
        <v>it-tielet l-iktar</v>
      </c>
    </row>
    <row r="26222" ht="15.75" customHeight="1">
      <c r="A26222" s="2" t="s">
        <v>26222</v>
      </c>
      <c r="B26222" s="2" t="str">
        <f>IFERROR(__xludf.DUMMYFUNCTION("GOOGLETRANSLATE(A26222, ""en"", ""mt"")"),"Newtrofili u makrofaġi")</f>
        <v>Newtrofili u makrofaġi</v>
      </c>
    </row>
    <row r="26223" ht="15.75" customHeight="1">
      <c r="A26223" s="2" t="s">
        <v>26223</v>
      </c>
      <c r="B26223" s="2" t="str">
        <f>IFERROR(__xludf.DUMMYFUNCTION("GOOGLETRANSLATE(A26223, ""en"", ""mt"")"),"X'inhu l-akbar grawnd fl-Awstralja?")</f>
        <v>X'inhu l-akbar grawnd fl-Awstralja?</v>
      </c>
    </row>
    <row r="26224" ht="15.75" customHeight="1">
      <c r="A26224" s="2" t="s">
        <v>26224</v>
      </c>
      <c r="B26224" s="2" t="str">
        <f>IFERROR(__xludf.DUMMYFUNCTION("GOOGLETRANSLATE(A26224, ""en"", ""mt"")"),"Ċellula B tidentifika patoġeni meta l-antikorpi fuq il-wiċċ tiegħu jorbtu ma 'antiġen barrani speċifiku. Dan il-kumpless tal-antiġen / antikorpi huwa meħud miċ-ċellula B u pproċessat mill-proteolisi f'peptidi. Iċ-ċellula B imbagħad turi dawn il-peptidi an"&amp;"tiġeniċi fuq il-molekuli tal-wiċċ MHC tal-klassi II tagħha. Din il-kombinazzjoni ta 'MHC u antiġen tattira ċellola T li tqabbel, li tirrilaxxa limfokini u tattiva ċ-ċellula B. Hekk kif iċ-ċellula B attivata mbagħad tibda tinqasam, il-frieħ tagħha (ċelloli"&amp;" tal-plażma) inixxu miljuni ta 'kopji ta' l-antikorp li jirrikonoxxi dan l-antiġen. Dawn l-antikorpi jiċċirkolaw fil-plażma tad-demm u l-limfa, jorbtu ma 'patoġeni li jesprimu l-antiġen u jimmarkawhom għall-qerda billi jikkumplimentaw l-attivazzjoni jew g"&amp;"ħall-assorbiment u l-qerda mill-fagoċiti. L-antikorpi jistgħu wkoll jinnewtralizzaw l-isfidi direttament, billi jorbtu ma 'tossini batteriċi jew billi jinterferixxu mar-riċetturi li l-viruses u l-batterji jużaw biex jinfettaw iċ-ċelloli.")</f>
        <v>Ċellula B tidentifika patoġeni meta l-antikorpi fuq il-wiċċ tiegħu jorbtu ma 'antiġen barrani speċifiku. Dan il-kumpless tal-antiġen / antikorpi huwa meħud miċ-ċellula B u pproċessat mill-proteolisi f'peptidi. Iċ-ċellula B imbagħad turi dawn il-peptidi antiġeniċi fuq il-molekuli tal-wiċċ MHC tal-klassi II tagħha. Din il-kombinazzjoni ta 'MHC u antiġen tattira ċellola T li tqabbel, li tirrilaxxa limfokini u tattiva ċ-ċellula B. Hekk kif iċ-ċellula B attivata mbagħad tibda tinqasam, il-frieħ tagħha (ċelloli tal-plażma) inixxu miljuni ta 'kopji ta' l-antikorp li jirrikonoxxi dan l-antiġen. Dawn l-antikorpi jiċċirkolaw fil-plażma tad-demm u l-limfa, jorbtu ma 'patoġeni li jesprimu l-antiġen u jimmarkawhom għall-qerda billi jikkumplimentaw l-attivazzjoni jew għall-assorbiment u l-qerda mill-fagoċiti. L-antikorpi jistgħu wkoll jinnewtralizzaw l-isfidi direttament, billi jorbtu ma 'tossini batteriċi jew billi jinterferixxu mar-riċetturi li l-viruses u l-batterji jużaw biex jinfettaw iċ-ċelloli.</v>
      </c>
    </row>
    <row r="26225" ht="15.75" customHeight="1">
      <c r="A26225" s="2" t="s">
        <v>26225</v>
      </c>
      <c r="B26225" s="2" t="str">
        <f>IFERROR(__xludf.DUMMYFUNCTION("GOOGLETRANSLATE(A26225, ""en"", ""mt"")"),"Jekk Q = 9 u A = 1,2,4,5,7, jew 8, kemm primes ikunu fi progress?")</f>
        <v>Jekk Q = 9 u A = 1,2,4,5,7, jew 8, kemm primes ikunu fi progress?</v>
      </c>
    </row>
    <row r="26226" ht="15.75" customHeight="1">
      <c r="A26226" s="2" t="s">
        <v>26226</v>
      </c>
      <c r="B26226" s="2" t="str">
        <f>IFERROR(__xludf.DUMMYFUNCTION("GOOGLETRANSLATE(A26226, ""en"", ""mt"")"),"X'kienet l-aħħar logħba li Elway lagħab bħala quarterback għal Denver?")</f>
        <v>X'kienet l-aħħar logħba li Elway lagħab bħala quarterback għal Denver?</v>
      </c>
    </row>
    <row r="26227" ht="15.75" customHeight="1">
      <c r="A26227" s="2" t="s">
        <v>26227</v>
      </c>
      <c r="B26227" s="2" t="str">
        <f>IFERROR(__xludf.DUMMYFUNCTION("GOOGLETRANSLATE(A26227, ""en"", ""mt"")"),"Dwar kemm wallons u Huguenots emigraw lejn l-Ingilterra u l-Irlanda f'din l-era?")</f>
        <v>Dwar kemm wallons u Huguenots emigraw lejn l-Ingilterra u l-Irlanda f'din l-era?</v>
      </c>
    </row>
    <row r="26228" ht="15.75" customHeight="1">
      <c r="A26228" s="2" t="s">
        <v>26228</v>
      </c>
      <c r="B26228" s="2" t="str">
        <f>IFERROR(__xludf.DUMMYFUNCTION("GOOGLETRANSLATE(A26228, ""en"", ""mt"")"),"Min elenka l-arkitettura tas-suq Grainger bħala Grad 1 fl-1954?")</f>
        <v>Min elenka l-arkitettura tas-suq Grainger bħala Grad 1 fl-1954?</v>
      </c>
    </row>
    <row r="26229" ht="15.75" customHeight="1">
      <c r="A26229" s="2" t="s">
        <v>26229</v>
      </c>
      <c r="B26229" s="2" t="str">
        <f>IFERROR(__xludf.DUMMYFUNCTION("GOOGLETRANSLATE(A26229, ""en"", ""mt"")"),"Fejn kompliet id-dinastija tal-kanzunetta tikkawża problemi għal Kublai?")</f>
        <v>Fejn kompliet id-dinastija tal-kanzunetta tikkawża problemi għal Kublai?</v>
      </c>
    </row>
    <row r="26230" ht="15.75" customHeight="1">
      <c r="A26230" s="2" t="s">
        <v>26230</v>
      </c>
      <c r="B26230" s="2" t="str">
        <f>IFERROR(__xludf.DUMMYFUNCTION("GOOGLETRANSLATE(A26230, ""en"", ""mt"")"),"Belt ta 'Malindi")</f>
        <v>Belt ta 'Malindi</v>
      </c>
    </row>
    <row r="26231" ht="15.75" customHeight="1">
      <c r="A26231" s="2" t="s">
        <v>26231</v>
      </c>
      <c r="B26231" s="2" t="str">
        <f>IFERROR(__xludf.DUMMYFUNCTION("GOOGLETRANSLATE(A26231, ""en"", ""mt"")"),"Biex tikkontrobatti l-għargħar kostanti u s-sedimentazzjoni qawwija fid-delta tar-Renu tal-Punent")</f>
        <v>Biex tikkontrobatti l-għargħar kostanti u s-sedimentazzjoni qawwija fid-delta tar-Renu tal-Punent</v>
      </c>
    </row>
    <row r="26232" ht="15.75" customHeight="1">
      <c r="A26232" s="2" t="s">
        <v>26232</v>
      </c>
      <c r="B26232" s="2" t="str">
        <f>IFERROR(__xludf.DUMMYFUNCTION("GOOGLETRANSLATE(A26232, ""en"", ""mt"")"),"Grad ta 'Baċellerat")</f>
        <v>Grad ta 'Baċellerat</v>
      </c>
    </row>
    <row r="26233" ht="15.75" customHeight="1">
      <c r="A26233" s="2" t="s">
        <v>26233</v>
      </c>
      <c r="B26233" s="2" t="str">
        <f>IFERROR(__xludf.DUMMYFUNCTION("GOOGLETRANSLATE(A26233, ""en"", ""mt"")"),"N - S")</f>
        <v>N - S</v>
      </c>
    </row>
    <row r="26234" ht="15.75" customHeight="1">
      <c r="A26234" s="2" t="s">
        <v>26234</v>
      </c>
      <c r="B26234" s="2" t="str">
        <f>IFERROR(__xludf.DUMMYFUNCTION("GOOGLETRANSLATE(A26234, ""en"", ""mt"")"),"Nixon talab lill-Kungress biex ikun xieraq $ 2.2 biljun f'għajnuna ta 'emerġenza lill-Iżrael")</f>
        <v>Nixon talab lill-Kungress biex ikun xieraq $ 2.2 biljun f'għajnuna ta 'emerġenza lill-Iżrael</v>
      </c>
    </row>
    <row r="26235" ht="15.75" customHeight="1">
      <c r="A26235" s="2" t="s">
        <v>26235</v>
      </c>
      <c r="B26235" s="2" t="str">
        <f>IFERROR(__xludf.DUMMYFUNCTION("GOOGLETRANSLATE(A26235, ""en"", ""mt"")"),"Rawnds tal-Kura tal-Pazjent Għażla tal-Prodott tad-Droga")</f>
        <v>Rawnds tal-Kura tal-Pazjent Għażla tal-Prodott tad-Droga</v>
      </c>
    </row>
    <row r="26236" ht="15.75" customHeight="1">
      <c r="A26236" s="2" t="s">
        <v>26236</v>
      </c>
      <c r="B26236" s="2" t="str">
        <f>IFERROR(__xludf.DUMMYFUNCTION("GOOGLETRANSLATE(A26236, ""en"", ""mt"")"),"membru tal-familja")</f>
        <v>membru tal-familja</v>
      </c>
    </row>
    <row r="26237" ht="15.75" customHeight="1">
      <c r="A26237" s="2" t="s">
        <v>26237</v>
      </c>
      <c r="B26237" s="2" t="str">
        <f>IFERROR(__xludf.DUMMYFUNCTION("GOOGLETRANSLATE(A26237, ""en"", ""mt"")"),"Fejn kien Melanchthon dak iż-żmien?")</f>
        <v>Fejn kien Melanchthon dak iż-żmien?</v>
      </c>
    </row>
    <row r="26238" ht="15.75" customHeight="1">
      <c r="A26238" s="2" t="s">
        <v>26238</v>
      </c>
      <c r="B26238" s="2" t="str">
        <f>IFERROR(__xludf.DUMMYFUNCTION("GOOGLETRANSLATE(A26238, ""en"", ""mt"")"),"prekursur tal-klorofilla isfar")</f>
        <v>prekursur tal-klorofilla isfar</v>
      </c>
    </row>
    <row r="26239" ht="15.75" customHeight="1">
      <c r="A26239" s="2" t="s">
        <v>26239</v>
      </c>
      <c r="B26239" s="2" t="str">
        <f>IFERROR(__xludf.DUMMYFUNCTION("GOOGLETRANSLATE(A26239, ""en"", ""mt"")"),"Iċ-ċifra ta 'ħbieb - ġeneralment bniedem - kienet karatteristika kostanti fit-Tabib Min mill-bidu tal-programm fl-1963. Wieħed mir-rwoli tal-ħbieb huwa li jfakkar lit-tabib tad- ""dmir morali"" tiegħu. L-ewwel kumpanji tat-tabib li dehru fuq l-iskrin kien"&amp;"u n-neputija tiegħu Susan Foreman (Carole Ann Ford) u l-għalliema tagħha Barbara Wright (Jacqueline Hill) u Ian Chesterton (William Russell). Dawn il-karattri kienu maħsuba biex jaġixxu bħala sostituti tal-udjenza, li permezz tagħhom l-udjenza tiskopri in"&amp;"formazzjoni dwar it-tabib li kellu jaġixxi bħala figura misterjuża tal-missier. L-unika storja mis-serje oriġinali li fiha t-tabib jivvjaġġa waħdu huwa l-assassin fatali. Kumpannji notevoli mis-serje preċedenti kienu jinkludu Romana (Mary Tamm u Lalla War"&amp;"d), mara ta ’żmien; Sarah Jane Smith (Elisabeth Sladen); u Jo Grant (Katy Manning). Dramatikament, dawn il-karattri jipprovdu figura li magħha l-udjenza tista 'tidentifika, u sservi biex tkompli l-istorja billi titlob espożizzjoni mingħand it-tabib u timm"&amp;"anifattura l-periklu għat-tabib biex issolvi. It-tabib regolarment jikseb kumpanji ġodda u jitlef dawk qodma; Kultant jirritornaw id-dar jew isibu kawżi ġodda - jew iħobb - fuq dinjiet li żaru. Uħud mietu matul is-serje. Il-kumpanji huma ġeneralment umani"&amp;", jew aljeni umanojdi.")</f>
        <v>Iċ-ċifra ta 'ħbieb - ġeneralment bniedem - kienet karatteristika kostanti fit-Tabib Min mill-bidu tal-programm fl-1963. Wieħed mir-rwoli tal-ħbieb huwa li jfakkar lit-tabib tad- "dmir morali" tiegħu. L-ewwel kumpanji tat-tabib li dehru fuq l-iskrin kienu n-neputija tiegħu Susan Foreman (Carole Ann Ford) u l-għalliema tagħha Barbara Wright (Jacqueline Hill) u Ian Chesterton (William Russell). Dawn il-karattri kienu maħsuba biex jaġixxu bħala sostituti tal-udjenza, li permezz tagħhom l-udjenza tiskopri informazzjoni dwar it-tabib li kellu jaġixxi bħala figura misterjuża tal-missier. L-unika storja mis-serje oriġinali li fiha t-tabib jivvjaġġa waħdu huwa l-assassin fatali. Kumpannji notevoli mis-serje preċedenti kienu jinkludu Romana (Mary Tamm u Lalla Ward), mara ta ’żmien; Sarah Jane Smith (Elisabeth Sladen); u Jo Grant (Katy Manning). Dramatikament, dawn il-karattri jipprovdu figura li magħha l-udjenza tista 'tidentifika, u sservi biex tkompli l-istorja billi titlob espożizzjoni mingħand it-tabib u timmanifattura l-periklu għat-tabib biex issolvi. It-tabib regolarment jikseb kumpanji ġodda u jitlef dawk qodma; Kultant jirritornaw id-dar jew isibu kawżi ġodda - jew iħobb - fuq dinjiet li żaru. Uħud mietu matul is-serje. Il-kumpanji huma ġeneralment umani, jew aljeni umanojdi.</v>
      </c>
    </row>
    <row r="26240" ht="15.75" customHeight="1">
      <c r="A26240" s="2" t="s">
        <v>26240</v>
      </c>
      <c r="B26240" s="2" t="str">
        <f>IFERROR(__xludf.DUMMYFUNCTION("GOOGLETRANSLATE(A26240, ""en"", ""mt"")"),"L-Iskola tal-Għarfien")</f>
        <v>L-Iskola tal-Għarfien</v>
      </c>
    </row>
    <row r="26241" ht="15.75" customHeight="1">
      <c r="A26241" s="2" t="s">
        <v>26241</v>
      </c>
      <c r="B26241" s="2" t="str">
        <f>IFERROR(__xludf.DUMMYFUNCTION("GOOGLETRANSLATE(A26241, ""en"", ""mt"")"),"Istitut għall-Istudji tal-Politika")</f>
        <v>Istitut għall-Istudji tal-Politika</v>
      </c>
    </row>
    <row r="26242" ht="15.75" customHeight="1">
      <c r="A26242" s="2" t="s">
        <v>26242</v>
      </c>
      <c r="B26242" s="2" t="str">
        <f>IFERROR(__xludf.DUMMYFUNCTION("GOOGLETRANSLATE(A26242, ""en"", ""mt"")"),"William E. Simon")</f>
        <v>William E. Simon</v>
      </c>
    </row>
    <row r="26243" ht="15.75" customHeight="1">
      <c r="A26243" s="2" t="s">
        <v>26243</v>
      </c>
      <c r="B26243" s="2" t="str">
        <f>IFERROR(__xludf.DUMMYFUNCTION("GOOGLETRANSLATE(A26243, ""en"", ""mt"")"),"Kemm qed tikber l-informatika tal-ispiżerija?")</f>
        <v>Kemm qed tikber l-informatika tal-ispiżerija?</v>
      </c>
    </row>
    <row r="26244" ht="15.75" customHeight="1">
      <c r="A26244" s="2" t="s">
        <v>26244</v>
      </c>
      <c r="B26244" s="2" t="str">
        <f>IFERROR(__xludf.DUMMYFUNCTION("GOOGLETRANSLATE(A26244, ""en"", ""mt"")"),"1760")</f>
        <v>1760</v>
      </c>
    </row>
    <row r="26245" ht="15.75" customHeight="1">
      <c r="A26245" s="2" t="s">
        <v>26245</v>
      </c>
      <c r="B26245" s="2" t="str">
        <f>IFERROR(__xludf.DUMMYFUNCTION("GOOGLETRANSLATE(A26245, ""en"", ""mt"")"),"Meta jkunu miżżewġin,")</f>
        <v>Meta jkunu miżżewġin,</v>
      </c>
    </row>
    <row r="26246" ht="15.75" customHeight="1">
      <c r="A26246" s="2" t="s">
        <v>26246</v>
      </c>
      <c r="B26246" s="2" t="str">
        <f>IFERROR(__xludf.DUMMYFUNCTION("GOOGLETRANSLATE(A26246, ""en"", ""mt"")"),"il-proprjetarji ta 'dispensarji illegali tal-kannabis mediċi")</f>
        <v>il-proprjetarji ta 'dispensarji illegali tal-kannabis mediċi</v>
      </c>
    </row>
    <row r="26247" ht="15.75" customHeight="1">
      <c r="A26247" s="2" t="s">
        <v>26247</v>
      </c>
      <c r="B26247" s="2" t="str">
        <f>IFERROR(__xludf.DUMMYFUNCTION("GOOGLETRANSLATE(A26247, ""en"", ""mt"")"),"biex jgħinu jsaħħu t-talbiet territorjali tagħhom")</f>
        <v>biex jgħinu jsaħħu t-talbiet territorjali tagħhom</v>
      </c>
    </row>
    <row r="26248" ht="15.75" customHeight="1">
      <c r="A26248" s="2" t="s">
        <v>26248</v>
      </c>
      <c r="B26248" s="2" t="str">
        <f>IFERROR(__xludf.DUMMYFUNCTION("GOOGLETRANSLATE(A26248, ""en"", ""mt"")"),"Jonathan Powell")</f>
        <v>Jonathan Powell</v>
      </c>
    </row>
    <row r="26249" ht="15.75" customHeight="1">
      <c r="A26249" s="2" t="s">
        <v>26249</v>
      </c>
      <c r="B26249" s="2" t="str">
        <f>IFERROR(__xludf.DUMMYFUNCTION("GOOGLETRANSLATE(A26249, ""en"", ""mt"")"),"Ħiliet rari u mixtieqa")</f>
        <v>Ħiliet rari u mixtieqa</v>
      </c>
    </row>
    <row r="26250" ht="15.75" customHeight="1">
      <c r="A26250" s="2" t="s">
        <v>26250</v>
      </c>
      <c r="B26250" s="2" t="str">
        <f>IFERROR(__xludf.DUMMYFUNCTION("GOOGLETRANSLATE(A26250, ""en"", ""mt"")"),"Minkejja l-pożizzjoni għolja mogħtija lill-Musulmani, xi politiki tal-Imperaturi tal-Yuan jiddiskriminaw severament kontrihom, li jirrestrinġu l-qatla halal u prattiki Iżlamiċi oħra bħaċ-ċirkonċiżjoni, kif ukoll il-biċċier tal-kosher għal-Lhud, u ġiegħluh"&amp;"om jieklu l-ikel bil-Mongol. Lejn it-tmiem, il-korruzzjoni u l-persekuzzjoni saru daqshekk severi li l-Ġenerali Musulmani ngħaqdu maċ-Ċiniż Han fir-ribelli kontra l-Mongoli. Il-fundatur Ming Zhu Yuanzhang kellu ġenerali Musulmani bħal Lan Yu li rribella k"&amp;"ontra l-Mongoli u għelebhom fil-ġlieda kontra. Xi komunitajiet Musulmani kellhom kunjom Ċiniż li kien ifisser ""kwartieri"" u jistgħu jfissru wkoll ""grazzi"". Ħafna Musulmani Hui jiddikjaraw li dan huwa minħabba li kellhom rwol importanti fit-twaqqigħ ta"&amp;"l-Mongoli u ngħata grazzi miċ-Ċiniżi Han talli assistewhom. Matul il-ġlieda kontra l-Mongoli, fost l-armati tal-Imperatur Ming Zhu Yuanzhang kien hemm il-Hui Musulman Feng Sheng. Il-Musulmani fil-klassi Semu rrevoljaw ukoll kontra d-dinastija Yuan fir-rib"&amp;"elljoni tal-ISPAH iżda r-ribelljoni ġiet imfarrka u l-Musulmani ġew massakrati mill-kmandant lealista tal-wan Chen Youding.")</f>
        <v>Minkejja l-pożizzjoni għolja mogħtija lill-Musulmani, xi politiki tal-Imperaturi tal-Yuan jiddiskriminaw severament kontrihom, li jirrestrinġu l-qatla halal u prattiki Iżlamiċi oħra bħaċ-ċirkonċiżjoni, kif ukoll il-biċċier tal-kosher għal-Lhud, u ġiegħluhom jieklu l-ikel bil-Mongol. Lejn it-tmiem, il-korruzzjoni u l-persekuzzjoni saru daqshekk severi li l-Ġenerali Musulmani ngħaqdu maċ-Ċiniż Han fir-ribelli kontra l-Mongoli. Il-fundatur Ming Zhu Yuanzhang kellu ġenerali Musulmani bħal Lan Yu li rribella kontra l-Mongoli u għelebhom fil-ġlieda kontra. Xi komunitajiet Musulmani kellhom kunjom Ċiniż li kien ifisser "kwartieri" u jistgħu jfissru wkoll "grazzi". Ħafna Musulmani Hui jiddikjaraw li dan huwa minħabba li kellhom rwol importanti fit-twaqqigħ tal-Mongoli u ngħata grazzi miċ-Ċiniżi Han talli assistewhom. Matul il-ġlieda kontra l-Mongoli, fost l-armati tal-Imperatur Ming Zhu Yuanzhang kien hemm il-Hui Musulman Feng Sheng. Il-Musulmani fil-klassi Semu rrevoljaw ukoll kontra d-dinastija Yuan fir-ribelljoni tal-ISPAH iżda r-ribelljoni ġiet imfarrka u l-Musulmani ġew massakrati mill-kmandant lealista tal-wan Chen Youding.</v>
      </c>
    </row>
    <row r="26251" ht="15.75" customHeight="1">
      <c r="A26251" s="2" t="s">
        <v>26251</v>
      </c>
      <c r="B26251" s="2" t="str">
        <f>IFERROR(__xludf.DUMMYFUNCTION("GOOGLETRANSLATE(A26251, ""en"", ""mt"")"),"Fl-Awstralja, l-ispettaklu kellu bażi ta 'fan qawwija mill-bidu tiegħu, wara li kien esklussivament immexxi mill-Australian Broadcasting Corporation (ABC) minn Jannar 1965. L-ABC ilha episodji ripetuti perjodikament; Ta 'nota kienu l-iscreening ta' kull ġ"&amp;"imgħa tal-episodji klassiċi kollha disponibbli li jibdew fl-2003, għall-40 anniversarju tal-ispettaklu, u l-iscreening tal-ġimgħa tal-episodji kollha disponibbli mill-ġdid fl-2013 għall-50 anniversarju tal-ispettaklu. L-ABC ixandar is-serje moderna l-ewwe"&amp;"l ġirja fuq ABC1, b'repeti fuq ABC2. L-ABC ipprovda wkoll fondi parzjali għall-20 anniversarju speċjali The Five Tobba fl-1983. Ir-ripetizzjonijiet kemm tas-serje klassika kif ukoll dik moderna ntwerew ukoll fuq stazzjonijiet televiżivi ta ’abbonament BBC"&amp;" UKTV, SF u aktar tard fuq SYFY malli jagħlqu SF. [Ċitazzjoni meħtieġa]")</f>
        <v>Fl-Awstralja, l-ispettaklu kellu bażi ta 'fan qawwija mill-bidu tiegħu, wara li kien esklussivament immexxi mill-Australian Broadcasting Corporation (ABC) minn Jannar 1965. L-ABC ilha episodji ripetuti perjodikament; Ta 'nota kienu l-iscreening ta' kull ġimgħa tal-episodji klassiċi kollha disponibbli li jibdew fl-2003, għall-40 anniversarju tal-ispettaklu, u l-iscreening tal-ġimgħa tal-episodji kollha disponibbli mill-ġdid fl-2013 għall-50 anniversarju tal-ispettaklu. L-ABC ixandar is-serje moderna l-ewwel ġirja fuq ABC1, b'repeti fuq ABC2. L-ABC ipprovda wkoll fondi parzjali għall-20 anniversarju speċjali The Five Tobba fl-1983. Ir-ripetizzjonijiet kemm tas-serje klassika kif ukoll dik moderna ntwerew ukoll fuq stazzjonijiet televiżivi ta ’abbonament BBC UKTV, SF u aktar tard fuq SYFY malli jagħlqu SF. [Ċitazzjoni meħtieġa]</v>
      </c>
    </row>
    <row r="26252" ht="15.75" customHeight="1">
      <c r="A26252" s="2" t="s">
        <v>26252</v>
      </c>
      <c r="B26252" s="2" t="str">
        <f>IFERROR(__xludf.DUMMYFUNCTION("GOOGLETRANSLATE(A26252, ""en"", ""mt"")"),"Otter, kastur u mijiet ta 'speċi ta' għasafar.")</f>
        <v>Otter, kastur u mijiet ta 'speċi ta' għasafar.</v>
      </c>
    </row>
    <row r="26253" ht="15.75" customHeight="1">
      <c r="A26253" s="2" t="s">
        <v>26253</v>
      </c>
      <c r="B26253" s="2" t="str">
        <f>IFERROR(__xludf.DUMMYFUNCTION("GOOGLETRANSLATE(A26253, ""en"", ""mt"")"),"Apologie")</f>
        <v>Apologie</v>
      </c>
    </row>
    <row r="26254" ht="15.75" customHeight="1">
      <c r="A26254" s="2" t="s">
        <v>26254</v>
      </c>
      <c r="B26254" s="2" t="str">
        <f>IFERROR(__xludf.DUMMYFUNCTION("GOOGLETRANSLATE(A26254, ""en"", ""mt"")"),"F’liema Marriott tal-Belt baqa ’l-Broncos?")</f>
        <v>F’liema Marriott tal-Belt baqa ’l-Broncos?</v>
      </c>
    </row>
    <row r="26255" ht="15.75" customHeight="1">
      <c r="A26255" s="2" t="s">
        <v>26255</v>
      </c>
      <c r="B26255" s="2" t="str">
        <f>IFERROR(__xludf.DUMMYFUNCTION("GOOGLETRANSLATE(A26255, ""en"", ""mt"")"),"Liema xprunat żieda fl-appoġġ għar-riforma tal-gvern?")</f>
        <v>Liema xprunat żieda fl-appoġġ għar-riforma tal-gvern?</v>
      </c>
    </row>
    <row r="26256" ht="15.75" customHeight="1">
      <c r="A26256" s="2" t="s">
        <v>26256</v>
      </c>
      <c r="B26256" s="2" t="str">
        <f>IFERROR(__xludf.DUMMYFUNCTION("GOOGLETRANSLATE(A26256, ""en"", ""mt"")"),"tnaqqas")</f>
        <v>tnaqqas</v>
      </c>
    </row>
    <row r="26257" ht="15.75" customHeight="1">
      <c r="A26257" s="2" t="s">
        <v>26257</v>
      </c>
      <c r="B26257" s="2" t="str">
        <f>IFERROR(__xludf.DUMMYFUNCTION("GOOGLETRANSLATE(A26257, ""en"", ""mt"")"),"Kemm Panthers ġew innominati All-Pro?")</f>
        <v>Kemm Panthers ġew innominati All-Pro?</v>
      </c>
    </row>
    <row r="26258" ht="15.75" customHeight="1">
      <c r="A26258" s="2" t="s">
        <v>26258</v>
      </c>
      <c r="B26258" s="2" t="str">
        <f>IFERROR(__xludf.DUMMYFUNCTION("GOOGLETRANSLATE(A26258, ""en"", ""mt"")"),"Brainerd Holmes")</f>
        <v>Brainerd Holmes</v>
      </c>
    </row>
    <row r="26259" ht="15.75" customHeight="1">
      <c r="A26259" s="2" t="s">
        <v>26259</v>
      </c>
      <c r="B26259" s="2" t="str">
        <f>IFERROR(__xludf.DUMMYFUNCTION("GOOGLETRANSLATE(A26259, ""en"", ""mt"")"),"Meta Walt Disney Productions xtara l-ishma ta 'ABC fil-park tematiku ta' Disneyland?")</f>
        <v>Meta Walt Disney Productions xtara l-ishma ta 'ABC fil-park tematiku ta' Disneyland?</v>
      </c>
    </row>
    <row r="26260" ht="15.75" customHeight="1">
      <c r="A26260" s="2" t="s">
        <v>26260</v>
      </c>
      <c r="B26260" s="2" t="str">
        <f>IFERROR(__xludf.DUMMYFUNCTION("GOOGLETRANSLATE(A26260, ""en"", ""mt"")"),"Liema qasam huwa differenti minn oqsma oħra fir-Renju Unit rigward l-edukazzjoni?")</f>
        <v>Liema qasam huwa differenti minn oqsma oħra fir-Renju Unit rigward l-edukazzjoni?</v>
      </c>
    </row>
    <row r="26261" ht="15.75" customHeight="1">
      <c r="A26261" s="2" t="s">
        <v>26261</v>
      </c>
      <c r="B26261" s="2" t="str">
        <f>IFERROR(__xludf.DUMMYFUNCTION("GOOGLETRANSLATE(A26261, ""en"", ""mt"")"),"il-bidu tas-snin 1950")</f>
        <v>il-bidu tas-snin 1950</v>
      </c>
    </row>
    <row r="26262" ht="15.75" customHeight="1">
      <c r="A26262" s="2" t="s">
        <v>26262</v>
      </c>
      <c r="B26262" s="2" t="str">
        <f>IFERROR(__xludf.DUMMYFUNCTION("GOOGLETRANSLATE(A26262, ""en"", ""mt"")"),"F'Jannar 1880")</f>
        <v>F'Jannar 1880</v>
      </c>
    </row>
    <row r="26263" ht="15.75" customHeight="1">
      <c r="A26263" s="2" t="s">
        <v>26263</v>
      </c>
      <c r="B26263" s="2" t="str">
        <f>IFERROR(__xludf.DUMMYFUNCTION("GOOGLETRANSLATE(A26263, ""en"", ""mt"")"),"1707")</f>
        <v>1707</v>
      </c>
    </row>
    <row r="26264" ht="15.75" customHeight="1">
      <c r="A26264" s="2" t="s">
        <v>26264</v>
      </c>
      <c r="B26264" s="2" t="str">
        <f>IFERROR(__xludf.DUMMYFUNCTION("GOOGLETRANSLATE(A26264, ""en"", ""mt"")"),"patoġen")</f>
        <v>patoġen</v>
      </c>
    </row>
    <row r="26265" ht="15.75" customHeight="1">
      <c r="A26265" s="2" t="s">
        <v>26265</v>
      </c>
      <c r="B26265" s="2" t="str">
        <f>IFERROR(__xludf.DUMMYFUNCTION("GOOGLETRANSLATE(A26265, ""en"", ""mt"")"),"bond doppju kovalenti")</f>
        <v>bond doppju kovalenti</v>
      </c>
    </row>
    <row r="26266" ht="15.75" customHeight="1">
      <c r="A26266" s="2" t="s">
        <v>26266</v>
      </c>
      <c r="B26266" s="2" t="str">
        <f>IFERROR(__xludf.DUMMYFUNCTION("GOOGLETRANSLATE(A26266, ""en"", ""mt"")"),"strajkijiet minn minaturi tal-faħam u ħaddiema tal-ferrovija")</f>
        <v>strajkijiet minn minaturi tal-faħam u ħaddiema tal-ferrovija</v>
      </c>
    </row>
    <row r="26267" ht="15.75" customHeight="1">
      <c r="A26267" s="2" t="s">
        <v>26267</v>
      </c>
      <c r="B26267" s="2" t="str">
        <f>IFERROR(__xludf.DUMMYFUNCTION("GOOGLETRANSLATE(A26267, ""en"", ""mt"")"),"Liema attribut ta 'bnedmin interferixxi mal-bla ħniena tan-natura fl-opinjoni ta' Tesla?")</f>
        <v>Liema attribut ta 'bnedmin interferixxi mal-bla ħniena tan-natura fl-opinjoni ta' Tesla?</v>
      </c>
    </row>
    <row r="26268" ht="15.75" customHeight="1">
      <c r="A26268" s="2" t="s">
        <v>26268</v>
      </c>
      <c r="B26268" s="2" t="str">
        <f>IFERROR(__xludf.DUMMYFUNCTION("GOOGLETRANSLATE(A26268, ""en"", ""mt"")"),"Aġenti ta ’S.H.I.E.L.D.")</f>
        <v>Aġenti ta ’S.H.I.E.L.D.</v>
      </c>
    </row>
    <row r="26269" ht="15.75" customHeight="1">
      <c r="A26269" s="2" t="s">
        <v>26269</v>
      </c>
      <c r="B26269" s="2" t="str">
        <f>IFERROR(__xludf.DUMMYFUNCTION("GOOGLETRANSLATE(A26269, ""en"", ""mt"")"),"X’kienet għamlet il-komunità ta ’Luther lil-Lhud snin qabel?")</f>
        <v>X’kienet għamlet il-komunità ta ’Luther lil-Lhud snin qabel?</v>
      </c>
    </row>
    <row r="26270" ht="15.75" customHeight="1">
      <c r="A26270" s="2" t="s">
        <v>26270</v>
      </c>
      <c r="B26270" s="2" t="str">
        <f>IFERROR(__xludf.DUMMYFUNCTION("GOOGLETRANSLATE(A26270, ""en"", ""mt"")"),"Liema marka ta 'karozza hija mmanifatturata fil-broadmeadows?")</f>
        <v>Liema marka ta 'karozza hija mmanifatturata fil-broadmeadows?</v>
      </c>
    </row>
    <row r="26271" ht="15.75" customHeight="1">
      <c r="A26271" s="2" t="s">
        <v>26271</v>
      </c>
      <c r="B26271" s="2" t="str">
        <f>IFERROR(__xludf.DUMMYFUNCTION("GOOGLETRANSLATE(A26271, ""en"", ""mt"")"),"Xi tfisser Ctenophora bil-Grieg?")</f>
        <v>Xi tfisser Ctenophora bil-Grieg?</v>
      </c>
    </row>
    <row r="26272" ht="15.75" customHeight="1">
      <c r="A26272" s="2" t="s">
        <v>26272</v>
      </c>
      <c r="B26272" s="2" t="str">
        <f>IFERROR(__xludf.DUMMYFUNCTION("GOOGLETRANSLATE(A26272, ""en"", ""mt"")"),"Fl-1972 (għalkemm in-Norveġja ma spiċċatx tingħaqad)")</f>
        <v>Fl-1972 (għalkemm in-Norveġja ma spiċċatx tingħaqad)</v>
      </c>
    </row>
    <row r="26273" ht="15.75" customHeight="1">
      <c r="A26273" s="2" t="s">
        <v>26273</v>
      </c>
      <c r="B26273" s="2" t="str">
        <f>IFERROR(__xludf.DUMMYFUNCTION("GOOGLETRANSLATE(A26273, ""en"", ""mt"")"),"Gte")</f>
        <v>Gte</v>
      </c>
    </row>
    <row r="26274" ht="15.75" customHeight="1">
      <c r="A26274" s="2" t="s">
        <v>26274</v>
      </c>
      <c r="B26274" s="2" t="str">
        <f>IFERROR(__xludf.DUMMYFUNCTION("GOOGLETRANSLATE(A26274, ""en"", ""mt"")"),"X'tipi ta 'mediċini jaħżnu l-ispiżeriji speċjalizzati?")</f>
        <v>X'tipi ta 'mediċini jaħżnu l-ispiżeriji speċjalizzati?</v>
      </c>
    </row>
    <row r="26275" ht="15.75" customHeight="1">
      <c r="A26275" s="2" t="s">
        <v>26275</v>
      </c>
      <c r="B26275" s="2" t="str">
        <f>IFERROR(__xludf.DUMMYFUNCTION("GOOGLETRANSLATE(A26275, ""en"", ""mt"")"),"30 ta 'Settembru, 1960")</f>
        <v>30 ta 'Settembru, 1960</v>
      </c>
    </row>
    <row r="26276" ht="15.75" customHeight="1">
      <c r="A26276" s="2" t="s">
        <v>26276</v>
      </c>
      <c r="B26276" s="2" t="str">
        <f>IFERROR(__xludf.DUMMYFUNCTION("GOOGLETRANSLATE(A26276, ""en"", ""mt"")"),"Il-prinċipju tas-suċċessjoni faunal ġie żviluppat 100 sena qabel it-teorija tal-evoluzzjoni tagħha?")</f>
        <v>Il-prinċipju tas-suċċessjoni faunal ġie żviluppat 100 sena qabel it-teorija tal-evoluzzjoni tagħha?</v>
      </c>
    </row>
    <row r="26277" ht="15.75" customHeight="1">
      <c r="A26277" s="2" t="s">
        <v>26277</v>
      </c>
      <c r="B26277" s="2" t="str">
        <f>IFERROR(__xludf.DUMMYFUNCTION("GOOGLETRANSLATE(A26277, ""en"", ""mt"")"),"Fil-qalba tad-dibattitu tal-istudjużi dwar l-influwenza ta 'Luther huwa jekk hux anakroniku li jara x-xogħol tiegħu bħala prekursur tal-antisemitiżmu razzjali tan-Nazi. Xi studjużi jaraw l-influwenza ta 'Luther bħala limitata, u l-użu tan-Nazi tax-xogħol "&amp;"tiegħu bħala opportunistiku. Il-bijografu Martin Brecht jirrimarka li ""hemm dinja ta 'differenza bejn it-twemmin tiegħu fis-salvazzjoni u l-ideoloġija razzjali. Madankollu, l-aġitazzjoni żbaljata tiegħu kellha r-riżultat ħażin li Luther saret b'mod fatal"&amp;"i wieħed mill-"" missirijiet tal-knisja ""ta' l-anti-Semitiżmu u b'hekk ipprovdut Materjal għall-mibegħda moderna lejn il-Lhud, cloakingha mal-awtorità tar-riformatur. "" Johannes Wallmann jargumenta li l-kitbiet ta 'Luther kontra l-Lhud kienu ġeneralment"&amp;" injorati fis-sekli 18 u 19, u li ma kien hemm l-ebda kontinwità bejn il-ħsieb ta' Luther u l-ideoloġija Nażista. Uwe Siemon-Netto qablet, billi argumenta li kien minħabba li n-Nazi kienu diġà anti-Semiti li reġgħu qajmu x-xogħol ta 'Luther. Hans J. Hille"&amp;"rbrand qabel li tiffoka fuq Luther kienet li tadotta perspettiva essenzjalment ahistorical ta 'antisemitiżmu Nażista li injorat fatturi kontributorji oħra fl-istorja Ġermaniża. Bl-istess mod, Roland Bainton, innota l-istoriku tal-knisja u l-bijografu Luth"&amp;"er, kiteb ""Wieħed jista 'jixtieq li Luther kien miet qabel [fuq il-Lhud u l-gideb tagħhom] kienet miktuba. Il-pożizzjoni tiegħu kienet kompletament reliġjuża u fl-ebda rispett razzjali.""")</f>
        <v>Fil-qalba tad-dibattitu tal-istudjużi dwar l-influwenza ta 'Luther huwa jekk hux anakroniku li jara x-xogħol tiegħu bħala prekursur tal-antisemitiżmu razzjali tan-Nazi. Xi studjużi jaraw l-influwenza ta 'Luther bħala limitata, u l-użu tan-Nazi tax-xogħol tiegħu bħala opportunistiku. Il-bijografu Martin Brecht jirrimarka li "hemm dinja ta 'differenza bejn it-twemmin tiegħu fis-salvazzjoni u l-ideoloġija razzjali. Madankollu, l-aġitazzjoni żbaljata tiegħu kellha r-riżultat ħażin li Luther saret b'mod fatali wieħed mill-" missirijiet tal-knisja "ta' l-anti-Semitiżmu u b'hekk ipprovdut Materjal għall-mibegħda moderna lejn il-Lhud, cloakingha mal-awtorità tar-riformatur. " Johannes Wallmann jargumenta li l-kitbiet ta 'Luther kontra l-Lhud kienu ġeneralment injorati fis-sekli 18 u 19, u li ma kien hemm l-ebda kontinwità bejn il-ħsieb ta' Luther u l-ideoloġija Nażista. Uwe Siemon-Netto qablet, billi argumenta li kien minħabba li n-Nazi kienu diġà anti-Semiti li reġgħu qajmu x-xogħol ta 'Luther. Hans J. Hillerbrand qabel li tiffoka fuq Luther kienet li tadotta perspettiva essenzjalment ahistorical ta 'antisemitiżmu Nażista li injorat fatturi kontributorji oħra fl-istorja Ġermaniża. Bl-istess mod, Roland Bainton, innota l-istoriku tal-knisja u l-bijografu Luther, kiteb "Wieħed jista 'jixtieq li Luther kien miet qabel [fuq il-Lhud u l-gideb tagħhom] kienet miktuba. Il-pożizzjoni tiegħu kienet kompletament reliġjuża u fl-ebda rispett razzjali."</v>
      </c>
    </row>
    <row r="26278" ht="15.75" customHeight="1">
      <c r="A26278" s="2" t="s">
        <v>26278</v>
      </c>
      <c r="B26278" s="2" t="str">
        <f>IFERROR(__xludf.DUMMYFUNCTION("GOOGLETRANSLATE(A26278, ""en"", ""mt"")"),"Sistema 8–4-4")</f>
        <v>Sistema 8–4-4</v>
      </c>
    </row>
    <row r="26279" ht="15.75" customHeight="1">
      <c r="A26279" s="2" t="s">
        <v>26279</v>
      </c>
      <c r="B26279" s="2" t="str">
        <f>IFERROR(__xludf.DUMMYFUNCTION("GOOGLETRANSLATE(A26279, ""en"", ""mt"")"),"Min hu l-qaddis patrun tal-Huguenots?")</f>
        <v>Min hu l-qaddis patrun tal-Huguenots?</v>
      </c>
    </row>
    <row r="26280" ht="15.75" customHeight="1">
      <c r="A26280" s="2" t="s">
        <v>26280</v>
      </c>
      <c r="B26280" s="2" t="str">
        <f>IFERROR(__xludf.DUMMYFUNCTION("GOOGLETRANSLATE(A26280, ""en"", ""mt"")"),"Satelliti Pegasus")</f>
        <v>Satelliti Pegasus</v>
      </c>
    </row>
    <row r="26281" ht="15.75" customHeight="1">
      <c r="A26281" s="2" t="s">
        <v>26281</v>
      </c>
      <c r="B26281" s="2" t="str">
        <f>IFERROR(__xludf.DUMMYFUNCTION("GOOGLETRANSLATE(A26281, ""en"", ""mt"")"),"Liema metodu jintuża għall-voti li jqabbdu fit-tieni vot tal-votazzjoni?")</f>
        <v>Liema metodu jintuża għall-voti li jqabbdu fit-tieni vot tal-votazzjoni?</v>
      </c>
    </row>
    <row r="26282" ht="15.75" customHeight="1">
      <c r="A26282" s="2" t="s">
        <v>26282</v>
      </c>
      <c r="B26282" s="2" t="str">
        <f>IFERROR(__xludf.DUMMYFUNCTION("GOOGLETRANSLATE(A26282, ""en"", ""mt"")"),"Sherwood Boehlert")</f>
        <v>Sherwood Boehlert</v>
      </c>
    </row>
    <row r="26283" ht="15.75" customHeight="1">
      <c r="A26283" s="2" t="s">
        <v>26283</v>
      </c>
      <c r="B26283" s="2" t="str">
        <f>IFERROR(__xludf.DUMMYFUNCTION("GOOGLETRANSLATE(A26283, ""en"", ""mt"")"),"elettriku")</f>
        <v>elettriku</v>
      </c>
    </row>
    <row r="26284" ht="15.75" customHeight="1">
      <c r="A26284" s="2" t="s">
        <v>26284</v>
      </c>
      <c r="B26284" s="2" t="str">
        <f>IFERROR(__xludf.DUMMYFUNCTION("GOOGLETRANSLATE(A26284, ""en"", ""mt"")"),"Sħubija fl-Unjoni")</f>
        <v>Sħubija fl-Unjoni</v>
      </c>
    </row>
    <row r="26285" ht="15.75" customHeight="1">
      <c r="A26285" s="2" t="s">
        <v>26285</v>
      </c>
      <c r="B26285" s="2" t="str">
        <f>IFERROR(__xludf.DUMMYFUNCTION("GOOGLETRANSLATE(A26285, ""en"", ""mt"")"),"kulleġġi")</f>
        <v>kulleġġi</v>
      </c>
    </row>
    <row r="26286" ht="15.75" customHeight="1">
      <c r="A26286" s="2" t="s">
        <v>26286</v>
      </c>
      <c r="B26286" s="2" t="str">
        <f>IFERROR(__xludf.DUMMYFUNCTION("GOOGLETRANSLATE(A26286, ""en"", ""mt"")"),"Lipidi Monolayer")</f>
        <v>Lipidi Monolayer</v>
      </c>
    </row>
    <row r="26287" ht="15.75" customHeight="1">
      <c r="A26287" s="2" t="s">
        <v>26287</v>
      </c>
      <c r="B26287" s="2" t="str">
        <f>IFERROR(__xludf.DUMMYFUNCTION("GOOGLETRANSLATE(A26287, ""en"", ""mt"")"),"Taħlita tan-nitroġenu / ossiġnu")</f>
        <v>Taħlita tan-nitroġenu / ossiġnu</v>
      </c>
    </row>
    <row r="26288" ht="15.75" customHeight="1">
      <c r="A26288" s="2" t="s">
        <v>26288</v>
      </c>
      <c r="B26288" s="2" t="str">
        <f>IFERROR(__xludf.DUMMYFUNCTION("GOOGLETRANSLATE(A26288, ""en"", ""mt"")"),"Carolina Panthers")</f>
        <v>Carolina Panthers</v>
      </c>
    </row>
    <row r="26289" ht="15.75" customHeight="1">
      <c r="A26289" s="2" t="s">
        <v>26289</v>
      </c>
      <c r="B26289" s="2" t="str">
        <f>IFERROR(__xludf.DUMMYFUNCTION("GOOGLETRANSLATE(A26289, ""en"", ""mt"")"),"kien bil-kontenut tagħhom")</f>
        <v>kien bil-kontenut tagħhom</v>
      </c>
    </row>
    <row r="26290" ht="15.75" customHeight="1">
      <c r="A26290" s="2" t="s">
        <v>26290</v>
      </c>
      <c r="B26290" s="2" t="str">
        <f>IFERROR(__xludf.DUMMYFUNCTION("GOOGLETRANSLATE(A26290, ""en"", ""mt"")"),"James Lofton")</f>
        <v>James Lofton</v>
      </c>
    </row>
    <row r="26291" ht="15.75" customHeight="1">
      <c r="A26291" s="2" t="s">
        <v>26291</v>
      </c>
      <c r="B26291" s="2" t="str">
        <f>IFERROR(__xludf.DUMMYFUNCTION("GOOGLETRANSLATE(A26291, ""en"", ""mt"")"),"Robert Lane u Benjamin Vail")</f>
        <v>Robert Lane u Benjamin Vail</v>
      </c>
    </row>
    <row r="26292" ht="15.75" customHeight="1">
      <c r="A26292" s="2" t="s">
        <v>26292</v>
      </c>
      <c r="B26292" s="2" t="str">
        <f>IFERROR(__xludf.DUMMYFUNCTION("GOOGLETRANSLATE(A26292, ""en"", ""mt"")"),"Strumenti xjentifiċi awtomatizzati")</f>
        <v>Strumenti xjentifiċi awtomatizzati</v>
      </c>
    </row>
    <row r="26293" ht="15.75" customHeight="1">
      <c r="A26293" s="2" t="s">
        <v>26293</v>
      </c>
      <c r="B26293" s="2" t="str">
        <f>IFERROR(__xludf.DUMMYFUNCTION("GOOGLETRANSLATE(A26293, ""en"", ""mt"")"),"F'liema punt fil-priedki ta 'Luther kiteb Schurf lill-Elettur?")</f>
        <v>F'liema punt fil-priedki ta 'Luther kiteb Schurf lill-Elettur?</v>
      </c>
    </row>
    <row r="26294" ht="15.75" customHeight="1">
      <c r="A26294" s="2" t="s">
        <v>26294</v>
      </c>
      <c r="B26294" s="2" t="str">
        <f>IFERROR(__xludf.DUMMYFUNCTION("GOOGLETRANSLATE(A26294, ""en"", ""mt"")"),"Apollo 11")</f>
        <v>Apollo 11</v>
      </c>
    </row>
    <row r="26295" ht="15.75" customHeight="1">
      <c r="A26295" s="2" t="s">
        <v>26295</v>
      </c>
      <c r="B26295" s="2" t="str">
        <f>IFERROR(__xludf.DUMMYFUNCTION("GOOGLETRANSLATE(A26295, ""en"", ""mt"")"),"F'liema borough hemm viċinat imsejjaħ Huguenot?")</f>
        <v>F'liema borough hemm viċinat imsejjaħ Huguenot?</v>
      </c>
    </row>
    <row r="26296" ht="15.75" customHeight="1">
      <c r="A26296" s="2" t="s">
        <v>26296</v>
      </c>
      <c r="B26296" s="2" t="str">
        <f>IFERROR(__xludf.DUMMYFUNCTION("GOOGLETRANSLATE(A26296, ""en"", ""mt"")"),"ħin lineari")</f>
        <v>ħin lineari</v>
      </c>
    </row>
    <row r="26297" ht="15.75" customHeight="1">
      <c r="A26297" s="2" t="s">
        <v>26297</v>
      </c>
      <c r="B26297" s="2" t="str">
        <f>IFERROR(__xludf.DUMMYFUNCTION("GOOGLETRANSLATE(A26297, ""en"", ""mt"")"),"X'tip ta 'qawwa ġiet murija fil-Fiera Dinjija minn Westinghouse u Tesla?")</f>
        <v>X'tip ta 'qawwa ġiet murija fil-Fiera Dinjija minn Westinghouse u Tesla?</v>
      </c>
    </row>
    <row r="26298" ht="15.75" customHeight="1">
      <c r="A26298" s="2" t="s">
        <v>26298</v>
      </c>
      <c r="B26298" s="2" t="str">
        <f>IFERROR(__xludf.DUMMYFUNCTION("GOOGLETRANSLATE(A26298, ""en"", ""mt"")"),"L-ilma fuq in-naħa tal-Lvant ħareġ lejn l-Atlantiku,")</f>
        <v>L-ilma fuq in-naħa tal-Lvant ħareġ lejn l-Atlantiku,</v>
      </c>
    </row>
    <row r="26299" ht="15.75" customHeight="1">
      <c r="A26299" s="2" t="s">
        <v>26299</v>
      </c>
      <c r="B26299" s="2" t="str">
        <f>IFERROR(__xludf.DUMMYFUNCTION("GOOGLETRANSLATE(A26299, ""en"", ""mt"")"),"X'inhu l-prinċipju dwar ir-relazzjoni tal-varjabbli tal-ispin u tal-ispazju?")</f>
        <v>X'inhu l-prinċipju dwar ir-relazzjoni tal-varjabbli tal-ispin u tal-ispazju?</v>
      </c>
    </row>
    <row r="26300" ht="15.75" customHeight="1">
      <c r="A26300" s="2" t="s">
        <v>26300</v>
      </c>
      <c r="B26300" s="2" t="str">
        <f>IFERROR(__xludf.DUMMYFUNCTION("GOOGLETRANSLATE(A26300, ""en"", ""mt"")"),"30% inqas fwar")</f>
        <v>30% inqas fwar</v>
      </c>
    </row>
    <row r="26301" ht="15.75" customHeight="1">
      <c r="A26301" s="2" t="s">
        <v>26301</v>
      </c>
      <c r="B26301" s="2" t="str">
        <f>IFERROR(__xludf.DUMMYFUNCTION("GOOGLETRANSLATE(A26301, ""en"", ""mt"")"),"Ħarġa tal-lajċi li jkollok vuċi u tivvota fl-amministrazzjoni tal-knisja")</f>
        <v>Ħarġa tal-lajċi li jkollok vuċi u tivvota fl-amministrazzjoni tal-knisja</v>
      </c>
    </row>
    <row r="26302" ht="15.75" customHeight="1">
      <c r="A26302" s="2" t="s">
        <v>26302</v>
      </c>
      <c r="B26302" s="2" t="str">
        <f>IFERROR(__xludf.DUMMYFUNCTION("GOOGLETRANSLATE(A26302, ""en"", ""mt"")"),"Kemm kellu Martin Luther meta żżewweġ?")</f>
        <v>Kemm kellu Martin Luther meta żżewweġ?</v>
      </c>
    </row>
    <row r="26303" ht="15.75" customHeight="1">
      <c r="A26303" s="2" t="s">
        <v>26303</v>
      </c>
      <c r="B26303" s="2" t="str">
        <f>IFERROR(__xludf.DUMMYFUNCTION("GOOGLETRANSLATE(A26303, ""en"", ""mt"")"),"X'tipi ta 'xjenzati jfittxu sinjali ta' treġġigħ lura manjetiku fi blat igneous fil-qlub tat-tħaffir?")</f>
        <v>X'tipi ta 'xjenzati jfittxu sinjali ta' treġġigħ lura manjetiku fi blat igneous fil-qlub tat-tħaffir?</v>
      </c>
    </row>
    <row r="26304" ht="15.75" customHeight="1">
      <c r="A26304" s="2" t="s">
        <v>26304</v>
      </c>
      <c r="B26304" s="2" t="str">
        <f>IFERROR(__xludf.DUMMYFUNCTION("GOOGLETRANSLATE(A26304, ""en"", ""mt"")"),"Skritt tradizzjonali Mongoljan")</f>
        <v>Skritt tradizzjonali Mongoljan</v>
      </c>
    </row>
    <row r="26305" ht="15.75" customHeight="1">
      <c r="A26305" s="2" t="s">
        <v>26305</v>
      </c>
      <c r="B26305" s="2" t="str">
        <f>IFERROR(__xludf.DUMMYFUNCTION("GOOGLETRANSLATE(A26305, ""en"", ""mt"")"),"Informazzjoni disponibbli dwar it-tibdil fil-klima bbażat fuq sorsi ppubblikati")</f>
        <v>Informazzjoni disponibbli dwar it-tibdil fil-klima bbażat fuq sorsi ppubblikati</v>
      </c>
    </row>
    <row r="26306" ht="15.75" customHeight="1">
      <c r="A26306" s="2" t="s">
        <v>26306</v>
      </c>
      <c r="B26306" s="2" t="str">
        <f>IFERROR(__xludf.DUMMYFUNCTION("GOOGLETRANSLATE(A26306, ""en"", ""mt"")"),"Importazzjonijiet Ġappuniżi")</f>
        <v>Importazzjonijiet Ġappuniżi</v>
      </c>
    </row>
    <row r="26307" ht="15.75" customHeight="1">
      <c r="A26307" s="2" t="s">
        <v>26307</v>
      </c>
      <c r="B26307" s="2" t="str">
        <f>IFERROR(__xludf.DUMMYFUNCTION("GOOGLETRANSLATE(A26307, ""en"", ""mt"")"),"X’qal il-Qorti tal-Ġustizzja li Steymann kienet intitolata?")</f>
        <v>X’qal il-Qorti tal-Ġustizzja li Steymann kienet intitolata?</v>
      </c>
    </row>
    <row r="26308" ht="15.75" customHeight="1">
      <c r="A26308" s="2" t="s">
        <v>26308</v>
      </c>
      <c r="B26308" s="2" t="str">
        <f>IFERROR(__xludf.DUMMYFUNCTION("GOOGLETRANSLATE(A26308, ""en"", ""mt"")"),"Moting Pictures, Petroleum u Aircraft Manufacturing kienu industriji ewlenin minn liema għaxar snin?")</f>
        <v>Moting Pictures, Petroleum u Aircraft Manufacturing kienu industriji ewlenin minn liema għaxar snin?</v>
      </c>
    </row>
    <row r="26309" ht="15.75" customHeight="1">
      <c r="A26309" s="2" t="s">
        <v>26309</v>
      </c>
      <c r="B26309" s="2" t="str">
        <f>IFERROR(__xludf.DUMMYFUNCTION("GOOGLETRANSLATE(A26309, ""en"", ""mt"")"),"Sky plc")</f>
        <v>Sky plc</v>
      </c>
    </row>
    <row r="26310" ht="15.75" customHeight="1">
      <c r="A26310" s="2" t="s">
        <v>26310</v>
      </c>
      <c r="B26310" s="2" t="str">
        <f>IFERROR(__xludf.DUMMYFUNCTION("GOOGLETRANSLATE(A26310, ""en"", ""mt"")"),"Il-pesta kienet preżenti x'imkien fl-Ewropa kull sena bejn l-1346 u l-1671")</f>
        <v>Il-pesta kienet preżenti x'imkien fl-Ewropa kull sena bejn l-1346 u l-1671</v>
      </c>
    </row>
    <row r="26311" ht="15.75" customHeight="1">
      <c r="A26311" s="2" t="s">
        <v>26311</v>
      </c>
      <c r="B26311" s="2" t="str">
        <f>IFERROR(__xludf.DUMMYFUNCTION("GOOGLETRANSLATE(A26311, ""en"", ""mt"")"),"Liema entità fil-Kanada tieħu ħsieb ir-regolamenti ta 'sostituzzjoni għal programmi televiżivi?")</f>
        <v>Liema entità fil-Kanada tieħu ħsieb ir-regolamenti ta 'sostituzzjoni għal programmi televiżivi?</v>
      </c>
    </row>
    <row r="26312" ht="15.75" customHeight="1">
      <c r="A26312" s="2" t="s">
        <v>26312</v>
      </c>
      <c r="B26312" s="2" t="str">
        <f>IFERROR(__xludf.DUMMYFUNCTION("GOOGLETRANSLATE(A26312, ""en"", ""mt"")"),"riċerka")</f>
        <v>riċerka</v>
      </c>
    </row>
    <row r="26313" ht="15.75" customHeight="1">
      <c r="A26313" s="2" t="s">
        <v>26313</v>
      </c>
      <c r="B26313" s="2" t="str">
        <f>IFERROR(__xludf.DUMMYFUNCTION("GOOGLETRANSLATE(A26313, ""en"", ""mt"")"),"X'irrakkomanda standard u fqir biex tħaffef l-irkupru tal-ekonomija?")</f>
        <v>X'irrakkomanda standard u fqir biex tħaffef l-irkupru tal-ekonomija?</v>
      </c>
    </row>
    <row r="26314" ht="15.75" customHeight="1">
      <c r="A26314" s="2" t="s">
        <v>26314</v>
      </c>
      <c r="B26314" s="2" t="str">
        <f>IFERROR(__xludf.DUMMYFUNCTION("GOOGLETRANSLATE(A26314, ""en"", ""mt"")"),"raħal")</f>
        <v>raħal</v>
      </c>
    </row>
    <row r="26315" ht="15.75" customHeight="1">
      <c r="A26315" s="2" t="s">
        <v>26315</v>
      </c>
      <c r="B26315" s="2" t="str">
        <f>IFERROR(__xludf.DUMMYFUNCTION("GOOGLETRANSLATE(A26315, ""en"", ""mt"")"),"Għoli ta '25 pied (7.6 m)")</f>
        <v>Għoli ta '25 pied (7.6 m)</v>
      </c>
    </row>
    <row r="26316" ht="15.75" customHeight="1">
      <c r="A26316" s="2" t="s">
        <v>26316</v>
      </c>
      <c r="B26316" s="2" t="str">
        <f>IFERROR(__xludf.DUMMYFUNCTION("GOOGLETRANSLATE(A26316, ""en"", ""mt"")"),"X'inhu r-reġjun tan-Nofsinhar fejn il-Protestanti huma kkonċentrati?")</f>
        <v>X'inhu r-reġjun tan-Nofsinhar fejn il-Protestanti huma kkonċentrati?</v>
      </c>
    </row>
    <row r="26317" ht="15.75" customHeight="1">
      <c r="A26317" s="2" t="s">
        <v>26317</v>
      </c>
      <c r="B26317" s="2" t="str">
        <f>IFERROR(__xludf.DUMMYFUNCTION("GOOGLETRANSLATE(A26317, ""en"", ""mt"")"),"sptarijiet")</f>
        <v>sptarijiet</v>
      </c>
    </row>
    <row r="26318" ht="15.75" customHeight="1">
      <c r="A26318" s="2" t="s">
        <v>26318</v>
      </c>
      <c r="B26318" s="2" t="str">
        <f>IFERROR(__xludf.DUMMYFUNCTION("GOOGLETRANSLATE(A26318, ""en"", ""mt"")"),"Magna tat-Turing probabilistiċi")</f>
        <v>Magna tat-Turing probabilistiċi</v>
      </c>
    </row>
    <row r="26319" ht="15.75" customHeight="1">
      <c r="A26319" s="2" t="s">
        <v>26319</v>
      </c>
      <c r="B26319" s="2" t="str">
        <f>IFERROR(__xludf.DUMMYFUNCTION("GOOGLETRANSLATE(A26319, ""en"", ""mt"")"),"Turkana")</f>
        <v>Turkana</v>
      </c>
    </row>
    <row r="26320" ht="15.75" customHeight="1">
      <c r="A26320" s="2" t="s">
        <v>26320</v>
      </c>
      <c r="B26320" s="2" t="str">
        <f>IFERROR(__xludf.DUMMYFUNCTION("GOOGLETRANSLATE(A26320, ""en"", ""mt"")"),"Minħabba t-tema tad-deheb, x'kienet is-Super Bowl 50 bħala?")</f>
        <v>Minħabba t-tema tad-deheb, x'kienet is-Super Bowl 50 bħala?</v>
      </c>
    </row>
    <row r="26321" ht="15.75" customHeight="1">
      <c r="A26321" s="2" t="s">
        <v>26321</v>
      </c>
      <c r="B26321" s="2" t="str">
        <f>IFERROR(__xludf.DUMMYFUNCTION("GOOGLETRANSLATE(A26321, ""en"", ""mt"")"),"Kemm f'altitudni għolja fis-saqajn jistgħu jissimulaw il-kmamar tal-vakwu?")</f>
        <v>Kemm f'altitudni għolja fis-saqajn jistgħu jissimulaw il-kmamar tal-vakwu?</v>
      </c>
    </row>
    <row r="26322" ht="15.75" customHeight="1">
      <c r="A26322" s="2" t="s">
        <v>26322</v>
      </c>
      <c r="B26322" s="2" t="str">
        <f>IFERROR(__xludf.DUMMYFUNCTION("GOOGLETRANSLATE(A26322, ""en"", ""mt"")"),"Liema grupp approva l-ħatra ta 'lesbjani msieħba b'mod miftuħ għad-djakonat proviżorju?")</f>
        <v>Liema grupp approva l-ħatra ta 'lesbjani msieħba b'mod miftuħ għad-djakonat proviżorju?</v>
      </c>
    </row>
    <row r="26323" ht="15.75" customHeight="1">
      <c r="A26323" s="2" t="s">
        <v>26323</v>
      </c>
      <c r="B26323" s="2" t="str">
        <f>IFERROR(__xludf.DUMMYFUNCTION("GOOGLETRANSLATE(A26323, ""en"", ""mt"")"),"argumenta kontra li tirreżisti")</f>
        <v>argumenta kontra li tirreżisti</v>
      </c>
    </row>
    <row r="26324" ht="15.75" customHeight="1">
      <c r="A26324" s="2" t="s">
        <v>26324</v>
      </c>
      <c r="B26324" s="2" t="str">
        <f>IFERROR(__xludf.DUMMYFUNCTION("GOOGLETRANSLATE(A26324, ""en"", ""mt"")"),"Ibgħatlu l-aqwa skola tal-inġinerija jekk irkupra")</f>
        <v>Ibgħatlu l-aqwa skola tal-inġinerija jekk irkupra</v>
      </c>
    </row>
    <row r="26325" ht="15.75" customHeight="1">
      <c r="A26325" s="2" t="s">
        <v>26325</v>
      </c>
      <c r="B26325" s="2" t="str">
        <f>IFERROR(__xludf.DUMMYFUNCTION("GOOGLETRANSLATE(A26325, ""en"", ""mt"")"),"X’tost Thoreau dwar il-maġġoranza?")</f>
        <v>X’tost Thoreau dwar il-maġġoranza?</v>
      </c>
    </row>
    <row r="26326" ht="15.75" customHeight="1">
      <c r="A26326" s="2" t="s">
        <v>26326</v>
      </c>
      <c r="B26326" s="2" t="str">
        <f>IFERROR(__xludf.DUMMYFUNCTION("GOOGLETRANSLATE(A26326, ""en"", ""mt"")"),"X'kienet l-aħħar Super Bowl li ħadet sehem il-Broncos?")</f>
        <v>X'kienet l-aħħar Super Bowl li ħadet sehem il-Broncos?</v>
      </c>
    </row>
    <row r="26327" ht="15.75" customHeight="1">
      <c r="A26327" s="2" t="s">
        <v>26327</v>
      </c>
      <c r="B26327" s="2" t="str">
        <f>IFERROR(__xludf.DUMMYFUNCTION("GOOGLETRANSLATE(A26327, ""en"", ""mt"")"),"La kuxjenzjuż u lanqas ta 'benefiċċju soċjali")</f>
        <v>La kuxjenzjuż u lanqas ta 'benefiċċju soċjali</v>
      </c>
    </row>
    <row r="26328" ht="15.75" customHeight="1">
      <c r="A26328" s="2" t="s">
        <v>26328</v>
      </c>
      <c r="B26328" s="2" t="str">
        <f>IFERROR(__xludf.DUMMYFUNCTION("GOOGLETRANSLATE(A26328, ""en"", ""mt"")"),"X'inhu l-Ispiżerija Medjevali ta 'Esteve fil-preżent?")</f>
        <v>X'inhu l-Ispiżerija Medjevali ta 'Esteve fil-preżent?</v>
      </c>
    </row>
    <row r="26329" ht="15.75" customHeight="1">
      <c r="A26329" s="2" t="s">
        <v>26329</v>
      </c>
      <c r="B26329" s="2" t="str">
        <f>IFERROR(__xludf.DUMMYFUNCTION("GOOGLETRANSLATE(A26329, ""en"", ""mt"")"),"President tad-Diviżjoni tad-Divertiment tal-NBC")</f>
        <v>President tad-Diviżjoni tad-Divertiment tal-NBC</v>
      </c>
    </row>
    <row r="26330" ht="15.75" customHeight="1">
      <c r="A26330" s="2" t="s">
        <v>26330</v>
      </c>
      <c r="B26330" s="2" t="str">
        <f>IFERROR(__xludf.DUMMYFUNCTION("GOOGLETRANSLATE(A26330, ""en"", ""mt"")"),"L-ożonu ġġenerat f'kuntatt mal-ġilda, u sa ċertu punt, bl-aċidu nitruż.")</f>
        <v>L-ożonu ġġenerat f'kuntatt mal-ġilda, u sa ċertu punt, bl-aċidu nitruż.</v>
      </c>
    </row>
    <row r="26331" ht="15.75" customHeight="1">
      <c r="A26331" s="2" t="s">
        <v>26331</v>
      </c>
      <c r="B26331" s="2" t="str">
        <f>IFERROR(__xludf.DUMMYFUNCTION("GOOGLETRANSLATE(A26331, ""en"", ""mt"")"),"Kieku (kif argumentajt il-WWF), il-livelli tal-popolazzjoni jibdew jonqsu għal livell sostenibbli")</f>
        <v>Kieku (kif argumentajt il-WWF), il-livelli tal-popolazzjoni jibdew jonqsu għal livell sostenibbli</v>
      </c>
    </row>
    <row r="26332" ht="15.75" customHeight="1">
      <c r="A26332" s="2" t="s">
        <v>26332</v>
      </c>
      <c r="B26332" s="2" t="str">
        <f>IFERROR(__xludf.DUMMYFUNCTION("GOOGLETRANSLATE(A26332, ""en"", ""mt"")"),"L-Università ta ’Chicago żżomm ukoll faċilitajiet apparti mill-kampus ewlieni tagħha. L-Iskola tan-Negozju tal-Booth tal-Università żżomm kampus f’Singapore, Londra, u fil-viċinat ta ’Downtown Streeterville f’Chicago. Iċ-ċentru f'Pariġi, kampus li jinsab "&amp;"fuq ix-xellug ta 'Seine f'Pariġi, jospita diversi programmi ta' studju li għadhom ma ggradwawx u gradwati. Fil-ħarifa tal-2010, l-Università ta ’Chicago fetħet ukoll ċentru f’Beijing, qrib il-kampus tal-Università ta’ Renmin fid-distrett ta ’Haidian. L-ik"&amp;"tar żidiet riċenti huma ċentru fi New Delhi, l-Indja, li nfetaħ fl-2014, u ċentru f'Hong Kong li nfetaħ fl-2015.")</f>
        <v>L-Università ta ’Chicago żżomm ukoll faċilitajiet apparti mill-kampus ewlieni tagħha. L-Iskola tan-Negozju tal-Booth tal-Università żżomm kampus f’Singapore, Londra, u fil-viċinat ta ’Downtown Streeterville f’Chicago. Iċ-ċentru f'Pariġi, kampus li jinsab fuq ix-xellug ta 'Seine f'Pariġi, jospita diversi programmi ta' studju li għadhom ma ggradwawx u gradwati. Fil-ħarifa tal-2010, l-Università ta ’Chicago fetħet ukoll ċentru f’Beijing, qrib il-kampus tal-Università ta’ Renmin fid-distrett ta ’Haidian. L-iktar żidiet riċenti huma ċentru fi New Delhi, l-Indja, li nfetaħ fl-2014, u ċentru f'Hong Kong li nfetaħ fl-2015.</v>
      </c>
    </row>
    <row r="26333" ht="15.75" customHeight="1">
      <c r="A26333" s="2" t="s">
        <v>26333</v>
      </c>
      <c r="B26333" s="2" t="str">
        <f>IFERROR(__xludf.DUMMYFUNCTION("GOOGLETRANSLATE(A26333, ""en"", ""mt"")"),"Din il-kombinazzjoni ta 'kanċellazzjonijiet u σ u π tirkeb tirriżulta fil-karattru u r-reattività ta' bond doppju ta 'dijossiġnu, u fi stat ta' art elettroniku triplet. Konfigurazzjoni ta 'elettroni b'żewġ elettroni mhux imqabbda kif misjuba fid-dijossiġn"&amp;"u (ara l-orbitali mimlija π * fid-dijagramma), orbitali li huma ta' enerġija ugwali - i.e., deġenerati - hija konfigurazzjoni msejħa stat tripletta spin. Għalhekk, l-istat tal-ground tal-O
2 molekula hija msejħa ossiġenu triplet. [B] L-ogħla enerġija, orb"&amp;"itali mimlijin parzjalment huma antibonding, u għalhekk il-mili tagħhom jiddgħajjef l-ordni tal-bond minn tlieta sa tnejn. Minħabba l-elettroni mhux imqabbla tiegħu, l-ossiġnu triplet jirreaġixxi biss bil-mod bil-biċċa l-kbira tal-molekuli organiċi, li għ"&amp;"andhom spins tal-elettroni mqabbla; Dan jipprevjeni kombustjoni spontanja.")</f>
        <v>Din il-kombinazzjoni ta 'kanċellazzjonijiet u σ u π tirkeb tirriżulta fil-karattru u r-reattività ta' bond doppju ta 'dijossiġnu, u fi stat ta' art elettroniku triplet. Konfigurazzjoni ta 'elettroni b'żewġ elettroni mhux imqabbda kif misjuba fid-dijossiġnu (ara l-orbitali mimlija π * fid-dijagramma), orbitali li huma ta' enerġija ugwali - i.e., deġenerati - hija konfigurazzjoni msejħa stat tripletta spin. Għalhekk, l-istat tal-ground tal-O
2 molekula hija msejħa ossiġenu triplet. [B] L-ogħla enerġija, orbitali mimlijin parzjalment huma antibonding, u għalhekk il-mili tagħhom jiddgħajjef l-ordni tal-bond minn tlieta sa tnejn. Minħabba l-elettroni mhux imqabbla tiegħu, l-ossiġnu triplet jirreaġixxi biss bil-mod bil-biċċa l-kbira tal-molekuli organiċi, li għandhom spins tal-elettroni mqabbla; Dan jipprevjeni kombustjoni spontanja.</v>
      </c>
    </row>
    <row r="26334" ht="15.75" customHeight="1">
      <c r="A26334" s="2" t="s">
        <v>26334</v>
      </c>
      <c r="B26334" s="2" t="str">
        <f>IFERROR(__xludf.DUMMYFUNCTION("GOOGLETRANSLATE(A26334, ""en"", ""mt"")"),"Wirja elettrika")</f>
        <v>Wirja elettrika</v>
      </c>
    </row>
    <row r="26335" ht="15.75" customHeight="1">
      <c r="A26335" s="2" t="s">
        <v>26335</v>
      </c>
      <c r="B26335" s="2" t="str">
        <f>IFERROR(__xludf.DUMMYFUNCTION("GOOGLETRANSLATE(A26335, ""en"", ""mt"")"),"titlob vjaġġ bir-ritorn mis-siti kollha f'Milan li t-tul totali tiegħu huwa l-aktar 10 km")</f>
        <v>titlob vjaġġ bir-ritorn mis-siti kollha f'Milan li t-tul totali tiegħu huwa l-aktar 10 km</v>
      </c>
    </row>
    <row r="26336" ht="15.75" customHeight="1">
      <c r="A26336" s="2" t="s">
        <v>26336</v>
      </c>
      <c r="B26336" s="2" t="str">
        <f>IFERROR(__xludf.DUMMYFUNCTION("GOOGLETRANSLATE(A26336, ""en"", ""mt"")"),"fil-lvant tal-Mississippi")</f>
        <v>fil-lvant tal-Mississippi</v>
      </c>
    </row>
    <row r="26337" ht="15.75" customHeight="1">
      <c r="A26337" s="2" t="s">
        <v>26337</v>
      </c>
      <c r="B26337" s="2" t="str">
        <f>IFERROR(__xludf.DUMMYFUNCTION("GOOGLETRANSLATE(A26337, ""en"", ""mt"")"),"Il-Kumitat tas-Super Bowl 50 ospitanti qal li se jkun l-iktar dak li qatt?")</f>
        <v>Il-Kumitat tas-Super Bowl 50 ospitanti qal li se jkun l-iktar dak li qatt?</v>
      </c>
    </row>
    <row r="26338" ht="15.75" customHeight="1">
      <c r="A26338" s="2" t="s">
        <v>26338</v>
      </c>
      <c r="B26338" s="2" t="str">
        <f>IFERROR(__xludf.DUMMYFUNCTION("GOOGLETRANSLATE(A26338, ""en"", ""mt"")"),"Min għamel l-innu nazzjonali fis-Super Bowl 50?")</f>
        <v>Min għamel l-innu nazzjonali fis-Super Bowl 50?</v>
      </c>
    </row>
    <row r="26339" ht="15.75" customHeight="1">
      <c r="A26339" s="2" t="s">
        <v>26339</v>
      </c>
      <c r="B26339" s="2" t="str">
        <f>IFERROR(__xludf.DUMMYFUNCTION("GOOGLETRANSLATE(A26339, ""en"", ""mt"")"),"2010")</f>
        <v>2010</v>
      </c>
    </row>
    <row r="26340" ht="15.75" customHeight="1">
      <c r="A26340" s="2" t="s">
        <v>26340</v>
      </c>
      <c r="B26340" s="2" t="str">
        <f>IFERROR(__xludf.DUMMYFUNCTION("GOOGLETRANSLATE(A26340, ""en"", ""mt"")"),"Canny")</f>
        <v>Canny</v>
      </c>
    </row>
    <row r="26341" ht="15.75" customHeight="1">
      <c r="A26341" s="2" t="s">
        <v>26341</v>
      </c>
      <c r="B26341" s="2" t="str">
        <f>IFERROR(__xludf.DUMMYFUNCTION("GOOGLETRANSLATE(A26341, ""en"", ""mt"")"),"Min skorja l-ewwel punti għal Denver?")</f>
        <v>Min skorja l-ewwel punti għal Denver?</v>
      </c>
    </row>
    <row r="26342" ht="15.75" customHeight="1">
      <c r="A26342" s="2" t="s">
        <v>26342</v>
      </c>
      <c r="B26342" s="2" t="str">
        <f>IFERROR(__xludf.DUMMYFUNCTION("GOOGLETRANSLATE(A26342, ""en"", ""mt"")"),"Min Peyton Manning temm il-pass ta '18 -il tarzna fuq il-ftuħ tas-sewqan?")</f>
        <v>Min Peyton Manning temm il-pass ta '18 -il tarzna fuq il-ftuħ tas-sewqan?</v>
      </c>
    </row>
    <row r="26343" ht="15.75" customHeight="1">
      <c r="A26343" s="2" t="s">
        <v>26343</v>
      </c>
      <c r="B26343" s="2" t="str">
        <f>IFERROR(__xludf.DUMMYFUNCTION("GOOGLETRANSLATE(A26343, ""en"", ""mt"")"),"Liema persentaġġ ta 'lewkoċiti jirrappreżentaw in-newtrofili?")</f>
        <v>Liema persentaġġ ta 'lewkoċiti jirrappreżentaw in-newtrofili?</v>
      </c>
    </row>
    <row r="26344" ht="15.75" customHeight="1">
      <c r="A26344" s="2" t="s">
        <v>26344</v>
      </c>
      <c r="B26344" s="2" t="str">
        <f>IFERROR(__xludf.DUMMYFUNCTION("GOOGLETRANSLATE(A26344, ""en"", ""mt"")"),"Liema artisti ngħaqdu mal-headliner waqt l-ispettaklu tas-Super Bowl 50 f'ħin il-mistrieħ?")</f>
        <v>Liema artisti ngħaqdu mal-headliner waqt l-ispettaklu tas-Super Bowl 50 f'ħin il-mistrieħ?</v>
      </c>
    </row>
    <row r="26345" ht="15.75" customHeight="1">
      <c r="A26345" s="2" t="s">
        <v>26345</v>
      </c>
      <c r="B26345" s="2" t="str">
        <f>IFERROR(__xludf.DUMMYFUNCTION("GOOGLETRANSLATE(A26345, ""en"", ""mt"")"),"Dane")</f>
        <v>Dane</v>
      </c>
    </row>
    <row r="26346" ht="15.75" customHeight="1">
      <c r="A26346" s="2" t="s">
        <v>26346</v>
      </c>
      <c r="B26346" s="2" t="str">
        <f>IFERROR(__xludf.DUMMYFUNCTION("GOOGLETRANSLATE(A26346, ""en"", ""mt"")"),"X'inhuma xi vantaġġi tal-ispiżeriji tal-isptar?")</f>
        <v>X'inhuma xi vantaġġi tal-ispiżeriji tal-isptar?</v>
      </c>
    </row>
    <row r="26347" ht="15.75" customHeight="1">
      <c r="A26347" s="2" t="s">
        <v>26347</v>
      </c>
      <c r="B26347" s="2" t="str">
        <f>IFERROR(__xludf.DUMMYFUNCTION("GOOGLETRANSLATE(A26347, ""en"", ""mt"")"),"Meta ġie stabbilit it-Trattat ta 'Lisbona?")</f>
        <v>Meta ġie stabbilit it-Trattat ta 'Lisbona?</v>
      </c>
    </row>
    <row r="26348" ht="15.75" customHeight="1">
      <c r="A26348" s="2" t="s">
        <v>26348</v>
      </c>
      <c r="B26348" s="2" t="str">
        <f>IFERROR(__xludf.DUMMYFUNCTION("GOOGLETRANSLATE(A26348, ""en"", ""mt"")"),"Hemm ukoll bosta operaturi tal-merkanzija iżgħar u bosta ferroviji turistiċi li joperaw fuq linji li darba kienu partijiet ta 'sistema ta' l-istat. Linji Vittorjani jużaw prinċipalment il-kejl wiesa 'ta' 1,600 mm (5 ft 3 in). Madankollu, ir-rotot ta 'zokk"&amp;" bejn l-istati, kif ukoll numru ta' linji tal-fergħat fil-punent ta 'l-istat ġew konvertiti għal 1,435 mm (4 ft 8 1⁄2 in) gauge standard. Żewġ ferroviji turistiċi joperaw aktar minn 760 mm (2 ft 6 in) linji ta 'gauge dojoq, li huma l-fdalijiet ta' ħames l"&amp;"inji li qabel kienu proprjetà tal-gvern li kienu mibnija f'żoni muntanjużi.")</f>
        <v>Hemm ukoll bosta operaturi tal-merkanzija iżgħar u bosta ferroviji turistiċi li joperaw fuq linji li darba kienu partijiet ta 'sistema ta' l-istat. Linji Vittorjani jużaw prinċipalment il-kejl wiesa 'ta' 1,600 mm (5 ft 3 in). Madankollu, ir-rotot ta 'zokk bejn l-istati, kif ukoll numru ta' linji tal-fergħat fil-punent ta 'l-istat ġew konvertiti għal 1,435 mm (4 ft 8 1⁄2 in) gauge standard. Żewġ ferroviji turistiċi joperaw aktar minn 760 mm (2 ft 6 in) linji ta 'gauge dojoq, li huma l-fdalijiet ta' ħames linji li qabel kienu proprjetà tal-gvern li kienu mibnija f'żoni muntanjużi.</v>
      </c>
    </row>
    <row r="26349" ht="15.75" customHeight="1">
      <c r="A26349" s="2" t="s">
        <v>26349</v>
      </c>
      <c r="B26349" s="2" t="str">
        <f>IFERROR(__xludf.DUMMYFUNCTION("GOOGLETRANSLATE(A26349, ""en"", ""mt"")"),"X’irbaħ ir-rebħ tal-Università ta ’Newcastle fl-2000?")</f>
        <v>X’irbaħ ir-rebħ tal-Università ta ’Newcastle fl-2000?</v>
      </c>
    </row>
    <row r="26350" ht="15.75" customHeight="1">
      <c r="A26350" s="2" t="s">
        <v>26350</v>
      </c>
      <c r="B26350" s="2" t="str">
        <f>IFERROR(__xludf.DUMMYFUNCTION("GOOGLETRANSLATE(A26350, ""en"", ""mt"")"),"servizzi kliniċi li l-ispiżjara jistgħu jipprovdu għall-pazjenti tagħhom")</f>
        <v>servizzi kliniċi li l-ispiżjara jistgħu jipprovdu għall-pazjenti tagħhom</v>
      </c>
    </row>
    <row r="26351" ht="15.75" customHeight="1">
      <c r="A26351" s="2" t="s">
        <v>26351</v>
      </c>
      <c r="B26351" s="2" t="str">
        <f>IFERROR(__xludf.DUMMYFUNCTION("GOOGLETRANSLATE(A26351, ""en"", ""mt"")"),"identifikatur tal-konnessjoni aktar milli jindirizza l-informazzjoni u jiġu nnegozjati bejn il-punti finali sabiex dawn jiġu kkonsenjati fl-ordni u bl-iżball tal-verifika")</f>
        <v>identifikatur tal-konnessjoni aktar milli jindirizza l-informazzjoni u jiġu nnegozjati bejn il-punti finali sabiex dawn jiġu kkonsenjati fl-ordni u bl-iżball tal-verifika</v>
      </c>
    </row>
    <row r="26352" ht="15.75" customHeight="1">
      <c r="A26352" s="2" t="s">
        <v>26352</v>
      </c>
      <c r="B26352" s="2" t="str">
        <f>IFERROR(__xludf.DUMMYFUNCTION("GOOGLETRANSLATE(A26352, ""en"", ""mt"")"),"Ħaddiema b'ħiliet baxxi fil-pajjiżi foqra")</f>
        <v>Ħaddiema b'ħiliet baxxi fil-pajjiżi foqra</v>
      </c>
    </row>
    <row r="26353" ht="15.75" customHeight="1">
      <c r="A26353" s="2" t="s">
        <v>26353</v>
      </c>
      <c r="B26353" s="2" t="str">
        <f>IFERROR(__xludf.DUMMYFUNCTION("GOOGLETRANSLATE(A26353, ""en"", ""mt"")"),"klima tropikali sħuna u umda")</f>
        <v>klima tropikali sħuna u umda</v>
      </c>
    </row>
    <row r="26354" ht="15.75" customHeight="1">
      <c r="A26354" s="2" t="s">
        <v>26354</v>
      </c>
      <c r="B26354" s="2" t="str">
        <f>IFERROR(__xludf.DUMMYFUNCTION("GOOGLETRANSLATE(A26354, ""en"", ""mt"")"),"Il-prova u r-riabilitazzjoni ta 'Joan of Arc")</f>
        <v>Il-prova u r-riabilitazzjoni ta 'Joan of Arc</v>
      </c>
    </row>
    <row r="26355" ht="15.75" customHeight="1">
      <c r="A26355" s="2" t="s">
        <v>26355</v>
      </c>
      <c r="B26355" s="2" t="str">
        <f>IFERROR(__xludf.DUMMYFUNCTION("GOOGLETRANSLATE(A26355, ""en"", ""mt"")"),"Min kien Alfred i Brown?")</f>
        <v>Min kien Alfred i Brown?</v>
      </c>
    </row>
    <row r="26356" ht="15.75" customHeight="1">
      <c r="A26356" s="2" t="s">
        <v>26356</v>
      </c>
      <c r="B26356" s="2" t="str">
        <f>IFERROR(__xludf.DUMMYFUNCTION("GOOGLETRANSLATE(A26356, ""en"", ""mt"")"),"Karotenojd aħmar-oranġjo aħmar li jinstab fi kważi l-kloroplasti kollha")</f>
        <v>Karotenojd aħmar-oranġjo aħmar li jinstab fi kważi l-kloroplasti kollha</v>
      </c>
    </row>
    <row r="26357" ht="15.75" customHeight="1">
      <c r="A26357" s="2" t="s">
        <v>26357</v>
      </c>
      <c r="B26357" s="2" t="str">
        <f>IFERROR(__xludf.DUMMYFUNCTION("GOOGLETRANSLATE(A26357, ""en"", ""mt"")"),"X'inhu l-uniku episodju rilaxxat fuq VCD?")</f>
        <v>X'inhu l-uniku episodju rilaxxat fuq VCD?</v>
      </c>
    </row>
    <row r="26358" ht="15.75" customHeight="1">
      <c r="A26358" s="2" t="s">
        <v>26358</v>
      </c>
      <c r="B26358" s="2" t="str">
        <f>IFERROR(__xludf.DUMMYFUNCTION("GOOGLETRANSLATE(A26358, ""en"", ""mt"")"),"Is-santwarju ta ’min marru l-pellegrini fl-1016?")</f>
        <v>Is-santwarju ta ’min marru l-pellegrini fl-1016?</v>
      </c>
    </row>
    <row r="26359" ht="15.75" customHeight="1">
      <c r="A26359" s="2" t="s">
        <v>26359</v>
      </c>
      <c r="B26359" s="2" t="str">
        <f>IFERROR(__xludf.DUMMYFUNCTION("GOOGLETRANSLATE(A26359, ""en"", ""mt"")"),"seba 'stazzjonijiet tar-radju")</f>
        <v>seba 'stazzjonijiet tar-radju</v>
      </c>
    </row>
    <row r="26360" ht="15.75" customHeight="1">
      <c r="A26360" s="2" t="s">
        <v>26360</v>
      </c>
      <c r="B26360" s="2" t="str">
        <f>IFERROR(__xludf.DUMMYFUNCTION("GOOGLETRANSLATE(A26360, ""en"", ""mt"")"),"X’għamlet Tesla għal xogħol li ħallas żewġ dollari kuljum?")</f>
        <v>X’għamlet Tesla għal xogħol li ħallas żewġ dollari kuljum?</v>
      </c>
    </row>
    <row r="26361" ht="15.75" customHeight="1">
      <c r="A26361" s="2" t="s">
        <v>26361</v>
      </c>
      <c r="B26361" s="2" t="str">
        <f>IFERROR(__xludf.DUMMYFUNCTION("GOOGLETRANSLATE(A26361, ""en"", ""mt"")"),"Min jaħtar lill-anzjani?")</f>
        <v>Min jaħtar lill-anzjani?</v>
      </c>
    </row>
    <row r="26362" ht="15.75" customHeight="1">
      <c r="A26362" s="2" t="s">
        <v>26362</v>
      </c>
      <c r="B26362" s="2" t="str">
        <f>IFERROR(__xludf.DUMMYFUNCTION("GOOGLETRANSLATE(A26362, ""en"", ""mt"")"),"10 kontej")</f>
        <v>10 kontej</v>
      </c>
    </row>
    <row r="26363" ht="15.75" customHeight="1">
      <c r="A26363" s="2" t="s">
        <v>26363</v>
      </c>
      <c r="B26363" s="2" t="str">
        <f>IFERROR(__xludf.DUMMYFUNCTION("GOOGLETRANSLATE(A26363, ""en"", ""mt"")"),"tista 'tipproduċi kemm bajd kif ukoll sperma fl-istess ħin.")</f>
        <v>tista 'tipproduċi kemm bajd kif ukoll sperma fl-istess ħin.</v>
      </c>
    </row>
    <row r="26364" ht="15.75" customHeight="1">
      <c r="A26364" s="2" t="s">
        <v>26364</v>
      </c>
      <c r="B26364" s="2" t="str">
        <f>IFERROR(__xludf.DUMMYFUNCTION("GOOGLETRANSLATE(A26364, ""en"", ""mt"")"),"Alternattiva")</f>
        <v>Alternattiva</v>
      </c>
    </row>
    <row r="26365" ht="15.75" customHeight="1">
      <c r="A26365" s="2" t="s">
        <v>26365</v>
      </c>
      <c r="B26365" s="2" t="str">
        <f>IFERROR(__xludf.DUMMYFUNCTION("GOOGLETRANSLATE(A26365, ""en"", ""mt"")"),"Monasteru Kummum")</f>
        <v>Monasteru Kummum</v>
      </c>
    </row>
    <row r="26366" ht="15.75" customHeight="1">
      <c r="A26366" s="2" t="s">
        <v>26366</v>
      </c>
      <c r="B26366" s="2" t="str">
        <f>IFERROR(__xludf.DUMMYFUNCTION("GOOGLETRANSLATE(A26366, ""en"", ""mt"")"),"F’liema sena Alexander Dyce ħareġ il-kotba tiegħu lill-mużew?")</f>
        <v>F’liema sena Alexander Dyce ħareġ il-kotba tiegħu lill-mużew?</v>
      </c>
    </row>
    <row r="26367" ht="15.75" customHeight="1">
      <c r="A26367" s="2" t="s">
        <v>26367</v>
      </c>
      <c r="B26367" s="2" t="str">
        <f>IFERROR(__xludf.DUMMYFUNCTION("GOOGLETRANSLATE(A26367, ""en"", ""mt"")"),"Min għelbu l-Panthers biex isiru l-Champs NFC?")</f>
        <v>Min għelbu l-Panthers biex isiru l-Champs NFC?</v>
      </c>
    </row>
    <row r="26368" ht="15.75" customHeight="1">
      <c r="A26368" s="2" t="s">
        <v>26368</v>
      </c>
      <c r="B26368" s="2" t="str">
        <f>IFERROR(__xludf.DUMMYFUNCTION("GOOGLETRANSLATE(A26368, ""en"", ""mt"")"),"madwar 1.7 miljun vittma")</f>
        <v>madwar 1.7 miljun vittma</v>
      </c>
    </row>
    <row r="26369" ht="15.75" customHeight="1">
      <c r="A26369" s="2" t="s">
        <v>26369</v>
      </c>
      <c r="B26369" s="2" t="str">
        <f>IFERROR(__xludf.DUMMYFUNCTION("GOOGLETRANSLATE(A26369, ""en"", ""mt"")"),"Għal xiex inħatar il-laqam lit-tim Samuel Phillips?")</f>
        <v>Għal xiex inħatar il-laqam lit-tim Samuel Phillips?</v>
      </c>
    </row>
    <row r="26370" ht="15.75" customHeight="1">
      <c r="A26370" s="2" t="s">
        <v>26370</v>
      </c>
      <c r="B26370" s="2" t="str">
        <f>IFERROR(__xludf.DUMMYFUNCTION("GOOGLETRANSLATE(A26370, ""en"", ""mt"")"),"Fil-ħafna noti tiegħu")</f>
        <v>Fil-ħafna noti tiegħu</v>
      </c>
    </row>
    <row r="26371" ht="15.75" customHeight="1">
      <c r="A26371" s="2" t="s">
        <v>26371</v>
      </c>
      <c r="B26371" s="2" t="str">
        <f>IFERROR(__xludf.DUMMYFUNCTION("GOOGLETRANSLATE(A26371, ""en"", ""mt"")"),"Duran Duran")</f>
        <v>Duran Duran</v>
      </c>
    </row>
    <row r="26372" ht="15.75" customHeight="1">
      <c r="A26372" s="2" t="s">
        <v>26372</v>
      </c>
      <c r="B26372" s="2" t="str">
        <f>IFERROR(__xludf.DUMMYFUNCTION("GOOGLETRANSLATE(A26372, ""en"", ""mt"")"),"Impatti tal-mikrometeoriti")</f>
        <v>Impatti tal-mikrometeoriti</v>
      </c>
    </row>
    <row r="26373" ht="15.75" customHeight="1">
      <c r="A26373" s="2" t="s">
        <v>26373</v>
      </c>
      <c r="B26373" s="2" t="str">
        <f>IFERROR(__xludf.DUMMYFUNCTION("GOOGLETRANSLATE(A26373, ""en"", ""mt"")"),"Lee")</f>
        <v>Lee</v>
      </c>
    </row>
    <row r="26374" ht="15.75" customHeight="1">
      <c r="A26374" s="2" t="s">
        <v>26374</v>
      </c>
      <c r="B26374" s="2" t="str">
        <f>IFERROR(__xludf.DUMMYFUNCTION("GOOGLETRANSLATE(A26374, ""en"", ""mt"")"),"Qoton għażil")</f>
        <v>Qoton għażil</v>
      </c>
    </row>
    <row r="26375" ht="15.75" customHeight="1">
      <c r="A26375" s="2" t="s">
        <v>26375</v>
      </c>
      <c r="B26375" s="2" t="str">
        <f>IFERROR(__xludf.DUMMYFUNCTION("GOOGLETRANSLATE(A26375, ""en"", ""mt"")"),"Il-ġustifikazzjoni tiddependi pjuttost biss fuq fidi li tkun attiva fil-karità u xogħlijiet tajbin")</f>
        <v>Il-ġustifikazzjoni tiddependi pjuttost biss fuq fidi li tkun attiva fil-karità u xogħlijiet tajbin</v>
      </c>
    </row>
    <row r="26376" ht="15.75" customHeight="1">
      <c r="A26376" s="2" t="s">
        <v>26376</v>
      </c>
      <c r="B26376" s="2" t="str">
        <f>IFERROR(__xludf.DUMMYFUNCTION("GOOGLETRANSLATE(A26376, ""en"", ""mt"")"),"L-Interi Gaussjani Z [i]")</f>
        <v>L-Interi Gaussjani Z [i]</v>
      </c>
    </row>
    <row r="26377" ht="15.75" customHeight="1">
      <c r="A26377" s="2" t="s">
        <v>26377</v>
      </c>
      <c r="B26377" s="2" t="str">
        <f>IFERROR(__xludf.DUMMYFUNCTION("GOOGLETRANSLATE(A26377, ""en"", ""mt"")"),"Sakemm l-Isqof qara l-appuntamenti fis-sessjoni tal-Konferenza Annwali,")</f>
        <v>Sakemm l-Isqof qara l-appuntamenti fis-sessjoni tal-Konferenza Annwali,</v>
      </c>
    </row>
    <row r="26378" ht="15.75" customHeight="1">
      <c r="A26378" s="2" t="s">
        <v>26378</v>
      </c>
      <c r="B26378" s="2" t="str">
        <f>IFERROR(__xludf.DUMMYFUNCTION("GOOGLETRANSLATE(A26378, ""en"", ""mt"")"),"Liema xogħol preċedenti esperimenti Lavoisier jiskreditaw?")</f>
        <v>Liema xogħol preċedenti esperimenti Lavoisier jiskreditaw?</v>
      </c>
    </row>
    <row r="26379" ht="15.75" customHeight="1">
      <c r="A26379" s="2" t="s">
        <v>26379</v>
      </c>
      <c r="B26379" s="2" t="str">
        <f>IFERROR(__xludf.DUMMYFUNCTION("GOOGLETRANSLATE(A26379, ""en"", ""mt"")"),"Kif jista 'xi ħadd jiġi rikonoxxut bħala qaddej tal-knisja lokali?")</f>
        <v>Kif jista 'xi ħadd jiġi rikonoxxut bħala qaddej tal-knisja lokali?</v>
      </c>
    </row>
    <row r="26380" ht="15.75" customHeight="1">
      <c r="A26380" s="2" t="s">
        <v>26380</v>
      </c>
      <c r="B26380" s="2" t="str">
        <f>IFERROR(__xludf.DUMMYFUNCTION("GOOGLETRANSLATE(A26380, ""en"", ""mt"")"),"Kaxxa tal-Pulizija Brittanika Blu")</f>
        <v>Kaxxa tal-Pulizija Brittanika Blu</v>
      </c>
    </row>
    <row r="26381" ht="15.75" customHeight="1">
      <c r="A26381" s="2" t="s">
        <v>26381</v>
      </c>
      <c r="B26381" s="2" t="str">
        <f>IFERROR(__xludf.DUMMYFUNCTION("GOOGLETRANSLATE(A26381, ""en"", ""mt"")"),"magna tal-ħin")</f>
        <v>magna tal-ħin</v>
      </c>
    </row>
    <row r="26382" ht="15.75" customHeight="1">
      <c r="A26382" s="2" t="s">
        <v>26382</v>
      </c>
      <c r="B26382" s="2" t="str">
        <f>IFERROR(__xludf.DUMMYFUNCTION("GOOGLETRANSLATE(A26382, ""en"", ""mt"")"),"Għal liema tim lagħab Justin Tucker?")</f>
        <v>Għal liema tim lagħab Justin Tucker?</v>
      </c>
    </row>
    <row r="26383" ht="15.75" customHeight="1">
      <c r="A26383" s="2" t="s">
        <v>26383</v>
      </c>
      <c r="B26383" s="2" t="str">
        <f>IFERROR(__xludf.DUMMYFUNCTION("GOOGLETRANSLATE(A26383, ""en"", ""mt"")"),"L-aħħar tas-snin 1960")</f>
        <v>L-aħħar tas-snin 1960</v>
      </c>
    </row>
    <row r="26384" ht="15.75" customHeight="1">
      <c r="A26384" s="2" t="s">
        <v>26384</v>
      </c>
      <c r="B26384" s="2" t="str">
        <f>IFERROR(__xludf.DUMMYFUNCTION("GOOGLETRANSLATE(A26384, ""en"", ""mt"")"),"Servizzi tal-merkanzija")</f>
        <v>Servizzi tal-merkanzija</v>
      </c>
    </row>
    <row r="26385" ht="15.75" customHeight="1">
      <c r="A26385" s="2" t="s">
        <v>26385</v>
      </c>
      <c r="B26385" s="2" t="str">
        <f>IFERROR(__xludf.DUMMYFUNCTION("GOOGLETRANSLATE(A26385, ""en"", ""mt"")"),"X'kienu l-ismijiet tas-sħab il-ġodda ta 'Tesla?")</f>
        <v>X'kienu l-ismijiet tas-sħab il-ġodda ta 'Tesla?</v>
      </c>
    </row>
    <row r="26386" ht="15.75" customHeight="1">
      <c r="A26386" s="2" t="s">
        <v>26386</v>
      </c>
      <c r="B26386" s="2" t="str">
        <f>IFERROR(__xludf.DUMMYFUNCTION("GOOGLETRANSLATE(A26386, ""en"", ""mt"")"),"pożittiv")</f>
        <v>pożittiv</v>
      </c>
    </row>
    <row r="26387" ht="15.75" customHeight="1">
      <c r="A26387" s="2" t="s">
        <v>26387</v>
      </c>
      <c r="B26387" s="2" t="str">
        <f>IFERROR(__xludf.DUMMYFUNCTION("GOOGLETRANSLATE(A26387, ""en"", ""mt"")"),"Monasteru Tibetan tal-Monasteru tal-Kumm")</f>
        <v>Monasteru Tibetan tal-Monasteru tal-Kumm</v>
      </c>
    </row>
    <row r="26388" ht="15.75" customHeight="1">
      <c r="A26388" s="2" t="s">
        <v>26388</v>
      </c>
      <c r="B26388" s="2" t="str">
        <f>IFERROR(__xludf.DUMMYFUNCTION("GOOGLETRANSLATE(A26388, ""en"", ""mt"")"),"Bil-massa, l-ossiġnu huwa t-tielet l-iktar element abbundanti fl-univers, wara l-idroġenu u l-elju.")</f>
        <v>Bil-massa, l-ossiġnu huwa t-tielet l-iktar element abbundanti fl-univers, wara l-idroġenu u l-elju.</v>
      </c>
    </row>
    <row r="26389" ht="15.75" customHeight="1">
      <c r="A26389" s="2" t="s">
        <v>26389</v>
      </c>
      <c r="B26389" s="2" t="str">
        <f>IFERROR(__xludf.DUMMYFUNCTION("GOOGLETRANSLATE(A26389, ""en"", ""mt"")"),"L-Istati Uniti bikrija esprimew l-oppożizzjoni tagħha għall-imperjalizmu, għall-inqas f'forma distinta mid-destin manifest tagħha stess, permezz ta 'politiki bħad-duttrina Monroe. Madankollu, li tibda fl-aħħar tas-seklu 19 u kmieni, politiki bħall-interve"&amp;"ntiżmu ta 'Theodore Roosevelt fl-Amerika Ċentrali u l-missjoni ta' Woodrow Wilson li ""jagħmlu d-dinja sikura għad-demokrazija"" biddlu dan kollu. Ħafna drabi kienu appoġġjati mill-forza militari, iżda aktar spiss kienu affettwati minn wara l-kwinti. Dan "&amp;"huwa konsistenti mal-kunċett ġenerali ta 'eġemonija u imperium ta' imperi storiċi. Fl-1898, l-Amerikani li opponew l-imperjalizmu ħolqu l-kampjonat anti-imperialist biex jopponu l-annessjoni tal-Istati Uniti tal-Filippini u Kuba. Sena wara, faqqgħet gwerr"&amp;"a fil-Filippini li kkawżat negozju, xogħol u mexxejja tal-gvern fl-Istati Uniti biex jikkundannaw l-okkupazzjoni tal-Amerika fil-Filippini billi ddenunzjawhom ukoll talli kkawżaw l-imwiet ta 'ħafna Filippini. Il-politika barranija Amerikana ġiet iddenunzj"&amp;"ata bħala ""racket"" minn Smedley Butler, ġenerali Amerikan. Huwa qal, ""Meta nħares lura fuqu, jista 'jkolli tajt lil Al Capone ftit ħjiel. L-aħjar li seta' jagħmel kien li jopera r-racket tiegħu fi tliet distretti. Jiena operajt fuq tliet kontinenti"".")</f>
        <v>L-Istati Uniti bikrija esprimew l-oppożizzjoni tagħha għall-imperjalizmu, għall-inqas f'forma distinta mid-destin manifest tagħha stess, permezz ta 'politiki bħad-duttrina Monroe. Madankollu, li tibda fl-aħħar tas-seklu 19 u kmieni, politiki bħall-interventiżmu ta 'Theodore Roosevelt fl-Amerika Ċentrali u l-missjoni ta' Woodrow Wilson li "jagħmlu d-dinja sikura għad-demokrazija" biddlu dan kollu. Ħafna drabi kienu appoġġjati mill-forza militari, iżda aktar spiss kienu affettwati minn wara l-kwinti. Dan huwa konsistenti mal-kunċett ġenerali ta 'eġemonija u imperium ta' imperi storiċi. Fl-1898, l-Amerikani li opponew l-imperjalizmu ħolqu l-kampjonat anti-imperialist biex jopponu l-annessjoni tal-Istati Uniti tal-Filippini u Kuba. Sena wara, faqqgħet gwerra fil-Filippini li kkawżat negozju, xogħol u mexxejja tal-gvern fl-Istati Uniti biex jikkundannaw l-okkupazzjoni tal-Amerika fil-Filippini billi ddenunzjawhom ukoll talli kkawżaw l-imwiet ta 'ħafna Filippini. Il-politika barranija Amerikana ġiet iddenunzjata bħala "racket" minn Smedley Butler, ġenerali Amerikan. Huwa qal, "Meta nħares lura fuqu, jista 'jkolli tajt lil Al Capone ftit ħjiel. L-aħjar li seta' jagħmel kien li jopera r-racket tiegħu fi tliet distretti. Jiena operajt fuq tliet kontinenti".</v>
      </c>
    </row>
    <row r="26390" ht="15.75" customHeight="1">
      <c r="A26390" s="2" t="s">
        <v>26390</v>
      </c>
      <c r="B26390" s="2" t="str">
        <f>IFERROR(__xludf.DUMMYFUNCTION("GOOGLETRANSLATE(A26390, ""en"", ""mt"")"),"80 fil-mija")</f>
        <v>80 fil-mija</v>
      </c>
    </row>
    <row r="26391" ht="15.75" customHeight="1">
      <c r="A26391" s="2" t="s">
        <v>26391</v>
      </c>
      <c r="B26391" s="2" t="str">
        <f>IFERROR(__xludf.DUMMYFUNCTION("GOOGLETRANSLATE(A26391, ""en"", ""mt"")"),"11.5 pulzieri")</f>
        <v>11.5 pulzieri</v>
      </c>
    </row>
    <row r="26392" ht="15.75" customHeight="1">
      <c r="A26392" s="2" t="s">
        <v>26392</v>
      </c>
      <c r="B26392" s="2" t="str">
        <f>IFERROR(__xludf.DUMMYFUNCTION("GOOGLETRANSLATE(A26392, ""en"", ""mt"")"),"Fl-2004, il-V &amp; A flimkien mal-Istitut Irjali tal-Periti Brittaniċi fetaħ l-ewwel gallerija permanenti fir-Renju Unit li jkopri l-istorja tal-arkitettura b'displejs bl-użu ta 'mudelli, ritratti, elementi minn bini u tpinġijiet oriġinali. Bil-ftuħ tal-Gall"&amp;"erija l-Ġdida, il-kollezzjoni ta 'Dpinġijiet u Arkivji RIBA ġiet trasferita lill-mużew, li tgħaqqad il-kollezzjoni diġà estensiva miżmuma mill-V &amp; A. B'aktar minn 600,000 tpinġija, aktar minn 750,000 dokument u parafernalia, u aktar minn 700,000 ritratt m"&amp;"inn madwar id-dinja, flimkien jiffurmaw ir-riżorsa arkitettonika l-iktar komprensiva tad-dinja.")</f>
        <v>Fl-2004, il-V &amp; A flimkien mal-Istitut Irjali tal-Periti Brittaniċi fetaħ l-ewwel gallerija permanenti fir-Renju Unit li jkopri l-istorja tal-arkitettura b'displejs bl-użu ta 'mudelli, ritratti, elementi minn bini u tpinġijiet oriġinali. Bil-ftuħ tal-Gallerija l-Ġdida, il-kollezzjoni ta 'Dpinġijiet u Arkivji RIBA ġiet trasferita lill-mużew, li tgħaqqad il-kollezzjoni diġà estensiva miżmuma mill-V &amp; A. B'aktar minn 600,000 tpinġija, aktar minn 750,000 dokument u parafernalia, u aktar minn 700,000 ritratt minn madwar id-dinja, flimkien jiffurmaw ir-riżorsa arkitettonika l-iktar komprensiva tad-dinja.</v>
      </c>
    </row>
    <row r="26393" ht="15.75" customHeight="1">
      <c r="A26393" s="2" t="s">
        <v>26393</v>
      </c>
      <c r="B26393" s="2" t="str">
        <f>IFERROR(__xludf.DUMMYFUNCTION("GOOGLETRANSLATE(A26393, ""en"", ""mt"")"),"Att dwar il-Konservazzjoni tal-Enerġija ta 'Emerġenza ta' Emerġenza")</f>
        <v>Att dwar il-Konservazzjoni tal-Enerġija ta 'Emerġenza ta' Emerġenza</v>
      </c>
    </row>
    <row r="26394" ht="15.75" customHeight="1">
      <c r="A26394" s="2" t="s">
        <v>26394</v>
      </c>
      <c r="B26394" s="2" t="str">
        <f>IFERROR(__xludf.DUMMYFUNCTION("GOOGLETRANSLATE(A26394, ""en"", ""mt"")"),"X'jista 'x-xiri tal-Programm ta' Assistenza Nutrizzjonali Supplimentari?")</f>
        <v>X'jista 'x-xiri tal-Programm ta' Assistenza Nutrizzjonali Supplimentari?</v>
      </c>
    </row>
    <row r="26395" ht="15.75" customHeight="1">
      <c r="A26395" s="2" t="s">
        <v>26395</v>
      </c>
      <c r="B26395" s="2" t="str">
        <f>IFERROR(__xludf.DUMMYFUNCTION("GOOGLETRANSLATE(A26395, ""en"", ""mt"")"),"Mutur ta 'induzzjoni li dam fuq kurrent alternattiv")</f>
        <v>Mutur ta 'induzzjoni li dam fuq kurrent alternattiv</v>
      </c>
    </row>
    <row r="26396" ht="15.75" customHeight="1">
      <c r="A26396" s="2" t="s">
        <v>26396</v>
      </c>
      <c r="B26396" s="2" t="str">
        <f>IFERROR(__xludf.DUMMYFUNCTION("GOOGLETRANSLATE(A26396, ""en"", ""mt"")"),"Fejn għadu veru x-xejra ta 'ħajja ta' dħul ogħla?")</f>
        <v>Fejn għadu veru x-xejra ta 'ħajja ta' dħul ogħla?</v>
      </c>
    </row>
    <row r="26397" ht="15.75" customHeight="1">
      <c r="A26397" s="2" t="s">
        <v>26397</v>
      </c>
      <c r="B26397" s="2" t="str">
        <f>IFERROR(__xludf.DUMMYFUNCTION("GOOGLETRANSLATE(A26397, ""en"", ""mt"")"),"Min ivvinta magna tal-fwar bi pressjoni għolja madwar l-1800?")</f>
        <v>Min ivvinta magna tal-fwar bi pressjoni għolja madwar l-1800?</v>
      </c>
    </row>
    <row r="26398" ht="15.75" customHeight="1">
      <c r="A26398" s="2" t="s">
        <v>26398</v>
      </c>
      <c r="B26398" s="2" t="str">
        <f>IFERROR(__xludf.DUMMYFUNCTION("GOOGLETRANSLATE(A26398, ""en"", ""mt"")"),"Kemm kellha total ta 'indirizzi ta' Charles Johnson fis-Super Bowl 50?")</f>
        <v>Kemm kellha total ta 'indirizzi ta' Charles Johnson fis-Super Bowl 50?</v>
      </c>
    </row>
    <row r="26399" ht="15.75" customHeight="1">
      <c r="A26399" s="2" t="s">
        <v>26399</v>
      </c>
      <c r="B26399" s="2" t="str">
        <f>IFERROR(__xludf.DUMMYFUNCTION("GOOGLETRANSLATE(A26399, ""en"", ""mt"")"),"Min kien id-difettur tad-dinastija Jin li ttradixxa l-post tal-armata Jin?")</f>
        <v>Min kien id-difettur tad-dinastija Jin li ttradixxa l-post tal-armata Jin?</v>
      </c>
    </row>
    <row r="26400" ht="15.75" customHeight="1">
      <c r="A26400" s="2" t="s">
        <v>26400</v>
      </c>
      <c r="B26400" s="2" t="str">
        <f>IFERROR(__xludf.DUMMYFUNCTION("GOOGLETRANSLATE(A26400, ""en"", ""mt"")"),"Tomingaj")</f>
        <v>Tomingaj</v>
      </c>
    </row>
    <row r="26401" ht="15.75" customHeight="1">
      <c r="A26401" s="2" t="s">
        <v>26401</v>
      </c>
      <c r="B26401" s="2" t="str">
        <f>IFERROR(__xludf.DUMMYFUNCTION("GOOGLETRANSLATE(A26401, ""en"", ""mt"")"),"Il-ġabra tat-tpinġija tar-RIBA ta 'dak li l-perit Taljan huwa meqjus l-akbar fid-dinja?")</f>
        <v>Il-ġabra tat-tpinġija tar-RIBA ta 'dak li l-perit Taljan huwa meqjus l-akbar fid-dinja?</v>
      </c>
    </row>
    <row r="26402" ht="15.75" customHeight="1">
      <c r="A26402" s="2" t="s">
        <v>26402</v>
      </c>
      <c r="B26402" s="2" t="str">
        <f>IFERROR(__xludf.DUMMYFUNCTION("GOOGLETRANSLATE(A26402, ""en"", ""mt"")"),"Fort Caroline")</f>
        <v>Fort Caroline</v>
      </c>
    </row>
    <row r="26403" ht="15.75" customHeight="1">
      <c r="A26403" s="2" t="s">
        <v>26403</v>
      </c>
      <c r="B26403" s="2" t="str">
        <f>IFERROR(__xludf.DUMMYFUNCTION("GOOGLETRANSLATE(A26403, ""en"", ""mt"")"),"Liema sena Newcastle żviluppa l-ewwel strateġija taċ-ċikliżmu tagħha?")</f>
        <v>Liema sena Newcastle żviluppa l-ewwel strateġija taċ-ċikliżmu tagħha?</v>
      </c>
    </row>
    <row r="26404" ht="15.75" customHeight="1">
      <c r="A26404" s="2" t="s">
        <v>26404</v>
      </c>
      <c r="B26404" s="2" t="str">
        <f>IFERROR(__xludf.DUMMYFUNCTION("GOOGLETRANSLATE(A26404, ""en"", ""mt"")"),"Liema kampanja bdiet ir-reġim komunista wara d-DWWII?")</f>
        <v>Liema kampanja bdiet ir-reġim komunista wara d-DWWII?</v>
      </c>
    </row>
    <row r="26405" ht="15.75" customHeight="1">
      <c r="A26405" s="2" t="s">
        <v>26405</v>
      </c>
      <c r="B26405" s="2" t="str">
        <f>IFERROR(__xludf.DUMMYFUNCTION("GOOGLETRANSLATE(A26405, ""en"", ""mt"")"),"Granulysin (protease)")</f>
        <v>Granulysin (protease)</v>
      </c>
    </row>
    <row r="26406" ht="15.75" customHeight="1">
      <c r="A26406" s="2" t="s">
        <v>26406</v>
      </c>
      <c r="B26406" s="2" t="str">
        <f>IFERROR(__xludf.DUMMYFUNCTION("GOOGLETRANSLATE(A26406, ""en"", ""mt"")"),"Imperjali")</f>
        <v>Imperjali</v>
      </c>
    </row>
    <row r="26407" ht="15.75" customHeight="1">
      <c r="A26407" s="2" t="s">
        <v>26407</v>
      </c>
      <c r="B26407" s="2" t="str">
        <f>IFERROR(__xludf.DUMMYFUNCTION("GOOGLETRANSLATE(A26407, ""en"", ""mt"")"),"X'kien l-iskop tat-Torok f'moħħu ta 'Luther?")</f>
        <v>X'kien l-iskop tat-Torok f'moħħu ta 'Luther?</v>
      </c>
    </row>
    <row r="26408" ht="15.75" customHeight="1">
      <c r="A26408" s="2" t="s">
        <v>26408</v>
      </c>
      <c r="B26408" s="2" t="str">
        <f>IFERROR(__xludf.DUMMYFUNCTION("GOOGLETRANSLATE(A26408, ""en"", ""mt"")"),"""Kapitolu Soċjali""")</f>
        <v>"Kapitolu Soċjali"</v>
      </c>
    </row>
    <row r="26409" ht="15.75" customHeight="1">
      <c r="A26409" s="2" t="s">
        <v>26409</v>
      </c>
      <c r="B26409" s="2" t="str">
        <f>IFERROR(__xludf.DUMMYFUNCTION("GOOGLETRANSLATE(A26409, ""en"", ""mt"")"),"Meta ġie żviluppat l-ossiġnu likwidu għal użu kummerċjali?")</f>
        <v>Meta ġie żviluppat l-ossiġnu likwidu għal użu kummerċjali?</v>
      </c>
    </row>
    <row r="26410" ht="15.75" customHeight="1">
      <c r="A26410" s="2" t="s">
        <v>26410</v>
      </c>
      <c r="B26410" s="2" t="str">
        <f>IFERROR(__xludf.DUMMYFUNCTION("GOOGLETRANSLATE(A26410, ""en"", ""mt"")"),"il-kulur tiegħu")</f>
        <v>il-kulur tiegħu</v>
      </c>
    </row>
    <row r="26411" ht="15.75" customHeight="1">
      <c r="A26411" s="2" t="s">
        <v>26411</v>
      </c>
      <c r="B26411" s="2" t="str">
        <f>IFERROR(__xludf.DUMMYFUNCTION("GOOGLETRANSLATE(A26411, ""en"", ""mt"")"),"Qawwa ta 'frekwenza għolja ta' vultaġġ għoli")</f>
        <v>Qawwa ta 'frekwenza għolja ta' vultaġġ għoli</v>
      </c>
    </row>
    <row r="26412" ht="15.75" customHeight="1">
      <c r="A26412" s="2" t="s">
        <v>26412</v>
      </c>
      <c r="B26412" s="2" t="str">
        <f>IFERROR(__xludf.DUMMYFUNCTION("GOOGLETRANSLATE(A26412, ""en"", ""mt"")"),"Gerhard")</f>
        <v>Gerhard</v>
      </c>
    </row>
    <row r="26413" ht="15.75" customHeight="1">
      <c r="A26413" s="2" t="s">
        <v>26413</v>
      </c>
      <c r="B26413" s="2" t="str">
        <f>IFERROR(__xludf.DUMMYFUNCTION("GOOGLETRANSLATE(A26413, ""en"", ""mt"")"),"X'kienu l-abbiltajiet speċjali ta 'omm Tesla?")</f>
        <v>X'kienu l-abbiltajiet speċjali ta 'omm Tesla?</v>
      </c>
    </row>
    <row r="26414" ht="15.75" customHeight="1">
      <c r="A26414" s="2" t="s">
        <v>26414</v>
      </c>
      <c r="B26414" s="2" t="str">
        <f>IFERROR(__xludf.DUMMYFUNCTION("GOOGLETRANSLATE(A26414, ""en"", ""mt"")"),"Kont epidemjoloġiku")</f>
        <v>Kont epidemjoloġiku</v>
      </c>
    </row>
    <row r="26415" ht="15.75" customHeight="1">
      <c r="A26415" s="2" t="s">
        <v>26415</v>
      </c>
      <c r="B26415" s="2" t="str">
        <f>IFERROR(__xludf.DUMMYFUNCTION("GOOGLETRANSLATE(A26415, ""en"", ""mt"")"),"Għaliex il-5 President tal-Università ddeċieda li jeħles mill-programm tal-futbol?")</f>
        <v>Għaliex il-5 President tal-Università ddeċieda li jeħles mill-programm tal-futbol?</v>
      </c>
    </row>
    <row r="26416" ht="15.75" customHeight="1">
      <c r="A26416" s="2" t="s">
        <v>26416</v>
      </c>
      <c r="B26416" s="2" t="str">
        <f>IFERROR(__xludf.DUMMYFUNCTION("GOOGLETRANSLATE(A26416, ""en"", ""mt"")"),"Missjoni Impossibli,")</f>
        <v>Missjoni Impossibli,</v>
      </c>
    </row>
    <row r="26417" ht="15.75" customHeight="1">
      <c r="A26417" s="2" t="s">
        <v>26417</v>
      </c>
      <c r="B26417" s="2" t="str">
        <f>IFERROR(__xludf.DUMMYFUNCTION("GOOGLETRANSLATE(A26417, ""en"", ""mt"")"),"X'inhi l-itwal xmara fil-Ġermanja?")</f>
        <v>X'inhi l-itwal xmara fil-Ġermanja?</v>
      </c>
    </row>
    <row r="26418" ht="15.75" customHeight="1">
      <c r="A26418" s="2" t="s">
        <v>26418</v>
      </c>
      <c r="B26418" s="2" t="str">
        <f>IFERROR(__xludf.DUMMYFUNCTION("GOOGLETRANSLATE(A26418, ""en"", ""mt"")"),"X'kienet imwettqa fuq missjonijiet lunari estiżi?")</f>
        <v>X'kienet imwettqa fuq missjonijiet lunari estiżi?</v>
      </c>
    </row>
    <row r="26419" ht="15.75" customHeight="1">
      <c r="A26419" s="2" t="s">
        <v>26419</v>
      </c>
      <c r="B26419" s="2" t="str">
        <f>IFERROR(__xludf.DUMMYFUNCTION("GOOGLETRANSLATE(A26419, ""en"", ""mt"")"),"Liema sena laqat il-maltempata ta 'Richard?")</f>
        <v>Liema sena laqat il-maltempata ta 'Richard?</v>
      </c>
    </row>
    <row r="26420" ht="15.75" customHeight="1">
      <c r="A26420" s="2" t="s">
        <v>26420</v>
      </c>
      <c r="B26420" s="2" t="str">
        <f>IFERROR(__xludf.DUMMYFUNCTION("GOOGLETRANSLATE(A26420, ""en"", ""mt"")"),"4,686")</f>
        <v>4,686</v>
      </c>
    </row>
    <row r="26421" ht="15.75" customHeight="1">
      <c r="A26421" s="2" t="s">
        <v>26421</v>
      </c>
      <c r="B26421" s="2" t="str">
        <f>IFERROR(__xludf.DUMMYFUNCTION("GOOGLETRANSLATE(A26421, ""en"", ""mt"")"),"Bejn 1000 u 1900")</f>
        <v>Bejn 1000 u 1900</v>
      </c>
    </row>
    <row r="26422" ht="15.75" customHeight="1">
      <c r="A26422" s="2" t="s">
        <v>26422</v>
      </c>
      <c r="B26422" s="2" t="str">
        <f>IFERROR(__xludf.DUMMYFUNCTION("GOOGLETRANSLATE(A26422, ""en"", ""mt"")"),"Liema porzjon tad-djar f'Jacksonville għandhom persuna waħda biss?")</f>
        <v>Liema porzjon tad-djar f'Jacksonville għandhom persuna waħda biss?</v>
      </c>
    </row>
    <row r="26423" ht="15.75" customHeight="1">
      <c r="A26423" s="2" t="s">
        <v>26423</v>
      </c>
      <c r="B26423" s="2" t="str">
        <f>IFERROR(__xludf.DUMMYFUNCTION("GOOGLETRANSLATE(A26423, ""en"", ""mt"")"),"Il-pesta kienet preżenti x'imkien fl-Ewropa f'kull sena bejn l-1346 u l-1671.")</f>
        <v>Il-pesta kienet preżenti x'imkien fl-Ewropa f'kull sena bejn l-1346 u l-1671.</v>
      </c>
    </row>
    <row r="26424" ht="15.75" customHeight="1">
      <c r="A26424" s="2" t="s">
        <v>26424</v>
      </c>
      <c r="B26424" s="2" t="str">
        <f>IFERROR(__xludf.DUMMYFUNCTION("GOOGLETRANSLATE(A26424, ""en"", ""mt"")"),"Ma naħsibx lili nnifsi obbligat li nobdi")</f>
        <v>Ma naħsibx lili nnifsi obbligat li nobdi</v>
      </c>
    </row>
    <row r="26425" ht="15.75" customHeight="1">
      <c r="A26425" s="2" t="s">
        <v>26425</v>
      </c>
      <c r="B26425" s="2" t="str">
        <f>IFERROR(__xludf.DUMMYFUNCTION("GOOGLETRANSLATE(A26425, ""en"", ""mt"")"),"Semmi tip ta 'trakkijiet kompatti Toyota?")</f>
        <v>Semmi tip ta 'trakkijiet kompatti Toyota?</v>
      </c>
    </row>
    <row r="26426" ht="15.75" customHeight="1">
      <c r="A26426" s="2" t="s">
        <v>26426</v>
      </c>
      <c r="B26426" s="2" t="str">
        <f>IFERROR(__xludf.DUMMYFUNCTION("GOOGLETRANSLATE(A26426, ""en"", ""mt"")"),"Il-kastig korporali uffiċjali, ħafna drabi mill-bott, jibqa 'komuni fl-iskejjel f'xi pajjiżi Asjatiċi, Afrikani u Karibew. Għal dettalji tal-pajjiżi individwali ara l-kastig korporali tal-iskola.")</f>
        <v>Il-kastig korporali uffiċjali, ħafna drabi mill-bott, jibqa 'komuni fl-iskejjel f'xi pajjiżi Asjatiċi, Afrikani u Karibew. Għal dettalji tal-pajjiżi individwali ara l-kastig korporali tal-iskola.</v>
      </c>
    </row>
    <row r="26427" ht="15.75" customHeight="1">
      <c r="A26427" s="2" t="s">
        <v>26427</v>
      </c>
      <c r="B26427" s="2" t="str">
        <f>IFERROR(__xludf.DUMMYFUNCTION("GOOGLETRANSLATE(A26427, ""en"", ""mt"")"),"Filwaqt li ħafna djar fil-viċinat imorru lura għas-snin tletin jew qabel, il-viċinat huwa wkoll dar għal diversi żviluppi ta 'akkomodazzjoni pubblika mibnija bejn is-snin 1960 u 1990 mill-Awtorità tad-Djar ta' Fresno. Id-Dipartiment tad-Djar u l-Iżvilupp "&amp;"Urban tal-Istati Uniti bena wkoll suddiviżjonijiet żgħar ta 'djar ta' familja waħda fiż-żona għax-xiri minn familji li jaħdmu bi dħul baxx. Kien hemm bosta tentattivi biex terġa 'titqajjem il-viċinat, inkluż il-kostruzzjoni ta' ċentru tax-xiri modern fil-"&amp;"kantuniera tat-toroq ta 'Fresno u B, attentat abort biex jibnu djar ta' lussu u korsa tal-golf fit-tarf tal-punent tal-viċinat, u xi sezzjoni ġdida 8 appartamenti nbnew tul il-knisja fil-punent ta 'Elm St. Cargill Meat Solutions u Foster Farms it-tnejn għ"&amp;"andhom faċilitajiet kbar ta' pproċessar fil-viċinat, u l-intiena minn dawn (u faċilitajiet industrijali żgħar oħra) ilha residenti fiż-żona. L-Ajruport Eżekuttiv ta 'Fresno Chandler jinsab ukoll fuq in-naħa tal-punent. Minħabba l-pożizzjoni tagħha fit-tar"&amp;"f tal-belt u s-snin ta 'negliġenza mill-iżviluppaturi, mhix viċinat veru ta' ""belt ta 'ġewwa"", u hemm ħafna lottijiet battala, għelieqi tal-frawli u dwieli fil-viċinat kollu. Il-viċinat għandu ftit attività bl-imnut, apparti miż-żona qrib Triq Fresno u "&amp;"l-Freeway tar-Rotta 99 tal-Istat (Ċentru tax-Xiri tal-Palm Kearney, mibni fl-aħħar tad-disgħinijiet) u swieq żgħar tal-kantuniera mxerrdin madwarhom.")</f>
        <v>Filwaqt li ħafna djar fil-viċinat imorru lura għas-snin tletin jew qabel, il-viċinat huwa wkoll dar għal diversi żviluppi ta 'akkomodazzjoni pubblika mibnija bejn is-snin 1960 u 1990 mill-Awtorità tad-Djar ta' Fresno. Id-Dipartiment tad-Djar u l-Iżvilupp Urban tal-Istati Uniti bena wkoll suddiviżjonijiet żgħar ta 'djar ta' familja waħda fiż-żona għax-xiri minn familji li jaħdmu bi dħul baxx. Kien hemm bosta tentattivi biex terġa 'titqajjem il-viċinat, inkluż il-kostruzzjoni ta' ċentru tax-xiri modern fil-kantuniera tat-toroq ta 'Fresno u B, attentat abort biex jibnu djar ta' lussu u korsa tal-golf fit-tarf tal-punent tal-viċinat, u xi sezzjoni ġdida 8 appartamenti nbnew tul il-knisja fil-punent ta 'Elm St. Cargill Meat Solutions u Foster Farms it-tnejn għandhom faċilitajiet kbar ta' pproċessar fil-viċinat, u l-intiena minn dawn (u faċilitajiet industrijali żgħar oħra) ilha residenti fiż-żona. L-Ajruport Eżekuttiv ta 'Fresno Chandler jinsab ukoll fuq in-naħa tal-punent. Minħabba l-pożizzjoni tagħha fit-tarf tal-belt u s-snin ta 'negliġenza mill-iżviluppaturi, mhix viċinat veru ta' "belt ta 'ġewwa", u hemm ħafna lottijiet battala, għelieqi tal-frawli u dwieli fil-viċinat kollu. Il-viċinat għandu ftit attività bl-imnut, apparti miż-żona qrib Triq Fresno u l-Freeway tar-Rotta 99 tal-Istat (Ċentru tax-Xiri tal-Palm Kearney, mibni fl-aħħar tad-disgħinijiet) u swieq żgħar tal-kantuniera mxerrdin madwarhom.</v>
      </c>
    </row>
    <row r="26428" ht="15.75" customHeight="1">
      <c r="A26428" s="2" t="s">
        <v>26428</v>
      </c>
      <c r="B26428" s="2" t="str">
        <f>IFERROR(__xludf.DUMMYFUNCTION("GOOGLETRANSLATE(A26428, ""en"", ""mt"")"),"Liema industrija tal-Afrika t'Isfel niżlet mill-kolonizzaturi Huguenot?")</f>
        <v>Liema industrija tal-Afrika t'Isfel niżlet mill-kolonizzaturi Huguenot?</v>
      </c>
    </row>
    <row r="26429" ht="15.75" customHeight="1">
      <c r="A26429" s="2" t="s">
        <v>26429</v>
      </c>
      <c r="B26429" s="2" t="str">
        <f>IFERROR(__xludf.DUMMYFUNCTION("GOOGLETRANSLATE(A26429, ""en"", ""mt"")"),"fil-kondensatur")</f>
        <v>fil-kondensatur</v>
      </c>
    </row>
    <row r="26430" ht="15.75" customHeight="1">
      <c r="A26430" s="2" t="s">
        <v>26430</v>
      </c>
      <c r="B26430" s="2" t="str">
        <f>IFERROR(__xludf.DUMMYFUNCTION("GOOGLETRANSLATE(A26430, ""en"", ""mt"")"),"Il-kriżi kellha impatt kbir fuq ir-relazzjonijiet internazzjonali u ħolqot qasma fi ħdan in-NATO. Xi nazzjonijiet Ewropej u l-Ġappun fittxew li jassoċjaw ruħhom mill-politika barranija tal-Istati Uniti fil-Lvant Nofsani biex jevitaw li jkunu mmirati mill-"&amp;"bojkott. Il-produtturi taż-żejt Għarbi marbuta ma 'kwalunkwe bidla fil-politika futura fil-paċi bejn il-belligerenti. Biex tindirizza dan, l-amministrazzjoni Nixon bdiet negozjati multilaterali mal-ġellieda. Huma rranġaw biex l-Iżrael jiġbed lura mill-Pen"&amp;"iżola tas-Sinaj u l-Golan Heights. Fit-18 ta 'Jannar, 1974, is-Segretarju tal-Istat Amerikan Henry Kissinger kien innegozja irtirar ta' truppi Iżraeljani minn partijiet tal-Peniżola tas-Sinaj. Il-wegħda ta 'ftehim innegozjat bejn l-Iżrael u s-Sirja kienet"&amp;" biżżejjed biex tikkonvinċi lill-produtturi taż-żejt Għarab biex jerfgħu l-embargo f'Marzu tal-1974.")</f>
        <v>Il-kriżi kellha impatt kbir fuq ir-relazzjonijiet internazzjonali u ħolqot qasma fi ħdan in-NATO. Xi nazzjonijiet Ewropej u l-Ġappun fittxew li jassoċjaw ruħhom mill-politika barranija tal-Istati Uniti fil-Lvant Nofsani biex jevitaw li jkunu mmirati mill-bojkott. Il-produtturi taż-żejt Għarbi marbuta ma 'kwalunkwe bidla fil-politika futura fil-paċi bejn il-belligerenti. Biex tindirizza dan, l-amministrazzjoni Nixon bdiet negozjati multilaterali mal-ġellieda. Huma rranġaw biex l-Iżrael jiġbed lura mill-Peniżola tas-Sinaj u l-Golan Heights. Fit-18 ta 'Jannar, 1974, is-Segretarju tal-Istat Amerikan Henry Kissinger kien innegozja irtirar ta' truppi Iżraeljani minn partijiet tal-Peniżola tas-Sinaj. Il-wegħda ta 'ftehim innegozjat bejn l-Iżrael u s-Sirja kienet biżżejjed biex tikkonvinċi lill-produtturi taż-żejt Għarab biex jerfgħu l-embargo f'Marzu tal-1974.</v>
      </c>
    </row>
    <row r="26431" ht="15.75" customHeight="1">
      <c r="A26431" s="2" t="s">
        <v>26431</v>
      </c>
      <c r="B26431" s="2" t="str">
        <f>IFERROR(__xludf.DUMMYFUNCTION("GOOGLETRANSLATE(A26431, ""en"", ""mt"")"),"Id-9")</f>
        <v>Id-9</v>
      </c>
    </row>
    <row r="26432" ht="15.75" customHeight="1">
      <c r="A26432" s="2" t="s">
        <v>26432</v>
      </c>
      <c r="B26432" s="2" t="str">
        <f>IFERROR(__xludf.DUMMYFUNCTION("GOOGLETRANSLATE(A26432, ""en"", ""mt"")"),"Liema toroq għandhom il-kontraflows li għandhom jiġu implimentati fi Newcastle?")</f>
        <v>Liema toroq għandhom il-kontraflows li għandhom jiġu implimentati fi Newcastle?</v>
      </c>
    </row>
    <row r="26433" ht="15.75" customHeight="1">
      <c r="A26433" s="2" t="s">
        <v>26433</v>
      </c>
      <c r="B26433" s="2" t="str">
        <f>IFERROR(__xludf.DUMMYFUNCTION("GOOGLETRANSLATE(A26433, ""en"", ""mt"")"),"Minn min ippruvat Tesla biex tikseb il-flus?")</f>
        <v>Minn min ippruvat Tesla biex tikseb il-flus?</v>
      </c>
    </row>
    <row r="26434" ht="15.75" customHeight="1">
      <c r="A26434" s="2" t="s">
        <v>26434</v>
      </c>
      <c r="B26434" s="2" t="str">
        <f>IFERROR(__xludf.DUMMYFUNCTION("GOOGLETRANSLATE(A26434, ""en"", ""mt"")"),"Minn liema pajjiż ġiet l-ewwel persuna fl-ispazju?")</f>
        <v>Minn liema pajjiż ġiet l-ewwel persuna fl-ispazju?</v>
      </c>
    </row>
    <row r="26435" ht="15.75" customHeight="1">
      <c r="A26435" s="2" t="s">
        <v>26435</v>
      </c>
      <c r="B26435" s="2" t="str">
        <f>IFERROR(__xludf.DUMMYFUNCTION("GOOGLETRANSLATE(A26435, ""en"", ""mt"")"),"X’għandu jħallas Albrecht l-indulġenzi?")</f>
        <v>X’għandu jħallas Albrecht l-indulġenzi?</v>
      </c>
    </row>
    <row r="26436" ht="15.75" customHeight="1">
      <c r="A26436" s="2" t="s">
        <v>26436</v>
      </c>
      <c r="B26436" s="2" t="str">
        <f>IFERROR(__xludf.DUMMYFUNCTION("GOOGLETRANSLATE(A26436, ""en"", ""mt"")"),"1.5 m (4 ft 11 in)")</f>
        <v>1.5 m (4 ft 11 in)</v>
      </c>
    </row>
    <row r="26437" ht="15.75" customHeight="1">
      <c r="A26437" s="2" t="s">
        <v>26437</v>
      </c>
      <c r="B26437" s="2" t="str">
        <f>IFERROR(__xludf.DUMMYFUNCTION("GOOGLETRANSLATE(A26437, ""en"", ""mt"")"),"Liema netwerk tal-aħbarijiet tnediet ABC f'Lulju 2004?")</f>
        <v>Liema netwerk tal-aħbarijiet tnediet ABC f'Lulju 2004?</v>
      </c>
    </row>
    <row r="26438" ht="15.75" customHeight="1">
      <c r="A26438" s="2" t="s">
        <v>26438</v>
      </c>
      <c r="B26438" s="2" t="str">
        <f>IFERROR(__xludf.DUMMYFUNCTION("GOOGLETRANSLATE(A26438, ""en"", ""mt"")"),"500%")</f>
        <v>500%</v>
      </c>
    </row>
    <row r="26439" ht="15.75" customHeight="1">
      <c r="A26439" s="2" t="s">
        <v>26439</v>
      </c>
      <c r="B26439" s="2" t="str">
        <f>IFERROR(__xludf.DUMMYFUNCTION("GOOGLETRANSLATE(A26439, ""en"", ""mt"")"),"Distribuzzjoni u tfixkil fil-prezz")</f>
        <v>Distribuzzjoni u tfixkil fil-prezz</v>
      </c>
    </row>
    <row r="26440" ht="15.75" customHeight="1">
      <c r="A26440" s="2" t="s">
        <v>26440</v>
      </c>
      <c r="B26440" s="2" t="str">
        <f>IFERROR(__xludf.DUMMYFUNCTION("GOOGLETRANSLATE(A26440, ""en"", ""mt"")"),"Elizabeth")</f>
        <v>Elizabeth</v>
      </c>
    </row>
    <row r="26441" ht="15.75" customHeight="1">
      <c r="A26441" s="2" t="s">
        <v>26441</v>
      </c>
      <c r="B26441" s="2" t="str">
        <f>IFERROR(__xludf.DUMMYFUNCTION("GOOGLETRANSLATE(A26441, ""en"", ""mt"")"),"30 ta 'Jannar")</f>
        <v>30 ta 'Jannar</v>
      </c>
    </row>
    <row r="26442" ht="15.75" customHeight="1">
      <c r="A26442" s="2" t="s">
        <v>26442</v>
      </c>
      <c r="B26442" s="2" t="str">
        <f>IFERROR(__xludf.DUMMYFUNCTION("GOOGLETRANSLATE(A26442, ""en"", ""mt"")"),"X'kien is-salarju ta 'Tesla minn Westinghouse fl-1934?")</f>
        <v>X'kien is-salarju ta 'Tesla minn Westinghouse fl-1934?</v>
      </c>
    </row>
    <row r="26443" ht="15.75" customHeight="1">
      <c r="A26443" s="2" t="s">
        <v>26443</v>
      </c>
      <c r="B26443" s="2" t="str">
        <f>IFERROR(__xludf.DUMMYFUNCTION("GOOGLETRANSLATE(A26443, ""en"", ""mt"")"),"X’inventa Sir Charles Parsons?")</f>
        <v>X’inventa Sir Charles Parsons?</v>
      </c>
    </row>
    <row r="26444" ht="15.75" customHeight="1">
      <c r="A26444" s="2" t="s">
        <v>26444</v>
      </c>
      <c r="B26444" s="2" t="str">
        <f>IFERROR(__xludf.DUMMYFUNCTION("GOOGLETRANSLATE(A26444, ""en"", ""mt"")"),"Minn xiex torganizza l-Gallerija Nazzjonali tal-Art ta 'Zachęta?")</f>
        <v>Minn xiex torganizza l-Gallerija Nazzjonali tal-Art ta 'Zachęta?</v>
      </c>
    </row>
    <row r="26445" ht="15.75" customHeight="1">
      <c r="A26445" s="2" t="s">
        <v>26445</v>
      </c>
      <c r="B26445" s="2" t="str">
        <f>IFERROR(__xludf.DUMMYFUNCTION("GOOGLETRANSLATE(A26445, ""en"", ""mt"")"),"X'inhu l-arranġament ta 'bilqiegħda tal-kamra tad-dibattitu?")</f>
        <v>X'inhu l-arranġament ta 'bilqiegħda tal-kamra tad-dibattitu?</v>
      </c>
    </row>
    <row r="26446" ht="15.75" customHeight="1">
      <c r="A26446" s="2" t="s">
        <v>26446</v>
      </c>
      <c r="B26446" s="2" t="str">
        <f>IFERROR(__xludf.DUMMYFUNCTION("GOOGLETRANSLATE(A26446, ""en"", ""mt"")"),"Għalf il-ħamiem")</f>
        <v>Għalf il-ħamiem</v>
      </c>
    </row>
    <row r="26447" ht="15.75" customHeight="1">
      <c r="A26447" s="2" t="s">
        <v>26447</v>
      </c>
      <c r="B26447" s="2" t="str">
        <f>IFERROR(__xludf.DUMMYFUNCTION("GOOGLETRANSLATE(A26447, ""en"", ""mt"")"),"1,388")</f>
        <v>1,388</v>
      </c>
    </row>
    <row r="26448" ht="15.75" customHeight="1">
      <c r="A26448" s="2" t="s">
        <v>26448</v>
      </c>
      <c r="B26448" s="2" t="str">
        <f>IFERROR(__xludf.DUMMYFUNCTION("GOOGLETRANSLATE(A26448, ""en"", ""mt"")"),"Sa l-1990, l-Arabja Sawdita kellha rwol importanti fit-trażżin ta 'liema gruppi?")</f>
        <v>Sa l-1990, l-Arabja Sawdita kellha rwol importanti fit-trażżin ta 'liema gruppi?</v>
      </c>
    </row>
    <row r="26449" ht="15.75" customHeight="1">
      <c r="A26449" s="2" t="s">
        <v>26449</v>
      </c>
      <c r="B26449" s="2" t="str">
        <f>IFERROR(__xludf.DUMMYFUNCTION("GOOGLETRANSLATE(A26449, ""en"", ""mt"")"),"ripetizzjonijiet diretti")</f>
        <v>ripetizzjonijiet diretti</v>
      </c>
    </row>
    <row r="26450" ht="15.75" customHeight="1">
      <c r="A26450" s="2" t="s">
        <v>26450</v>
      </c>
      <c r="B26450" s="2" t="str">
        <f>IFERROR(__xludf.DUMMYFUNCTION("GOOGLETRANSLATE(A26450, ""en"", ""mt"")"),"Liema pajjiż kompla r-Renu jiżdied matul l-Oloken?")</f>
        <v>Liema pajjiż kompla r-Renu jiżdied matul l-Oloken?</v>
      </c>
    </row>
    <row r="26451" ht="15.75" customHeight="1">
      <c r="A26451" s="2" t="s">
        <v>26451</v>
      </c>
      <c r="B26451" s="2" t="str">
        <f>IFERROR(__xludf.DUMMYFUNCTION("GOOGLETRANSLATE(A26451, ""en"", ""mt"")"),"Yuan T. Lee")</f>
        <v>Yuan T. Lee</v>
      </c>
    </row>
    <row r="26452" ht="15.75" customHeight="1">
      <c r="A26452" s="2" t="s">
        <v>26452</v>
      </c>
      <c r="B26452" s="2" t="str">
        <f>IFERROR(__xludf.DUMMYFUNCTION("GOOGLETRANSLATE(A26452, ""en"", ""mt"")"),"Investigazzjonijiet Kriminali")</f>
        <v>Investigazzjonijiet Kriminali</v>
      </c>
    </row>
    <row r="26453" ht="15.75" customHeight="1">
      <c r="A26453" s="2" t="s">
        <v>26453</v>
      </c>
      <c r="B26453" s="2" t="str">
        <f>IFERROR(__xludf.DUMMYFUNCTION("GOOGLETRANSLATE(A26453, ""en"", ""mt"")"),"X'tagħmel il-membrana tal-mitokondrija ta 'ġewwa?")</f>
        <v>X'tagħmel il-membrana tal-mitokondrija ta 'ġewwa?</v>
      </c>
    </row>
    <row r="26454" ht="15.75" customHeight="1">
      <c r="A26454" s="2" t="s">
        <v>26454</v>
      </c>
      <c r="B26454" s="2" t="str">
        <f>IFERROR(__xludf.DUMMYFUNCTION("GOOGLETRANSLATE(A26454, ""en"", ""mt"")"),"aktar minn mija")</f>
        <v>aktar minn mija</v>
      </c>
    </row>
    <row r="26455" ht="15.75" customHeight="1">
      <c r="A26455" s="2" t="s">
        <v>26455</v>
      </c>
      <c r="B26455" s="2" t="str">
        <f>IFERROR(__xludf.DUMMYFUNCTION("GOOGLETRANSLATE(A26455, ""en"", ""mt"")"),"Kleru Protestant biex jiżżewweġ.")</f>
        <v>Kleru Protestant biex jiżżewweġ.</v>
      </c>
    </row>
    <row r="26456" ht="15.75" customHeight="1">
      <c r="A26456" s="2" t="s">
        <v>26456</v>
      </c>
      <c r="B26456" s="2" t="str">
        <f>IFERROR(__xludf.DUMMYFUNCTION("GOOGLETRANSLATE(A26456, ""en"", ""mt"")"),"imġieba kriminalizzata")</f>
        <v>imġieba kriminalizzata</v>
      </c>
    </row>
    <row r="26457" ht="15.75" customHeight="1">
      <c r="A26457" s="2" t="s">
        <v>26457</v>
      </c>
      <c r="B26457" s="2" t="str">
        <f>IFERROR(__xludf.DUMMYFUNCTION("GOOGLETRANSLATE(A26457, ""en"", ""mt"")"),"Għaxar staġuni")</f>
        <v>Għaxar staġuni</v>
      </c>
    </row>
    <row r="26458" ht="15.75" customHeight="1">
      <c r="A26458" s="2" t="s">
        <v>26458</v>
      </c>
      <c r="B26458" s="2" t="str">
        <f>IFERROR(__xludf.DUMMYFUNCTION("GOOGLETRANSLATE(A26458, ""en"", ""mt"")"),"Liema Doctor Who Spin-Off għamilha biss sa episodju pilota?")</f>
        <v>Liema Doctor Who Spin-Off għamilha biss sa episodju pilota?</v>
      </c>
    </row>
    <row r="26459" ht="15.75" customHeight="1">
      <c r="A26459" s="2" t="s">
        <v>26459</v>
      </c>
      <c r="B26459" s="2" t="str">
        <f>IFERROR(__xludf.DUMMYFUNCTION("GOOGLETRANSLATE(A26459, ""en"", ""mt"")"),"19")</f>
        <v>19</v>
      </c>
    </row>
    <row r="26460" ht="15.75" customHeight="1">
      <c r="A26460" s="2" t="s">
        <v>26460</v>
      </c>
      <c r="B26460" s="2" t="str">
        <f>IFERROR(__xludf.DUMMYFUNCTION("GOOGLETRANSLATE(A26460, ""en"", ""mt"")"),"Tagħmir ta 'sigurtà xieraq bħal arnessi u guardrails u proċeduri bħall-iżgurar tas-slielem u l-ispezzjoni tal-armar")</f>
        <v>Tagħmir ta 'sigurtà xieraq bħal arnessi u guardrails u proċeduri bħall-iżgurar tas-slielem u l-ispezzjoni tal-armar</v>
      </c>
    </row>
    <row r="26461" ht="15.75" customHeight="1">
      <c r="A26461" s="2" t="s">
        <v>26461</v>
      </c>
      <c r="B26461" s="2" t="str">
        <f>IFERROR(__xludf.DUMMYFUNCTION("GOOGLETRANSLATE(A26461, ""en"", ""mt"")"),"Contrecœur mexxa 500 irġiel fin-Nofsinhar minn Fort Venango fil-5 ta 'April, 1754")</f>
        <v>Contrecœur mexxa 500 irġiel fin-Nofsinhar minn Fort Venango fil-5 ta 'April, 1754</v>
      </c>
    </row>
    <row r="26462" ht="15.75" customHeight="1">
      <c r="A26462" s="2" t="s">
        <v>26462</v>
      </c>
      <c r="B26462" s="2" t="str">
        <f>IFERROR(__xludf.DUMMYFUNCTION("GOOGLETRANSLATE(A26462, ""en"", ""mt"")"),"Ħafna klassijiet ta 'kumplessità magħrufa huma suspettati li huma inugwali, iżda dan ma ġiex ippruvat. Pereżempju P ⊆ NP ⊆ PP ⊆ PSPACE, iżda huwa possibbli li P = PSPACE. Jekk P mhuwiex daqs NP, allura P lanqas huwa daqs PSPACE. Peress li hemm ħafna klass"&amp;"ijiet ta 'kumplessità magħrufa bejn P u PSPACE, bħal RP, BPP, PP, BQP, MA, PH, eċċ., Huwa possibbli li dawn il-klassijiet kollha ta' kumplessità jiġġarrfu għal klassi waħda. Li tipprova li xi waħda minn dawn il-klassijiet mhix ugwali tkun avvanz kbir fit-"&amp;"teorija tal-kumplessità.")</f>
        <v>Ħafna klassijiet ta 'kumplessità magħrufa huma suspettati li huma inugwali, iżda dan ma ġiex ippruvat. Pereżempju P ⊆ NP ⊆ PP ⊆ PSPACE, iżda huwa possibbli li P = PSPACE. Jekk P mhuwiex daqs NP, allura P lanqas huwa daqs PSPACE. Peress li hemm ħafna klassijiet ta 'kumplessità magħrufa bejn P u PSPACE, bħal RP, BPP, PP, BQP, MA, PH, eċċ., Huwa possibbli li dawn il-klassijiet kollha ta' kumplessità jiġġarrfu għal klassi waħda. Li tipprova li xi waħda minn dawn il-klassijiet mhix ugwali tkun avvanz kbir fit-teorija tal-kumplessità.</v>
      </c>
    </row>
    <row r="26463" ht="15.75" customHeight="1">
      <c r="A26463" s="2" t="s">
        <v>26463</v>
      </c>
      <c r="B26463" s="2" t="str">
        <f>IFERROR(__xludf.DUMMYFUNCTION("GOOGLETRANSLATE(A26463, ""en"", ""mt"")"),"Barra mill-bhejjem, x'iktar kienet ikkunsidrata bħala industrija ewlenija fir-reġjuni tal-agrikoltura?")</f>
        <v>Barra mill-bhejjem, x'iktar kienet ikkunsidrata bħala industrija ewlenija fir-reġjuni tal-agrikoltura?</v>
      </c>
    </row>
    <row r="26464" ht="15.75" customHeight="1">
      <c r="A26464" s="2" t="s">
        <v>26464</v>
      </c>
      <c r="B26464" s="2" t="str">
        <f>IFERROR(__xludf.DUMMYFUNCTION("GOOGLETRANSLATE(A26464, ""en"", ""mt"")"),"Liema kumpanija kienet inkarigata li tipprova tirrestawra t-tejps oriġinali?")</f>
        <v>Liema kumpanija kienet inkarigata li tipprova tirrestawra t-tejps oriġinali?</v>
      </c>
    </row>
    <row r="26465" ht="15.75" customHeight="1">
      <c r="A26465" s="2" t="s">
        <v>26465</v>
      </c>
      <c r="B26465" s="2" t="str">
        <f>IFERROR(__xludf.DUMMYFUNCTION("GOOGLETRANSLATE(A26465, ""en"", ""mt"")"),"Musulman u Ċiniż")</f>
        <v>Musulman u Ċiniż</v>
      </c>
    </row>
    <row r="26466" ht="15.75" customHeight="1">
      <c r="A26466" s="2" t="s">
        <v>26466</v>
      </c>
      <c r="B26466" s="2" t="str">
        <f>IFERROR(__xludf.DUMMYFUNCTION("GOOGLETRANSLATE(A26466, ""en"", ""mt"")"),"Maududi kien jemmen li l-Iżlam kellu bżonn dak li jkun stabbilit?")</f>
        <v>Maududi kien jemmen li l-Iżlam kellu bżonn dak li jkun stabbilit?</v>
      </c>
    </row>
    <row r="26467" ht="15.75" customHeight="1">
      <c r="A26467" s="2" t="s">
        <v>26467</v>
      </c>
      <c r="B26467" s="2" t="str">
        <f>IFERROR(__xludf.DUMMYFUNCTION("GOOGLETRANSLATE(A26467, ""en"", ""mt"")"),"2,200")</f>
        <v>2,200</v>
      </c>
    </row>
    <row r="26468" ht="15.75" customHeight="1">
      <c r="A26468" s="2" t="s">
        <v>26468</v>
      </c>
      <c r="B26468" s="2" t="str">
        <f>IFERROR(__xludf.DUMMYFUNCTION("GOOGLETRANSLATE(A26468, ""en"", ""mt"")"),"Liema mutur spiċċaw jużaw minflok dak li riedet Tesla?")</f>
        <v>Liema mutur spiċċaw jużaw minflok dak li riedet Tesla?</v>
      </c>
    </row>
    <row r="26469" ht="15.75" customHeight="1">
      <c r="A26469" s="2" t="s">
        <v>26469</v>
      </c>
      <c r="B26469" s="2" t="str">
        <f>IFERROR(__xludf.DUMMYFUNCTION("GOOGLETRANSLATE(A26469, ""en"", ""mt"")"),"Liema perit, famuż għall-Bieb tal-Indja fi New Delhi, huwa rappreżentat fil-kollezzjoni RIBA?")</f>
        <v>Liema perit, famuż għall-Bieb tal-Indja fi New Delhi, huwa rappreżentat fil-kollezzjoni RIBA?</v>
      </c>
    </row>
    <row r="26470" ht="15.75" customHeight="1">
      <c r="A26470" s="2" t="s">
        <v>26470</v>
      </c>
      <c r="B26470" s="2" t="str">
        <f>IFERROR(__xludf.DUMMYFUNCTION("GOOGLETRANSLATE(A26470, ""en"", ""mt"")"),"Minn liema materjal saru l-pritkuni tar-raġġi tal-mewt?")</f>
        <v>Minn liema materjal saru l-pritkuni tar-raġġi tal-mewt?</v>
      </c>
    </row>
    <row r="26471" ht="15.75" customHeight="1">
      <c r="A26471" s="2" t="s">
        <v>26471</v>
      </c>
      <c r="B26471" s="2" t="str">
        <f>IFERROR(__xludf.DUMMYFUNCTION("GOOGLETRANSLATE(A26471, ""en"", ""mt"")"),"X'inhuma l-kaxxi ta 'fuq tas-Sema Q mini li jistgħu jgħaqqdu?")</f>
        <v>X'inhuma l-kaxxi ta 'fuq tas-Sema Q mini li jistgħu jgħaqqdu?</v>
      </c>
    </row>
    <row r="26472" ht="15.75" customHeight="1">
      <c r="A26472" s="2" t="s">
        <v>26472</v>
      </c>
      <c r="B26472" s="2" t="str">
        <f>IFERROR(__xludf.DUMMYFUNCTION("GOOGLETRANSLATE(A26472, ""en"", ""mt"")"),"1756 għall-iffirmar tat-Trattat tal-Paċi fl-1763")</f>
        <v>1756 għall-iffirmar tat-Trattat tal-Paċi fl-1763</v>
      </c>
    </row>
    <row r="26473" ht="15.75" customHeight="1">
      <c r="A26473" s="2" t="s">
        <v>26473</v>
      </c>
      <c r="B26473" s="2" t="str">
        <f>IFERROR(__xludf.DUMMYFUNCTION("GOOGLETRANSLATE(A26473, ""en"", ""mt"")"),"demokratiku")</f>
        <v>demokratiku</v>
      </c>
    </row>
    <row r="26474" ht="15.75" customHeight="1">
      <c r="A26474" s="2" t="s">
        <v>26474</v>
      </c>
      <c r="B26474" s="2" t="str">
        <f>IFERROR(__xludf.DUMMYFUNCTION("GOOGLETRANSLATE(A26474, ""en"", ""mt"")"),"X'kien l-isem tal-kapitali Tangut?")</f>
        <v>X'kien l-isem tal-kapitali Tangut?</v>
      </c>
    </row>
    <row r="26475" ht="15.75" customHeight="1">
      <c r="A26475" s="2" t="s">
        <v>26475</v>
      </c>
      <c r="B26475" s="2" t="str">
        <f>IFERROR(__xludf.DUMMYFUNCTION("GOOGLETRANSLATE(A26475, ""en"", ""mt"")"),"Aktar minn 48 siegħa")</f>
        <v>Aktar minn 48 siegħa</v>
      </c>
    </row>
    <row r="26476" ht="15.75" customHeight="1">
      <c r="A26476" s="2" t="s">
        <v>26476</v>
      </c>
      <c r="B26476" s="2" t="str">
        <f>IFERROR(__xludf.DUMMYFUNCTION("GOOGLETRANSLATE(A26476, ""en"", ""mt"")"),"Il-Knisja Parrokkjali ta ’Sant’Andrija hija tradizzjonalment rikonoxxuta bħala“ l-eqdem knisja f’din il-belt ”. Il-bini preżenti kien beda fis-seklu 12 u l-aħħar żieda għalih, apparti l-vestries, kienet il-loġġa ewlenija fl-1726. Huwa pjuttost possibbli l"&amp;"i kien hemm knisja preċedenti hawn li tmur minn Sassoni Times. Din il-knisja anzjana kienet tkun waħda minn diversi knejjes tul ix-Xmara Tyne ddedikata lil St Andrew, inkluża l-Knisja tal-Prijorju f'Hexham. Il-bini fih aktar ġebel qadim minn kwalunkwe kni"&amp;"sja oħra fi Newcastle. Huwa mdawwar bl-aħħar tal-knisja tal-qedem biex iżomm il-karattru oriġinali tiegħu. Ħafna ismijiet ewlenin assoċjati mal-istorja ta 'Newcastle jaduraw u ġew midfuna hawn. It-torri tal-knisja rċieva battering waqt l-assedju ta ’Newca"&amp;"stle mill-Iskoċċiżi li finalment kisru l-ħajt tal-belt u sfurzaw iċedu. Tlieta mill-kanuni jibqgħu fuq il-post bħala xhieda tal-assedju.")</f>
        <v>Il-Knisja Parrokkjali ta ’Sant’Andrija hija tradizzjonalment rikonoxxuta bħala“ l-eqdem knisja f’din il-belt ”. Il-bini preżenti kien beda fis-seklu 12 u l-aħħar żieda għalih, apparti l-vestries, kienet il-loġġa ewlenija fl-1726. Huwa pjuttost possibbli li kien hemm knisja preċedenti hawn li tmur minn Sassoni Times. Din il-knisja anzjana kienet tkun waħda minn diversi knejjes tul ix-Xmara Tyne ddedikata lil St Andrew, inkluża l-Knisja tal-Prijorju f'Hexham. Il-bini fih aktar ġebel qadim minn kwalunkwe knisja oħra fi Newcastle. Huwa mdawwar bl-aħħar tal-knisja tal-qedem biex iżomm il-karattru oriġinali tiegħu. Ħafna ismijiet ewlenin assoċjati mal-istorja ta 'Newcastle jaduraw u ġew midfuna hawn. It-torri tal-knisja rċieva battering waqt l-assedju ta ’Newcastle mill-Iskoċċiżi li finalment kisru l-ħajt tal-belt u sfurzaw iċedu. Tlieta mill-kanuni jibqgħu fuq il-post bħala xhieda tal-assedju.</v>
      </c>
    </row>
    <row r="26477" ht="15.75" customHeight="1">
      <c r="A26477" s="2" t="s">
        <v>26477</v>
      </c>
      <c r="B26477" s="2" t="str">
        <f>IFERROR(__xludf.DUMMYFUNCTION("GOOGLETRANSLATE(A26477, ""en"", ""mt"")"),"L-ebda truppi tal-Armata Regolari Franċiżi ma kienu stazzjonati fl-Amerika ta ’Fuq")</f>
        <v>L-ebda truppi tal-Armata Regolari Franċiżi ma kienu stazzjonati fl-Amerika ta ’Fuq</v>
      </c>
    </row>
    <row r="26478" ht="15.75" customHeight="1">
      <c r="A26478" s="2" t="s">
        <v>26478</v>
      </c>
      <c r="B26478" s="2" t="str">
        <f>IFERROR(__xludf.DUMMYFUNCTION("GOOGLETRANSLATE(A26478, ""en"", ""mt"")"),"Min jiddeċiedi min ikellem fid-dibattiti tal-kamra?")</f>
        <v>Min jiddeċiedi min ikellem fid-dibattiti tal-kamra?</v>
      </c>
    </row>
    <row r="26479" ht="15.75" customHeight="1">
      <c r="A26479" s="2" t="s">
        <v>26479</v>
      </c>
      <c r="B26479" s="2" t="str">
        <f>IFERROR(__xludf.DUMMYFUNCTION("GOOGLETRANSLATE(A26479, ""en"", ""mt"")"),"Edinburgh")</f>
        <v>Edinburgh</v>
      </c>
    </row>
    <row r="26480" ht="15.75" customHeight="1">
      <c r="A26480" s="2" t="s">
        <v>26480</v>
      </c>
      <c r="B26480" s="2" t="str">
        <f>IFERROR(__xludf.DUMMYFUNCTION("GOOGLETRANSLATE(A26480, ""en"", ""mt"")"),"It-traduzzjoni Ingliża tal-Bibbja tagħha l-Bibbja Luther influwenzat?")</f>
        <v>It-traduzzjoni Ingliża tal-Bibbja tagħha l-Bibbja Luther influwenzat?</v>
      </c>
    </row>
    <row r="26481" ht="15.75" customHeight="1">
      <c r="A26481" s="2" t="s">
        <v>26481</v>
      </c>
      <c r="B26481" s="2" t="str">
        <f>IFERROR(__xludf.DUMMYFUNCTION("GOOGLETRANSLATE(A26481, ""en"", ""mt"")"),"Danny Lane,")</f>
        <v>Danny Lane,</v>
      </c>
    </row>
    <row r="26482" ht="15.75" customHeight="1">
      <c r="A26482" s="2" t="s">
        <v>26482</v>
      </c>
      <c r="B26482" s="2" t="str">
        <f>IFERROR(__xludf.DUMMYFUNCTION("GOOGLETRANSLATE(A26482, ""en"", ""mt"")"),"Innu")</f>
        <v>Innu</v>
      </c>
    </row>
    <row r="26483" ht="15.75" customHeight="1">
      <c r="A26483" s="2" t="s">
        <v>26483</v>
      </c>
      <c r="B26483" s="2" t="str">
        <f>IFERROR(__xludf.DUMMYFUNCTION("GOOGLETRANSLATE(A26483, ""en"", ""mt"")"),"L-istudjużi ddikjaraw li diġà kien hemm soluzzjoni eżistenti bejn 2 partijiet qabel liema data?")</f>
        <v>L-istudjużi ddikjaraw li diġà kien hemm soluzzjoni eżistenti bejn 2 partijiet qabel liema data?</v>
      </c>
    </row>
    <row r="26484" ht="15.75" customHeight="1">
      <c r="A26484" s="2" t="s">
        <v>26484</v>
      </c>
      <c r="B26484" s="2" t="str">
        <f>IFERROR(__xludf.DUMMYFUNCTION("GOOGLETRANSLATE(A26484, ""en"", ""mt"")"),"magma jew lava")</f>
        <v>magma jew lava</v>
      </c>
    </row>
    <row r="26485" ht="15.75" customHeight="1">
      <c r="A26485" s="2" t="s">
        <v>26485</v>
      </c>
      <c r="B26485" s="2" t="str">
        <f>IFERROR(__xludf.DUMMYFUNCTION("GOOGLETRANSLATE(A26485, ""en"", ""mt"")"),"Inugwaljanza ekonomika")</f>
        <v>Inugwaljanza ekonomika</v>
      </c>
    </row>
    <row r="26486" ht="15.75" customHeight="1">
      <c r="A26486" s="2" t="s">
        <v>26486</v>
      </c>
      <c r="B26486" s="2" t="str">
        <f>IFERROR(__xludf.DUMMYFUNCTION("GOOGLETRANSLATE(A26486, ""en"", ""mt"")"),"T li tirrendi ċerti liġijiet ineffettivi, biex tikkawża r-revoka tagħhom, jew li tagħmel pressjoni biex tikseb ix-xewqat politiċi ta 'wieħed fuq xi kwistjoni oħra")</f>
        <v>T li tirrendi ċerti liġijiet ineffettivi, biex tikkawża r-revoka tagħhom, jew li tagħmel pressjoni biex tikseb ix-xewqat politiċi ta 'wieħed fuq xi kwistjoni oħra</v>
      </c>
    </row>
    <row r="26487" ht="15.75" customHeight="1">
      <c r="A26487" s="2" t="s">
        <v>26487</v>
      </c>
      <c r="B26487" s="2" t="str">
        <f>IFERROR(__xludf.DUMMYFUNCTION("GOOGLETRANSLATE(A26487, ""en"", ""mt"")"),"il-ħalq u l-farinġi;")</f>
        <v>il-ħalq u l-farinġi;</v>
      </c>
    </row>
    <row r="26488" ht="15.75" customHeight="1">
      <c r="A26488" s="2" t="s">
        <v>26488</v>
      </c>
      <c r="B26488" s="2" t="str">
        <f>IFERROR(__xludf.DUMMYFUNCTION("GOOGLETRANSLATE(A26488, ""en"", ""mt"")"),"Siltiet mit-Tabib Min Kunfidenzjali")</f>
        <v>Siltiet mit-Tabib Min Kunfidenzjali</v>
      </c>
    </row>
    <row r="26489" ht="15.75" customHeight="1">
      <c r="A26489" s="2" t="s">
        <v>26489</v>
      </c>
      <c r="B26489" s="2" t="str">
        <f>IFERROR(__xludf.DUMMYFUNCTION("GOOGLETRANSLATE(A26489, ""en"", ""mt"")"),"Nagħmlu għodod tad-dar, apparat mekkaniku, u l-abbiltà li timmemorizza poeżiji epiċi Serbi")</f>
        <v>Nagħmlu għodod tad-dar, apparat mekkaniku, u l-abbiltà li timmemorizza poeżiji epiċi Serbi</v>
      </c>
    </row>
    <row r="26490" ht="15.75" customHeight="1">
      <c r="A26490" s="2" t="s">
        <v>26490</v>
      </c>
      <c r="B26490" s="2" t="str">
        <f>IFERROR(__xludf.DUMMYFUNCTION("GOOGLETRANSLATE(A26490, ""en"", ""mt"")"),"l-arkitettura Vittorjana")</f>
        <v>l-arkitettura Vittorjana</v>
      </c>
    </row>
    <row r="26491" ht="15.75" customHeight="1">
      <c r="A26491" s="2" t="s">
        <v>26491</v>
      </c>
      <c r="B26491" s="2" t="str">
        <f>IFERROR(__xludf.DUMMYFUNCTION("GOOGLETRANSLATE(A26491, ""en"", ""mt"")"),"Biex tevita l-installazzjoni ta 'immaġini pagani fit-tempju f'Ġerusalemm")</f>
        <v>Biex tevita l-installazzjoni ta 'immaġini pagani fit-tempju f'Ġerusalemm</v>
      </c>
    </row>
    <row r="26492" ht="15.75" customHeight="1">
      <c r="A26492" s="2" t="s">
        <v>26492</v>
      </c>
      <c r="B26492" s="2" t="str">
        <f>IFERROR(__xludf.DUMMYFUNCTION("GOOGLETRANSLATE(A26492, ""en"", ""mt"")"),"X'inhu l-Għasafar tal-Istat ta 'Victoria?")</f>
        <v>X'inhu l-Għasafar tal-Istat ta 'Victoria?</v>
      </c>
    </row>
    <row r="26493" ht="15.75" customHeight="1">
      <c r="A26493" s="2" t="s">
        <v>26493</v>
      </c>
      <c r="B26493" s="2" t="str">
        <f>IFERROR(__xludf.DUMMYFUNCTION("GOOGLETRANSLATE(A26493, ""en"", ""mt"")"),"56.2%")</f>
        <v>56.2%</v>
      </c>
    </row>
    <row r="26494" ht="15.75" customHeight="1">
      <c r="A26494" s="2" t="s">
        <v>26494</v>
      </c>
      <c r="B26494" s="2" t="str">
        <f>IFERROR(__xludf.DUMMYFUNCTION("GOOGLETRANSLATE(A26494, ""en"", ""mt"")"),"Radar ta 'apertura sintetika")</f>
        <v>Radar ta 'apertura sintetika</v>
      </c>
    </row>
    <row r="26495" ht="15.75" customHeight="1">
      <c r="A26495" s="2" t="s">
        <v>26495</v>
      </c>
      <c r="B26495" s="2" t="str">
        <f>IFERROR(__xludf.DUMMYFUNCTION("GOOGLETRANSLATE(A26495, ""en"", ""mt"")"),"induzzjoni")</f>
        <v>induzzjoni</v>
      </c>
    </row>
    <row r="26496" ht="15.75" customHeight="1">
      <c r="A26496" s="2" t="s">
        <v>26496</v>
      </c>
      <c r="B26496" s="2" t="str">
        <f>IFERROR(__xludf.DUMMYFUNCTION("GOOGLETRANSLATE(A26496, ""en"", ""mt"")"),"diżastru; Huwa ġie megħlub fil-Battalja tal-Monongahela")</f>
        <v>diżastru; Huwa ġie megħlub fil-Battalja tal-Monongahela</v>
      </c>
    </row>
    <row r="26497" ht="15.75" customHeight="1">
      <c r="A26497" s="2" t="s">
        <v>26497</v>
      </c>
      <c r="B26497" s="2" t="str">
        <f>IFERROR(__xludf.DUMMYFUNCTION("GOOGLETRANSLATE(A26497, ""en"", ""mt"")"),"Liema Taljan huwa kkreditat bil-ħolqien tal-istil tal-iskultura Barokk huwa rappreżentat fil-galleriji Ingliżi tal-V &amp; A?")</f>
        <v>Liema Taljan huwa kkreditat bil-ħolqien tal-istil tal-iskultura Barokk huwa rappreżentat fil-galleriji Ingliżi tal-V &amp; A?</v>
      </c>
    </row>
    <row r="26498" ht="15.75" customHeight="1">
      <c r="A26498" s="2" t="s">
        <v>26498</v>
      </c>
      <c r="B26498" s="2" t="str">
        <f>IFERROR(__xludf.DUMMYFUNCTION("GOOGLETRANSLATE(A26498, ""en"", ""mt"")"),"Liema pjaneta bassar li l-astrofiżista jispjega l-problemi bil-merkurju?")</f>
        <v>Liema pjaneta bassar li l-astrofiżista jispjega l-problemi bil-merkurju?</v>
      </c>
    </row>
    <row r="26499" ht="15.75" customHeight="1">
      <c r="A26499" s="2" t="s">
        <v>26499</v>
      </c>
      <c r="B26499" s="2" t="str">
        <f>IFERROR(__xludf.DUMMYFUNCTION("GOOGLETRANSLATE(A26499, ""en"", ""mt"")"),"X'għandu bżonn membru tal-komunità biex jgħallem b'mod informali?")</f>
        <v>X'għandu bżonn membru tal-komunità biex jgħallem b'mod informali?</v>
      </c>
    </row>
    <row r="26500" ht="15.75" customHeight="1">
      <c r="A26500" s="2" t="s">
        <v>26500</v>
      </c>
      <c r="B26500" s="2" t="str">
        <f>IFERROR(__xludf.DUMMYFUNCTION("GOOGLETRANSLATE(A26500, ""en"", ""mt"")"),"L-Istati Uniti hija maqsuma f'ħames ġurisdizzjonijiet")</f>
        <v>L-Istati Uniti hija maqsuma f'ħames ġurisdizzjonijiet</v>
      </c>
    </row>
    <row r="26501" ht="15.75" customHeight="1">
      <c r="A26501" s="2" t="s">
        <v>26501</v>
      </c>
      <c r="B26501" s="2" t="str">
        <f>IFERROR(__xludf.DUMMYFUNCTION("GOOGLETRANSLATE(A26501, ""en"", ""mt"")"),"Fl-iskejjel li jużaw awtorità bbażata fuq il-popolazzjoni, kif inhu l-ordni pubbliku?")</f>
        <v>Fl-iskejjel li jużaw awtorità bbażata fuq il-popolazzjoni, kif inhu l-ordni pubbliku?</v>
      </c>
    </row>
    <row r="26502" ht="15.75" customHeight="1">
      <c r="A26502" s="2" t="s">
        <v>26502</v>
      </c>
      <c r="B26502" s="2" t="str">
        <f>IFERROR(__xludf.DUMMYFUNCTION("GOOGLETRANSLATE(A26502, ""en"", ""mt"")"),"'art vojta'")</f>
        <v>'art vojta'</v>
      </c>
    </row>
    <row r="26503" ht="15.75" customHeight="1">
      <c r="A26503" s="2" t="s">
        <v>26503</v>
      </c>
      <c r="B26503" s="2" t="str">
        <f>IFERROR(__xludf.DUMMYFUNCTION("GOOGLETRANSLATE(A26503, ""en"", ""mt"")"),"Żieda fil-karozzi importati")</f>
        <v>Żieda fil-karozzi importati</v>
      </c>
    </row>
    <row r="26504" ht="15.75" customHeight="1">
      <c r="A26504" s="2" t="s">
        <v>26504</v>
      </c>
      <c r="B26504" s="2" t="str">
        <f>IFERROR(__xludf.DUMMYFUNCTION("GOOGLETRANSLATE(A26504, ""en"", ""mt"")"),"Seklu 15")</f>
        <v>Seklu 15</v>
      </c>
    </row>
    <row r="26505" ht="15.75" customHeight="1">
      <c r="A26505" s="2" t="s">
        <v>26505</v>
      </c>
      <c r="B26505" s="2" t="str">
        <f>IFERROR(__xludf.DUMMYFUNCTION("GOOGLETRANSLATE(A26505, ""en"", ""mt"")"),"xi pitturi")</f>
        <v>xi pitturi</v>
      </c>
    </row>
    <row r="26506" ht="15.75" customHeight="1">
      <c r="A26506" s="2" t="s">
        <v>26506</v>
      </c>
      <c r="B26506" s="2" t="str">
        <f>IFERROR(__xludf.DUMMYFUNCTION("GOOGLETRANSLATE(A26506, ""en"", ""mt"")"),"KMJ-TV")</f>
        <v>KMJ-TV</v>
      </c>
    </row>
    <row r="26507" ht="15.75" customHeight="1">
      <c r="A26507" s="2" t="s">
        <v>26507</v>
      </c>
      <c r="B26507" s="2" t="str">
        <f>IFERROR(__xludf.DUMMYFUNCTION("GOOGLETRANSLATE(A26507, ""en"", ""mt"")"),"livelli ta 'inugwaljanza ekonomika")</f>
        <v>livelli ta 'inugwaljanza ekonomika</v>
      </c>
    </row>
    <row r="26508" ht="15.75" customHeight="1">
      <c r="A26508" s="2" t="s">
        <v>26508</v>
      </c>
      <c r="B26508" s="2" t="str">
        <f>IFERROR(__xludf.DUMMYFUNCTION("GOOGLETRANSLATE(A26508, ""en"", ""mt"")"),"Thoreau's")</f>
        <v>Thoreau's</v>
      </c>
    </row>
    <row r="26509" ht="15.75" customHeight="1">
      <c r="A26509" s="2" t="s">
        <v>26509</v>
      </c>
      <c r="B26509" s="2" t="str">
        <f>IFERROR(__xludf.DUMMYFUNCTION("GOOGLETRANSLATE(A26509, ""en"", ""mt"")"),"Hutchinson Hall kien iddisinjat biex jidher bħal dak Oxford Hall?")</f>
        <v>Hutchinson Hall kien iddisinjat biex jidher bħal dak Oxford Hall?</v>
      </c>
    </row>
    <row r="26510" ht="15.75" customHeight="1">
      <c r="A26510" s="2" t="s">
        <v>26510</v>
      </c>
      <c r="B26510" s="2" t="str">
        <f>IFERROR(__xludf.DUMMYFUNCTION("GOOGLETRANSLATE(A26510, ""en"", ""mt"")"),"Liema sustanza tintuża biex tagħmel O2 likwidu ta 'kwalità għolja?")</f>
        <v>Liema sustanza tintuża biex tagħmel O2 likwidu ta 'kwalità għolja?</v>
      </c>
    </row>
    <row r="26511" ht="15.75" customHeight="1">
      <c r="A26511" s="2" t="s">
        <v>26511</v>
      </c>
      <c r="B26511" s="2" t="str">
        <f>IFERROR(__xludf.DUMMYFUNCTION("GOOGLETRANSLATE(A26511, ""en"", ""mt"")"),"Minbarra l-Gran Brittanja u l-Amerika ta 'Fuq, fejn inkella r-refuġjati Huguenot stabbilixxew?")</f>
        <v>Minbarra l-Gran Brittanja u l-Amerika ta 'Fuq, fejn inkella r-refuġjati Huguenot stabbilixxew?</v>
      </c>
    </row>
    <row r="26512" ht="15.75" customHeight="1">
      <c r="A26512" s="2" t="s">
        <v>26512</v>
      </c>
      <c r="B26512" s="2" t="str">
        <f>IFERROR(__xludf.DUMMYFUNCTION("GOOGLETRANSLATE(A26512, ""en"", ""mt"")"),"tilef il-finanzjament")</f>
        <v>tilef il-finanzjament</v>
      </c>
    </row>
    <row r="26513" ht="15.75" customHeight="1">
      <c r="A26513" s="2" t="s">
        <v>26513</v>
      </c>
      <c r="B26513" s="2" t="str">
        <f>IFERROR(__xludf.DUMMYFUNCTION("GOOGLETRANSLATE(A26513, ""en"", ""mt"")"),"Taxxa progressiva")</f>
        <v>Taxxa progressiva</v>
      </c>
    </row>
    <row r="26514" ht="15.75" customHeight="1">
      <c r="A26514" s="2" t="s">
        <v>26514</v>
      </c>
      <c r="B26514" s="2" t="str">
        <f>IFERROR(__xludf.DUMMYFUNCTION("GOOGLETRANSLATE(A26514, ""en"", ""mt"")"),"86 km")</f>
        <v>86 km</v>
      </c>
    </row>
    <row r="26515" ht="15.75" customHeight="1">
      <c r="A26515" s="2" t="s">
        <v>26515</v>
      </c>
      <c r="B26515" s="2" t="str">
        <f>IFERROR(__xludf.DUMMYFUNCTION("GOOGLETRANSLATE(A26515, ""en"", ""mt"")"),"nuqqas ta ’fehim")</f>
        <v>nuqqas ta ’fehim</v>
      </c>
    </row>
    <row r="26516" ht="15.75" customHeight="1">
      <c r="A26516" s="2" t="s">
        <v>26516</v>
      </c>
      <c r="B26516" s="2" t="str">
        <f>IFERROR(__xludf.DUMMYFUNCTION("GOOGLETRANSLATE(A26516, ""en"", ""mt"")"),"Tekniċi anzjani tal-ispiżerija")</f>
        <v>Tekniċi anzjani tal-ispiżerija</v>
      </c>
    </row>
    <row r="26517" ht="15.75" customHeight="1">
      <c r="A26517" s="2" t="s">
        <v>26517</v>
      </c>
      <c r="B26517" s="2" t="str">
        <f>IFERROR(__xludf.DUMMYFUNCTION("GOOGLETRANSLATE(A26517, ""en"", ""mt"")"),"Stazzjonijiet idroelettriċi fid-digi")</f>
        <v>Stazzjonijiet idroelettriċi fid-digi</v>
      </c>
    </row>
    <row r="26518" ht="15.75" customHeight="1">
      <c r="A26518" s="2" t="s">
        <v>26518</v>
      </c>
      <c r="B26518" s="2" t="str">
        <f>IFERROR(__xludf.DUMMYFUNCTION("GOOGLETRANSLATE(A26518, ""en"", ""mt"")"),"It-tielet liġi")</f>
        <v>It-tielet liġi</v>
      </c>
    </row>
    <row r="26519" ht="15.75" customHeight="1">
      <c r="A26519" s="2" t="s">
        <v>26519</v>
      </c>
      <c r="B26519" s="2" t="str">
        <f>IFERROR(__xludf.DUMMYFUNCTION("GOOGLETRANSLATE(A26519, ""en"", ""mt"")"),"restorant li jinsab fi grad")</f>
        <v>restorant li jinsab fi grad</v>
      </c>
    </row>
    <row r="26520" ht="15.75" customHeight="1">
      <c r="A26520" s="2" t="s">
        <v>26520</v>
      </c>
      <c r="B26520" s="2" t="str">
        <f>IFERROR(__xludf.DUMMYFUNCTION("GOOGLETRANSLATE(A26520, ""en"", ""mt"")"),"X'inhu l-iktar rwol importanti tal-kloroplasti?")</f>
        <v>X'inhu l-iktar rwol importanti tal-kloroplasti?</v>
      </c>
    </row>
    <row r="26521" ht="15.75" customHeight="1">
      <c r="A26521" s="2" t="s">
        <v>26521</v>
      </c>
      <c r="B26521" s="2" t="str">
        <f>IFERROR(__xludf.DUMMYFUNCTION("GOOGLETRANSLATE(A26521, ""en"", ""mt"")"),"Fil-proċess ta 'tilqim, x'inhu introdott sabiex tiġi żviluppata immunità speċifika?")</f>
        <v>Fil-proċess ta 'tilqim, x'inhu introdott sabiex tiġi żviluppata immunità speċifika?</v>
      </c>
    </row>
    <row r="26522" ht="15.75" customHeight="1">
      <c r="A26522" s="2" t="s">
        <v>26522</v>
      </c>
      <c r="B26522" s="2" t="str">
        <f>IFERROR(__xludf.DUMMYFUNCTION("GOOGLETRANSLATE(A26522, ""en"", ""mt"")"),"Fis-sistema ta 'telefonati virtwali, in-netwerk jiggarantixxi konsenja sekwenzjata ta' data lill-host")</f>
        <v>Fis-sistema ta 'telefonati virtwali, in-netwerk jiggarantixxi konsenja sekwenzjata ta' data lill-host</v>
      </c>
    </row>
    <row r="26523" ht="15.75" customHeight="1">
      <c r="A26523" s="2" t="s">
        <v>26523</v>
      </c>
      <c r="B26523" s="2" t="str">
        <f>IFERROR(__xludf.DUMMYFUNCTION("GOOGLETRANSLATE(A26523, ""en"", ""mt"")"),"BSKYB m'għandu l-ebda veto fuq il-preżenza ta 'kanali fuq l-EPG tagħhom, b'aċċess miftuħ ikun parti infurzata tal-liċenzja operattiva tagħhom minn Ofcom. Kull kanal li jista 'jikseb ġarr fuq raġġ adattat ta' satellita f'28 ° lvant huwa intitolat li jaċċes"&amp;"sa għall-EPG ta 'BSKYB għal ħlas, li jvarja minn £ 15-100,000. Kanali ta 'partijiet terzi li jagħżlu l-encryption jirċievu skontijiet li jvarjaw minn prezz imnaqqas għal entrati EPG b'xejn, ġarr b'xejn fuq transponder mikri BSKYB, jew ħlas attwali biex ji"&amp;"nġarr. Madankollu, anke f'dan il-każ, BSKYB ma jġorr l-ebda kontroll fuq il-kontenut tal-kanal jew kwistjonijiet ta 'ġarr bħall-kwalità tal-istampa.")</f>
        <v>BSKYB m'għandu l-ebda veto fuq il-preżenza ta 'kanali fuq l-EPG tagħhom, b'aċċess miftuħ ikun parti infurzata tal-liċenzja operattiva tagħhom minn Ofcom. Kull kanal li jista 'jikseb ġarr fuq raġġ adattat ta' satellita f'28 ° lvant huwa intitolat li jaċċessa għall-EPG ta 'BSKYB għal ħlas, li jvarja minn £ 15-100,000. Kanali ta 'partijiet terzi li jagħżlu l-encryption jirċievu skontijiet li jvarjaw minn prezz imnaqqas għal entrati EPG b'xejn, ġarr b'xejn fuq transponder mikri BSKYB, jew ħlas attwali biex jinġarr. Madankollu, anke f'dan il-każ, BSKYB ma jġorr l-ebda kontroll fuq il-kontenut tal-kanal jew kwistjonijiet ta 'ġarr bħall-kwalità tal-istampa.</v>
      </c>
    </row>
    <row r="26524" ht="15.75" customHeight="1">
      <c r="A26524" s="2" t="s">
        <v>26524</v>
      </c>
      <c r="B26524" s="2" t="str">
        <f>IFERROR(__xludf.DUMMYFUNCTION("GOOGLETRANSLATE(A26524, ""en"", ""mt"")"),"prestiġjuż")</f>
        <v>prestiġjuż</v>
      </c>
    </row>
    <row r="26525" ht="15.75" customHeight="1">
      <c r="A26525" s="2" t="s">
        <v>26525</v>
      </c>
      <c r="B26525" s="2" t="str">
        <f>IFERROR(__xludf.DUMMYFUNCTION("GOOGLETRANSLATE(A26525, ""en"", ""mt"")"),"seklu sittax")</f>
        <v>seklu sittax</v>
      </c>
    </row>
    <row r="26526" ht="15.75" customHeight="1">
      <c r="A26526" s="2" t="s">
        <v>26526</v>
      </c>
      <c r="B26526" s="2" t="str">
        <f>IFERROR(__xludf.DUMMYFUNCTION("GOOGLETRANSLATE(A26526, ""en"", ""mt"")"),"Liema invenzjoni aktar tard kienet l-idea ta 'Tesla simili għal?")</f>
        <v>Liema invenzjoni aktar tard kienet l-idea ta 'Tesla simili għal?</v>
      </c>
    </row>
    <row r="26527" ht="15.75" customHeight="1">
      <c r="A26527" s="2" t="s">
        <v>26527</v>
      </c>
      <c r="B26527" s="2" t="str">
        <f>IFERROR(__xludf.DUMMYFUNCTION("GOOGLETRANSLATE(A26527, ""en"", ""mt"")"),"marġinalment aktar biss")</f>
        <v>marġinalment aktar biss</v>
      </c>
    </row>
    <row r="26528" ht="15.75" customHeight="1">
      <c r="A26528" s="2" t="s">
        <v>26528</v>
      </c>
      <c r="B26528" s="2" t="str">
        <f>IFERROR(__xludf.DUMMYFUNCTION("GOOGLETRANSLATE(A26528, ""en"", ""mt"")"),"Min ixandar is-Super Bowl fuq it-TV?")</f>
        <v>Min ixandar is-Super Bowl fuq it-TV?</v>
      </c>
    </row>
    <row r="26529" ht="15.75" customHeight="1">
      <c r="A26529" s="2" t="s">
        <v>26529</v>
      </c>
      <c r="B26529" s="2" t="str">
        <f>IFERROR(__xludf.DUMMYFUNCTION("GOOGLETRANSLATE(A26529, ""en"", ""mt"")"),"84 siegħa")</f>
        <v>84 siegħa</v>
      </c>
    </row>
    <row r="26530" ht="15.75" customHeight="1">
      <c r="A26530" s="2" t="s">
        <v>26530</v>
      </c>
      <c r="B26530" s="2" t="str">
        <f>IFERROR(__xludf.DUMMYFUNCTION("GOOGLETRANSLATE(A26530, ""en"", ""mt"")"),"Liema tobba kienu fil-proġett: Lazzru?")</f>
        <v>Liema tobba kienu fil-proġett: Lazzru?</v>
      </c>
    </row>
    <row r="26531" ht="15.75" customHeight="1">
      <c r="A26531" s="2" t="s">
        <v>26531</v>
      </c>
      <c r="B26531" s="2" t="str">
        <f>IFERROR(__xludf.DUMMYFUNCTION("GOOGLETRANSLATE(A26531, ""en"", ""mt"")"),"it-trattati li jistabbilixxu l-Unjoni Ewropea")</f>
        <v>it-trattati li jistabbilixxu l-Unjoni Ewropea</v>
      </c>
    </row>
    <row r="26532" ht="15.75" customHeight="1">
      <c r="A26532" s="2" t="s">
        <v>26532</v>
      </c>
      <c r="B26532" s="2" t="str">
        <f>IFERROR(__xludf.DUMMYFUNCTION("GOOGLETRANSLATE(A26532, ""en"", ""mt"")"),"X'inhi l-pesta oħra maħsuba li nfirxet bl-istess mod?")</f>
        <v>X'inhi l-pesta oħra maħsuba li nfirxet bl-istess mod?</v>
      </c>
    </row>
    <row r="26533" ht="15.75" customHeight="1">
      <c r="A26533" s="2" t="s">
        <v>26533</v>
      </c>
      <c r="B26533" s="2" t="str">
        <f>IFERROR(__xludf.DUMMYFUNCTION("GOOGLETRANSLATE(A26533, ""en"", ""mt"")"),"Liema CEO ta 'Goldman Sachs huwa wkoll alumni ta' l-Università ta 'Chicago?")</f>
        <v>Liema CEO ta 'Goldman Sachs huwa wkoll alumni ta' l-Università ta 'Chicago?</v>
      </c>
    </row>
    <row r="26534" ht="15.75" customHeight="1">
      <c r="A26534" s="2" t="s">
        <v>26534</v>
      </c>
      <c r="B26534" s="2" t="str">
        <f>IFERROR(__xludf.DUMMYFUNCTION("GOOGLETRANSLATE(A26534, ""en"", ""mt"")"),"Astor meta pprovda l-flus?")</f>
        <v>Astor meta pprovda l-flus?</v>
      </c>
    </row>
    <row r="26535" ht="15.75" customHeight="1">
      <c r="A26535" s="2" t="s">
        <v>26535</v>
      </c>
      <c r="B26535" s="2" t="str">
        <f>IFERROR(__xludf.DUMMYFUNCTION("GOOGLETRANSLATE(A26535, ""en"", ""mt"")"),"proprju aktar minn nofs il-ġid globali sal-2016")</f>
        <v>proprju aktar minn nofs il-ġid globali sal-2016</v>
      </c>
    </row>
    <row r="26536" ht="15.75" customHeight="1">
      <c r="A26536" s="2" t="s">
        <v>26536</v>
      </c>
      <c r="B26536" s="2" t="str">
        <f>IFERROR(__xludf.DUMMYFUNCTION("GOOGLETRANSLATE(A26536, ""en"", ""mt"")"),"L-infjammazzjoni hija waħda mill-ewwel tweġibiet tas-sistema immuni għall-infezzjoni. Is-sintomi ta 'infjammazzjoni huma ħmura, nefħa, sħana u uġigħ, li huma kkawżati minn żieda fil-fluss tad-demm fit-tessut. Infjammazzjoni hija prodotta minn ekosanojdi u"&amp;" ċitokini, li huma rilaxxati minn ċelloli midruba jew infettati. L-ekosanojdi jinkludu prostaglandini li jipproduċu d-deni u d-dilatazzjoni ta 'vini tad-demm assoċjati ma' infjammazzjoni, u lewkotrienes li jattiraw ċerti ċelloli bojod tad-demm (lewkoċiti)"&amp;". Ċitokini komuni jinkludu interleukins li huma responsabbli għall-komunikazzjoni bejn iċ-ċelloli bojod tad-demm; kimokini li jippromwovu l-kimotaxis; u interferoni li għandhom effetti anti-virali, bħalma huma l-għeluq tas-sinteżi tal-proteina fiċ-ċellula"&amp;" ospitanti. Fatturi ta 'tkabbir u fatturi ċitotossiċi jistgħu wkoll jiġu rilaxxati. Dawn iċ-ċitokini u kimiċi oħra jirreklutaw ċelloli immuni fis-sit ta 'infezzjoni u jippromwovu l-fejqan ta' kwalunkwe tessut bil-ħsara wara t-tneħħija ta 'patoġeni.")</f>
        <v>L-infjammazzjoni hija waħda mill-ewwel tweġibiet tas-sistema immuni għall-infezzjoni. Is-sintomi ta 'infjammazzjoni huma ħmura, nefħa, sħana u uġigħ, li huma kkawżati minn żieda fil-fluss tad-demm fit-tessut. Infjammazzjoni hija prodotta minn ekosanojdi u ċitokini, li huma rilaxxati minn ċelloli midruba jew infettati. L-ekosanojdi jinkludu prostaglandini li jipproduċu d-deni u d-dilatazzjoni ta 'vini tad-demm assoċjati ma' infjammazzjoni, u lewkotrienes li jattiraw ċerti ċelloli bojod tad-demm (lewkoċiti). Ċitokini komuni jinkludu interleukins li huma responsabbli għall-komunikazzjoni bejn iċ-ċelloli bojod tad-demm; kimokini li jippromwovu l-kimotaxis; u interferoni li għandhom effetti anti-virali, bħalma huma l-għeluq tas-sinteżi tal-proteina fiċ-ċellula ospitanti. Fatturi ta 'tkabbir u fatturi ċitotossiċi jistgħu wkoll jiġu rilaxxati. Dawn iċ-ċitokini u kimiċi oħra jirreklutaw ċelloli immuni fis-sit ta 'infezzjoni u jippromwovu l-fejqan ta' kwalunkwe tessut bil-ħsara wara t-tneħħija ta 'patoġeni.</v>
      </c>
    </row>
    <row r="26537" ht="15.75" customHeight="1">
      <c r="A26537" s="2" t="s">
        <v>26537</v>
      </c>
      <c r="B26537" s="2" t="str">
        <f>IFERROR(__xludf.DUMMYFUNCTION("GOOGLETRANSLATE(A26537, ""en"", ""mt"")"),"diffiċli għall-predaturi biex jevolvu li jistgħu jispeċjalizzaw bħala predaturi fuq magicicadas")</f>
        <v>diffiċli għall-predaturi biex jevolvu li jistgħu jispeċjalizzaw bħala predaturi fuq magicicadas</v>
      </c>
    </row>
    <row r="26538" ht="15.75" customHeight="1">
      <c r="A26538" s="2" t="s">
        <v>26538</v>
      </c>
      <c r="B26538" s="2" t="str">
        <f>IFERROR(__xludf.DUMMYFUNCTION("GOOGLETRANSLATE(A26538, ""en"", ""mt"")"),"X'kien il-vantaġġ li l-metodu LOR prodott f'każ ta 'falliment tal-vettura spazjali?")</f>
        <v>X'kien il-vantaġġ li l-metodu LOR prodott f'każ ta 'falliment tal-vettura spazjali?</v>
      </c>
    </row>
    <row r="26539" ht="15.75" customHeight="1">
      <c r="A26539" s="2" t="s">
        <v>26539</v>
      </c>
      <c r="B26539" s="2" t="str">
        <f>IFERROR(__xludf.DUMMYFUNCTION("GOOGLETRANSLATE(A26539, ""en"", ""mt"")"),"X'inhi l-forza bejn żewġ postijiet relatati?")</f>
        <v>X'inhi l-forza bejn żewġ postijiet relatati?</v>
      </c>
    </row>
    <row r="26540" ht="15.75" customHeight="1">
      <c r="A26540" s="2" t="s">
        <v>26540</v>
      </c>
      <c r="B26540" s="2" t="str">
        <f>IFERROR(__xludf.DUMMYFUNCTION("GOOGLETRANSLATE(A26540, ""en"", ""mt"")"),"primarju")</f>
        <v>primarju</v>
      </c>
    </row>
    <row r="26541" ht="15.75" customHeight="1">
      <c r="A26541" s="2" t="s">
        <v>26541</v>
      </c>
      <c r="B26541" s="2" t="str">
        <f>IFERROR(__xludf.DUMMYFUNCTION("GOOGLETRANSLATE(A26541, ""en"", ""mt"")"),"Seattle Seahawks")</f>
        <v>Seattle Seahawks</v>
      </c>
    </row>
    <row r="26542" ht="15.75" customHeight="1">
      <c r="A26542" s="2" t="s">
        <v>26542</v>
      </c>
      <c r="B26542" s="2" t="str">
        <f>IFERROR(__xludf.DUMMYFUNCTION("GOOGLETRANSLATE(A26542, ""en"", ""mt"")"),"Kemm soundtracks Doctor Who ġew rilaxxati mill-2005?")</f>
        <v>Kemm soundtracks Doctor Who ġew rilaxxati mill-2005?</v>
      </c>
    </row>
    <row r="26543" ht="15.75" customHeight="1">
      <c r="A26543" s="2" t="s">
        <v>26543</v>
      </c>
      <c r="B26543" s="2" t="str">
        <f>IFERROR(__xludf.DUMMYFUNCTION("GOOGLETRANSLATE(A26543, ""en"", ""mt"")"),"Ġersijiet suwed bi qliezet tal-fidda.")</f>
        <v>Ġersijiet suwed bi qliezet tal-fidda.</v>
      </c>
    </row>
    <row r="26544" ht="15.75" customHeight="1">
      <c r="A26544" s="2" t="s">
        <v>26544</v>
      </c>
      <c r="B26544" s="2" t="str">
        <f>IFERROR(__xludf.DUMMYFUNCTION("GOOGLETRANSLATE(A26544, ""en"", ""mt"")"),"L-Amministratur Webb induna li sabiex iżomm l-ispejjeż ta 'Apollo taħt kontroll, huwa kellu jiżviluppa ħiliet akbar ta' ġestjoni tal-proġett fl-organizzazzjoni tiegħu, u għalhekk huwa rrekluta lil Dr George E. Mueller għal xogħol ta 'ġestjoni għolja. Muel"&amp;"ler aċċetta, bil-kondizzjoni li huwa qal fir-riorganizzazzjoni tan-NASA meħtieġa biex jamministra b'mod effettiv Apollo. Webb imbagħad ħadem ma 'Amministratur Assoċjat (aktar tard id-Deputat Amministratur) Robert Seamans biex jerġa' jorganizza l-Uffiċċju "&amp;"tat-Titjira Spazjali Elanned (OMSF). Fit-23 ta 'Lulju, 1963, Webb ħabbar l-appuntament ta' Mueller bħala Viċi Amministratur Assoċjat għat-Titjira Spazjali Elanned, biex jissostitwixxi l-Amministratur Assoċjat D. Brainerd Holmes fuq l-irtirar tiegħu effett"&amp;"iv f'Settembru. Ċentru tat-Titjira Spazjali (von Braun) u ċ-Ċentru tal-Operazzjonijiet ta 'Tnedija (DEBUS) irrappurtaw b'mod effettiv lil Mueller.")</f>
        <v>L-Amministratur Webb induna li sabiex iżomm l-ispejjeż ta 'Apollo taħt kontroll, huwa kellu jiżviluppa ħiliet akbar ta' ġestjoni tal-proġett fl-organizzazzjoni tiegħu, u għalhekk huwa rrekluta lil Dr George E. Mueller għal xogħol ta 'ġestjoni għolja. Mueller aċċetta, bil-kondizzjoni li huwa qal fir-riorganizzazzjoni tan-NASA meħtieġa biex jamministra b'mod effettiv Apollo. Webb imbagħad ħadem ma 'Amministratur Assoċjat (aktar tard id-Deputat Amministratur) Robert Seamans biex jerġa' jorganizza l-Uffiċċju tat-Titjira Spazjali Elanned (OMSF). Fit-23 ta 'Lulju, 1963, Webb ħabbar l-appuntament ta' Mueller bħala Viċi Amministratur Assoċjat għat-Titjira Spazjali Elanned, biex jissostitwixxi l-Amministratur Assoċjat D. Brainerd Holmes fuq l-irtirar tiegħu effettiv f'Settembru. Ċentru tat-Titjira Spazjali (von Braun) u ċ-Ċentru tal-Operazzjonijiet ta 'Tnedija (DEBUS) irrappurtaw b'mod effettiv lil Mueller.</v>
      </c>
    </row>
    <row r="26545" ht="15.75" customHeight="1">
      <c r="A26545" s="2" t="s">
        <v>26545</v>
      </c>
      <c r="B26545" s="2" t="str">
        <f>IFERROR(__xludf.DUMMYFUNCTION("GOOGLETRANSLATE(A26545, ""en"", ""mt"")"),"Venom tal-Iskorpjun")</f>
        <v>Venom tal-Iskorpjun</v>
      </c>
    </row>
    <row r="26546" ht="15.75" customHeight="1">
      <c r="A26546" s="2" t="s">
        <v>26546</v>
      </c>
      <c r="B26546" s="2" t="str">
        <f>IFERROR(__xludf.DUMMYFUNCTION("GOOGLETRANSLATE(A26546, ""en"", ""mt"")"),"Id-dipartiment tal-kelma u l-immaġni tal-Mużew Victoria u Albert kien taħt l-istess pressjoni li qed jinħass fl-arkivji madwar id-dinja, biex jiddiġitizza l-kollezzjoni tagħhom. Proġett ta 'diġitizzazzjoni fuq skala kbira beda fl-2007 f'dak id-dipartiment"&amp;". Dak il-proġett kien intitolat il-proġett tal-fabbrika biex jirreferi lil Andy Warhol u biex joħloq fabbrika biex tiddiġitizza kompletament il-kollezzjoni. L-ewwel pass tal-proġett tal-fabbrika kien li jieħdu ritratti li jużaw kameras diġitali. Id-dipart"&amp;"iment tal-kelma u l-immaġini kellu ġabra ta 'ritratti qodma iżda kienu bl-iswed u bl-abjad u f'kundizzjonijiet varjanti, u għalhekk ġew sparati ritratti ġodda. Dawk ir-ritratti l-ġodda se jkunu aċċessibbli għar-riċerkaturi għas-sit web tal-Victoria u Albe"&amp;"rt Museum. 15,000 immaġini ttieħdu matul l-ewwel sena tal-proġett tal-fabbrika, inklużi tpinġijiet, akwarelli, arti ġġenerata mill-kompjuter, ritratti, posters u injam. It-tieni pass tal-proġett tal-fabbrika huwa li tikkataloga kollox. It-tielet pass tal-"&amp;"proġett tal-fabbrika huwa li jivverifika l-kollezzjoni. Dawk l-oġġetti kollha li ġew fotografati u katalogati, għandhom jiġu vverifikati biex ikun żgur li dak kollu elenkat bħala li qiegħed fil-kollezzjoni nstab fiżikament waqt il-ħolqien tal-proġett tal-"&amp;"fabbrika. Ir-raba 'għan tal-proġett tal-fabbrika huwa l-konservazzjoni, li jfisser li twettaq xi proċeduri bażiċi li jistgħu jiġu evitati għal dawk l-oġġetti fid-dipartiment. Hemm karatteristika ta '""tfittxija fil-kollezzjonijiet"" fuq is-sit web Victori"&amp;"a u Albert. L-impetu ewlieni wara l-proġett ta 'diġitizzazzjoni fuq skala kbira msejjaħ il-proġett tal-fabbrika kien li jelenka aktar oġġetti fil-kollezzjonijiet f'dawk il-bażijiet tad-dejta tal-kompjuter.")</f>
        <v>Id-dipartiment tal-kelma u l-immaġni tal-Mużew Victoria u Albert kien taħt l-istess pressjoni li qed jinħass fl-arkivji madwar id-dinja, biex jiddiġitizza l-kollezzjoni tagħhom. Proġett ta 'diġitizzazzjoni fuq skala kbira beda fl-2007 f'dak id-dipartiment. Dak il-proġett kien intitolat il-proġett tal-fabbrika biex jirreferi lil Andy Warhol u biex joħloq fabbrika biex tiddiġitizza kompletament il-kollezzjoni. L-ewwel pass tal-proġett tal-fabbrika kien li jieħdu ritratti li jużaw kameras diġitali. Id-dipartiment tal-kelma u l-immaġini kellu ġabra ta 'ritratti qodma iżda kienu bl-iswed u bl-abjad u f'kundizzjonijiet varjanti, u għalhekk ġew sparati ritratti ġodda. Dawk ir-ritratti l-ġodda se jkunu aċċessibbli għar-riċerkaturi għas-sit web tal-Victoria u Albert Museum. 15,000 immaġini ttieħdu matul l-ewwel sena tal-proġett tal-fabbrika, inklużi tpinġijiet, akwarelli, arti ġġenerata mill-kompjuter, ritratti, posters u injam. It-tieni pass tal-proġett tal-fabbrika huwa li tikkataloga kollox. It-tielet pass tal-proġett tal-fabbrika huwa li jivverifika l-kollezzjoni. Dawk l-oġġetti kollha li ġew fotografati u katalogati, għandhom jiġu vverifikati biex ikun żgur li dak kollu elenkat bħala li qiegħed fil-kollezzjoni nstab fiżikament waqt il-ħolqien tal-proġett tal-fabbrika. Ir-raba 'għan tal-proġett tal-fabbrika huwa l-konservazzjoni, li jfisser li twettaq xi proċeduri bażiċi li jistgħu jiġu evitati għal dawk l-oġġetti fid-dipartiment. Hemm karatteristika ta '"tfittxija fil-kollezzjonijiet" fuq is-sit web Victoria u Albert. L-impetu ewlieni wara l-proġett ta 'diġitizzazzjoni fuq skala kbira msejjaħ il-proġett tal-fabbrika kien li jelenka aktar oġġetti fil-kollezzjonijiet f'dawk il-bażijiet tad-dejta tal-kompjuter.</v>
      </c>
    </row>
    <row r="26547" ht="15.75" customHeight="1">
      <c r="A26547" s="2" t="s">
        <v>26547</v>
      </c>
      <c r="B26547" s="2" t="str">
        <f>IFERROR(__xludf.DUMMYFUNCTION("GOOGLETRANSLATE(A26547, ""en"", ""mt"")"),"Liema rotta tal-istat kienet f'diskussjoni biex taġġorna għall-istandards bejn l-istati?")</f>
        <v>Liema rotta tal-istat kienet f'diskussjoni biex taġġorna għall-istandards bejn l-istati?</v>
      </c>
    </row>
    <row r="26548" ht="15.75" customHeight="1">
      <c r="A26548" s="2" t="s">
        <v>26548</v>
      </c>
      <c r="B26548" s="2" t="str">
        <f>IFERROR(__xludf.DUMMYFUNCTION("GOOGLETRANSLATE(A26548, ""en"", ""mt"")"),"Meta jkunu miżżewġin, u lil min")</f>
        <v>Meta jkunu miżżewġin, u lil min</v>
      </c>
    </row>
    <row r="26549" ht="15.75" customHeight="1">
      <c r="A26549" s="2" t="s">
        <v>26549</v>
      </c>
      <c r="B26549" s="2" t="str">
        <f>IFERROR(__xludf.DUMMYFUNCTION("GOOGLETRANSLATE(A26549, ""en"", ""mt"")"),"Imla l-kors bażiku u kors wieħed avvanzat tal-lajk,")</f>
        <v>Imla l-kors bażiku u kors wieħed avvanzat tal-lajk,</v>
      </c>
    </row>
    <row r="26550" ht="15.75" customHeight="1">
      <c r="A26550" s="2" t="s">
        <v>26550</v>
      </c>
      <c r="B26550" s="2" t="str">
        <f>IFERROR(__xludf.DUMMYFUNCTION("GOOGLETRANSLATE(A26550, ""en"", ""mt"")"),"X'tip ta 'komposti jifforma l-ossiġnu l-aktar komunement?")</f>
        <v>X'tip ta 'komposti jifforma l-ossiġnu l-aktar komunement?</v>
      </c>
    </row>
    <row r="26551" ht="15.75" customHeight="1">
      <c r="A26551" s="2" t="s">
        <v>26551</v>
      </c>
      <c r="B26551" s="2" t="str">
        <f>IFERROR(__xludf.DUMMYFUNCTION("GOOGLETRANSLATE(A26551, ""en"", ""mt"")"),"Kemm jista 'l-piż jista' jibgħat l-ispazju ta 'Saturn b'dan l-ammont ta' ġibda?")</f>
        <v>Kemm jista 'l-piż jista' jibgħat l-ispazju ta 'Saturn b'dan l-ammont ta' ġibda?</v>
      </c>
    </row>
    <row r="26552" ht="15.75" customHeight="1">
      <c r="A26552" s="2" t="s">
        <v>26552</v>
      </c>
      <c r="B26552" s="2" t="str">
        <f>IFERROR(__xludf.DUMMYFUNCTION("GOOGLETRANSLATE(A26552, ""en"", ""mt"")"),"26 sekonda barra l-kalendarju modern Gregorjan")</f>
        <v>26 sekonda barra l-kalendarju modern Gregorjan</v>
      </c>
    </row>
    <row r="26553" ht="15.75" customHeight="1">
      <c r="A26553" s="2" t="s">
        <v>26553</v>
      </c>
      <c r="B26553" s="2" t="str">
        <f>IFERROR(__xludf.DUMMYFUNCTION("GOOGLETRANSLATE(A26553, ""en"", ""mt"")"),"Kieku n-numri Rumani kienu jintużaw fl-isem tal-50 Super Bowl, liema waħda kienet tintuża?")</f>
        <v>Kieku n-numri Rumani kienu jintużaw fl-isem tal-50 Super Bowl, liema waħda kienet tintuża?</v>
      </c>
    </row>
    <row r="26554" ht="15.75" customHeight="1">
      <c r="A26554" s="2" t="s">
        <v>26554</v>
      </c>
      <c r="B26554" s="2" t="str">
        <f>IFERROR(__xludf.DUMMYFUNCTION("GOOGLETRANSLATE(A26554, ""en"", ""mt"")"),"Biex tevita li tkun immirata mill-bojkott")</f>
        <v>Biex tevita li tkun immirata mill-bojkott</v>
      </c>
    </row>
    <row r="26555" ht="15.75" customHeight="1">
      <c r="A26555" s="2" t="s">
        <v>26555</v>
      </c>
      <c r="B26555" s="2" t="str">
        <f>IFERROR(__xludf.DUMMYFUNCTION("GOOGLETRANSLATE(A26555, ""en"", ""mt"")"),"115.7 metri")</f>
        <v>115.7 metri</v>
      </c>
    </row>
    <row r="26556" ht="15.75" customHeight="1">
      <c r="A26556" s="2" t="s">
        <v>26556</v>
      </c>
      <c r="B26556" s="2" t="str">
        <f>IFERROR(__xludf.DUMMYFUNCTION("GOOGLETRANSLATE(A26556, ""en"", ""mt"")"),"Uliedi kollha u ħajja waħda biex ngħixu")</f>
        <v>Uliedi kollha u ħajja waħda biex ngħixu</v>
      </c>
    </row>
    <row r="26557" ht="15.75" customHeight="1">
      <c r="A26557" s="2" t="s">
        <v>26557</v>
      </c>
      <c r="B26557" s="2" t="str">
        <f>IFERROR(__xludf.DUMMYFUNCTION("GOOGLETRANSLATE(A26557, ""en"", ""mt"")"),"politikament u soċjalment instabbli")</f>
        <v>politikament u soċjalment instabbli</v>
      </c>
    </row>
    <row r="26558" ht="15.75" customHeight="1">
      <c r="A26558" s="2" t="s">
        <v>26558</v>
      </c>
      <c r="B26558" s="2" t="str">
        <f>IFERROR(__xludf.DUMMYFUNCTION("GOOGLETRANSLATE(A26558, ""en"", ""mt"")"),"F'April 1191 Richard il-Lion-Hearted ħalla lil Messina bi flotta kbira sabiex tilħaq acre. Imma maltempata xerred il-flotta. Wara ftit tfittxija, ġie skopert li d-dgħajsa li ġġorr lil oħtu u l-għarus tiegħu Berengaria kienet ankrata fuq il-kosta tan-nofsi"&amp;"nhar ta 'Ċipru, flimkien ma' l-inkaljar ta 'diversi vapuri oħra, inkluż il-vapur tat-teżor. Is-sopravissuti ta 'l-inkaljar kienu ttieħdu priġunier mid-despot tal-gżira Isaac Komnenos. Fl-1 ta 'Mejju 1191, il-flotta ta' Richard waslet fil-port ta 'Limassol"&amp;" fuq Ċipru. Huwa ordna lil Iżakk biex jeħles lill-priġunieri u t-teżor. Isaac irrifjuta, u għalhekk Richard żbarka t-truppi tiegħu u ħa Limassol.")</f>
        <v>F'April 1191 Richard il-Lion-Hearted ħalla lil Messina bi flotta kbira sabiex tilħaq acre. Imma maltempata xerred il-flotta. Wara ftit tfittxija, ġie skopert li d-dgħajsa li ġġorr lil oħtu u l-għarus tiegħu Berengaria kienet ankrata fuq il-kosta tan-nofsinhar ta 'Ċipru, flimkien ma' l-inkaljar ta 'diversi vapuri oħra, inkluż il-vapur tat-teżor. Is-sopravissuti ta 'l-inkaljar kienu ttieħdu priġunier mid-despot tal-gżira Isaac Komnenos. Fl-1 ta 'Mejju 1191, il-flotta ta' Richard waslet fil-port ta 'Limassol fuq Ċipru. Huwa ordna lil Iżakk biex jeħles lill-priġunieri u t-teżor. Isaac irrifjuta, u għalhekk Richard żbarka t-truppi tiegħu u ħa Limassol.</v>
      </c>
    </row>
    <row r="26559" ht="15.75" customHeight="1">
      <c r="A26559" s="2" t="s">
        <v>26559</v>
      </c>
      <c r="B26559" s="2" t="str">
        <f>IFERROR(__xludf.DUMMYFUNCTION("GOOGLETRANSLATE(A26559, ""en"", ""mt"")"),"X’segwi l-ispettaklu tard ma ’Stephen Colbert?")</f>
        <v>X’segwi l-ispettaklu tard ma ’Stephen Colbert?</v>
      </c>
    </row>
    <row r="26560" ht="15.75" customHeight="1">
      <c r="A26560" s="2" t="s">
        <v>26560</v>
      </c>
      <c r="B26560" s="2" t="str">
        <f>IFERROR(__xludf.DUMMYFUNCTION("GOOGLETRANSLATE(A26560, ""en"", ""mt"")"),"ukoll zkuk")</f>
        <v>ukoll zkuk</v>
      </c>
    </row>
    <row r="26561" ht="15.75" customHeight="1">
      <c r="A26561" s="2" t="s">
        <v>26561</v>
      </c>
      <c r="B26561" s="2" t="str">
        <f>IFERROR(__xludf.DUMMYFUNCTION("GOOGLETRANSLATE(A26561, ""en"", ""mt"")"),"Il-Ħamis")</f>
        <v>Il-Ħamis</v>
      </c>
    </row>
    <row r="26562" ht="15.75" customHeight="1">
      <c r="A26562" s="2" t="s">
        <v>26562</v>
      </c>
      <c r="B26562" s="2" t="str">
        <f>IFERROR(__xludf.DUMMYFUNCTION("GOOGLETRANSLATE(A26562, ""en"", ""mt"")"),"Min qabbad lil Tesla fi New York?")</f>
        <v>Min qabbad lil Tesla fi New York?</v>
      </c>
    </row>
    <row r="26563" ht="15.75" customHeight="1">
      <c r="A26563" s="2" t="s">
        <v>26563</v>
      </c>
      <c r="B26563" s="2" t="str">
        <f>IFERROR(__xludf.DUMMYFUNCTION("GOOGLETRANSLATE(A26563, ""en"", ""mt"")"),"100 biljun dollaru")</f>
        <v>100 biljun dollaru</v>
      </c>
    </row>
    <row r="26564" ht="15.75" customHeight="1">
      <c r="A26564" s="2" t="s">
        <v>26564</v>
      </c>
      <c r="B26564" s="2" t="str">
        <f>IFERROR(__xludf.DUMMYFUNCTION("GOOGLETRANSLATE(A26564, ""en"", ""mt"")"),"il-bużżieqa tad-djar")</f>
        <v>il-bużżieqa tad-djar</v>
      </c>
    </row>
    <row r="26565" ht="15.75" customHeight="1">
      <c r="A26565" s="2" t="s">
        <v>26565</v>
      </c>
      <c r="B26565" s="2" t="str">
        <f>IFERROR(__xludf.DUMMYFUNCTION("GOOGLETRANSLATE(A26565, ""en"", ""mt"")"),"X'inhu n-numru Ruman għal 50?")</f>
        <v>X'inhu n-numru Ruman għal 50?</v>
      </c>
    </row>
    <row r="26566" ht="15.75" customHeight="1">
      <c r="A26566" s="2" t="s">
        <v>26566</v>
      </c>
      <c r="B26566" s="2" t="str">
        <f>IFERROR(__xludf.DUMMYFUNCTION("GOOGLETRANSLATE(A26566, ""en"", ""mt"")"),"Jazdów")</f>
        <v>Jazdów</v>
      </c>
    </row>
    <row r="26567" ht="15.75" customHeight="1">
      <c r="A26567" s="2" t="s">
        <v>26567</v>
      </c>
      <c r="B26567" s="2" t="str">
        <f>IFERROR(__xludf.DUMMYFUNCTION("GOOGLETRANSLATE(A26567, ""en"", ""mt"")"),"btieti tal-aringi")</f>
        <v>btieti tal-aringi</v>
      </c>
    </row>
    <row r="26568" ht="15.75" customHeight="1">
      <c r="A26568" s="2" t="s">
        <v>26568</v>
      </c>
      <c r="B26568" s="2" t="str">
        <f>IFERROR(__xludf.DUMMYFUNCTION("GOOGLETRANSLATE(A26568, ""en"", ""mt"")"),"Kif iddeskriva Der Sturmer Luther's fuq il-Lhud u l-gideb tagħhom")</f>
        <v>Kif iddeskriva Der Sturmer Luther's fuq il-Lhud u l-gideb tagħhom</v>
      </c>
    </row>
    <row r="26569" ht="15.75" customHeight="1">
      <c r="A26569" s="2" t="s">
        <v>26569</v>
      </c>
      <c r="B26569" s="2" t="str">
        <f>IFERROR(__xludf.DUMMYFUNCTION("GOOGLETRANSLATE(A26569, ""en"", ""mt"")"),"授時暦")</f>
        <v>授時暦</v>
      </c>
    </row>
    <row r="26570" ht="15.75" customHeight="1">
      <c r="A26570" s="2" t="s">
        <v>26570</v>
      </c>
      <c r="B26570" s="2" t="str">
        <f>IFERROR(__xludf.DUMMYFUNCTION("GOOGLETRANSLATE(A26570, ""en"", ""mt"")"),"Is-Sistema tal-Librerija tal-Università ta ’Harvard hija ċċentrata fil-Librerija Widener fil-Harvard Yard u tinkludi kważi 80 librerija individwali li għandhom aktar minn 18-il miljun volum. Skond l-Assoċjazzjoni Amerikana tal-Librerija, din tagħmilha l-i"&amp;"kbar librerija akkademika fl-Istati Uniti, u waħda mill-ikbar fid-dinja. Cabot Science Library, Lamont Library, u Widener Library huma tlieta mill-aktar libreriji popolari għal dawk li jiggradwaw biex jintużaw, b'aċċess faċli u postijiet ċentrali. Hemm ko"&amp;"tba rari, manuskritti u kollezzjonijiet speċjali oħra fil-libreriji ta 'Harvard; Houghton Library, il-Librerija Arthur u Elizabeth Schlesinger dwar l-Istorja tan-Nisa fl-Amerika, u l-Arkivji tal-Università ta 'Harvard jikkonsistu prinċipalment minn materj"&amp;"ali rari u uniċi. L-eqdem kollezzjoni ta 'mapep, gazzetta u atlasi ta' l-Amerika kemm qodma kif ukoll ġodda hija maħżuna fil-librerija Pusey u miftuħa għall-pubbliku. L-akbar ġabra ta 'materjal tal-lingwa tal-Lvant-Ażjan barra l-Asja tal-Lvant hija miżmum"&amp;"a fil-Librerija ta' Harvard-Yenching.")</f>
        <v>Is-Sistema tal-Librerija tal-Università ta ’Harvard hija ċċentrata fil-Librerija Widener fil-Harvard Yard u tinkludi kważi 80 librerija individwali li għandhom aktar minn 18-il miljun volum. Skond l-Assoċjazzjoni Amerikana tal-Librerija, din tagħmilha l-ikbar librerija akkademika fl-Istati Uniti, u waħda mill-ikbar fid-dinja. Cabot Science Library, Lamont Library, u Widener Library huma tlieta mill-aktar libreriji popolari għal dawk li jiggradwaw biex jintużaw, b'aċċess faċli u postijiet ċentrali. Hemm kotba rari, manuskritti u kollezzjonijiet speċjali oħra fil-libreriji ta 'Harvard; Houghton Library, il-Librerija Arthur u Elizabeth Schlesinger dwar l-Istorja tan-Nisa fl-Amerika, u l-Arkivji tal-Università ta 'Harvard jikkonsistu prinċipalment minn materjali rari u uniċi. L-eqdem kollezzjoni ta 'mapep, gazzetta u atlasi ta' l-Amerika kemm qodma kif ukoll ġodda hija maħżuna fil-librerija Pusey u miftuħa għall-pubbliku. L-akbar ġabra ta 'materjal tal-lingwa tal-Lvant-Ażjan barra l-Asja tal-Lvant hija miżmuma fil-Librerija ta' Harvard-Yenching.</v>
      </c>
    </row>
    <row r="26571" ht="15.75" customHeight="1">
      <c r="A26571" s="2" t="s">
        <v>26571</v>
      </c>
      <c r="B26571" s="2" t="str">
        <f>IFERROR(__xludf.DUMMYFUNCTION("GOOGLETRANSLATE(A26571, ""en"", ""mt"")"),"Kull sena, iż-żona tan-Nofsinhar tal-Kalifornja għandha madwar 10,000 terremoti. Kważi kollha huma daqshekk żgħar li ma jinħassux. Diversi mijiet biss huma ikbar mill-kobor 3.0, u madwar 15-20 biss huma ikbar mill-kobor 4.0. It-terremot ta ’Kobor 6.7 1994"&amp;" Northridge kien partikolarment distruttiv, u kkawża numru sostanzjali ta’ mwiet, korrimenti, u kollass strutturali. Huwa kkawża l-iktar ħsara fuq il-proprjetà ta 'kwalunkwe terremot fl-istorja ta' l-Istati Uniti, stmata għal aktar minn $ 20 biljun.")</f>
        <v>Kull sena, iż-żona tan-Nofsinhar tal-Kalifornja għandha madwar 10,000 terremoti. Kważi kollha huma daqshekk żgħar li ma jinħassux. Diversi mijiet biss huma ikbar mill-kobor 3.0, u madwar 15-20 biss huma ikbar mill-kobor 4.0. It-terremot ta ’Kobor 6.7 1994 Northridge kien partikolarment distruttiv, u kkawża numru sostanzjali ta’ mwiet, korrimenti, u kollass strutturali. Huwa kkawża l-iktar ħsara fuq il-proprjetà ta 'kwalunkwe terremot fl-istorja ta' l-Istati Uniti, stmata għal aktar minn $ 20 biljun.</v>
      </c>
    </row>
    <row r="26572" ht="15.75" customHeight="1">
      <c r="A26572" s="2" t="s">
        <v>26572</v>
      </c>
      <c r="B26572" s="2" t="str">
        <f>IFERROR(__xludf.DUMMYFUNCTION("GOOGLETRANSLATE(A26572, ""en"", ""mt"")"),"X'tagħmel il-fosforilazzjoni ossidattiva?")</f>
        <v>X'tagħmel il-fosforilazzjoni ossidattiva?</v>
      </c>
    </row>
    <row r="26573" ht="15.75" customHeight="1">
      <c r="A26573" s="2" t="s">
        <v>26573</v>
      </c>
      <c r="B26573" s="2" t="str">
        <f>IFERROR(__xludf.DUMMYFUNCTION("GOOGLETRANSLATE(A26573, ""en"", ""mt"")"),"Blat igneous huwa blat li jikkristallizza minn xiex?")</f>
        <v>Blat igneous huwa blat li jikkristallizza minn xiex?</v>
      </c>
    </row>
    <row r="26574" ht="15.75" customHeight="1">
      <c r="A26574" s="2" t="s">
        <v>26574</v>
      </c>
      <c r="B26574" s="2" t="str">
        <f>IFERROR(__xludf.DUMMYFUNCTION("GOOGLETRANSLATE(A26574, ""en"", ""mt"")"),"Duħ biż-żejt")</f>
        <v>Duħ biż-żejt</v>
      </c>
    </row>
    <row r="26575" ht="15.75" customHeight="1">
      <c r="A26575" s="2" t="s">
        <v>26575</v>
      </c>
      <c r="B26575" s="2" t="str">
        <f>IFERROR(__xludf.DUMMYFUNCTION("GOOGLETRANSLATE(A26575, ""en"", ""mt"")"),"75,000 sa 100,000")</f>
        <v>75,000 sa 100,000</v>
      </c>
    </row>
    <row r="26576" ht="15.75" customHeight="1">
      <c r="A26576" s="2" t="s">
        <v>26576</v>
      </c>
      <c r="B26576" s="2" t="str">
        <f>IFERROR(__xludf.DUMMYFUNCTION("GOOGLETRANSLATE(A26576, ""en"", ""mt"")"),"Liema speċjali nħoloq għat-30 anniversarju tal-ispettaklu?")</f>
        <v>Liema speċjali nħoloq għat-30 anniversarju tal-ispettaklu?</v>
      </c>
    </row>
    <row r="26577" ht="15.75" customHeight="1">
      <c r="A26577" s="2" t="s">
        <v>26577</v>
      </c>
      <c r="B26577" s="2" t="str">
        <f>IFERROR(__xludf.DUMMYFUNCTION("GOOGLETRANSLATE(A26577, ""en"", ""mt"")"),"Grieg")</f>
        <v>Grieg</v>
      </c>
    </row>
    <row r="26578" ht="15.75" customHeight="1">
      <c r="A26578" s="2" t="s">
        <v>26578</v>
      </c>
      <c r="B26578" s="2" t="str">
        <f>IFERROR(__xludf.DUMMYFUNCTION("GOOGLETRANSLATE(A26578, ""en"", ""mt"")"),"Sultan Muhammad")</f>
        <v>Sultan Muhammad</v>
      </c>
    </row>
    <row r="26579" ht="15.75" customHeight="1">
      <c r="A26579" s="2" t="s">
        <v>26579</v>
      </c>
      <c r="B26579" s="2" t="str">
        <f>IFERROR(__xludf.DUMMYFUNCTION("GOOGLETRANSLATE(A26579, ""en"", ""mt"")"),"Liema riżoluzzjoni żdiedu l-kameras għal-logħba?")</f>
        <v>Liema riżoluzzjoni żdiedu l-kameras għal-logħba?</v>
      </c>
    </row>
    <row r="26580" ht="15.75" customHeight="1">
      <c r="A26580" s="2" t="s">
        <v>26580</v>
      </c>
      <c r="B26580" s="2" t="str">
        <f>IFERROR(__xludf.DUMMYFUNCTION("GOOGLETRANSLATE(A26580, ""en"", ""mt"")"),"Tesla meta marret tgħix New York City?")</f>
        <v>Tesla meta marret tgħix New York City?</v>
      </c>
    </row>
    <row r="26581" ht="15.75" customHeight="1">
      <c r="A26581" s="2" t="s">
        <v>26581</v>
      </c>
      <c r="B26581" s="2" t="str">
        <f>IFERROR(__xludf.DUMMYFUNCTION("GOOGLETRANSLATE(A26581, ""en"", ""mt"")"),"flus minn sistemi bankarji Iżlamisti barranin")</f>
        <v>flus minn sistemi bankarji Iżlamisti barranin</v>
      </c>
    </row>
    <row r="26582" ht="15.75" customHeight="1">
      <c r="A26582" s="2" t="s">
        <v>26582</v>
      </c>
      <c r="B26582" s="2" t="str">
        <f>IFERROR(__xludf.DUMMYFUNCTION("GOOGLETRANSLATE(A26582, ""en"", ""mt"")"),"1720 f'Marsilja.")</f>
        <v>1720 f'Marsilja.</v>
      </c>
    </row>
    <row r="26583" ht="15.75" customHeight="1">
      <c r="A26583" s="2" t="s">
        <v>26583</v>
      </c>
      <c r="B26583" s="2" t="str">
        <f>IFERROR(__xludf.DUMMYFUNCTION("GOOGLETRANSLATE(A26583, ""en"", ""mt"")"),"Henry Plitt")</f>
        <v>Henry Plitt</v>
      </c>
    </row>
    <row r="26584" ht="15.75" customHeight="1">
      <c r="A26584" s="2" t="s">
        <v>26584</v>
      </c>
      <c r="B26584" s="2" t="str">
        <f>IFERROR(__xludf.DUMMYFUNCTION("GOOGLETRANSLATE(A26584, ""en"", ""mt"")"),"L-UMC isostni li l-gwerra hija inkompatibbli ma 'xiex?")</f>
        <v>L-UMC isostni li l-gwerra hija inkompatibbli ma 'xiex?</v>
      </c>
    </row>
    <row r="26585" ht="15.75" customHeight="1">
      <c r="A26585" s="2" t="s">
        <v>26585</v>
      </c>
      <c r="B26585" s="2" t="str">
        <f>IFERROR(__xludf.DUMMYFUNCTION("GOOGLETRANSLATE(A26585, ""en"", ""mt"")"),"X'kien l-isem tal-karattru magħruf bħala The Time Lady?")</f>
        <v>X'kien l-isem tal-karattru magħruf bħala The Time Lady?</v>
      </c>
    </row>
    <row r="26586" ht="15.75" customHeight="1">
      <c r="A26586" s="2" t="s">
        <v>26586</v>
      </c>
      <c r="B26586" s="2" t="str">
        <f>IFERROR(__xludf.DUMMYFUNCTION("GOOGLETRANSLATE(A26586, ""en"", ""mt"")"),"X'inhi l-ogħla qorti fil-liġi tal-Unjoni Ewropea?")</f>
        <v>X'inhi l-ogħla qorti fil-liġi tal-Unjoni Ewropea?</v>
      </c>
    </row>
    <row r="26587" ht="15.75" customHeight="1">
      <c r="A26587" s="2" t="s">
        <v>26587</v>
      </c>
      <c r="B26587" s="2" t="str">
        <f>IFERROR(__xludf.DUMMYFUNCTION("GOOGLETRANSLATE(A26587, ""en"", ""mt"")"),"In-negozji li jikkompetu kif jattiraw ħaddiema?")</f>
        <v>In-negozji li jikkompetu kif jattiraw ħaddiema?</v>
      </c>
    </row>
    <row r="26588" ht="15.75" customHeight="1">
      <c r="A26588" s="2" t="s">
        <v>26588</v>
      </c>
      <c r="B26588" s="2" t="str">
        <f>IFERROR(__xludf.DUMMYFUNCTION("GOOGLETRANSLATE(A26588, ""en"", ""mt"")"),"Il-Keraite")</f>
        <v>Il-Keraite</v>
      </c>
    </row>
    <row r="26589" ht="15.75" customHeight="1">
      <c r="A26589" s="2" t="s">
        <v>26589</v>
      </c>
      <c r="B26589" s="2" t="str">
        <f>IFERROR(__xludf.DUMMYFUNCTION("GOOGLETRANSLATE(A26589, ""en"", ""mt"")"),"Kemm jemigraw il-wildebeest ifittxu ikel u ilma?")</f>
        <v>Kemm jemigraw il-wildebeest ifittxu ikel u ilma?</v>
      </c>
    </row>
    <row r="26590" ht="15.75" customHeight="1">
      <c r="A26590" s="2" t="s">
        <v>26590</v>
      </c>
      <c r="B26590" s="2" t="str">
        <f>IFERROR(__xludf.DUMMYFUNCTION("GOOGLETRANSLATE(A26590, ""en"", ""mt"")"),"F'liema skola rreġistraw matul l-1875?")</f>
        <v>F'liema skola rreġistraw matul l-1875?</v>
      </c>
    </row>
    <row r="26591" ht="15.75" customHeight="1">
      <c r="A26591" s="2" t="s">
        <v>26591</v>
      </c>
      <c r="B26591" s="2" t="str">
        <f>IFERROR(__xludf.DUMMYFUNCTION("GOOGLETRANSLATE(A26591, ""en"", ""mt"")"),"Liema problema tas-saħħa kellha Tesla fl-1879?")</f>
        <v>Liema problema tas-saħħa kellha Tesla fl-1879?</v>
      </c>
    </row>
    <row r="26592" ht="15.75" customHeight="1">
      <c r="A26592" s="2" t="s">
        <v>26592</v>
      </c>
      <c r="B26592" s="2" t="str">
        <f>IFERROR(__xludf.DUMMYFUNCTION("GOOGLETRANSLATE(A26592, ""en"", ""mt"")"),"Liema knisja fil-Virginia tinżamm minn Huguenots bħala santwarju storiku?")</f>
        <v>Liema knisja fil-Virginia tinżamm minn Huguenots bħala santwarju storiku?</v>
      </c>
    </row>
    <row r="26593" ht="15.75" customHeight="1">
      <c r="A26593" s="2" t="s">
        <v>26593</v>
      </c>
      <c r="B26593" s="2" t="str">
        <f>IFERROR(__xludf.DUMMYFUNCTION("GOOGLETRANSLATE(A26593, ""en"", ""mt"")"),"X'kienet l-ewwel serje li kienet televiżiva bil-kulur fuq ABC?")</f>
        <v>X'kienet l-ewwel serje li kienet televiżiva bil-kulur fuq ABC?</v>
      </c>
    </row>
    <row r="26594" ht="15.75" customHeight="1">
      <c r="A26594" s="2" t="s">
        <v>26594</v>
      </c>
      <c r="B26594" s="2" t="str">
        <f>IFERROR(__xludf.DUMMYFUNCTION("GOOGLETRANSLATE(A26594, ""en"", ""mt"")"),"l-arrest tiegħu")</f>
        <v>l-arrest tiegħu</v>
      </c>
    </row>
    <row r="26595" ht="15.75" customHeight="1">
      <c r="A26595" s="2" t="s">
        <v>26595</v>
      </c>
      <c r="B26595" s="2" t="str">
        <f>IFERROR(__xludf.DUMMYFUNCTION("GOOGLETRANSLATE(A26595, ""en"", ""mt"")"),"Thriller Noir")</f>
        <v>Thriller Noir</v>
      </c>
    </row>
    <row r="26596" ht="15.75" customHeight="1">
      <c r="A26596" s="2" t="s">
        <v>26596</v>
      </c>
      <c r="B26596" s="2" t="str">
        <f>IFERROR(__xludf.DUMMYFUNCTION("GOOGLETRANSLATE(A26596, ""en"", ""mt"")"),"£ 15-100,000")</f>
        <v>£ 15-100,000</v>
      </c>
    </row>
    <row r="26597" ht="15.75" customHeight="1">
      <c r="A26597" s="2" t="s">
        <v>26597</v>
      </c>
      <c r="B26597" s="2" t="str">
        <f>IFERROR(__xludf.DUMMYFUNCTION("GOOGLETRANSLATE(A26597, ""en"", ""mt"")"),"Đuka Tesla")</f>
        <v>Đuka Tesla</v>
      </c>
    </row>
    <row r="26598" ht="15.75" customHeight="1">
      <c r="A26598" s="2" t="s">
        <v>26598</v>
      </c>
      <c r="B26598" s="2" t="str">
        <f>IFERROR(__xludf.DUMMYFUNCTION("GOOGLETRANSLATE(A26598, ""en"", ""mt"")"),"Bedau jinnota li protesti illegali lejn il-politika pubblika jistgħu jservu bħala liema skop?")</f>
        <v>Bedau jinnota li protesti illegali lejn il-politika pubblika jistgħu jservu bħala liema skop?</v>
      </c>
    </row>
    <row r="26599" ht="15.75" customHeight="1">
      <c r="A26599" s="2" t="s">
        <v>26599</v>
      </c>
      <c r="B26599" s="2" t="str">
        <f>IFERROR(__xludf.DUMMYFUNCTION("GOOGLETRANSLATE(A26599, ""en"", ""mt"")"),"Sieur de la Salle kien esplora l-pajjiż ta 'Ohio kważi seklu qabel")</f>
        <v>Sieur de la Salle kien esplora l-pajjiż ta 'Ohio kważi seklu qabel</v>
      </c>
    </row>
    <row r="26600" ht="15.75" customHeight="1">
      <c r="A26600" s="2" t="s">
        <v>26600</v>
      </c>
      <c r="B26600" s="2" t="str">
        <f>IFERROR(__xludf.DUMMYFUNCTION("GOOGLETRANSLATE(A26600, ""en"", ""mt"")"),"Rheinbrech")</f>
        <v>Rheinbrech</v>
      </c>
    </row>
    <row r="26601" ht="15.75" customHeight="1">
      <c r="A26601" s="2" t="s">
        <v>26601</v>
      </c>
      <c r="B26601" s="2" t="str">
        <f>IFERROR(__xludf.DUMMYFUNCTION("GOOGLETRANSLATE(A26601, ""en"", ""mt"")"),"Definizzjonijiet tal-kumplessità tal-ħin u l-ispazju")</f>
        <v>Definizzjonijiet tal-kumplessità tal-ħin u l-ispazju</v>
      </c>
    </row>
    <row r="26602" ht="15.75" customHeight="1">
      <c r="A26602" s="2" t="s">
        <v>26602</v>
      </c>
      <c r="B26602" s="2" t="str">
        <f>IFERROR(__xludf.DUMMYFUNCTION("GOOGLETRANSLATE(A26602, ""en"", ""mt"")"),"X'tip ta 'ideali jiġġeneralizzaw elementi ewlenin?")</f>
        <v>X'tip ta 'ideali jiġġeneralizzaw elementi ewlenin?</v>
      </c>
    </row>
    <row r="26603" ht="15.75" customHeight="1">
      <c r="A26603" s="2" t="s">
        <v>26603</v>
      </c>
      <c r="B26603" s="2" t="str">
        <f>IFERROR(__xludf.DUMMYFUNCTION("GOOGLETRANSLATE(A26603, ""en"", ""mt"")"),"Fl-1227, l-armata ta 'Genghis Khan attakkat u qerdet il-kapitali Tangut ta' Ning Hia u kompliet tavvanza, ħatfet lil Lintiao-Fu, il-provinċja ta 'Xining, Xindu-fu, u l-provinċja ta' Deshun wara xulxin malajr fir-rebbiegħa. F'Deshun, il-Ġeneral tat-Tangut "&amp;"Ma Jianlong waqqaf reżistenza ħarxa għal diversi jiem u mexxa ħlasijiet personalment kontra l-invażuri barra l-bieb tal-belt. Ma Jianlong miet wara minn feriti li rċevew minn vleġeġ fil-battalja. Genghis Khan, wara li ħakem lil Deshun, mar għand Liupansha"&amp;"n (il-Kontea ta 'Qingshui, il-Provinċja ta' Gansu) biex jaħrab is-sajf sever. L-Imperatur Tangut il-ġdid ċeda malajr lill-Mongoli, u l-bqija tat-Tanguts ċedew uffiċjalment ftit wara. Mhux kuntent bit-tradiment u r-reżistenza tagħhom, Genghis Khan ordna li"&amp;"ll-familja imperjali kollha biex tiġi eżegwita, u ttemm b'mod effettiv in-nisel tat-tangut.")</f>
        <v>Fl-1227, l-armata ta 'Genghis Khan attakkat u qerdet il-kapitali Tangut ta' Ning Hia u kompliet tavvanza, ħatfet lil Lintiao-Fu, il-provinċja ta 'Xining, Xindu-fu, u l-provinċja ta' Deshun wara xulxin malajr fir-rebbiegħa. F'Deshun, il-Ġeneral tat-Tangut Ma Jianlong waqqaf reżistenza ħarxa għal diversi jiem u mexxa ħlasijiet personalment kontra l-invażuri barra l-bieb tal-belt. Ma Jianlong miet wara minn feriti li rċevew minn vleġeġ fil-battalja. Genghis Khan, wara li ħakem lil Deshun, mar għand Liupanshan (il-Kontea ta 'Qingshui, il-Provinċja ta' Gansu) biex jaħrab is-sajf sever. L-Imperatur Tangut il-ġdid ċeda malajr lill-Mongoli, u l-bqija tat-Tanguts ċedew uffiċjalment ftit wara. Mhux kuntent bit-tradiment u r-reżistenza tagħhom, Genghis Khan ordna lill-familja imperjali kollha biex tiġi eżegwita, u ttemm b'mod effettiv in-nisel tat-tangut.</v>
      </c>
    </row>
    <row r="26604" ht="15.75" customHeight="1">
      <c r="A26604" s="2" t="s">
        <v>26604</v>
      </c>
      <c r="B26604" s="2" t="str">
        <f>IFERROR(__xludf.DUMMYFUNCTION("GOOGLETRANSLATE(A26604, ""en"", ""mt"")"),"45 minuta")</f>
        <v>45 minuta</v>
      </c>
    </row>
    <row r="26605" ht="15.75" customHeight="1">
      <c r="A26605" s="2" t="s">
        <v>26605</v>
      </c>
      <c r="B26605" s="2" t="str">
        <f>IFERROR(__xludf.DUMMYFUNCTION("GOOGLETRANSLATE(A26605, ""en"", ""mt"")"),"Fl-2013-14, NBC temm wara liema netwerk fil-klassifikazzjonijiet?")</f>
        <v>Fl-2013-14, NBC temm wara liema netwerk fil-klassifikazzjonijiet?</v>
      </c>
    </row>
    <row r="26606" ht="15.75" customHeight="1">
      <c r="A26606" s="2" t="s">
        <v>26606</v>
      </c>
      <c r="B26606" s="2" t="str">
        <f>IFERROR(__xludf.DUMMYFUNCTION("GOOGLETRANSLATE(A26606, ""en"", ""mt"")"),"Għal liema nazzjon Ribault inizjalment iddikjara x'inhu issa Jacksonville?")</f>
        <v>Għal liema nazzjon Ribault inizjalment iddikjara x'inhu issa Jacksonville?</v>
      </c>
    </row>
    <row r="26607" ht="15.75" customHeight="1">
      <c r="A26607" s="2" t="s">
        <v>26607</v>
      </c>
      <c r="B26607" s="2" t="str">
        <f>IFERROR(__xludf.DUMMYFUNCTION("GOOGLETRANSLATE(A26607, ""en"", ""mt"")"),"Liema fergħa tal-UE kellha l-iktar influwenza fuq l-iżvilupp tal-liġi tal-UE?")</f>
        <v>Liema fergħa tal-UE kellha l-iktar influwenza fuq l-iżvilupp tal-liġi tal-UE?</v>
      </c>
    </row>
    <row r="26608" ht="15.75" customHeight="1">
      <c r="A26608" s="2" t="s">
        <v>26608</v>
      </c>
      <c r="B26608" s="2" t="str">
        <f>IFERROR(__xludf.DUMMYFUNCTION("GOOGLETRANSLATE(A26608, ""en"", ""mt"")"),"l-ewwel ministru")</f>
        <v>l-ewwel ministru</v>
      </c>
    </row>
    <row r="26609" ht="15.75" customHeight="1">
      <c r="A26609" s="2" t="s">
        <v>26609</v>
      </c>
      <c r="B26609" s="2" t="str">
        <f>IFERROR(__xludf.DUMMYFUNCTION("GOOGLETRANSLATE(A26609, ""en"", ""mt"")"),"Vicodin, magħruf ġenerikament bħala hydrocodone")</f>
        <v>Vicodin, magħruf ġenerikament bħala hydrocodone</v>
      </c>
    </row>
    <row r="26610" ht="15.75" customHeight="1">
      <c r="A26610" s="2" t="s">
        <v>26610</v>
      </c>
      <c r="B26610" s="2" t="str">
        <f>IFERROR(__xludf.DUMMYFUNCTION("GOOGLETRANSLATE(A26610, ""en"", ""mt"")"),"L-istazzjonijiet u l-affiljati kollha li huma u mħaddma mill-ABC kellhom il-faċilitajiet u l-istudjows tagħhom stess, iżda l-entitajiet trasversali nħolqu biex jipproduċu programmazzjoni nazzjonali. Bħala riżultat, serje televiżivi ġew prodotti minn ABC C"&amp;"ircle Films li jibdew fl-1962 u minn Touchstone Television li beda fl-1985, qabel ma Touchstone ġie riorganizzat bħala ABC Studios fi Frar 2007. Mill-ħamsinijiet, ABC kellu żewġ faċilitajiet ta 'produzzjoni ewlenin: l-ABC Television Centre (issa l-Prospec"&amp;"t Studios) fuq Avenue Prospect f'Hollywood, California, maqsuma ma 'l-operazzjonijiet ta' KABC-TV sal-1999; u ċ-Ċentru tat-Televiżjoni ABC, East, sett ta 'studios li jinsabu madwar in-New York City.")</f>
        <v>L-istazzjonijiet u l-affiljati kollha li huma u mħaddma mill-ABC kellhom il-faċilitajiet u l-istudjows tagħhom stess, iżda l-entitajiet trasversali nħolqu biex jipproduċu programmazzjoni nazzjonali. Bħala riżultat, serje televiżivi ġew prodotti minn ABC Circle Films li jibdew fl-1962 u minn Touchstone Television li beda fl-1985, qabel ma Touchstone ġie riorganizzat bħala ABC Studios fi Frar 2007. Mill-ħamsinijiet, ABC kellu żewġ faċilitajiet ta 'produzzjoni ewlenin: l-ABC Television Centre (issa l-Prospect Studios) fuq Avenue Prospect f'Hollywood, California, maqsuma ma 'l-operazzjonijiet ta' KABC-TV sal-1999; u ċ-Ċentru tat-Televiżjoni ABC, East, sett ta 'studios li jinsabu madwar in-New York City.</v>
      </c>
    </row>
    <row r="26611" ht="15.75" customHeight="1">
      <c r="A26611" s="2" t="s">
        <v>26611</v>
      </c>
      <c r="B26611" s="2" t="str">
        <f>IFERROR(__xludf.DUMMYFUNCTION("GOOGLETRANSLATE(A26611, ""en"", ""mt"")"),"Minħabba li l-operazzjonijiet tal-forzi armati ġew tradizzjonalment miksijin mill-kutra kullimkien ta '""sigurtà tal-istat""")</f>
        <v>Minħabba li l-operazzjonijiet tal-forzi armati ġew tradizzjonalment miksijin mill-kutra kullimkien ta '"sigurtà tal-istat"</v>
      </c>
    </row>
    <row r="26612" ht="15.75" customHeight="1">
      <c r="A26612" s="2" t="s">
        <v>26612</v>
      </c>
      <c r="B26612" s="2" t="str">
        <f>IFERROR(__xludf.DUMMYFUNCTION("GOOGLETRANSLATE(A26612, ""en"", ""mt"")"),"Ikla fl-Unur Tiegħu")</f>
        <v>Ikla fl-Unur Tiegħu</v>
      </c>
    </row>
    <row r="26613" ht="15.75" customHeight="1">
      <c r="A26613" s="2" t="s">
        <v>26613</v>
      </c>
      <c r="B26613" s="2" t="str">
        <f>IFERROR(__xludf.DUMMYFUNCTION("GOOGLETRANSLATE(A26613, ""en"", ""mt"")"),"Subborgi mhux inkorporati")</f>
        <v>Subborgi mhux inkorporati</v>
      </c>
    </row>
    <row r="26614" ht="15.75" customHeight="1">
      <c r="A26614" s="2" t="s">
        <v>26614</v>
      </c>
      <c r="B26614" s="2" t="str">
        <f>IFERROR(__xludf.DUMMYFUNCTION("GOOGLETRANSLATE(A26614, ""en"", ""mt"")"),"X'inhuma żewġ eżempji ta 'vertebrati primittivi ta' xedaq?")</f>
        <v>X'inhuma żewġ eżempji ta 'vertebrati primittivi ta' xedaq?</v>
      </c>
    </row>
    <row r="26615" ht="15.75" customHeight="1">
      <c r="A26615" s="2" t="s">
        <v>26615</v>
      </c>
      <c r="B26615" s="2" t="str">
        <f>IFERROR(__xludf.DUMMYFUNCTION("GOOGLETRANSLATE(A26615, ""en"", ""mt"")"),"ABC beda jiffoka fuq x'tip ta 'serje wara s-suċċess tal-NBC fl-1984?")</f>
        <v>ABC beda jiffoka fuq x'tip ta 'serje wara s-suċċess tal-NBC fl-1984?</v>
      </c>
    </row>
    <row r="26616" ht="15.75" customHeight="1">
      <c r="A26616" s="2" t="s">
        <v>26616</v>
      </c>
      <c r="B26616" s="2" t="str">
        <f>IFERROR(__xludf.DUMMYFUNCTION("GOOGLETRANSLATE(A26616, ""en"", ""mt"")"),"f'distanzi akbar.")</f>
        <v>f'distanzi akbar.</v>
      </c>
    </row>
    <row r="26617" ht="15.75" customHeight="1">
      <c r="A26617" s="2" t="s">
        <v>26617</v>
      </c>
      <c r="B26617" s="2" t="str">
        <f>IFERROR(__xludf.DUMMYFUNCTION("GOOGLETRANSLATE(A26617, ""en"", ""mt"")"),"Meta kienet l-aħħar tifqigħa tal-pesta?")</f>
        <v>Meta kienet l-aħħar tifqigħa tal-pesta?</v>
      </c>
    </row>
    <row r="26618" ht="15.75" customHeight="1">
      <c r="A26618" s="2" t="s">
        <v>26618</v>
      </c>
      <c r="B26618" s="2" t="str">
        <f>IFERROR(__xludf.DUMMYFUNCTION("GOOGLETRANSLATE(A26618, ""en"", ""mt"")"),"awtoritajiet")</f>
        <v>awtoritajiet</v>
      </c>
    </row>
    <row r="26619" ht="15.75" customHeight="1">
      <c r="A26619" s="2" t="s">
        <v>26619</v>
      </c>
      <c r="B26619" s="2" t="str">
        <f>IFERROR(__xludf.DUMMYFUNCTION("GOOGLETRANSLATE(A26619, ""en"", ""mt"")"),"Kif il-pjan ta 'Jacksonville aħjar kif ġġenera flus?")</f>
        <v>Kif il-pjan ta 'Jacksonville aħjar kif ġġenera flus?</v>
      </c>
    </row>
    <row r="26620" ht="15.75" customHeight="1">
      <c r="A26620" s="2" t="s">
        <v>26620</v>
      </c>
      <c r="B26620" s="2" t="str">
        <f>IFERROR(__xludf.DUMMYFUNCTION("GOOGLETRANSLATE(A26620, ""en"", ""mt"")"),"Università tad-Difiża Nazzjonali")</f>
        <v>Università tad-Difiża Nazzjonali</v>
      </c>
    </row>
    <row r="26621" ht="15.75" customHeight="1">
      <c r="A26621" s="2" t="s">
        <v>26621</v>
      </c>
      <c r="B26621" s="2" t="str">
        <f>IFERROR(__xludf.DUMMYFUNCTION("GOOGLETRANSLATE(A26621, ""en"", ""mt"")"),"Fis-sekli 10 u 11")</f>
        <v>Fis-sekli 10 u 11</v>
      </c>
    </row>
    <row r="26622" ht="15.75" customHeight="1">
      <c r="A26622" s="2" t="s">
        <v>26622</v>
      </c>
      <c r="B26622" s="2" t="str">
        <f>IFERROR(__xludf.DUMMYFUNCTION("GOOGLETRANSLATE(A26622, ""en"", ""mt"")"),"Fis-sena 2000 kemm kienu mitlufa kilometri kwadri tal-foresta tal-Amażonja?")</f>
        <v>Fis-sena 2000 kemm kienu mitlufa kilometri kwadri tal-foresta tal-Amażonja?</v>
      </c>
    </row>
    <row r="26623" ht="15.75" customHeight="1">
      <c r="A26623" s="2" t="s">
        <v>26623</v>
      </c>
      <c r="B26623" s="2" t="str">
        <f>IFERROR(__xludf.DUMMYFUNCTION("GOOGLETRANSLATE(A26623, ""en"", ""mt"")"),"Interi Gaussjani Z [i],")</f>
        <v>Interi Gaussjani Z [i],</v>
      </c>
    </row>
    <row r="26624" ht="15.75" customHeight="1">
      <c r="A26624" s="2" t="s">
        <v>26624</v>
      </c>
      <c r="B26624" s="2" t="str">
        <f>IFERROR(__xludf.DUMMYFUNCTION("GOOGLETRANSLATE(A26624, ""en"", ""mt"")"),"Sal-ftuħ tal-Konferenza Ġenerali tal-2008, is-sħubija totali tal-UMC kienet stmata għal 11.4 miljun, b'madwar 7.9 miljun fl-Istati Uniti u 3.5 miljun barranin. B'mod sinifikanti, madwar 20% tad-delegati tal-konferenza kienu mill-Afrika, bil-Filippini u l-"&amp;"Ewropej jagħmlu 10% oħra. Matul il-konferenza, id-delegati vvutaw biex jiffinalizzaw l-induzzjoni tal-Knisja Metodista tal-Kosta tal-Avorju u s-700,000 membru tagħha fid-denominazzjoni. Minħabba x-xejriet attwali fl-UMC - bil-knejjes barranin li qed jikbr"&amp;"u, speċjalment fl-Afrika, u l-knejjes tal-Istati Uniti jitilfu b’mod kollettiv madwar 1,000 membru fil-ġimgħa - ġie stmat li l-Afrikani se jiffurmaw mill-inqas 30% tad-delegati fil-Konferenza Ġenerali tal-2012, u Huwa wkoll possibbli li 40% tad-delegati j"&amp;"kunu minn barra l-Istati Uniti Isqof Kongoliż stmat li l-attendenza tipika tal-Ħadd tal-UMC hija ogħla f'pajjiżu milli fl-Istati Uniti kollha.")</f>
        <v>Sal-ftuħ tal-Konferenza Ġenerali tal-2008, is-sħubija totali tal-UMC kienet stmata għal 11.4 miljun, b'madwar 7.9 miljun fl-Istati Uniti u 3.5 miljun barranin. B'mod sinifikanti, madwar 20% tad-delegati tal-konferenza kienu mill-Afrika, bil-Filippini u l-Ewropej jagħmlu 10% oħra. Matul il-konferenza, id-delegati vvutaw biex jiffinalizzaw l-induzzjoni tal-Knisja Metodista tal-Kosta tal-Avorju u s-700,000 membru tagħha fid-denominazzjoni. Minħabba x-xejriet attwali fl-UMC - bil-knejjes barranin li qed jikbru, speċjalment fl-Afrika, u l-knejjes tal-Istati Uniti jitilfu b’mod kollettiv madwar 1,000 membru fil-ġimgħa - ġie stmat li l-Afrikani se jiffurmaw mill-inqas 30% tad-delegati fil-Konferenza Ġenerali tal-2012, u Huwa wkoll possibbli li 40% tad-delegati jkunu minn barra l-Istati Uniti Isqof Kongoliż stmat li l-attendenza tipika tal-Ħadd tal-UMC hija ogħla f'pajjiżu milli fl-Istati Uniti kollha.</v>
      </c>
    </row>
    <row r="26625" ht="15.75" customHeight="1">
      <c r="A26625" s="2" t="s">
        <v>26625</v>
      </c>
      <c r="B26625" s="2" t="str">
        <f>IFERROR(__xludf.DUMMYFUNCTION("GOOGLETRANSLATE(A26625, ""en"", ""mt"")"),"Mekkanika kwantistika")</f>
        <v>Mekkanika kwantistika</v>
      </c>
    </row>
    <row r="26626" ht="15.75" customHeight="1">
      <c r="A26626" s="2" t="s">
        <v>26626</v>
      </c>
      <c r="B26626" s="2" t="str">
        <f>IFERROR(__xludf.DUMMYFUNCTION("GOOGLETRANSLATE(A26626, ""en"", ""mt"")"),"X'kienet l-okkażjoni għad-dimostrazzjoni tad-dgħajsa?")</f>
        <v>X'kienet l-okkażjoni għad-dimostrazzjoni tad-dgħajsa?</v>
      </c>
    </row>
    <row r="26627" ht="15.75" customHeight="1">
      <c r="A26627" s="2" t="s">
        <v>26627</v>
      </c>
      <c r="B26627" s="2" t="str">
        <f>IFERROR(__xludf.DUMMYFUNCTION("GOOGLETRANSLATE(A26627, ""en"", ""mt"")"),"Inugwaljanza ekonomika ogħla")</f>
        <v>Inugwaljanza ekonomika ogħla</v>
      </c>
    </row>
    <row r="26628" ht="15.75" customHeight="1">
      <c r="A26628" s="2" t="s">
        <v>26628</v>
      </c>
      <c r="B26628" s="2" t="str">
        <f>IFERROR(__xludf.DUMMYFUNCTION("GOOGLETRANSLATE(A26628, ""en"", ""mt"")"),"sfurzat lil Tesla joħroġ lilu bla penniless")</f>
        <v>sfurzat lil Tesla joħroġ lilu bla penniless</v>
      </c>
    </row>
    <row r="26629" ht="15.75" customHeight="1">
      <c r="A26629" s="2" t="s">
        <v>26629</v>
      </c>
      <c r="B26629" s="2" t="str">
        <f>IFERROR(__xludf.DUMMYFUNCTION("GOOGLETRANSLATE(A26629, ""en"", ""mt"")"),"Magħruf ukoll bl-Ingliż bħala Amazonia jew l-Amazon Jungle,")</f>
        <v>Magħruf ukoll bl-Ingliż bħala Amazonia jew l-Amazon Jungle,</v>
      </c>
    </row>
    <row r="26630" ht="15.75" customHeight="1">
      <c r="A26630" s="2" t="s">
        <v>26630</v>
      </c>
      <c r="B26630" s="2" t="str">
        <f>IFERROR(__xludf.DUMMYFUNCTION("GOOGLETRANSLATE(A26630, ""en"", ""mt"")"),"Huwa waqa 'mill-iskola")</f>
        <v>Huwa waqa 'mill-iskola</v>
      </c>
    </row>
    <row r="26631" ht="15.75" customHeight="1">
      <c r="A26631" s="2" t="s">
        <v>26631</v>
      </c>
      <c r="B26631" s="2" t="str">
        <f>IFERROR(__xludf.DUMMYFUNCTION("GOOGLETRANSLATE(A26631, ""en"", ""mt"")"),"reliġjuż")</f>
        <v>reliġjuż</v>
      </c>
    </row>
    <row r="26632" ht="15.75" customHeight="1">
      <c r="A26632" s="2" t="s">
        <v>26632</v>
      </c>
      <c r="B26632" s="2" t="str">
        <f>IFERROR(__xludf.DUMMYFUNCTION("GOOGLETRANSLATE(A26632, ""en"", ""mt"")"),"Min kien il-president tal-RCA fl-1942?")</f>
        <v>Min kien il-president tal-RCA fl-1942?</v>
      </c>
    </row>
    <row r="26633" ht="15.75" customHeight="1">
      <c r="A26633" s="2" t="s">
        <v>26633</v>
      </c>
      <c r="B26633" s="2" t="str">
        <f>IFERROR(__xludf.DUMMYFUNCTION("GOOGLETRANSLATE(A26633, ""en"", ""mt"")"),"Knight Ridder")</f>
        <v>Knight Ridder</v>
      </c>
    </row>
    <row r="26634" ht="15.75" customHeight="1">
      <c r="A26634" s="2" t="s">
        <v>26634</v>
      </c>
      <c r="B26634" s="2" t="str">
        <f>IFERROR(__xludf.DUMMYFUNCTION("GOOGLETRANSLATE(A26634, ""en"", ""mt"")"),"Ragħaj lokali liċenzjat")</f>
        <v>Ragħaj lokali liċenzjat</v>
      </c>
    </row>
    <row r="26635" ht="15.75" customHeight="1">
      <c r="A26635" s="2" t="s">
        <v>26635</v>
      </c>
      <c r="B26635" s="2" t="str">
        <f>IFERROR(__xludf.DUMMYFUNCTION("GOOGLETRANSLATE(A26635, ""en"", ""mt"")"),"Politiku")</f>
        <v>Politiku</v>
      </c>
    </row>
    <row r="26636" ht="15.75" customHeight="1">
      <c r="A26636" s="2" t="s">
        <v>26636</v>
      </c>
      <c r="B26636" s="2" t="str">
        <f>IFERROR(__xludf.DUMMYFUNCTION("GOOGLETRANSLATE(A26636, ""en"", ""mt"")"),"Il-linef tiegħu grazzja r-rotunda fid-daħla ewlenija tal-V &amp; A?")</f>
        <v>Il-linef tiegħu grazzja r-rotunda fid-daħla ewlenija tal-V &amp; A?</v>
      </c>
    </row>
    <row r="26637" ht="15.75" customHeight="1">
      <c r="A26637" s="2" t="s">
        <v>26637</v>
      </c>
      <c r="B26637" s="2" t="str">
        <f>IFERROR(__xludf.DUMMYFUNCTION("GOOGLETRANSLATE(A26637, ""en"", ""mt"")"),"René Lalique")</f>
        <v>René Lalique</v>
      </c>
    </row>
    <row r="26638" ht="15.75" customHeight="1">
      <c r="A26638" s="2" t="s">
        <v>26638</v>
      </c>
      <c r="B26638" s="2" t="str">
        <f>IFERROR(__xludf.DUMMYFUNCTION("GOOGLETRANSLATE(A26638, ""en"", ""mt"")"),"Liema skambju f'Varsavja huwa wieħed mill-aktar importanti għall-Ewropa Ċentrali u tal-Lvant?")</f>
        <v>Liema skambju f'Varsavja huwa wieħed mill-aktar importanti għall-Ewropa Ċentrali u tal-Lvant?</v>
      </c>
    </row>
    <row r="26639" ht="15.75" customHeight="1">
      <c r="A26639" s="2" t="s">
        <v>26639</v>
      </c>
      <c r="B26639" s="2" t="str">
        <f>IFERROR(__xludf.DUMMYFUNCTION("GOOGLETRANSLATE(A26639, ""en"", ""mt"")"),"l-inqas oneruż")</f>
        <v>l-inqas oneruż</v>
      </c>
    </row>
    <row r="26640" ht="15.75" customHeight="1">
      <c r="A26640" s="2" t="s">
        <v>26640</v>
      </c>
      <c r="B26640" s="2" t="str">
        <f>IFERROR(__xludf.DUMMYFUNCTION("GOOGLETRANSLATE(A26640, ""en"", ""mt"")"),"Għeruq mdendlin")</f>
        <v>Għeruq mdendlin</v>
      </c>
    </row>
    <row r="26641" ht="15.75" customHeight="1">
      <c r="A26641" s="2" t="s">
        <v>26641</v>
      </c>
      <c r="B26641" s="2" t="str">
        <f>IFERROR(__xludf.DUMMYFUNCTION("GOOGLETRANSLATE(A26641, ""en"", ""mt"")"),"Liema parti tal-ġisem Thomas Davis kiser waqt il-logħba tal-kampjonat NFC?")</f>
        <v>Liema parti tal-ġisem Thomas Davis kiser waqt il-logħba tal-kampjonat NFC?</v>
      </c>
    </row>
    <row r="26642" ht="15.75" customHeight="1">
      <c r="A26642" s="2" t="s">
        <v>26642</v>
      </c>
      <c r="B26642" s="2" t="str">
        <f>IFERROR(__xludf.DUMMYFUNCTION("GOOGLETRANSLATE(A26642, ""en"", ""mt"")"),"erbatax-il punt")</f>
        <v>erbatax-il punt</v>
      </c>
    </row>
    <row r="26643" ht="15.75" customHeight="1">
      <c r="A26643" s="2" t="s">
        <v>26643</v>
      </c>
      <c r="B26643" s="2" t="str">
        <f>IFERROR(__xludf.DUMMYFUNCTION("GOOGLETRANSLATE(A26643, ""en"", ""mt"")"),"Texas")</f>
        <v>Texas</v>
      </c>
    </row>
    <row r="26644" ht="15.75" customHeight="1">
      <c r="A26644" s="2" t="s">
        <v>26644</v>
      </c>
      <c r="B26644" s="2" t="str">
        <f>IFERROR(__xludf.DUMMYFUNCTION("GOOGLETRANSLATE(A26644, ""en"", ""mt"")"),"ingħata lill-Huguenots sostanzjali reliġjużi, politiċi u militari")</f>
        <v>ingħata lill-Huguenots sostanzjali reliġjużi, politiċi u militari</v>
      </c>
    </row>
    <row r="26645" ht="15.75" customHeight="1">
      <c r="A26645" s="2" t="s">
        <v>26645</v>
      </c>
      <c r="B26645" s="2" t="str">
        <f>IFERROR(__xludf.DUMMYFUNCTION("GOOGLETRANSLATE(A26645, ""en"", ""mt"")"),"Lorraine t'isfel")</f>
        <v>Lorraine t'isfel</v>
      </c>
    </row>
    <row r="26646" ht="15.75" customHeight="1">
      <c r="A26646" s="2" t="s">
        <v>26646</v>
      </c>
      <c r="B26646" s="2" t="str">
        <f>IFERROR(__xludf.DUMMYFUNCTION("GOOGLETRANSLATE(A26646, ""en"", ""mt"")"),"Liema membru tal-alumni tal-università kien magħruf għax-xogħol tiegħu fuq it-teorija tal-portafoll?")</f>
        <v>Liema membru tal-alumni tal-università kien magħruf għax-xogħol tiegħu fuq it-teorija tal-portafoll?</v>
      </c>
    </row>
    <row r="26647" ht="15.75" customHeight="1">
      <c r="A26647" s="2" t="s">
        <v>26647</v>
      </c>
      <c r="B26647" s="2" t="str">
        <f>IFERROR(__xludf.DUMMYFUNCTION("GOOGLETRANSLATE(A26647, ""en"", ""mt"")"),"Iċ-ċiklu ta 'Rankine xi kultant jissejjaħ ċiklu ta' Carnot prattiku għaliex, meta tintuża turbina effiċjenti, id-dijagramma TS tibda tixbah iċ-ċiklu Carnot. Id-differenza ewlenija hija li ż-żieda tas-sħana (fil-bojler) u ċ-ċaħda (fil-kondensatur) huma pro"&amp;"ċessi iżobariċi (pressjoni kostanti) fiċ-ċiklu ta 'rankine u proċessi iżotermiċi (temperatura kostanti) fiċ-ċiklu teoretiku tal-karnot. F’dan iċ-ċiklu tintuża pompa biex tippressa l-fluwidu tax-xogħol li jiġi rċevut mill-kondensatur bħala likwidu mhux bħa"&amp;"la gass. L-ippumpjar tal-fluwidu tax-xogħol f'forma likwida matul iċ-ċiklu jeħtieġ frazzjoni żgħira ta 'l-enerġija biex tittrasportaha meta mqabbel ma' l-enerġija meħtieġa biex tikkompressa l-fluwidu tax-xogħol f'forma gassuża f'kompressur (bħal fiċ-ċiklu"&amp;" ta 'Carnot). Iċ-ċiklu ta 'magna tal-fwar reċiprokanti huwa differenti minn dak tat-turbini minħabba l-kondensazzjoni u l-evaporazzjoni mill-ġdid li jseħħu fiċ-ċilindru jew fil-passaġġi tad-dħul tal-fwar.")</f>
        <v>Iċ-ċiklu ta 'Rankine xi kultant jissejjaħ ċiklu ta' Carnot prattiku għaliex, meta tintuża turbina effiċjenti, id-dijagramma TS tibda tixbah iċ-ċiklu Carnot. Id-differenza ewlenija hija li ż-żieda tas-sħana (fil-bojler) u ċ-ċaħda (fil-kondensatur) huma proċessi iżobariċi (pressjoni kostanti) fiċ-ċiklu ta 'rankine u proċessi iżotermiċi (temperatura kostanti) fiċ-ċiklu teoretiku tal-karnot. F’dan iċ-ċiklu tintuża pompa biex tippressa l-fluwidu tax-xogħol li jiġi rċevut mill-kondensatur bħala likwidu mhux bħala gass. L-ippumpjar tal-fluwidu tax-xogħol f'forma likwida matul iċ-ċiklu jeħtieġ frazzjoni żgħira ta 'l-enerġija biex tittrasportaha meta mqabbel ma' l-enerġija meħtieġa biex tikkompressa l-fluwidu tax-xogħol f'forma gassuża f'kompressur (bħal fiċ-ċiklu ta 'Carnot). Iċ-ċiklu ta 'magna tal-fwar reċiprokanti huwa differenti minn dak tat-turbini minħabba l-kondensazzjoni u l-evaporazzjoni mill-ġdid li jseħħu fiċ-ċilindru jew fil-passaġġi tad-dħul tal-fwar.</v>
      </c>
    </row>
    <row r="26648" ht="15.75" customHeight="1">
      <c r="A26648" s="2" t="s">
        <v>26648</v>
      </c>
      <c r="B26648" s="2" t="str">
        <f>IFERROR(__xludf.DUMMYFUNCTION("GOOGLETRANSLATE(A26648, ""en"", ""mt"")"),"Attakk tal-patoġen")</f>
        <v>Attakk tal-patoġen</v>
      </c>
    </row>
    <row r="26649" ht="15.75" customHeight="1">
      <c r="A26649" s="2" t="s">
        <v>26649</v>
      </c>
      <c r="B26649" s="2" t="str">
        <f>IFERROR(__xludf.DUMMYFUNCTION("GOOGLETRANSLATE(A26649, ""en"", ""mt"")"),"Liema ħanut kbir huwa maħsub li huwa l-ewwel wieħed fid-dinja?")</f>
        <v>Liema ħanut kbir huwa maħsub li huwa l-ewwel wieħed fid-dinja?</v>
      </c>
    </row>
    <row r="26650" ht="15.75" customHeight="1">
      <c r="A26650" s="2" t="s">
        <v>26650</v>
      </c>
      <c r="B26650" s="2" t="str">
        <f>IFERROR(__xludf.DUMMYFUNCTION("GOOGLETRANSLATE(A26650, ""en"", ""mt"")"),"Sfida akbar għas-sistema legali")</f>
        <v>Sfida akbar għas-sistema legali</v>
      </c>
    </row>
    <row r="26651" ht="15.75" customHeight="1">
      <c r="A26651" s="2" t="s">
        <v>26651</v>
      </c>
      <c r="B26651" s="2" t="str">
        <f>IFERROR(__xludf.DUMMYFUNCTION("GOOGLETRANSLATE(A26651, ""en"", ""mt"")"),"1928-1933")</f>
        <v>1928-1933</v>
      </c>
    </row>
    <row r="26652" ht="15.75" customHeight="1">
      <c r="A26652" s="2" t="s">
        <v>26652</v>
      </c>
      <c r="B26652" s="2" t="str">
        <f>IFERROR(__xludf.DUMMYFUNCTION("GOOGLETRANSLATE(A26652, ""en"", ""mt"")"),"Ir-Rhine (Romansh: Rein, Ġermaniż: Rhein, Franċiż: Le Rhin, Olandiż: Rijn) hija xmara Ewropea li tibda fil-canton Żvizzeru ta 'Graubünden fl-Alpi Żvizzeri tax-Xlokk, tifforma parti mill-fruntiera Żvizzera-Awstrija, Żvizzera-Liechtenstein , Svizzeru-Ġerman"&amp;"iż u mbagħad il-fruntiera Franco-Ġermaniża, imbagħad tgħaddi mir-Rhineland u eventwalment tbattal fil-Baħar tat-Tramuntana fl-Olanda. L-akbar belt fuq ix-Xmara Rhine hija Cologne, il-Ġermanja b'popolazzjoni ta 'aktar minn 1,050,000 persuna. Hija t-tieni l"&amp;"-itwal xmara fl-Ewropa Ċentrali u tal-Punent (wara d-Danubju), għal madwar 1,230 km (760 mi), [nota 2] [nota 1] b'kariga medja ta 'madwar 2,900 m3 / s (100,000 cu ft / s).")</f>
        <v>Ir-Rhine (Romansh: Rein, Ġermaniż: Rhein, Franċiż: Le Rhin, Olandiż: Rijn) hija xmara Ewropea li tibda fil-canton Żvizzeru ta 'Graubünden fl-Alpi Żvizzeri tax-Xlokk, tifforma parti mill-fruntiera Żvizzera-Awstrija, Żvizzera-Liechtenstein , Svizzeru-Ġermaniż u mbagħad il-fruntiera Franco-Ġermaniża, imbagħad tgħaddi mir-Rhineland u eventwalment tbattal fil-Baħar tat-Tramuntana fl-Olanda. L-akbar belt fuq ix-Xmara Rhine hija Cologne, il-Ġermanja b'popolazzjoni ta 'aktar minn 1,050,000 persuna. Hija t-tieni l-itwal xmara fl-Ewropa Ċentrali u tal-Punent (wara d-Danubju), għal madwar 1,230 km (760 mi), [nota 2] [nota 1] b'kariga medja ta 'madwar 2,900 m3 / s (100,000 cu ft / s).</v>
      </c>
    </row>
    <row r="26653" ht="15.75" customHeight="1">
      <c r="A26653" s="2" t="s">
        <v>26653</v>
      </c>
      <c r="B26653" s="2" t="str">
        <f>IFERROR(__xludf.DUMMYFUNCTION("GOOGLETRANSLATE(A26653, ""en"", ""mt"")"),"Liema persentaġġ tal-vot għal assemblea Skoċċiża favurha?")</f>
        <v>Liema persentaġġ tal-vot għal assemblea Skoċċiża favurha?</v>
      </c>
    </row>
    <row r="26654" ht="15.75" customHeight="1">
      <c r="A26654" s="2" t="s">
        <v>26654</v>
      </c>
      <c r="B26654" s="2" t="str">
        <f>IFERROR(__xludf.DUMMYFUNCTION("GOOGLETRANSLATE(A26654, ""en"", ""mt"")"),"7 ta ’Frar 2009")</f>
        <v>7 ta ’Frar 2009</v>
      </c>
    </row>
    <row r="26655" ht="15.75" customHeight="1">
      <c r="A26655" s="2" t="s">
        <v>26655</v>
      </c>
      <c r="B26655" s="2" t="str">
        <f>IFERROR(__xludf.DUMMYFUNCTION("GOOGLETRANSLATE(A26655, ""en"", ""mt"")"),"Iċ-ċili jista 'jkun ukoll x'tul?")</f>
        <v>Iċ-ċili jista 'jkun ukoll x'tul?</v>
      </c>
    </row>
    <row r="26656" ht="15.75" customHeight="1">
      <c r="A26656" s="2" t="s">
        <v>26656</v>
      </c>
      <c r="B26656" s="2" t="str">
        <f>IFERROR(__xludf.DUMMYFUNCTION("GOOGLETRANSLATE(A26656, ""en"", ""mt"")"),"ir-rwol tagħha fil-fotosintesi")</f>
        <v>ir-rwol tagħha fil-fotosintesi</v>
      </c>
    </row>
    <row r="26657" ht="15.75" customHeight="1">
      <c r="A26657" s="2" t="s">
        <v>26657</v>
      </c>
      <c r="B26657" s="2" t="str">
        <f>IFERROR(__xludf.DUMMYFUNCTION("GOOGLETRANSLATE(A26657, ""en"", ""mt"")"),"Madwar 10 biljun barmil.")</f>
        <v>Madwar 10 biljun barmil.</v>
      </c>
    </row>
    <row r="26658" ht="15.75" customHeight="1">
      <c r="A26658" s="2" t="s">
        <v>26658</v>
      </c>
      <c r="B26658" s="2" t="str">
        <f>IFERROR(__xludf.DUMMYFUNCTION("GOOGLETRANSLATE(A26658, ""en"", ""mt"")"),"Il-ġudikatura")</f>
        <v>Il-ġudikatura</v>
      </c>
    </row>
    <row r="26659" ht="15.75" customHeight="1">
      <c r="A26659" s="2" t="s">
        <v>26659</v>
      </c>
      <c r="B26659" s="2" t="str">
        <f>IFERROR(__xludf.DUMMYFUNCTION("GOOGLETRANSLATE(A26659, ""en"", ""mt"")"),"Reżistenza mhux vjolenti")</f>
        <v>Reżistenza mhux vjolenti</v>
      </c>
    </row>
    <row r="26660" ht="15.75" customHeight="1">
      <c r="A26660" s="2" t="s">
        <v>26660</v>
      </c>
      <c r="B26660" s="2" t="str">
        <f>IFERROR(__xludf.DUMMYFUNCTION("GOOGLETRANSLATE(A26660, ""en"", ""mt"")"),"Ħafna Ċiniżi Han u Khitan iddefendu lill-Mongoli biex jiġġieldu kontra l-Jin. Żewġ mexxejja Ċiniżi Han, Shi Tianze, Liu Heima (劉黑馬, Liu ni), u l-Khitan Xiao Zhala (蕭札剌) iddefendu u kkmandaw it-3 tumens fl-armata tal-Mongolja. Liu Heima u Shi Tianze servew"&amp;" Ogödei Khan. Liu Heima u Shi Tianxiang mexxew armati kontra l-Punent Xia għall-Mongoli. Kien hemm 4 tumens han u 3 tumens khitan, b'kull tumen li jikkonsisti minn 10,000 truppa. The three Khitan Generals Shimobeidier (石抹孛迭兒), Tabuyir (塔不已兒) and Xiaozhaci"&amp;"zhizizhongxi (蕭札刺之子重喜) commanded the three Khitan Tumens and the four Han Generals Zhang Rou, Yan Shi, Shi Tianze, and Liu Heima ikkmanda l-erba 'Tumens Han taħt Ogödei Khan.")</f>
        <v>Ħafna Ċiniżi Han u Khitan iddefendu lill-Mongoli biex jiġġieldu kontra l-Jin. Żewġ mexxejja Ċiniżi Han, Shi Tianze, Liu Heima (劉黑馬, Liu ni), u l-Khitan Xiao Zhala (蕭札剌) iddefendu u kkmandaw it-3 tumens fl-armata tal-Mongolja. Liu Heima u Shi Tianze servew Ogödei Khan. Liu Heima u Shi Tianxiang mexxew armati kontra l-Punent Xia għall-Mongoli. Kien hemm 4 tumens han u 3 tumens khitan, b'kull tumen li jikkonsisti minn 10,000 truppa. The three Khitan Generals Shimobeidier (石抹孛迭兒), Tabuyir (塔不已兒) and Xiaozhacizhizizhongxi (蕭札刺之子重喜) commanded the three Khitan Tumens and the four Han Generals Zhang Rou, Yan Shi, Shi Tianze, and Liu Heima ikkmanda l-erba 'Tumens Han taħt Ogödei Khan.</v>
      </c>
    </row>
    <row r="26661" ht="15.75" customHeight="1">
      <c r="A26661" s="2" t="s">
        <v>26661</v>
      </c>
      <c r="B26661" s="2" t="str">
        <f>IFERROR(__xludf.DUMMYFUNCTION("GOOGLETRANSLATE(A26661, ""en"", ""mt"")"),"diskors pur")</f>
        <v>diskors pur</v>
      </c>
    </row>
    <row r="26662" ht="15.75" customHeight="1">
      <c r="A26662" s="2" t="s">
        <v>26662</v>
      </c>
      <c r="B26662" s="2" t="str">
        <f>IFERROR(__xludf.DUMMYFUNCTION("GOOGLETRANSLATE(A26662, ""en"", ""mt"")"),"ABC Inc.")</f>
        <v>ABC Inc.</v>
      </c>
    </row>
    <row r="26663" ht="15.75" customHeight="1">
      <c r="A26663" s="2" t="s">
        <v>26663</v>
      </c>
      <c r="B26663" s="2" t="str">
        <f>IFERROR(__xludf.DUMMYFUNCTION("GOOGLETRANSLATE(A26663, ""en"", ""mt"")"),"""Konvertiti Ġodda""")</f>
        <v>"Konvertiti Ġodda"</v>
      </c>
    </row>
    <row r="26664" ht="15.75" customHeight="1">
      <c r="A26664" s="2" t="s">
        <v>26664</v>
      </c>
      <c r="B26664" s="2" t="str">
        <f>IFERROR(__xludf.DUMMYFUNCTION("GOOGLETRANSLATE(A26664, ""en"", ""mt"")"),"136,000 kilometru kwadru")</f>
        <v>136,000 kilometru kwadru</v>
      </c>
    </row>
    <row r="26665" ht="15.75" customHeight="1">
      <c r="A26665" s="2" t="s">
        <v>26665</v>
      </c>
      <c r="B26665" s="2" t="str">
        <f>IFERROR(__xludf.DUMMYFUNCTION("GOOGLETRANSLATE(A26665, ""en"", ""mt"")"),"Min iddisinja l-galleriji l-ġodda medjevali u tar-Rinaxximent li nfetħu fl-2009?")</f>
        <v>Min iddisinja l-galleriji l-ġodda medjevali u tar-Rinaxximent li nfetħu fl-2009?</v>
      </c>
    </row>
    <row r="26666" ht="15.75" customHeight="1">
      <c r="A26666" s="2" t="s">
        <v>26666</v>
      </c>
      <c r="B26666" s="2" t="str">
        <f>IFERROR(__xludf.DUMMYFUNCTION("GOOGLETRANSLATE(A26666, ""en"", ""mt"")"),"Iċ-ċiklu tal-ossiġnu")</f>
        <v>Iċ-ċiklu tal-ossiġnu</v>
      </c>
    </row>
    <row r="26667" ht="15.75" customHeight="1">
      <c r="A26667" s="2" t="s">
        <v>26667</v>
      </c>
      <c r="B26667" s="2" t="str">
        <f>IFERROR(__xludf.DUMMYFUNCTION("GOOGLETRANSLATE(A26667, ""en"", ""mt"")"),"L-użu ta 'telerilevament għall-konservazzjoni tal-Amażonja qed jintuża wkoll mit-tribujiet indiġeni tal-baċin biex jipproteġu l-artijiet tribali tagħhom minn interessi kummerċjali. Bl-użu ta 'apparati u programmi tal-GPS li jinżammu fl-idejn bħal Google E"&amp;"arth, membri tat-Tribe Trio, li jgħixu fil-foresti tropikali tas-Surinam tan-Nofsinhar, mappaw l-artijiet antenati tagħhom biex jgħinu jsaħħu t-talbiet territorjali tagħhom. Bħalissa, il-biċċa l-kbira tat-tribujiet fl-Amażonja m'għandhomx il-konfini defin"&amp;"iti b'mod ċar, li jagħmluha aktar faċli għall-impriżi kummerċjali li jimmiraw it-territorji tagħhom.")</f>
        <v>L-użu ta 'telerilevament għall-konservazzjoni tal-Amażonja qed jintuża wkoll mit-tribujiet indiġeni tal-baċin biex jipproteġu l-artijiet tribali tagħhom minn interessi kummerċjali. Bl-użu ta 'apparati u programmi tal-GPS li jinżammu fl-idejn bħal Google Earth, membri tat-Tribe Trio, li jgħixu fil-foresti tropikali tas-Surinam tan-Nofsinhar, mappaw l-artijiet antenati tagħhom biex jgħinu jsaħħu t-talbiet territorjali tagħhom. Bħalissa, il-biċċa l-kbira tat-tribujiet fl-Amażonja m'għandhomx il-konfini definiti b'mod ċar, li jagħmluha aktar faċli għall-impriżi kummerċjali li jimmiraw it-territorji tagħhom.</v>
      </c>
    </row>
    <row r="26668" ht="15.75" customHeight="1">
      <c r="A26668" s="2" t="s">
        <v>26668</v>
      </c>
      <c r="B26668" s="2" t="str">
        <f>IFERROR(__xludf.DUMMYFUNCTION("GOOGLETRANSLATE(A26668, ""en"", ""mt"")"),"Tribujiet Pictish")</f>
        <v>Tribujiet Pictish</v>
      </c>
    </row>
    <row r="26669" ht="15.75" customHeight="1">
      <c r="A26669" s="2" t="s">
        <v>26669</v>
      </c>
      <c r="B26669" s="2" t="str">
        <f>IFERROR(__xludf.DUMMYFUNCTION("GOOGLETRANSLATE(A26669, ""en"", ""mt"")"),"1759-60")</f>
        <v>1759-60</v>
      </c>
    </row>
    <row r="26670" ht="15.75" customHeight="1">
      <c r="A26670" s="2" t="s">
        <v>26670</v>
      </c>
      <c r="B26670" s="2" t="str">
        <f>IFERROR(__xludf.DUMMYFUNCTION("GOOGLETRANSLATE(A26670, ""en"", ""mt"")"),"x-xita mnaqqsa u żieda fit-temperaturi")</f>
        <v>x-xita mnaqqsa u żieda fit-temperaturi</v>
      </c>
    </row>
    <row r="26671" ht="15.75" customHeight="1">
      <c r="A26671" s="2" t="s">
        <v>26671</v>
      </c>
      <c r="B26671" s="2" t="str">
        <f>IFERROR(__xludf.DUMMYFUNCTION("GOOGLETRANSLATE(A26671, ""en"", ""mt"")"),"Liema mużew jirċievi oġġetti fuq self mill-gallerija tal-istrumenti mużikali?")</f>
        <v>Liema mużew jirċievi oġġetti fuq self mill-gallerija tal-istrumenti mużikali?</v>
      </c>
    </row>
    <row r="26672" ht="15.75" customHeight="1">
      <c r="A26672" s="2" t="s">
        <v>26672</v>
      </c>
      <c r="B26672" s="2" t="str">
        <f>IFERROR(__xludf.DUMMYFUNCTION("GOOGLETRANSLATE(A26672, ""en"", ""mt"")"),"X'inhu kkreditat Donald Davies")</f>
        <v>X'inhu kkreditat Donald Davies</v>
      </c>
    </row>
    <row r="26673" ht="15.75" customHeight="1">
      <c r="A26673" s="2" t="s">
        <v>26673</v>
      </c>
      <c r="B26673" s="2" t="str">
        <f>IFERROR(__xludf.DUMMYFUNCTION("GOOGLETRANSLATE(A26673, ""en"", ""mt"")"),"X'jiġri f'kull missjoni qabel ma jkomplu għall-missjoni li jmiss?")</f>
        <v>X'jiġri f'kull missjoni qabel ma jkomplu għall-missjoni li jmiss?</v>
      </c>
    </row>
    <row r="26674" ht="15.75" customHeight="1">
      <c r="A26674" s="2" t="s">
        <v>26674</v>
      </c>
      <c r="B26674" s="2" t="str">
        <f>IFERROR(__xludf.DUMMYFUNCTION("GOOGLETRANSLATE(A26674, ""en"", ""mt"")"),"Skultura post-klassika")</f>
        <v>Skultura post-klassika</v>
      </c>
    </row>
    <row r="26675" ht="15.75" customHeight="1">
      <c r="A26675" s="2" t="s">
        <v>26675</v>
      </c>
      <c r="B26675" s="2" t="str">
        <f>IFERROR(__xludf.DUMMYFUNCTION("GOOGLETRANSLATE(A26675, ""en"", ""mt"")"),"Il-Fruntiera tal-Istati Uniti tal-Messiku")</f>
        <v>Il-Fruntiera tal-Istati Uniti tal-Messiku</v>
      </c>
    </row>
    <row r="26676" ht="15.75" customHeight="1">
      <c r="A26676" s="2" t="s">
        <v>26676</v>
      </c>
      <c r="B26676" s="2" t="str">
        <f>IFERROR(__xludf.DUMMYFUNCTION("GOOGLETRANSLATE(A26676, ""en"", ""mt"")"),"tfisser li tinvesti")</f>
        <v>tfisser li tinvesti</v>
      </c>
    </row>
    <row r="26677" ht="15.75" customHeight="1">
      <c r="A26677" s="2" t="s">
        <v>26677</v>
      </c>
      <c r="B26677" s="2" t="str">
        <f>IFERROR(__xludf.DUMMYFUNCTION("GOOGLETRANSLATE(A26677, ""en"", ""mt"")"),"Sistema immuni innata")</f>
        <v>Sistema immuni innata</v>
      </c>
    </row>
    <row r="26678" ht="15.75" customHeight="1">
      <c r="A26678" s="2" t="s">
        <v>26678</v>
      </c>
      <c r="B26678" s="2" t="str">
        <f>IFERROR(__xludf.DUMMYFUNCTION("GOOGLETRANSLATE(A26678, ""en"", ""mt"")"),"Bħala eżempji interessanti ta 'esponimenti l-iktar notevoli huma: l-ewwel mużew tal-posters tad-dinja li jiftaħar waħda mill-ikbar kollezzjonijiet ta' posters tal-arti fid-dinja, Mużew tal-Kaċċa u l-Irkib u l-Mużew tal-Ferrovija. Minn fost is-60 mużew ta "&amp;"'Varsavja, l-iktar prestiġjużi huma Mużew Nazzjonali b'kollezzjoni ta' xogħlijiet li l-oriġini tagħhom tvarja fil-ħin mill-antikità sal-epoka preżenti kif ukoll waħda mill-aqwa kollezzjonijiet ta 'pitturi fil-pajjiż inklużi xi pitturi mill-kollezzjoni pri"&amp;"vata ta' Adolf Hitler , u l-Mużew tal-Armata Pollakka li s-sett juri l-istorja tal-armi.")</f>
        <v>Bħala eżempji interessanti ta 'esponimenti l-iktar notevoli huma: l-ewwel mużew tal-posters tad-dinja li jiftaħar waħda mill-ikbar kollezzjonijiet ta' posters tal-arti fid-dinja, Mużew tal-Kaċċa u l-Irkib u l-Mużew tal-Ferrovija. Minn fost is-60 mużew ta 'Varsavja, l-iktar prestiġjużi huma Mużew Nazzjonali b'kollezzjoni ta' xogħlijiet li l-oriġini tagħhom tvarja fil-ħin mill-antikità sal-epoka preżenti kif ukoll waħda mill-aqwa kollezzjonijiet ta 'pitturi fil-pajjiż inklużi xi pitturi mill-kollezzjoni privata ta' Adolf Hitler , u l-Mużew tal-Armata Pollakka li s-sett juri l-istorja tal-armi.</v>
      </c>
    </row>
    <row r="26679" ht="15.75" customHeight="1">
      <c r="A26679" s="2" t="s">
        <v>26679</v>
      </c>
      <c r="B26679" s="2" t="str">
        <f>IFERROR(__xludf.DUMMYFUNCTION("GOOGLETRANSLATE(A26679, ""en"", ""mt"")"),"X'kienet roaring hekk kif Newcastle ġie maħruq?")</f>
        <v>X'kienet roaring hekk kif Newcastle ġie maħruq?</v>
      </c>
    </row>
    <row r="26680" ht="15.75" customHeight="1">
      <c r="A26680" s="2" t="s">
        <v>26680</v>
      </c>
      <c r="B26680" s="2" t="str">
        <f>IFERROR(__xludf.DUMMYFUNCTION("GOOGLETRANSLATE(A26680, ""en"", ""mt"")"),"Il-pjan Swynnerton, li kien użat biex jippremja l-lealiżi u jikkastiga lil Mau Mau.")</f>
        <v>Il-pjan Swynnerton, li kien użat biex jippremja l-lealiżi u jikkastiga lil Mau Mau.</v>
      </c>
    </row>
    <row r="26681" ht="15.75" customHeight="1">
      <c r="A26681" s="2" t="s">
        <v>26681</v>
      </c>
      <c r="B26681" s="2" t="str">
        <f>IFERROR(__xludf.DUMMYFUNCTION("GOOGLETRANSLATE(A26681, ""en"", ""mt"")"),"Rwol importanti ieħor tas-sistema immuni huwa li tidentifika u telimina t-tumuri. Din tissejjaħ sorveljanza immuni. Iċ-ċelloli trasformati tat-tumuri jesprimu antiġeni li ma jinstabux fuq ċelloli normali. Għas-sistema immunitarja, dawn l-antiġeni jidhru b"&amp;"arranin, u l-preżenza tagħhom tikkawża ċelloli immuni biex jattakkaw iċ-ċelloli tat-tumur trasformati. L-antiġeni espressi minn tumuri għandhom diversi sorsi; Xi wħud huma derivati ​​minn viruses onkoġeniċi bħall-papillomavirus uman, li jikkawża kanċer ċe"&amp;"rvikali, filwaqt li oħrajn huma l-proteini tal-organiżmu stess li jseħħu f'livelli baxxi f'ċelloli normali iżda jilħqu livelli għoljin fiċ-ċelloli tat-tumur. Eżempju wieħed huwa enzima msejħa tyrosinase li, meta espressa f'livelli għoljin, tittrasforma ċe"&amp;"rti ċelloli tal-ġilda (e.g. melanocytes) f'tumuri msejħa melanomas. It-tielet sors possibbli ta 'antiġeni tat-tumur huma proteini normalment importanti għar-regolazzjoni tat-tkabbir taċ-ċelluli u s-sopravivenza, li komunement jimmutaw f'molekuli li jikkaw"&amp;"żaw il-kanċer imsejħa onkoġeni.")</f>
        <v>Rwol importanti ieħor tas-sistema immuni huwa li tidentifika u telimina t-tumuri. Din tissejjaħ sorveljanza immuni. Iċ-ċelloli trasformati tat-tumuri jesprimu antiġeni li ma jinstabux fuq ċelloli normali. Għas-sistema immunitarja, dawn l-antiġeni jidhru barranin, u l-preżenza tagħhom tikkawża ċelloli immuni biex jattakkaw iċ-ċelloli tat-tumur trasformati. L-antiġeni espressi minn tumuri għandhom diversi sorsi; Xi wħud huma derivati ​​minn viruses onkoġeniċi bħall-papillomavirus uman, li jikkawża kanċer ċervikali, filwaqt li oħrajn huma l-proteini tal-organiżmu stess li jseħħu f'livelli baxxi f'ċelloli normali iżda jilħqu livelli għoljin fiċ-ċelloli tat-tumur. Eżempju wieħed huwa enzima msejħa tyrosinase li, meta espressa f'livelli għoljin, tittrasforma ċerti ċelloli tal-ġilda (e.g. melanocytes) f'tumuri msejħa melanomas. It-tielet sors possibbli ta 'antiġeni tat-tumur huma proteini normalment importanti għar-regolazzjoni tat-tkabbir taċ-ċelluli u s-sopravivenza, li komunement jimmutaw f'molekuli li jikkawżaw il-kanċer imsejħa onkoġeni.</v>
      </c>
    </row>
    <row r="26682" ht="15.75" customHeight="1">
      <c r="A26682" s="2" t="s">
        <v>26682</v>
      </c>
      <c r="B26682" s="2" t="str">
        <f>IFERROR(__xludf.DUMMYFUNCTION("GOOGLETRANSLATE(A26682, ""en"", ""mt"")"),"Meta huma l-irmied issa?")</f>
        <v>Meta huma l-irmied issa?</v>
      </c>
    </row>
    <row r="26683" ht="15.75" customHeight="1">
      <c r="A26683" s="2" t="s">
        <v>26683</v>
      </c>
      <c r="B26683" s="2" t="str">
        <f>IFERROR(__xludf.DUMMYFUNCTION("GOOGLETRANSLATE(A26683, ""en"", ""mt"")"),"ċittadin")</f>
        <v>ċittadin</v>
      </c>
    </row>
    <row r="26684" ht="15.75" customHeight="1">
      <c r="A26684" s="2" t="s">
        <v>26684</v>
      </c>
      <c r="B26684" s="2" t="str">
        <f>IFERROR(__xludf.DUMMYFUNCTION("GOOGLETRANSLATE(A26684, ""en"", ""mt"")"),"aktar minn 232")</f>
        <v>aktar minn 232</v>
      </c>
    </row>
    <row r="26685" ht="15.75" customHeight="1">
      <c r="A26685" s="2" t="s">
        <v>26685</v>
      </c>
      <c r="B26685" s="2" t="str">
        <f>IFERROR(__xludf.DUMMYFUNCTION("GOOGLETRANSLATE(A26685, ""en"", ""mt"")"),"X’għamel Luther li ma kienx se jiskambja għal ħajtu ma ’martu?")</f>
        <v>X’għamel Luther li ma kienx se jiskambja għal ħajtu ma ’martu?</v>
      </c>
    </row>
    <row r="26686" ht="15.75" customHeight="1">
      <c r="A26686" s="2" t="s">
        <v>26686</v>
      </c>
      <c r="B26686" s="2" t="str">
        <f>IFERROR(__xludf.DUMMYFUNCTION("GOOGLETRANSLATE(A26686, ""en"", ""mt"")"),"X'kien suċċess kbir, speċjalment fil-bini mill-ġdid ta 'Varsavja?")</f>
        <v>X'kien suċċess kbir, speċjalment fil-bini mill-ġdid ta 'Varsavja?</v>
      </c>
    </row>
    <row r="26687" ht="15.75" customHeight="1">
      <c r="A26687" s="2" t="s">
        <v>26687</v>
      </c>
      <c r="B26687" s="2" t="str">
        <f>IFERROR(__xludf.DUMMYFUNCTION("GOOGLETRANSLATE(A26687, ""en"", ""mt"")"),"Bażi legali xierqa")</f>
        <v>Bażi legali xierqa</v>
      </c>
    </row>
    <row r="26688" ht="15.75" customHeight="1">
      <c r="A26688" s="2" t="s">
        <v>26688</v>
      </c>
      <c r="B26688" s="2" t="str">
        <f>IFERROR(__xludf.DUMMYFUNCTION("GOOGLETRANSLATE(A26688, ""en"", ""mt"")"),"X'tip ta 'relazzjonijiet jikkawżaw għalliema entużjasti?")</f>
        <v>X'tip ta 'relazzjonijiet jikkawżaw għalliema entużjasti?</v>
      </c>
    </row>
    <row r="26689" ht="15.75" customHeight="1">
      <c r="A26689" s="2" t="s">
        <v>26689</v>
      </c>
      <c r="B26689" s="2" t="str">
        <f>IFERROR(__xludf.DUMMYFUNCTION("GOOGLETRANSLATE(A26689, ""en"", ""mt"")"),"B'kuntrast mar-rekwiżiti tal-prodott jew liġijiet oħra li jfixklu l-aċċess tas-suq, il-Qorti tal-Ġustizzja żviluppat preżunzjoni li ""l-arranġamenti tal-bejgħ"" tkun preżunta li ma jaqgħux fl-Artikolu 34 tat-TFEU, jekk japplikaw bl-istess mod lill-bejjieg"&amp;"ħa kollha, u affettwawhom fl-istess mod fil-fatt. Fil-Keck u Mithouard żewġ importaturi sostnew li l-prosekuzzjoni tagħhom taħt liġi tal-kompetizzjoni Franċiża, li ma ħalliethomx ibigħu l-birra tal-picon taħt prezz bl-ingrossa, kienet illegali. L-għan tal"&amp;"-liġi kien li jipprevjeni l-kompetizzjoni tal-griżmejn maqtugħin, u ma jfixklux il-kummerċ. Il-Qorti tal-Ġustizzja ddeċidiet, bħala ""fil-liġi u fil-fatt"" kienet ""arranġament ta 'bejgħ"" bl-istess mod applikabbli (mhux xi ħaġa li tibdel il-kontenut ta' "&amp;"prodott) kienet barra mill-ambitu tal-Artikolu 34, u għalhekk ma kellux għalfejn ikun iġġustifikat. Jista 'jinżamm arranġamenti ta' bejgħ biex ikollhom effett mhux ugwali ""fil-fatt"" partikolarment fejn negozjanti minn stat membru ieħor qed ifittxu li ji"&amp;"dħlu fis-suq, iżda hemm restrizzjonijiet fuq ir-reklamar u l-kummerċjalizzazzjoni. Fil-Konsumentombudsmannen v de Agostini, il-Qorti tal-Ġustizzja rrevediet projbizzjonijiet Żvediżi fuq ir-reklamar lil tfal taħt it-12-il sena, u riklami qarrieqa għal prod"&amp;"otti għall-kura tal-ġilda. Filwaqt li l-projbizzjonijiet baqgħu (ġustifikabbli skont l-Artikolu 36 jew bħala rekwiżit obbligatorju) il-qorti enfasizzat li projbizzjonijiet kompluti tal-kummerċ jistgħu jkunu sproporzjonati jekk ir-reklamar kien ""l-unika f"&amp;"orma effettiva ta 'promozzjoni li tippermetti [negozjant] biex jippenetra"" fis-suq. Fil-Konsumentombudsmannen v Gourmet AB il-qorti ssuġġeriet li projbizzjoni totali għar-reklamar tal-alkoħol fuq ir-radju, it-TV u fir-rivisti jistgħu jaqgħu taħt l-Artiko"&amp;"lu 34 fejn ir-reklamar kien l-uniku mod biex il-bejjiegħa jegħlbu l-konsumaturi ""prattiki soċjali tradizzjonali u għal drawwiet u drawwiet lokali tal-konsumaturi ""Biex jixtru l-prodotti tagħhom, iżda għal darb'oħra l-qrati nazzjonali jiddeċiedu jekk kie"&amp;"nx iġġustifikat skont l-Artikolu 36 biex jipproteġi s-saħħa pubblika. Taħt id-Direttiva dwar il-Prattiki Kummerċjali Inġusti, ir-restrizzjonijiet armonizzati tal-UE fuq ir-restrizzjonijiet fuq il-kummerċjalizzazzjoni u r-reklamar, biex tipprojbixxi li tgħ"&amp;"awweġ l-imġieba medja tal-konsumatur, hija qarrieqa jew aggressiva, u tistipula lista ta 'eżempji li jgħoddu bħala inġusti. Kulma jmur, l-istati jridu jagħtu rikonoxximent reċiproku lill-istandards ta 'regolament ta' xulxin, filwaqt li l-UE ppruvat tarmon"&amp;"izza l-ideali minimi ta 'l-aħjar prattika. L-attentat biex jgħollu l-istandards huwa ttamat li jevita ""razza għall-qiegħ"" regolatorja, filwaqt li jippermetti lill-konsumaturi aċċess għal oġġetti minn madwar il-kontinent.")</f>
        <v>B'kuntrast mar-rekwiżiti tal-prodott jew liġijiet oħra li jfixklu l-aċċess tas-suq, il-Qorti tal-Ġustizzja żviluppat preżunzjoni li "l-arranġamenti tal-bejgħ" tkun preżunta li ma jaqgħux fl-Artikolu 34 tat-TFEU, jekk japplikaw bl-istess mod lill-bejjiegħa kollha, u affettwawhom fl-istess mod fil-fatt. Fil-Keck u Mithouard żewġ importaturi sostnew li l-prosekuzzjoni tagħhom taħt liġi tal-kompetizzjoni Franċiża, li ma ħalliethomx ibigħu l-birra tal-picon taħt prezz bl-ingrossa, kienet illegali. L-għan tal-liġi kien li jipprevjeni l-kompetizzjoni tal-griżmejn maqtugħin, u ma jfixklux il-kummerċ. Il-Qorti tal-Ġustizzja ddeċidiet, bħala "fil-liġi u fil-fatt" kienet "arranġament ta 'bejgħ" bl-istess mod applikabbli (mhux xi ħaġa li tibdel il-kontenut ta' prodott) kienet barra mill-ambitu tal-Artikolu 34, u għalhekk ma kellux għalfejn ikun iġġustifikat. Jista 'jinżamm arranġamenti ta' bejgħ biex ikollhom effett mhux ugwali "fil-fatt" partikolarment fejn negozjanti minn stat membru ieħor qed ifittxu li jidħlu fis-suq, iżda hemm restrizzjonijiet fuq ir-reklamar u l-kummerċjalizzazzjoni. Fil-Konsumentombudsmannen v de Agostini, il-Qorti tal-Ġustizzja rrevediet projbizzjonijiet Żvediżi fuq ir-reklamar lil tfal taħt it-12-il sena, u riklami qarrieqa għal prodotti għall-kura tal-ġilda. Filwaqt li l-projbizzjonijiet baqgħu (ġustifikabbli skont l-Artikolu 36 jew bħala rekwiżit obbligatorju) il-qorti enfasizzat li projbizzjonijiet kompluti tal-kummerċ jistgħu jkunu sproporzjonati jekk ir-reklamar kien "l-unika forma effettiva ta 'promozzjoni li tippermetti [negozjant] biex jippenetra" fis-suq. Fil-Konsumentombudsmannen v Gourmet AB il-qorti ssuġġeriet li projbizzjoni totali għar-reklamar tal-alkoħol fuq ir-radju, it-TV u fir-rivisti jistgħu jaqgħu taħt l-Artikolu 34 fejn ir-reklamar kien l-uniku mod biex il-bejjiegħa jegħlbu l-konsumaturi "prattiki soċjali tradizzjonali u għal drawwiet u drawwiet lokali tal-konsumaturi "Biex jixtru l-prodotti tagħhom, iżda għal darb'oħra l-qrati nazzjonali jiddeċiedu jekk kienx iġġustifikat skont l-Artikolu 36 biex jipproteġi s-saħħa pubblika. Taħt id-Direttiva dwar il-Prattiki Kummerċjali Inġusti, ir-restrizzjonijiet armonizzati tal-UE fuq ir-restrizzjonijiet fuq il-kummerċjalizzazzjoni u r-reklamar, biex tipprojbixxi li tgħawweġ l-imġieba medja tal-konsumatur, hija qarrieqa jew aggressiva, u tistipula lista ta 'eżempji li jgħoddu bħala inġusti. Kulma jmur, l-istati jridu jagħtu rikonoxximent reċiproku lill-istandards ta 'regolament ta' xulxin, filwaqt li l-UE ppruvat tarmonizza l-ideali minimi ta 'l-aħjar prattika. L-attentat biex jgħollu l-istandards huwa ttamat li jevita "razza għall-qiegħ" regolatorja, filwaqt li jippermetti lill-konsumaturi aċċess għal oġġetti minn madwar il-kontinent.</v>
      </c>
    </row>
    <row r="26690" ht="15.75" customHeight="1">
      <c r="A26690" s="2" t="s">
        <v>26690</v>
      </c>
      <c r="B26690" s="2" t="str">
        <f>IFERROR(__xludf.DUMMYFUNCTION("GOOGLETRANSLATE(A26690, ""en"", ""mt"")"),"Kemm qabel kif ukoll wara s-silta tal-1708 tal-Att dwar in-Naturalizzazzjoni tal-Protestanti Barranin, huwa stmat li 50,000 walloon Protestanti u Huguenots ħarbu lejn l-Ingilterra, b'ħafna jimxu lejn l-Irlanda u x'imkien ieħor. F'termini relattivi, dan ki"&amp;"en wieħed mill-ikbar mewġ ta 'immigrazzjoni li qatt kien hemm komunità etnika waħda lejn il-Gran Brittanja. Andrew Lortie (imwieled André Lortie), teologu u kittieb ewlieni ta 'Huguenot li mexxa l-komunità eżiljata f'Londra, sar magħruf għall-artikolazzjo"&amp;"ni tal-kritika tagħhom dwar il-Papa u d-duttrina ta' trans-swaba waqt il-massa.")</f>
        <v>Kemm qabel kif ukoll wara s-silta tal-1708 tal-Att dwar in-Naturalizzazzjoni tal-Protestanti Barranin, huwa stmat li 50,000 walloon Protestanti u Huguenots ħarbu lejn l-Ingilterra, b'ħafna jimxu lejn l-Irlanda u x'imkien ieħor. F'termini relattivi, dan kien wieħed mill-ikbar mewġ ta 'immigrazzjoni li qatt kien hemm komunità etnika waħda lejn il-Gran Brittanja. Andrew Lortie (imwieled André Lortie), teologu u kittieb ewlieni ta 'Huguenot li mexxa l-komunità eżiljata f'Londra, sar magħruf għall-artikolazzjoni tal-kritika tagħhom dwar il-Papa u d-duttrina ta' trans-swaba waqt il-massa.</v>
      </c>
    </row>
    <row r="26691" ht="15.75" customHeight="1">
      <c r="A26691" s="2" t="s">
        <v>26691</v>
      </c>
      <c r="B26691" s="2" t="str">
        <f>IFERROR(__xludf.DUMMYFUNCTION("GOOGLETRANSLATE(A26691, ""en"", ""mt"")"),"X'inhi kelma oħra għall-mantell ta 'fuq tad-dinja?")</f>
        <v>X'inhi kelma oħra għall-mantell ta 'fuq tad-dinja?</v>
      </c>
    </row>
    <row r="26692" ht="15.75" customHeight="1">
      <c r="A26692" s="2" t="s">
        <v>26692</v>
      </c>
      <c r="B26692" s="2" t="str">
        <f>IFERROR(__xludf.DUMMYFUNCTION("GOOGLETRANSLATE(A26692, ""en"", ""mt"")"),"Meta ġie msejjaħ Luther minn von Staupitz lil Wittenberg?")</f>
        <v>Meta ġie msejjaħ Luther minn von Staupitz lil Wittenberg?</v>
      </c>
    </row>
    <row r="26693" ht="15.75" customHeight="1">
      <c r="A26693" s="2" t="s">
        <v>26693</v>
      </c>
      <c r="B26693" s="2" t="str">
        <f>IFERROR(__xludf.DUMMYFUNCTION("GOOGLETRANSLATE(A26693, ""en"", ""mt"")"),"Min jiddikjara li kumpaniji pubbliċi jistgħu wkoll ikunu parti minn diżubbidjenza ċivili?")</f>
        <v>Min jiddikjara li kumpaniji pubbliċi jistgħu wkoll ikunu parti minn diżubbidjenza ċivili?</v>
      </c>
    </row>
    <row r="26694" ht="15.75" customHeight="1">
      <c r="A26694" s="2" t="s">
        <v>26694</v>
      </c>
      <c r="B26694" s="2" t="str">
        <f>IFERROR(__xludf.DUMMYFUNCTION("GOOGLETRANSLATE(A26694, ""en"", ""mt"")"),"Membri tal-Knisja Metodista Magħquda")</f>
        <v>Membri tal-Knisja Metodista Magħquda</v>
      </c>
    </row>
    <row r="26695" ht="15.75" customHeight="1">
      <c r="A26695" s="2" t="s">
        <v>26695</v>
      </c>
      <c r="B26695" s="2" t="str">
        <f>IFERROR(__xludf.DUMMYFUNCTION("GOOGLETRANSLATE(A26695, ""en"", ""mt"")"),"amplifikazzjoni tas-sinjal")</f>
        <v>amplifikazzjoni tas-sinjal</v>
      </c>
    </row>
    <row r="26696" ht="15.75" customHeight="1">
      <c r="A26696" s="2" t="s">
        <v>26696</v>
      </c>
      <c r="B26696" s="2" t="str">
        <f>IFERROR(__xludf.DUMMYFUNCTION("GOOGLETRANSLATE(A26696, ""en"", ""mt"")"),"Kevin Harlan")</f>
        <v>Kevin Harlan</v>
      </c>
    </row>
    <row r="26697" ht="15.75" customHeight="1">
      <c r="A26697" s="2" t="s">
        <v>26697</v>
      </c>
      <c r="B26697" s="2" t="str">
        <f>IFERROR(__xludf.DUMMYFUNCTION("GOOGLETRANSLATE(A26697, ""en"", ""mt"")"),"Fl-1735")</f>
        <v>Fl-1735</v>
      </c>
    </row>
    <row r="26698" ht="15.75" customHeight="1">
      <c r="A26698" s="2" t="s">
        <v>26698</v>
      </c>
      <c r="B26698" s="2" t="str">
        <f>IFERROR(__xludf.DUMMYFUNCTION("GOOGLETRANSLATE(A26698, ""en"", ""mt"")"),"Grafika arbitrarja")</f>
        <v>Grafika arbitrarja</v>
      </c>
    </row>
    <row r="26699" ht="15.75" customHeight="1">
      <c r="A26699" s="2" t="s">
        <v>26699</v>
      </c>
      <c r="B26699" s="2" t="str">
        <f>IFERROR(__xludf.DUMMYFUNCTION("GOOGLETRANSLATE(A26699, ""en"", ""mt"")"),"25 ta 'Mejju 1521")</f>
        <v>25 ta 'Mejju 1521</v>
      </c>
    </row>
    <row r="26700" ht="15.75" customHeight="1">
      <c r="A26700" s="2" t="s">
        <v>26700</v>
      </c>
      <c r="B26700" s="2" t="str">
        <f>IFERROR(__xludf.DUMMYFUNCTION("GOOGLETRANSLATE(A26700, ""en"", ""mt"")"),"X’kien jemmen li għamel l-etere?")</f>
        <v>X’kien jemmen li għamel l-etere?</v>
      </c>
    </row>
    <row r="26701" ht="15.75" customHeight="1">
      <c r="A26701" s="2" t="s">
        <v>26701</v>
      </c>
      <c r="B26701" s="2" t="str">
        <f>IFERROR(__xludf.DUMMYFUNCTION("GOOGLETRANSLATE(A26701, ""en"", ""mt"")"),"Jiddikjara ħati għal għadd wieħed ta 'delitt u ma jirċievi l-ebda ħin ta' ħabs")</f>
        <v>Jiddikjara ħati għal għadd wieħed ta 'delitt u ma jirċievi l-ebda ħin ta' ħabs</v>
      </c>
    </row>
    <row r="26702" ht="15.75" customHeight="1">
      <c r="A26702" s="2" t="s">
        <v>26702</v>
      </c>
      <c r="B26702" s="2" t="str">
        <f>IFERROR(__xludf.DUMMYFUNCTION("GOOGLETRANSLATE(A26702, ""en"", ""mt"")"),"L-inugwaljanza kif tipprevjeni t-tkabbir?")</f>
        <v>L-inugwaljanza kif tipprevjeni t-tkabbir?</v>
      </c>
    </row>
    <row r="26703" ht="15.75" customHeight="1">
      <c r="A26703" s="2" t="s">
        <v>26703</v>
      </c>
      <c r="B26703" s="2" t="str">
        <f>IFERROR(__xludf.DUMMYFUNCTION("GOOGLETRANSLATE(A26703, ""en"", ""mt"")"),"Kemm jgħix 17.7% tal-popolazzjoni kuljum?")</f>
        <v>Kemm jgħix 17.7% tal-popolazzjoni kuljum?</v>
      </c>
    </row>
    <row r="26704" ht="15.75" customHeight="1">
      <c r="A26704" s="2" t="s">
        <v>26704</v>
      </c>
      <c r="B26704" s="2" t="str">
        <f>IFERROR(__xludf.DUMMYFUNCTION("GOOGLETRANSLATE(A26704, ""en"", ""mt"")"),"Liema individwu hija msemmija l-iskola?")</f>
        <v>Liema individwu hija msemmija l-iskola?</v>
      </c>
    </row>
    <row r="26705" ht="15.75" customHeight="1">
      <c r="A26705" s="2" t="s">
        <v>26705</v>
      </c>
      <c r="B26705" s="2" t="str">
        <f>IFERROR(__xludf.DUMMYFUNCTION("GOOGLETRANSLATE(A26705, ""en"", ""mt"")"),"Fejn Franza tilfet gwerra fis-snin 1950?")</f>
        <v>Fejn Franza tilfet gwerra fis-snin 1950?</v>
      </c>
    </row>
    <row r="26706" ht="15.75" customHeight="1">
      <c r="A26706" s="2" t="s">
        <v>26706</v>
      </c>
      <c r="B26706" s="2" t="str">
        <f>IFERROR(__xludf.DUMMYFUNCTION("GOOGLETRANSLATE(A26706, ""en"", ""mt"")"),"viżjonijiet")</f>
        <v>viżjonijiet</v>
      </c>
    </row>
    <row r="26707" ht="15.75" customHeight="1">
      <c r="A26707" s="2" t="s">
        <v>26707</v>
      </c>
      <c r="B26707" s="2" t="str">
        <f>IFERROR(__xludf.DUMMYFUNCTION("GOOGLETRANSLATE(A26707, ""en"", ""mt"")"),"Żwiemel")</f>
        <v>Żwiemel</v>
      </c>
    </row>
    <row r="26708" ht="15.75" customHeight="1">
      <c r="A26708" s="2" t="s">
        <v>26708</v>
      </c>
      <c r="B26708" s="2" t="str">
        <f>IFERROR(__xludf.DUMMYFUNCTION("GOOGLETRANSLATE(A26708, ""en"", ""mt"")"),"Lvant Nofsani.")</f>
        <v>Lvant Nofsani.</v>
      </c>
    </row>
    <row r="26709" ht="15.75" customHeight="1">
      <c r="A26709" s="2" t="s">
        <v>26709</v>
      </c>
      <c r="B26709" s="2" t="str">
        <f>IFERROR(__xludf.DUMMYFUNCTION("GOOGLETRANSLATE(A26709, ""en"", ""mt"")"),"Format tal-Kungress u ħafna speċifiċi tal-pjan saru l-prototip għall-Konfederazzjoni matul il-Gwerra tal-Indipendenza")</f>
        <v>Format tal-Kungress u ħafna speċifiċi tal-pjan saru l-prototip għall-Konfederazzjoni matul il-Gwerra tal-Indipendenza</v>
      </c>
    </row>
    <row r="26710" ht="15.75" customHeight="1">
      <c r="A26710" s="2" t="s">
        <v>26710</v>
      </c>
      <c r="B26710" s="2" t="str">
        <f>IFERROR(__xludf.DUMMYFUNCTION("GOOGLETRANSLATE(A26710, ""en"", ""mt"")"),"forma ta 'lamtu")</f>
        <v>forma ta 'lamtu</v>
      </c>
    </row>
    <row r="26711" ht="15.75" customHeight="1">
      <c r="A26711" s="2" t="s">
        <v>26711</v>
      </c>
      <c r="B26711" s="2" t="str">
        <f>IFERROR(__xludf.DUMMYFUNCTION("GOOGLETRANSLATE(A26711, ""en"", ""mt"")"),"Mill-1920, il-manifattura taċ-ċinema, il-pitrolju u l-inġenji tal-ajru kienu industriji ewlenin. F’wieħed mir-reġjuni agrikoli l-aktar sinjuri fl-Istati Uniti, il-baqar u ċ-ċitru kienu industriji ewlenin sakemm l-art agrikola nbidlet f’subborgi. Għalkemm "&amp;"it-tnaqqis fl-infiq militari kellu impatt, l-Aerospace jibqa 'fattur ewlieni.")</f>
        <v>Mill-1920, il-manifattura taċ-ċinema, il-pitrolju u l-inġenji tal-ajru kienu industriji ewlenin. F’wieħed mir-reġjuni agrikoli l-aktar sinjuri fl-Istati Uniti, il-baqar u ċ-ċitru kienu industriji ewlenin sakemm l-art agrikola nbidlet f’subborgi. Għalkemm it-tnaqqis fl-infiq militari kellu impatt, l-Aerospace jibqa 'fattur ewlieni.</v>
      </c>
    </row>
    <row r="26712" ht="15.75" customHeight="1">
      <c r="A26712" s="2" t="s">
        <v>26712</v>
      </c>
      <c r="B26712" s="2" t="str">
        <f>IFERROR(__xludf.DUMMYFUNCTION("GOOGLETRANSLATE(A26712, ""en"", ""mt"")"),"in-neputija tiegħu")</f>
        <v>in-neputija tiegħu</v>
      </c>
    </row>
    <row r="26713" ht="15.75" customHeight="1">
      <c r="A26713" s="2" t="s">
        <v>26713</v>
      </c>
      <c r="B26713" s="2" t="str">
        <f>IFERROR(__xludf.DUMMYFUNCTION("GOOGLETRANSLATE(A26713, ""en"", ""mt"")"),"X'kien ir-riżultat tal-elezzjoni tal-2007?")</f>
        <v>X'kien ir-riżultat tal-elezzjoni tal-2007?</v>
      </c>
    </row>
    <row r="26714" ht="15.75" customHeight="1">
      <c r="A26714" s="2" t="s">
        <v>26714</v>
      </c>
      <c r="B26714" s="2" t="str">
        <f>IFERROR(__xludf.DUMMYFUNCTION("GOOGLETRANSLATE(A26714, ""en"", ""mt"")"),"Innu Prinċipali")</f>
        <v>Innu Prinċipali</v>
      </c>
    </row>
    <row r="26715" ht="15.75" customHeight="1">
      <c r="A26715" s="2" t="s">
        <v>26715</v>
      </c>
      <c r="B26715" s="2" t="str">
        <f>IFERROR(__xludf.DUMMYFUNCTION("GOOGLETRANSLATE(A26715, ""en"", ""mt"")"),"Ħdud")</f>
        <v>Ħdud</v>
      </c>
    </row>
    <row r="26716" ht="15.75" customHeight="1">
      <c r="A26716" s="2" t="s">
        <v>26716</v>
      </c>
      <c r="B26716" s="2" t="str">
        <f>IFERROR(__xludf.DUMMYFUNCTION("GOOGLETRANSLATE(A26716, ""en"", ""mt"")"),"Huma jipproduċu sekrezzjonijiet (linka) li luminesce")</f>
        <v>Huma jipproduċu sekrezzjonijiet (linka) li luminesce</v>
      </c>
    </row>
    <row r="26717" ht="15.75" customHeight="1">
      <c r="A26717" s="2" t="s">
        <v>26717</v>
      </c>
      <c r="B26717" s="2" t="str">
        <f>IFERROR(__xludf.DUMMYFUNCTION("GOOGLETRANSLATE(A26717, ""en"", ""mt"")"),"Nazzjon Terry")</f>
        <v>Nazzjon Terry</v>
      </c>
    </row>
    <row r="26718" ht="15.75" customHeight="1">
      <c r="A26718" s="2" t="s">
        <v>26718</v>
      </c>
      <c r="B26718" s="2" t="str">
        <f>IFERROR(__xludf.DUMMYFUNCTION("GOOGLETRANSLATE(A26718, ""en"", ""mt"")"),"Cicadas")</f>
        <v>Cicadas</v>
      </c>
    </row>
    <row r="26719" ht="15.75" customHeight="1">
      <c r="A26719" s="2" t="s">
        <v>26719</v>
      </c>
      <c r="B26719" s="2" t="str">
        <f>IFERROR(__xludf.DUMMYFUNCTION("GOOGLETRANSLATE(A26719, ""en"", ""mt"")"),"Xi jfisser għalliem fir-rigward tas-suġġett tiegħu?")</f>
        <v>Xi jfisser għalliem fir-rigward tas-suġġett tiegħu?</v>
      </c>
    </row>
    <row r="26720" ht="15.75" customHeight="1">
      <c r="A26720" s="2" t="s">
        <v>26720</v>
      </c>
      <c r="B26720" s="2" t="str">
        <f>IFERROR(__xludf.DUMMYFUNCTION("GOOGLETRANSLATE(A26720, ""en"", ""mt"")"),"X'inhu l-parassita ewkarjotika responsabbli għall-malarja magħrufa bħala?")</f>
        <v>X'inhu l-parassita ewkarjotika responsabbli għall-malarja magħrufa bħala?</v>
      </c>
    </row>
    <row r="26721" ht="15.75" customHeight="1">
      <c r="A26721" s="2" t="s">
        <v>26721</v>
      </c>
      <c r="B26721" s="2" t="str">
        <f>IFERROR(__xludf.DUMMYFUNCTION("GOOGLETRANSLATE(A26721, ""en"", ""mt"")"),"Sistema Biex Tħaddem il-Streetcars tal-Belt")</f>
        <v>Sistema Biex Tħaddem il-Streetcars tal-Belt</v>
      </c>
    </row>
    <row r="26722" ht="15.75" customHeight="1">
      <c r="A26722" s="2" t="s">
        <v>26722</v>
      </c>
      <c r="B26722" s="2" t="str">
        <f>IFERROR(__xludf.DUMMYFUNCTION("GOOGLETRANSLATE(A26722, ""en"", ""mt"")"),"Liema liġi staes li l-forzi huma l-interazzjonijiet bejn il-korpi?")</f>
        <v>Liema liġi staes li l-forzi huma l-interazzjonijiet bejn il-korpi?</v>
      </c>
    </row>
    <row r="26723" ht="15.75" customHeight="1">
      <c r="A26723" s="2" t="s">
        <v>26723</v>
      </c>
      <c r="B26723" s="2" t="str">
        <f>IFERROR(__xludf.DUMMYFUNCTION("GOOGLETRANSLATE(A26723, ""en"", ""mt"")"),"Kemm ijiem ta 'vaganza mħallsa l-biċċa l-kbira tal-istati membri?")</f>
        <v>Kemm ijiem ta 'vaganza mħallsa l-biċċa l-kbira tal-istati membri?</v>
      </c>
    </row>
    <row r="26724" ht="15.75" customHeight="1">
      <c r="A26724" s="2" t="s">
        <v>26724</v>
      </c>
      <c r="B26724" s="2" t="str">
        <f>IFERROR(__xludf.DUMMYFUNCTION("GOOGLETRANSLATE(A26724, ""en"", ""mt"")"),"X'tip ta 'mewt qal Luther li jistħoqqilhom il-bdiewa li jduru?")</f>
        <v>X'tip ta 'mewt qal Luther li jistħoqqilhom il-bdiewa li jduru?</v>
      </c>
    </row>
    <row r="26725" ht="15.75" customHeight="1">
      <c r="A26725" s="2" t="s">
        <v>26725</v>
      </c>
      <c r="B26725" s="2" t="str">
        <f>IFERROR(__xludf.DUMMYFUNCTION("GOOGLETRANSLATE(A26725, ""en"", ""mt"")"),"Imħabba ġenwina ta 'Alla b'qalb, ruħ, moħħ, u saħħa, u mħabba ġenwina tal-ġirien tagħna bħalna nfusna")</f>
        <v>Imħabba ġenwina ta 'Alla b'qalb, ruħ, moħħ, u saħħa, u mħabba ġenwina tal-ġirien tagħna bħalna nfusna</v>
      </c>
    </row>
    <row r="26726" ht="15.75" customHeight="1">
      <c r="A26726" s="2" t="s">
        <v>26726</v>
      </c>
      <c r="B26726" s="2" t="str">
        <f>IFERROR(__xludf.DUMMYFUNCTION("GOOGLETRANSLATE(A26726, ""en"", ""mt"")"),"MPEG-2 konformi mad-DVB")</f>
        <v>MPEG-2 konformi mad-DVB</v>
      </c>
    </row>
    <row r="26727" ht="15.75" customHeight="1">
      <c r="A26727" s="2" t="s">
        <v>26727</v>
      </c>
      <c r="B26727" s="2" t="str">
        <f>IFERROR(__xludf.DUMMYFUNCTION("GOOGLETRANSLATE(A26727, ""en"", ""mt"")"),"Liema apparat kien wieħed mill-ewwel li jgħin kontroversja?")</f>
        <v>Liema apparat kien wieħed mill-ewwel li jgħin kontroversja?</v>
      </c>
    </row>
    <row r="26728" ht="15.75" customHeight="1">
      <c r="A26728" s="2" t="s">
        <v>26728</v>
      </c>
      <c r="B26728" s="2" t="str">
        <f>IFERROR(__xludf.DUMMYFUNCTION("GOOGLETRANSLATE(A26728, ""en"", ""mt"")"),"Elettur kbir Frederick William")</f>
        <v>Elettur kbir Frederick William</v>
      </c>
    </row>
    <row r="26729" ht="15.75" customHeight="1">
      <c r="A26729" s="2" t="s">
        <v>26729</v>
      </c>
      <c r="B26729" s="2" t="str">
        <f>IFERROR(__xludf.DUMMYFUNCTION("GOOGLETRANSLATE(A26729, ""en"", ""mt"")"),"Kemm għandha l-iktar persuna li tapplika biex tkun MSP?")</f>
        <v>Kemm għandha l-iktar persuna li tapplika biex tkun MSP?</v>
      </c>
    </row>
    <row r="26730" ht="15.75" customHeight="1">
      <c r="A26730" s="2" t="s">
        <v>26730</v>
      </c>
      <c r="B26730" s="2" t="str">
        <f>IFERROR(__xludf.DUMMYFUNCTION("GOOGLETRANSLATE(A26730, ""en"", ""mt"")"),"il-papyrus rhind")</f>
        <v>il-papyrus rhind</v>
      </c>
    </row>
    <row r="26731" ht="15.75" customHeight="1">
      <c r="A26731" s="2" t="s">
        <v>26731</v>
      </c>
      <c r="B26731" s="2" t="str">
        <f>IFERROR(__xludf.DUMMYFUNCTION("GOOGLETRANSLATE(A26731, ""en"", ""mt"")"),"It-tielet l-akbar")</f>
        <v>It-tielet l-akbar</v>
      </c>
    </row>
    <row r="26732" ht="15.75" customHeight="1">
      <c r="A26732" s="2" t="s">
        <v>26732</v>
      </c>
      <c r="B26732" s="2" t="str">
        <f>IFERROR(__xludf.DUMMYFUNCTION("GOOGLETRANSLATE(A26732, ""en"", ""mt"")"),"10.0%")</f>
        <v>10.0%</v>
      </c>
    </row>
    <row r="26733" ht="15.75" customHeight="1">
      <c r="A26733" s="2" t="s">
        <v>26733</v>
      </c>
      <c r="B26733" s="2" t="str">
        <f>IFERROR(__xludf.DUMMYFUNCTION("GOOGLETRANSLATE(A26733, ""en"", ""mt"")"),"William S. Paley")</f>
        <v>William S. Paley</v>
      </c>
    </row>
    <row r="26734" ht="15.75" customHeight="1">
      <c r="A26734" s="2" t="s">
        <v>26734</v>
      </c>
      <c r="B26734" s="2" t="str">
        <f>IFERROR(__xludf.DUMMYFUNCTION("GOOGLETRANSLATE(A26734, ""en"", ""mt"")"),"Death Wish Coffee")</f>
        <v>Death Wish Coffee</v>
      </c>
    </row>
    <row r="26735" ht="15.75" customHeight="1">
      <c r="A26735" s="2" t="s">
        <v>26735</v>
      </c>
      <c r="B26735" s="2" t="str">
        <f>IFERROR(__xludf.DUMMYFUNCTION("GOOGLETRANSLATE(A26735, ""en"", ""mt"")"),"il-metodu D'Hondt")</f>
        <v>il-metodu D'Hondt</v>
      </c>
    </row>
    <row r="26736" ht="15.75" customHeight="1">
      <c r="A26736" s="2" t="s">
        <v>26736</v>
      </c>
      <c r="B26736" s="2" t="str">
        <f>IFERROR(__xludf.DUMMYFUNCTION("GOOGLETRANSLATE(A26736, ""en"", ""mt"")"),"Musulmani")</f>
        <v>Musulmani</v>
      </c>
    </row>
    <row r="26737" ht="15.75" customHeight="1">
      <c r="A26737" s="2" t="s">
        <v>26737</v>
      </c>
      <c r="B26737" s="2" t="str">
        <f>IFERROR(__xludf.DUMMYFUNCTION("GOOGLETRANSLATE(A26737, ""en"", ""mt"")"),"Aktar minn 200")</f>
        <v>Aktar minn 200</v>
      </c>
    </row>
    <row r="26738" ht="15.75" customHeight="1">
      <c r="A26738" s="2" t="s">
        <v>26738</v>
      </c>
      <c r="B26738" s="2" t="str">
        <f>IFERROR(__xludf.DUMMYFUNCTION("GOOGLETRANSLATE(A26738, ""en"", ""mt"")"),"Salvazzjoni bil-grazzja ta ’Alla")</f>
        <v>Salvazzjoni bil-grazzja ta ’Alla</v>
      </c>
    </row>
    <row r="26739" ht="15.75" customHeight="1">
      <c r="A26739" s="2" t="s">
        <v>26739</v>
      </c>
      <c r="B26739" s="2" t="str">
        <f>IFERROR(__xludf.DUMMYFUNCTION("GOOGLETRANSLATE(A26739, ""en"", ""mt"")"),"Magna tat-Turing Deterministika")</f>
        <v>Magna tat-Turing Deterministika</v>
      </c>
    </row>
    <row r="26740" ht="15.75" customHeight="1">
      <c r="A26740" s="2" t="s">
        <v>26740</v>
      </c>
      <c r="B26740" s="2" t="str">
        <f>IFERROR(__xludf.DUMMYFUNCTION("GOOGLETRANSLATE(A26740, ""en"", ""mt"")"),"Xeriff għoli u wieħed mill-fundaturi tal-Bank of Ireland")</f>
        <v>Xeriff għoli u wieħed mill-fundaturi tal-Bank of Ireland</v>
      </c>
    </row>
    <row r="26741" ht="15.75" customHeight="1">
      <c r="A26741" s="2" t="s">
        <v>26741</v>
      </c>
      <c r="B26741" s="2" t="str">
        <f>IFERROR(__xludf.DUMMYFUNCTION("GOOGLETRANSLATE(A26741, ""en"", ""mt"")"),"Ma 'min għamel l-internet2 ma'")</f>
        <v>Ma 'min għamel l-internet2 ma'</v>
      </c>
    </row>
    <row r="26742" ht="15.75" customHeight="1">
      <c r="A26742" s="2" t="s">
        <v>26742</v>
      </c>
      <c r="B26742" s="2" t="str">
        <f>IFERROR(__xludf.DUMMYFUNCTION("GOOGLETRANSLATE(A26742, ""en"", ""mt"")"),"Liema difett jista 'jipproduċi terremot ta' kobor ta '8.0?")</f>
        <v>Liema difett jista 'jipproduċi terremot ta' kobor ta '8.0?</v>
      </c>
    </row>
    <row r="26743" ht="15.75" customHeight="1">
      <c r="A26743" s="2" t="s">
        <v>26743</v>
      </c>
      <c r="B26743" s="2" t="str">
        <f>IFERROR(__xludf.DUMMYFUNCTION("GOOGLETRANSLATE(A26743, ""en"", ""mt"")"),"mistenni li jsir aktar integrali fis-sistema tal-kura tas-saħħa")</f>
        <v>mistenni li jsir aktar integrali fis-sistema tal-kura tas-saħħa</v>
      </c>
    </row>
    <row r="26744" ht="15.75" customHeight="1">
      <c r="A26744" s="2" t="s">
        <v>26744</v>
      </c>
      <c r="B26744" s="2" t="str">
        <f>IFERROR(__xludf.DUMMYFUNCTION("GOOGLETRANSLATE(A26744, ""en"", ""mt"")"),"ċellola li fiha kloroplasti")</f>
        <v>ċellola li fiha kloroplasti</v>
      </c>
    </row>
    <row r="26745" ht="15.75" customHeight="1">
      <c r="A26745" s="2" t="s">
        <v>26745</v>
      </c>
      <c r="B26745" s="2" t="str">
        <f>IFERROR(__xludf.DUMMYFUNCTION("GOOGLETRANSLATE(A26745, ""en"", ""mt"")"),"li tippermetti li l-vettura spazjali Lander tintuża bħala ""dgħajsa tas-salvataġġ")</f>
        <v>li tippermetti li l-vettura spazjali Lander tintuża bħala "dgħajsa tas-salvataġġ</v>
      </c>
    </row>
    <row r="26746" ht="15.75" customHeight="1">
      <c r="A26746" s="2" t="s">
        <v>26746</v>
      </c>
      <c r="B26746" s="2" t="str">
        <f>IFERROR(__xludf.DUMMYFUNCTION("GOOGLETRANSLATE(A26746, ""en"", ""mt"")"),"X'tip ta 'dejta bdiet tuża l-ABC fis-snin sebgħin biex timmira aħjar ir-reklami u l-ipprogrammar għal ċerti udjenzi?")</f>
        <v>X'tip ta 'dejta bdiet tuża l-ABC fis-snin sebgħin biex timmira aħjar ir-reklami u l-ipprogrammar għal ċerti udjenzi?</v>
      </c>
    </row>
    <row r="26747" ht="15.75" customHeight="1">
      <c r="A26747" s="2" t="s">
        <v>26747</v>
      </c>
      <c r="B26747" s="2" t="str">
        <f>IFERROR(__xludf.DUMMYFUNCTION("GOOGLETRANSLATE(A26747, ""en"", ""mt"")"),"Meta kien ir-reġim fil-Pakistan imwaqqa 'mill-Ġeneral Zia-ul-Haq?")</f>
        <v>Meta kien ir-reġim fil-Pakistan imwaqqa 'mill-Ġeneral Zia-ul-Haq?</v>
      </c>
    </row>
    <row r="26748" ht="15.75" customHeight="1">
      <c r="A26748" s="2" t="s">
        <v>26748</v>
      </c>
      <c r="B26748" s="2" t="str">
        <f>IFERROR(__xludf.DUMMYFUNCTION("GOOGLETRANSLATE(A26748, ""en"", ""mt"")"),"X’kienet ilbies Tesla waqt li kien f’Tominaj?")</f>
        <v>X’kienet ilbies Tesla waqt li kien f’Tominaj?</v>
      </c>
    </row>
    <row r="26749" ht="15.75" customHeight="1">
      <c r="A26749" s="2" t="s">
        <v>26749</v>
      </c>
      <c r="B26749" s="2" t="str">
        <f>IFERROR(__xludf.DUMMYFUNCTION("GOOGLETRANSLATE(A26749, ""en"", ""mt"")"),"arkitettoniku")</f>
        <v>arkitettoniku</v>
      </c>
    </row>
    <row r="26750" ht="15.75" customHeight="1">
      <c r="A26750" s="2" t="s">
        <v>26750</v>
      </c>
      <c r="B26750" s="2" t="str">
        <f>IFERROR(__xludf.DUMMYFUNCTION("GOOGLETRANSLATE(A26750, ""en"", ""mt"")"),"Margarethe von der Saale")</f>
        <v>Margarethe von der Saale</v>
      </c>
    </row>
    <row r="26751" ht="15.75" customHeight="1">
      <c r="A26751" s="2" t="s">
        <v>26751</v>
      </c>
      <c r="B26751" s="2" t="str">
        <f>IFERROR(__xludf.DUMMYFUNCTION("GOOGLETRANSLATE(A26751, ""en"", ""mt"")"),"X'tip ta 'proċess huwa ċ-ċiklu tal-ossiġnu?")</f>
        <v>X'tip ta 'proċess huwa ċ-ċiklu tal-ossiġnu?</v>
      </c>
    </row>
    <row r="26752" ht="15.75" customHeight="1">
      <c r="A26752" s="2" t="s">
        <v>26752</v>
      </c>
      <c r="B26752" s="2" t="str">
        <f>IFERROR(__xludf.DUMMYFUNCTION("GOOGLETRANSLATE(A26752, ""en"", ""mt"")"),"Liema messaġġ ta 'kunsinna ntuża")</f>
        <v>Liema messaġġ ta 'kunsinna ntuża</v>
      </c>
    </row>
    <row r="26753" ht="15.75" customHeight="1">
      <c r="A26753" s="2" t="s">
        <v>26753</v>
      </c>
      <c r="B26753" s="2" t="str">
        <f>IFERROR(__xludf.DUMMYFUNCTION("GOOGLETRANSLATE(A26753, ""en"", ""mt"")"),"ħtieġa aktar milli opportunità")</f>
        <v>ħtieġa aktar milli opportunità</v>
      </c>
    </row>
    <row r="26754" ht="15.75" customHeight="1">
      <c r="A26754" s="2" t="s">
        <v>26754</v>
      </c>
      <c r="B26754" s="2" t="str">
        <f>IFERROR(__xludf.DUMMYFUNCTION("GOOGLETRANSLATE(A26754, ""en"", ""mt"")"),"Min jifforma l-gvern tal-istudenti?")</f>
        <v>Min jifforma l-gvern tal-istudenti?</v>
      </c>
    </row>
    <row r="26755" ht="15.75" customHeight="1">
      <c r="A26755" s="2" t="s">
        <v>26755</v>
      </c>
      <c r="B26755" s="2" t="str">
        <f>IFERROR(__xludf.DUMMYFUNCTION("GOOGLETRANSLATE(A26755, ""en"", ""mt"")"),"Utopia")</f>
        <v>Utopia</v>
      </c>
    </row>
    <row r="26756" ht="15.75" customHeight="1">
      <c r="A26756" s="2" t="s">
        <v>26756</v>
      </c>
      <c r="B26756" s="2" t="str">
        <f>IFERROR(__xludf.DUMMYFUNCTION("GOOGLETRANSLATE(A26756, ""en"", ""mt"")"),"Ragħaj")</f>
        <v>Ragħaj</v>
      </c>
    </row>
    <row r="26757" ht="15.75" customHeight="1">
      <c r="A26757" s="2" t="s">
        <v>26757</v>
      </c>
      <c r="B26757" s="2" t="str">
        <f>IFERROR(__xludf.DUMMYFUNCTION("GOOGLETRANSLATE(A26757, ""en"", ""mt"")"),"Tvnz")</f>
        <v>Tvnz</v>
      </c>
    </row>
    <row r="26758" ht="15.75" customHeight="1">
      <c r="A26758" s="2" t="s">
        <v>26758</v>
      </c>
      <c r="B26758" s="2" t="str">
        <f>IFERROR(__xludf.DUMMYFUNCTION("GOOGLETRANSLATE(A26758, ""en"", ""mt"")"),"Tylakoids u spazju intermembrane")</f>
        <v>Tylakoids u spazju intermembrane</v>
      </c>
    </row>
    <row r="26759" ht="15.75" customHeight="1">
      <c r="A26759" s="2" t="s">
        <v>26759</v>
      </c>
      <c r="B26759" s="2" t="str">
        <f>IFERROR(__xludf.DUMMYFUNCTION("GOOGLETRANSLATE(A26759, ""en"", ""mt"")"),"Żewġ korpi uffiċjali tal-Knisja Metodista Magħquda")</f>
        <v>Żewġ korpi uffiċjali tal-Knisja Metodista Magħquda</v>
      </c>
    </row>
    <row r="26760" ht="15.75" customHeight="1">
      <c r="A26760" s="2" t="s">
        <v>26760</v>
      </c>
      <c r="B26760" s="2" t="str">
        <f>IFERROR(__xludf.DUMMYFUNCTION("GOOGLETRANSLATE(A26760, ""en"", ""mt"")"),"89 Triq il-Libertà f'Manhattan")</f>
        <v>89 Triq il-Libertà f'Manhattan</v>
      </c>
    </row>
    <row r="26761" ht="15.75" customHeight="1">
      <c r="A26761" s="2" t="s">
        <v>26761</v>
      </c>
      <c r="B26761" s="2" t="str">
        <f>IFERROR(__xludf.DUMMYFUNCTION("GOOGLETRANSLATE(A26761, ""en"", ""mt"")"),"Kisi tat-turbina")</f>
        <v>Kisi tat-turbina</v>
      </c>
    </row>
    <row r="26762" ht="15.75" customHeight="1">
      <c r="A26762" s="2" t="s">
        <v>26762</v>
      </c>
      <c r="B26762" s="2" t="str">
        <f>IFERROR(__xludf.DUMMYFUNCTION("GOOGLETRANSLATE(A26762, ""en"", ""mt"")"),"10.")</f>
        <v>10.</v>
      </c>
    </row>
    <row r="26763" ht="15.75" customHeight="1">
      <c r="A26763" s="2" t="s">
        <v>26763</v>
      </c>
      <c r="B26763" s="2" t="str">
        <f>IFERROR(__xludf.DUMMYFUNCTION("GOOGLETRANSLATE(A26763, ""en"", ""mt"")"),"Fejn tesla u Twain hang out?")</f>
        <v>Fejn tesla u Twain hang out?</v>
      </c>
    </row>
    <row r="26764" ht="15.75" customHeight="1">
      <c r="A26764" s="2" t="s">
        <v>26764</v>
      </c>
      <c r="B26764" s="2" t="str">
        <f>IFERROR(__xludf.DUMMYFUNCTION("GOOGLETRANSLATE(A26764, ""en"", ""mt"")"),"Newcastle għandu kors tat-tiġrijiet taż-żwiemel fil-Gosforth Park. Il-belt hija wkoll dar għat-tim tal-basketball ta ’Newcastle Eagles li jilagħbu l-logħob tad-dar tagħhom fil-Kumpless Ċentrali Sport il-ġdid fl-Università ta’ Northumbria. L-Eagles huma l-"&amp;"iktar tim ta ’suċċess fl-istorja tal-British Basketball League (BBL). It-tim tal-Belt Speedway Newcastle Diamonds huma bbażati fi Brough Park f'Byker, post li huwa wkoll id-dar għal Greyhound Racing. Newcastle tospita wkoll il-bidu tal-Great North Run ann"&amp;"wali, l-akbar nofs maratona tad-dinja li fiha l-parteċipanti jiġru fuq il-Pont Tyne lejn Gateshead u mbagħad lejn il-linja finali 13.1 mili (21.1 km) 'il bogħod fuq il-kosta ta' South Shields. Avveniment atletiku famuż ieħor huwa t-tellieqa Blaydon 5.9-mi"&amp;"l (9.5 km) (tellieqa fit-toroq minn Newcastle għal Blaydon), li seħħet fid-9 ta 'Ġunju kull sena mill-1981, biex tfakkar iċ-ċelebrata Blaydon Races Horse Racing.")</f>
        <v>Newcastle għandu kors tat-tiġrijiet taż-żwiemel fil-Gosforth Park. Il-belt hija wkoll dar għat-tim tal-basketball ta ’Newcastle Eagles li jilagħbu l-logħob tad-dar tagħhom fil-Kumpless Ċentrali Sport il-ġdid fl-Università ta’ Northumbria. L-Eagles huma l-iktar tim ta ’suċċess fl-istorja tal-British Basketball League (BBL). It-tim tal-Belt Speedway Newcastle Diamonds huma bbażati fi Brough Park f'Byker, post li huwa wkoll id-dar għal Greyhound Racing. Newcastle tospita wkoll il-bidu tal-Great North Run annwali, l-akbar nofs maratona tad-dinja li fiha l-parteċipanti jiġru fuq il-Pont Tyne lejn Gateshead u mbagħad lejn il-linja finali 13.1 mili (21.1 km) 'il bogħod fuq il-kosta ta' South Shields. Avveniment atletiku famuż ieħor huwa t-tellieqa Blaydon 5.9-mil (9.5 km) (tellieqa fit-toroq minn Newcastle għal Blaydon), li seħħet fid-9 ta 'Ġunju kull sena mill-1981, biex tfakkar iċ-ċelebrata Blaydon Races Horse Racing.</v>
      </c>
    </row>
    <row r="26765" ht="15.75" customHeight="1">
      <c r="A26765" s="2" t="s">
        <v>26765</v>
      </c>
      <c r="B26765" s="2" t="str">
        <f>IFERROR(__xludf.DUMMYFUNCTION("GOOGLETRANSLATE(A26765, ""en"", ""mt"")"),"Kemm nefqu l-Arabja Sawdita fit-tixrid tal-wahhabism?")</f>
        <v>Kemm nefqu l-Arabja Sawdita fit-tixrid tal-wahhabism?</v>
      </c>
    </row>
    <row r="26766" ht="15.75" customHeight="1">
      <c r="A26766" s="2" t="s">
        <v>26766</v>
      </c>
      <c r="B26766" s="2" t="str">
        <f>IFERROR(__xludf.DUMMYFUNCTION("GOOGLETRANSLATE(A26766, ""en"", ""mt"")"),"Fl-1881, Tesla marret tgħix f'Budapest biex taħdem taħt Ferenc Puskás f'kumpanija tat-telegrafija, l-iskambju tat-telefon Budapest. Mal-wasla, Tesla rrealizzat li l-kumpanija, imbagħad taħt kostruzzjoni, ma kinitx funzjonali, u għalhekk ħadem bħala rappor"&amp;"teur fl-Uffiċċju tat-Telegrafu Ċentrali minflok. Fi ftit xhur, l-iskambju tat-telefon Budapest sar funzjonali u Tesla ġiet allokata l-pożizzjoni ewlenija tal-elettriċista. Matul l-impjieg tiegħu, Tesla għamlet ħafna titjib fit-tagħmir tal-istazzjon ċentra"&amp;"li u ddikjarat li pperfezzjonat ripetitur jew amplifikatur tat-telefon, li qatt ma kien brevettat u lanqas deskritt pubblikament.")</f>
        <v>Fl-1881, Tesla marret tgħix f'Budapest biex taħdem taħt Ferenc Puskás f'kumpanija tat-telegrafija, l-iskambju tat-telefon Budapest. Mal-wasla, Tesla rrealizzat li l-kumpanija, imbagħad taħt kostruzzjoni, ma kinitx funzjonali, u għalhekk ħadem bħala rapporteur fl-Uffiċċju tat-Telegrafu Ċentrali minflok. Fi ftit xhur, l-iskambju tat-telefon Budapest sar funzjonali u Tesla ġiet allokata l-pożizzjoni ewlenija tal-elettriċista. Matul l-impjieg tiegħu, Tesla għamlet ħafna titjib fit-tagħmir tal-istazzjon ċentrali u ddikjarat li pperfezzjonat ripetitur jew amplifikatur tat-telefon, li qatt ma kien brevettat u lanqas deskritt pubblikament.</v>
      </c>
    </row>
    <row r="26767" ht="15.75" customHeight="1">
      <c r="A26767" s="2" t="s">
        <v>26767</v>
      </c>
      <c r="B26767" s="2" t="str">
        <f>IFERROR(__xludf.DUMMYFUNCTION("GOOGLETRANSLATE(A26767, ""en"", ""mt"")"),"31 ta 'Lulju, 1995")</f>
        <v>31 ta 'Lulju, 1995</v>
      </c>
    </row>
    <row r="26768" ht="15.75" customHeight="1">
      <c r="A26768" s="2" t="s">
        <v>26768</v>
      </c>
      <c r="B26768" s="2" t="str">
        <f>IFERROR(__xludf.DUMMYFUNCTION("GOOGLETRANSLATE(A26768, ""en"", ""mt"")"),"Is-Seahawks ta ’Seattle")</f>
        <v>Is-Seahawks ta ’Seattle</v>
      </c>
    </row>
    <row r="26769" ht="15.75" customHeight="1">
      <c r="A26769" s="2" t="s">
        <v>26769</v>
      </c>
      <c r="B26769" s="2" t="str">
        <f>IFERROR(__xludf.DUMMYFUNCTION("GOOGLETRANSLATE(A26769, ""en"", ""mt"")"),"900,000")</f>
        <v>900,000</v>
      </c>
    </row>
    <row r="26770" ht="15.75" customHeight="1">
      <c r="A26770" s="2" t="s">
        <v>26770</v>
      </c>
      <c r="B26770" s="2" t="str">
        <f>IFERROR(__xludf.DUMMYFUNCTION("GOOGLETRANSLATE(A26770, ""en"", ""mt"")"),"Laqgħa tal-Assemblea Ġenerali tal-Knisja")</f>
        <v>Laqgħa tal-Assemblea Ġenerali tal-Knisja</v>
      </c>
    </row>
    <row r="26771" ht="15.75" customHeight="1">
      <c r="A26771" s="2" t="s">
        <v>26771</v>
      </c>
      <c r="B26771" s="2" t="str">
        <f>IFERROR(__xludf.DUMMYFUNCTION("GOOGLETRANSLATE(A26771, ""en"", ""mt"")"),"Ir-raba '")</f>
        <v>Ir-raba '</v>
      </c>
    </row>
    <row r="26772" ht="15.75" customHeight="1">
      <c r="A26772" s="2" t="s">
        <v>26772</v>
      </c>
      <c r="B26772" s="2" t="str">
        <f>IFERROR(__xludf.DUMMYFUNCTION("GOOGLETRANSLATE(A26772, ""en"", ""mt"")"),"Rivoluzzjoni Dinjija.")</f>
        <v>Rivoluzzjoni Dinjija.</v>
      </c>
    </row>
    <row r="26773" ht="15.75" customHeight="1">
      <c r="A26773" s="2" t="s">
        <v>26773</v>
      </c>
      <c r="B26773" s="2" t="str">
        <f>IFERROR(__xludf.DUMMYFUNCTION("GOOGLETRANSLATE(A26773, ""en"", ""mt"")"),"inqas minn tnejn fil-mija fis-sena")</f>
        <v>inqas minn tnejn fil-mija fis-sena</v>
      </c>
    </row>
    <row r="26774" ht="15.75" customHeight="1">
      <c r="A26774" s="2" t="s">
        <v>26774</v>
      </c>
      <c r="B26774" s="2" t="str">
        <f>IFERROR(__xludf.DUMMYFUNCTION("GOOGLETRANSLATE(A26774, ""en"", ""mt"")"),"L-għaqda bejn ITT u ABC ġiet sospiża wara li ġie ppreżentat ilment minn min f'Lulju 1967?")</f>
        <v>L-għaqda bejn ITT u ABC ġiet sospiża wara li ġie ppreżentat ilment minn min f'Lulju 1967?</v>
      </c>
    </row>
    <row r="26775" ht="15.75" customHeight="1">
      <c r="A26775" s="2" t="s">
        <v>26775</v>
      </c>
      <c r="B26775" s="2" t="str">
        <f>IFERROR(__xludf.DUMMYFUNCTION("GOOGLETRANSLATE(A26775, ""en"", ""mt"")"),"Varjant tal-Ġermaniż mitkellem fil-Kanċellerija tas-Sassonu,")</f>
        <v>Varjant tal-Ġermaniż mitkellem fil-Kanċellerija tas-Sassonu,</v>
      </c>
    </row>
    <row r="26776" ht="15.75" customHeight="1">
      <c r="A26776" s="2" t="s">
        <v>26776</v>
      </c>
      <c r="B26776" s="2" t="str">
        <f>IFERROR(__xludf.DUMMYFUNCTION("GOOGLETRANSLATE(A26776, ""en"", ""mt"")"),"X'kienet l-idea ewlenija tal-karta ta 'James Hutton?")</f>
        <v>X'kienet l-idea ewlenija tal-karta ta 'James Hutton?</v>
      </c>
    </row>
    <row r="26777" ht="15.75" customHeight="1">
      <c r="A26777" s="2" t="s">
        <v>26777</v>
      </c>
      <c r="B26777" s="2" t="str">
        <f>IFERROR(__xludf.DUMMYFUNCTION("GOOGLETRANSLATE(A26777, ""en"", ""mt"")"),"X'inhu importanti għal għalliem biex igawdi?")</f>
        <v>X'inhu importanti għal għalliem biex igawdi?</v>
      </c>
    </row>
    <row r="26778" ht="15.75" customHeight="1">
      <c r="A26778" s="2" t="s">
        <v>26778</v>
      </c>
      <c r="B26778" s="2" t="str">
        <f>IFERROR(__xludf.DUMMYFUNCTION("GOOGLETRANSLATE(A26778, ""en"", ""mt"")"),"Testijiet moderni ta 'primalità għal numri ġenerali n jistgħu jinqasmu f'żewġ klassijiet ewlenin, probabilistiċi (jew ""Monte Carlo"") u algoritmi deterministiċi. Algoritmi deterministiċi jipprovdu mod kif tgħid żgur jekk numru partikolari huwiex ewlieni "&amp;"jew le. Pereżempju, id-diviżjoni tal-prova hija algoritmu deterministiku għaliex, jekk titwettaq b'mod korrett, dejjem tidentifika numru ewlieni bħala prim u numru kompost bħala kompost. L-algoritmi probabilistiċi huma normalment aktar mgħaġġla, iżda ma j"&amp;"ippruvawx kompletament li numru huwa ewlieni. Dawn it-testijiet jiddependu fuq l-ittestjar ta 'numru partikolari b'mod parzjalment bl-addoċċ. Pereżempju, test partikolari jista 'jgħaddi l-ħin kollu jekk jiġi applikat għal numru ewlieni, imma jgħaddi biss "&amp;"bi probabbiltà P jekk applikat għal numru kompost. Jekk nirrepetu t-test n darbiet u ngħaddu kull darba, allura l-probabbiltà li n-numru tagħna huwa kompost huwa 1 / (1-p) n, li jonqos b'mod esponenzjali man-numru ta 'testijiet, sabiex inkunu nistgħu nkun"&amp;"u żgur kif nixtiequ (għalkemm qatt perfettament ċert) li n-numru huwa ewlieni. Min-naħa l-oħra, jekk it-test dejjem ifalli, allura nafu li n-numru huwa kompost.")</f>
        <v>Testijiet moderni ta 'primalità għal numri ġenerali n jistgħu jinqasmu f'żewġ klassijiet ewlenin, probabilistiċi (jew "Monte Carlo") u algoritmi deterministiċi. Algoritmi deterministiċi jipprovdu mod kif tgħid żgur jekk numru partikolari huwiex ewlieni jew le. Pereżempju, id-diviżjoni tal-prova hija algoritmu deterministiku għaliex, jekk titwettaq b'mod korrett, dejjem tidentifika numru ewlieni bħala prim u numru kompost bħala kompost. L-algoritmi probabilistiċi huma normalment aktar mgħaġġla, iżda ma jippruvawx kompletament li numru huwa ewlieni. Dawn it-testijiet jiddependu fuq l-ittestjar ta 'numru partikolari b'mod parzjalment bl-addoċċ. Pereżempju, test partikolari jista 'jgħaddi l-ħin kollu jekk jiġi applikat għal numru ewlieni, imma jgħaddi biss bi probabbiltà P jekk applikat għal numru kompost. Jekk nirrepetu t-test n darbiet u ngħaddu kull darba, allura l-probabbiltà li n-numru tagħna huwa kompost huwa 1 / (1-p) n, li jonqos b'mod esponenzjali man-numru ta 'testijiet, sabiex inkunu nistgħu nkunu żgur kif nixtiequ (għalkemm qatt perfettament ċert) li n-numru huwa ewlieni. Min-naħa l-oħra, jekk it-test dejjem ifalli, allura nafu li n-numru huwa kompost.</v>
      </c>
    </row>
    <row r="26779" ht="15.75" customHeight="1">
      <c r="A26779" s="2" t="s">
        <v>26779</v>
      </c>
      <c r="B26779" s="2" t="str">
        <f>IFERROR(__xludf.DUMMYFUNCTION("GOOGLETRANSLATE(A26779, ""en"", ""mt"")"),"Jista 'jtaffi l-bajda tiegħu stess")</f>
        <v>Jista 'jtaffi l-bajda tiegħu stess</v>
      </c>
    </row>
    <row r="26780" ht="15.75" customHeight="1">
      <c r="A26780" s="2" t="s">
        <v>26780</v>
      </c>
      <c r="B26780" s="2" t="str">
        <f>IFERROR(__xludf.DUMMYFUNCTION("GOOGLETRANSLATE(A26780, ""en"", ""mt"")"),"Għal ħafna applikazzjonijiet ġeoloġiċi, il-proporzjonijiet ta 'iżotopi ta' elementi radjuattivi huma mkejla f'minerali li jagħtu l-ammont ta 'ħin li għadda minn meta blat għadda mit-temperatura ta' għeluq partikolari tiegħu, il-punt li fih iżotopi radjome"&amp;"triċi differenti jieqfu jxerrdu ġewwa u barra mill-kannizzata tal-kristall. Dawn jintużaw fi studji ġeokronoloġiċi u termokronoloġiċi. Metodi komuni jinkludu dating taċ-ċomb tal-uranju, dating tal-argon tal-potassju, dating tal-argon-argon u dating tal-ur"&amp;"anju. Dawn il-metodi jintużaw għal varjetà ta 'applikazzjonijiet. Id-dating ta 'lava u saffi ta' rmied vulkaniku misjuba f'sekwenza stratigrafika tista 'tipprovdi dejta ta' età assoluta għal unitajiet ta 'blat sedimentarju li ma fihomx iżotopi radjuattivi"&amp;" u jikkalibraw tekniki ta' dating relattivi. Dawn il-metodi jistgħu jintużaw ukoll biex jiddeterminaw l-etajiet ta 'pluton emplacement. Tekniki termokimiċi jistgħu jintużaw biex jiddeterminaw il-profili tat-temperatura fil-qoxra, l-irfigħ tal-firxiet tal-"&amp;"muntanji, u l-paleotopografija.")</f>
        <v>Għal ħafna applikazzjonijiet ġeoloġiċi, il-proporzjonijiet ta 'iżotopi ta' elementi radjuattivi huma mkejla f'minerali li jagħtu l-ammont ta 'ħin li għadda minn meta blat għadda mit-temperatura ta' għeluq partikolari tiegħu, il-punt li fih iżotopi radjometriċi differenti jieqfu jxerrdu ġewwa u barra mill-kannizzata tal-kristall. Dawn jintużaw fi studji ġeokronoloġiċi u termokronoloġiċi. Metodi komuni jinkludu dating taċ-ċomb tal-uranju, dating tal-argon tal-potassju, dating tal-argon-argon u dating tal-uranju. Dawn il-metodi jintużaw għal varjetà ta 'applikazzjonijiet. Id-dating ta 'lava u saffi ta' rmied vulkaniku misjuba f'sekwenza stratigrafika tista 'tipprovdi dejta ta' età assoluta għal unitajiet ta 'blat sedimentarju li ma fihomx iżotopi radjuattivi u jikkalibraw tekniki ta' dating relattivi. Dawn il-metodi jistgħu jintużaw ukoll biex jiddeterminaw l-etajiet ta 'pluton emplacement. Tekniki termokimiċi jistgħu jintużaw biex jiddeterminaw il-profili tat-temperatura fil-qoxra, l-irfigħ tal-firxiet tal-muntanji, u l-paleotopografija.</v>
      </c>
    </row>
    <row r="26781" ht="15.75" customHeight="1">
      <c r="A26781" s="2" t="s">
        <v>26781</v>
      </c>
      <c r="B26781" s="2" t="str">
        <f>IFERROR(__xludf.DUMMYFUNCTION("GOOGLETRANSLATE(A26781, ""en"", ""mt"")"),"Kulleġġ")</f>
        <v>Kulleġġ</v>
      </c>
    </row>
    <row r="26782" ht="15.75" customHeight="1">
      <c r="A26782" s="2" t="s">
        <v>26782</v>
      </c>
      <c r="B26782" s="2" t="str">
        <f>IFERROR(__xludf.DUMMYFUNCTION("GOOGLETRANSLATE(A26782, ""en"", ""mt"")"),"Xi teoriji żviluppati fis-snin sebgħin stabbilixxew toroq possibbli li permezz tagħhom l-inugwaljanza jista 'jkollha effett pożittiv fuq l-iżvilupp ekonomiku. Skond reviżjoni tal-1955, it-tfaddil mis-sinjur, jekk dawn jiżdiedu bl-inugwaljanza, kienu maħsu"&amp;"ba li jikkumpensaw id-domanda mnaqqsa tal-konsumatur. Rapport tal-2013 dwar in-Niġerja jissuġġerixxi li t-tkabbir żdied b'żieda fl-inugwaljanza fid-dħul. Xi teoriji popolari mill-ħamsinijiet sal-2011 iddikjaraw b'mod żbaljat li l-inugwaljanza kellha effet"&amp;"t pożittiv fuq l-iżvilupp ekonomiku. L-analiżi bbażati fuq it-tqabbil ta 'figuri ta' ugwaljanza annwali ma 'rati ta' tkabbir annwali kienu qarrieqa minħabba li hemm bżonn ta 'bosta snin biex effetti jimmanifestaw bħala bidliet fit-tkabbir ekonomiku. L-eko"&amp;"nomisti tal-FMI sabu assoċjazzjoni qawwija bejn livelli aktar baxxi ta 'inugwaljanza f'pajjiżi li qed jiżviluppaw u perjodi sostnuti ta' tkabbir ekonomiku. Pajjiżi li qed jiżviluppaw b'inugwaljanza għolja ""rnexxielhom jibdew it-tkabbir b'rati għoljin għa"&amp;"l ftit snin"" iżda ""perjodi ta 'tkabbir itwal huma assoċjati b'mod qawwi ma' aktar ugwaljanza fid-distribuzzjoni tad-dħul.""")</f>
        <v>Xi teoriji żviluppati fis-snin sebgħin stabbilixxew toroq possibbli li permezz tagħhom l-inugwaljanza jista 'jkollha effett pożittiv fuq l-iżvilupp ekonomiku. Skond reviżjoni tal-1955, it-tfaddil mis-sinjur, jekk dawn jiżdiedu bl-inugwaljanza, kienu maħsuba li jikkumpensaw id-domanda mnaqqsa tal-konsumatur. Rapport tal-2013 dwar in-Niġerja jissuġġerixxi li t-tkabbir żdied b'żieda fl-inugwaljanza fid-dħul. Xi teoriji popolari mill-ħamsinijiet sal-2011 iddikjaraw b'mod żbaljat li l-inugwaljanza kellha effett pożittiv fuq l-iżvilupp ekonomiku. L-analiżi bbażati fuq it-tqabbil ta 'figuri ta' ugwaljanza annwali ma 'rati ta' tkabbir annwali kienu qarrieqa minħabba li hemm bżonn ta 'bosta snin biex effetti jimmanifestaw bħala bidliet fit-tkabbir ekonomiku. L-ekonomisti tal-FMI sabu assoċjazzjoni qawwija bejn livelli aktar baxxi ta 'inugwaljanza f'pajjiżi li qed jiżviluppaw u perjodi sostnuti ta' tkabbir ekonomiku. Pajjiżi li qed jiżviluppaw b'inugwaljanza għolja "rnexxielhom jibdew it-tkabbir b'rati għoljin għal ftit snin" iżda "perjodi ta 'tkabbir itwal huma assoċjati b'mod qawwi ma' aktar ugwaljanza fid-distribuzzjoni tad-dħul."</v>
      </c>
    </row>
    <row r="26783" ht="15.75" customHeight="1">
      <c r="A26783" s="2" t="s">
        <v>26783</v>
      </c>
      <c r="B26783" s="2" t="str">
        <f>IFERROR(__xludf.DUMMYFUNCTION("GOOGLETRANSLATE(A26783, ""en"", ""mt"")"),"Kosmonawti umani")</f>
        <v>Kosmonawti umani</v>
      </c>
    </row>
    <row r="26784" ht="15.75" customHeight="1">
      <c r="A26784" s="2" t="s">
        <v>26784</v>
      </c>
      <c r="B26784" s="2" t="str">
        <f>IFERROR(__xludf.DUMMYFUNCTION("GOOGLETRANSLATE(A26784, ""en"", ""mt"")"),"1338–39")</f>
        <v>1338–39</v>
      </c>
    </row>
    <row r="26785" ht="15.75" customHeight="1">
      <c r="A26785" s="2" t="s">
        <v>26785</v>
      </c>
      <c r="B26785" s="2" t="str">
        <f>IFERROR(__xludf.DUMMYFUNCTION("GOOGLETRANSLATE(A26785, ""en"", ""mt"")"),"Linux")</f>
        <v>Linux</v>
      </c>
    </row>
    <row r="26786" ht="15.75" customHeight="1">
      <c r="A26786" s="2" t="s">
        <v>26786</v>
      </c>
      <c r="B26786" s="2" t="str">
        <f>IFERROR(__xludf.DUMMYFUNCTION("GOOGLETRANSLATE(A26786, ""en"", ""mt"")"),"X'inhi d-distanza minima bejn id-dar tal-pazjent u l-eqreb spiżerija li tippermetti lit-tabib fl-Awstrija jagħti l-mediċina?")</f>
        <v>X'inhi d-distanza minima bejn id-dar tal-pazjent u l-eqreb spiżerija li tippermetti lit-tabib fl-Awstrija jagħti l-mediċina?</v>
      </c>
    </row>
    <row r="26787" ht="15.75" customHeight="1">
      <c r="A26787" s="2" t="s">
        <v>26787</v>
      </c>
      <c r="B26787" s="2" t="str">
        <f>IFERROR(__xludf.DUMMYFUNCTION("GOOGLETRANSLATE(A26787, ""en"", ""mt"")"),"X'inhu li tiġġustifika l-grazzja magħrufa wkoll bħala llum?")</f>
        <v>X'inhu li tiġġustifika l-grazzja magħrufa wkoll bħala llum?</v>
      </c>
    </row>
    <row r="26788" ht="15.75" customHeight="1">
      <c r="A26788" s="2" t="s">
        <v>26788</v>
      </c>
      <c r="B26788" s="2" t="str">
        <f>IFERROR(__xludf.DUMMYFUNCTION("GOOGLETRANSLATE(A26788, ""en"", ""mt"")"),"inkwiet soċjali")</f>
        <v>inkwiet soċjali</v>
      </c>
    </row>
    <row r="26789" ht="15.75" customHeight="1">
      <c r="A26789" s="2" t="s">
        <v>26789</v>
      </c>
      <c r="B26789" s="2" t="str">
        <f>IFERROR(__xludf.DUMMYFUNCTION("GOOGLETRANSLATE(A26789, ""en"", ""mt"")"),"kunċett personali, u mhux soġġett għal-liġi jew interferenza")</f>
        <v>kunċett personali, u mhux soġġett għal-liġi jew interferenza</v>
      </c>
    </row>
    <row r="26790" ht="15.75" customHeight="1">
      <c r="A26790" s="2" t="s">
        <v>26790</v>
      </c>
      <c r="B26790" s="2" t="str">
        <f>IFERROR(__xludf.DUMMYFUNCTION("GOOGLETRANSLATE(A26790, ""en"", ""mt"")"),"Jan Andrzej Menich")</f>
        <v>Jan Andrzej Menich</v>
      </c>
    </row>
    <row r="26791" ht="15.75" customHeight="1">
      <c r="A26791" s="2" t="s">
        <v>26791</v>
      </c>
      <c r="B26791" s="2" t="str">
        <f>IFERROR(__xludf.DUMMYFUNCTION("GOOGLETRANSLATE(A26791, ""en"", ""mt"")"),"Bini tad-Dawl u tal-Enerġija San Joaquin")</f>
        <v>Bini tad-Dawl u tal-Enerġija San Joaquin</v>
      </c>
    </row>
    <row r="26792" ht="15.75" customHeight="1">
      <c r="A26792" s="2" t="s">
        <v>26792</v>
      </c>
      <c r="B26792" s="2" t="str">
        <f>IFERROR(__xludf.DUMMYFUNCTION("GOOGLETRANSLATE(A26792, ""en"", ""mt"")"),"Liberalizzazzjoni tal-Kummerċ")</f>
        <v>Liberalizzazzjoni tal-Kummerċ</v>
      </c>
    </row>
    <row r="26793" ht="15.75" customHeight="1">
      <c r="A26793" s="2" t="s">
        <v>26793</v>
      </c>
      <c r="B26793" s="2" t="str">
        <f>IFERROR(__xludf.DUMMYFUNCTION("GOOGLETRANSLATE(A26793, ""en"", ""mt"")"),"L-ewwelnett, ċerti spejjeż huma diffiċli biex jiġu evitati u huma maqsuma minn kulħadd, bħall-ispejjeż tad-djar, il-pensjonijiet, l-edukazzjoni u l-kura tas-saħħa. Jekk l-istat ma jipprovdix dawn is-servizzi, allura għal dawk bi dħul aktar baxx, l-ispejje"&amp;"ż għandhom jiġu mislufa u ħafna drabi dawk bi dħul aktar baxx huma dawk li huma agħar mgħammra biex jimmaniġġjaw il-finanzi tagħhom. It-tieni, il-konsum ta 'aspirazzjoni jiddeskrivi l-proċess ta' dawk li jaqilgħu dħul medju li jaspiraw li jiksbu l-istanda"&amp;"rds ta 'għajxien li jgawdu l-kontropartijiet l-aktar sinjuri tagħhom u metodu wieħed biex tinkiseb din l-aspirazzjoni huwa billi tieħu d-dejn. Ir-riżultat iwassal għal inugwaljanza saħansitra akbar u instabilità ekonomika potenzjali.")</f>
        <v>L-ewwelnett, ċerti spejjeż huma diffiċli biex jiġu evitati u huma maqsuma minn kulħadd, bħall-ispejjeż tad-djar, il-pensjonijiet, l-edukazzjoni u l-kura tas-saħħa. Jekk l-istat ma jipprovdix dawn is-servizzi, allura għal dawk bi dħul aktar baxx, l-ispejjeż għandhom jiġu mislufa u ħafna drabi dawk bi dħul aktar baxx huma dawk li huma agħar mgħammra biex jimmaniġġjaw il-finanzi tagħhom. It-tieni, il-konsum ta 'aspirazzjoni jiddeskrivi l-proċess ta' dawk li jaqilgħu dħul medju li jaspiraw li jiksbu l-istandards ta 'għajxien li jgawdu l-kontropartijiet l-aktar sinjuri tagħhom u metodu wieħed biex tinkiseb din l-aspirazzjoni huwa billi tieħu d-dejn. Ir-riżultat iwassal għal inugwaljanza saħansitra akbar u instabilità ekonomika potenzjali.</v>
      </c>
    </row>
    <row r="26794" ht="15.75" customHeight="1">
      <c r="A26794" s="2" t="s">
        <v>26794</v>
      </c>
      <c r="B26794" s="2" t="str">
        <f>IFERROR(__xludf.DUMMYFUNCTION("GOOGLETRANSLATE(A26794, ""en"", ""mt"")"),"X'kien l-isem tal-mara rranġat għal Temüjin minn missieru?")</f>
        <v>X'kien l-isem tal-mara rranġat għal Temüjin minn missieru?</v>
      </c>
    </row>
    <row r="26795" ht="15.75" customHeight="1">
      <c r="A26795" s="2" t="s">
        <v>26795</v>
      </c>
      <c r="B26795" s="2" t="str">
        <f>IFERROR(__xludf.DUMMYFUNCTION("GOOGLETRANSLATE(A26795, ""en"", ""mt"")"),"Liema president temm l-Att dwar il-Konservazzjoni tal-Enerġija ta 'Emerġenza?")</f>
        <v>Liema president temm l-Att dwar il-Konservazzjoni tal-Enerġija ta 'Emerġenza?</v>
      </c>
    </row>
    <row r="26796" ht="15.75" customHeight="1">
      <c r="A26796" s="2" t="s">
        <v>26796</v>
      </c>
      <c r="B26796" s="2" t="str">
        <f>IFERROR(__xludf.DUMMYFUNCTION("GOOGLETRANSLATE(A26796, ""en"", ""mt"")"),"X'inhi l-frażi kollokjali użata biex twassal il-kontinwu ta 'algoritmi b'disponibilità illimitata irrispettivament mill-ħin?")</f>
        <v>X'inhi l-frażi kollokjali użata biex twassal il-kontinwu ta 'algoritmi b'disponibilità illimitata irrispettivament mill-ħin?</v>
      </c>
    </row>
    <row r="26797" ht="15.75" customHeight="1">
      <c r="A26797" s="2" t="s">
        <v>26797</v>
      </c>
      <c r="B26797" s="2" t="str">
        <f>IFERROR(__xludf.DUMMYFUNCTION("GOOGLETRANSLATE(A26797, ""en"", ""mt"")"),"Korp li jiggverna għal professjonisti tal-kura tas-saħħa tal-ispiżerija")</f>
        <v>Korp li jiggverna għal professjonisti tal-kura tas-saħħa tal-ispiżerija</v>
      </c>
    </row>
    <row r="26798" ht="15.75" customHeight="1">
      <c r="A26798" s="2" t="s">
        <v>26798</v>
      </c>
      <c r="B26798" s="2" t="str">
        <f>IFERROR(__xludf.DUMMYFUNCTION("GOOGLETRANSLATE(A26798, ""en"", ""mt"")"),"Ġinnasju")</f>
        <v>Ġinnasju</v>
      </c>
    </row>
    <row r="26799" ht="15.75" customHeight="1">
      <c r="A26799" s="2" t="s">
        <v>26799</v>
      </c>
      <c r="B26799" s="2" t="str">
        <f>IFERROR(__xludf.DUMMYFUNCTION("GOOGLETRANSLATE(A26799, ""en"", ""mt"")"),"Cyanobacteria")</f>
        <v>Cyanobacteria</v>
      </c>
    </row>
    <row r="26800" ht="15.75" customHeight="1">
      <c r="A26800" s="2" t="s">
        <v>26800</v>
      </c>
      <c r="B26800" s="2" t="str">
        <f>IFERROR(__xludf.DUMMYFUNCTION("GOOGLETRANSLATE(A26800, ""en"", ""mt"")"),"intilef fin-Nar tal-Laboratorju tal-5 Vjal ta ’Marzu 1895")</f>
        <v>intilef fin-Nar tal-Laboratorju tal-5 Vjal ta ’Marzu 1895</v>
      </c>
    </row>
    <row r="26801" ht="15.75" customHeight="1">
      <c r="A26801" s="2" t="s">
        <v>26801</v>
      </c>
      <c r="B26801" s="2" t="str">
        <f>IFERROR(__xludf.DUMMYFUNCTION("GOOGLETRANSLATE(A26801, ""en"", ""mt"")"),"kriptofita")</f>
        <v>kriptofita</v>
      </c>
    </row>
    <row r="26802" ht="15.75" customHeight="1">
      <c r="A26802" s="2" t="s">
        <v>26802</v>
      </c>
      <c r="B26802" s="2" t="str">
        <f>IFERROR(__xludf.DUMMYFUNCTION("GOOGLETRANSLATE(A26802, ""en"", ""mt"")"),"Liema ref irtirat ma qabilx mar-riżultat tal-isfida ta 'pass mhux komplut?")</f>
        <v>Liema ref irtirat ma qabilx mar-riżultat tal-isfida ta 'pass mhux komplut?</v>
      </c>
    </row>
    <row r="26803" ht="15.75" customHeight="1">
      <c r="A26803" s="2" t="s">
        <v>26803</v>
      </c>
      <c r="B26803" s="2" t="str">
        <f>IFERROR(__xludf.DUMMYFUNCTION("GOOGLETRANSLATE(A26803, ""en"", ""mt"")"),"Reġjun ta 'ġewwa tal-Mongolja")</f>
        <v>Reġjun ta 'ġewwa tal-Mongolja</v>
      </c>
    </row>
    <row r="26804" ht="15.75" customHeight="1">
      <c r="A26804" s="2" t="s">
        <v>26804</v>
      </c>
      <c r="B26804" s="2" t="str">
        <f>IFERROR(__xludf.DUMMYFUNCTION("GOOGLETRANSLATE(A26804, ""en"", ""mt"")"),"""Southwest Fresno""")</f>
        <v>"Southwest Fresno"</v>
      </c>
    </row>
    <row r="26805" ht="15.75" customHeight="1">
      <c r="A26805" s="2" t="s">
        <v>26805</v>
      </c>
      <c r="B26805" s="2" t="str">
        <f>IFERROR(__xludf.DUMMYFUNCTION("GOOGLETRANSLATE(A26805, ""en"", ""mt"")"),"Min kien il-mexxej meta l-Franki daħlu fil-Wied ta 'Euphrates?")</f>
        <v>Min kien il-mexxej meta l-Franki daħlu fil-Wied ta 'Euphrates?</v>
      </c>
    </row>
    <row r="26806" ht="15.75" customHeight="1">
      <c r="A26806" s="2" t="s">
        <v>26806</v>
      </c>
      <c r="B26806" s="2" t="str">
        <f>IFERROR(__xludf.DUMMYFUNCTION("GOOGLETRANSLATE(A26806, ""en"", ""mt"")"),"X'inhu l-isem tat-tielet, il-Knisja Permanenti Huguenot fi New Rochelle?")</f>
        <v>X'inhu l-isem tat-tielet, il-Knisja Permanenti Huguenot fi New Rochelle?</v>
      </c>
    </row>
    <row r="26807" ht="15.75" customHeight="1">
      <c r="A26807" s="2" t="s">
        <v>26807</v>
      </c>
      <c r="B26807" s="2" t="str">
        <f>IFERROR(__xludf.DUMMYFUNCTION("GOOGLETRANSLATE(A26807, ""en"", ""mt"")"),"Xita")</f>
        <v>Xita</v>
      </c>
    </row>
    <row r="26808" ht="15.75" customHeight="1">
      <c r="A26808" s="2" t="s">
        <v>26808</v>
      </c>
      <c r="B26808" s="2" t="str">
        <f>IFERROR(__xludf.DUMMYFUNCTION("GOOGLETRANSLATE(A26808, ""en"", ""mt"")"),"Kważi l-ispeċi kollha huma ermafroditi, fi kliem ieħor huma jiffunzjonaw kemm irġiel kif ukoll nisa fl-istess ħin - ħlief li f'żewġ speċi tal-ġeneru individwi ocryopsis jibqgħu ta 'l-istess sess uniku ħajjithom kollha. Il-gonadi jinsabu fil-partijiet tan-"&amp;"netwerk tal-kanali interni taħt ir-ringieli tal-moxt, u l-bajd u l-isperma huma rilaxxati permezz tal-pori fl-epidermide. Il-fertilizzazzjoni hija esterna fil-biċċa l-kbira tal-ispeċi, iżda l-platyctenids jużaw il-fertilizzazzjoni interna u jżommu l-bajd "&amp;"fil-kmamar tan-nixxiegħa sakemm ifaqqsu. L-awto-fertilizzazzjoni kultant kienet tidher fl-ispeċi tal-ġeneru Mnemiopsis, u huwa maħsub li ħafna mill-ispeċi ermafroditiċi huma awto-fertili.")</f>
        <v>Kważi l-ispeċi kollha huma ermafroditi, fi kliem ieħor huma jiffunzjonaw kemm irġiel kif ukoll nisa fl-istess ħin - ħlief li f'żewġ speċi tal-ġeneru individwi ocryopsis jibqgħu ta 'l-istess sess uniku ħajjithom kollha. Il-gonadi jinsabu fil-partijiet tan-netwerk tal-kanali interni taħt ir-ringieli tal-moxt, u l-bajd u l-isperma huma rilaxxati permezz tal-pori fl-epidermide. Il-fertilizzazzjoni hija esterna fil-biċċa l-kbira tal-ispeċi, iżda l-platyctenids jużaw il-fertilizzazzjoni interna u jżommu l-bajd fil-kmamar tan-nixxiegħa sakemm ifaqqsu. L-awto-fertilizzazzjoni kultant kienet tidher fl-ispeċi tal-ġeneru Mnemiopsis, u huwa maħsub li ħafna mill-ispeċi ermafroditiċi huma awto-fertili.</v>
      </c>
    </row>
    <row r="26809" ht="15.75" customHeight="1">
      <c r="A26809" s="2" t="s">
        <v>26809</v>
      </c>
      <c r="B26809" s="2" t="str">
        <f>IFERROR(__xludf.DUMMYFUNCTION("GOOGLETRANSLATE(A26809, ""en"", ""mt"")"),"Grupp Iżlamiku")</f>
        <v>Grupp Iżlamiku</v>
      </c>
    </row>
    <row r="26810" ht="15.75" customHeight="1">
      <c r="A26810" s="2" t="s">
        <v>26810</v>
      </c>
      <c r="B26810" s="2" t="str">
        <f>IFERROR(__xludf.DUMMYFUNCTION("GOOGLETRANSLATE(A26810, ""en"", ""mt"")"),"ġeomorfoloġiku")</f>
        <v>ġeomorfoloġiku</v>
      </c>
    </row>
    <row r="26811" ht="15.75" customHeight="1">
      <c r="A26811" s="2" t="s">
        <v>26811</v>
      </c>
      <c r="B26811" s="2" t="str">
        <f>IFERROR(__xludf.DUMMYFUNCTION("GOOGLETRANSLATE(A26811, ""en"", ""mt"")"),"John Houghton")</f>
        <v>John Houghton</v>
      </c>
    </row>
    <row r="26812" ht="15.75" customHeight="1">
      <c r="A26812" s="2" t="s">
        <v>26812</v>
      </c>
      <c r="B26812" s="2" t="str">
        <f>IFERROR(__xludf.DUMMYFUNCTION("GOOGLETRANSLATE(A26812, ""en"", ""mt"")"),"l-akbar")</f>
        <v>l-akbar</v>
      </c>
    </row>
    <row r="26813" ht="15.75" customHeight="1">
      <c r="A26813" s="2" t="s">
        <v>26813</v>
      </c>
      <c r="B26813" s="2" t="str">
        <f>IFERROR(__xludf.DUMMYFUNCTION("GOOGLETRANSLATE(A26813, ""en"", ""mt"")"),"Cable Time Warner")</f>
        <v>Cable Time Warner</v>
      </c>
    </row>
    <row r="26814" ht="15.75" customHeight="1">
      <c r="A26814" s="2" t="s">
        <v>26814</v>
      </c>
      <c r="B26814" s="2" t="str">
        <f>IFERROR(__xludf.DUMMYFUNCTION("GOOGLETRANSLATE(A26814, ""en"", ""mt"")"),"Zaha Hadid")</f>
        <v>Zaha Hadid</v>
      </c>
    </row>
    <row r="26815" ht="15.75" customHeight="1">
      <c r="A26815" s="2" t="s">
        <v>26815</v>
      </c>
      <c r="B26815" s="2" t="str">
        <f>IFERROR(__xludf.DUMMYFUNCTION("GOOGLETRANSLATE(A26815, ""en"", ""mt"")"),"BBC 1")</f>
        <v>BBC 1</v>
      </c>
    </row>
    <row r="26816" ht="15.75" customHeight="1">
      <c r="A26816" s="2" t="s">
        <v>26816</v>
      </c>
      <c r="B26816" s="2" t="str">
        <f>IFERROR(__xludf.DUMMYFUNCTION("GOOGLETRANSLATE(A26816, ""en"", ""mt"")"),"Sitta sa disa 'fil-mija")</f>
        <v>Sitta sa disa 'fil-mija</v>
      </c>
    </row>
    <row r="26817" ht="15.75" customHeight="1">
      <c r="A26817" s="2" t="s">
        <v>26817</v>
      </c>
      <c r="B26817" s="2" t="str">
        <f>IFERROR(__xludf.DUMMYFUNCTION("GOOGLETRANSLATE(A26817, ""en"", ""mt"")"),"Ix-xjentisti ma jaqblux ma 'kif inbidlet il-foresta tropikali tal-Amażonja maż-żmien ma' xi wħud billi argumentaw li kienet imnaqqsa għal refugia iżolata separata minn xiex?")</f>
        <v>Ix-xjentisti ma jaqblux ma 'kif inbidlet il-foresta tropikali tal-Amażonja maż-żmien ma' xi wħud billi argumentaw li kienet imnaqqsa għal refugia iżolata separata minn xiex?</v>
      </c>
    </row>
    <row r="26818" ht="15.75" customHeight="1">
      <c r="A26818" s="2" t="s">
        <v>26818</v>
      </c>
      <c r="B26818" s="2" t="str">
        <f>IFERROR(__xludf.DUMMYFUNCTION("GOOGLETRANSLATE(A26818, ""en"", ""mt"")"),"Vitamina D.")</f>
        <v>Vitamina D.</v>
      </c>
    </row>
    <row r="26819" ht="15.75" customHeight="1">
      <c r="A26819" s="2" t="s">
        <v>26819</v>
      </c>
      <c r="B26819" s="2" t="str">
        <f>IFERROR(__xludf.DUMMYFUNCTION("GOOGLETRANSLATE(A26819, ""en"", ""mt"")"),"X'kienet raġuni oħra possibbli li Tesla u Edison ma ħadux il-premju?.")</f>
        <v>X'kienet raġuni oħra possibbli li Tesla u Edison ma ħadux il-premju?.</v>
      </c>
    </row>
    <row r="26820" ht="15.75" customHeight="1">
      <c r="A26820" s="2" t="s">
        <v>26820</v>
      </c>
      <c r="B26820" s="2" t="str">
        <f>IFERROR(__xludf.DUMMYFUNCTION("GOOGLETRANSLATE(A26820, ""en"", ""mt"")"),"Kumitati obbligatorji")</f>
        <v>Kumitati obbligatorji</v>
      </c>
    </row>
    <row r="26821" ht="15.75" customHeight="1">
      <c r="A26821" s="2" t="s">
        <v>26821</v>
      </c>
      <c r="B26821" s="2" t="str">
        <f>IFERROR(__xludf.DUMMYFUNCTION("GOOGLETRANSLATE(A26821, ""en"", ""mt"")"),"63 jum")</f>
        <v>63 jum</v>
      </c>
    </row>
    <row r="26822" ht="15.75" customHeight="1">
      <c r="A26822" s="2" t="s">
        <v>26822</v>
      </c>
      <c r="B26822" s="2" t="str">
        <f>IFERROR(__xludf.DUMMYFUNCTION("GOOGLETRANSLATE(A26822, ""en"", ""mt"")"),"Lbies ta 'taħt imkessaħ bl-ilma")</f>
        <v>Lbies ta 'taħt imkessaħ bl-ilma</v>
      </c>
    </row>
    <row r="26823" ht="15.75" customHeight="1">
      <c r="A26823" s="2" t="s">
        <v>26823</v>
      </c>
      <c r="B26823" s="2" t="str">
        <f>IFERROR(__xludf.DUMMYFUNCTION("GOOGLETRANSLATE(A26823, ""en"", ""mt"")"),"X’tistabu t-tribujiet Ġermaniċi bl-għajnuna mir-Rhine?")</f>
        <v>X’tistabu t-tribujiet Ġermaniċi bl-għajnuna mir-Rhine?</v>
      </c>
    </row>
    <row r="26824" ht="15.75" customHeight="1">
      <c r="A26824" s="2" t="s">
        <v>26824</v>
      </c>
      <c r="B26824" s="2" t="str">
        <f>IFERROR(__xludf.DUMMYFUNCTION("GOOGLETRANSLATE(A26824, ""en"", ""mt"")"),"in-nies")</f>
        <v>in-nies</v>
      </c>
    </row>
    <row r="26825" ht="15.75" customHeight="1">
      <c r="A26825" s="2" t="s">
        <v>26825</v>
      </c>
      <c r="B26825" s="2" t="str">
        <f>IFERROR(__xludf.DUMMYFUNCTION("GOOGLETRANSLATE(A26825, ""en"", ""mt"")"),"Tikber malajr")</f>
        <v>Tikber malajr</v>
      </c>
    </row>
    <row r="26826" ht="15.75" customHeight="1">
      <c r="A26826" s="2" t="s">
        <v>26826</v>
      </c>
      <c r="B26826" s="2" t="str">
        <f>IFERROR(__xludf.DUMMYFUNCTION("GOOGLETRANSLATE(A26826, ""en"", ""mt"")"),"Għodda tax-Xitan,")</f>
        <v>Għodda tax-Xitan,</v>
      </c>
    </row>
    <row r="26827" ht="15.75" customHeight="1">
      <c r="A26827" s="2" t="s">
        <v>26827</v>
      </c>
      <c r="B26827" s="2" t="str">
        <f>IFERROR(__xludf.DUMMYFUNCTION("GOOGLETRANSLATE(A26827, ""en"", ""mt"")"),"Xi jwassal inqas edukazzjoni meta taħdem?")</f>
        <v>Xi jwassal inqas edukazzjoni meta taħdem?</v>
      </c>
    </row>
    <row r="26828" ht="15.75" customHeight="1">
      <c r="A26828" s="2" t="s">
        <v>26828</v>
      </c>
      <c r="B26828" s="2" t="str">
        <f>IFERROR(__xludf.DUMMYFUNCTION("GOOGLETRANSLATE(A26828, ""en"", ""mt"")"),"1745")</f>
        <v>1745</v>
      </c>
    </row>
    <row r="26829" ht="15.75" customHeight="1">
      <c r="A26829" s="2" t="s">
        <v>26829</v>
      </c>
      <c r="B26829" s="2" t="str">
        <f>IFERROR(__xludf.DUMMYFUNCTION("GOOGLETRANSLATE(A26829, ""en"", ""mt"")"),"Austpac kien netwerk pubbliku Awstraljan X.25 imħaddem minn Telstra. Beda minn Telecom Australia fil-bidu tas-snin 1980, Austpac kien l-ewwel netwerk ta 'dejta tal-pakketti pubbliċi tal-Awstralja, li jappoġġja applikazzjonijiet bħal imħatri onlajn, applik"&amp;"azzjonijiet finanzjarji - l-Uffiċċju tat-Taxxa Awstraljan għamel użu mill-AUSTPAC - u aċċess terminali mill-bogħod għall-istituzzjonijiet akkademiċi, li żammew il-konnessjonijiet tagħhom ma 'Austpac sa nofs it-tmiem tas-snin disgħin f'xi każijiet. L-aċċes"&amp;"s jista 'jkun permezz ta' terminal dial-up ma 'kuxxinett, jew, billi tgħaqqad nodu X.25 permanenti man-netwerk. [Ċitazzjoni meħtieġa]")</f>
        <v>Austpac kien netwerk pubbliku Awstraljan X.25 imħaddem minn Telstra. Beda minn Telecom Australia fil-bidu tas-snin 1980, Austpac kien l-ewwel netwerk ta 'dejta tal-pakketti pubbliċi tal-Awstralja, li jappoġġja applikazzjonijiet bħal imħatri onlajn, applikazzjonijiet finanzjarji - l-Uffiċċju tat-Taxxa Awstraljan għamel użu mill-AUSTPAC - u aċċess terminali mill-bogħod għall-istituzzjonijiet akkademiċi, li żammew il-konnessjonijiet tagħhom ma 'Austpac sa nofs it-tmiem tas-snin disgħin f'xi każijiet. L-aċċess jista 'jkun permezz ta' terminal dial-up ma 'kuxxinett, jew, billi tgħaqqad nodu X.25 permanenti man-netwerk. [Ċitazzjoni meħtieġa]</v>
      </c>
    </row>
    <row r="26830" ht="15.75" customHeight="1">
      <c r="A26830" s="2" t="s">
        <v>26830</v>
      </c>
      <c r="B26830" s="2" t="str">
        <f>IFERROR(__xludf.DUMMYFUNCTION("GOOGLETRANSLATE(A26830, ""en"", ""mt"")"),"Interazzjoni aktar fundamentali tal-elettroweak.")</f>
        <v>Interazzjoni aktar fundamentali tal-elettroweak.</v>
      </c>
    </row>
    <row r="26831" ht="15.75" customHeight="1">
      <c r="A26831" s="2" t="s">
        <v>26831</v>
      </c>
      <c r="B26831" s="2" t="str">
        <f>IFERROR(__xludf.DUMMYFUNCTION("GOOGLETRANSLATE(A26831, ""en"", ""mt"")"),"X’sejħu lill-Imperu li waqqaf Genghis Khan?")</f>
        <v>X’sejħu lill-Imperu li waqqaf Genghis Khan?</v>
      </c>
    </row>
    <row r="26832" ht="15.75" customHeight="1">
      <c r="A26832" s="2" t="s">
        <v>26832</v>
      </c>
      <c r="B26832" s="2" t="str">
        <f>IFERROR(__xludf.DUMMYFUNCTION("GOOGLETRANSLATE(A26832, ""en"", ""mt"")"),"Minkejja r-repressjoni perjodika, il-fratellanza saret waħda mill-aktar movimenti influwenti fid-dinja Iżlamika, partikolarment fid-dinja Għarbija. Għal ħafna snin ġie deskritt bħala ""semi-legali"" u kien l-uniku grupp ta 'oppożizzjoni fl-Eġittu li kapaċ"&amp;"i jsaħħaħ il-kandidati waqt l-elezzjonijiet. Fl-elezzjoni Parlamentari Eġizzjana, 2011-2012, il-partiti politiċi identifikati bħala ""Iżlamisti"" (il-Partit tal-Libertà u l-Ġustizzja tal-Fratellanza, il-Partit Salafi al-Nour u l-Partit Liberali Iżlamista "&amp;"Al-Wasat) rebħu 75% tas-siġġijiet totali. Mohamed Morsi, Demokratiku Iżlamista tal-Fratellanza Musulmana, kien l-ewwel president elett demokratikament tal-Eġittu. Huwa ġie depożitat matul il-kolp ta 'stat Eġizzjan 2013.")</f>
        <v>Minkejja r-repressjoni perjodika, il-fratellanza saret waħda mill-aktar movimenti influwenti fid-dinja Iżlamika, partikolarment fid-dinja Għarbija. Għal ħafna snin ġie deskritt bħala "semi-legali" u kien l-uniku grupp ta 'oppożizzjoni fl-Eġittu li kapaċi jsaħħaħ il-kandidati waqt l-elezzjonijiet. Fl-elezzjoni Parlamentari Eġizzjana, 2011-2012, il-partiti politiċi identifikati bħala "Iżlamisti" (il-Partit tal-Libertà u l-Ġustizzja tal-Fratellanza, il-Partit Salafi al-Nour u l-Partit Liberali Iżlamista Al-Wasat) rebħu 75% tas-siġġijiet totali. Mohamed Morsi, Demokratiku Iżlamista tal-Fratellanza Musulmana, kien l-ewwel president elett demokratikament tal-Eġittu. Huwa ġie depożitat matul il-kolp ta 'stat Eġizzjan 2013.</v>
      </c>
    </row>
    <row r="26833" ht="15.75" customHeight="1">
      <c r="A26833" s="2" t="s">
        <v>26833</v>
      </c>
      <c r="B26833" s="2" t="str">
        <f>IFERROR(__xludf.DUMMYFUNCTION("GOOGLETRANSLATE(A26833, ""en"", ""mt"")"),"appoġġ")</f>
        <v>appoġġ</v>
      </c>
    </row>
    <row r="26834" ht="15.75" customHeight="1">
      <c r="A26834" s="2" t="s">
        <v>26834</v>
      </c>
      <c r="B26834" s="2" t="str">
        <f>IFERROR(__xludf.DUMMYFUNCTION("GOOGLETRANSLATE(A26834, ""en"", ""mt"")"),"Fiż-żona ta 'Sandgate, lejn il-lvant tal-belt u ħdejn ix-xmara, kienet toqgħod il-komunità mill-qrib ta' Keelmen u l-familji tagħhom. Huma ġew imsejħa hekk minħabba li ħadmu fuq il-keels, dgħajjes li kienu jintużaw biex jittrasferixxu l-faħam mill-banek t"&amp;"ax-xmajjar lejn il-colliers ta ’stennija, għall-esportazzjoni lejn Londra u bnadi oħra. Fis-snin 1630 madwar 7,000 minn 20,000 abitant ta 'Newcastle mietu bil-pesta, aktar minn terz tal-popolazzjoni. Speċifikament fis-sena 1636, huwa stmat bejn wieħed u i"&amp;"eħor b'evidenza miżmuma mis-Soċjetà ta 'l-Antikarji li 47% tal-popolazzjoni ta' Newcastle imbagħad mietet mill-epidemija; Dan jista 'jkun ukoll l-aktar telf devastanti f'kull belt Ingliża f'dan il-perjodu.")</f>
        <v>Fiż-żona ta 'Sandgate, lejn il-lvant tal-belt u ħdejn ix-xmara, kienet toqgħod il-komunità mill-qrib ta' Keelmen u l-familji tagħhom. Huma ġew imsejħa hekk minħabba li ħadmu fuq il-keels, dgħajjes li kienu jintużaw biex jittrasferixxu l-faħam mill-banek tax-xmajjar lejn il-colliers ta ’stennija, għall-esportazzjoni lejn Londra u bnadi oħra. Fis-snin 1630 madwar 7,000 minn 20,000 abitant ta 'Newcastle mietu bil-pesta, aktar minn terz tal-popolazzjoni. Speċifikament fis-sena 1636, huwa stmat bejn wieħed u ieħor b'evidenza miżmuma mis-Soċjetà ta 'l-Antikarji li 47% tal-popolazzjoni ta' Newcastle imbagħad mietet mill-epidemija; Dan jista 'jkun ukoll l-aktar telf devastanti f'kull belt Ingliża f'dan il-perjodu.</v>
      </c>
    </row>
    <row r="26835" ht="15.75" customHeight="1">
      <c r="A26835" s="2" t="s">
        <v>26835</v>
      </c>
      <c r="B26835" s="2" t="str">
        <f>IFERROR(__xludf.DUMMYFUNCTION("GOOGLETRANSLATE(A26835, ""en"", ""mt"")"),"X'inhi l-endosimbjożi terzjarja tal-kloroplasti tal-haptofite mistennija li joħolqu?")</f>
        <v>X'inhi l-endosimbjożi terzjarja tal-kloroplasti tal-haptofite mistennija li joħolqu?</v>
      </c>
    </row>
    <row r="26836" ht="15.75" customHeight="1">
      <c r="A26836" s="2" t="s">
        <v>26836</v>
      </c>
      <c r="B26836" s="2" t="str">
        <f>IFERROR(__xludf.DUMMYFUNCTION("GOOGLETRANSLATE(A26836, ""en"", ""mt"")"),"X’għamel dawl fil-laboratorji tiegħu biex juri t-trasmissjoni tal-qawwa bla fili tiegħu?")</f>
        <v>X’għamel dawl fil-laboratorji tiegħu biex juri t-trasmissjoni tal-qawwa bla fili tiegħu?</v>
      </c>
    </row>
    <row r="26837" ht="15.75" customHeight="1">
      <c r="A26837" s="2" t="s">
        <v>26837</v>
      </c>
      <c r="B26837" s="2" t="str">
        <f>IFERROR(__xludf.DUMMYFUNCTION("GOOGLETRANSLATE(A26837, ""en"", ""mt"")"),"1519")</f>
        <v>1519</v>
      </c>
    </row>
    <row r="26838" ht="15.75" customHeight="1">
      <c r="A26838" s="2" t="s">
        <v>26838</v>
      </c>
      <c r="B26838" s="2" t="str">
        <f>IFERROR(__xludf.DUMMYFUNCTION("GOOGLETRANSLATE(A26838, ""en"", ""mt"")"),"Genghis Khan kien konxju tal-frizzjoni bejn uliedu (partikolarment bejn Chagatai u Jochi) u inkwetat dwar kunflitt possibbli bejniethom jekk miet. Huwa għalhekk iddeċieda li jaqsam l-imperu tiegħu bejn uliedu u jagħmluhom kollha Khan fid-dritt tagħhom ste"&amp;"ss, waqt li ħatru lil wieħed minn uliedu bħala s-suċċessur tiegħu. Chagatai kien meqjus instabbli minħabba l-imġieba tat-tempra u r-raxx tiegħu, minħabba dikjarazzjonijiet li għamel li ma kienx se jsegwi lil Jochi kieku kellu jsir is-suċċessur ta 'missier"&amp;"u. Tolui, l-iżgħar tifel ta 'Genghis Khan, ma kellux ikun is-suċċessur tiegħu minħabba li kien l-iżgħar u fil-kultura Mongoljana, ulied l-iżgħar ma ngħatawx ħafna responsabbiltà minħabba l-età tagħhom. Jekk Jochi kellu jsir suċċessur, kien probabbli li Ch"&amp;"agatai jidħol fil-gwerra miegħu u jikkollassa l-imperu. Għalhekk, Genghis Khan iddeċieda li jagħti t-tron lil Ögedei. Ögedei kien meqjus minn Genghis Khan bħala karattru affidabbli u relattivament stabbli u 'l isfel lejn id-Dinja u jkun kandidat newtrali "&amp;"u jista' jneħħi s-sitwazzjoni bejn ħutu.")</f>
        <v>Genghis Khan kien konxju tal-frizzjoni bejn uliedu (partikolarment bejn Chagatai u Jochi) u inkwetat dwar kunflitt possibbli bejniethom jekk miet. Huwa għalhekk iddeċieda li jaqsam l-imperu tiegħu bejn uliedu u jagħmluhom kollha Khan fid-dritt tagħhom stess, waqt li ħatru lil wieħed minn uliedu bħala s-suċċessur tiegħu. Chagatai kien meqjus instabbli minħabba l-imġieba tat-tempra u r-raxx tiegħu, minħabba dikjarazzjonijiet li għamel li ma kienx se jsegwi lil Jochi kieku kellu jsir is-suċċessur ta 'missieru. Tolui, l-iżgħar tifel ta 'Genghis Khan, ma kellux ikun is-suċċessur tiegħu minħabba li kien l-iżgħar u fil-kultura Mongoljana, ulied l-iżgħar ma ngħatawx ħafna responsabbiltà minħabba l-età tagħhom. Jekk Jochi kellu jsir suċċessur, kien probabbli li Chagatai jidħol fil-gwerra miegħu u jikkollassa l-imperu. Għalhekk, Genghis Khan iddeċieda li jagħti t-tron lil Ögedei. Ögedei kien meqjus minn Genghis Khan bħala karattru affidabbli u relattivament stabbli u 'l isfel lejn id-Dinja u jkun kandidat newtrali u jista' jneħħi s-sitwazzjoni bejn ħutu.</v>
      </c>
    </row>
    <row r="26839" ht="15.75" customHeight="1">
      <c r="A26839" s="2" t="s">
        <v>26839</v>
      </c>
      <c r="B26839" s="2" t="str">
        <f>IFERROR(__xludf.DUMMYFUNCTION("GOOGLETRANSLATE(A26839, ""en"", ""mt"")"),"X'inhu l-isem tat-traduzzjoni bil-Latin tal-ktieb ta 'Dioscorides?")</f>
        <v>X'inhu l-isem tat-traduzzjoni bil-Latin tal-ktieb ta 'Dioscorides?</v>
      </c>
    </row>
    <row r="26840" ht="15.75" customHeight="1">
      <c r="A26840" s="2" t="s">
        <v>26840</v>
      </c>
      <c r="B26840" s="2" t="str">
        <f>IFERROR(__xludf.DUMMYFUNCTION("GOOGLETRANSLATE(A26840, ""en"", ""mt"")"),"Hemm fehmiet konfliġġenti ta 'Genghis Khan fir-Repubblika tal-Poplu taċ-Ċina b'xi wħud jarawh b'mod pożittiv fir-reġjun ta' ġewwa tal-Mongolja fejn hemm monument u bini dwaru u fejn hemm numru konsiderevoli ta 'Mongoli fiż-żona b'popolazzjoni ta' madwar 5"&amp;" Miljun, kważi d-doppju tal-popolazzjoni tal-Mongolja. Filwaqt li Genghis Khan qatt ma ħakem iċ-Ċina kollha, in-neputi tiegħu Kublai Khan temm dik il-konkwista u stabbilixxa d-dinastija Yuan li ħafna drabi hija kkreditata li terġa 'tgħaqqad iċ-Ċina. Kien "&amp;"hemm ħafna xogħol artistiku u letteratura li faħħar lil Genghis bħala mexxej militari kbir u ġenju politiku. Is-snin tad-dinastija Yuan stabbilita mill-Mongolja ħallew marka li ma titħassarx fuq strutturi politiċi u soċjali Ċiniżi għal ġenerazzjonijiet su"&amp;"ssegwenti bil-letteratura matul id-dinastija Jin relattivament inqas. B'mod ġenerali l-wirt ta 'Genghis Khan u s-suċċessuri tiegħu, li temmew il-konkwista taċ-Ċina wara 65 sena ta' ġlieda, jibqa 'suġġett imħallat. [Ċitazzjoni meħtieġa]")</f>
        <v>Hemm fehmiet konfliġġenti ta 'Genghis Khan fir-Repubblika tal-Poplu taċ-Ċina b'xi wħud jarawh b'mod pożittiv fir-reġjun ta' ġewwa tal-Mongolja fejn hemm monument u bini dwaru u fejn hemm numru konsiderevoli ta 'Mongoli fiż-żona b'popolazzjoni ta' madwar 5 Miljun, kważi d-doppju tal-popolazzjoni tal-Mongolja. Filwaqt li Genghis Khan qatt ma ħakem iċ-Ċina kollha, in-neputi tiegħu Kublai Khan temm dik il-konkwista u stabbilixxa d-dinastija Yuan li ħafna drabi hija kkreditata li terġa 'tgħaqqad iċ-Ċina. Kien hemm ħafna xogħol artistiku u letteratura li faħħar lil Genghis bħala mexxej militari kbir u ġenju politiku. Is-snin tad-dinastija Yuan stabbilita mill-Mongolja ħallew marka li ma titħassarx fuq strutturi politiċi u soċjali Ċiniżi għal ġenerazzjonijiet sussegwenti bil-letteratura matul id-dinastija Jin relattivament inqas. B'mod ġenerali l-wirt ta 'Genghis Khan u s-suċċessuri tiegħu, li temmew il-konkwista taċ-Ċina wara 65 sena ta' ġlieda, jibqa 'suġġett imħallat. [Ċitazzjoni meħtieġa]</v>
      </c>
    </row>
    <row r="26841" ht="15.75" customHeight="1">
      <c r="A26841" s="2" t="s">
        <v>26841</v>
      </c>
      <c r="B26841" s="2" t="str">
        <f>IFERROR(__xludf.DUMMYFUNCTION("GOOGLETRANSLATE(A26841, ""en"", ""mt"")"),"Kontenut ta 'enerġija")</f>
        <v>Kontenut ta 'enerġija</v>
      </c>
    </row>
    <row r="26842" ht="15.75" customHeight="1">
      <c r="A26842" s="2" t="s">
        <v>26842</v>
      </c>
      <c r="B26842" s="2" t="str">
        <f>IFERROR(__xludf.DUMMYFUNCTION("GOOGLETRANSLATE(A26842, ""en"", ""mt"")"),"żdied b’mod kostanti")</f>
        <v>żdied b’mod kostanti</v>
      </c>
    </row>
    <row r="26843" ht="15.75" customHeight="1">
      <c r="A26843" s="2" t="s">
        <v>26843</v>
      </c>
      <c r="B26843" s="2" t="str">
        <f>IFERROR(__xludf.DUMMYFUNCTION("GOOGLETRANSLATE(A26843, ""en"", ""mt"")"),"Min jistabbilixxi l-aġenda leġiżlattiva fir-Rabat?")</f>
        <v>Min jistabbilixxi l-aġenda leġiżlattiva fir-Rabat?</v>
      </c>
    </row>
    <row r="26844" ht="15.75" customHeight="1">
      <c r="A26844" s="2" t="s">
        <v>26844</v>
      </c>
      <c r="B26844" s="2" t="str">
        <f>IFERROR(__xludf.DUMMYFUNCTION("GOOGLETRANSLATE(A26844, ""en"", ""mt"")"),"l-użu tiegħu tal-vjolenza")</f>
        <v>l-użu tiegħu tal-vjolenza</v>
      </c>
    </row>
    <row r="26845" ht="15.75" customHeight="1">
      <c r="A26845" s="2" t="s">
        <v>26845</v>
      </c>
      <c r="B26845" s="2" t="str">
        <f>IFERROR(__xludf.DUMMYFUNCTION("GOOGLETRANSLATE(A26845, ""en"", ""mt"")"),"1097")</f>
        <v>1097</v>
      </c>
    </row>
    <row r="26846" ht="15.75" customHeight="1">
      <c r="A26846" s="2" t="s">
        <v>26846</v>
      </c>
      <c r="B26846" s="2" t="str">
        <f>IFERROR(__xludf.DUMMYFUNCTION("GOOGLETRANSLATE(A26846, ""en"", ""mt"")"),"L-għarbiel ta 'Eratosthenes ma jkunx validu kieku dak li kien veru?")</f>
        <v>L-għarbiel ta 'Eratosthenes ma jkunx validu kieku dak li kien veru?</v>
      </c>
    </row>
    <row r="26847" ht="15.75" customHeight="1">
      <c r="A26847" s="2" t="s">
        <v>26847</v>
      </c>
      <c r="B26847" s="2" t="str">
        <f>IFERROR(__xludf.DUMMYFUNCTION("GOOGLETRANSLATE(A26847, ""en"", ""mt"")"),"Primes Primorial")</f>
        <v>Primes Primorial</v>
      </c>
    </row>
    <row r="26848" ht="15.75" customHeight="1">
      <c r="A26848" s="2" t="s">
        <v>26848</v>
      </c>
      <c r="B26848" s="2" t="str">
        <f>IFERROR(__xludf.DUMMYFUNCTION("GOOGLETRANSLATE(A26848, ""en"", ""mt"")"),"Liema problema kellha xi dejta dwar iċ-ċirku tas-siġar?")</f>
        <v>Liema problema kellha xi dejta dwar iċ-ċirku tas-siġar?</v>
      </c>
    </row>
    <row r="26849" ht="15.75" customHeight="1">
      <c r="A26849" s="2" t="s">
        <v>26849</v>
      </c>
      <c r="B26849" s="2" t="str">
        <f>IFERROR(__xludf.DUMMYFUNCTION("GOOGLETRANSLATE(A26849, ""en"", ""mt"")"),"Peter Davison, Colin Baker, Sylvester McCoy u Paul McGann")</f>
        <v>Peter Davison, Colin Baker, Sylvester McCoy u Paul McGann</v>
      </c>
    </row>
    <row r="26850" ht="15.75" customHeight="1">
      <c r="A26850" s="2" t="s">
        <v>26850</v>
      </c>
      <c r="B26850" s="2" t="str">
        <f>IFERROR(__xludf.DUMMYFUNCTION("GOOGLETRANSLATE(A26850, ""en"", ""mt"")"),"Liema bajd tal-ispeċi huma fertilizzati u miżmuma ġewwa l-ġisem tal-ġenituri sakemm jitfaqqsu?")</f>
        <v>Liema bajd tal-ispeċi huma fertilizzati u miżmuma ġewwa l-ġisem tal-ġenituri sakemm jitfaqqsu?</v>
      </c>
    </row>
    <row r="26851" ht="15.75" customHeight="1">
      <c r="A26851" s="2" t="s">
        <v>26851</v>
      </c>
      <c r="B26851" s="2" t="str">
        <f>IFERROR(__xludf.DUMMYFUNCTION("GOOGLETRANSLATE(A26851, ""en"", ""mt"")"),"Batterji anerobiċi")</f>
        <v>Batterji anerobiċi</v>
      </c>
    </row>
    <row r="26852" ht="15.75" customHeight="1">
      <c r="A26852" s="2" t="s">
        <v>26852</v>
      </c>
      <c r="B26852" s="2" t="str">
        <f>IFERROR(__xludf.DUMMYFUNCTION("GOOGLETRANSLATE(A26852, ""en"", ""mt"")"),"L-aħjar kumplessità tal-każ, l-agħar u medja tirreferi għal tliet modi differenti ta 'kejl tal-kumplessità tal-ħin (jew kwalunkwe miżura ta' kumplessità oħra) ta 'inputs differenti ta' l-istess daqs. Peress li xi inputs ta 'daqs n jistgħu jkunu aktar mgħa"&amp;"ġġla biex isolvu minn oħrajn, aħna niddefinixxu l-kumplessitajiet li ġejjin:")</f>
        <v>L-aħjar kumplessità tal-każ, l-agħar u medja tirreferi għal tliet modi differenti ta 'kejl tal-kumplessità tal-ħin (jew kwalunkwe miżura ta' kumplessità oħra) ta 'inputs differenti ta' l-istess daqs. Peress li xi inputs ta 'daqs n jistgħu jkunu aktar mgħaġġla biex isolvu minn oħrajn, aħna niddefinixxu l-kumplessitajiet li ġejjin:</v>
      </c>
    </row>
    <row r="26853" ht="15.75" customHeight="1">
      <c r="A26853" s="2" t="s">
        <v>26853</v>
      </c>
      <c r="B26853" s="2" t="str">
        <f>IFERROR(__xludf.DUMMYFUNCTION("GOOGLETRANSLATE(A26853, ""en"", ""mt"")"),"Imperatur Charles v")</f>
        <v>Imperatur Charles v</v>
      </c>
    </row>
    <row r="26854" ht="15.75" customHeight="1">
      <c r="A26854" s="2" t="s">
        <v>26854</v>
      </c>
      <c r="B26854" s="2" t="str">
        <f>IFERROR(__xludf.DUMMYFUNCTION("GOOGLETRANSLATE(A26854, ""en"", ""mt"")"),"Tessut tal-collenchyma")</f>
        <v>Tessut tal-collenchyma</v>
      </c>
    </row>
    <row r="26855" ht="15.75" customHeight="1">
      <c r="A26855" s="2" t="s">
        <v>26855</v>
      </c>
      <c r="B26855" s="2" t="str">
        <f>IFERROR(__xludf.DUMMYFUNCTION("GOOGLETRANSLATE(A26855, ""en"", ""mt"")"),"Liema grupp iżomm il-bajd huma fertilizzati u miżmuma ġewwa l-ġisem tal-ġenitur sakemm ifaqqsu?")</f>
        <v>Liema grupp iżomm il-bajd huma fertilizzati u miżmuma ġewwa l-ġisem tal-ġenitur sakemm ifaqqsu?</v>
      </c>
    </row>
    <row r="26856" ht="15.75" customHeight="1">
      <c r="A26856" s="2" t="s">
        <v>26856</v>
      </c>
      <c r="B26856" s="2" t="str">
        <f>IFERROR(__xludf.DUMMYFUNCTION("GOOGLETRANSLATE(A26856, ""en"", ""mt"")"),"Allat tal-Eġittu")</f>
        <v>Allat tal-Eġittu</v>
      </c>
    </row>
    <row r="26857" ht="15.75" customHeight="1">
      <c r="A26857" s="2" t="s">
        <v>26857</v>
      </c>
      <c r="B26857" s="2" t="str">
        <f>IFERROR(__xludf.DUMMYFUNCTION("GOOGLETRANSLATE(A26857, ""en"", ""mt"")"),"Irkupra s-sehem tas-suq")</f>
        <v>Irkupra s-sehem tas-suq</v>
      </c>
    </row>
    <row r="26858" ht="15.75" customHeight="1">
      <c r="A26858" s="2" t="s">
        <v>26858</v>
      </c>
      <c r="B26858" s="2" t="str">
        <f>IFERROR(__xludf.DUMMYFUNCTION("GOOGLETRANSLATE(A26858, ""en"", ""mt"")"),"It-twelid tiegħu, Smiljan")</f>
        <v>It-twelid tiegħu, Smiljan</v>
      </c>
    </row>
    <row r="26859" ht="15.75" customHeight="1">
      <c r="A26859" s="2" t="s">
        <v>26859</v>
      </c>
      <c r="B26859" s="2" t="str">
        <f>IFERROR(__xludf.DUMMYFUNCTION("GOOGLETRANSLATE(A26859, ""en"", ""mt"")"),"fl-antikità tard")</f>
        <v>fl-antikità tard</v>
      </c>
    </row>
    <row r="26860" ht="15.75" customHeight="1">
      <c r="A26860" s="2" t="s">
        <v>26860</v>
      </c>
      <c r="B26860" s="2" t="str">
        <f>IFERROR(__xludf.DUMMYFUNCTION("GOOGLETRANSLATE(A26860, ""en"", ""mt"")"),"X'inhu mira sekondarja li tinvoka mhux ħati?")</f>
        <v>X'inhu mira sekondarja li tinvoka mhux ħati?</v>
      </c>
    </row>
    <row r="26861" ht="15.75" customHeight="1">
      <c r="A26861" s="2" t="s">
        <v>26861</v>
      </c>
      <c r="B26861" s="2" t="str">
        <f>IFERROR(__xludf.DUMMYFUNCTION("GOOGLETRANSLATE(A26861, ""en"", ""mt"")"),"Richard the Lion-Heart")</f>
        <v>Richard the Lion-Heart</v>
      </c>
    </row>
    <row r="26862" ht="15.75" customHeight="1">
      <c r="A26862" s="2" t="s">
        <v>26862</v>
      </c>
      <c r="B26862" s="2" t="str">
        <f>IFERROR(__xludf.DUMMYFUNCTION("GOOGLETRANSLATE(A26862, ""en"", ""mt"")"),"Karozzi tat-triq")</f>
        <v>Karozzi tat-triq</v>
      </c>
    </row>
    <row r="26863" ht="15.75" customHeight="1">
      <c r="A26863" s="2" t="s">
        <v>26863</v>
      </c>
      <c r="B26863" s="2" t="str">
        <f>IFERROR(__xludf.DUMMYFUNCTION("GOOGLETRANSLATE(A26863, ""en"", ""mt"")"),"X'inhi l-akbar belt tal-Polonja?")</f>
        <v>X'inhi l-akbar belt tal-Polonja?</v>
      </c>
    </row>
    <row r="26864" ht="15.75" customHeight="1">
      <c r="A26864" s="2" t="s">
        <v>26864</v>
      </c>
      <c r="B26864" s="2" t="str">
        <f>IFERROR(__xludf.DUMMYFUNCTION("GOOGLETRANSLATE(A26864, ""en"", ""mt"")"),"L-instabilità inkwetata s-snin bikrin tar-renju ta 'Kublai Khan. In-neputi ta 'Ogedei Kaidu rrifjuta li jissottometti lil Kublai u hedded il-fruntiera tal-punent tad-dominju ta' Kublai. Id-dinastija ostili imma mdgħajfa tal-kanzunetta baqgħet ostaklu fin-"&amp;"nofsinhar. Kublai assigura l-fruntiera tal-grigal fl-1259 billi installa l-ostaġġ Prince Wonjong bħala l-ħakkiem tal-Korea, u għamilha stat tributarju Mongoljan. Kublai kien mhedded ukoll minn inkwiet domestiku. Li Tan, it-tifel ta 'uffiċjal b'saħħtu, ins"&amp;"tiga rewwixta kontra r-regola tal-Mongolja fl-1262. Wara li trażżan b'suċċess ir-rewwixta, Kublai qabeż l-influwenza tal-konsulenti Ċiniżi Han fil-qorti tiegħu. Huwa beża 'li d-dipendenza tiegħu fuq uffiċjali Ċiniżi ħallietlu vulnerabbli għal rewwixti fut"&amp;"uri u difetti għall-kanzunetta.")</f>
        <v>L-instabilità inkwetata s-snin bikrin tar-renju ta 'Kublai Khan. In-neputi ta 'Ogedei Kaidu rrifjuta li jissottometti lil Kublai u hedded il-fruntiera tal-punent tad-dominju ta' Kublai. Id-dinastija ostili imma mdgħajfa tal-kanzunetta baqgħet ostaklu fin-nofsinhar. Kublai assigura l-fruntiera tal-grigal fl-1259 billi installa l-ostaġġ Prince Wonjong bħala l-ħakkiem tal-Korea, u għamilha stat tributarju Mongoljan. Kublai kien mhedded ukoll minn inkwiet domestiku. Li Tan, it-tifel ta 'uffiċjal b'saħħtu, instiga rewwixta kontra r-regola tal-Mongolja fl-1262. Wara li trażżan b'suċċess ir-rewwixta, Kublai qabeż l-influwenza tal-konsulenti Ċiniżi Han fil-qorti tiegħu. Huwa beża 'li d-dipendenza tiegħu fuq uffiċjali Ċiniżi ħallietlu vulnerabbli għal rewwixti futuri u difetti għall-kanzunetta.</v>
      </c>
    </row>
    <row r="26865" ht="15.75" customHeight="1">
      <c r="A26865" s="2" t="s">
        <v>26865</v>
      </c>
      <c r="B26865" s="2" t="str">
        <f>IFERROR(__xludf.DUMMYFUNCTION("GOOGLETRANSLATE(A26865, ""en"", ""mt"")"),"punti.")</f>
        <v>punti.</v>
      </c>
    </row>
    <row r="26866" ht="15.75" customHeight="1">
      <c r="A26866" s="2" t="s">
        <v>26866</v>
      </c>
      <c r="B26866" s="2" t="str">
        <f>IFERROR(__xludf.DUMMYFUNCTION("GOOGLETRANSLATE(A26866, ""en"", ""mt"")"),"F'liema sena l-gazzetta ddefiniet in-Nofsinhar ta 'California?")</f>
        <v>F'liema sena l-gazzetta ddefiniet in-Nofsinhar ta 'California?</v>
      </c>
    </row>
    <row r="26867" ht="15.75" customHeight="1">
      <c r="A26867" s="2" t="s">
        <v>26867</v>
      </c>
      <c r="B26867" s="2" t="str">
        <f>IFERROR(__xludf.DUMMYFUNCTION("GOOGLETRANSLATE(A26867, ""en"", ""mt"")"),"Problemi ta 'deċiżjoni")</f>
        <v>Problemi ta 'deċiżjoni</v>
      </c>
    </row>
    <row r="26868" ht="15.75" customHeight="1">
      <c r="A26868" s="2" t="s">
        <v>26868</v>
      </c>
      <c r="B26868" s="2" t="str">
        <f>IFERROR(__xludf.DUMMYFUNCTION("GOOGLETRANSLATE(A26868, ""en"", ""mt"")"),"il-kloroplast tagħha, u xi kultant il-membrana taċ-ċellula u n-nukleu tagħha")</f>
        <v>il-kloroplast tagħha, u xi kultant il-membrana taċ-ċellula u n-nukleu tagħha</v>
      </c>
    </row>
    <row r="26869" ht="15.75" customHeight="1">
      <c r="A26869" s="2" t="s">
        <v>26869</v>
      </c>
      <c r="B26869" s="2" t="str">
        <f>IFERROR(__xludf.DUMMYFUNCTION("GOOGLETRANSLATE(A26869, ""en"", ""mt"")"),"Kultant il-membrana taċ-ċellula tal-alka li tittiekel, u l-vakuole fagożomali mill-membrana taċ-ċellula tal-ospitanti")</f>
        <v>Kultant il-membrana taċ-ċellula tal-alka li tittiekel, u l-vakuole fagożomali mill-membrana taċ-ċellula tal-ospitanti</v>
      </c>
    </row>
    <row r="26870" ht="15.75" customHeight="1">
      <c r="A26870" s="2" t="s">
        <v>26870</v>
      </c>
      <c r="B26870" s="2" t="str">
        <f>IFERROR(__xludf.DUMMYFUNCTION("GOOGLETRANSLATE(A26870, ""en"", ""mt"")"),"Liema Sagrament jaqbel mal-Kristjani mġedda l-ħajja?")</f>
        <v>Liema Sagrament jaqbel mal-Kristjani mġedda l-ħajja?</v>
      </c>
    </row>
    <row r="26871" ht="15.75" customHeight="1">
      <c r="A26871" s="2" t="s">
        <v>26871</v>
      </c>
      <c r="B26871" s="2" t="str">
        <f>IFERROR(__xludf.DUMMYFUNCTION("GOOGLETRANSLATE(A26871, ""en"", ""mt"")"),"riskju għoli ta 'kunflitt ta' interess")</f>
        <v>riskju għoli ta 'kunflitt ta' interess</v>
      </c>
    </row>
    <row r="26872" ht="15.75" customHeight="1">
      <c r="A26872" s="2" t="s">
        <v>26872</v>
      </c>
      <c r="B26872" s="2" t="str">
        <f>IFERROR(__xludf.DUMMYFUNCTION("GOOGLETRANSLATE(A26872, ""en"", ""mt"")"),"1543")</f>
        <v>1543</v>
      </c>
    </row>
    <row r="26873" ht="15.75" customHeight="1">
      <c r="A26873" s="2" t="s">
        <v>26873</v>
      </c>
      <c r="B26873" s="2" t="str">
        <f>IFERROR(__xludf.DUMMYFUNCTION("GOOGLETRANSLATE(A26873, ""en"", ""mt"")"),"Xi speċi ta 'beroe għandhom par ta' strixxi ta 'ċelloli li jwaħħlu fuq il-ħajt tal-istonku. X'tagħmel?")</f>
        <v>Xi speċi ta 'beroe għandhom par ta' strixxi ta 'ċelloli li jwaħħlu fuq il-ħajt tal-istonku. X'tagħmel?</v>
      </c>
    </row>
    <row r="26874" ht="15.75" customHeight="1">
      <c r="A26874" s="2" t="s">
        <v>26874</v>
      </c>
      <c r="B26874" s="2" t="str">
        <f>IFERROR(__xludf.DUMMYFUNCTION("GOOGLETRANSLATE(A26874, ""en"", ""mt"")"),"Kemm tipi ta 'fantaxjenza ġew milquta minn Tesla?")</f>
        <v>Kemm tipi ta 'fantaxjenza ġew milquta minn Tesla?</v>
      </c>
    </row>
    <row r="26875" ht="15.75" customHeight="1">
      <c r="A26875" s="2" t="s">
        <v>26875</v>
      </c>
      <c r="B26875" s="2" t="str">
        <f>IFERROR(__xludf.DUMMYFUNCTION("GOOGLETRANSLATE(A26875, ""en"", ""mt"")"),"David Sarnoff")</f>
        <v>David Sarnoff</v>
      </c>
    </row>
    <row r="26876" ht="15.75" customHeight="1">
      <c r="A26876" s="2" t="s">
        <v>26876</v>
      </c>
      <c r="B26876" s="2" t="str">
        <f>IFERROR(__xludf.DUMMYFUNCTION("GOOGLETRANSLATE(A26876, ""en"", ""mt"")"),"Muhammad ibn zakarīya rāzi")</f>
        <v>Muhammad ibn zakarīya rāzi</v>
      </c>
    </row>
    <row r="26877" ht="15.75" customHeight="1">
      <c r="A26877" s="2" t="s">
        <v>26877</v>
      </c>
      <c r="B26877" s="2" t="str">
        <f>IFERROR(__xludf.DUMMYFUNCTION("GOOGLETRANSLATE(A26877, ""en"", ""mt"")"),"Matul in-Nofs Eġen, huwa maħsub li l-baċin tad-drenaġġ tal-Amażonja kien maqsum tul in-nofs tal-kontinent mill-arkata Purus.")</f>
        <v>Matul in-Nofs Eġen, huwa maħsub li l-baċin tad-drenaġġ tal-Amażonja kien maqsum tul in-nofs tal-kontinent mill-arkata Purus.</v>
      </c>
    </row>
    <row r="26878" ht="15.75" customHeight="1">
      <c r="A26878" s="2" t="s">
        <v>26878</v>
      </c>
      <c r="B26878" s="2" t="str">
        <f>IFERROR(__xludf.DUMMYFUNCTION("GOOGLETRANSLATE(A26878, ""en"", ""mt"")"),"Fejn tista 'ssib aktar informazzjoni dwar il-prattiki ta' pajjiż?")</f>
        <v>Fejn tista 'ssib aktar informazzjoni dwar il-prattiki ta' pajjiż?</v>
      </c>
    </row>
    <row r="26879" ht="15.75" customHeight="1">
      <c r="A26879" s="2" t="s">
        <v>26879</v>
      </c>
      <c r="B26879" s="2" t="str">
        <f>IFERROR(__xludf.DUMMYFUNCTION("GOOGLETRANSLATE(A26879, ""en"", ""mt"")"),"Omnicare, Kindred Healthcare u Pharmerica")</f>
        <v>Omnicare, Kindred Healthcare u Pharmerica</v>
      </c>
    </row>
    <row r="26880" ht="15.75" customHeight="1">
      <c r="A26880" s="2" t="s">
        <v>26880</v>
      </c>
      <c r="B26880" s="2" t="str">
        <f>IFERROR(__xludf.DUMMYFUNCTION("GOOGLETRANSLATE(A26880, ""en"", ""mt"")"),"San Lawrenz u Mississippi")</f>
        <v>San Lawrenz u Mississippi</v>
      </c>
    </row>
    <row r="26881" ht="15.75" customHeight="1">
      <c r="A26881" s="2" t="s">
        <v>26881</v>
      </c>
      <c r="B26881" s="2" t="str">
        <f>IFERROR(__xludf.DUMMYFUNCTION("GOOGLETRANSLATE(A26881, ""en"", ""mt"")"),"X'inhi l-eqdem knisja Metodista f'użu kontinwu fl-Istati Uniti?")</f>
        <v>X'inhi l-eqdem knisja Metodista f'użu kontinwu fl-Istati Uniti?</v>
      </c>
    </row>
    <row r="26882" ht="15.75" customHeight="1">
      <c r="A26882" s="2" t="s">
        <v>26882</v>
      </c>
      <c r="B26882" s="2" t="str">
        <f>IFERROR(__xludf.DUMMYFUNCTION("GOOGLETRANSLATE(A26882, ""en"", ""mt"")"),"Dejta ta 'inklużjoni ta' fluwidi")</f>
        <v>Dejta ta 'inklużjoni ta' fluwidi</v>
      </c>
    </row>
    <row r="26883" ht="15.75" customHeight="1">
      <c r="A26883" s="2" t="s">
        <v>26883</v>
      </c>
      <c r="B26883" s="2" t="str">
        <f>IFERROR(__xludf.DUMMYFUNCTION("GOOGLETRANSLATE(A26883, ""en"", ""mt"")"),"Kredu tal-Appostli")</f>
        <v>Kredu tal-Appostli</v>
      </c>
    </row>
    <row r="26884" ht="15.75" customHeight="1">
      <c r="A26884" s="2" t="s">
        <v>26884</v>
      </c>
      <c r="B26884" s="2" t="str">
        <f>IFERROR(__xludf.DUMMYFUNCTION("GOOGLETRANSLATE(A26884, ""en"", ""mt"")"),"Tiżgura li s-sorsi tat-tqabbid jiġu mminimizzati")</f>
        <v>Tiżgura li s-sorsi tat-tqabbid jiġu mminimizzati</v>
      </c>
    </row>
    <row r="26885" ht="15.75" customHeight="1">
      <c r="A26885" s="2" t="s">
        <v>26885</v>
      </c>
      <c r="B26885" s="2" t="str">
        <f>IFERROR(__xludf.DUMMYFUNCTION("GOOGLETRANSLATE(A26885, ""en"", ""mt"")"),"Fejn jgħixu Ctenophora?")</f>
        <v>Fejn jgħixu Ctenophora?</v>
      </c>
    </row>
    <row r="26886" ht="15.75" customHeight="1">
      <c r="A26886" s="2" t="s">
        <v>26886</v>
      </c>
      <c r="B26886" s="2" t="str">
        <f>IFERROR(__xludf.DUMMYFUNCTION("GOOGLETRANSLATE(A26886, ""en"", ""mt"")"),"Liema dikjarazzjoni bbażat l-emigrazzjoni tar-refuġjati Huguenot?")</f>
        <v>Liema dikjarazzjoni bbażat l-emigrazzjoni tar-refuġjati Huguenot?</v>
      </c>
    </row>
    <row r="26887" ht="15.75" customHeight="1">
      <c r="A26887" s="2" t="s">
        <v>26887</v>
      </c>
      <c r="B26887" s="2" t="str">
        <f>IFERROR(__xludf.DUMMYFUNCTION("GOOGLETRANSLATE(A26887, ""en"", ""mt"")"),"Datagrammi mhux affidabbli u mekkaniżmi ta 'protokoll end-to-end assoċjati")</f>
        <v>Datagrammi mhux affidabbli u mekkaniżmi ta 'protokoll end-to-end assoċjati</v>
      </c>
    </row>
    <row r="26888" ht="15.75" customHeight="1">
      <c r="A26888" s="2" t="s">
        <v>26888</v>
      </c>
      <c r="B26888" s="2" t="str">
        <f>IFERROR(__xludf.DUMMYFUNCTION("GOOGLETRANSLATE(A26888, ""en"", ""mt"")"),"b'regoli komuni għall-faħam u l-azzar")</f>
        <v>b'regoli komuni għall-faħam u l-azzar</v>
      </c>
    </row>
    <row r="26889" ht="15.75" customHeight="1">
      <c r="A26889" s="2" t="s">
        <v>26889</v>
      </c>
      <c r="B26889" s="2" t="str">
        <f>IFERROR(__xludf.DUMMYFUNCTION("GOOGLETRANSLATE(A26889, ""en"", ""mt"")"),"DOCTORIN 'IT-TARDIS")</f>
        <v>DOCTORIN 'IT-TARDIS</v>
      </c>
    </row>
    <row r="26890" ht="15.75" customHeight="1">
      <c r="A26890" s="2" t="s">
        <v>26890</v>
      </c>
      <c r="B26890" s="2" t="str">
        <f>IFERROR(__xludf.DUMMYFUNCTION("GOOGLETRANSLATE(A26890, ""en"", ""mt"")"),"Fejn huma mgħallma kważi l-għalliema kollha?")</f>
        <v>Fejn huma mgħallma kważi l-għalliema kollha?</v>
      </c>
    </row>
    <row r="26891" ht="15.75" customHeight="1">
      <c r="A26891" s="2" t="s">
        <v>26891</v>
      </c>
      <c r="B26891" s="2" t="str">
        <f>IFERROR(__xludf.DUMMYFUNCTION("GOOGLETRANSLATE(A26891, ""en"", ""mt"")"),"Awwissu 1944")</f>
        <v>Awwissu 1944</v>
      </c>
    </row>
    <row r="26892" ht="15.75" customHeight="1">
      <c r="A26892" s="2" t="s">
        <v>26892</v>
      </c>
      <c r="B26892" s="2" t="str">
        <f>IFERROR(__xludf.DUMMYFUNCTION("GOOGLETRANSLATE(A26892, ""en"", ""mt"")"),"sekulariżmu")</f>
        <v>sekulariżmu</v>
      </c>
    </row>
    <row r="26893" ht="15.75" customHeight="1">
      <c r="A26893" s="2" t="s">
        <v>26893</v>
      </c>
      <c r="B26893" s="2" t="str">
        <f>IFERROR(__xludf.DUMMYFUNCTION("GOOGLETRANSLATE(A26893, ""en"", ""mt"")"),"Fil-Greċja antika, id-djoċli ta 'Carystus (seklu 4 QK) kien wieħed minn bosta rġiel li jistudjaw il-proprjetajiet mediċinali tal-pjanti. Huwa kiteb diversi trattati dwar is-suġġett. It-tabib Grieg Pedanius Dioscorides huwa famuż għall-kitba ta ’ktieb ta’ "&amp;"ħames volum fil-Grieg nattiv tiegħu περί ύλης ιατρικής fis-seklu 1 WK. It-traduzzjoni Latina de Materia medica (li tikkonċerna sustanzi mediċi) intużat bażi għal ħafna testi medjevali, u kienet mibnija minn bosta xjenzati tal-Lvant Nofsani matul l-Età tad"&amp;"-Deheb Iżlamika. It-titlu ħoloq it-terminu Materia Medica.")</f>
        <v>Fil-Greċja antika, id-djoċli ta 'Carystus (seklu 4 QK) kien wieħed minn bosta rġiel li jistudjaw il-proprjetajiet mediċinali tal-pjanti. Huwa kiteb diversi trattati dwar is-suġġett. It-tabib Grieg Pedanius Dioscorides huwa famuż għall-kitba ta ’ktieb ta’ ħames volum fil-Grieg nattiv tiegħu περί ύλης ιατρικής fis-seklu 1 WK. It-traduzzjoni Latina de Materia medica (li tikkonċerna sustanzi mediċi) intużat bażi għal ħafna testi medjevali, u kienet mibnija minn bosta xjenzati tal-Lvant Nofsani matul l-Età tad-Deheb Iżlamika. It-titlu ħoloq it-terminu Materia Medica.</v>
      </c>
    </row>
    <row r="26894" ht="15.75" customHeight="1">
      <c r="A26894" s="2" t="s">
        <v>26894</v>
      </c>
      <c r="B26894" s="2" t="str">
        <f>IFERROR(__xludf.DUMMYFUNCTION("GOOGLETRANSLATE(A26894, ""en"", ""mt"")"),"Fil-Filippini, liema persentaġġ ta 'studenti tal-iskola sekondarja jattendu skejjel privati?")</f>
        <v>Fil-Filippini, liema persentaġġ ta 'studenti tal-iskola sekondarja jattendu skejjel privati?</v>
      </c>
    </row>
    <row r="26895" ht="15.75" customHeight="1">
      <c r="A26895" s="2" t="s">
        <v>26895</v>
      </c>
      <c r="B26895" s="2" t="str">
        <f>IFERROR(__xludf.DUMMYFUNCTION("GOOGLETRANSLATE(A26895, ""en"", ""mt"")"),"Huwa baqa 'ħaj minn ħafna gwerer, kunflitti u invażjonijiet")</f>
        <v>Huwa baqa 'ħaj minn ħafna gwerer, kunflitti u invażjonijiet</v>
      </c>
    </row>
    <row r="26896" ht="15.75" customHeight="1">
      <c r="A26896" s="2" t="s">
        <v>26896</v>
      </c>
      <c r="B26896" s="2" t="str">
        <f>IFERROR(__xludf.DUMMYFUNCTION("GOOGLETRANSLATE(A26896, ""en"", ""mt"")"),"Kif tippronunzja Fresno?")</f>
        <v>Kif tippronunzja Fresno?</v>
      </c>
    </row>
    <row r="26897" ht="15.75" customHeight="1">
      <c r="A26897" s="2" t="s">
        <v>26897</v>
      </c>
      <c r="B26897" s="2" t="str">
        <f>IFERROR(__xludf.DUMMYFUNCTION("GOOGLETRANSLATE(A26897, ""en"", ""mt"")"),"Flimkien ma 'avvanzi fil-komunikazzjoni, l-Ewropa kompliet ukoll tavvanza fit-teknoloġija militari. Kimiċi Ewropej għamlu splussivi fatali li jistgħu jintużaw fil-ġlieda kontra, u bl-innovazzjonijiet fil-makkinarju setgħu jimmanifatturaw armi tan-nar imte"&amp;"jba. Fis-snin 1880, il-magna gun kienet saret arma effettiva fil-kamp ta 'battalja. Din it-teknoloġija tat lill-armati Ewropej vantaġġ fuq l-avversarji tagħhom, peress li l-armati f'pajjiżi inqas żviluppati kienu għadhom jiġġieldu bi vleġeġ, xwabel u tark"&amp;"i tal-ġilda (e.g. iż-Żulus fl-Afrika t'Isfel matul il-Gwerra Anglo-Żulu tal-1879).")</f>
        <v>Flimkien ma 'avvanzi fil-komunikazzjoni, l-Ewropa kompliet ukoll tavvanza fit-teknoloġija militari. Kimiċi Ewropej għamlu splussivi fatali li jistgħu jintużaw fil-ġlieda kontra, u bl-innovazzjonijiet fil-makkinarju setgħu jimmanifatturaw armi tan-nar imtejba. Fis-snin 1880, il-magna gun kienet saret arma effettiva fil-kamp ta 'battalja. Din it-teknoloġija tat lill-armati Ewropej vantaġġ fuq l-avversarji tagħhom, peress li l-armati f'pajjiżi inqas żviluppati kienu għadhom jiġġieldu bi vleġeġ, xwabel u tarki tal-ġilda (e.g. iż-Żulus fl-Afrika t'Isfel matul il-Gwerra Anglo-Żulu tal-1879).</v>
      </c>
    </row>
    <row r="26898" ht="15.75" customHeight="1">
      <c r="A26898" s="2" t="s">
        <v>26898</v>
      </c>
      <c r="B26898" s="2" t="str">
        <f>IFERROR(__xludf.DUMMYFUNCTION("GOOGLETRANSLATE(A26898, ""en"", ""mt"")"),"Il-Jum tat-Tabib")</f>
        <v>Il-Jum tat-Tabib</v>
      </c>
    </row>
    <row r="26899" ht="15.75" customHeight="1">
      <c r="A26899" s="2" t="s">
        <v>26899</v>
      </c>
      <c r="B26899" s="2" t="str">
        <f>IFERROR(__xludf.DUMMYFUNCTION("GOOGLETRANSLATE(A26899, ""en"", ""mt"")"),"Liema belt serviet bħala l-kapitali tal-Polonja fl-1313?")</f>
        <v>Liema belt serviet bħala l-kapitali tal-Polonja fl-1313?</v>
      </c>
    </row>
    <row r="26900" ht="15.75" customHeight="1">
      <c r="A26900" s="2" t="s">
        <v>26900</v>
      </c>
      <c r="B26900" s="2" t="str">
        <f>IFERROR(__xludf.DUMMYFUNCTION("GOOGLETRANSLATE(A26900, ""en"", ""mt"")"),"F’Ottubru 2010")</f>
        <v>F’Ottubru 2010</v>
      </c>
    </row>
    <row r="26901" ht="15.75" customHeight="1">
      <c r="A26901" s="2" t="s">
        <v>26901</v>
      </c>
      <c r="B26901" s="2" t="str">
        <f>IFERROR(__xludf.DUMMYFUNCTION("GOOGLETRANSLATE(A26901, ""en"", ""mt"")"),"Uża analiżi mikroskopika ta 'sezzjonijiet irqaq orjentati ta' kampjuni ġeoloġiċi")</f>
        <v>Uża analiżi mikroskopika ta 'sezzjonijiet irqaq orjentati ta' kampjuni ġeoloġiċi</v>
      </c>
    </row>
    <row r="26902" ht="15.75" customHeight="1">
      <c r="A26902" s="2" t="s">
        <v>26902</v>
      </c>
      <c r="B26902" s="2" t="str">
        <f>IFERROR(__xludf.DUMMYFUNCTION("GOOGLETRANSLATE(A26902, ""en"", ""mt"")"),"Minn xiex kien jirrikjedi li l-Artikolu 12 tat-termini tal-Armistizju Alleati kien jirrikjedi li l-Ġermanja tirtira?")</f>
        <v>Minn xiex kien jirrikjedi li l-Artikolu 12 tat-termini tal-Armistizju Alleati kien jirrikjedi li l-Ġermanja tirtira?</v>
      </c>
    </row>
    <row r="26903" ht="15.75" customHeight="1">
      <c r="A26903" s="2" t="s">
        <v>26903</v>
      </c>
      <c r="B26903" s="2" t="str">
        <f>IFERROR(__xludf.DUMMYFUNCTION("GOOGLETRANSLATE(A26903, ""en"", ""mt"")"),"Għal x'inhu l-ossiġnu singlet aktar reattiv?")</f>
        <v>Għal x'inhu l-ossiġnu singlet aktar reattiv?</v>
      </c>
    </row>
    <row r="26904" ht="15.75" customHeight="1">
      <c r="A26904" s="2" t="s">
        <v>26904</v>
      </c>
      <c r="B26904" s="2" t="str">
        <f>IFERROR(__xludf.DUMMYFUNCTION("GOOGLETRANSLATE(A26904, ""en"", ""mt"")"),"X'kienet il-popolazzjoni tar-repubblika Olandiża qabel din l-emigrazzjoni?")</f>
        <v>X'kienet il-popolazzjoni tar-repubblika Olandiża qabel din l-emigrazzjoni?</v>
      </c>
    </row>
    <row r="26905" ht="15.75" customHeight="1">
      <c r="A26905" s="2" t="s">
        <v>26905</v>
      </c>
      <c r="B26905" s="2" t="str">
        <f>IFERROR(__xludf.DUMMYFUNCTION("GOOGLETRANSLATE(A26905, ""en"", ""mt"")"),"ħamsin fil-mija")</f>
        <v>ħamsin fil-mija</v>
      </c>
    </row>
    <row r="26906" ht="15.75" customHeight="1">
      <c r="A26906" s="2" t="s">
        <v>26906</v>
      </c>
      <c r="B26906" s="2" t="str">
        <f>IFERROR(__xludf.DUMMYFUNCTION("GOOGLETRANSLATE(A26906, ""en"", ""mt"")"),"50 fond")</f>
        <v>50 fond</v>
      </c>
    </row>
    <row r="26907" ht="15.75" customHeight="1">
      <c r="A26907" s="2" t="s">
        <v>26907</v>
      </c>
      <c r="B26907" s="2" t="str">
        <f>IFERROR(__xludf.DUMMYFUNCTION("GOOGLETRANSLATE(A26907, ""en"", ""mt"")"),"BankaMericard")</f>
        <v>BankaMericard</v>
      </c>
    </row>
    <row r="26908" ht="15.75" customHeight="1">
      <c r="A26908" s="2" t="s">
        <v>26908</v>
      </c>
      <c r="B26908" s="2" t="str">
        <f>IFERROR(__xludf.DUMMYFUNCTION("GOOGLETRANSLATE(A26908, ""en"", ""mt"")"),"X'inhu l-iktar eżempju reċenti ta 'linji ta' difetti finanzjarji?")</f>
        <v>X'inhu l-iktar eżempju reċenti ta 'linji ta' difetti finanzjarji?</v>
      </c>
    </row>
    <row r="26909" ht="15.75" customHeight="1">
      <c r="A26909" s="2" t="s">
        <v>26909</v>
      </c>
      <c r="B26909" s="2" t="str">
        <f>IFERROR(__xludf.DUMMYFUNCTION("GOOGLETRANSLATE(A26909, ""en"", ""mt"")"),"Għal xiex tikkontribwixxi l-popolarità tat-traduzzjoni ta 'Luther?")</f>
        <v>Għal xiex tikkontribwixxi l-popolarità tat-traduzzjoni ta 'Luther?</v>
      </c>
    </row>
    <row r="26910" ht="15.75" customHeight="1">
      <c r="A26910" s="2" t="s">
        <v>26910</v>
      </c>
      <c r="B26910" s="2" t="str">
        <f>IFERROR(__xludf.DUMMYFUNCTION("GOOGLETRANSLATE(A26910, ""en"", ""mt"")"),"Novembru 2006 u Mejju 2008")</f>
        <v>Novembru 2006 u Mejju 2008</v>
      </c>
    </row>
    <row r="26911" ht="15.75" customHeight="1">
      <c r="A26911" s="2" t="s">
        <v>26911</v>
      </c>
      <c r="B26911" s="2" t="str">
        <f>IFERROR(__xludf.DUMMYFUNCTION("GOOGLETRANSLATE(A26911, ""en"", ""mt"")"),"It-Trattat ta 'Lisbona tal-2007 irrikonoxxa b'mod espliċitu d-drittijiet fundamentali billi pprovda fl-Artikolu 6 (1) li ""l-Unjoni tirrikonoxxi d-drittijiet, il-libertajiet u l-prinċipji stabbiliti fil-Karta tad-Drittijiet Fundamentali tal-Unjoni Ewropea"&amp;" tas-7 ta' Diċembru 2000, kif adottat fi Strasburgu fit-12 Diċembru 2007, li għandu jkollu l-istess valur legali bħat-trattati. "" Għalhekk, il-karta tad-drittijiet fundamentali tal-Unjoni Ewropea saret parti integrali tal-liġi tal-Unjoni Ewropea, li tikk"&amp;"odifika d-drittijiet fundamentali li qabel kienu meqjusa bħala prinċipji ġenerali tal-liġi tal-Unjoni Ewropea. Fil-fatt, wara t-Trattat ta 'Lisbona, il-Karta u l-Konvenzjoni issa jeżistu skont il-liġi tal-Unjoni Ewropea, għalkemm l-ewwel hija infurzata mi"&amp;"ll-Qorti Ewropea tal-Ġustizzja fir-rigward tal-miżuri tal-Unjoni Ewropea, u dan tal-aħħar mill-Qorti Ewropea tad-Drittijiet tal-Bniedem Fir-rigward ta 'miżuri mill-Istati Membri.")</f>
        <v>It-Trattat ta 'Lisbona tal-2007 irrikonoxxa b'mod espliċitu d-drittijiet fundamentali billi pprovda fl-Artikolu 6 (1) li "l-Unjoni tirrikonoxxi d-drittijiet, il-libertajiet u l-prinċipji stabbiliti fil-Karta tad-Drittijiet Fundamentali tal-Unjoni Ewropea tas-7 ta' Diċembru 2000, kif adottat fi Strasburgu fit-12 Diċembru 2007, li għandu jkollu l-istess valur legali bħat-trattati. " Għalhekk, il-karta tad-drittijiet fundamentali tal-Unjoni Ewropea saret parti integrali tal-liġi tal-Unjoni Ewropea, li tikkodifika d-drittijiet fundamentali li qabel kienu meqjusa bħala prinċipji ġenerali tal-liġi tal-Unjoni Ewropea. Fil-fatt, wara t-Trattat ta 'Lisbona, il-Karta u l-Konvenzjoni issa jeżistu skont il-liġi tal-Unjoni Ewropea, għalkemm l-ewwel hija infurzata mill-Qorti Ewropea tal-Ġustizzja fir-rigward tal-miżuri tal-Unjoni Ewropea, u dan tal-aħħar mill-Qorti Ewropea tad-Drittijiet tal-Bniedem Fir-rigward ta 'miżuri mill-Istati Membri.</v>
      </c>
    </row>
    <row r="26912" ht="15.75" customHeight="1">
      <c r="A26912" s="2" t="s">
        <v>26912</v>
      </c>
      <c r="B26912" s="2" t="str">
        <f>IFERROR(__xludf.DUMMYFUNCTION("GOOGLETRANSLATE(A26912, ""en"", ""mt"")"),"Beroe minorenni u adulti m'għandhomx xiex?")</f>
        <v>Beroe minorenni u adulti m'għandhomx xiex?</v>
      </c>
    </row>
    <row r="26913" ht="15.75" customHeight="1">
      <c r="A26913" s="2" t="s">
        <v>26913</v>
      </c>
      <c r="B26913" s="2" t="str">
        <f>IFERROR(__xludf.DUMMYFUNCTION("GOOGLETRANSLATE(A26913, ""en"", ""mt"")"),"Il-Kunsill tal-Belt")</f>
        <v>Il-Kunsill tal-Belt</v>
      </c>
    </row>
    <row r="26914" ht="15.75" customHeight="1">
      <c r="A26914" s="2" t="s">
        <v>26914</v>
      </c>
      <c r="B26914" s="2" t="str">
        <f>IFERROR(__xludf.DUMMYFUNCTION("GOOGLETRANSLATE(A26914, ""en"", ""mt"")"),"Rumani")</f>
        <v>Rumani</v>
      </c>
    </row>
    <row r="26915" ht="15.75" customHeight="1">
      <c r="A26915" s="2" t="s">
        <v>26915</v>
      </c>
      <c r="B26915" s="2" t="str">
        <f>IFERROR(__xludf.DUMMYFUNCTION("GOOGLETRANSLATE(A26915, ""en"", ""mt"")"),"Battalja ta 'Marzu ta' Fort Bull")</f>
        <v>Battalja ta 'Marzu ta' Fort Bull</v>
      </c>
    </row>
    <row r="26916" ht="15.75" customHeight="1">
      <c r="A26916" s="2" t="s">
        <v>26916</v>
      </c>
      <c r="B26916" s="2" t="str">
        <f>IFERROR(__xludf.DUMMYFUNCTION("GOOGLETRANSLATE(A26916, ""en"", ""mt"")"),"Biex tnaqqas l-ispejjeż tal-konsumatur")</f>
        <v>Biex tnaqqas l-ispejjeż tal-konsumatur</v>
      </c>
    </row>
    <row r="26917" ht="15.75" customHeight="1">
      <c r="A26917" s="2" t="s">
        <v>26917</v>
      </c>
      <c r="B26917" s="2" t="str">
        <f>IFERROR(__xludf.DUMMYFUNCTION("GOOGLETRANSLATE(A26917, ""en"", ""mt"")"),"Liema lezzjoni kienet Johann von Staupitz tgħallem l-indiema ta 'Luther?")</f>
        <v>Liema lezzjoni kienet Johann von Staupitz tgħallem l-indiema ta 'Luther?</v>
      </c>
    </row>
    <row r="26918" ht="15.75" customHeight="1">
      <c r="A26918" s="2" t="s">
        <v>26918</v>
      </c>
      <c r="B26918" s="2" t="str">
        <f>IFERROR(__xludf.DUMMYFUNCTION("GOOGLETRANSLATE(A26918, ""en"", ""mt"")"),"Anzjani")</f>
        <v>Anzjani</v>
      </c>
    </row>
    <row r="26919" ht="15.75" customHeight="1">
      <c r="A26919" s="2" t="s">
        <v>26919</v>
      </c>
      <c r="B26919" s="2" t="str">
        <f>IFERROR(__xludf.DUMMYFUNCTION("GOOGLETRANSLATE(A26919, ""en"", ""mt"")"),"Min kien il-mexxej tan-Norveġiż?")</f>
        <v>Min kien il-mexxej tan-Norveġiż?</v>
      </c>
    </row>
    <row r="26920" ht="15.75" customHeight="1">
      <c r="A26920" s="2" t="s">
        <v>26920</v>
      </c>
      <c r="B26920" s="2" t="str">
        <f>IFERROR(__xludf.DUMMYFUNCTION("GOOGLETRANSLATE(A26920, ""en"", ""mt"")"),"Sky UK Limited")</f>
        <v>Sky UK Limited</v>
      </c>
    </row>
    <row r="26921" ht="15.75" customHeight="1">
      <c r="A26921" s="2" t="s">
        <v>26921</v>
      </c>
      <c r="B26921" s="2" t="str">
        <f>IFERROR(__xludf.DUMMYFUNCTION("GOOGLETRANSLATE(A26921, ""en"", ""mt"")"),"indipendenti")</f>
        <v>indipendenti</v>
      </c>
    </row>
    <row r="26922" ht="15.75" customHeight="1">
      <c r="A26922" s="2" t="s">
        <v>26922</v>
      </c>
      <c r="B26922" s="2" t="str">
        <f>IFERROR(__xludf.DUMMYFUNCTION("GOOGLETRANSLATE(A26922, ""en"", ""mt"")"),"Teorija tal-Miasma.")</f>
        <v>Teorija tal-Miasma.</v>
      </c>
    </row>
    <row r="26923" ht="15.75" customHeight="1">
      <c r="A26923" s="2" t="s">
        <v>26923</v>
      </c>
      <c r="B26923" s="2" t="str">
        <f>IFERROR(__xludf.DUMMYFUNCTION("GOOGLETRANSLATE(A26923, ""en"", ""mt"")"),"Henry Cole")</f>
        <v>Henry Cole</v>
      </c>
    </row>
    <row r="26924" ht="15.75" customHeight="1">
      <c r="A26924" s="2" t="s">
        <v>26924</v>
      </c>
      <c r="B26924" s="2" t="str">
        <f>IFERROR(__xludf.DUMMYFUNCTION("GOOGLETRANSLATE(A26924, ""en"", ""mt"")"),"Panini")</f>
        <v>Panini</v>
      </c>
    </row>
    <row r="26925" ht="15.75" customHeight="1">
      <c r="A26925" s="2" t="s">
        <v>26925</v>
      </c>
      <c r="B26925" s="2" t="str">
        <f>IFERROR(__xludf.DUMMYFUNCTION("GOOGLETRANSLATE(A26925, ""en"", ""mt"")"),"Fi żmien it-30 jum kemm kien inbiegħ digiboxes?")</f>
        <v>Fi żmien it-30 jum kemm kien inbiegħ digiboxes?</v>
      </c>
    </row>
    <row r="26926" ht="15.75" customHeight="1">
      <c r="A26926" s="2" t="s">
        <v>26926</v>
      </c>
      <c r="B26926" s="2" t="str">
        <f>IFERROR(__xludf.DUMMYFUNCTION("GOOGLETRANSLATE(A26926, ""en"", ""mt"")"),"sorċerija jew saħansitra velenu")</f>
        <v>sorċerija jew saħansitra velenu</v>
      </c>
    </row>
    <row r="26927" ht="15.75" customHeight="1">
      <c r="A26927" s="2" t="s">
        <v>26927</v>
      </c>
      <c r="B26927" s="2" t="str">
        <f>IFERROR(__xludf.DUMMYFUNCTION("GOOGLETRANSLATE(A26927, ""en"", ""mt"")"),"Fil-bidu tas-snin sebgħin, Michael Eisner, li ngħaqad ma 'ABC fl-1966, sar il-maniġer tal-iżvilupp tal-programm tan-netwerk. Huwa għen biex iġġib ideat għal ħafna serje fosthom Happy Days (li oriġinaw bħala segment fuq is-serje tal-antoloġija Love, l-isti"&amp;"l Amerikan), kif ukoll diversi sapun; Madankollu, il-kreditu ewlieni ta 'Eisner f'ABC kien għall-iżvilupp ta' programmazzjoni orjentata għaż-żgħażagħ. Huwa kien responsabbli biex jerġa 'jaqa' d-drittijiet għal-librerija Looney Tunes-Merrie Melodies, u ġab"&amp;" ix-xorts lura lil ABC wara li qatta 'bosta snin fuq CBS, kif ukoll għall-iżvilupp tas-serje animata Jackson 5ive u serje dwar l-Osmonds, u Super Friends Greenlighting, Ibbażat fuq is-serje DC Comics Justice League of America. Eisner ħalla l-ABC fl-1976 b"&amp;"iex isir president ta 'Paramount Pictures (u aktar tard sar il-president tal-kumpanija ewlenija eventwali ta' ABC, Disney).")</f>
        <v>Fil-bidu tas-snin sebgħin, Michael Eisner, li ngħaqad ma 'ABC fl-1966, sar il-maniġer tal-iżvilupp tal-programm tan-netwerk. Huwa għen biex iġġib ideat għal ħafna serje fosthom Happy Days (li oriġinaw bħala segment fuq is-serje tal-antoloġija Love, l-istil Amerikan), kif ukoll diversi sapun; Madankollu, il-kreditu ewlieni ta 'Eisner f'ABC kien għall-iżvilupp ta' programmazzjoni orjentata għaż-żgħażagħ. Huwa kien responsabbli biex jerġa 'jaqa' d-drittijiet għal-librerija Looney Tunes-Merrie Melodies, u ġab ix-xorts lura lil ABC wara li qatta 'bosta snin fuq CBS, kif ukoll għall-iżvilupp tas-serje animata Jackson 5ive u serje dwar l-Osmonds, u Super Friends Greenlighting, Ibbażat fuq is-serje DC Comics Justice League of America. Eisner ħalla l-ABC fl-1976 biex isir president ta 'Paramount Pictures (u aktar tard sar il-president tal-kumpanija ewlenija eventwali ta' ABC, Disney).</v>
      </c>
    </row>
    <row r="26928" ht="15.75" customHeight="1">
      <c r="A26928" s="2" t="s">
        <v>26928</v>
      </c>
      <c r="B26928" s="2" t="str">
        <f>IFERROR(__xludf.DUMMYFUNCTION("GOOGLETRANSLATE(A26928, ""en"", ""mt"")"),"Dammed")</f>
        <v>Dammed</v>
      </c>
    </row>
    <row r="26929" ht="15.75" customHeight="1">
      <c r="A26929" s="2" t="s">
        <v>26929</v>
      </c>
      <c r="B26929" s="2" t="str">
        <f>IFERROR(__xludf.DUMMYFUNCTION("GOOGLETRANSLATE(A26929, ""en"", ""mt"")"),"Töregene Khatun")</f>
        <v>Töregene Khatun</v>
      </c>
    </row>
    <row r="26930" ht="15.75" customHeight="1">
      <c r="A26930" s="2" t="s">
        <v>26930</v>
      </c>
      <c r="B26930" s="2" t="str">
        <f>IFERROR(__xludf.DUMMYFUNCTION("GOOGLETRANSLATE(A26930, ""en"", ""mt"")"),"X'kien ippjanat Bhutto li jipprojbixxi fi żmien sitt xhur, qabel ma ġie mwaqqa '?")</f>
        <v>X'kien ippjanat Bhutto li jipprojbixxi fi żmien sitt xhur, qabel ma ġie mwaqqa '?</v>
      </c>
    </row>
    <row r="26931" ht="15.75" customHeight="1">
      <c r="A26931" s="2" t="s">
        <v>26931</v>
      </c>
      <c r="B26931" s="2" t="str">
        <f>IFERROR(__xludf.DUMMYFUNCTION("GOOGLETRANSLATE(A26931, ""en"", ""mt"")"),"Missier id-dar")</f>
        <v>Missier id-dar</v>
      </c>
    </row>
    <row r="26932" ht="15.75" customHeight="1">
      <c r="A26932" s="2" t="s">
        <v>26932</v>
      </c>
      <c r="B26932" s="2" t="str">
        <f>IFERROR(__xludf.DUMMYFUNCTION("GOOGLETRANSLATE(A26932, ""en"", ""mt"")"),"F'liema episodju l-ewwel tabib jara lilu nnifsu?")</f>
        <v>F'liema episodju l-ewwel tabib jara lilu nnifsu?</v>
      </c>
    </row>
    <row r="26933" ht="15.75" customHeight="1">
      <c r="A26933" s="2" t="s">
        <v>26933</v>
      </c>
      <c r="B26933" s="2" t="str">
        <f>IFERROR(__xludf.DUMMYFUNCTION("GOOGLETRANSLATE(A26933, ""en"", ""mt"")"),"X'iċida Luther dwar il-Knisja Kattolika?")</f>
        <v>X'iċida Luther dwar il-Knisja Kattolika?</v>
      </c>
    </row>
    <row r="26934" ht="15.75" customHeight="1">
      <c r="A26934" s="2" t="s">
        <v>26934</v>
      </c>
      <c r="B26934" s="2" t="str">
        <f>IFERROR(__xludf.DUMMYFUNCTION("GOOGLETRANSLATE(A26934, ""en"", ""mt"")"),"X'jiġri Ctenophore biex jaqbad il-priża tagħhom?")</f>
        <v>X'jiġri Ctenophore biex jaqbad il-priża tagħhom?</v>
      </c>
    </row>
    <row r="26935" ht="15.75" customHeight="1">
      <c r="A26935" s="2" t="s">
        <v>26935</v>
      </c>
      <c r="B26935" s="2" t="str">
        <f>IFERROR(__xludf.DUMMYFUNCTION("GOOGLETRANSLATE(A26935, ""en"", ""mt"")"),"Liema renju annessa Varsavja fl-1796?")</f>
        <v>Liema renju annessa Varsavja fl-1796?</v>
      </c>
    </row>
    <row r="26936" ht="15.75" customHeight="1">
      <c r="A26936" s="2" t="s">
        <v>26936</v>
      </c>
      <c r="B26936" s="2" t="str">
        <f>IFERROR(__xludf.DUMMYFUNCTION("GOOGLETRANSLATE(A26936, ""en"", ""mt"")"),"Liġi primarja, liġi sekondarja u liġi supplimentari.")</f>
        <v>Liġi primarja, liġi sekondarja u liġi supplimentari.</v>
      </c>
    </row>
    <row r="26937" ht="15.75" customHeight="1">
      <c r="A26937" s="2" t="s">
        <v>26937</v>
      </c>
      <c r="B26937" s="2" t="str">
        <f>IFERROR(__xludf.DUMMYFUNCTION("GOOGLETRANSLATE(A26937, ""en"", ""mt"")"),"Sam Chisholm u Rupert Murdoch")</f>
        <v>Sam Chisholm u Rupert Murdoch</v>
      </c>
    </row>
    <row r="26938" ht="15.75" customHeight="1">
      <c r="A26938" s="2" t="s">
        <v>26938</v>
      </c>
      <c r="B26938" s="2" t="str">
        <f>IFERROR(__xludf.DUMMYFUNCTION("GOOGLETRANSLATE(A26938, ""en"", ""mt"")"),"jagħżlu l-ministri tagħhom stess")</f>
        <v>jagħżlu l-ministri tagħhom stess</v>
      </c>
    </row>
    <row r="26939" ht="15.75" customHeight="1">
      <c r="A26939" s="2" t="s">
        <v>26939</v>
      </c>
      <c r="B26939" s="2" t="str">
        <f>IFERROR(__xludf.DUMMYFUNCTION("GOOGLETRANSLATE(A26939, ""en"", ""mt"")"),"Ħalib tas-sider jew kolostru")</f>
        <v>Ħalib tas-sider jew kolostru</v>
      </c>
    </row>
    <row r="26940" ht="15.75" customHeight="1">
      <c r="A26940" s="2" t="s">
        <v>26940</v>
      </c>
      <c r="B26940" s="2" t="str">
        <f>IFERROR(__xludf.DUMMYFUNCTION("GOOGLETRANSLATE(A26940, ""en"", ""mt"")"),"Kemm id-dħul huwa privat?")</f>
        <v>Kemm id-dħul huwa privat?</v>
      </c>
    </row>
    <row r="26941" ht="15.75" customHeight="1">
      <c r="A26941" s="2" t="s">
        <v>26941</v>
      </c>
      <c r="B26941" s="2" t="str">
        <f>IFERROR(__xludf.DUMMYFUNCTION("GOOGLETRANSLATE(A26941, ""en"", ""mt"")"),"X'tip ta 'atmosfera għen biex tiffranka n-nar fil-kabina kollha?")</f>
        <v>X'tip ta 'atmosfera għen biex tiffranka n-nar fil-kabina kollha?</v>
      </c>
    </row>
    <row r="26942" ht="15.75" customHeight="1">
      <c r="A26942" s="2" t="s">
        <v>26942</v>
      </c>
      <c r="B26942" s="2" t="str">
        <f>IFERROR(__xludf.DUMMYFUNCTION("GOOGLETRANSLATE(A26942, ""en"", ""mt"")"),"X'tip ta 'sistema tieħu studenti minn speċjalista għal ieħor għal kull suġġett?")</f>
        <v>X'tip ta 'sistema tieħu studenti minn speċjalista għal ieħor għal kull suġġett?</v>
      </c>
    </row>
    <row r="26943" ht="15.75" customHeight="1">
      <c r="A26943" s="2" t="s">
        <v>26943</v>
      </c>
      <c r="B26943" s="2" t="str">
        <f>IFERROR(__xludf.DUMMYFUNCTION("GOOGLETRANSLATE(A26943, ""en"", ""mt"")"),"professjonisti mħallsa.")</f>
        <v>professjonisti mħallsa.</v>
      </c>
    </row>
    <row r="26944" ht="15.75" customHeight="1">
      <c r="A26944" s="2" t="s">
        <v>26944</v>
      </c>
      <c r="B26944" s="2" t="str">
        <f>IFERROR(__xludf.DUMMYFUNCTION("GOOGLETRANSLATE(A26944, ""en"", ""mt"")"),"Żviluppa u tipproduċi sistema ta 'dawl ġdida")</f>
        <v>Żviluppa u tipproduċi sistema ta 'dawl ġdida</v>
      </c>
    </row>
    <row r="26945" ht="15.75" customHeight="1">
      <c r="A26945" s="2" t="s">
        <v>26945</v>
      </c>
      <c r="B26945" s="2" t="str">
        <f>IFERROR(__xludf.DUMMYFUNCTION("GOOGLETRANSLATE(A26945, ""en"", ""mt"")"),"moxt ġelatina")</f>
        <v>moxt ġelatina</v>
      </c>
    </row>
    <row r="26946" ht="15.75" customHeight="1">
      <c r="A26946" s="2" t="s">
        <v>26946</v>
      </c>
      <c r="B26946" s="2" t="str">
        <f>IFERROR(__xludf.DUMMYFUNCTION("GOOGLETRANSLATE(A26946, ""en"", ""mt"")"),"Kemm mili fil-lvant ta 'Berlin huwa Varsavja?")</f>
        <v>Kemm mili fil-lvant ta 'Berlin huwa Varsavja?</v>
      </c>
    </row>
    <row r="26947" ht="15.75" customHeight="1">
      <c r="A26947" s="2" t="s">
        <v>26947</v>
      </c>
      <c r="B26947" s="2" t="str">
        <f>IFERROR(__xludf.DUMMYFUNCTION("GOOGLETRANSLATE(A26947, ""en"", ""mt"")"),"F'liema snin l-ispettaklu ra l-udjenzi għoljin sa 12-il miljun?")</f>
        <v>F'liema snin l-ispettaklu ra l-udjenzi għoljin sa 12-il miljun?</v>
      </c>
    </row>
    <row r="26948" ht="15.75" customHeight="1">
      <c r="A26948" s="2" t="s">
        <v>26948</v>
      </c>
      <c r="B26948" s="2" t="str">
        <f>IFERROR(__xludf.DUMMYFUNCTION("GOOGLETRANSLATE(A26948, ""en"", ""mt"")"),"Jum l-Indipendenza: qawmien mill-ġdid")</f>
        <v>Jum l-Indipendenza: qawmien mill-ġdid</v>
      </c>
    </row>
    <row r="26949" ht="15.75" customHeight="1">
      <c r="A26949" s="2" t="s">
        <v>26949</v>
      </c>
      <c r="B26949" s="2" t="str">
        <f>IFERROR(__xludf.DUMMYFUNCTION("GOOGLETRANSLATE(A26949, ""en"", ""mt"")"),"X'inhu l-wied alpin glaċjali magħruf bħala?")</f>
        <v>X'inhu l-wied alpin glaċjali magħruf bħala?</v>
      </c>
    </row>
    <row r="26950" ht="15.75" customHeight="1">
      <c r="A26950" s="2" t="s">
        <v>26950</v>
      </c>
      <c r="B26950" s="2" t="str">
        <f>IFERROR(__xludf.DUMMYFUNCTION("GOOGLETRANSLATE(A26950, ""en"", ""mt"")"),"X'kienet il-Parliment tar-Renju Unit li smajt li kienet abbonament għal BSKYB?")</f>
        <v>X'kienet il-Parliment tar-Renju Unit li smajt li kienet abbonament għal BSKYB?</v>
      </c>
    </row>
    <row r="26951" ht="15.75" customHeight="1">
      <c r="A26951" s="2" t="s">
        <v>26951</v>
      </c>
      <c r="B26951" s="2" t="str">
        <f>IFERROR(__xludf.DUMMYFUNCTION("GOOGLETRANSLATE(A26951, ""en"", ""mt"")"),"Ċentru Stubhub")</f>
        <v>Ċentru Stubhub</v>
      </c>
    </row>
    <row r="26952" ht="15.75" customHeight="1">
      <c r="A26952" s="2" t="s">
        <v>26952</v>
      </c>
      <c r="B26952" s="2" t="str">
        <f>IFERROR(__xludf.DUMMYFUNCTION("GOOGLETRANSLATE(A26952, ""en"", ""mt"")"),"X'inhuma ż-żewġ lingwi uffiċjali?")</f>
        <v>X'inhuma ż-żewġ lingwi uffiċjali?</v>
      </c>
    </row>
    <row r="26953" ht="15.75" customHeight="1">
      <c r="A26953" s="2" t="s">
        <v>26953</v>
      </c>
      <c r="B26953" s="2" t="str">
        <f>IFERROR(__xludf.DUMMYFUNCTION("GOOGLETRANSLATE(A26953, ""en"", ""mt"")"),"X'inhu hauptlied?")</f>
        <v>X'inhu hauptlied?</v>
      </c>
    </row>
    <row r="26954" ht="15.75" customHeight="1">
      <c r="A26954" s="2" t="s">
        <v>26954</v>
      </c>
      <c r="B26954" s="2" t="str">
        <f>IFERROR(__xludf.DUMMYFUNCTION("GOOGLETRANSLATE(A26954, ""en"", ""mt"")"),"Moviment Iżlamista influwenzat mis-Salafiżmu u l-jihad fl-Afganistan, kif ukoll il-Fratellanza Musulmana, kien il-FIS jew il-Front Islamique de Salut (il-Front tas-Salvazzjoni Iżlamika) fl-Alġerija. Imwaqqfa bħala koalizzjoni wiesgħa Iżlamista fl-1989 kie"&amp;"net immexxija minn Abbassi Madani, u predikatur żagħżugħ Iżlamista kariżmatiku, Ali Belhadj. Meta ħa vantaġġ minn insuffiċjenza ekonomika u l-liberalizzazzjoni soċjali mhux popolari u s-sekularizzazzjoni mill-gvern tal-FLN tax-xellug-nazzjonalista, huwa u"&amp;"ża l-predikazzjoni tiegħu biex jippromwovi l-istabbiliment ta 'sistema legali wara l-liġi tax-sharia, il-programm ta' liberalizzazzjoni ekonomika u żvilupp, edukazzjoni, edukazzjoni bl-Għarbi aktar milli bil-Franċiż, u Segregazzjoni bejn is-sessi, bin-nis"&amp;"a joqogħdu d-dar biex itaffu r-rata għolja ta 'qgħad fost irġiel żgħażagħ Alġerini. L-FIS rebaħ rebħiet ta 'knis fl-elezzjonijiet lokali u kienet se tirbaħ l-elezzjonijiet nazzjonali fl-1991 meta l-votazzjoni ġiet ikkanċellata minn kolp ta' stat militari.")</f>
        <v>Moviment Iżlamista influwenzat mis-Salafiżmu u l-jihad fl-Afganistan, kif ukoll il-Fratellanza Musulmana, kien il-FIS jew il-Front Islamique de Salut (il-Front tas-Salvazzjoni Iżlamika) fl-Alġerija. Imwaqqfa bħala koalizzjoni wiesgħa Iżlamista fl-1989 kienet immexxija minn Abbassi Madani, u predikatur żagħżugħ Iżlamista kariżmatiku, Ali Belhadj. Meta ħa vantaġġ minn insuffiċjenza ekonomika u l-liberalizzazzjoni soċjali mhux popolari u s-sekularizzazzjoni mill-gvern tal-FLN tax-xellug-nazzjonalista, huwa uża l-predikazzjoni tiegħu biex jippromwovi l-istabbiliment ta 'sistema legali wara l-liġi tax-sharia, il-programm ta' liberalizzazzjoni ekonomika u żvilupp, edukazzjoni, edukazzjoni bl-Għarbi aktar milli bil-Franċiż, u Segregazzjoni bejn is-sessi, bin-nisa joqogħdu d-dar biex itaffu r-rata għolja ta 'qgħad fost irġiel żgħażagħ Alġerini. L-FIS rebaħ rebħiet ta 'knis fl-elezzjonijiet lokali u kienet se tirbaħ l-elezzjonijiet nazzjonali fl-1991 meta l-votazzjoni ġiet ikkanċellata minn kolp ta' stat militari.</v>
      </c>
    </row>
    <row r="26955" ht="15.75" customHeight="1">
      <c r="A26955" s="2" t="s">
        <v>26955</v>
      </c>
      <c r="B26955" s="2" t="str">
        <f>IFERROR(__xludf.DUMMYFUNCTION("GOOGLETRANSLATE(A26955, ""en"", ""mt"")"),"inċitament għat-terroriżmu")</f>
        <v>inċitament għat-terroriżmu</v>
      </c>
    </row>
    <row r="26956" ht="15.75" customHeight="1">
      <c r="A26956" s="2" t="s">
        <v>26956</v>
      </c>
      <c r="B26956" s="2" t="str">
        <f>IFERROR(__xludf.DUMMYFUNCTION("GOOGLETRANSLATE(A26956, ""en"", ""mt"")"),"żied il-prezz mitlub")</f>
        <v>żied il-prezz mitlub</v>
      </c>
    </row>
    <row r="26957" ht="15.75" customHeight="1">
      <c r="A26957" s="2" t="s">
        <v>26957</v>
      </c>
      <c r="B26957" s="2" t="str">
        <f>IFERROR(__xludf.DUMMYFUNCTION("GOOGLETRANSLATE(A26957, ""en"", ""mt"")"),"Kemm hemm volumi li żżomm il-librerija John Crerar bejn wieħed u ieħor?")</f>
        <v>Kemm hemm volumi li żżomm il-librerija John Crerar bejn wieħed u ieħor?</v>
      </c>
    </row>
    <row r="26958" ht="15.75" customHeight="1">
      <c r="A26958" s="2" t="s">
        <v>26958</v>
      </c>
      <c r="B26958" s="2" t="str">
        <f>IFERROR(__xludf.DUMMYFUNCTION("GOOGLETRANSLATE(A26958, ""en"", ""mt"")"),"Liema ktieb kien ippubblikat is-seba 'lezzjonijiet Ingliżi ta' Iqbal?")</f>
        <v>Liema ktieb kien ippubblikat is-seba 'lezzjonijiet Ingliżi ta' Iqbal?</v>
      </c>
    </row>
    <row r="26959" ht="15.75" customHeight="1">
      <c r="A26959" s="2" t="s">
        <v>26959</v>
      </c>
      <c r="B26959" s="2" t="str">
        <f>IFERROR(__xludf.DUMMYFUNCTION("GOOGLETRANSLATE(A26959, ""en"", ""mt"")"),"Għaliex huwa importanti li ndaħħlu preċiżament il-blat fit-taqsima stratigrafika?")</f>
        <v>Għaliex huwa importanti li ndaħħlu preċiżament il-blat fit-taqsima stratigrafika?</v>
      </c>
    </row>
    <row r="26960" ht="15.75" customHeight="1">
      <c r="A26960" s="2" t="s">
        <v>26960</v>
      </c>
      <c r="B26960" s="2" t="str">
        <f>IFERROR(__xludf.DUMMYFUNCTION("GOOGLETRANSLATE(A26960, ""en"", ""mt"")"),"X'inhi d-Delta fir-Rhine delimitat fil-Lvant?")</f>
        <v>X'inhi d-Delta fir-Rhine delimitat fil-Lvant?</v>
      </c>
    </row>
    <row r="26961" ht="15.75" customHeight="1">
      <c r="A26961" s="2" t="s">
        <v>26961</v>
      </c>
      <c r="B26961" s="2" t="str">
        <f>IFERROR(__xludf.DUMMYFUNCTION("GOOGLETRANSLATE(A26961, ""en"", ""mt"")"),"Itt")</f>
        <v>Itt</v>
      </c>
    </row>
    <row r="26962" ht="15.75" customHeight="1">
      <c r="A26962" s="2" t="s">
        <v>26962</v>
      </c>
      <c r="B26962" s="2" t="str">
        <f>IFERROR(__xludf.DUMMYFUNCTION("GOOGLETRANSLATE(A26962, ""en"", ""mt"")"),"Biex tirrendi ċerti liġijiet ineffettivi,")</f>
        <v>Biex tirrendi ċerti liġijiet ineffettivi,</v>
      </c>
    </row>
    <row r="26963" ht="15.75" customHeight="1">
      <c r="A26963" s="2" t="s">
        <v>26963</v>
      </c>
      <c r="B26963" s="2" t="str">
        <f>IFERROR(__xludf.DUMMYFUNCTION("GOOGLETRANSLATE(A26963, ""en"", ""mt"")"),"Kaċċa ta 'diversi annimali")</f>
        <v>Kaċċa ta 'diversi annimali</v>
      </c>
    </row>
    <row r="26964" ht="15.75" customHeight="1">
      <c r="A26964" s="2" t="s">
        <v>26964</v>
      </c>
      <c r="B26964" s="2" t="str">
        <f>IFERROR(__xludf.DUMMYFUNCTION("GOOGLETRANSLATE(A26964, ""en"", ""mt"")"),"Min kien l-iktar plejer siewi tas-Super Bowl XLI?")</f>
        <v>Min kien l-iktar plejer siewi tas-Super Bowl XLI?</v>
      </c>
    </row>
    <row r="26965" ht="15.75" customHeight="1">
      <c r="A26965" s="2" t="s">
        <v>26965</v>
      </c>
      <c r="B26965" s="2" t="str">
        <f>IFERROR(__xludf.DUMMYFUNCTION("GOOGLETRANSLATE(A26965, ""en"", ""mt"")"),"F'liema jinbidel l-isem ta 'Nederrikn?")</f>
        <v>F'liema jinbidel l-isem ta 'Nederrikn?</v>
      </c>
    </row>
    <row r="26966" ht="15.75" customHeight="1">
      <c r="A26966" s="2" t="s">
        <v>26966</v>
      </c>
      <c r="B26966" s="2" t="str">
        <f>IFERROR(__xludf.DUMMYFUNCTION("GOOGLETRANSLATE(A26966, ""en"", ""mt"")"),"Iddisinjat biex jarma lill-istudenti b'settijiet ta 'ħiliet meħtieġa biex ikunu jistgħu jwettqu fuq ix-xogħol")</f>
        <v>Iddisinjat biex jarma lill-istudenti b'settijiet ta 'ħiliet meħtieġa biex ikunu jistgħu jwettqu fuq ix-xogħol</v>
      </c>
    </row>
    <row r="26967" ht="15.75" customHeight="1">
      <c r="A26967" s="2" t="s">
        <v>26967</v>
      </c>
      <c r="B26967" s="2" t="str">
        <f>IFERROR(__xludf.DUMMYFUNCTION("GOOGLETRANSLATE(A26967, ""en"", ""mt"")"),"19 ta ’April 1943")</f>
        <v>19 ta ’April 1943</v>
      </c>
    </row>
    <row r="26968" ht="15.75" customHeight="1">
      <c r="A26968" s="2" t="s">
        <v>26968</v>
      </c>
      <c r="B26968" s="2" t="str">
        <f>IFERROR(__xludf.DUMMYFUNCTION("GOOGLETRANSLATE(A26968, ""en"", ""mt"")"),"11,700 sena ilu")</f>
        <v>11,700 sena ilu</v>
      </c>
    </row>
    <row r="26969" ht="15.75" customHeight="1">
      <c r="A26969" s="2" t="s">
        <v>26969</v>
      </c>
      <c r="B26969" s="2" t="str">
        <f>IFERROR(__xludf.DUMMYFUNCTION("GOOGLETRANSLATE(A26969, ""en"", ""mt"")"),"fuq tlett ijiem")</f>
        <v>fuq tlett ijiem</v>
      </c>
    </row>
    <row r="26970" ht="15.75" customHeight="1">
      <c r="A26970" s="2" t="s">
        <v>26970</v>
      </c>
      <c r="B26970" s="2" t="str">
        <f>IFERROR(__xludf.DUMMYFUNCTION("GOOGLETRANSLATE(A26970, ""en"", ""mt"")"),"l-estinzjoni tad-dinosawri u l-klima aktar mxarrba")</f>
        <v>l-estinzjoni tad-dinosawri u l-klima aktar mxarrba</v>
      </c>
    </row>
    <row r="26971" ht="15.75" customHeight="1">
      <c r="A26971" s="2" t="s">
        <v>26971</v>
      </c>
      <c r="B26971" s="2" t="str">
        <f>IFERROR(__xludf.DUMMYFUNCTION("GOOGLETRANSLATE(A26971, ""en"", ""mt"")"),"biex jaħbi l-fatt li huwa waqa 'mill-iskola")</f>
        <v>biex jaħbi l-fatt li huwa waqa 'mill-iskola</v>
      </c>
    </row>
    <row r="26972" ht="15.75" customHeight="1">
      <c r="A26972" s="2" t="s">
        <v>26972</v>
      </c>
      <c r="B26972" s="2" t="str">
        <f>IFERROR(__xludf.DUMMYFUNCTION("GOOGLETRANSLATE(A26972, ""en"", ""mt"")"),"Kuruna tax-xogħol miftuħa megħluba minn statwa ta 'fama")</f>
        <v>Kuruna tax-xogħol miftuħa megħluba minn statwa ta 'fama</v>
      </c>
    </row>
    <row r="26973" ht="15.75" customHeight="1">
      <c r="A26973" s="2" t="s">
        <v>26973</v>
      </c>
      <c r="B26973" s="2" t="str">
        <f>IFERROR(__xludf.DUMMYFUNCTION("GOOGLETRANSLATE(A26973, ""en"", ""mt"")"),"Kampanja effettiva tal-gwerra tal-gwerillieri, tgħix barra mill-art, taqbad provvisti Ingliżi, u tibqa 'mingħajr telfa")</f>
        <v>Kampanja effettiva tal-gwerra tal-gwerillieri, tgħix barra mill-art, taqbad provvisti Ingliżi, u tibqa 'mingħajr telfa</v>
      </c>
    </row>
    <row r="26974" ht="15.75" customHeight="1">
      <c r="A26974" s="2" t="s">
        <v>26974</v>
      </c>
      <c r="B26974" s="2" t="str">
        <f>IFERROR(__xludf.DUMMYFUNCTION("GOOGLETRANSLATE(A26974, ""en"", ""mt"")"),"Samuel Phillips")</f>
        <v>Samuel Phillips</v>
      </c>
    </row>
    <row r="26975" ht="15.75" customHeight="1">
      <c r="A26975" s="2" t="s">
        <v>26975</v>
      </c>
      <c r="B26975" s="2" t="str">
        <f>IFERROR(__xludf.DUMMYFUNCTION("GOOGLETRANSLATE(A26975, ""en"", ""mt"")"),"Denominazzjoni Metodista Protestanti Mainline")</f>
        <v>Denominazzjoni Metodista Protestanti Mainline</v>
      </c>
    </row>
    <row r="26976" ht="15.75" customHeight="1">
      <c r="A26976" s="2" t="s">
        <v>26976</v>
      </c>
      <c r="B26976" s="2" t="str">
        <f>IFERROR(__xludf.DUMMYFUNCTION("GOOGLETRANSLATE(A26976, ""en"", ""mt"")"),"Kunflitt bejn Franza u l-Gran Brittanja")</f>
        <v>Kunflitt bejn Franza u l-Gran Brittanja</v>
      </c>
    </row>
    <row r="26977" ht="15.75" customHeight="1">
      <c r="A26977" s="2" t="s">
        <v>26977</v>
      </c>
      <c r="B26977" s="2" t="str">
        <f>IFERROR(__xludf.DUMMYFUNCTION("GOOGLETRANSLATE(A26977, ""en"", ""mt"")"),"Avvenimenti deformazzjonali")</f>
        <v>Avvenimenti deformazzjonali</v>
      </c>
    </row>
    <row r="26978" ht="15.75" customHeight="1">
      <c r="A26978" s="2" t="s">
        <v>26978</v>
      </c>
      <c r="B26978" s="2" t="str">
        <f>IFERROR(__xludf.DUMMYFUNCTION("GOOGLETRANSLATE(A26978, ""en"", ""mt"")"),"Meta bdiet id-dinastija Jin?")</f>
        <v>Meta bdiet id-dinastija Jin?</v>
      </c>
    </row>
    <row r="26979" ht="15.75" customHeight="1">
      <c r="A26979" s="2" t="s">
        <v>26979</v>
      </c>
      <c r="B26979" s="2" t="str">
        <f>IFERROR(__xludf.DUMMYFUNCTION("GOOGLETRANSLATE(A26979, ""en"", ""mt"")"),"jippreserva l-interessi tal-Mongolja fiċ-Ċina u jissodisfa t-talbiet tas-suġġetti Ċiniżi tiegħu")</f>
        <v>jippreserva l-interessi tal-Mongolja fiċ-Ċina u jissodisfa t-talbiet tas-suġġetti Ċiniżi tiegħu</v>
      </c>
    </row>
    <row r="26980" ht="15.75" customHeight="1">
      <c r="A26980" s="2" t="s">
        <v>26980</v>
      </c>
      <c r="B26980" s="2" t="str">
        <f>IFERROR(__xludf.DUMMYFUNCTION("GOOGLETRANSLATE(A26980, ""en"", ""mt"")"),"Kemm kien simili t-Trattat ta 'Lisbona għat-Trattat Kostituzzjonali?")</f>
        <v>Kemm kien simili t-Trattat ta 'Lisbona għat-Trattat Kostituzzjonali?</v>
      </c>
    </row>
    <row r="26981" ht="15.75" customHeight="1">
      <c r="A26981" s="2" t="s">
        <v>26981</v>
      </c>
      <c r="B26981" s="2" t="str">
        <f>IFERROR(__xludf.DUMMYFUNCTION("GOOGLETRANSLATE(A26981, ""en"", ""mt"")"),"X'inhu n-numru atomiku tal-ossiġnu tal-element?")</f>
        <v>X'inhu n-numru atomiku tal-ossiġnu tal-element?</v>
      </c>
    </row>
    <row r="26982" ht="15.75" customHeight="1">
      <c r="A26982" s="2" t="s">
        <v>26982</v>
      </c>
      <c r="B26982" s="2" t="str">
        <f>IFERROR(__xludf.DUMMYFUNCTION("GOOGLETRANSLATE(A26982, ""en"", ""mt"")"),"il-faqar, in-nuqqas ta ’aċċess għall-edukazzjoni u istituzzjonijiet tal-gvern dgħajfa")</f>
        <v>il-faqar, in-nuqqas ta ’aċċess għall-edukazzjoni u istituzzjonijiet tal-gvern dgħajfa</v>
      </c>
    </row>
    <row r="26983" ht="15.75" customHeight="1">
      <c r="A26983" s="2" t="s">
        <v>26983</v>
      </c>
      <c r="B26983" s="2" t="str">
        <f>IFERROR(__xludf.DUMMYFUNCTION("GOOGLETRANSLATE(A26983, ""en"", ""mt"")"),"Kemm-il darba jinżammu l-elezzjonijiet għall-avukat?")</f>
        <v>Kemm-il darba jinżammu l-elezzjonijiet għall-avukat?</v>
      </c>
    </row>
    <row r="26984" ht="15.75" customHeight="1">
      <c r="A26984" s="2" t="s">
        <v>26984</v>
      </c>
      <c r="B26984" s="2" t="str">
        <f>IFERROR(__xludf.DUMMYFUNCTION("GOOGLETRANSLATE(A26984, ""en"", ""mt"")"),"Fejn faqqgħet gwerra ċivili mdemma?")</f>
        <v>Fejn faqqgħet gwerra ċivili mdemma?</v>
      </c>
    </row>
    <row r="26985" ht="15.75" customHeight="1">
      <c r="A26985" s="2" t="s">
        <v>26985</v>
      </c>
      <c r="B26985" s="2" t="str">
        <f>IFERROR(__xludf.DUMMYFUNCTION("GOOGLETRANSLATE(A26985, ""en"", ""mt"")"),"325")</f>
        <v>325</v>
      </c>
    </row>
    <row r="26986" ht="15.75" customHeight="1">
      <c r="A26986" s="2" t="s">
        <v>26986</v>
      </c>
      <c r="B26986" s="2" t="str">
        <f>IFERROR(__xludf.DUMMYFUNCTION("GOOGLETRANSLATE(A26986, ""en"", ""mt"")"),"toffri paga ogħla")</f>
        <v>toffri paga ogħla</v>
      </c>
    </row>
    <row r="26987" ht="15.75" customHeight="1">
      <c r="A26987" s="2" t="s">
        <v>26987</v>
      </c>
      <c r="B26987" s="2" t="str">
        <f>IFERROR(__xludf.DUMMYFUNCTION("GOOGLETRANSLATE(A26987, ""en"", ""mt"")"),"X'inhu l-isem ta 'l-itwal soċjetà ta' films ta 'studenti li jmexxu kontinwament il-pajjiż?")</f>
        <v>X'inhu l-isem ta 'l-itwal soċjetà ta' films ta 'studenti li jmexxu kontinwament il-pajjiż?</v>
      </c>
    </row>
    <row r="26988" ht="15.75" customHeight="1">
      <c r="A26988" s="2" t="s">
        <v>26988</v>
      </c>
      <c r="B26988" s="2" t="str">
        <f>IFERROR(__xludf.DUMMYFUNCTION("GOOGLETRANSLATE(A26988, ""en"", ""mt"")"),"l-akbar ġid")</f>
        <v>l-akbar ġid</v>
      </c>
    </row>
    <row r="26989" ht="15.75" customHeight="1">
      <c r="A26989" s="2" t="s">
        <v>26989</v>
      </c>
      <c r="B26989" s="2" t="str">
        <f>IFERROR(__xludf.DUMMYFUNCTION("GOOGLETRANSLATE(A26989, ""en"", ""mt"")"),"X'tip ta 'sorsi mhux riveduti mill-peer juża l-IPCC?")</f>
        <v>X'tip ta 'sorsi mhux riveduti mill-peer juża l-IPCC?</v>
      </c>
    </row>
    <row r="26990" ht="15.75" customHeight="1">
      <c r="A26990" s="2" t="s">
        <v>26990</v>
      </c>
      <c r="B26990" s="2" t="str">
        <f>IFERROR(__xludf.DUMMYFUNCTION("GOOGLETRANSLATE(A26990, ""en"", ""mt"")"),"Għalliema entużjasti jistgħu jikkawżaw lill-istudenti jsiru aktar ____ dwar il-proċess ta 'tagħlim tagħhom?")</f>
        <v>Għalliema entużjasti jistgħu jikkawżaw lill-istudenti jsiru aktar ____ dwar il-proċess ta 'tagħlim tagħhom?</v>
      </c>
    </row>
    <row r="26991" ht="15.75" customHeight="1">
      <c r="A26991" s="2" t="s">
        <v>26991</v>
      </c>
      <c r="B26991" s="2" t="str">
        <f>IFERROR(__xludf.DUMMYFUNCTION("GOOGLETRANSLATE(A26991, ""en"", ""mt"")"),"L-Assoċjazzjoni Medika Amerikana (AMA)")</f>
        <v>L-Assoċjazzjoni Medika Amerikana (AMA)</v>
      </c>
    </row>
    <row r="26992" ht="15.75" customHeight="1">
      <c r="A26992" s="2" t="s">
        <v>26992</v>
      </c>
      <c r="B26992" s="2" t="str">
        <f>IFERROR(__xludf.DUMMYFUNCTION("GOOGLETRANSLATE(A26992, ""en"", ""mt"")"),"Min kien ħu Margaret?")</f>
        <v>Min kien ħu Margaret?</v>
      </c>
    </row>
    <row r="26993" ht="15.75" customHeight="1">
      <c r="A26993" s="2" t="s">
        <v>26993</v>
      </c>
      <c r="B26993" s="2" t="str">
        <f>IFERROR(__xludf.DUMMYFUNCTION("GOOGLETRANSLATE(A26993, ""en"", ""mt"")"),"1876")</f>
        <v>1876</v>
      </c>
    </row>
    <row r="26994" ht="15.75" customHeight="1">
      <c r="A26994" s="2" t="s">
        <v>26994</v>
      </c>
      <c r="B26994" s="2" t="str">
        <f>IFERROR(__xludf.DUMMYFUNCTION("GOOGLETRANSLATE(A26994, ""en"", ""mt"")"),"F'liema konferenza jilagħbu t-timijiet fin-Nofsinhar ta 'California?")</f>
        <v>F'liema konferenza jilagħbu t-timijiet fin-Nofsinhar ta 'California?</v>
      </c>
    </row>
    <row r="26995" ht="15.75" customHeight="1">
      <c r="A26995" s="2" t="s">
        <v>26995</v>
      </c>
      <c r="B26995" s="2" t="str">
        <f>IFERROR(__xludf.DUMMYFUNCTION("GOOGLETRANSLATE(A26995, ""en"", ""mt"")"),"Prétendus Réformés")</f>
        <v>Prétendus Réformés</v>
      </c>
    </row>
    <row r="26996" ht="15.75" customHeight="1">
      <c r="A26996" s="2" t="s">
        <v>26996</v>
      </c>
      <c r="B26996" s="2" t="str">
        <f>IFERROR(__xludf.DUMMYFUNCTION("GOOGLETRANSLATE(A26996, ""en"", ""mt"")"),"X'tipi ta 'xogħol għamel il-Han fl-Asja Ċentrali?")</f>
        <v>X'tipi ta 'xogħol għamel il-Han fl-Asja Ċentrali?</v>
      </c>
    </row>
    <row r="26997" ht="15.75" customHeight="1">
      <c r="A26997" s="2" t="s">
        <v>26997</v>
      </c>
      <c r="B26997" s="2" t="str">
        <f>IFERROR(__xludf.DUMMYFUNCTION("GOOGLETRANSLATE(A26997, ""en"", ""mt"")"),"Aboriġini")</f>
        <v>Aboriġini</v>
      </c>
    </row>
    <row r="26998" ht="15.75" customHeight="1">
      <c r="A26998" s="2" t="s">
        <v>26998</v>
      </c>
      <c r="B26998" s="2" t="str">
        <f>IFERROR(__xludf.DUMMYFUNCTION("GOOGLETRANSLATE(A26998, ""en"", ""mt"")"),"Tweġibiet immuni adattivi u innati")</f>
        <v>Tweġibiet immuni adattivi u innati</v>
      </c>
    </row>
    <row r="26999" ht="15.75" customHeight="1">
      <c r="A26999" s="2" t="s">
        <v>26999</v>
      </c>
      <c r="B26999" s="2" t="str">
        <f>IFERROR(__xludf.DUMMYFUNCTION("GOOGLETRANSLATE(A26999, ""en"", ""mt"")"),"Liema tip ta 'skola għandha relazzjoni mill-qrib għalliem-tifel?")</f>
        <v>Liema tip ta 'skola għandha relazzjoni mill-qrib għalliem-tifel?</v>
      </c>
    </row>
    <row r="27000" ht="15.75" customHeight="1">
      <c r="A27000" s="2" t="s">
        <v>27000</v>
      </c>
      <c r="B27000" s="2" t="str">
        <f>IFERROR(__xludf.DUMMYFUNCTION("GOOGLETRANSLATE(A27000, ""en"", ""mt"")"),"F'liema seklu bdiet l-istorja tal-magna tal-fwar?")</f>
        <v>F'liema seklu bdiet l-istorja tal-magna tal-fwar?</v>
      </c>
    </row>
    <row r="27001" ht="15.75" customHeight="1">
      <c r="A27001" s="2" t="s">
        <v>27001</v>
      </c>
      <c r="B27001" s="2" t="str">
        <f>IFERROR(__xludf.DUMMYFUNCTION("GOOGLETRANSLATE(A27001, ""en"", ""mt"")"),"Parlament tar-Renju Unit")</f>
        <v>Parlament tar-Renju Unit</v>
      </c>
    </row>
    <row r="27002" ht="15.75" customHeight="1">
      <c r="A27002" s="2" t="s">
        <v>27002</v>
      </c>
      <c r="B27002" s="2" t="str">
        <f>IFERROR(__xludf.DUMMYFUNCTION("GOOGLETRANSLATE(A27002, ""en"", ""mt"")"),"kontra l-Prussja u l-alleati tagħha")</f>
        <v>kontra l-Prussja u l-alleati tagħha</v>
      </c>
    </row>
    <row r="27003" ht="15.75" customHeight="1">
      <c r="A27003" s="2" t="s">
        <v>27003</v>
      </c>
      <c r="B27003" s="2" t="str">
        <f>IFERROR(__xludf.DUMMYFUNCTION("GOOGLETRANSLATE(A27003, ""en"", ""mt"")"),"Kittieba Xirka tal-Amerika")</f>
        <v>Kittieba Xirka tal-Amerika</v>
      </c>
    </row>
    <row r="27004" ht="15.75" customHeight="1">
      <c r="A27004" s="2" t="s">
        <v>27004</v>
      </c>
      <c r="B27004" s="2" t="str">
        <f>IFERROR(__xludf.DUMMYFUNCTION("GOOGLETRANSLATE(A27004, ""en"", ""mt"")"),"tiffinanzja vjaġġaturi li jerġgħu lura bir-rakkonti tal-iskoperti tagħhom")</f>
        <v>tiffinanzja vjaġġaturi li jerġgħu lura bir-rakkonti tal-iskoperti tagħhom</v>
      </c>
    </row>
    <row r="27005" ht="15.75" customHeight="1">
      <c r="A27005" s="2" t="s">
        <v>27005</v>
      </c>
      <c r="B27005" s="2" t="str">
        <f>IFERROR(__xludf.DUMMYFUNCTION("GOOGLETRANSLATE(A27005, ""en"", ""mt"")"),"Ġeografikament titkellem, fejn hu l-punt tan-nofs tan-nofsinhar ta 'California f'termini ta' latitudni?")</f>
        <v>Ġeografikament titkellem, fejn hu l-punt tan-nofs tan-nofsinhar ta 'California f'termini ta' latitudni?</v>
      </c>
    </row>
    <row r="27006" ht="15.75" customHeight="1">
      <c r="A27006" s="2" t="s">
        <v>27006</v>
      </c>
      <c r="B27006" s="2" t="str">
        <f>IFERROR(__xludf.DUMMYFUNCTION("GOOGLETRANSLATE(A27006, ""en"", ""mt"")"),"X'inhu l-isem tar-router tal-broadband ta 'Sky Q?")</f>
        <v>X'inhu l-isem tar-router tal-broadband ta 'Sky Q?</v>
      </c>
    </row>
    <row r="27007" ht="15.75" customHeight="1">
      <c r="A27007" s="2" t="s">
        <v>27007</v>
      </c>
      <c r="B27007" s="2" t="str">
        <f>IFERROR(__xludf.DUMMYFUNCTION("GOOGLETRANSLATE(A27007, ""en"", ""mt"")"),"Philip Howard")</f>
        <v>Philip Howard</v>
      </c>
    </row>
    <row r="27008" ht="15.75" customHeight="1">
      <c r="A27008" s="2" t="s">
        <v>27008</v>
      </c>
      <c r="B27008" s="2" t="str">
        <f>IFERROR(__xludf.DUMMYFUNCTION("GOOGLETRANSLATE(A27008, ""en"", ""mt"")"),"Liema sport jattira ħafna turisti lejn Jacksonville?")</f>
        <v>Liema sport jattira ħafna turisti lejn Jacksonville?</v>
      </c>
    </row>
    <row r="27009" ht="15.75" customHeight="1">
      <c r="A27009" s="2" t="s">
        <v>27009</v>
      </c>
      <c r="B27009" s="2" t="str">
        <f>IFERROR(__xludf.DUMMYFUNCTION("GOOGLETRANSLATE(A27009, ""en"", ""mt"")"),"Hemm kritika li l-politiki dwar l-enerġija huma soluzzjonijiet ta 'malajr għaljin li jinjoraw liema fatti?")</f>
        <v>Hemm kritika li l-politiki dwar l-enerġija huma soluzzjonijiet ta 'malajr għaljin li jinjoraw liema fatti?</v>
      </c>
    </row>
    <row r="27010" ht="15.75" customHeight="1">
      <c r="A27010" s="2" t="s">
        <v>27010</v>
      </c>
      <c r="B27010" s="2" t="str">
        <f>IFERROR(__xludf.DUMMYFUNCTION("GOOGLETRANSLATE(A27010, ""en"", ""mt"")"),"Semmi żejjed li ġie miżjud mal-produzzjoni tal-kumpatti.")</f>
        <v>Semmi żejjed li ġie miżjud mal-produzzjoni tal-kumpatti.</v>
      </c>
    </row>
    <row r="27011" ht="15.75" customHeight="1">
      <c r="A27011" s="2" t="s">
        <v>27011</v>
      </c>
      <c r="B27011" s="2" t="str">
        <f>IFERROR(__xludf.DUMMYFUNCTION("GOOGLETRANSLATE(A27011, ""en"", ""mt"")"),"Suq Emerġenti")</f>
        <v>Suq Emerġenti</v>
      </c>
    </row>
    <row r="27012" ht="15.75" customHeight="1">
      <c r="A27012" s="2" t="s">
        <v>27012</v>
      </c>
      <c r="B27012" s="2" t="str">
        <f>IFERROR(__xludf.DUMMYFUNCTION("GOOGLETRANSLATE(A27012, ""en"", ""mt"")"),"Mill-1294 sal-1307")</f>
        <v>Mill-1294 sal-1307</v>
      </c>
    </row>
    <row r="27013" ht="15.75" customHeight="1">
      <c r="A27013" s="2" t="s">
        <v>27013</v>
      </c>
      <c r="B27013" s="2" t="str">
        <f>IFERROR(__xludf.DUMMYFUNCTION("GOOGLETRANSLATE(A27013, ""en"", ""mt"")"),"X'jiġri l-oqbra iżolati, spazjati barra mill-vittmi tal-pesta?")</f>
        <v>X'jiġri l-oqbra iżolati, spazjati barra mill-vittmi tal-pesta?</v>
      </c>
    </row>
    <row r="27014" ht="15.75" customHeight="1">
      <c r="A27014" s="2" t="s">
        <v>27014</v>
      </c>
      <c r="B27014" s="2" t="str">
        <f>IFERROR(__xludf.DUMMYFUNCTION("GOOGLETRANSLATE(A27014, ""en"", ""mt"")"),"L-ewwel darba ABC daħal fix-xandiriet televiżivi?")</f>
        <v>L-ewwel darba ABC daħal fix-xandiriet televiżivi?</v>
      </c>
    </row>
    <row r="27015" ht="15.75" customHeight="1">
      <c r="A27015" s="2" t="s">
        <v>27015</v>
      </c>
      <c r="B27015" s="2" t="str">
        <f>IFERROR(__xludf.DUMMYFUNCTION("GOOGLETRANSLATE(A27015, ""en"", ""mt"")"),"Meta jeżistu l-problemi tal-fluss tal-flus?")</f>
        <v>Meta jeżistu l-problemi tal-fluss tal-flus?</v>
      </c>
    </row>
    <row r="27016" ht="15.75" customHeight="1">
      <c r="A27016" s="2" t="s">
        <v>27016</v>
      </c>
      <c r="B27016" s="2" t="str">
        <f>IFERROR(__xludf.DUMMYFUNCTION("GOOGLETRANSLATE(A27016, ""en"", ""mt"")"),"Fejn il-ferroviji kollha jmorru l-Iskozja?")</f>
        <v>Fejn il-ferroviji kollha jmorru l-Iskozja?</v>
      </c>
    </row>
    <row r="27017" ht="15.75" customHeight="1">
      <c r="A27017" s="2" t="s">
        <v>27017</v>
      </c>
      <c r="B27017" s="2" t="str">
        <f>IFERROR(__xludf.DUMMYFUNCTION("GOOGLETRANSLATE(A27017, ""en"", ""mt"")"),"Minn xiex jinżlu l-kloroplasti?")</f>
        <v>Minn xiex jinżlu l-kloroplasti?</v>
      </c>
    </row>
    <row r="27018" ht="15.75" customHeight="1">
      <c r="A27018" s="2" t="s">
        <v>27018</v>
      </c>
      <c r="B27018" s="2" t="str">
        <f>IFERROR(__xludf.DUMMYFUNCTION("GOOGLETRANSLATE(A27018, ""en"", ""mt"")"),"John Wesley")</f>
        <v>John Wesley</v>
      </c>
    </row>
    <row r="27019" ht="15.75" customHeight="1">
      <c r="A27019" s="2" t="s">
        <v>27019</v>
      </c>
      <c r="B27019" s="2" t="str">
        <f>IFERROR(__xludf.DUMMYFUNCTION("GOOGLETRANSLATE(A27019, ""en"", ""mt"")"),"Għalkemm imħarreġ bħala avukat, liema professjoni segwew Maududi minflok?")</f>
        <v>Għalkemm imħarreġ bħala avukat, liema professjoni segwew Maududi minflok?</v>
      </c>
    </row>
    <row r="27020" ht="15.75" customHeight="1">
      <c r="A27020" s="2" t="s">
        <v>27020</v>
      </c>
      <c r="B27020" s="2" t="str">
        <f>IFERROR(__xludf.DUMMYFUNCTION("GOOGLETRANSLATE(A27020, ""en"", ""mt"")"),"Kemm-il darba tiltaqa 'l-Konferenza Ġenerali?")</f>
        <v>Kemm-il darba tiltaqa 'l-Konferenza Ġenerali?</v>
      </c>
    </row>
    <row r="27021" ht="15.75" customHeight="1">
      <c r="A27021" s="2" t="s">
        <v>27021</v>
      </c>
      <c r="B27021" s="2" t="str">
        <f>IFERROR(__xludf.DUMMYFUNCTION("GOOGLETRANSLATE(A27021, ""en"", ""mt"")"),"X'beda l-ewwel gwerra bħala li kienet bejniethom?")</f>
        <v>X'beda l-ewwel gwerra bħala li kienet bejniethom?</v>
      </c>
    </row>
    <row r="27022" ht="15.75" customHeight="1">
      <c r="A27022" s="2" t="s">
        <v>27022</v>
      </c>
      <c r="B27022" s="2" t="str">
        <f>IFERROR(__xludf.DUMMYFUNCTION("GOOGLETRANSLATE(A27022, ""en"", ""mt"")"),"X'inhi l-iktar interazzjoni ewlenija b'saħħitha?")</f>
        <v>X'inhi l-iktar interazzjoni ewlenija b'saħħitha?</v>
      </c>
    </row>
    <row r="27023" ht="15.75" customHeight="1">
      <c r="A27023" s="2" t="s">
        <v>27023</v>
      </c>
      <c r="B27023" s="2" t="str">
        <f>IFERROR(__xludf.DUMMYFUNCTION("GOOGLETRANSLATE(A27023, ""en"", ""mt"")"),"Għaliex xi ħadd m'għandux jikkommetti reat meta jkun qed jipprotesta?")</f>
        <v>Għaliex xi ħadd m'għandux jikkommetti reat meta jkun qed jipprotesta?</v>
      </c>
    </row>
    <row r="27024" ht="15.75" customHeight="1">
      <c r="A27024" s="2" t="s">
        <v>27024</v>
      </c>
      <c r="B27024" s="2" t="str">
        <f>IFERROR(__xludf.DUMMYFUNCTION("GOOGLETRANSLATE(A27024, ""en"", ""mt"")"),"Doctor Who: Aktar minn 30 sena fit-TARDIS")</f>
        <v>Doctor Who: Aktar minn 30 sena fit-TARDIS</v>
      </c>
    </row>
    <row r="27025" ht="15.75" customHeight="1">
      <c r="A27025" s="2" t="s">
        <v>27025</v>
      </c>
      <c r="B27025" s="2" t="str">
        <f>IFERROR(__xludf.DUMMYFUNCTION("GOOGLETRANSLATE(A27025, ""en"", ""mt"")"),"Diffikultajiet loġistiċi")</f>
        <v>Diffikultajiet loġistiċi</v>
      </c>
    </row>
    <row r="27026" ht="15.75" customHeight="1">
      <c r="A27026" s="2" t="s">
        <v>27026</v>
      </c>
      <c r="B27026" s="2" t="str">
        <f>IFERROR(__xludf.DUMMYFUNCTION("GOOGLETRANSLATE(A27026, ""en"", ""mt"")"),"Ma 'min ħadem il-BBC biex jerġa' jibni wħud mill-episodji ta 'invażjoni?")</f>
        <v>Ma 'min ħadem il-BBC biex jerġa' jibni wħud mill-episodji ta 'invażjoni?</v>
      </c>
    </row>
    <row r="27027" ht="15.75" customHeight="1">
      <c r="A27027" s="2" t="s">
        <v>27027</v>
      </c>
      <c r="B27027" s="2" t="str">
        <f>IFERROR(__xludf.DUMMYFUNCTION("GOOGLETRANSLATE(A27027, ""en"", ""mt"")"),"L-ormoni tas-sess femminili huma immunostimulaturi ta 'liema risponsi immuni?")</f>
        <v>L-ormoni tas-sess femminili huma immunostimulaturi ta 'liema risponsi immuni?</v>
      </c>
    </row>
    <row r="27028" ht="15.75" customHeight="1">
      <c r="A27028" s="2" t="s">
        <v>27028</v>
      </c>
      <c r="B27028" s="2" t="str">
        <f>IFERROR(__xludf.DUMMYFUNCTION("GOOGLETRANSLATE(A27028, ""en"", ""mt"")"),"Fejn tinsab Galaxy Public School?")</f>
        <v>Fejn tinsab Galaxy Public School?</v>
      </c>
    </row>
    <row r="27029" ht="15.75" customHeight="1">
      <c r="A27029" s="2" t="s">
        <v>27029</v>
      </c>
      <c r="B27029" s="2" t="str">
        <f>IFERROR(__xludf.DUMMYFUNCTION("GOOGLETRANSLATE(A27029, ""en"", ""mt"")"),"Il-kanal tad-divertiment")</f>
        <v>Il-kanal tad-divertiment</v>
      </c>
    </row>
    <row r="27030" ht="15.75" customHeight="1">
      <c r="A27030" s="2" t="s">
        <v>27030</v>
      </c>
      <c r="B27030" s="2" t="str">
        <f>IFERROR(__xludf.DUMMYFUNCTION("GOOGLETRANSLATE(A27030, ""en"", ""mt"")"),"Applikazzjoni ħażina ta 'proċeduri IPCC stabbiliti sew")</f>
        <v>Applikazzjoni ħażina ta 'proċeduri IPCC stabbiliti sew</v>
      </c>
    </row>
    <row r="27031" ht="15.75" customHeight="1">
      <c r="A27031" s="2" t="s">
        <v>27031</v>
      </c>
      <c r="B27031" s="2" t="str">
        <f>IFERROR(__xludf.DUMMYFUNCTION("GOOGLETRANSLATE(A27031, ""en"", ""mt"")"),"Liema mużew jippreserva l-memorja tal-kriminalità?")</f>
        <v>Liema mużew jippreserva l-memorja tal-kriminalità?</v>
      </c>
    </row>
    <row r="27032" ht="15.75" customHeight="1">
      <c r="A27032" s="2" t="s">
        <v>27032</v>
      </c>
      <c r="B27032" s="2" t="str">
        <f>IFERROR(__xludf.DUMMYFUNCTION("GOOGLETRANSLATE(A27032, ""en"", ""mt"")"),"L-idea ta 'immunità akkwistata fil-vertebrati tax-xedaq hija l-bażi ta' liema trattament mediku?")</f>
        <v>L-idea ta 'immunità akkwistata fil-vertebrati tax-xedaq hija l-bażi ta' liema trattament mediku?</v>
      </c>
    </row>
    <row r="27033" ht="15.75" customHeight="1">
      <c r="A27033" s="2" t="s">
        <v>27033</v>
      </c>
      <c r="B27033" s="2" t="str">
        <f>IFERROR(__xludf.DUMMYFUNCTION("GOOGLETRANSLATE(A27033, ""en"", ""mt"")"),"X'inhi l-istima ta 'kemm tobba jagħtu d-droga waħedhom?")</f>
        <v>X'inhi l-istima ta 'kemm tobba jagħtu d-droga waħedhom?</v>
      </c>
    </row>
    <row r="27034" ht="15.75" customHeight="1">
      <c r="A27034" s="2" t="s">
        <v>27034</v>
      </c>
      <c r="B27034" s="2" t="str">
        <f>IFERROR(__xludf.DUMMYFUNCTION("GOOGLETRANSLATE(A27034, ""en"", ""mt"")"),"Santa Clara")</f>
        <v>Santa Clara</v>
      </c>
    </row>
    <row r="27035" ht="15.75" customHeight="1">
      <c r="A27035" s="2" t="s">
        <v>27035</v>
      </c>
      <c r="B27035" s="2" t="str">
        <f>IFERROR(__xludf.DUMMYFUNCTION("GOOGLETRANSLATE(A27035, ""en"", ""mt"")"),"Viċi President")</f>
        <v>Viċi President</v>
      </c>
    </row>
    <row r="27036" ht="15.75" customHeight="1">
      <c r="A27036" s="2" t="s">
        <v>27036</v>
      </c>
      <c r="B27036" s="2" t="str">
        <f>IFERROR(__xludf.DUMMYFUNCTION("GOOGLETRANSLATE(A27036, ""en"", ""mt"")"),"X'inhu l-isem Mongoljan għall-post oriġinali tal-mausoleum ta 'Genghis Khan?")</f>
        <v>X'inhu l-isem Mongoljan għall-post oriġinali tal-mausoleum ta 'Genghis Khan?</v>
      </c>
    </row>
    <row r="27037" ht="15.75" customHeight="1">
      <c r="A27037" s="2" t="s">
        <v>27037</v>
      </c>
      <c r="B27037" s="2" t="str">
        <f>IFERROR(__xludf.DUMMYFUNCTION("GOOGLETRANSLATE(A27037, ""en"", ""mt"")"),"George W. Bush")</f>
        <v>George W. Bush</v>
      </c>
    </row>
    <row r="27038" ht="15.75" customHeight="1">
      <c r="A27038" s="2" t="s">
        <v>27038</v>
      </c>
      <c r="B27038" s="2" t="str">
        <f>IFERROR(__xludf.DUMMYFUNCTION("GOOGLETRANSLATE(A27038, ""en"", ""mt"")"),"X'inhu l-paragun fil-prezz bejn l-iskejjel privati ​​Awstraljani kontra l-pubbliku?")</f>
        <v>X'inhu l-paragun fil-prezz bejn l-iskejjel privati ​​Awstraljani kontra l-pubbliku?</v>
      </c>
    </row>
    <row r="27039" ht="15.75" customHeight="1">
      <c r="A27039" s="2" t="s">
        <v>27039</v>
      </c>
      <c r="B27039" s="2" t="str">
        <f>IFERROR(__xludf.DUMMYFUNCTION("GOOGLETRANSLATE(A27039, ""en"", ""mt"")"),"A Commune")</f>
        <v>A Commune</v>
      </c>
    </row>
    <row r="27040" ht="15.75" customHeight="1">
      <c r="A27040" s="2" t="s">
        <v>27040</v>
      </c>
      <c r="B27040" s="2" t="str">
        <f>IFERROR(__xludf.DUMMYFUNCTION("GOOGLETRANSLATE(A27040, ""en"", ""mt"")"),"kmieni fid-disgħinijiet")</f>
        <v>kmieni fid-disgħinijiet</v>
      </c>
    </row>
    <row r="27041" ht="15.75" customHeight="1">
      <c r="A27041" s="2" t="s">
        <v>27041</v>
      </c>
      <c r="B27041" s="2" t="str">
        <f>IFERROR(__xludf.DUMMYFUNCTION("GOOGLETRANSLATE(A27041, ""en"", ""mt"")"),"X'jistgħu jużaw il-kloroplasti biex jiffissaw id-dijossidu tal-karbonju f'zokkor?")</f>
        <v>X'jistgħu jużaw il-kloroplasti biex jiffissaw id-dijossidu tal-karbonju f'zokkor?</v>
      </c>
    </row>
    <row r="27042" ht="15.75" customHeight="1">
      <c r="A27042" s="2" t="s">
        <v>27042</v>
      </c>
      <c r="B27042" s="2" t="str">
        <f>IFERROR(__xludf.DUMMYFUNCTION("GOOGLETRANSLATE(A27042, ""en"", ""mt"")"),"spazji vojta fuq mapep kontemporanji")</f>
        <v>spazji vojta fuq mapep kontemporanji</v>
      </c>
    </row>
    <row r="27043" ht="15.75" customHeight="1">
      <c r="A27043" s="2" t="s">
        <v>27043</v>
      </c>
      <c r="B27043" s="2" t="str">
        <f>IFERROR(__xludf.DUMMYFUNCTION("GOOGLETRANSLATE(A27043, ""en"", ""mt"")"),"Liema oqsma ta 'studju kienu avvanzati matul il-wan?")</f>
        <v>Liema oqsma ta 'studju kienu avvanzati matul il-wan?</v>
      </c>
    </row>
    <row r="27044" ht="15.75" customHeight="1">
      <c r="A27044" s="2" t="s">
        <v>27044</v>
      </c>
      <c r="B27044" s="2" t="str">
        <f>IFERROR(__xludf.DUMMYFUNCTION("GOOGLETRANSLATE(A27044, ""en"", ""mt"")"),"Gwerra taż-Żewġ Kapitali")</f>
        <v>Gwerra taż-Żewġ Kapitali</v>
      </c>
    </row>
    <row r="27045" ht="15.75" customHeight="1">
      <c r="A27045" s="2" t="s">
        <v>27045</v>
      </c>
      <c r="B27045" s="2" t="str">
        <f>IFERROR(__xludf.DUMMYFUNCTION("GOOGLETRANSLATE(A27045, ""en"", ""mt"")"),"Kif iqabbel il-livell ta 'tagħlim fl-iskejjel privati ​​Ġermaniżi ma' skejjel privati ​​f'pajjiżi oħra tal-Ewropa tal-Punent?")</f>
        <v>Kif iqabbel il-livell ta 'tagħlim fl-iskejjel privati ​​Ġermaniżi ma' skejjel privati ​​f'pajjiżi oħra tal-Ewropa tal-Punent?</v>
      </c>
    </row>
    <row r="27046" ht="15.75" customHeight="1">
      <c r="A27046" s="2" t="s">
        <v>27046</v>
      </c>
      <c r="B27046" s="2" t="str">
        <f>IFERROR(__xludf.DUMMYFUNCTION("GOOGLETRANSLATE(A27046, ""en"", ""mt"")"),"Imfakkar u mibdul minn Jeffery Amherst, Victor fi Louisbourg.")</f>
        <v>Imfakkar u mibdul minn Jeffery Amherst, Victor fi Louisbourg.</v>
      </c>
    </row>
    <row r="27047" ht="15.75" customHeight="1">
      <c r="A27047" s="2" t="s">
        <v>27047</v>
      </c>
      <c r="B27047" s="2" t="str">
        <f>IFERROR(__xludf.DUMMYFUNCTION("GOOGLETRANSLATE(A27047, ""en"", ""mt"")"),"Il-pesta laqat diversi pajjiżi fil-Lvant Nofsani matul il-pandemija, u dan wassal għal depopolazzjoni serja u bidla permanenti kemm fl-istrutturi ekonomiċi u soċjali. Hekk kif infirex fl-Ewropa tal-Punent, il-marda daħlet fir-reġjun mir-Russja tan-Nofsinh"&amp;"ar ukoll. Sal-ħarifa 1347, il-pesta laħqet Lixandra fl-Eġittu, probabbilment permezz tal-kummerċ tal-port ma 'Kostantinopli, u portijiet fuq il-Baħar l-Iswed. Matul l-1347, il-marda vvjaġġat lejn il-lvant lejn Gaza, u fit-tramuntana tul il-kosta tal-Lvant"&amp;" lejn bliet fil-Libanu, is-Sirja u l-Palestina, inklużi Ashkelon, Acre, Ġerusalemm, Sidon, Sidon, Damasku, Homs, u Aleppo. Fl-1348–49, il-marda laħqet Antijokja. Ir-residenti tal-belt ħarbu lejn it-tramuntana, ħafna minnhom imutu matul il-vjaġġ, iżda l-in"&amp;"fezzjoni kienet mifruxa għan-nies tal-Asja Minuri. [Ċitazzjoni meħtieġa]")</f>
        <v>Il-pesta laqat diversi pajjiżi fil-Lvant Nofsani matul il-pandemija, u dan wassal għal depopolazzjoni serja u bidla permanenti kemm fl-istrutturi ekonomiċi u soċjali. Hekk kif infirex fl-Ewropa tal-Punent, il-marda daħlet fir-reġjun mir-Russja tan-Nofsinhar ukoll. Sal-ħarifa 1347, il-pesta laħqet Lixandra fl-Eġittu, probabbilment permezz tal-kummerċ tal-port ma 'Kostantinopli, u portijiet fuq il-Baħar l-Iswed. Matul l-1347, il-marda vvjaġġat lejn il-lvant lejn Gaza, u fit-tramuntana tul il-kosta tal-Lvant lejn bliet fil-Libanu, is-Sirja u l-Palestina, inklużi Ashkelon, Acre, Ġerusalemm, Sidon, Sidon, Damasku, Homs, u Aleppo. Fl-1348–49, il-marda laħqet Antijokja. Ir-residenti tal-belt ħarbu lejn it-tramuntana, ħafna minnhom imutu matul il-vjaġġ, iżda l-infezzjoni kienet mifruxa għan-nies tal-Asja Minuri. [Ċitazzjoni meħtieġa]</v>
      </c>
    </row>
    <row r="27048" ht="15.75" customHeight="1">
      <c r="A27048" s="2" t="s">
        <v>27048</v>
      </c>
      <c r="B27048" s="2" t="str">
        <f>IFERROR(__xludf.DUMMYFUNCTION("GOOGLETRANSLATE(A27048, ""en"", ""mt"")"),"Min skolpiet ir-rappreżentazzjonijiet tal-Prinċep Albert u r-Reġina Victoria li sabu fid-daħla ewlenija?")</f>
        <v>Min skolpiet ir-rappreżentazzjonijiet tal-Prinċep Albert u r-Reġina Victoria li sabu fid-daħla ewlenija?</v>
      </c>
    </row>
    <row r="27049" ht="15.75" customHeight="1">
      <c r="A27049" s="2" t="s">
        <v>27049</v>
      </c>
      <c r="B27049" s="2" t="str">
        <f>IFERROR(__xludf.DUMMYFUNCTION("GOOGLETRANSLATE(A27049, ""en"", ""mt"")"),"semi-privat")</f>
        <v>semi-privat</v>
      </c>
    </row>
    <row r="27050" ht="15.75" customHeight="1">
      <c r="A27050" s="2" t="s">
        <v>27050</v>
      </c>
      <c r="B27050" s="2" t="str">
        <f>IFERROR(__xludf.DUMMYFUNCTION("GOOGLETRANSLATE(A27050, ""en"", ""mt"")"),"Glenn T. Seaborg")</f>
        <v>Glenn T. Seaborg</v>
      </c>
    </row>
    <row r="27051" ht="15.75" customHeight="1">
      <c r="A27051" s="2" t="s">
        <v>27051</v>
      </c>
      <c r="B27051" s="2" t="str">
        <f>IFERROR(__xludf.DUMMYFUNCTION("GOOGLETRANSLATE(A27051, ""en"", ""mt"")"),"Turkija")</f>
        <v>Turkija</v>
      </c>
    </row>
    <row r="27052" ht="15.75" customHeight="1">
      <c r="A27052" s="2" t="s">
        <v>27052</v>
      </c>
      <c r="B27052" s="2" t="str">
        <f>IFERROR(__xludf.DUMMYFUNCTION("GOOGLETRANSLATE(A27052, ""en"", ""mt"")"),"Il-Keraites")</f>
        <v>Il-Keraites</v>
      </c>
    </row>
    <row r="27053" ht="15.75" customHeight="1">
      <c r="A27053" s="2" t="s">
        <v>27053</v>
      </c>
      <c r="B27053" s="2" t="str">
        <f>IFERROR(__xludf.DUMMYFUNCTION("GOOGLETRANSLATE(A27053, ""en"", ""mt"")"),"Il-ko-tagħlim saret ukoll xejra ġdida fost l-istituzzjonijiet edukattivi. Il-ko-tagħlim huwa definit bħala żewġ għalliema jew aktar li jaħdmu b'mod armonjuż biex jissodisfaw il-bżonnijiet ta 'kull student fil-klassi. Il-ko-tagħlim jiffoka lill-istudent fu"&amp;"q it-tagħlim billi jipprovdi appoġġ għan-netwerking soċjali li jippermettilhom jilħqu l-potenzjal konjittiv sħiħ tagħhom. Il-ko-għalliema jaħdmu f'sinkronizzazzjoni ma 'xulxin biex joħolqu klima ta' tagħlim.")</f>
        <v>Il-ko-tagħlim saret ukoll xejra ġdida fost l-istituzzjonijiet edukattivi. Il-ko-tagħlim huwa definit bħala żewġ għalliema jew aktar li jaħdmu b'mod armonjuż biex jissodisfaw il-bżonnijiet ta 'kull student fil-klassi. Il-ko-tagħlim jiffoka lill-istudent fuq it-tagħlim billi jipprovdi appoġġ għan-netwerking soċjali li jippermettilhom jilħqu l-potenzjal konjittiv sħiħ tagħhom. Il-ko-għalliema jaħdmu f'sinkronizzazzjoni ma 'xulxin biex joħolqu klima ta' tagħlim.</v>
      </c>
    </row>
    <row r="27054" ht="15.75" customHeight="1">
      <c r="A27054" s="2" t="s">
        <v>27054</v>
      </c>
      <c r="B27054" s="2" t="str">
        <f>IFERROR(__xludf.DUMMYFUNCTION("GOOGLETRANSLATE(A27054, ""en"", ""mt"")"),"Liema żewġ stazzjonijiet tar-radju f'Denver ġarrbu Super Bowl 50?")</f>
        <v>Liema żewġ stazzjonijiet tar-radju f'Denver ġarrbu Super Bowl 50?</v>
      </c>
    </row>
    <row r="27055" ht="15.75" customHeight="1">
      <c r="A27055" s="2" t="s">
        <v>27055</v>
      </c>
      <c r="B27055" s="2" t="str">
        <f>IFERROR(__xludf.DUMMYFUNCTION("GOOGLETRANSLATE(A27055, ""en"", ""mt"")"),"Elbegdorj")</f>
        <v>Elbegdorj</v>
      </c>
    </row>
    <row r="27056" ht="15.75" customHeight="1">
      <c r="A27056" s="2" t="s">
        <v>27056</v>
      </c>
      <c r="B27056" s="2" t="str">
        <f>IFERROR(__xludf.DUMMYFUNCTION("GOOGLETRANSLATE(A27056, ""en"", ""mt"")"),"£ 4.2bn")</f>
        <v>£ 4.2bn</v>
      </c>
    </row>
    <row r="27057" ht="15.75" customHeight="1">
      <c r="A27057" s="2" t="s">
        <v>27057</v>
      </c>
      <c r="B27057" s="2" t="str">
        <f>IFERROR(__xludf.DUMMYFUNCTION("GOOGLETRANSLATE(A27057, ""en"", ""mt"")"),"In- ""naħa tal-punent"" ta 'Fresno, li wkoll tissejjaħ ukoll ""Southwest Fresno"", hija waħda mill-eqdem kwartieri fil-belt. Il-viċinat jinsab fil-Lbiċ tad-99 Freeway (li jaqsamha minn Downtown Fresno), fil-punent tal-Freeway 41 u fin-Nofsinhar ta 'Nielse"&amp;"n Ave (jew il-180 awtostrada li għadha kemm ġiet mibnija), u testendi sal-limiti tal-belt lejn il-punent u fin-nofsinhar. Il-viċinat huwa tradizzjonalment ikkunsidrat bħala ċ-ċentru tal-komunità Afrikana-Amerikana ta 'Fresno. Huwa kulturalment divers u ji"&amp;"nkludi wkoll popolazzjonijiet sinifikanti Messikani-Amerikani u Ażjatiċi (prinċipalment Hmong jew Laotian).")</f>
        <v>In- "naħa tal-punent" ta 'Fresno, li wkoll tissejjaħ ukoll "Southwest Fresno", hija waħda mill-eqdem kwartieri fil-belt. Il-viċinat jinsab fil-Lbiċ tad-99 Freeway (li jaqsamha minn Downtown Fresno), fil-punent tal-Freeway 41 u fin-Nofsinhar ta 'Nielsen Ave (jew il-180 awtostrada li għadha kemm ġiet mibnija), u testendi sal-limiti tal-belt lejn il-punent u fin-nofsinhar. Il-viċinat huwa tradizzjonalment ikkunsidrat bħala ċ-ċentru tal-komunità Afrikana-Amerikana ta 'Fresno. Huwa kulturalment divers u jinkludi wkoll popolazzjonijiet sinifikanti Messikani-Amerikani u Ażjatiċi (prinċipalment Hmong jew Laotian).</v>
      </c>
    </row>
    <row r="27058" ht="15.75" customHeight="1">
      <c r="A27058" s="2" t="s">
        <v>27058</v>
      </c>
      <c r="B27058" s="2" t="str">
        <f>IFERROR(__xludf.DUMMYFUNCTION("GOOGLETRANSLATE(A27058, ""en"", ""mt"")"),"Skond ċerti teoriji ġeografiċi x'tip ta 'bniedem jipproduċi klima tropikali?")</f>
        <v>Skond ċerti teoriji ġeografiċi x'tip ta 'bniedem jipproduċi klima tropikali?</v>
      </c>
    </row>
    <row r="27059" ht="15.75" customHeight="1">
      <c r="A27059" s="2" t="s">
        <v>27059</v>
      </c>
      <c r="B27059" s="2" t="str">
        <f>IFERROR(__xludf.DUMMYFUNCTION("GOOGLETRANSLATE(A27059, ""en"", ""mt"")"),"X'inhi l-iktar problema importanti fl-Istati Uniti u bnadi oħra?")</f>
        <v>X'inhi l-iktar problema importanti fl-Istati Uniti u bnadi oħra?</v>
      </c>
    </row>
    <row r="27060" ht="15.75" customHeight="1">
      <c r="A27060" s="2" t="s">
        <v>27060</v>
      </c>
      <c r="B27060" s="2" t="str">
        <f>IFERROR(__xludf.DUMMYFUNCTION("GOOGLETRANSLATE(A27060, ""en"", ""mt"")"),"il-ħalq tax-xmara Monongahela")</f>
        <v>il-ħalq tax-xmara Monongahela</v>
      </c>
    </row>
    <row r="27061" ht="15.75" customHeight="1">
      <c r="A27061" s="2" t="s">
        <v>27061</v>
      </c>
      <c r="B27061" s="2" t="str">
        <f>IFERROR(__xludf.DUMMYFUNCTION("GOOGLETRANSLATE(A27061, ""en"", ""mt"")"),"Kemm-il livelli ta 'galleriji jdawru l-faċċati?")</f>
        <v>Kemm-il livelli ta 'galleriji jdawru l-faċċati?</v>
      </c>
    </row>
    <row r="27062" ht="15.75" customHeight="1">
      <c r="A27062" s="2" t="s">
        <v>27062</v>
      </c>
      <c r="B27062" s="2" t="str">
        <f>IFERROR(__xludf.DUMMYFUNCTION("GOOGLETRANSLATE(A27062, ""en"", ""mt"")"),"Skrivan tal-vot")</f>
        <v>Skrivan tal-vot</v>
      </c>
    </row>
    <row r="27063" ht="15.75" customHeight="1">
      <c r="A27063" s="2" t="s">
        <v>27063</v>
      </c>
      <c r="B27063" s="2" t="str">
        <f>IFERROR(__xludf.DUMMYFUNCTION("GOOGLETRANSLATE(A27063, ""en"", ""mt"")"),"art vojta")</f>
        <v>art vojta</v>
      </c>
    </row>
    <row r="27064" ht="15.75" customHeight="1">
      <c r="A27064" s="2" t="s">
        <v>27064</v>
      </c>
      <c r="B27064" s="2" t="str">
        <f>IFERROR(__xludf.DUMMYFUNCTION("GOOGLETRANSLATE(A27064, ""en"", ""mt"")"),"Waħda mill-affarijiet li Tesla żviluppat f'dak il-laboratorju fl-1887 kienet mutur ta 'induzzjoni li kien imexxi fuq kurrent alternattiv, format ta' sistema ta 'enerġija li kien qed jibda jinbena fl-Ewropa u fl-Istati Uniti minħabba l-vantaġġi tiegħu f'di"&amp;"stanza twila, trasmissjoni ta' vultaġġ għoli Jonqos Il-mutur uża kurrent tal-polifażi li ġġenera kamp manjetiku li jdur biex idawwar il-mutur (prinċipju li Tesla ddikjara li kien maħsub fl-1882). Dan il-mutur elettriku innovattiv, brevettat f'Mejju 1888, "&amp;"kien disinn sempliċi li jibda minnu nnifsu li ma kellux bżonn ta 'kommutatur, u b'hekk jevita l-isparking u l-manutenzjoni għolja ta' servizz kontinwu u sostituzzjoni ta 'xkupilji mekkaniċi.")</f>
        <v>Waħda mill-affarijiet li Tesla żviluppat f'dak il-laboratorju fl-1887 kienet mutur ta 'induzzjoni li kien imexxi fuq kurrent alternattiv, format ta' sistema ta 'enerġija li kien qed jibda jinbena fl-Ewropa u fl-Istati Uniti minħabba l-vantaġġi tiegħu f'distanza twila, trasmissjoni ta' vultaġġ għoli Jonqos Il-mutur uża kurrent tal-polifażi li ġġenera kamp manjetiku li jdur biex idawwar il-mutur (prinċipju li Tesla ddikjara li kien maħsub fl-1882). Dan il-mutur elettriku innovattiv, brevettat f'Mejju 1888, kien disinn sempliċi li jibda minnu nnifsu li ma kellux bżonn ta 'kommutatur, u b'hekk jevita l-isparking u l-manutenzjoni għolja ta' servizz kontinwu u sostituzzjoni ta 'xkupilji mekkaniċi.</v>
      </c>
    </row>
    <row r="27065" ht="15.75" customHeight="1">
      <c r="A27065" s="2" t="s">
        <v>27065</v>
      </c>
      <c r="B27065" s="2" t="str">
        <f>IFERROR(__xludf.DUMMYFUNCTION("GOOGLETRANSLATE(A27065, ""en"", ""mt"")"),"Jason Bourne")</f>
        <v>Jason Bourne</v>
      </c>
    </row>
    <row r="27066" ht="15.75" customHeight="1">
      <c r="A27066" s="2" t="s">
        <v>27066</v>
      </c>
      <c r="B27066" s="2" t="str">
        <f>IFERROR(__xludf.DUMMYFUNCTION("GOOGLETRANSLATE(A27066, ""en"", ""mt"")"),"1520")</f>
        <v>1520</v>
      </c>
    </row>
    <row r="27067" ht="15.75" customHeight="1">
      <c r="A27067" s="2" t="s">
        <v>27067</v>
      </c>
      <c r="B27067" s="2" t="str">
        <f>IFERROR(__xludf.DUMMYFUNCTION("GOOGLETRANSLATE(A27067, ""en"", ""mt"")"),"għant")</f>
        <v>għant</v>
      </c>
    </row>
    <row r="27068" ht="15.75" customHeight="1">
      <c r="A27068" s="2" t="s">
        <v>27068</v>
      </c>
      <c r="B27068" s="2" t="str">
        <f>IFERROR(__xludf.DUMMYFUNCTION("GOOGLETRANSLATE(A27068, ""en"", ""mt"")"),"Yassa kbira")</f>
        <v>Yassa kbira</v>
      </c>
    </row>
    <row r="27069" ht="15.75" customHeight="1">
      <c r="A27069" s="2" t="s">
        <v>27069</v>
      </c>
      <c r="B27069" s="2" t="str">
        <f>IFERROR(__xludf.DUMMYFUNCTION("GOOGLETRANSLATE(A27069, ""en"", ""mt"")"),"Kemm hemm irziezet fir-Rabat?")</f>
        <v>Kemm hemm irziezet fir-Rabat?</v>
      </c>
    </row>
    <row r="27070" ht="15.75" customHeight="1">
      <c r="A27070" s="2" t="s">
        <v>27070</v>
      </c>
      <c r="B27070" s="2" t="str">
        <f>IFERROR(__xludf.DUMMYFUNCTION("GOOGLETRANSLATE(A27070, ""en"", ""mt"")"),"1929")</f>
        <v>1929</v>
      </c>
    </row>
    <row r="27071" ht="15.75" customHeight="1">
      <c r="A27071" s="2" t="s">
        <v>27071</v>
      </c>
      <c r="B27071" s="2" t="str">
        <f>IFERROR(__xludf.DUMMYFUNCTION("GOOGLETRANSLATE(A27071, ""en"", ""mt"")"),"F’liema sena n-neputi ta ’Genghis Khan invada lil Kievan Rus”?")</f>
        <v>F’liema sena n-neputi ta ’Genghis Khan invada lil Kievan Rus”?</v>
      </c>
    </row>
    <row r="27072" ht="15.75" customHeight="1">
      <c r="A27072" s="2" t="s">
        <v>27072</v>
      </c>
      <c r="B27072" s="2" t="str">
        <f>IFERROR(__xludf.DUMMYFUNCTION("GOOGLETRANSLATE(A27072, ""en"", ""mt"")"),"Kemm nies x'aktarx iżuru lil Justin Herman Plaza matul il-ġimgħa tas-Super Bowl?")</f>
        <v>Kemm nies x'aktarx iżuru lil Justin Herman Plaza matul il-ġimgħa tas-Super Bowl?</v>
      </c>
    </row>
    <row r="27073" ht="15.75" customHeight="1">
      <c r="A27073" s="2" t="s">
        <v>27073</v>
      </c>
      <c r="B27073" s="2" t="str">
        <f>IFERROR(__xludf.DUMMYFUNCTION("GOOGLETRANSLATE(A27073, ""en"", ""mt"")"),"nervituri aktar milli minn disturbi fl-ilma maħluqa miċ-ċili")</f>
        <v>nervituri aktar milli minn disturbi fl-ilma maħluqa miċ-ċili</v>
      </c>
    </row>
    <row r="27074" ht="15.75" customHeight="1">
      <c r="A27074" s="2" t="s">
        <v>27074</v>
      </c>
      <c r="B27074" s="2" t="str">
        <f>IFERROR(__xludf.DUMMYFUNCTION("GOOGLETRANSLATE(A27074, ""en"", ""mt"")"),"Vicodin")</f>
        <v>Vicodin</v>
      </c>
    </row>
    <row r="27075" ht="15.75" customHeight="1">
      <c r="A27075" s="2" t="s">
        <v>27075</v>
      </c>
      <c r="B27075" s="2" t="str">
        <f>IFERROR(__xludf.DUMMYFUNCTION("GOOGLETRANSLATE(A27075, ""en"", ""mt"")"),"L-ogħla bini fiċ-ċentru ta ’Jacksonville")</f>
        <v>L-ogħla bini fiċ-ċentru ta ’Jacksonville</v>
      </c>
    </row>
    <row r="27076" ht="15.75" customHeight="1">
      <c r="A27076" s="2" t="s">
        <v>27076</v>
      </c>
      <c r="B27076" s="2" t="str">
        <f>IFERROR(__xludf.DUMMYFUNCTION("GOOGLETRANSLATE(A27076, ""en"", ""mt"")"),"X'inhu l-isem tat-tim tal-basketball ta 'Newcastle?")</f>
        <v>X'inhu l-isem tat-tim tal-basketball ta 'Newcastle?</v>
      </c>
    </row>
    <row r="27077" ht="15.75" customHeight="1">
      <c r="A27077" s="2" t="s">
        <v>27077</v>
      </c>
      <c r="B27077" s="2" t="str">
        <f>IFERROR(__xludf.DUMMYFUNCTION("GOOGLETRANSLATE(A27077, ""en"", ""mt"")"),"In-Nofsinhar tal-Kalifornja hija t-tieni għal liema gżira f'termini ta 'brejkijiet tas-serf famużi?")</f>
        <v>In-Nofsinhar tal-Kalifornja hija t-tieni għal liema gżira f'termini ta 'brejkijiet tas-serf famużi?</v>
      </c>
    </row>
    <row r="27078" ht="15.75" customHeight="1">
      <c r="A27078" s="2" t="s">
        <v>27078</v>
      </c>
      <c r="B27078" s="2" t="str">
        <f>IFERROR(__xludf.DUMMYFUNCTION("GOOGLETRANSLATE(A27078, ""en"", ""mt"")"),"Liema ġbir tal-kostumi l-V &amp; A akkwistaw fl-2002?")</f>
        <v>Liema ġbir tal-kostumi l-V &amp; A akkwistaw fl-2002?</v>
      </c>
    </row>
    <row r="27079" ht="15.75" customHeight="1">
      <c r="A27079" s="2" t="s">
        <v>27079</v>
      </c>
      <c r="B27079" s="2" t="str">
        <f>IFERROR(__xludf.DUMMYFUNCTION("GOOGLETRANSLATE(A27079, ""en"", ""mt"")"),"Meta kien il-perjodu ""Dalekmania""?")</f>
        <v>Meta kien il-perjodu "Dalekmania"?</v>
      </c>
    </row>
    <row r="27080" ht="15.75" customHeight="1">
      <c r="A27080" s="2" t="s">
        <v>27080</v>
      </c>
      <c r="B27080" s="2" t="str">
        <f>IFERROR(__xludf.DUMMYFUNCTION("GOOGLETRANSLATE(A27080, ""en"", ""mt"")"),"2 ta ’Lulju 1505")</f>
        <v>2 ta ’Lulju 1505</v>
      </c>
    </row>
    <row r="27081" ht="15.75" customHeight="1">
      <c r="A27081" s="2" t="s">
        <v>27081</v>
      </c>
      <c r="B27081" s="2" t="str">
        <f>IFERROR(__xludf.DUMMYFUNCTION("GOOGLETRANSLATE(A27081, ""en"", ""mt"")"),"Kemm imperi Musulmani użaw l-imperjalizmu?")</f>
        <v>Kemm imperi Musulmani użaw l-imperjalizmu?</v>
      </c>
    </row>
    <row r="27082" ht="15.75" customHeight="1">
      <c r="A27082" s="2" t="s">
        <v>27082</v>
      </c>
      <c r="B27082" s="2" t="str">
        <f>IFERROR(__xludf.DUMMYFUNCTION("GOOGLETRANSLATE(A27082, ""en"", ""mt"")"),"X'inhuma ċrieki tal-PD?")</f>
        <v>X'inhuma ċrieki tal-PD?</v>
      </c>
    </row>
    <row r="27083" ht="15.75" customHeight="1">
      <c r="A27083" s="2" t="s">
        <v>27083</v>
      </c>
      <c r="B27083" s="2" t="str">
        <f>IFERROR(__xludf.DUMMYFUNCTION("GOOGLETRANSLATE(A27083, ""en"", ""mt"")"),"X'kien imsejjaħ ""it-Tesla"" fl-unur tiegħu?")</f>
        <v>X'kien imsejjaħ "it-Tesla" fl-unur tiegħu?</v>
      </c>
    </row>
    <row r="27084" ht="15.75" customHeight="1">
      <c r="A27084" s="2" t="s">
        <v>27084</v>
      </c>
      <c r="B27084" s="2" t="str">
        <f>IFERROR(__xludf.DUMMYFUNCTION("GOOGLETRANSLATE(A27084, ""en"", ""mt"")"),"Nitkellmu ma 'investigaturi kriminali")</f>
        <v>Nitkellmu ma 'investigaturi kriminali</v>
      </c>
    </row>
    <row r="27085" ht="15.75" customHeight="1">
      <c r="A27085" s="2" t="s">
        <v>27085</v>
      </c>
      <c r="B27085" s="2" t="str">
        <f>IFERROR(__xludf.DUMMYFUNCTION("GOOGLETRANSLATE(A27085, ""en"", ""mt"")"),"X'kienet Davies riedet tibni")</f>
        <v>X'kienet Davies riedet tibni</v>
      </c>
    </row>
    <row r="27086" ht="15.75" customHeight="1">
      <c r="A27086" s="2" t="s">
        <v>27086</v>
      </c>
      <c r="B27086" s="2" t="str">
        <f>IFERROR(__xludf.DUMMYFUNCTION("GOOGLETRANSLATE(A27086, ""en"", ""mt"")"),"għolla driegħu")</f>
        <v>għolla driegħu</v>
      </c>
    </row>
    <row r="27087" ht="15.75" customHeight="1">
      <c r="A27087" s="2" t="s">
        <v>27087</v>
      </c>
      <c r="B27087" s="2" t="str">
        <f>IFERROR(__xludf.DUMMYFUNCTION("GOOGLETRANSLATE(A27087, ""en"", ""mt"")"),"L-amministraturi u d-diretturi Gilruth, Von Braun u Debus irrappurtaw lil min?")</f>
        <v>L-amministraturi u d-diretturi Gilruth, Von Braun u Debus irrappurtaw lil min?</v>
      </c>
    </row>
    <row r="27088" ht="15.75" customHeight="1">
      <c r="A27088" s="2" t="s">
        <v>27088</v>
      </c>
      <c r="B27088" s="2" t="str">
        <f>IFERROR(__xludf.DUMMYFUNCTION("GOOGLETRANSLATE(A27088, ""en"", ""mt"")"),"TEU Artikoli 4 u 5")</f>
        <v>TEU Artikoli 4 u 5</v>
      </c>
    </row>
    <row r="27089" ht="15.75" customHeight="1">
      <c r="A27089" s="2" t="s">
        <v>27089</v>
      </c>
      <c r="B27089" s="2" t="str">
        <f>IFERROR(__xludf.DUMMYFUNCTION("GOOGLETRANSLATE(A27089, ""en"", ""mt"")"),"Liema persentaġġ tal-popolazzjoni votanti tal-Iskozja naqset milli fil-fatt tivvota?")</f>
        <v>Liema persentaġġ tal-popolazzjoni votanti tal-Iskozja naqset milli fil-fatt tivvota?</v>
      </c>
    </row>
    <row r="27090" ht="15.75" customHeight="1">
      <c r="A27090" s="2" t="s">
        <v>27090</v>
      </c>
      <c r="B27090" s="2" t="str">
        <f>IFERROR(__xludf.DUMMYFUNCTION("GOOGLETRANSLATE(A27090, ""en"", ""mt"")"),"Bord tal-Fiduċjarji")</f>
        <v>Bord tal-Fiduċjarji</v>
      </c>
    </row>
    <row r="27091" ht="15.75" customHeight="1">
      <c r="A27091" s="2" t="s">
        <v>27091</v>
      </c>
      <c r="B27091" s="2" t="str">
        <f>IFERROR(__xludf.DUMMYFUNCTION("GOOGLETRANSLATE(A27091, ""en"", ""mt"")"),"Il-Ferrovija Ċentrali tal-Paċifiku stabbilixxiet stazzjon għal-linja l-ġdida tagħha f'liema sena?")</f>
        <v>Il-Ferrovija Ċentrali tal-Paċifiku stabbilixxiet stazzjon għal-linja l-ġdida tagħha f'liema sena?</v>
      </c>
    </row>
    <row r="27092" ht="15.75" customHeight="1">
      <c r="A27092" s="2" t="s">
        <v>27092</v>
      </c>
      <c r="B27092" s="2" t="str">
        <f>IFERROR(__xludf.DUMMYFUNCTION("GOOGLETRANSLATE(A27092, ""en"", ""mt"")"),"Fl-1984, l-ABC Arts Channel Arts ingħaqdet ma 'liema kanal ieħor?")</f>
        <v>Fl-1984, l-ABC Arts Channel Arts ingħaqdet ma 'liema kanal ieħor?</v>
      </c>
    </row>
    <row r="27093" ht="15.75" customHeight="1">
      <c r="A27093" s="2" t="s">
        <v>27093</v>
      </c>
      <c r="B27093" s="2" t="str">
        <f>IFERROR(__xludf.DUMMYFUNCTION("GOOGLETRANSLATE(A27093, ""en"", ""mt"")"),"Kemm irnexxiet l-isforzi riveduti Franċiżi?")</f>
        <v>Kemm irnexxiet l-isforzi riveduti Franċiżi?</v>
      </c>
    </row>
    <row r="27094" ht="15.75" customHeight="1">
      <c r="A27094" s="2" t="s">
        <v>27094</v>
      </c>
      <c r="B27094" s="2" t="str">
        <f>IFERROR(__xludf.DUMMYFUNCTION("GOOGLETRANSLATE(A27094, ""en"", ""mt"")"),"jaqa '")</f>
        <v>jaqa '</v>
      </c>
    </row>
    <row r="27095" ht="15.75" customHeight="1">
      <c r="A27095" s="2" t="s">
        <v>27095</v>
      </c>
      <c r="B27095" s="2" t="str">
        <f>IFERROR(__xludf.DUMMYFUNCTION("GOOGLETRANSLATE(A27095, ""en"", ""mt"")"),"It-teologu Luteran Franz Pieper osserva li t-tagħlim ta 'Luther dwar l-istat tar-ruħ tal-Kristjani wara l-mewt kien differenti mit-teologi Luterani aktar tard bħal Johann Gerhard. Lessing (1755) qabel kien wasal għall-istess konklużjoni fl-analiżi tiegħu "&amp;"tal-ortodossija Luterana dwar din il-kwistjoni.")</f>
        <v>It-teologu Luteran Franz Pieper osserva li t-tagħlim ta 'Luther dwar l-istat tar-ruħ tal-Kristjani wara l-mewt kien differenti mit-teologi Luterani aktar tard bħal Johann Gerhard. Lessing (1755) qabel kien wasal għall-istess konklużjoni fl-analiżi tiegħu tal-ortodossija Luterana dwar din il-kwistjoni.</v>
      </c>
    </row>
    <row r="27096" ht="15.75" customHeight="1">
      <c r="A27096" s="2" t="s">
        <v>27096</v>
      </c>
      <c r="B27096" s="2" t="str">
        <f>IFERROR(__xludf.DUMMYFUNCTION("GOOGLETRANSLATE(A27096, ""en"", ""mt"")"),"Meta Tesla sostniet li bnew l-arma?")</f>
        <v>Meta Tesla sostniet li bnew l-arma?</v>
      </c>
    </row>
    <row r="27097" ht="15.75" customHeight="1">
      <c r="A27097" s="2" t="s">
        <v>27097</v>
      </c>
      <c r="B27097" s="2" t="str">
        <f>IFERROR(__xludf.DUMMYFUNCTION("GOOGLETRANSLATE(A27097, ""en"", ""mt"")"),"Fit-Tieni Gwerra Dinjija, ġie rikonoxxut li r-Renu jippreżenta ostaklu naturali formidabbli għall-invażjoni tal-Ġermanja, mill-alleati tal-Punent. Il-Pont tar-Rhine f'Arnhem, immortalizzat fil-ktieb, a Bridge Too Far and the Film, kien fokus ċentrali tal-"&amp;"battalja għal Arnhem, waqt il-Ġnien tas-Suq tal-Operazzjoni fallut ta 'Settembru 1944. Rhine, kienu wkoll għan tal-Operazzjoni tas-Suq tal-Ġnien. F’operazzjoni separata, il-Pont ta ’Ludendorff, li jaqsam ir-Renu f’Remagen, sar famuż, meta l-forzi ta’ l-Is"&amp;"tati Uniti setgħu jaqbduha intatta - ferm għas-sorpriża tagħhom stess - wara li l-Ġermaniżi naqsu milli jwaqqgħuh. Dan sar ukoll is-suġġett ta 'film, The Bridge at Remagen. Sebat ijiem lejn ix-Xmara Rhine kien pjan ta 'gwerra ta' Varsavja għal invażjoni t"&amp;"al-Ewropa tal-Punent matul il-Gwerra Bierda.")</f>
        <v>Fit-Tieni Gwerra Dinjija, ġie rikonoxxut li r-Renu jippreżenta ostaklu naturali formidabbli għall-invażjoni tal-Ġermanja, mill-alleati tal-Punent. Il-Pont tar-Rhine f'Arnhem, immortalizzat fil-ktieb, a Bridge Too Far and the Film, kien fokus ċentrali tal-battalja għal Arnhem, waqt il-Ġnien tas-Suq tal-Operazzjoni fallut ta 'Settembru 1944. Rhine, kienu wkoll għan tal-Operazzjoni tas-Suq tal-Ġnien. F’operazzjoni separata, il-Pont ta ’Ludendorff, li jaqsam ir-Renu f’Remagen, sar famuż, meta l-forzi ta’ l-Istati Uniti setgħu jaqbduha intatta - ferm għas-sorpriża tagħhom stess - wara li l-Ġermaniżi naqsu milli jwaqqgħuh. Dan sar ukoll is-suġġett ta 'film, The Bridge at Remagen. Sebat ijiem lejn ix-Xmara Rhine kien pjan ta 'gwerra ta' Varsavja għal invażjoni tal-Ewropa tal-Punent matul il-Gwerra Bierda.</v>
      </c>
    </row>
    <row r="27098" ht="15.75" customHeight="1">
      <c r="A27098" s="2" t="s">
        <v>27098</v>
      </c>
      <c r="B27098" s="2" t="str">
        <f>IFERROR(__xludf.DUMMYFUNCTION("GOOGLETRANSLATE(A27098, ""en"", ""mt"")"),"Meta ġiet irreġistrata l-iktar temperatura kiesħa fi Newcastle?")</f>
        <v>Meta ġiet irreġistrata l-iktar temperatura kiesħa fi Newcastle?</v>
      </c>
    </row>
    <row r="27099" ht="15.75" customHeight="1">
      <c r="A27099" s="2" t="s">
        <v>27099</v>
      </c>
      <c r="B27099" s="2" t="str">
        <f>IFERROR(__xludf.DUMMYFUNCTION("GOOGLETRANSLATE(A27099, ""en"", ""mt"")"),"Kemm tista 'tikber Ctenophora?")</f>
        <v>Kemm tista 'tikber Ctenophora?</v>
      </c>
    </row>
    <row r="27100" ht="15.75" customHeight="1">
      <c r="A27100" s="2" t="s">
        <v>27100</v>
      </c>
      <c r="B27100" s="2" t="str">
        <f>IFERROR(__xludf.DUMMYFUNCTION("GOOGLETRANSLATE(A27100, ""en"", ""mt"")"),"Debat tas-salvataġġ")</f>
        <v>Debat tas-salvataġġ</v>
      </c>
    </row>
    <row r="27101" ht="15.75" customHeight="1">
      <c r="A27101" s="2" t="s">
        <v>27101</v>
      </c>
      <c r="B27101" s="2" t="str">
        <f>IFERROR(__xludf.DUMMYFUNCTION("GOOGLETRANSLATE(A27101, ""en"", ""mt"")"),"12-il miljun")</f>
        <v>12-il miljun</v>
      </c>
    </row>
    <row r="27102" ht="15.75" customHeight="1">
      <c r="A27102" s="2" t="s">
        <v>27102</v>
      </c>
      <c r="B27102" s="2" t="str">
        <f>IFERROR(__xludf.DUMMYFUNCTION("GOOGLETRANSLATE(A27102, ""en"", ""mt"")"),"X’ħeġġeġ id-Direttiva tal-Kunsill tax-Xogħlijiet?")</f>
        <v>X’ħeġġeġ id-Direttiva tal-Kunsill tax-Xogħlijiet?</v>
      </c>
    </row>
    <row r="27103" ht="15.75" customHeight="1">
      <c r="A27103" s="2" t="s">
        <v>27103</v>
      </c>
      <c r="B27103" s="2" t="str">
        <f>IFERROR(__xludf.DUMMYFUNCTION("GOOGLETRANSLATE(A27103, ""en"", ""mt"")"),"Liema karozzi mudell ta 'daqs sħiħ ma kinux popolari?")</f>
        <v>Liema karozzi mudell ta 'daqs sħiħ ma kinux popolari?</v>
      </c>
    </row>
    <row r="27104" ht="15.75" customHeight="1">
      <c r="A27104" s="2" t="s">
        <v>27104</v>
      </c>
      <c r="B27104" s="2" t="str">
        <f>IFERROR(__xludf.DUMMYFUNCTION("GOOGLETRANSLATE(A27104, ""en"", ""mt"")"),"Il-logo mill-1973–80")</f>
        <v>Il-logo mill-1973–80</v>
      </c>
    </row>
    <row r="27105" ht="15.75" customHeight="1">
      <c r="A27105" s="2" t="s">
        <v>27105</v>
      </c>
      <c r="B27105" s="2" t="str">
        <f>IFERROR(__xludf.DUMMYFUNCTION("GOOGLETRANSLATE(A27105, ""en"", ""mt"")"),"Zond 5")</f>
        <v>Zond 5</v>
      </c>
    </row>
    <row r="27106" ht="15.75" customHeight="1">
      <c r="A27106" s="2" t="s">
        <v>27106</v>
      </c>
      <c r="B27106" s="2" t="str">
        <f>IFERROR(__xludf.DUMMYFUNCTION("GOOGLETRANSLATE(A27106, ""en"", ""mt"")"),"Fil-ħamsinijiet")</f>
        <v>Fil-ħamsinijiet</v>
      </c>
    </row>
    <row r="27107" ht="15.75" customHeight="1">
      <c r="A27107" s="2" t="s">
        <v>27107</v>
      </c>
      <c r="B27107" s="2" t="str">
        <f>IFERROR(__xludf.DUMMYFUNCTION("GOOGLETRANSLATE(A27107, ""en"", ""mt"")"),"Għaqda politika")</f>
        <v>Għaqda politika</v>
      </c>
    </row>
    <row r="27108" ht="15.75" customHeight="1">
      <c r="A27108" s="2" t="s">
        <v>27108</v>
      </c>
      <c r="B27108" s="2" t="str">
        <f>IFERROR(__xludf.DUMMYFUNCTION("GOOGLETRANSLATE(A27108, ""en"", ""mt"")"),"Liema kumpanija qablet li ttemm il-proċeduri tal-qorti għolja ma 'Virgin Media?")</f>
        <v>Liema kumpanija qablet li ttemm il-proċeduri tal-qorti għolja ma 'Virgin Media?</v>
      </c>
    </row>
    <row r="27109" ht="15.75" customHeight="1">
      <c r="A27109" s="2" t="s">
        <v>27109</v>
      </c>
      <c r="B27109" s="2" t="str">
        <f>IFERROR(__xludf.DUMMYFUNCTION("GOOGLETRANSLATE(A27109, ""en"", ""mt"")"),"Xi attivisti li jikkommettu diżubbidjenza ċivili bħala grupp jirrifjutaw b’mod kollettiv li jiffirmaw il-ħelsien mill-arrest sakemm jintlaħqu ċerti talbiet")</f>
        <v>Xi attivisti li jikkommettu diżubbidjenza ċivili bħala grupp jirrifjutaw b’mod kollettiv li jiffirmaw il-ħelsien mill-arrest sakemm jintlaħqu ċerti talbiet</v>
      </c>
    </row>
    <row r="27110" ht="15.75" customHeight="1">
      <c r="A27110" s="2" t="s">
        <v>27110</v>
      </c>
      <c r="B27110" s="2" t="str">
        <f>IFERROR(__xludf.DUMMYFUNCTION("GOOGLETRANSLATE(A27110, ""en"", ""mt"")"),"entużjasti")</f>
        <v>entużjasti</v>
      </c>
    </row>
    <row r="27111" ht="15.75" customHeight="1">
      <c r="A27111" s="2" t="s">
        <v>27111</v>
      </c>
      <c r="B27111" s="2" t="str">
        <f>IFERROR(__xludf.DUMMYFUNCTION("GOOGLETRANSLATE(A27111, ""en"", ""mt"")"),"Meta Richard Grainger kien qed jibni u jiżviluppa attivament?")</f>
        <v>Meta Richard Grainger kien qed jibni u jiżviluppa attivament?</v>
      </c>
    </row>
    <row r="27112" ht="15.75" customHeight="1">
      <c r="A27112" s="2" t="s">
        <v>27112</v>
      </c>
      <c r="B27112" s="2" t="str">
        <f>IFERROR(__xludf.DUMMYFUNCTION("GOOGLETRANSLATE(A27112, ""en"", ""mt"")"),"Fil-Mongolja llum, l-isem u x-xebh ta 'Genghis Khan huma approvati fuq prodotti, toroq, bini, u postijiet oħra. Wiċċu jista 'jinstab fuq prodotti ta' kuljum, minn fliexken tal-likur għal prodotti tal-ħelu, u fuq l-akbar denominazzjonijiet ta '500, 1,000, "&amp;"5,000, 10,000, u 20,000 Tögrög Mongoljan (₮). L-ajruport internazzjonali ewlieni tal-Mongolja f'Ulaanbaatar huwa msemmi l-Ajruport Internazzjonali ta 'Chinggis Khaan. L-istatwi ewlenin ta 'Genghis Khan inbnew quddiem il-Parlament u qrib Ulaanbaatar. Kien "&amp;"hemm diskussjonijiet ripetuti dwar ir-regolazzjoni tal-użu ta 'ismu u l-immaġni biex tevita trivjalizzazzjoni.")</f>
        <v>Fil-Mongolja llum, l-isem u x-xebh ta 'Genghis Khan huma approvati fuq prodotti, toroq, bini, u postijiet oħra. Wiċċu jista 'jinstab fuq prodotti ta' kuljum, minn fliexken tal-likur għal prodotti tal-ħelu, u fuq l-akbar denominazzjonijiet ta '500, 1,000, 5,000, 10,000, u 20,000 Tögrög Mongoljan (₮). L-ajruport internazzjonali ewlieni tal-Mongolja f'Ulaanbaatar huwa msemmi l-Ajruport Internazzjonali ta 'Chinggis Khaan. L-istatwi ewlenin ta 'Genghis Khan inbnew quddiem il-Parlament u qrib Ulaanbaatar. Kien hemm diskussjonijiet ripetuti dwar ir-regolazzjoni tal-użu ta 'ismu u l-immaġni biex tevita trivjalizzazzjoni.</v>
      </c>
    </row>
    <row r="27113" ht="15.75" customHeight="1">
      <c r="A27113" s="2" t="s">
        <v>27113</v>
      </c>
      <c r="B27113" s="2" t="str">
        <f>IFERROR(__xludf.DUMMYFUNCTION("GOOGLETRANSLATE(A27113, ""en"", ""mt"")"),"X'inhu l-Kanal f'Wesel?")</f>
        <v>X'inhu l-Kanal f'Wesel?</v>
      </c>
    </row>
    <row r="27114" ht="15.75" customHeight="1">
      <c r="A27114" s="2" t="s">
        <v>27114</v>
      </c>
      <c r="B27114" s="2" t="str">
        <f>IFERROR(__xludf.DUMMYFUNCTION("GOOGLETRANSLATE(A27114, ""en"", ""mt"")"),"X'inhu l-iskop ewlieni tal-ġurisdizzjonijiet u l-konferenzi ċentrali?")</f>
        <v>X'inhu l-iskop ewlieni tal-ġurisdizzjonijiet u l-konferenzi ċentrali?</v>
      </c>
    </row>
    <row r="27115" ht="15.75" customHeight="1">
      <c r="A27115" s="2" t="s">
        <v>27115</v>
      </c>
      <c r="B27115" s="2" t="str">
        <f>IFERROR(__xludf.DUMMYFUNCTION("GOOGLETRANSLATE(A27115, ""en"", ""mt"")"),"Il-moviment liberu tal-merkanzija fl-Unjoni Ewropea jinkiseb minn unjoni doganali, u l-prinċipju tan-nondiskriminazzjoni. L-UE timmaniġġja importazzjonijiet minn stati mhux membri, id-dmirijiet bejn l-istati membri huma pprojbiti, u l-importazzjonijiet ji"&amp;"ċċirkolaw liberament. Barra minn hekk taħt it-trattat dwar il-funzjonament tal-Artikolu 34 tal-Unjoni Ewropea, ""restrizzjonijiet kwantitattivi fuq l-importazzjonijiet u l-miżuri kollha li għandhom effett ekwivalenti għandhom ikunu pprojbiti bejn l-Istati"&amp;" Membri"". Fl-Actureur du Roi vsonville, il-Qorti tal-Ġustizzja ddeċidiet li din ir-regola kienet tfisser ir- ""regoli tal-kummerċ"" kollha li huma ""promulgati mill-istati membri"" li jistgħu jxekklu l-kummerċ ""direttament jew indirettament, fil-fatt je"&amp;"w potenzjalment"" jinqabdu mill-Artikolu 34. Li liġi Belġjana li tirrikjedi l-importazzjonijiet tal-whisky Skoċċiż li jkollu ċertifikat ta 'oriġini x'aktarx ma jkunx legali. Huwa diskriminat kontra importaturi paralleli bħas-Sur Dassonville, li ma setgħux"&amp;" jiksbu ċertifikati mill-awtoritajiet fi Franza, fejn xtraw l-Iskoċċi. Dan it- ""test wiesa '"", biex jiddetermina dak li potenzjalment jista' jkun restrizzjoni illegali fuq il-kummerċ, japplika bl-istess mod għal azzjonijiet minn korpi kważi-governattivi"&amp;", bħall-eks kumpanija ""Buy Irish"" li kellha maħtura tal-gvern. Dan ifisser ukoll li l-istati jistgħu jkunu responsabbli għall-atturi privati. Pereżempju, fil-kummissjoni v Franza l-viġilanti tal-bidwi Franċiż kienu kontinwament sabotaging vjeġġi ta 'fra"&amp;"wli Spanjoli, u anke importazzjonijiet tat-tadam Belġjani. Franza kienet responsabbli għal dawn il-bidu li jinnegozjaw minħabba li l-awtoritajiet ""manifestament u persistenti astjenew"" milli jipprevjenu s-sabotaġġ. B'mod ġenerali, jekk Stat Membru jkoll"&amp;"u liġijiet jew prattiki li jiddiskriminaw direttament kontra l-importazzjonijiet (jew l-esportazzjonijiet taħt l-Artikolu 35 tat-TFEU) allura għandu jkun iġġustifikat skont l-Artikolu 36. Il-ġustifikazzjonijiet jinkludu moralità pubblika, politika jew sig"&amp;"urtà, ""protezzjoni tas-saħħa u l-ħajja ta ' bnedmin, annimali jew pjanti "","" teżori nazzjonali ""ta '"" valur artistiku, storiku jew arkeoloġiku ""u"" proprjetà industrijali u kummerċjali. "" Barra minn hekk, għalkemm mhux elenkata b'mod ċar, il-protez"&amp;"zjoni ambjentali tista 'tiġġustifika restrizzjonijiet fuq il-kummerċ bħala rekwiżit importanti derivat mill-Artikolu 11 tat-TFEU 11. B'mod aktar ġenerali, ġie rikonoxxut dejjem aktar li d-drittijiet fundamentali tal-bniedem għandhom jieħdu prijorità fuq i"&amp;"r-regoli kummerċjali kollha. Allura, fi Schmidberger vs l-Awstrija, il-Qorti tal-Ġustizzja ddeċidiet li l-Awstrija ma kinitx kisret l-Artikolu 34 billi naqset milli tipprojbixxi protesta li imblukkat traffiku qawwi li jgħaddi minn fuq l-A13, Brenner Autob"&amp;"ahn, fi triqthom lejn l-Italja. Għalkemm ħafna kumpaniji, inkluża l-impriża Ġermaniża tas-Sur Schmidberger, ġew evitati milli jinnegozjaw, il-Qorti tal-Ġustizzja rraġunaw li l-libertà ta 'assoċjazzjoni hija waħda mill- ""pilastri fundamentali ta' soċjetà "&amp;"demokratika"", li kontriha l-moviment liberu tal-merkanzija kellu jkun ibbilanċjat, u probabbilment kien subordinat. Jekk Stat Membru jappella għall-ġustifikazzjoni tal-Artikolu 36, il-miżuri li tieħu għandhom jiġu applikati proporzjonalment. Dan ifisser "&amp;"li r-regola għandha tkun segwita għan leġittimu u (1) tkun adattata biex jinkiseb l-għan, (2) ikun meħtieġ, sabiex miżura inqas restrittiva ma tistax tikseb l-istess riżultat, u (3) tkun raġonevoli fl-ibbilanċjar tal-interessi ta 'kummerċ ħieles b'interes"&amp;"si fl-Artikolu 36.")</f>
        <v>Il-moviment liberu tal-merkanzija fl-Unjoni Ewropea jinkiseb minn unjoni doganali, u l-prinċipju tan-nondiskriminazzjoni. L-UE timmaniġġja importazzjonijiet minn stati mhux membri, id-dmirijiet bejn l-istati membri huma pprojbiti, u l-importazzjonijiet jiċċirkolaw liberament. Barra minn hekk taħt it-trattat dwar il-funzjonament tal-Artikolu 34 tal-Unjoni Ewropea, "restrizzjonijiet kwantitattivi fuq l-importazzjonijiet u l-miżuri kollha li għandhom effett ekwivalenti għandhom ikunu pprojbiti bejn l-Istati Membri". Fl-Actureur du Roi vsonville, il-Qorti tal-Ġustizzja ddeċidiet li din ir-regola kienet tfisser ir- "regoli tal-kummerċ" kollha li huma "promulgati mill-istati membri" li jistgħu jxekklu l-kummerċ "direttament jew indirettament, fil-fatt jew potenzjalment" jinqabdu mill-Artikolu 34. Li liġi Belġjana li tirrikjedi l-importazzjonijiet tal-whisky Skoċċiż li jkollu ċertifikat ta 'oriġini x'aktarx ma jkunx legali. Huwa diskriminat kontra importaturi paralleli bħas-Sur Dassonville, li ma setgħux jiksbu ċertifikati mill-awtoritajiet fi Franza, fejn xtraw l-Iskoċċi. Dan it- "test wiesa '", biex jiddetermina dak li potenzjalment jista' jkun restrizzjoni illegali fuq il-kummerċ, japplika bl-istess mod għal azzjonijiet minn korpi kważi-governattivi, bħall-eks kumpanija "Buy Irish" li kellha maħtura tal-gvern. Dan ifisser ukoll li l-istati jistgħu jkunu responsabbli għall-atturi privati. Pereżempju, fil-kummissjoni v Franza l-viġilanti tal-bidwi Franċiż kienu kontinwament sabotaging vjeġġi ta 'frawli Spanjoli, u anke importazzjonijiet tat-tadam Belġjani. Franza kienet responsabbli għal dawn il-bidu li jinnegozjaw minħabba li l-awtoritajiet "manifestament u persistenti astjenew" milli jipprevjenu s-sabotaġġ. B'mod ġenerali, jekk Stat Membru jkollu liġijiet jew prattiki li jiddiskriminaw direttament kontra l-importazzjonijiet (jew l-esportazzjonijiet taħt l-Artikolu 35 tat-TFEU) allura għandu jkun iġġustifikat skont l-Artikolu 36. Il-ġustifikazzjonijiet jinkludu moralità pubblika, politika jew sigurtà, "protezzjoni tas-saħħa u l-ħajja ta ' bnedmin, annimali jew pjanti "," teżori nazzjonali "ta '" valur artistiku, storiku jew arkeoloġiku "u" proprjetà industrijali u kummerċjali. " Barra minn hekk, għalkemm mhux elenkata b'mod ċar, il-protezzjoni ambjentali tista 'tiġġustifika restrizzjonijiet fuq il-kummerċ bħala rekwiżit importanti derivat mill-Artikolu 11 tat-TFEU 11. B'mod aktar ġenerali, ġie rikonoxxut dejjem aktar li d-drittijiet fundamentali tal-bniedem għandhom jieħdu prijorità fuq ir-regoli kummerċjali kollha. Allura, fi Schmidberger vs l-Awstrija, il-Qorti tal-Ġustizzja ddeċidiet li l-Awstrija ma kinitx kisret l-Artikolu 34 billi naqset milli tipprojbixxi protesta li imblukkat traffiku qawwi li jgħaddi minn fuq l-A13, Brenner Autobahn, fi triqthom lejn l-Italja. Għalkemm ħafna kumpaniji, inkluża l-impriża Ġermaniża tas-Sur Schmidberger, ġew evitati milli jinnegozjaw, il-Qorti tal-Ġustizzja rraġunaw li l-libertà ta 'assoċjazzjoni hija waħda mill- "pilastri fundamentali ta' soċjetà demokratika", li kontriha l-moviment liberu tal-merkanzija kellu jkun ibbilanċjat, u probabbilment kien subordinat. Jekk Stat Membru jappella għall-ġustifikazzjoni tal-Artikolu 36, il-miżuri li tieħu għandhom jiġu applikati proporzjonalment. Dan ifisser li r-regola għandha tkun segwita għan leġittimu u (1) tkun adattata biex jinkiseb l-għan, (2) ikun meħtieġ, sabiex miżura inqas restrittiva ma tistax tikseb l-istess riżultat, u (3) tkun raġonevoli fl-ibbilanċjar tal-interessi ta 'kummerċ ħieles b'interessi fl-Artikolu 36.</v>
      </c>
    </row>
    <row r="27116" ht="15.75" customHeight="1">
      <c r="A27116" s="2" t="s">
        <v>27116</v>
      </c>
      <c r="B27116" s="2" t="str">
        <f>IFERROR(__xludf.DUMMYFUNCTION("GOOGLETRANSLATE(A27116, ""en"", ""mt"")"),"Messiku")</f>
        <v>Messiku</v>
      </c>
    </row>
    <row r="27117" ht="15.75" customHeight="1">
      <c r="A27117" s="2" t="s">
        <v>27117</v>
      </c>
      <c r="B27117" s="2" t="str">
        <f>IFERROR(__xludf.DUMMYFUNCTION("GOOGLETRANSLATE(A27117, ""en"", ""mt"")"),"Sistema 7–4–2–3")</f>
        <v>Sistema 7–4–2–3</v>
      </c>
    </row>
    <row r="27118" ht="15.75" customHeight="1">
      <c r="A27118" s="2" t="s">
        <v>27118</v>
      </c>
      <c r="B27118" s="2" t="str">
        <f>IFERROR(__xludf.DUMMYFUNCTION("GOOGLETRANSLATE(A27118, ""en"", ""mt"")"),"Għajnuna Amerikana lill-Iżrael")</f>
        <v>Għajnuna Amerikana lill-Iżrael</v>
      </c>
    </row>
    <row r="27119" ht="15.75" customHeight="1">
      <c r="A27119" s="2" t="s">
        <v>27119</v>
      </c>
      <c r="B27119" s="2" t="str">
        <f>IFERROR(__xludf.DUMMYFUNCTION("GOOGLETRANSLATE(A27119, ""en"", ""mt"")"),"F’liema għandu għalliem jiggwida student?")</f>
        <v>F’liema għandu għalliem jiggwida student?</v>
      </c>
    </row>
    <row r="27120" ht="15.75" customHeight="1">
      <c r="A27120" s="2" t="s">
        <v>27120</v>
      </c>
      <c r="B27120" s="2" t="str">
        <f>IFERROR(__xludf.DUMMYFUNCTION("GOOGLETRANSLATE(A27120, ""en"", ""mt"")"),"Musulmani tal-Asja Ċentrali")</f>
        <v>Musulmani tal-Asja Ċentrali</v>
      </c>
    </row>
    <row r="27121" ht="15.75" customHeight="1">
      <c r="A27121" s="2" t="s">
        <v>27121</v>
      </c>
      <c r="B27121" s="2" t="str">
        <f>IFERROR(__xludf.DUMMYFUNCTION("GOOGLETRANSLATE(A27121, ""en"", ""mt"")"),"Liema pożizzjoni jilgħab Von Miller?")</f>
        <v>Liema pożizzjoni jilgħab Von Miller?</v>
      </c>
    </row>
    <row r="27122" ht="15.75" customHeight="1">
      <c r="A27122" s="2" t="s">
        <v>27122</v>
      </c>
      <c r="B27122" s="2" t="str">
        <f>IFERROR(__xludf.DUMMYFUNCTION("GOOGLETRANSLATE(A27122, ""en"", ""mt"")"),"Charleston")</f>
        <v>Charleston</v>
      </c>
    </row>
    <row r="27123" ht="15.75" customHeight="1">
      <c r="A27123" s="2" t="s">
        <v>27123</v>
      </c>
      <c r="B27123" s="2" t="str">
        <f>IFERROR(__xludf.DUMMYFUNCTION("GOOGLETRANSLATE(A27123, ""en"", ""mt"")"),"Minn fejn id-dinofisi kisbet il-kloroplasti tagħha?")</f>
        <v>Minn fejn id-dinofisi kisbet il-kloroplasti tagħha?</v>
      </c>
    </row>
    <row r="27124" ht="15.75" customHeight="1">
      <c r="A27124" s="2" t="s">
        <v>27124</v>
      </c>
      <c r="B27124" s="2" t="str">
        <f>IFERROR(__xludf.DUMMYFUNCTION("GOOGLETRANSLATE(A27124, ""en"", ""mt"")"),"X'inhi n-natura tar-relazzjoni bejn iċ-ċelloli T u l-vitamina D?")</f>
        <v>X'inhi n-natura tar-relazzjoni bejn iċ-ċelloli T u l-vitamina D?</v>
      </c>
    </row>
    <row r="27125" ht="15.75" customHeight="1">
      <c r="A27125" s="2" t="s">
        <v>27125</v>
      </c>
      <c r="B27125" s="2" t="str">
        <f>IFERROR(__xludf.DUMMYFUNCTION("GOOGLETRANSLATE(A27125, ""en"", ""mt"")"),"X'jista 'jgħin għalliem fl-organizzazzjoni?")</f>
        <v>X'jista 'jgħin għalliem fl-organizzazzjoni?</v>
      </c>
    </row>
    <row r="27126" ht="15.75" customHeight="1">
      <c r="A27126" s="2" t="s">
        <v>27126</v>
      </c>
      <c r="B27126" s="2" t="str">
        <f>IFERROR(__xludf.DUMMYFUNCTION("GOOGLETRANSLATE(A27126, ""en"", ""mt"")"),"Ismail El Gizouli")</f>
        <v>Ismail El Gizouli</v>
      </c>
    </row>
    <row r="27127" ht="15.75" customHeight="1">
      <c r="A27127" s="2" t="s">
        <v>27127</v>
      </c>
      <c r="B27127" s="2" t="str">
        <f>IFERROR(__xludf.DUMMYFUNCTION("GOOGLETRANSLATE(A27127, ""en"", ""mt"")"),"Id-distakk fil-produttività bejn professjonijiet imħallsa ħafna u professjonijiet bi ħlas aktar baxx")</f>
        <v>Id-distakk fil-produttività bejn professjonijiet imħallsa ħafna u professjonijiet bi ħlas aktar baxx</v>
      </c>
    </row>
    <row r="27128" ht="15.75" customHeight="1">
      <c r="A27128" s="2" t="s">
        <v>27128</v>
      </c>
      <c r="B27128" s="2" t="str">
        <f>IFERROR(__xludf.DUMMYFUNCTION("GOOGLETRANSLATE(A27128, ""en"", ""mt"")"),"Kif inhuma r-rati ta 'oġġetti soċjali f'pajjiżi b'inugwaljanza ogħla?")</f>
        <v>Kif inhuma r-rati ta 'oġġetti soċjali f'pajjiżi b'inugwaljanza ogħla?</v>
      </c>
    </row>
    <row r="27129" ht="15.75" customHeight="1">
      <c r="A27129" s="2" t="s">
        <v>27129</v>
      </c>
      <c r="B27129" s="2" t="str">
        <f>IFERROR(__xludf.DUMMYFUNCTION("GOOGLETRANSLATE(A27129, ""en"", ""mt"")"),"problema")</f>
        <v>problema</v>
      </c>
    </row>
    <row r="27130" ht="15.75" customHeight="1">
      <c r="A27130" s="2" t="s">
        <v>27130</v>
      </c>
      <c r="B27130" s="2" t="str">
        <f>IFERROR(__xludf.DUMMYFUNCTION("GOOGLETRANSLATE(A27130, ""en"", ""mt"")"),"Meta ġie mħabbar u maħtur Mueller bħala Viċi Amministratur Assoċjat?")</f>
        <v>Meta ġie mħabbar u maħtur Mueller bħala Viċi Amministratur Assoċjat?</v>
      </c>
    </row>
    <row r="27131" ht="15.75" customHeight="1">
      <c r="A27131" s="2" t="s">
        <v>27131</v>
      </c>
      <c r="B27131" s="2" t="str">
        <f>IFERROR(__xludf.DUMMYFUNCTION("GOOGLETRANSLATE(A27131, ""en"", ""mt"")"),"Dak li temm it-triad")</f>
        <v>Dak li temm it-triad</v>
      </c>
    </row>
    <row r="27132" ht="15.75" customHeight="1">
      <c r="A27132" s="2" t="s">
        <v>27132</v>
      </c>
      <c r="B27132" s="2" t="str">
        <f>IFERROR(__xludf.DUMMYFUNCTION("GOOGLETRANSLATE(A27132, ""en"", ""mt"")"),"Liema kumpanija ħolqot tabib min?")</f>
        <v>Liema kumpanija ħolqot tabib min?</v>
      </c>
    </row>
    <row r="27133" ht="15.75" customHeight="1">
      <c r="A27133" s="2" t="s">
        <v>27133</v>
      </c>
      <c r="B27133" s="2" t="str">
        <f>IFERROR(__xludf.DUMMYFUNCTION("GOOGLETRANSLATE(A27133, ""en"", ""mt"")"),"Għin lill-priża mikroskopika diretta lejn il-ħalq")</f>
        <v>Għin lill-priża mikroskopika diretta lejn il-ħalq</v>
      </c>
    </row>
    <row r="27134" ht="15.75" customHeight="1">
      <c r="A27134" s="2" t="s">
        <v>27134</v>
      </c>
      <c r="B27134" s="2" t="str">
        <f>IFERROR(__xludf.DUMMYFUNCTION("GOOGLETRANSLATE(A27134, ""en"", ""mt"")"),"Liema aġenzija għamlet il-verżjoni Spanjola tas-Super Bowl?")</f>
        <v>Liema aġenzija għamlet il-verżjoni Spanjola tas-Super Bowl?</v>
      </c>
    </row>
    <row r="27135" ht="15.75" customHeight="1">
      <c r="A27135" s="2" t="s">
        <v>27135</v>
      </c>
      <c r="B27135" s="2" t="str">
        <f>IFERROR(__xludf.DUMMYFUNCTION("GOOGLETRANSLATE(A27135, ""en"", ""mt"")"),"blat tal-qoxra")</f>
        <v>blat tal-qoxra</v>
      </c>
    </row>
    <row r="27136" ht="15.75" customHeight="1">
      <c r="A27136" s="2" t="s">
        <v>27136</v>
      </c>
      <c r="B27136" s="2" t="str">
        <f>IFERROR(__xludf.DUMMYFUNCTION("GOOGLETRANSLATE(A27136, ""en"", ""mt"")"),"X'kien l-ewwel programm Disney televiżiv fuq ABC bħala riżultat tal-ftehim Disney-ABC?")</f>
        <v>X'kien l-ewwel programm Disney televiżiv fuq ABC bħala riżultat tal-ftehim Disney-ABC?</v>
      </c>
    </row>
    <row r="27137" ht="15.75" customHeight="1">
      <c r="A27137" s="2" t="s">
        <v>27137</v>
      </c>
      <c r="B27137" s="2" t="str">
        <f>IFERROR(__xludf.DUMMYFUNCTION("GOOGLETRANSLATE(A27137, ""en"", ""mt"")"),"Kemm ilhom il-ġellieda tar-rewwixta tal-ghetto ta 'Varsavja kapaċi jżommu?")</f>
        <v>Kemm ilhom il-ġellieda tar-rewwixta tal-ghetto ta 'Varsavja kapaċi jżommu?</v>
      </c>
    </row>
    <row r="27138" ht="15.75" customHeight="1">
      <c r="A27138" s="2" t="s">
        <v>27138</v>
      </c>
      <c r="B27138" s="2" t="str">
        <f>IFERROR(__xludf.DUMMYFUNCTION("GOOGLETRANSLATE(A27138, ""en"", ""mt"")"),"X'kienet potenzjalment Westinghouse li kienet qed tipprova tevita billi tħallas lil Tesla?")</f>
        <v>X'kienet potenzjalment Westinghouse li kienet qed tipprova tevita billi tħallas lil Tesla?</v>
      </c>
    </row>
    <row r="27139" ht="15.75" customHeight="1">
      <c r="A27139" s="2" t="s">
        <v>27139</v>
      </c>
      <c r="B27139" s="2" t="str">
        <f>IFERROR(__xludf.DUMMYFUNCTION("GOOGLETRANSLATE(A27139, ""en"", ""mt"")"),"Kemm idum Tesla tonfoq logħob kultant?")</f>
        <v>Kemm idum Tesla tonfoq logħob kultant?</v>
      </c>
    </row>
    <row r="27140" ht="15.75" customHeight="1">
      <c r="A27140" s="2" t="s">
        <v>27140</v>
      </c>
      <c r="B27140" s="2" t="str">
        <f>IFERROR(__xludf.DUMMYFUNCTION("GOOGLETRANSLATE(A27140, ""en"", ""mt"")"),"Tnaqqis tal-Karp u Tnaqqis tal-Levin")</f>
        <v>Tnaqqis tal-Karp u Tnaqqis tal-Levin</v>
      </c>
    </row>
    <row r="27141" ht="15.75" customHeight="1">
      <c r="A27141" s="2" t="s">
        <v>27141</v>
      </c>
      <c r="B27141" s="2" t="str">
        <f>IFERROR(__xludf.DUMMYFUNCTION("GOOGLETRANSLATE(A27141, ""en"", ""mt"")"),"X'kien l-akbar ghadu tal-fidi skond Luther?")</f>
        <v>X'kien l-akbar ghadu tal-fidi skond Luther?</v>
      </c>
    </row>
    <row r="27142" ht="15.75" customHeight="1">
      <c r="A27142" s="2" t="s">
        <v>27142</v>
      </c>
      <c r="B27142" s="2" t="str">
        <f>IFERROR(__xludf.DUMMYFUNCTION("GOOGLETRANSLATE(A27142, ""en"", ""mt"")"),"Politiki bħad-Duttrina Monroe")</f>
        <v>Politiki bħad-Duttrina Monroe</v>
      </c>
    </row>
    <row r="27143" ht="15.75" customHeight="1">
      <c r="A27143" s="2" t="s">
        <v>27143</v>
      </c>
      <c r="B27143" s="2" t="str">
        <f>IFERROR(__xludf.DUMMYFUNCTION("GOOGLETRANSLATE(A27143, ""en"", ""mt"")"),"mitħna tad-dqiq")</f>
        <v>mitħna tad-dqiq</v>
      </c>
    </row>
    <row r="27144" ht="15.75" customHeight="1">
      <c r="A27144" s="2" t="s">
        <v>27144</v>
      </c>
      <c r="B27144" s="2" t="str">
        <f>IFERROR(__xludf.DUMMYFUNCTION("GOOGLETRANSLATE(A27144, ""en"", ""mt"")"),"Min intitolat l-ispettaklu tal-mistrieħ għal Super Bowl 50?")</f>
        <v>Min intitolat l-ispettaklu tal-mistrieħ għal Super Bowl 50?</v>
      </c>
    </row>
    <row r="27145" ht="15.75" customHeight="1">
      <c r="A27145" s="2" t="s">
        <v>27145</v>
      </c>
      <c r="B27145" s="2" t="str">
        <f>IFERROR(__xludf.DUMMYFUNCTION("GOOGLETRANSLATE(A27145, ""en"", ""mt"")"),"Dawn il-kotba saru test fundamentali għal liema librerija?")</f>
        <v>Dawn il-kotba saru test fundamentali għal liema librerija?</v>
      </c>
    </row>
    <row r="27146" ht="15.75" customHeight="1">
      <c r="A27146" s="2" t="s">
        <v>27146</v>
      </c>
      <c r="B27146" s="2" t="str">
        <f>IFERROR(__xludf.DUMMYFUNCTION("GOOGLETRANSLATE(A27146, ""en"", ""mt"")"),"L-isptar ġenerali meta ddebutta l-ewwel darba fuq ABC?")</f>
        <v>L-isptar ġenerali meta ddebutta l-ewwel darba fuq ABC?</v>
      </c>
    </row>
    <row r="27147" ht="15.75" customHeight="1">
      <c r="A27147" s="2" t="s">
        <v>27147</v>
      </c>
      <c r="B27147" s="2" t="str">
        <f>IFERROR(__xludf.DUMMYFUNCTION("GOOGLETRANSLATE(A27147, ""en"", ""mt"")"),"L-ewwel liġi tal-moviment tagħha tgħid li sakemm ma tkunx aġita fuq il-forzi, l-oġġetti jibqgħu jiċċaqalqu b'veloċità kostanti?")</f>
        <v>L-ewwel liġi tal-moviment tagħha tgħid li sakemm ma tkunx aġita fuq il-forzi, l-oġġetti jibqgħu jiċċaqalqu b'veloċità kostanti?</v>
      </c>
    </row>
    <row r="27148" ht="15.75" customHeight="1">
      <c r="A27148" s="2" t="s">
        <v>27148</v>
      </c>
      <c r="B27148" s="2" t="str">
        <f>IFERROR(__xludf.DUMMYFUNCTION("GOOGLETRANSLATE(A27148, ""en"", ""mt"")"),"Fil-biċċa l-kbira tal-pajjiżi, id-dispensarju huwa soġġett għal-leġislazzjoni tal-ispiżerija; b'rekwiżiti għal kundizzjonijiet ta 'ħażna, testi obbligatorji, tagħmir, eċċ., Speċifikati fil-leġislazzjoni. Fejn darba kien il-każ li l-ispiżjara baqgħu fil-me"&amp;"diċini tad-dispensarju tat-taħlit / tqassim, kien hemm tendenza dejjem tiżdied lejn l-użu ta 'tekniċi tal-ispiżerija mħarrġa waqt li l-ispiżjar iqatta' aktar ħin jikkomunika mal-pazjenti. It-tekniċi tal-ispiżerija issa huma aktar dipendenti fuq l-awtomazz"&amp;"joni biex jgħinuhom fir-rwol il-ġdid tagħhom li jittrattaw il-preskrizzjonijiet tal-pazjenti u l-kwistjonijiet tas-sigurtà tal-pazjent.")</f>
        <v>Fil-biċċa l-kbira tal-pajjiżi, id-dispensarju huwa soġġett għal-leġislazzjoni tal-ispiżerija; b'rekwiżiti għal kundizzjonijiet ta 'ħażna, testi obbligatorji, tagħmir, eċċ., Speċifikati fil-leġislazzjoni. Fejn darba kien il-każ li l-ispiżjara baqgħu fil-mediċini tad-dispensarju tat-taħlit / tqassim, kien hemm tendenza dejjem tiżdied lejn l-użu ta 'tekniċi tal-ispiżerija mħarrġa waqt li l-ispiżjar iqatta' aktar ħin jikkomunika mal-pazjenti. It-tekniċi tal-ispiżerija issa huma aktar dipendenti fuq l-awtomazzjoni biex jgħinuhom fir-rwol il-ġdid tagħhom li jittrattaw il-preskrizzjonijiet tal-pazjenti u l-kwistjonijiet tas-sigurtà tal-pazjent.</v>
      </c>
    </row>
    <row r="27149" ht="15.75" customHeight="1">
      <c r="A27149" s="2" t="s">
        <v>27149</v>
      </c>
      <c r="B27149" s="2" t="str">
        <f>IFERROR(__xludf.DUMMYFUNCTION("GOOGLETRANSLATE(A27149, ""en"", ""mt"")"),"4,530")</f>
        <v>4,530</v>
      </c>
    </row>
    <row r="27150" ht="15.75" customHeight="1">
      <c r="A27150" s="2" t="s">
        <v>27150</v>
      </c>
      <c r="B27150" s="2" t="str">
        <f>IFERROR(__xludf.DUMMYFUNCTION("GOOGLETRANSLATE(A27150, ""en"", ""mt"")"),"11 mit-12-il stat membru dak iż-żmien")</f>
        <v>11 mit-12-il stat membru dak iż-żmien</v>
      </c>
    </row>
    <row r="27151" ht="15.75" customHeight="1">
      <c r="A27151" s="2" t="s">
        <v>27151</v>
      </c>
      <c r="B27151" s="2" t="str">
        <f>IFERROR(__xludf.DUMMYFUNCTION("GOOGLETRANSLATE(A27151, ""en"", ""mt"")"),"Kważi ċ-ċtenofori kollha huma predaturi, li jieħdu priża li jvarjaw minn larva mikroskopika u rotifers għall-adulti ta 'krustaċji żgħar; L-eċċezzjonijiet huma minorenni ta 'żewġ speċi, li jgħixu bħala parassiti fuq is-salps li fuqhom jitimgħu adulti ta' l"&amp;"-ispeċi tagħhom. F’ċirkostanzi favorevoli, iċ-ctenophores jistgħu jieklu għaxar darbiet il-piż tagħhom stess f’ġurnata. 100-150 speċi biss ġew ivvalidati, u possibbilment 25 oħra ma ġewx deskritti u msemmija għal kollox. L-eżempji tal-ktieb tat-test huma "&amp;"cydippids b'korpi b'forma ta 'bajd u par ta' tentakli li jistgħu jinġibdu lura bil-fringed bit-tentilla (""ftit tentakli"") li huma miksija bil-kolloblasti, ċelloli li jwaħħlu li jaqbdu l-priża. Il-phylum għandu firxa wiesgħa ta 'forom tal-ġisem, inklużi "&amp;"l-plattenids iċċattjati, fil-fond tal-baħar, li fihom l-adulti tal-biċċa l-kbira tal-ispeċi m'għandhomx pettnijiet, u l-beroids kostali, li m'għandhomx tentakli u priża fuq ctenophores oħra billi jużaw ħalq enormi armati bi gruppi ta' Ċili kbar u mwebbsa "&amp;"li jaġixxu bħala snien. Dawn il-varjazzjonijiet jippermettu speċi differenti biex jibnu popolazzjonijiet kbar fl-istess żona, minħabba li jispeċjalizzaw f'tipi differenti ta 'priża, li huma jaqbdu b'firxa wiesgħa ta' metodi kif jużaw il-brimb.")</f>
        <v>Kważi ċ-ċtenofori kollha huma predaturi, li jieħdu priża li jvarjaw minn larva mikroskopika u rotifers għall-adulti ta 'krustaċji żgħar; L-eċċezzjonijiet huma minorenni ta 'żewġ speċi, li jgħixu bħala parassiti fuq is-salps li fuqhom jitimgħu adulti ta' l-ispeċi tagħhom. F’ċirkostanzi favorevoli, iċ-ctenophores jistgħu jieklu għaxar darbiet il-piż tagħhom stess f’ġurnata. 100-150 speċi biss ġew ivvalidati, u possibbilment 25 oħra ma ġewx deskritti u msemmija għal kollox. L-eżempji tal-ktieb tat-test huma cydippids b'korpi b'forma ta 'bajd u par ta' tentakli li jistgħu jinġibdu lura bil-fringed bit-tentilla ("ftit tentakli") li huma miksija bil-kolloblasti, ċelloli li jwaħħlu li jaqbdu l-priża. Il-phylum għandu firxa wiesgħa ta 'forom tal-ġisem, inklużi l-plattenids iċċattjati, fil-fond tal-baħar, li fihom l-adulti tal-biċċa l-kbira tal-ispeċi m'għandhomx pettnijiet, u l-beroids kostali, li m'għandhomx tentakli u priża fuq ctenophores oħra billi jużaw ħalq enormi armati bi gruppi ta' Ċili kbar u mwebbsa li jaġixxu bħala snien. Dawn il-varjazzjonijiet jippermettu speċi differenti biex jibnu popolazzjonijiet kbar fl-istess żona, minħabba li jispeċjalizzaw f'tipi differenti ta 'priża, li huma jaqbdu b'firxa wiesgħa ta' metodi kif jużaw il-brimb.</v>
      </c>
    </row>
    <row r="27152" ht="15.75" customHeight="1">
      <c r="A27152" s="2" t="s">
        <v>27152</v>
      </c>
      <c r="B27152" s="2" t="str">
        <f>IFERROR(__xludf.DUMMYFUNCTION("GOOGLETRANSLATE(A27152, ""en"", ""mt"")"),"Is-serje tirritorna")</f>
        <v>Is-serje tirritorna</v>
      </c>
    </row>
    <row r="27153" ht="15.75" customHeight="1">
      <c r="A27153" s="2" t="s">
        <v>27153</v>
      </c>
      <c r="B27153" s="2" t="str">
        <f>IFERROR(__xludf.DUMMYFUNCTION("GOOGLETRANSLATE(A27153, ""en"", ""mt"")"),"Min jiddeċiedi li jagħmel donazzjoni kbira ħafna lill-Iskola tan-Negozju tal-Kabina tal-Università?")</f>
        <v>Min jiddeċiedi li jagħmel donazzjoni kbira ħafna lill-Iskola tan-Negozju tal-Kabina tal-Università?</v>
      </c>
    </row>
    <row r="27154" ht="15.75" customHeight="1">
      <c r="A27154" s="2" t="s">
        <v>27154</v>
      </c>
      <c r="B27154" s="2" t="str">
        <f>IFERROR(__xludf.DUMMYFUNCTION("GOOGLETRANSLATE(A27154, ""en"", ""mt"")"),"X'tip ta 'programmi jistgħu jiġu kkreditati għas-suċċess ta' ABC fl-aħħar tas-snin 1950?")</f>
        <v>X'tip ta 'programmi jistgħu jiġu kkreditati għas-suċċess ta' ABC fl-aħħar tas-snin 1950?</v>
      </c>
    </row>
    <row r="27155" ht="15.75" customHeight="1">
      <c r="A27155" s="2" t="s">
        <v>27155</v>
      </c>
      <c r="B27155" s="2" t="str">
        <f>IFERROR(__xludf.DUMMYFUNCTION("GOOGLETRANSLATE(A27155, ""en"", ""mt"")"),"Sforzi speċjali")</f>
        <v>Sforzi speċjali</v>
      </c>
    </row>
    <row r="27156" ht="15.75" customHeight="1">
      <c r="A27156" s="2" t="s">
        <v>27156</v>
      </c>
      <c r="B27156" s="2" t="str">
        <f>IFERROR(__xludf.DUMMYFUNCTION("GOOGLETRANSLATE(A27156, ""en"", ""mt"")"),"P")</f>
        <v>P</v>
      </c>
    </row>
    <row r="27157" ht="15.75" customHeight="1">
      <c r="A27157" s="2" t="s">
        <v>27157</v>
      </c>
      <c r="B27157" s="2" t="str">
        <f>IFERROR(__xludf.DUMMYFUNCTION("GOOGLETRANSLATE(A27157, ""en"", ""mt"")"),"Kemm jagħti kont tal-pitrolju tal-kont tal-importazzjoni nazzjonali?")</f>
        <v>Kemm jagħti kont tal-pitrolju tal-kont tal-importazzjoni nazzjonali?</v>
      </c>
    </row>
    <row r="27158" ht="15.75" customHeight="1">
      <c r="A27158" s="2" t="s">
        <v>27158</v>
      </c>
      <c r="B27158" s="2" t="str">
        <f>IFERROR(__xludf.DUMMYFUNCTION("GOOGLETRANSLATE(A27158, ""en"", ""mt"")"),"Servizz tat-Televiżjoni Repertorju Alpha (Arti)")</f>
        <v>Servizz tat-Televiżjoni Repertorju Alpha (Arti)</v>
      </c>
    </row>
    <row r="27159" ht="15.75" customHeight="1">
      <c r="A27159" s="2" t="s">
        <v>27159</v>
      </c>
      <c r="B27159" s="2" t="str">
        <f>IFERROR(__xludf.DUMMYFUNCTION("GOOGLETRANSLATE(A27159, ""en"", ""mt"")"),"Li Meng")</f>
        <v>Li Meng</v>
      </c>
    </row>
    <row r="27160" ht="15.75" customHeight="1">
      <c r="A27160" s="2" t="s">
        <v>27160</v>
      </c>
      <c r="B27160" s="2" t="str">
        <f>IFERROR(__xludf.DUMMYFUNCTION("GOOGLETRANSLATE(A27160, ""en"", ""mt"")"),"L-ugwaljanza legali tal-individwi kollha")</f>
        <v>L-ugwaljanza legali tal-individwi kollha</v>
      </c>
    </row>
    <row r="27161" ht="15.75" customHeight="1">
      <c r="A27161" s="2" t="s">
        <v>27161</v>
      </c>
      <c r="B27161" s="2" t="str">
        <f>IFERROR(__xludf.DUMMYFUNCTION("GOOGLETRANSLATE(A27161, ""en"", ""mt"")"),"12 ta ’Ottubru, 1943")</f>
        <v>12 ta ’Ottubru, 1943</v>
      </c>
    </row>
    <row r="27162" ht="15.75" customHeight="1">
      <c r="A27162" s="2" t="s">
        <v>27162</v>
      </c>
      <c r="B27162" s="2" t="str">
        <f>IFERROR(__xludf.DUMMYFUNCTION("GOOGLETRANSLATE(A27162, ""en"", ""mt"")"),"kloroplast derivat minn dijatom (heterokontophye)")</f>
        <v>kloroplast derivat minn dijatom (heterokontophye)</v>
      </c>
    </row>
    <row r="27163" ht="15.75" customHeight="1">
      <c r="A27163" s="2" t="s">
        <v>27163</v>
      </c>
      <c r="B27163" s="2" t="str">
        <f>IFERROR(__xludf.DUMMYFUNCTION("GOOGLETRANSLATE(A27163, ""en"", ""mt"")"),"Greg Brady")</f>
        <v>Greg Brady</v>
      </c>
    </row>
    <row r="27164" ht="15.75" customHeight="1">
      <c r="A27164" s="2" t="s">
        <v>27164</v>
      </c>
      <c r="B27164" s="2" t="str">
        <f>IFERROR(__xludf.DUMMYFUNCTION("GOOGLETRANSLATE(A27164, ""en"", ""mt"")"),"X’ħej iż-żwieġ ta ’Martin Luther?")</f>
        <v>X’ħej iż-żwieġ ta ’Martin Luther?</v>
      </c>
    </row>
    <row r="27165" ht="15.75" customHeight="1">
      <c r="A27165" s="2" t="s">
        <v>27165</v>
      </c>
      <c r="B27165" s="2" t="str">
        <f>IFERROR(__xludf.DUMMYFUNCTION("GOOGLETRANSLATE(A27165, ""en"", ""mt"")"),"3,837")</f>
        <v>3,837</v>
      </c>
    </row>
    <row r="27166" ht="15.75" customHeight="1">
      <c r="A27166" s="2" t="s">
        <v>27166</v>
      </c>
      <c r="B27166" s="2" t="str">
        <f>IFERROR(__xludf.DUMMYFUNCTION("GOOGLETRANSLATE(A27166, ""en"", ""mt"")"),"F'liema xahar u sena seħħet il-missjoni Apollo 11?")</f>
        <v>F'liema xahar u sena seħħet il-missjoni Apollo 11?</v>
      </c>
    </row>
    <row r="27167" ht="15.75" customHeight="1">
      <c r="A27167" s="2" t="s">
        <v>27167</v>
      </c>
      <c r="B27167" s="2" t="str">
        <f>IFERROR(__xludf.DUMMYFUNCTION("GOOGLETRANSLATE(A27167, ""en"", ""mt"")"),"kodifikazzjoni")</f>
        <v>kodifikazzjoni</v>
      </c>
    </row>
    <row r="27168" ht="15.75" customHeight="1">
      <c r="A27168" s="2" t="s">
        <v>27168</v>
      </c>
      <c r="B27168" s="2" t="str">
        <f>IFERROR(__xludf.DUMMYFUNCTION("GOOGLETRANSLATE(A27168, ""en"", ""mt"")"),"Imħabba tar-radju")</f>
        <v>Imħabba tar-radju</v>
      </c>
    </row>
    <row r="27169" ht="15.75" customHeight="1">
      <c r="A27169" s="2" t="s">
        <v>27169</v>
      </c>
      <c r="B27169" s="2" t="str">
        <f>IFERROR(__xludf.DUMMYFUNCTION("GOOGLETRANSLATE(A27169, ""en"", ""mt"")"),"Kif jissejjaħ spiżjar li jgħaddi l-eżami tal-ispiżjar ambulatorju?")</f>
        <v>Kif jissejjaħ spiżjar li jgħaddi l-eżami tal-ispiżjar ambulatorju?</v>
      </c>
    </row>
    <row r="27170" ht="15.75" customHeight="1">
      <c r="A27170" s="2" t="s">
        <v>27170</v>
      </c>
      <c r="B27170" s="2" t="str">
        <f>IFERROR(__xludf.DUMMYFUNCTION("GOOGLETRANSLATE(A27170, ""en"", ""mt"")"),"L-ispettaklu tard tard ma 'James Corden")</f>
        <v>L-ispettaklu tard tard ma 'James Corden</v>
      </c>
    </row>
    <row r="27171" ht="15.75" customHeight="1">
      <c r="A27171" s="2" t="s">
        <v>27171</v>
      </c>
      <c r="B27171" s="2" t="str">
        <f>IFERROR(__xludf.DUMMYFUNCTION("GOOGLETRANSLATE(A27171, ""en"", ""mt"")"),"2005–2010")</f>
        <v>2005–2010</v>
      </c>
    </row>
    <row r="27172" ht="15.75" customHeight="1">
      <c r="A27172" s="2" t="s">
        <v>27172</v>
      </c>
      <c r="B27172" s="2" t="str">
        <f>IFERROR(__xludf.DUMMYFUNCTION("GOOGLETRANSLATE(A27172, ""en"", ""mt"")"),"Fl-2005, x’kien jaħseb Doctor Who li kien jaħseb il-kundizzjoni tal-pjaneta tad-dar tiegħu?")</f>
        <v>Fl-2005, x’kien jaħseb Doctor Who li kien jaħseb il-kundizzjoni tal-pjaneta tad-dar tiegħu?</v>
      </c>
    </row>
    <row r="27173" ht="15.75" customHeight="1">
      <c r="A27173" s="2" t="s">
        <v>27173</v>
      </c>
      <c r="B27173" s="2" t="str">
        <f>IFERROR(__xludf.DUMMYFUNCTION("GOOGLETRANSLATE(A27173, ""en"", ""mt"")"),"X'suġġerit baxx li juża Apollo 8 għal minflok ma jorbita l-wiċċ tad-dinja?")</f>
        <v>X'suġġerit baxx li juża Apollo 8 għal minflok ma jorbita l-wiċċ tad-dinja?</v>
      </c>
    </row>
    <row r="27174" ht="15.75" customHeight="1">
      <c r="A27174" s="2" t="s">
        <v>27174</v>
      </c>
      <c r="B27174" s="2" t="str">
        <f>IFERROR(__xludf.DUMMYFUNCTION("GOOGLETRANSLATE(A27174, ""en"", ""mt"")"),"Liema uċuħ ġew introdotti jew popolarizzati fil-wan?")</f>
        <v>Liema uċuħ ġew introdotti jew popolarizzati fil-wan?</v>
      </c>
    </row>
    <row r="27175" ht="15.75" customHeight="1">
      <c r="A27175" s="2" t="s">
        <v>27175</v>
      </c>
      <c r="B27175" s="2" t="str">
        <f>IFERROR(__xludf.DUMMYFUNCTION("GOOGLETRANSLATE(A27175, ""en"", ""mt"")"),"Liema teorija tiġġustifika l-imperjalizmu parzjalment?")</f>
        <v>Liema teorija tiġġustifika l-imperjalizmu parzjalment?</v>
      </c>
    </row>
    <row r="27176" ht="15.75" customHeight="1">
      <c r="A27176" s="2" t="s">
        <v>27176</v>
      </c>
      <c r="B27176" s="2" t="str">
        <f>IFERROR(__xludf.DUMMYFUNCTION("GOOGLETRANSLATE(A27176, ""en"", ""mt"")"),"Sal-199 kemm kienu konnessi universitajiet")</f>
        <v>Sal-199 kemm kienu konnessi universitajiet</v>
      </c>
    </row>
    <row r="27177" ht="15.75" customHeight="1">
      <c r="A27177" s="2" t="s">
        <v>27177</v>
      </c>
      <c r="B27177" s="2" t="str">
        <f>IFERROR(__xludf.DUMMYFUNCTION("GOOGLETRANSLATE(A27177, ""en"", ""mt"")"),"Conan O'Brien")</f>
        <v>Conan O'Brien</v>
      </c>
    </row>
    <row r="27178" ht="15.75" customHeight="1">
      <c r="A27178" s="2" t="s">
        <v>27178</v>
      </c>
      <c r="B27178" s="2" t="str">
        <f>IFERROR(__xludf.DUMMYFUNCTION("GOOGLETRANSLATE(A27178, ""en"", ""mt"")"),"V")</f>
        <v>V</v>
      </c>
    </row>
    <row r="27179" ht="15.75" customHeight="1">
      <c r="A27179" s="2" t="s">
        <v>27179</v>
      </c>
      <c r="B27179" s="2" t="str">
        <f>IFERROR(__xludf.DUMMYFUNCTION("GOOGLETRANSLATE(A27179, ""en"", ""mt"")"),"organizzazzjonijiet internazzjonali u gvernijiet barranin")</f>
        <v>organizzazzjonijiet internazzjonali u gvernijiet barranin</v>
      </c>
    </row>
    <row r="27180" ht="15.75" customHeight="1">
      <c r="A27180" s="2" t="s">
        <v>27180</v>
      </c>
      <c r="B27180" s="2" t="str">
        <f>IFERROR(__xludf.DUMMYFUNCTION("GOOGLETRANSLATE(A27180, ""en"", ""mt"")"),"X'inhuma dawk bi dħul aktar baxx li spiss ma jkunux jistgħu jimmaniġġjaw?")</f>
        <v>X'inhuma dawk bi dħul aktar baxx li spiss ma jkunux jistgħu jimmaniġġjaw?</v>
      </c>
    </row>
    <row r="27181" ht="15.75" customHeight="1">
      <c r="A27181" s="2" t="s">
        <v>27181</v>
      </c>
      <c r="B27181" s="2" t="str">
        <f>IFERROR(__xludf.DUMMYFUNCTION("GOOGLETRANSLATE(A27181, ""en"", ""mt"")"),"Perjodu kwaternarju")</f>
        <v>Perjodu kwaternarju</v>
      </c>
    </row>
    <row r="27182" ht="15.75" customHeight="1">
      <c r="A27182" s="2" t="s">
        <v>27182</v>
      </c>
      <c r="B27182" s="2" t="str">
        <f>IFERROR(__xludf.DUMMYFUNCTION("GOOGLETRANSLATE(A27182, ""en"", ""mt"")"),"It-telfa tat-truppi Għarab fil-gwerra ta ’sitt ijiem kienet tikkostitwixxi x’inhi għad-dinja Musulmana Għarbija?")</f>
        <v>It-telfa tat-truppi Għarab fil-gwerra ta ’sitt ijiem kienet tikkostitwixxi x’inhi għad-dinja Musulmana Għarbija?</v>
      </c>
    </row>
    <row r="27183" ht="15.75" customHeight="1">
      <c r="A27183" s="2" t="s">
        <v>27183</v>
      </c>
      <c r="B27183" s="2" t="str">
        <f>IFERROR(__xludf.DUMMYFUNCTION("GOOGLETRANSLATE(A27183, ""en"", ""mt"")"),"Meta Tesla marret Praga?")</f>
        <v>Meta Tesla marret Praga?</v>
      </c>
    </row>
    <row r="27184" ht="15.75" customHeight="1">
      <c r="A27184" s="2" t="s">
        <v>27184</v>
      </c>
      <c r="B27184" s="2" t="str">
        <f>IFERROR(__xludf.DUMMYFUNCTION("GOOGLETRANSLATE(A27184, ""en"", ""mt"")"),"atturi privati")</f>
        <v>atturi privati</v>
      </c>
    </row>
    <row r="27185" ht="15.75" customHeight="1">
      <c r="A27185" s="2" t="s">
        <v>27185</v>
      </c>
      <c r="B27185" s="2" t="str">
        <f>IFERROR(__xludf.DUMMYFUNCTION("GOOGLETRANSLATE(A27185, ""en"", ""mt"")"),"X'inhu l-evidenza tal-kloroplasti imnissla minn ċjanobatterji endosimbjotiċi?")</f>
        <v>X'inhu l-evidenza tal-kloroplasti imnissla minn ċjanobatterji endosimbjotiċi?</v>
      </c>
    </row>
    <row r="27186" ht="15.75" customHeight="1">
      <c r="A27186" s="2" t="s">
        <v>27186</v>
      </c>
      <c r="B27186" s="2" t="str">
        <f>IFERROR(__xludf.DUMMYFUNCTION("GOOGLETRANSLATE(A27186, ""en"", ""mt"")"),"Kuntratt")</f>
        <v>Kuntratt</v>
      </c>
    </row>
    <row r="27187" ht="15.75" customHeight="1">
      <c r="A27187" s="2" t="s">
        <v>27187</v>
      </c>
      <c r="B27187" s="2" t="str">
        <f>IFERROR(__xludf.DUMMYFUNCTION("GOOGLETRANSLATE(A27187, ""en"", ""mt"")"),"Fl-2009, in-NASA organizzat simpożju dwar l-ispejjeż tal-proġett li ppreżenta stima tal-ispejjeż tal-programm Apollo fid-dollari tal-2005 bħala madwar $ 170 biljun. Dan kien jinkludi l-ispejjeż kollha tar-riċerka u l-iżvilupp; l-akkwist ta '15 -il rokits "&amp;"Saturn V, 16-il moduli ta 'kmand / servizz, 12-il moduli lunari, flimkien ma' l-appoġġ tal-programm u l-ispejjeż tal-ġestjoni; Spejjeż ta 'kostruzzjoni għall-faċilitajiet u l-aġġornament tagħhom, u l-ispejjeż għall-operazzjonijiet tat-titjira. Dan kien ib"&amp;"bażat fuq rapport tal-Uffiċċju tal-Baġit tal-Kungress, analiżi baġitarja tal-viżjoni l-ġdida tal-NASA għall-ispazju, Settembru 2004. Ir-reviżjoni spazjali stmata fl-2010 l-ispiża ta 'Apollo mill-1959 sal-1973 bħala $ 20.4 biljun, jew $ 109 biljun f'dollar"&amp;"i 2010.")</f>
        <v>Fl-2009, in-NASA organizzat simpożju dwar l-ispejjeż tal-proġett li ppreżenta stima tal-ispejjeż tal-programm Apollo fid-dollari tal-2005 bħala madwar $ 170 biljun. Dan kien jinkludi l-ispejjeż kollha tar-riċerka u l-iżvilupp; l-akkwist ta '15 -il rokits Saturn V, 16-il moduli ta 'kmand / servizz, 12-il moduli lunari, flimkien ma' l-appoġġ tal-programm u l-ispejjeż tal-ġestjoni; Spejjeż ta 'kostruzzjoni għall-faċilitajiet u l-aġġornament tagħhom, u l-ispejjeż għall-operazzjonijiet tat-titjira. Dan kien ibbażat fuq rapport tal-Uffiċċju tal-Baġit tal-Kungress, analiżi baġitarja tal-viżjoni l-ġdida tal-NASA għall-ispazju, Settembru 2004. Ir-reviżjoni spazjali stmata fl-2010 l-ispiża ta 'Apollo mill-1959 sal-1973 bħala $ 20.4 biljun, jew $ 109 biljun f'dollari 2010.</v>
      </c>
    </row>
    <row r="27188" ht="15.75" customHeight="1">
      <c r="A27188" s="2" t="s">
        <v>27188</v>
      </c>
      <c r="B27188" s="2" t="str">
        <f>IFERROR(__xludf.DUMMYFUNCTION("GOOGLETRANSLATE(A27188, ""en"", ""mt"")"),"In-numru ta 'servizzi soċjali li n-nies jistgħu jaċċessaw kull fejn jimxu")</f>
        <v>In-numru ta 'servizzi soċjali li n-nies jistgħu jaċċessaw kull fejn jimxu</v>
      </c>
    </row>
    <row r="27189" ht="15.75" customHeight="1">
      <c r="A27189" s="2" t="s">
        <v>27189</v>
      </c>
      <c r="B27189" s="2" t="str">
        <f>IFERROR(__xludf.DUMMYFUNCTION("GOOGLETRANSLATE(A27189, ""en"", ""mt"")"),"Jekk Q = 9 u A = 3,6 jew 9, kemm primes ikunu fil-progressjoni?")</f>
        <v>Jekk Q = 9 u A = 3,6 jew 9, kemm primes ikunu fil-progressjoni?</v>
      </c>
    </row>
    <row r="27190" ht="15.75" customHeight="1">
      <c r="A27190" s="2" t="s">
        <v>27190</v>
      </c>
      <c r="B27190" s="2" t="str">
        <f>IFERROR(__xludf.DUMMYFUNCTION("GOOGLETRANSLATE(A27190, ""en"", ""mt"")"),"Horace Walpole")</f>
        <v>Horace Walpole</v>
      </c>
    </row>
    <row r="27191" ht="15.75" customHeight="1">
      <c r="A27191" s="2" t="s">
        <v>27191</v>
      </c>
      <c r="B27191" s="2" t="str">
        <f>IFERROR(__xludf.DUMMYFUNCTION("GOOGLETRANSLATE(A27191, ""en"", ""mt"")"),"servizz")</f>
        <v>servizz</v>
      </c>
    </row>
    <row r="27192" ht="15.75" customHeight="1">
      <c r="A27192" s="2" t="s">
        <v>27192</v>
      </c>
      <c r="B27192" s="2" t="str">
        <f>IFERROR(__xludf.DUMMYFUNCTION("GOOGLETRANSLATE(A27192, ""en"", ""mt"")"),"Kalkulu integrali")</f>
        <v>Kalkulu integrali</v>
      </c>
    </row>
    <row r="27193" ht="15.75" customHeight="1">
      <c r="A27193" s="2" t="s">
        <v>27193</v>
      </c>
      <c r="B27193" s="2" t="str">
        <f>IFERROR(__xludf.DUMMYFUNCTION("GOOGLETRANSLATE(A27193, ""en"", ""mt"")"),"Ħallas il-kera tiegħu fil-lukanda New Yorker")</f>
        <v>Ħallas il-kera tiegħu fil-lukanda New Yorker</v>
      </c>
    </row>
    <row r="27194" ht="15.75" customHeight="1">
      <c r="A27194" s="2" t="s">
        <v>27194</v>
      </c>
      <c r="B27194" s="2" t="str">
        <f>IFERROR(__xludf.DUMMYFUNCTION("GOOGLETRANSLATE(A27194, ""en"", ""mt"")"),"tridimensjonali")</f>
        <v>tridimensjonali</v>
      </c>
    </row>
    <row r="27195" ht="15.75" customHeight="1">
      <c r="A27195" s="2" t="s">
        <v>27195</v>
      </c>
      <c r="B27195" s="2" t="str">
        <f>IFERROR(__xludf.DUMMYFUNCTION("GOOGLETRANSLATE(A27195, ""en"", ""mt"")"),"Maniġer tal-Kostruzzjoni, Inġinier tad-Disinn, Inġinier tal-Kostruzzjoni jew Maniġer tal-Proġett")</f>
        <v>Maniġer tal-Kostruzzjoni, Inġinier tad-Disinn, Inġinier tal-Kostruzzjoni jew Maniġer tal-Proġett</v>
      </c>
    </row>
    <row r="27196" ht="15.75" customHeight="1">
      <c r="A27196" s="2" t="s">
        <v>27196</v>
      </c>
      <c r="B27196" s="2" t="str">
        <f>IFERROR(__xludf.DUMMYFUNCTION("GOOGLETRANSLATE(A27196, ""en"", ""mt"")"),"1 kienu meqjusa bħala prim")</f>
        <v>1 kienu meqjusa bħala prim</v>
      </c>
    </row>
    <row r="27197" ht="15.75" customHeight="1">
      <c r="A27197" s="2" t="s">
        <v>27197</v>
      </c>
      <c r="B27197" s="2" t="str">
        <f>IFERROR(__xludf.DUMMYFUNCTION("GOOGLETRANSLATE(A27197, ""en"", ""mt"")"),"makrofaġi, newtrofili, u ċelloli dendritiċi")</f>
        <v>makrofaġi, newtrofili, u ċelloli dendritiċi</v>
      </c>
    </row>
    <row r="27198" ht="15.75" customHeight="1">
      <c r="A27198" s="2" t="s">
        <v>27198</v>
      </c>
      <c r="B27198" s="2" t="str">
        <f>IFERROR(__xludf.DUMMYFUNCTION("GOOGLETRANSLATE(A27198, ""en"", ""mt"")"),"X'kienet bi żball Tesla li kienu jemmnu x-rays?")</f>
        <v>X'kienet bi żball Tesla li kienu jemmnu x-rays?</v>
      </c>
    </row>
    <row r="27199" ht="15.75" customHeight="1">
      <c r="A27199" s="2" t="s">
        <v>27199</v>
      </c>
      <c r="B27199" s="2" t="str">
        <f>IFERROR(__xludf.DUMMYFUNCTION("GOOGLETRANSLATE(A27199, ""en"", ""mt"")"),"ewkarioti")</f>
        <v>ewkarioti</v>
      </c>
    </row>
    <row r="27200" ht="15.75" customHeight="1">
      <c r="A27200" s="2" t="s">
        <v>27200</v>
      </c>
      <c r="B27200" s="2" t="str">
        <f>IFERROR(__xludf.DUMMYFUNCTION("GOOGLETRANSLATE(A27200, ""en"", ""mt"")"),"Liema armata attakkat u qerdet din il-kolonja?")</f>
        <v>Liema armata attakkat u qerdet din il-kolonja?</v>
      </c>
    </row>
    <row r="27201" ht="15.75" customHeight="1">
      <c r="A27201" s="2" t="s">
        <v>27201</v>
      </c>
      <c r="B27201" s="2" t="str">
        <f>IFERROR(__xludf.DUMMYFUNCTION("GOOGLETRANSLATE(A27201, ""en"", ""mt"")"),"Il-foqra u l-klassi tan-nofs")</f>
        <v>Il-foqra u l-klassi tan-nofs</v>
      </c>
    </row>
    <row r="27202" ht="15.75" customHeight="1">
      <c r="A27202" s="2" t="s">
        <v>27202</v>
      </c>
      <c r="B27202" s="2" t="str">
        <f>IFERROR(__xludf.DUMMYFUNCTION("GOOGLETRANSLATE(A27202, ""en"", ""mt"")"),"F'liema tip ta 'ilma l-ossiġnu jinħall aktar bil-mod?")</f>
        <v>F'liema tip ta 'ilma l-ossiġnu jinħall aktar bil-mod?</v>
      </c>
    </row>
    <row r="27203" ht="15.75" customHeight="1">
      <c r="A27203" s="2" t="s">
        <v>27203</v>
      </c>
      <c r="B27203" s="2" t="str">
        <f>IFERROR(__xludf.DUMMYFUNCTION("GOOGLETRANSLATE(A27203, ""en"", ""mt"")"),"L-Oloken")</f>
        <v>L-Oloken</v>
      </c>
    </row>
    <row r="27204" ht="15.75" customHeight="1">
      <c r="A27204" s="2" t="s">
        <v>27204</v>
      </c>
      <c r="B27204" s="2" t="str">
        <f>IFERROR(__xludf.DUMMYFUNCTION("GOOGLETRANSLATE(A27204, ""en"", ""mt"")"),"Min hu eżempju ta 'nies sedentarji li ma kinux iffavoriti mil-liġijiet tal-imperu Mongol?")</f>
        <v>Min hu eżempju ta 'nies sedentarji li ma kinux iffavoriti mil-liġijiet tal-imperu Mongol?</v>
      </c>
    </row>
    <row r="27205" ht="15.75" customHeight="1">
      <c r="A27205" s="2" t="s">
        <v>27205</v>
      </c>
      <c r="B27205" s="2" t="str">
        <f>IFERROR(__xludf.DUMMYFUNCTION("GOOGLETRANSLATE(A27205, ""en"", ""mt"")"),"L-ormoni jistgħu jaġixxu bħala immunomodulaturi, u jbiddlu s-sensittività tas-sistema immunitarja. Pereżempju, l-ormoni tas-sess femminili huma immunostimulaturi magħrufa kemm ta 'risponsi immuni adattivi kif ukoll innati. Xi mard awtoimmuni bħal lupus er"&amp;"itematos jolqot lin-nisa b'mod preferenzjali, u l-bidu tagħhom spiss jikkoinċidi mal-pubertà. B'kuntrast, ormoni tas-sess maskili bħal testosterone jidhru li huma immunosoppressivi. Ormoni oħra jidhru li jirregolaw is-sistema immuni wkoll, l-aktar prolact"&amp;"in, ormon tat-tkabbir u vitamina D.")</f>
        <v>L-ormoni jistgħu jaġixxu bħala immunomodulaturi, u jbiddlu s-sensittività tas-sistema immunitarja. Pereżempju, l-ormoni tas-sess femminili huma immunostimulaturi magħrufa kemm ta 'risponsi immuni adattivi kif ukoll innati. Xi mard awtoimmuni bħal lupus eritematos jolqot lin-nisa b'mod preferenzjali, u l-bidu tagħhom spiss jikkoinċidi mal-pubertà. B'kuntrast, ormoni tas-sess maskili bħal testosterone jidhru li huma immunosoppressivi. Ormoni oħra jidhru li jirregolaw is-sistema immuni wkoll, l-aktar prolactin, ormon tat-tkabbir u vitamina D.</v>
      </c>
    </row>
    <row r="27206" ht="15.75" customHeight="1">
      <c r="A27206" s="2" t="s">
        <v>27206</v>
      </c>
      <c r="B27206" s="2" t="str">
        <f>IFERROR(__xludf.DUMMYFUNCTION("GOOGLETRANSLATE(A27206, ""en"", ""mt"")"),"inbid")</f>
        <v>inbid</v>
      </c>
    </row>
    <row r="27207" ht="15.75" customHeight="1">
      <c r="A27207" s="2" t="s">
        <v>27207</v>
      </c>
      <c r="B27207" s="2" t="str">
        <f>IFERROR(__xludf.DUMMYFUNCTION("GOOGLETRANSLATE(A27207, ""en"", ""mt"")"),"Min l-ewwel skopra ġismu?")</f>
        <v>Min l-ewwel skopra ġismu?</v>
      </c>
    </row>
    <row r="27208" ht="15.75" customHeight="1">
      <c r="A27208" s="2" t="s">
        <v>27208</v>
      </c>
      <c r="B27208" s="2" t="str">
        <f>IFERROR(__xludf.DUMMYFUNCTION("GOOGLETRANSLATE(A27208, ""en"", ""mt"")"),"Il-Ħames Vjal tan-Nofsinhar")</f>
        <v>Il-Ħames Vjal tan-Nofsinhar</v>
      </c>
    </row>
    <row r="27209" ht="15.75" customHeight="1">
      <c r="A27209" s="2" t="s">
        <v>27209</v>
      </c>
      <c r="B27209" s="2" t="str">
        <f>IFERROR(__xludf.DUMMYFUNCTION("GOOGLETRANSLATE(A27209, ""en"", ""mt"")"),"Kemm ilha rikonoxxuta l-kunċett ta 'ċertezza legali bħala wieħed mill-prinċipji ġenerali mil-liġi tal-UE?")</f>
        <v>Kemm ilha rikonoxxuta l-kunċett ta 'ċertezza legali bħala wieħed mill-prinċipji ġenerali mil-liġi tal-UE?</v>
      </c>
    </row>
    <row r="27210" ht="15.75" customHeight="1">
      <c r="A27210" s="2" t="s">
        <v>27210</v>
      </c>
      <c r="B27210" s="2" t="str">
        <f>IFERROR(__xludf.DUMMYFUNCTION("GOOGLETRANSLATE(A27210, ""en"", ""mt"")"),"1963")</f>
        <v>1963</v>
      </c>
    </row>
    <row r="27211" ht="15.75" customHeight="1">
      <c r="A27211" s="2" t="s">
        <v>27211</v>
      </c>
      <c r="B27211" s="2" t="str">
        <f>IFERROR(__xludf.DUMMYFUNCTION("GOOGLETRANSLATE(A27211, ""en"", ""mt"")"),"Kemm pjanċi fotografiċi jinkludu l-kollezzjoni tal-lokomozzjoni tal-annimali?")</f>
        <v>Kemm pjanċi fotografiċi jinkludu l-kollezzjoni tal-lokomozzjoni tal-annimali?</v>
      </c>
    </row>
    <row r="27212" ht="15.75" customHeight="1">
      <c r="A27212" s="2" t="s">
        <v>27212</v>
      </c>
      <c r="B27212" s="2" t="str">
        <f>IFERROR(__xludf.DUMMYFUNCTION("GOOGLETRANSLATE(A27212, ""en"", ""mt"")"),"mhix unità u ma tistax tinkiteb bħala prodott ta 'żewġ elementi taċ-ċirku li mhumiex unitajiet")</f>
        <v>mhix unità u ma tistax tinkiteb bħala prodott ta 'żewġ elementi taċ-ċirku li mhumiex unitajiet</v>
      </c>
    </row>
    <row r="27213" ht="15.75" customHeight="1">
      <c r="A27213" s="2" t="s">
        <v>27213</v>
      </c>
      <c r="B27213" s="2" t="str">
        <f>IFERROR(__xludf.DUMMYFUNCTION("GOOGLETRANSLATE(A27213, ""en"", ""mt"")"),"6.04 millilitri")</f>
        <v>6.04 millilitri</v>
      </c>
    </row>
    <row r="27214" ht="15.75" customHeight="1">
      <c r="A27214" s="2" t="s">
        <v>27214</v>
      </c>
      <c r="B27214" s="2" t="str">
        <f>IFERROR(__xludf.DUMMYFUNCTION("GOOGLETRANSLATE(A27214, ""en"", ""mt"")"),"sistema interna tat-tilakoid")</f>
        <v>sistema interna tat-tilakoid</v>
      </c>
    </row>
    <row r="27215" ht="15.75" customHeight="1">
      <c r="A27215" s="2" t="s">
        <v>27215</v>
      </c>
      <c r="B27215" s="2" t="str">
        <f>IFERROR(__xludf.DUMMYFUNCTION("GOOGLETRANSLATE(A27215, ""en"", ""mt"")"),"Min kien l-ewwel fit-tim bl-indirizz totali?")</f>
        <v>Min kien l-ewwel fit-tim bl-indirizz totali?</v>
      </c>
    </row>
    <row r="27216" ht="15.75" customHeight="1">
      <c r="A27216" s="2" t="s">
        <v>27216</v>
      </c>
      <c r="B27216" s="2" t="str">
        <f>IFERROR(__xludf.DUMMYFUNCTION("GOOGLETRANSLATE(A27216, ""en"", ""mt"")"),"Boomer Esiason u Dan Fouts")</f>
        <v>Boomer Esiason u Dan Fouts</v>
      </c>
    </row>
    <row r="27217" ht="15.75" customHeight="1">
      <c r="A27217" s="2" t="s">
        <v>27217</v>
      </c>
      <c r="B27217" s="2" t="str">
        <f>IFERROR(__xludf.DUMMYFUNCTION("GOOGLETRANSLATE(A27217, ""en"", ""mt"")"),"Fresno Traction Company")</f>
        <v>Fresno Traction Company</v>
      </c>
    </row>
    <row r="27218" ht="15.75" customHeight="1">
      <c r="A27218" s="2" t="s">
        <v>27218</v>
      </c>
      <c r="B27218" s="2" t="str">
        <f>IFERROR(__xludf.DUMMYFUNCTION("GOOGLETRANSLATE(A27218, ""en"", ""mt"")"),"Riċerkaturi Brittaniċi Richard G. Wilkinson u Kate Pickett sabu rati ogħla ta 'problemi tas-saħħa u soċjali (obeżità, mard mentali, omiċidi, twelid adoloxxenti, inkarċerazzjoni, kunflitt tat-tfal, użu tad-droga), u rati aktar baxxi ta' oġġetti soċjali (għ"&amp;"omor tal-ħajja (l-istennija tal-ħajja mill-pajjiż, Prestazzjoni edukattiva, fiduċja fost barranin, status tan-nisa, mobilità soċjali, anke numru ta 'privattivi maħruġa) f'pajjiżi u stati b'inugwaljanza ogħla. Bl-użu ta 'statistika minn 23 pajjiż żviluppat"&amp;" u l-50 stat ta' l-Istati Uniti, sabu problemi soċjali / ta 'saħħa aktar baxxi f'pajjiżi bħall-Ġappun u l-Finlandja u stati bħall-Utah u New Hampshire b'livelli għoljin ta' ugwaljanza, milli f'pajjiżi (l-Istati Uniti u r-Renju Unit) u stati (Mississippi u"&amp;" New York) b'differenzi kbar fid-dħul tad-djar.")</f>
        <v>Riċerkaturi Brittaniċi Richard G. Wilkinson u Kate Pickett sabu rati ogħla ta 'problemi tas-saħħa u soċjali (obeżità, mard mentali, omiċidi, twelid adoloxxenti, inkarċerazzjoni, kunflitt tat-tfal, użu tad-droga), u rati aktar baxxi ta' oġġetti soċjali (għomor tal-ħajja (l-istennija tal-ħajja mill-pajjiż, Prestazzjoni edukattiva, fiduċja fost barranin, status tan-nisa, mobilità soċjali, anke numru ta 'privattivi maħruġa) f'pajjiżi u stati b'inugwaljanza ogħla. Bl-użu ta 'statistika minn 23 pajjiż żviluppat u l-50 stat ta' l-Istati Uniti, sabu problemi soċjali / ta 'saħħa aktar baxxi f'pajjiżi bħall-Ġappun u l-Finlandja u stati bħall-Utah u New Hampshire b'livelli għoljin ta' ugwaljanza, milli f'pajjiżi (l-Istati Uniti u r-Renju Unit) u stati (Mississippi u New York) b'differenzi kbar fid-dħul tad-djar.</v>
      </c>
    </row>
    <row r="27219" ht="15.75" customHeight="1">
      <c r="A27219" s="2" t="s">
        <v>27219</v>
      </c>
      <c r="B27219" s="2" t="str">
        <f>IFERROR(__xludf.DUMMYFUNCTION("GOOGLETRANSLATE(A27219, ""en"", ""mt"")"),"Inizjattivi tal-Finanzi Privati ​​(PFIS)")</f>
        <v>Inizjattivi tal-Finanzi Privati ​​(PFIS)</v>
      </c>
    </row>
    <row r="27220" ht="15.75" customHeight="1">
      <c r="A27220" s="2" t="s">
        <v>27220</v>
      </c>
      <c r="B27220" s="2" t="str">
        <f>IFERROR(__xludf.DUMMYFUNCTION("GOOGLETRANSLATE(A27220, ""en"", ""mt"")"),"Liema logo ġie modifikat u użat mill-ġdid għall-50 anniversarju speċjali?")</f>
        <v>Liema logo ġie modifikat u użat mill-ġdid għall-50 anniversarju speċjali?</v>
      </c>
    </row>
    <row r="27221" ht="15.75" customHeight="1">
      <c r="A27221" s="2" t="s">
        <v>27221</v>
      </c>
      <c r="B27221" s="2" t="str">
        <f>IFERROR(__xludf.DUMMYFUNCTION("GOOGLETRANSLATE(A27221, ""en"", ""mt"")"),"impedimenti")</f>
        <v>impedimenti</v>
      </c>
    </row>
    <row r="27222" ht="15.75" customHeight="1">
      <c r="A27222" s="2" t="s">
        <v>27222</v>
      </c>
      <c r="B27222" s="2" t="str">
        <f>IFERROR(__xludf.DUMMYFUNCTION("GOOGLETRANSLATE(A27222, ""en"", ""mt"")"),"Min keċċa lil Newton ftit jilgħab wara l-isfida?")</f>
        <v>Min keċċa lil Newton ftit jilgħab wara l-isfida?</v>
      </c>
    </row>
    <row r="27223" ht="15.75" customHeight="1">
      <c r="A27223" s="2" t="s">
        <v>27223</v>
      </c>
      <c r="B27223" s="2" t="str">
        <f>IFERROR(__xludf.DUMMYFUNCTION("GOOGLETRANSLATE(A27223, ""en"", ""mt"")"),"Xi jfisser l-isem Fresno bl-Ispanjol?")</f>
        <v>Xi jfisser l-isem Fresno bl-Ispanjol?</v>
      </c>
    </row>
    <row r="27224" ht="15.75" customHeight="1">
      <c r="A27224" s="2" t="s">
        <v>27224</v>
      </c>
      <c r="B27224" s="2" t="str">
        <f>IFERROR(__xludf.DUMMYFUNCTION("GOOGLETRANSLATE(A27224, ""en"", ""mt"")"),"sustanzi mhux kombustibbli li jissaddad")</f>
        <v>sustanzi mhux kombustibbli li jissaddad</v>
      </c>
    </row>
    <row r="27225" ht="15.75" customHeight="1">
      <c r="A27225" s="2" t="s">
        <v>27225</v>
      </c>
      <c r="B27225" s="2" t="str">
        <f>IFERROR(__xludf.DUMMYFUNCTION("GOOGLETRANSLATE(A27225, ""en"", ""mt"")"),"Pjanti m'għandhomx x'tip ta 'ċelloli immuni?")</f>
        <v>Pjanti m'għandhomx x'tip ta 'ċelloli immuni?</v>
      </c>
    </row>
    <row r="27226" ht="15.75" customHeight="1">
      <c r="A27226" s="2" t="s">
        <v>27226</v>
      </c>
      <c r="B27226" s="2" t="str">
        <f>IFERROR(__xludf.DUMMYFUNCTION("GOOGLETRANSLATE(A27226, ""en"", ""mt"")"),"Ġunju 1862")</f>
        <v>Ġunju 1862</v>
      </c>
    </row>
    <row r="27227" ht="15.75" customHeight="1">
      <c r="A27227" s="2" t="s">
        <v>27227</v>
      </c>
      <c r="B27227" s="2" t="str">
        <f>IFERROR(__xludf.DUMMYFUNCTION("GOOGLETRANSLATE(A27227, ""en"", ""mt"")"),"Min stabbilixxa l-Konfederazzjoni tar-Renu?")</f>
        <v>Min stabbilixxa l-Konfederazzjoni tar-Renu?</v>
      </c>
    </row>
    <row r="27228" ht="15.75" customHeight="1">
      <c r="A27228" s="2" t="s">
        <v>27228</v>
      </c>
      <c r="B27228" s="2" t="str">
        <f>IFERROR(__xludf.DUMMYFUNCTION("GOOGLETRANSLATE(A27228, ""en"", ""mt"")"),"tallinja l-għanijiet personali tiegħu mal-għanijiet akkademiċi tiegħu.")</f>
        <v>tallinja l-għanijiet personali tiegħu mal-għanijiet akkademiċi tiegħu.</v>
      </c>
    </row>
    <row r="27229" ht="15.75" customHeight="1">
      <c r="A27229" s="2" t="s">
        <v>27229</v>
      </c>
      <c r="B27229" s="2" t="str">
        <f>IFERROR(__xludf.DUMMYFUNCTION("GOOGLETRANSLATE(A27229, ""en"", ""mt"")"),"intern")</f>
        <v>intern</v>
      </c>
    </row>
    <row r="27230" ht="15.75" customHeight="1">
      <c r="A27230" s="2" t="s">
        <v>27230</v>
      </c>
      <c r="B27230" s="2" t="str">
        <f>IFERROR(__xludf.DUMMYFUNCTION("GOOGLETRANSLATE(A27230, ""en"", ""mt"")"),"Min iżżewweġ il-koppja tat-tieġ?")</f>
        <v>Min iżżewweġ il-koppja tat-tieġ?</v>
      </c>
    </row>
    <row r="27231" ht="15.75" customHeight="1">
      <c r="A27231" s="2" t="s">
        <v>27231</v>
      </c>
      <c r="B27231" s="2" t="str">
        <f>IFERROR(__xludf.DUMMYFUNCTION("GOOGLETRANSLATE(A27231, ""en"", ""mt"")"),"Jum l-Indipendenza")</f>
        <v>Jum l-Indipendenza</v>
      </c>
    </row>
    <row r="27232" ht="15.75" customHeight="1">
      <c r="A27232" s="2" t="s">
        <v>27232</v>
      </c>
      <c r="B27232" s="2" t="str">
        <f>IFERROR(__xludf.DUMMYFUNCTION("GOOGLETRANSLATE(A27232, ""en"", ""mt"")"),"it-tieni l-akbar")</f>
        <v>it-tieni l-akbar</v>
      </c>
    </row>
    <row r="27233" ht="15.75" customHeight="1">
      <c r="A27233" s="2" t="s">
        <v>27233</v>
      </c>
      <c r="B27233" s="2" t="str">
        <f>IFERROR(__xludf.DUMMYFUNCTION("GOOGLETRANSLATE(A27233, ""en"", ""mt"")"),"Kemm plejers ingħataw id-distinzjoni tal-plejer l-iktar siewja għas-Super Bowl?")</f>
        <v>Kemm plejers ingħataw id-distinzjoni tal-plejer l-iktar siewja għas-Super Bowl?</v>
      </c>
    </row>
    <row r="27234" ht="15.75" customHeight="1">
      <c r="A27234" s="2" t="s">
        <v>27234</v>
      </c>
      <c r="B27234" s="2" t="str">
        <f>IFERROR(__xludf.DUMMYFUNCTION("GOOGLETRANSLATE(A27234, ""en"", ""mt"")"),"X'jikkawża l-immunodefiċjenza?")</f>
        <v>X'jikkawża l-immunodefiċjenza?</v>
      </c>
    </row>
    <row r="27235" ht="15.75" customHeight="1">
      <c r="A27235" s="2" t="s">
        <v>27235</v>
      </c>
      <c r="B27235" s="2" t="str">
        <f>IFERROR(__xludf.DUMMYFUNCTION("GOOGLETRANSLATE(A27235, ""en"", ""mt"")"),"Kgpe")</f>
        <v>Kgpe</v>
      </c>
    </row>
    <row r="27236" ht="15.75" customHeight="1">
      <c r="A27236" s="2" t="s">
        <v>27236</v>
      </c>
      <c r="B27236" s="2" t="str">
        <f>IFERROR(__xludf.DUMMYFUNCTION("GOOGLETRANSLATE(A27236, ""en"", ""mt"")"),"Liema liġijiet imsemmija qabel il-liġi tal-UE?")</f>
        <v>Liema liġijiet imsemmija qabel il-liġi tal-UE?</v>
      </c>
    </row>
    <row r="27237" ht="15.75" customHeight="1">
      <c r="A27237" s="2" t="s">
        <v>27237</v>
      </c>
      <c r="B27237" s="2" t="str">
        <f>IFERROR(__xludf.DUMMYFUNCTION("GOOGLETRANSLATE(A27237, ""en"", ""mt"")"),"L-Isqof Lloyd Kristu")</f>
        <v>L-Isqof Lloyd Kristu</v>
      </c>
    </row>
    <row r="27238" ht="15.75" customHeight="1">
      <c r="A27238" s="2" t="s">
        <v>27238</v>
      </c>
      <c r="B27238" s="2" t="str">
        <f>IFERROR(__xludf.DUMMYFUNCTION("GOOGLETRANSLATE(A27238, ""en"", ""mt"")"),"L-ewwel liġi ta 'mozzjoni ta' Newton tiddikjara li l-oġġetti jkomplu jimxu fi stat ta 'veloċità kostanti sakemm ma jaġixxux minn forza netta esterna jew forza li tirriżulta. Din il-liġi hija estensjoni tal-għarfien ta 'Galileo li l-veloċità kostanti kiene"&amp;"t assoċjata ma' nuqqas ta 'forza netta (ara deskrizzjoni aktar dettaljata ta' dan hawn taħt). Newton ippropona li kull oġġett bil-massa jkollu inerzja intrinsika li taħdem bħala l-ekwilibriju fundamentali ""stat naturali"" minflok l-idea aristoteljana ta "&amp;"'l- ""istat naturali ta' mistrieħ"". Jiġifieri, l-ewwel liġi tikkontradixxi t-twemmin aristoteljan intuwittiv li forza netta hija meħtieġa biex iżżomm oġġett li jiċċaqlaq b'veloċità kostanti. Billi tagħmel il-mistrieħ fiżikament indistingwibbli minn veloċ"&amp;"ità kostanti mhux żero, l-ewwel liġi ta 'Newton tgħaqqad direttament l-inerzja mal-kunċett ta' veloċitajiet relattivi. Speċifikament, f'sistemi fejn l-oġġetti qed jimxu b'veloċitajiet differenti, huwa impossibbli li jiġi ddeterminat liema oġġett huwa ""mi"&amp;"exi"" u liema oġġett huwa ""mistrieħ"". Fi kliem ieħor, biex il-frażi huma iktar teknikament, il-liġijiet tal-fiżika huma l-istess f'kull qafas ta 'referenza inerzjali, jiġifieri, fil-frejms kollha relatati minn trasformazzjoni Galiljana.")</f>
        <v>L-ewwel liġi ta 'mozzjoni ta' Newton tiddikjara li l-oġġetti jkomplu jimxu fi stat ta 'veloċità kostanti sakemm ma jaġixxux minn forza netta esterna jew forza li tirriżulta. Din il-liġi hija estensjoni tal-għarfien ta 'Galileo li l-veloċità kostanti kienet assoċjata ma' nuqqas ta 'forza netta (ara deskrizzjoni aktar dettaljata ta' dan hawn taħt). Newton ippropona li kull oġġett bil-massa jkollu inerzja intrinsika li taħdem bħala l-ekwilibriju fundamentali "stat naturali" minflok l-idea aristoteljana ta 'l- "istat naturali ta' mistrieħ". Jiġifieri, l-ewwel liġi tikkontradixxi t-twemmin aristoteljan intuwittiv li forza netta hija meħtieġa biex iżżomm oġġett li jiċċaqlaq b'veloċità kostanti. Billi tagħmel il-mistrieħ fiżikament indistingwibbli minn veloċità kostanti mhux żero, l-ewwel liġi ta 'Newton tgħaqqad direttament l-inerzja mal-kunċett ta' veloċitajiet relattivi. Speċifikament, f'sistemi fejn l-oġġetti qed jimxu b'veloċitajiet differenti, huwa impossibbli li jiġi ddeterminat liema oġġett huwa "miexi" u liema oġġett huwa "mistrieħ". Fi kliem ieħor, biex il-frażi huma iktar teknikament, il-liġijiet tal-fiżika huma l-istess f'kull qafas ta 'referenza inerzjali, jiġifieri, fil-frejms kollha relatati minn trasformazzjoni Galiljana.</v>
      </c>
    </row>
    <row r="27239" ht="15.75" customHeight="1">
      <c r="A27239" s="2" t="s">
        <v>27239</v>
      </c>
      <c r="B27239" s="2" t="str">
        <f>IFERROR(__xludf.DUMMYFUNCTION("GOOGLETRANSLATE(A27239, ""en"", ""mt"")"),"il-muntanji Tehachapi")</f>
        <v>il-muntanji Tehachapi</v>
      </c>
    </row>
    <row r="27240" ht="15.75" customHeight="1">
      <c r="A27240" s="2" t="s">
        <v>27240</v>
      </c>
      <c r="B27240" s="2" t="str">
        <f>IFERROR(__xludf.DUMMYFUNCTION("GOOGLETRANSLATE(A27240, ""en"", ""mt"")"),"Madwar wieħed minn tmienja n-numru")</f>
        <v>Madwar wieħed minn tmienja n-numru</v>
      </c>
    </row>
    <row r="27241" ht="15.75" customHeight="1">
      <c r="A27241" s="2" t="s">
        <v>27241</v>
      </c>
      <c r="B27241" s="2" t="str">
        <f>IFERROR(__xludf.DUMMYFUNCTION("GOOGLETRANSLATE(A27241, ""en"", ""mt"")"),"Iffissat")</f>
        <v>Iffissat</v>
      </c>
    </row>
    <row r="27242" ht="15.75" customHeight="1">
      <c r="A27242" s="2" t="s">
        <v>27242</v>
      </c>
      <c r="B27242" s="2" t="str">
        <f>IFERROR(__xludf.DUMMYFUNCTION("GOOGLETRANSLATE(A27242, ""en"", ""mt"")"),"materjali kombustibbli")</f>
        <v>materjali kombustibbli</v>
      </c>
    </row>
    <row r="27243" ht="15.75" customHeight="1">
      <c r="A27243" s="2" t="s">
        <v>27243</v>
      </c>
      <c r="B27243" s="2" t="str">
        <f>IFERROR(__xludf.DUMMYFUNCTION("GOOGLETRANSLATE(A27243, ""en"", ""mt"")"),"Sistema ta 'Modifika ta' Restrizzjoni")</f>
        <v>Sistema ta 'Modifika ta' Restrizzjoni</v>
      </c>
    </row>
    <row r="27244" ht="15.75" customHeight="1">
      <c r="A27244" s="2" t="s">
        <v>27244</v>
      </c>
      <c r="B27244" s="2" t="str">
        <f>IFERROR(__xludf.DUMMYFUNCTION("GOOGLETRANSLATE(A27244, ""en"", ""mt"")"),"~ 11,700 sena ilu")</f>
        <v>~ 11,700 sena ilu</v>
      </c>
    </row>
    <row r="27245" ht="15.75" customHeight="1">
      <c r="A27245" s="2" t="s">
        <v>27245</v>
      </c>
      <c r="B27245" s="2" t="str">
        <f>IFERROR(__xludf.DUMMYFUNCTION("GOOGLETRANSLATE(A27245, ""en"", ""mt"")"),"relatat mal-karbonju")</f>
        <v>relatat mal-karbonju</v>
      </c>
    </row>
    <row r="27246" ht="15.75" customHeight="1">
      <c r="A27246" s="2" t="s">
        <v>27246</v>
      </c>
      <c r="B27246" s="2" t="str">
        <f>IFERROR(__xludf.DUMMYFUNCTION("GOOGLETRANSLATE(A27246, ""en"", ""mt"")"),"Gryphon")</f>
        <v>Gryphon</v>
      </c>
    </row>
    <row r="27247" ht="15.75" customHeight="1">
      <c r="A27247" s="2" t="s">
        <v>27247</v>
      </c>
      <c r="B27247" s="2" t="str">
        <f>IFERROR(__xludf.DUMMYFUNCTION("GOOGLETRANSLATE(A27247, ""en"", ""mt"")"),"Uliedu u n-neputijiet tiegħu.")</f>
        <v>Uliedu u n-neputijiet tiegħu.</v>
      </c>
    </row>
    <row r="27248" ht="15.75" customHeight="1">
      <c r="A27248" s="2" t="s">
        <v>27248</v>
      </c>
      <c r="B27248" s="2" t="str">
        <f>IFERROR(__xludf.DUMMYFUNCTION("GOOGLETRANSLATE(A27248, ""en"", ""mt"")"),"Meta ġie introdott Ctenophore Mnemiopsis Leidyi fil-Baħar l-Iswed u fil-Baħar ta 'Azov?")</f>
        <v>Meta ġie introdott Ctenophore Mnemiopsis Leidyi fil-Baħar l-Iswed u fil-Baħar ta 'Azov?</v>
      </c>
    </row>
    <row r="27249" ht="15.75" customHeight="1">
      <c r="A27249" s="2" t="s">
        <v>27249</v>
      </c>
      <c r="B27249" s="2" t="str">
        <f>IFERROR(__xludf.DUMMYFUNCTION("GOOGLETRANSLATE(A27249, ""en"", ""mt"")"),"Meta kien rifless il-kumpless politiku militari fl-ambitu tal-fehim tal-imperjalizmu?")</f>
        <v>Meta kien rifless il-kumpless politiku militari fl-ambitu tal-fehim tal-imperjalizmu?</v>
      </c>
    </row>
    <row r="27250" ht="15.75" customHeight="1">
      <c r="A27250" s="2" t="s">
        <v>27250</v>
      </c>
      <c r="B27250" s="2" t="str">
        <f>IFERROR(__xludf.DUMMYFUNCTION("GOOGLETRANSLATE(A27250, ""en"", ""mt"")"),"John C. Messenger")</f>
        <v>John C. Messenger</v>
      </c>
    </row>
    <row r="27251" ht="15.75" customHeight="1">
      <c r="A27251" s="2" t="s">
        <v>27251</v>
      </c>
      <c r="B27251" s="2" t="str">
        <f>IFERROR(__xludf.DUMMYFUNCTION("GOOGLETRANSLATE(A27251, ""en"", ""mt"")"),"L-input kontinwu tas-sediment fil-lag se joħroġ il-lag")</f>
        <v>L-input kontinwu tas-sediment fil-lag se joħroġ il-lag</v>
      </c>
    </row>
    <row r="27252" ht="15.75" customHeight="1">
      <c r="A27252" s="2" t="s">
        <v>27252</v>
      </c>
      <c r="B27252" s="2" t="str">
        <f>IFERROR(__xludf.DUMMYFUNCTION("GOOGLETRANSLATE(A27252, ""en"", ""mt"")"),"Min irrekluta Webb għal ġestjoni aħjar tal-proġett?")</f>
        <v>Min irrekluta Webb għal ġestjoni aħjar tal-proġett?</v>
      </c>
    </row>
    <row r="27253" ht="15.75" customHeight="1">
      <c r="A27253" s="2" t="s">
        <v>27253</v>
      </c>
      <c r="B27253" s="2" t="str">
        <f>IFERROR(__xludf.DUMMYFUNCTION("GOOGLETRANSLATE(A27253, ""en"", ""mt"")"),"il-kurrikulu.")</f>
        <v>il-kurrikulu.</v>
      </c>
    </row>
    <row r="27254" ht="15.75" customHeight="1">
      <c r="A27254" s="2" t="s">
        <v>27254</v>
      </c>
      <c r="B27254" s="2" t="str">
        <f>IFERROR(__xludf.DUMMYFUNCTION("GOOGLETRANSLATE(A27254, ""en"", ""mt"")"),"F'liema reġjun ta 'California jinsab Palm Springs?")</f>
        <v>F'liema reġjun ta 'California jinsab Palm Springs?</v>
      </c>
    </row>
    <row r="27255" ht="15.75" customHeight="1">
      <c r="A27255" s="2" t="s">
        <v>27255</v>
      </c>
      <c r="B27255" s="2" t="str">
        <f>IFERROR(__xludf.DUMMYFUNCTION("GOOGLETRANSLATE(A27255, ""en"", ""mt"")"),"Ippubblikat fi żmien ta 'domanda dejjem tikber għal pubblikazzjonijiet bil-lingwa Ġermaniża, il-verżjoni ta' Luther malajr saret traduzzjoni tal-Bibbja popolari u influwenti. Bħala tali, hija għamlet kontribut sinifikanti għall-evoluzzjoni tal-lingwa u l-"&amp;"letteratura Ġermaniża. Fornit b'noti u prefaces minn Luther, u bil-injam ta 'Lucas Cranach li kien fih xbihat anti-papali, hija kellha rwol ewlieni fit-tixrid tad-duttrina ta' Luther madwar il-Ġermanja. Il-Bibbja Luther influwenzat traduzzjonijiet vernako"&amp;"lari oħra, bħall-Bibbja Ingliża ta 'William Tyndale (1525' il quddiem), prekursur tal-Bibbja tar-Re James.")</f>
        <v>Ippubblikat fi żmien ta 'domanda dejjem tikber għal pubblikazzjonijiet bil-lingwa Ġermaniża, il-verżjoni ta' Luther malajr saret traduzzjoni tal-Bibbja popolari u influwenti. Bħala tali, hija għamlet kontribut sinifikanti għall-evoluzzjoni tal-lingwa u l-letteratura Ġermaniża. Fornit b'noti u prefaces minn Luther, u bil-injam ta 'Lucas Cranach li kien fih xbihat anti-papali, hija kellha rwol ewlieni fit-tixrid tad-duttrina ta' Luther madwar il-Ġermanja. Il-Bibbja Luther influwenzat traduzzjonijiet vernakolari oħra, bħall-Bibbja Ingliża ta 'William Tyndale (1525' il quddiem), prekursur tal-Bibbja tar-Re James.</v>
      </c>
    </row>
    <row r="27256" ht="15.75" customHeight="1">
      <c r="A27256" s="2" t="s">
        <v>27256</v>
      </c>
      <c r="B27256" s="2" t="str">
        <f>IFERROR(__xludf.DUMMYFUNCTION("GOOGLETRANSLATE(A27256, ""en"", ""mt"")"),"Bilaterjani")</f>
        <v>Bilaterjani</v>
      </c>
    </row>
    <row r="27257" ht="15.75" customHeight="1">
      <c r="A27257" s="2" t="s">
        <v>27257</v>
      </c>
      <c r="B27257" s="2" t="str">
        <f>IFERROR(__xludf.DUMMYFUNCTION("GOOGLETRANSLATE(A27257, ""en"", ""mt"")"),"Mhux f'Wittenberg")</f>
        <v>Mhux f'Wittenberg</v>
      </c>
    </row>
    <row r="27258" ht="15.75" customHeight="1">
      <c r="A27258" s="2" t="s">
        <v>27258</v>
      </c>
      <c r="B27258" s="2" t="str">
        <f>IFERROR(__xludf.DUMMYFUNCTION("GOOGLETRANSLATE(A27258, ""en"", ""mt"")"),"F'liema sena l-FCC ippubblika r-rapport tiegħu?")</f>
        <v>F'liema sena l-FCC ippubblika r-rapport tiegħu?</v>
      </c>
    </row>
    <row r="27259" ht="15.75" customHeight="1">
      <c r="A27259" s="2" t="s">
        <v>27259</v>
      </c>
      <c r="B27259" s="2" t="str">
        <f>IFERROR(__xludf.DUMMYFUNCTION("GOOGLETRANSLATE(A27259, ""en"", ""mt"")"),"Skond Luther dak li jiġġustina?")</f>
        <v>Skond Luther dak li jiġġustina?</v>
      </c>
    </row>
    <row r="27260" ht="15.75" customHeight="1">
      <c r="A27260" s="2" t="s">
        <v>27260</v>
      </c>
      <c r="B27260" s="2" t="str">
        <f>IFERROR(__xludf.DUMMYFUNCTION("GOOGLETRANSLATE(A27260, ""en"", ""mt"")"),"granuli tal-lamtu tal-amilopectin")</f>
        <v>granuli tal-lamtu tal-amilopectin</v>
      </c>
    </row>
    <row r="27261" ht="15.75" customHeight="1">
      <c r="A27261" s="2" t="s">
        <v>27261</v>
      </c>
      <c r="B27261" s="2" t="str">
        <f>IFERROR(__xludf.DUMMYFUNCTION("GOOGLETRANSLATE(A27261, ""en"", ""mt"")"),"Iż-żieda fit-temperatura kienet qrib it-tarf ta 'fuq tal-firxa mogħtija")</f>
        <v>Iż-żieda fit-temperatura kienet qrib it-tarf ta 'fuq tal-firxa mogħtija</v>
      </c>
    </row>
    <row r="27262" ht="15.75" customHeight="1">
      <c r="A27262" s="2" t="s">
        <v>27262</v>
      </c>
      <c r="B27262" s="2" t="str">
        <f>IFERROR(__xludf.DUMMYFUNCTION("GOOGLETRANSLATE(A27262, ""en"", ""mt"")"),"Min kien ir-riċevitur fuq il-konverżjoni ta '2 punti b'suċċess?")</f>
        <v>Min kien ir-riċevitur fuq il-konverżjoni ta '2 punti b'suċċess?</v>
      </c>
    </row>
    <row r="27263" ht="15.75" customHeight="1">
      <c r="A27263" s="2" t="s">
        <v>27263</v>
      </c>
      <c r="B27263" s="2" t="str">
        <f>IFERROR(__xludf.DUMMYFUNCTION("GOOGLETRANSLATE(A27263, ""en"", ""mt"")"),"irribellaw kontra dak li jqisu li huma inġusti")</f>
        <v>irribellaw kontra dak li jqisu li huma inġusti</v>
      </c>
    </row>
    <row r="27264" ht="15.75" customHeight="1">
      <c r="A27264" s="2" t="s">
        <v>27264</v>
      </c>
      <c r="B27264" s="2" t="str">
        <f>IFERROR(__xludf.DUMMYFUNCTION("GOOGLETRANSLATE(A27264, ""en"", ""mt"")"),"X'inhi d-differenza fl-inugwaljanza tad-dħul bejn is-sessi fil-Botswana?")</f>
        <v>X'inhi d-differenza fl-inugwaljanza tad-dħul bejn is-sessi fil-Botswana?</v>
      </c>
    </row>
    <row r="27265" ht="15.75" customHeight="1">
      <c r="A27265" s="2" t="s">
        <v>27265</v>
      </c>
      <c r="B27265" s="2" t="str">
        <f>IFERROR(__xludf.DUMMYFUNCTION("GOOGLETRANSLATE(A27265, ""en"", ""mt"")"),"Fejn kien jinsab is-Santwarju Archangel Michael?")</f>
        <v>Fejn kien jinsab is-Santwarju Archangel Michael?</v>
      </c>
    </row>
    <row r="27266" ht="15.75" customHeight="1">
      <c r="A27266" s="2" t="s">
        <v>27266</v>
      </c>
      <c r="B27266" s="2" t="str">
        <f>IFERROR(__xludf.DUMMYFUNCTION("GOOGLETRANSLATE(A27266, ""en"", ""mt"")"),"X'inhu magħruf ir-rally Safair?")</f>
        <v>X'inhu magħruf ir-rally Safair?</v>
      </c>
    </row>
    <row r="27267" ht="15.75" customHeight="1">
      <c r="A27267" s="2" t="s">
        <v>27267</v>
      </c>
      <c r="B27267" s="2" t="str">
        <f>IFERROR(__xludf.DUMMYFUNCTION("GOOGLETRANSLATE(A27267, ""en"", ""mt"")"),"Liema klassifikazzjoni f'termini ta 'ajruporti l-aktar traffikużi mill-volum internazzjonali tal-passiġġieri huwa l-Ajruport Internazzjonali ta' Los Angeles?")</f>
        <v>Liema klassifikazzjoni f'termini ta 'ajruporti l-aktar traffikużi mill-volum internazzjonali tal-passiġġieri huwa l-Ajruport Internazzjonali ta' Los Angeles?</v>
      </c>
    </row>
    <row r="27268" ht="15.75" customHeight="1">
      <c r="A27268" s="2" t="s">
        <v>27268</v>
      </c>
      <c r="B27268" s="2" t="str">
        <f>IFERROR(__xludf.DUMMYFUNCTION("GOOGLETRANSLATE(A27268, ""en"", ""mt"")"),"Teorija tal-Miasma")</f>
        <v>Teorija tal-Miasma</v>
      </c>
    </row>
    <row r="27269" ht="15.75" customHeight="1">
      <c r="A27269" s="2" t="s">
        <v>27269</v>
      </c>
      <c r="B27269" s="2" t="str">
        <f>IFERROR(__xludf.DUMMYFUNCTION("GOOGLETRANSLATE(A27269, ""en"", ""mt"")"),"Meta r-Rhineland tal-Armata Ġermaniża mill-ġdid?")</f>
        <v>Meta r-Rhineland tal-Armata Ġermaniża mill-ġdid?</v>
      </c>
    </row>
    <row r="27270" ht="15.75" customHeight="1">
      <c r="A27270" s="2" t="s">
        <v>27270</v>
      </c>
      <c r="B27270" s="2" t="str">
        <f>IFERROR(__xludf.DUMMYFUNCTION("GOOGLETRANSLATE(A27270, ""en"", ""mt"")"),"Liema dinastija waslet wara l-wan?")</f>
        <v>Liema dinastija waslet wara l-wan?</v>
      </c>
    </row>
    <row r="27271" ht="15.75" customHeight="1">
      <c r="A27271" s="2" t="s">
        <v>27271</v>
      </c>
      <c r="B27271" s="2" t="str">
        <f>IFERROR(__xludf.DUMMYFUNCTION("GOOGLETRANSLATE(A27271, ""en"", ""mt"")"),"il-Baħar l-Iswed")</f>
        <v>il-Baħar l-Iswed</v>
      </c>
    </row>
    <row r="27272" ht="15.75" customHeight="1">
      <c r="A27272" s="2" t="s">
        <v>27272</v>
      </c>
      <c r="B27272" s="2" t="str">
        <f>IFERROR(__xludf.DUMMYFUNCTION("GOOGLETRANSLATE(A27272, ""en"", ""mt"")"),"Super Bowl V.")</f>
        <v>Super Bowl V.</v>
      </c>
    </row>
    <row r="27273" ht="15.75" customHeight="1">
      <c r="A27273" s="2" t="s">
        <v>27273</v>
      </c>
      <c r="B27273" s="2" t="str">
        <f>IFERROR(__xludf.DUMMYFUNCTION("GOOGLETRANSLATE(A27273, ""en"", ""mt"")"),"Minn fejn ġej id-deheb fil-mace parlamentari?")</f>
        <v>Minn fejn ġej id-deheb fil-mace parlamentari?</v>
      </c>
    </row>
    <row r="27274" ht="15.75" customHeight="1">
      <c r="A27274" s="2" t="s">
        <v>27274</v>
      </c>
      <c r="B27274" s="2" t="str">
        <f>IFERROR(__xludf.DUMMYFUNCTION("GOOGLETRANSLATE(A27274, ""en"", ""mt"")"),"Iż-żieda ta 'unitajiet ta' blat ġodda, kemm depożizzjonalment kif ukoll intrusivament, ħafna drabi sseħħ waqt deformazzjoni. Ħsarat u proċessi oħra ta 'deformazzjoni jirriżultaw fil-ħolqien ta' gradjenti topografiċi, li jikkawżaw materjal fuq l-unità tal-"&amp;"blat li qed tiżdied fl-elevazzjoni biex titnaqqar minn għoljiet u kanali. Dawn is-sedimenti huma depożitati fuq l-unità tal-blat li se tinżel. Mozzjoni kontinwa tul it-tort iżżomm il-gradjent topografiku minkejja l-moviment tas-sediment, u tkompli toħloq "&amp;"spazju ta 'akkomodazzjoni biex il-materjal jiddepożita. Avvenimenti deformazzjonali huma spiss assoċjati wkoll ma 'vulkaniżmu u attività igneous. Irmied vulkaniku u lavas jakkumulaw fuq il-wiċċ, u intrużjonijiet igneous jidħlu minn taħt. Digi, intrużjonij"&amp;"iet igneous twal, planar, jidħlu tul xquq, u għalhekk ħafna drabi jiffurmaw f'numru kbir f'żoni li qed jiġu deformati b'mod attiv. Dan jista 'jirriżulta fl-enfasi ta' swarms tad-dike, bħal dawk li jistgħu jiġu osservati madwar it-tarka Kanadiża, jew ċriek"&amp;"i ta 'digi madwar it-tubu tal-lava ta' vulkan.")</f>
        <v>Iż-żieda ta 'unitajiet ta' blat ġodda, kemm depożizzjonalment kif ukoll intrusivament, ħafna drabi sseħħ waqt deformazzjoni. Ħsarat u proċessi oħra ta 'deformazzjoni jirriżultaw fil-ħolqien ta' gradjenti topografiċi, li jikkawżaw materjal fuq l-unità tal-blat li qed tiżdied fl-elevazzjoni biex titnaqqar minn għoljiet u kanali. Dawn is-sedimenti huma depożitati fuq l-unità tal-blat li se tinżel. Mozzjoni kontinwa tul it-tort iżżomm il-gradjent topografiku minkejja l-moviment tas-sediment, u tkompli toħloq spazju ta 'akkomodazzjoni biex il-materjal jiddepożita. Avvenimenti deformazzjonali huma spiss assoċjati wkoll ma 'vulkaniżmu u attività igneous. Irmied vulkaniku u lavas jakkumulaw fuq il-wiċċ, u intrużjonijiet igneous jidħlu minn taħt. Digi, intrużjonijiet igneous twal, planar, jidħlu tul xquq, u għalhekk ħafna drabi jiffurmaw f'numru kbir f'żoni li qed jiġu deformati b'mod attiv. Dan jista 'jirriżulta fl-enfasi ta' swarms tad-dike, bħal dawk li jistgħu jiġu osservati madwar it-tarka Kanadiża, jew ċrieki ta 'digi madwar it-tubu tal-lava ta' vulkan.</v>
      </c>
    </row>
    <row r="27275" ht="15.75" customHeight="1">
      <c r="A27275" s="2" t="s">
        <v>27275</v>
      </c>
      <c r="B27275" s="2" t="str">
        <f>IFERROR(__xludf.DUMMYFUNCTION("GOOGLETRANSLATE(A27275, ""en"", ""mt"")"),"Kemm libreriji individwali jiffurmaw il-librerija tal-iskola ewlenija?")</f>
        <v>Kemm libreriji individwali jiffurmaw il-librerija tal-iskola ewlenija?</v>
      </c>
    </row>
    <row r="27276" ht="15.75" customHeight="1">
      <c r="A27276" s="2" t="s">
        <v>27276</v>
      </c>
      <c r="B27276" s="2" t="str">
        <f>IFERROR(__xludf.DUMMYFUNCTION("GOOGLETRANSLATE(A27276, ""en"", ""mt"")"),"Muntanji Andes")</f>
        <v>Muntanji Andes</v>
      </c>
    </row>
    <row r="27277" ht="15.75" customHeight="1">
      <c r="A27277" s="2" t="s">
        <v>27277</v>
      </c>
      <c r="B27277" s="2" t="str">
        <f>IFERROR(__xludf.DUMMYFUNCTION("GOOGLETRANSLATE(A27277, ""en"", ""mt"")"),"mhux dejjem")</f>
        <v>mhux dejjem</v>
      </c>
    </row>
    <row r="27278" ht="15.75" customHeight="1">
      <c r="A27278" s="2" t="s">
        <v>27278</v>
      </c>
      <c r="B27278" s="2" t="str">
        <f>IFERROR(__xludf.DUMMYFUNCTION("GOOGLETRANSLATE(A27278, ""en"", ""mt"")"),"Liema sena Slayton għażel l-ewwel ekwipaġġ ta 'Apollo?")</f>
        <v>Liema sena Slayton għażel l-ewwel ekwipaġġ ta 'Apollo?</v>
      </c>
    </row>
    <row r="27279" ht="15.75" customHeight="1">
      <c r="A27279" s="2" t="s">
        <v>27279</v>
      </c>
      <c r="B27279" s="2" t="str">
        <f>IFERROR(__xludf.DUMMYFUNCTION("GOOGLETRANSLATE(A27279, ""en"", ""mt"")"),"Ġenerali Sejm")</f>
        <v>Ġenerali Sejm</v>
      </c>
    </row>
    <row r="27280" ht="15.75" customHeight="1">
      <c r="A27280" s="2" t="s">
        <v>27280</v>
      </c>
      <c r="B27280" s="2" t="str">
        <f>IFERROR(__xludf.DUMMYFUNCTION("GOOGLETRANSLATE(A27280, ""en"", ""mt"")"),"jiddelega aktar poter lill-gvernijiet lokali u jagħti lill-Kenyans Abbozz tad-Drittijiet")</f>
        <v>jiddelega aktar poter lill-gvernijiet lokali u jagħti lill-Kenyans Abbozz tad-Drittijiet</v>
      </c>
    </row>
    <row r="27281" ht="15.75" customHeight="1">
      <c r="A27281" s="2" t="s">
        <v>27281</v>
      </c>
      <c r="B27281" s="2" t="str">
        <f>IFERROR(__xludf.DUMMYFUNCTION("GOOGLETRANSLATE(A27281, ""en"", ""mt"")"),"George Stephenson")</f>
        <v>George Stephenson</v>
      </c>
    </row>
    <row r="27282" ht="15.75" customHeight="1">
      <c r="A27282" s="2" t="s">
        <v>27282</v>
      </c>
      <c r="B27282" s="2" t="str">
        <f>IFERROR(__xludf.DUMMYFUNCTION("GOOGLETRANSLATE(A27282, ""en"", ""mt"")"),"deterministiku")</f>
        <v>deterministiku</v>
      </c>
    </row>
    <row r="27283" ht="15.75" customHeight="1">
      <c r="A27283" s="2" t="s">
        <v>27283</v>
      </c>
      <c r="B27283" s="2" t="str">
        <f>IFERROR(__xludf.DUMMYFUNCTION("GOOGLETRANSLATE(A27283, ""en"", ""mt"")"),"Min għamlet analiżi morfoloġikament fl-1985 li kkonkludiet li ċ-ċidippidi mhumiex monofiletiċi?")</f>
        <v>Min għamlet analiżi morfoloġikament fl-1985 li kkonkludiet li ċ-ċidippidi mhumiex monofiletiċi?</v>
      </c>
    </row>
    <row r="27284" ht="15.75" customHeight="1">
      <c r="A27284" s="2" t="s">
        <v>27284</v>
      </c>
      <c r="B27284" s="2" t="str">
        <f>IFERROR(__xludf.DUMMYFUNCTION("GOOGLETRANSLATE(A27284, ""en"", ""mt"")"),"L-attività tal-bini seħħet f'ħafna palazzi nobbli u knejjes matul id-deċennji aktar tard tas-seklu 17. Wieħed mill-aħjar eżempji ta 'din l-arkitettura huma l-Palazz Krasiński (1677-1683), il-Palazz Wiranów (1677-1696) u l-Knisja ta' San Kazimierz (1688-16"&amp;"92). L-iktar eżempji impressjonanti ta 'arkitettura ta' Rococo huma l-Palazz Czapski (1712-1721), Palazz ta 'l-Erba' Irjieħ (1730s) u Knisja Viżitantista (Faċċata 1728-1761). L-arkitettura neoklassika f'Varsavja tista 'tiġi deskritta mis-sempliċità tal-fo"&amp;"rom ġeometriċi magħquda b'ispirazzjoni kbira mill-perjodu Ruman. Uħud mill-aħjar eżempji ta 'l-istil neoklasiku huma l-palazz fuq l-ilma (mibnija mill-ġdid 1775-1795), Królikarnia (1782-1786), Knisja Karmelitana (Faċċata 1761-1783) u Knisja Evanġelika Mqa"&amp;"ddsa tat-Trinità (1777-1782). It-tkabbir ekonomiku matul l-ewwel snin tal-Kungress il-Polonja kkawża arkitettura ta 'żieda mgħaġġla. Il-qawmien mill-ġdid neoklassiku affettwa l-aspetti kollha tal-arkitettura, l-iktar notevoli huma t-Teatru l-Kbir (1825-18"&amp;"33) u bini li jinsab fil-Pjazza Bank (1825-1828).")</f>
        <v>L-attività tal-bini seħħet f'ħafna palazzi nobbli u knejjes matul id-deċennji aktar tard tas-seklu 17. Wieħed mill-aħjar eżempji ta 'din l-arkitettura huma l-Palazz Krasiński (1677-1683), il-Palazz Wiranów (1677-1696) u l-Knisja ta' San Kazimierz (1688-1692). L-iktar eżempji impressjonanti ta 'arkitettura ta' Rococo huma l-Palazz Czapski (1712-1721), Palazz ta 'l-Erba' Irjieħ (1730s) u Knisja Viżitantista (Faċċata 1728-1761). L-arkitettura neoklassika f'Varsavja tista 'tiġi deskritta mis-sempliċità tal-forom ġeometriċi magħquda b'ispirazzjoni kbira mill-perjodu Ruman. Uħud mill-aħjar eżempji ta 'l-istil neoklasiku huma l-palazz fuq l-ilma (mibnija mill-ġdid 1775-1795), Królikarnia (1782-1786), Knisja Karmelitana (Faċċata 1761-1783) u Knisja Evanġelika Mqaddsa tat-Trinità (1777-1782). It-tkabbir ekonomiku matul l-ewwel snin tal-Kungress il-Polonja kkawża arkitettura ta 'żieda mgħaġġla. Il-qawmien mill-ġdid neoklassiku affettwa l-aspetti kollha tal-arkitettura, l-iktar notevoli huma t-Teatru l-Kbir (1825-1833) u bini li jinsab fil-Pjazza Bank (1825-1828).</v>
      </c>
    </row>
    <row r="27285" ht="15.75" customHeight="1">
      <c r="A27285" s="2" t="s">
        <v>27285</v>
      </c>
      <c r="B27285" s="2" t="str">
        <f>IFERROR(__xludf.DUMMYFUNCTION("GOOGLETRANSLATE(A27285, ""en"", ""mt"")"),"Magna tal-fwar taċ-ċilindru li joxxilla hija varjant tal-magna tal-fwar ta 'espansjoni sempliċi li ma teħtieġx valvi biex jidderieġu l-fwar lejn u barra miċ-ċilindru. Minflok il-valvi, iċ-ċilindru kollu blat, jew oscillates, tali li toqob wieħed jew aktar"&amp;" fiċ-ċilindru jallinjaw bit-toqob f'wiċċ tal-port fiss jew fl-immuntar tal-pern (trunnion). Dawn il-magni huma prinċipalment użati fil-ġugarelli u l-mudelli, minħabba s-sempliċità tagħhom, iżda ntużaw ukoll fil-magni tax-xogħol ta 'daqs sħiħ, prinċipalmen"&amp;"t fuq vapuri fejn il-kumpattezza tagħhom hija vvalutata. [Ċitazzjoni meħtieġa]")</f>
        <v>Magna tal-fwar taċ-ċilindru li joxxilla hija varjant tal-magna tal-fwar ta 'espansjoni sempliċi li ma teħtieġx valvi biex jidderieġu l-fwar lejn u barra miċ-ċilindru. Minflok il-valvi, iċ-ċilindru kollu blat, jew oscillates, tali li toqob wieħed jew aktar fiċ-ċilindru jallinjaw bit-toqob f'wiċċ tal-port fiss jew fl-immuntar tal-pern (trunnion). Dawn il-magni huma prinċipalment użati fil-ġugarelli u l-mudelli, minħabba s-sempliċità tagħhom, iżda ntużaw ukoll fil-magni tax-xogħol ta 'daqs sħiħ, prinċipalment fuq vapuri fejn il-kumpattezza tagħhom hija vvalutata. [Ċitazzjoni meħtieġa]</v>
      </c>
    </row>
    <row r="27286" ht="15.75" customHeight="1">
      <c r="A27286" s="2" t="s">
        <v>27286</v>
      </c>
      <c r="B27286" s="2" t="str">
        <f>IFERROR(__xludf.DUMMYFUNCTION("GOOGLETRANSLATE(A27286, ""en"", ""mt"")"),"Il-Prospett Studios")</f>
        <v>Il-Prospett Studios</v>
      </c>
    </row>
    <row r="27287" ht="15.75" customHeight="1">
      <c r="A27287" s="2" t="s">
        <v>27287</v>
      </c>
      <c r="B27287" s="2" t="str">
        <f>IFERROR(__xludf.DUMMYFUNCTION("GOOGLETRANSLATE(A27287, ""en"", ""mt"")"),"Ir-re attwali ta 'Thebes, li qed jipprova jwaqqafha milli tagħti lil ħuha Polynices dfin xieraq")</f>
        <v>Ir-re attwali ta 'Thebes, li qed jipprova jwaqqafha milli tagħti lil ħuha Polynices dfin xieraq</v>
      </c>
    </row>
    <row r="27288" ht="15.75" customHeight="1">
      <c r="A27288" s="2" t="s">
        <v>27288</v>
      </c>
      <c r="B27288" s="2" t="str">
        <f>IFERROR(__xludf.DUMMYFUNCTION("GOOGLETRANSLATE(A27288, ""en"", ""mt"")"),"la qed nagħmlu sforz massimu u lanqas niksbu r-riżultati meħtieġa")</f>
        <v>la qed nagħmlu sforz massimu u lanqas niksbu r-riżultati meħtieġa</v>
      </c>
    </row>
    <row r="27289" ht="15.75" customHeight="1">
      <c r="A27289" s="2" t="s">
        <v>27289</v>
      </c>
      <c r="B27289" s="2" t="str">
        <f>IFERROR(__xludf.DUMMYFUNCTION("GOOGLETRANSLATE(A27289, ""en"", ""mt"")"),"Kemm inqatlu mill-pesta f'Napli fl-1656?")</f>
        <v>Kemm inqatlu mill-pesta f'Napli fl-1656?</v>
      </c>
    </row>
    <row r="27290" ht="15.75" customHeight="1">
      <c r="A27290" s="2" t="s">
        <v>27290</v>
      </c>
      <c r="B27290" s="2" t="str">
        <f>IFERROR(__xludf.DUMMYFUNCTION("GOOGLETRANSLATE(A27290, ""en"", ""mt"")"),"Min wera kif joħloq numru perfett minn Mersenne Prime?")</f>
        <v>Min wera kif joħloq numru perfett minn Mersenne Prime?</v>
      </c>
    </row>
    <row r="27291" ht="15.75" customHeight="1">
      <c r="A27291" s="2" t="s">
        <v>27291</v>
      </c>
      <c r="B27291" s="2" t="str">
        <f>IFERROR(__xludf.DUMMYFUNCTION("GOOGLETRANSLATE(A27291, ""en"", ""mt"")"),"F'liema angolu ġew issettjati l-gruppi ta 'pistuni f'relazzjoni ma' xulxin f'kompost b'erba 'ċilindri?")</f>
        <v>F'liema angolu ġew issettjati l-gruppi ta 'pistuni f'relazzjoni ma' xulxin f'kompost b'erba 'ċilindri?</v>
      </c>
    </row>
    <row r="27292" ht="15.75" customHeight="1">
      <c r="A27292" s="2" t="s">
        <v>27292</v>
      </c>
      <c r="B27292" s="2" t="str">
        <f>IFERROR(__xludf.DUMMYFUNCTION("GOOGLETRANSLATE(A27292, ""en"", ""mt"")"),"għandu problemi biex jaqsam il-membrani")</f>
        <v>għandu problemi biex jaqsam il-membrani</v>
      </c>
    </row>
    <row r="27293" ht="15.75" customHeight="1">
      <c r="A27293" s="2" t="s">
        <v>27293</v>
      </c>
      <c r="B27293" s="2" t="str">
        <f>IFERROR(__xludf.DUMMYFUNCTION("GOOGLETRANSLATE(A27293, ""en"", ""mt"")"),"kondensatur separat")</f>
        <v>kondensatur separat</v>
      </c>
    </row>
    <row r="27294" ht="15.75" customHeight="1">
      <c r="A27294" s="2" t="s">
        <v>27294</v>
      </c>
      <c r="B27294" s="2" t="str">
        <f>IFERROR(__xludf.DUMMYFUNCTION("GOOGLETRANSLATE(A27294, ""en"", ""mt"")"),"5 sa 15")</f>
        <v>5 sa 15</v>
      </c>
    </row>
    <row r="27295" ht="15.75" customHeight="1">
      <c r="A27295" s="2" t="s">
        <v>27295</v>
      </c>
      <c r="B27295" s="2" t="str">
        <f>IFERROR(__xludf.DUMMYFUNCTION("GOOGLETRANSLATE(A27295, ""en"", ""mt"")"),"Ma 'liema inventur ieħor ħadem?")</f>
        <v>Ma 'liema inventur ieħor ħadem?</v>
      </c>
    </row>
    <row r="27296" ht="15.75" customHeight="1">
      <c r="A27296" s="2" t="s">
        <v>27296</v>
      </c>
      <c r="B27296" s="2" t="str">
        <f>IFERROR(__xludf.DUMMYFUNCTION("GOOGLETRANSLATE(A27296, ""en"", ""mt"")"),"Kif jintgħażlu l-membri tal-kabinett Vittorjan?")</f>
        <v>Kif jintgħażlu l-membri tal-kabinett Vittorjan?</v>
      </c>
    </row>
    <row r="27297" ht="15.75" customHeight="1">
      <c r="A27297" s="2" t="s">
        <v>27297</v>
      </c>
      <c r="B27297" s="2" t="str">
        <f>IFERROR(__xludf.DUMMYFUNCTION("GOOGLETRANSLATE(A27297, ""en"", ""mt"")"),"Fejn ħadu l-awtostradi lil Luther?")</f>
        <v>Fejn ħadu l-awtostradi lil Luther?</v>
      </c>
    </row>
    <row r="27298" ht="15.75" customHeight="1">
      <c r="A27298" s="2" t="s">
        <v>27298</v>
      </c>
      <c r="B27298" s="2" t="str">
        <f>IFERROR(__xludf.DUMMYFUNCTION("GOOGLETRANSLATE(A27298, ""en"", ""mt"")"),"Liema terminu jintuża biex jispjega bidla fid-dehra tat-tabib min?")</f>
        <v>Liema terminu jintuża biex jispjega bidla fid-dehra tat-tabib min?</v>
      </c>
    </row>
    <row r="27299" ht="15.75" customHeight="1">
      <c r="A27299" s="2" t="s">
        <v>27299</v>
      </c>
      <c r="B27299" s="2" t="str">
        <f>IFERROR(__xludf.DUMMYFUNCTION("GOOGLETRANSLATE(A27299, ""en"", ""mt"")"),"livell waqa '")</f>
        <v>livell waqa '</v>
      </c>
    </row>
    <row r="27300" ht="15.75" customHeight="1">
      <c r="A27300" s="2" t="s">
        <v>27300</v>
      </c>
      <c r="B27300" s="2" t="str">
        <f>IFERROR(__xludf.DUMMYFUNCTION("GOOGLETRANSLATE(A27300, ""en"", ""mt"")"),"Kemm kien fadal ħin fil-logħba meta Denver ħa l-iskor għal 24-10?")</f>
        <v>Kemm kien fadal ħin fil-logħba meta Denver ħa l-iskor għal 24-10?</v>
      </c>
    </row>
    <row r="27301" ht="15.75" customHeight="1">
      <c r="A27301" s="2" t="s">
        <v>27301</v>
      </c>
      <c r="B27301" s="2" t="str">
        <f>IFERROR(__xludf.DUMMYFUNCTION("GOOGLETRANSLATE(A27301, ""en"", ""mt"")"),"F’rapport, ippubblikat fil-bidu ta ’Frar 2007 mill-Istitut tal-Ear fil-University College ta’ Londra, u Widex, manifattur Daniż ta ’għajnuna għas-smigħ, Newcastle ġie msemmi bħala l-iktar belt storbjuża fir-Renju Unit kollu, b’livell medju ta’ 80.4 decibe"&amp;"ls. Ir-rapport iddikjara li dawn il-livelli ta 'ħoss ikollhom impatt negattiv fit-tul fuq is-saħħa tar-residenti tal-belt. Ir-rapport ġie kkritikat, madankollu, talli waħħal wisq piż mal-qari f'postijiet magħżula b'mod arbitrarju, li fil-każ ta 'Newcastle"&amp;" kien jinkludi awtostrada mingħajr aċċess għall-persuni mexjin.")</f>
        <v>F’rapport, ippubblikat fil-bidu ta ’Frar 2007 mill-Istitut tal-Ear fil-University College ta’ Londra, u Widex, manifattur Daniż ta ’għajnuna għas-smigħ, Newcastle ġie msemmi bħala l-iktar belt storbjuża fir-Renju Unit kollu, b’livell medju ta’ 80.4 decibels. Ir-rapport iddikjara li dawn il-livelli ta 'ħoss ikollhom impatt negattiv fit-tul fuq is-saħħa tar-residenti tal-belt. Ir-rapport ġie kkritikat, madankollu, talli waħħal wisq piż mal-qari f'postijiet magħżula b'mod arbitrarju, li fil-każ ta 'Newcastle kien jinkludi awtostrada mingħajr aċċess għall-persuni mexjin.</v>
      </c>
    </row>
    <row r="27302" ht="15.75" customHeight="1">
      <c r="A27302" s="2" t="s">
        <v>27302</v>
      </c>
      <c r="B27302" s="2" t="str">
        <f>IFERROR(__xludf.DUMMYFUNCTION("GOOGLETRANSLATE(A27302, ""en"", ""mt"")"),"Ir-rebħiet Ingliżi komplew fit-teatri kollha fl-Annus Mirabilis tal-1759, meta finalment qabdu Ticonderoga, James Wolfe għeleb lil Montcalm fil-Quebec (f’battalja li ddikjarat il-ħajja taż-żewġ kmandanti), u r-rebħa fil-Fort Niagara qatgħet b’suċċess il-F"&amp;"rontier Forder Franċiż aktar lejn il-punent u n-nofsinhar. Ir-rebħa saret kompluta fl-1760 meta, minkejja li tilfet barra l-Belt ta ’Quebec fil-battalja ta’ Sainte-Foy, l-Ingliżi setgħu jipprevjenu l-wasla ta ’vapuri ta’ għajnuna Franċiżi fil-battalja nav"&amp;"ali tar-Restigouche waqt li l-armati marru fuq Montreal minn tliet naħat.")</f>
        <v>Ir-rebħiet Ingliżi komplew fit-teatri kollha fl-Annus Mirabilis tal-1759, meta finalment qabdu Ticonderoga, James Wolfe għeleb lil Montcalm fil-Quebec (f’battalja li ddikjarat il-ħajja taż-żewġ kmandanti), u r-rebħa fil-Fort Niagara qatgħet b’suċċess il-Frontier Forder Franċiż aktar lejn il-punent u n-nofsinhar. Ir-rebħa saret kompluta fl-1760 meta, minkejja li tilfet barra l-Belt ta ’Quebec fil-battalja ta’ Sainte-Foy, l-Ingliżi setgħu jipprevjenu l-wasla ta ’vapuri ta’ għajnuna Franċiżi fil-battalja navali tar-Restigouche waqt li l-armati marru fuq Montreal minn tliet naħat.</v>
      </c>
    </row>
    <row r="27303" ht="15.75" customHeight="1">
      <c r="A27303" s="2" t="s">
        <v>27303</v>
      </c>
      <c r="B27303" s="2" t="str">
        <f>IFERROR(__xludf.DUMMYFUNCTION("GOOGLETRANSLATE(A27303, ""en"", ""mt"")"),"Imperjalizmu ""Informali""")</f>
        <v>Imperjalizmu "Informali"</v>
      </c>
    </row>
    <row r="27304" ht="15.75" customHeight="1">
      <c r="A27304" s="2" t="s">
        <v>27304</v>
      </c>
      <c r="B27304" s="2" t="str">
        <f>IFERROR(__xludf.DUMMYFUNCTION("GOOGLETRANSLATE(A27304, ""en"", ""mt"")"),"Liema pajjiż illum huwa fdal tal-Imperu Ottoman?")</f>
        <v>Liema pajjiż illum huwa fdal tal-Imperu Ottoman?</v>
      </c>
    </row>
    <row r="27305" ht="15.75" customHeight="1">
      <c r="A27305" s="2" t="s">
        <v>27305</v>
      </c>
      <c r="B27305" s="2" t="str">
        <f>IFERROR(__xludf.DUMMYFUNCTION("GOOGLETRANSLATE(A27305, ""en"", ""mt"")"),"Fejn seħħet Super Bowl 50?")</f>
        <v>Fejn seħħet Super Bowl 50?</v>
      </c>
    </row>
    <row r="27306" ht="15.75" customHeight="1">
      <c r="A27306" s="2" t="s">
        <v>27306</v>
      </c>
      <c r="B27306" s="2" t="str">
        <f>IFERROR(__xludf.DUMMYFUNCTION("GOOGLETRANSLATE(A27306, ""en"", ""mt"")"),"Kemm interċezzjonijiet kellhom Manning fl-aħħar tal-logħba?")</f>
        <v>Kemm interċezzjonijiet kellhom Manning fl-aħħar tal-logħba?</v>
      </c>
    </row>
    <row r="27307" ht="15.75" customHeight="1">
      <c r="A27307" s="2" t="s">
        <v>27307</v>
      </c>
      <c r="B27307" s="2" t="str">
        <f>IFERROR(__xludf.DUMMYFUNCTION("GOOGLETRANSLATE(A27307, ""en"", ""mt"")"),"Musulmani) u Kattoliċi")</f>
        <v>Musulmani) u Kattoliċi</v>
      </c>
    </row>
    <row r="27308" ht="15.75" customHeight="1">
      <c r="A27308" s="2" t="s">
        <v>27308</v>
      </c>
      <c r="B27308" s="2" t="str">
        <f>IFERROR(__xludf.DUMMYFUNCTION("GOOGLETRANSLATE(A27308, ""en"", ""mt"")"),"X'għamel Luther matul ir-Randan f'dan il-ħin?")</f>
        <v>X'għamel Luther matul ir-Randan f'dan il-ħin?</v>
      </c>
    </row>
    <row r="27309" ht="15.75" customHeight="1">
      <c r="A27309" s="2" t="s">
        <v>27309</v>
      </c>
      <c r="B27309" s="2" t="str">
        <f>IFERROR(__xludf.DUMMYFUNCTION("GOOGLETRANSLATE(A27309, ""en"", ""mt"")"),"Istitut Internazzjonali tar-Riċerka dwar l-Uċuħ tar-raba 'għat-tropiċi semi-aridi")</f>
        <v>Istitut Internazzjonali tar-Riċerka dwar l-Uċuħ tar-raba 'għat-tropiċi semi-aridi</v>
      </c>
    </row>
    <row r="27310" ht="15.75" customHeight="1">
      <c r="A27310" s="2" t="s">
        <v>27310</v>
      </c>
      <c r="B27310" s="2" t="str">
        <f>IFERROR(__xludf.DUMMYFUNCTION("GOOGLETRANSLATE(A27310, ""en"", ""mt"")"),"Min l-ewwel wera l-postulat ta 'Bertrand?")</f>
        <v>Min l-ewwel wera l-postulat ta 'Bertrand?</v>
      </c>
    </row>
    <row r="27311" ht="15.75" customHeight="1">
      <c r="A27311" s="2" t="s">
        <v>27311</v>
      </c>
      <c r="B27311" s="2" t="str">
        <f>IFERROR(__xludf.DUMMYFUNCTION("GOOGLETRANSLATE(A27311, ""en"", ""mt"")"),"1698")</f>
        <v>1698</v>
      </c>
    </row>
    <row r="27312" ht="15.75" customHeight="1">
      <c r="A27312" s="2" t="s">
        <v>27312</v>
      </c>
      <c r="B27312" s="2" t="str">
        <f>IFERROR(__xludf.DUMMYFUNCTION("GOOGLETRANSLATE(A27312, ""en"", ""mt"")"),"Fejn kien irtirar bil-Franċiż?")</f>
        <v>Fejn kien irtirar bil-Franċiż?</v>
      </c>
    </row>
    <row r="27313" ht="15.75" customHeight="1">
      <c r="A27313" s="2" t="s">
        <v>27313</v>
      </c>
      <c r="B27313" s="2" t="str">
        <f>IFERROR(__xludf.DUMMYFUNCTION("GOOGLETRANSLATE(A27313, ""en"", ""mt"")"),"1976")</f>
        <v>1976</v>
      </c>
    </row>
    <row r="27314" ht="15.75" customHeight="1">
      <c r="A27314" s="2" t="s">
        <v>27314</v>
      </c>
      <c r="B27314" s="2" t="str">
        <f>IFERROR(__xludf.DUMMYFUNCTION("GOOGLETRANSLATE(A27314, ""en"", ""mt"")"),"voti")</f>
        <v>voti</v>
      </c>
    </row>
    <row r="27315" ht="15.75" customHeight="1">
      <c r="A27315" s="2" t="s">
        <v>27315</v>
      </c>
      <c r="B27315" s="2" t="str">
        <f>IFERROR(__xludf.DUMMYFUNCTION("GOOGLETRANSLATE(A27315, ""en"", ""mt"")"),"Fil-15 ta 'Awwissu, 1971, l-Istati Uniti inġibdu unilateralment mill-Accord ta' Bretton Woods. L-Istati Uniti abbandunaw l-istandard tal-iskambju tad-deheb li bih il-valur tad-dollaru kien imwaħħal mal-prezz tad-deheb u l-muniti l-oħra kollha kienu marbut"&amp;"a mad-dollaru, li l-valur tagħhom tħalla ""float"" (jitla 'u jaqa' skont id-domanda tas-suq). Ftit wara, segwiet il-Gran Brittanja, f’wiċċ l-isterlina tal-lira. In-nazzjonijiet industrijalizzati l-oħra segwew il-muniti rispettivi tagħhom. L-antiċipazzjoni"&amp;" li l-valuri tal-munita jvarjaw b'mod imprevedibbli għal żmien, in-nazzjonijiet industrijalizzati żiedu r-riżervi tagħhom (billi jespandu l-provvisti tal-flus tagħhom) f'ammonti ferm akbar minn qabel. Ir-riżultat kien deprezzament tad-dollaru u muniti ta "&amp;"'nazzjonijiet industrijalizzati oħra. Minħabba li ż-żejt kien ipprezzat f'dollari, id-dħul reali tal-produtturi taż-żejt naqas. F'Settembru 1971, l-OPEC ħarġet komunikat konġunt li jiddikjara li, minn dakinhar 'il quddiem, kienu se jġibu żejt f'termini ta"&amp;"' ammont fiss ta 'deheb.")</f>
        <v>Fil-15 ta 'Awwissu, 1971, l-Istati Uniti inġibdu unilateralment mill-Accord ta' Bretton Woods. L-Istati Uniti abbandunaw l-istandard tal-iskambju tad-deheb li bih il-valur tad-dollaru kien imwaħħal mal-prezz tad-deheb u l-muniti l-oħra kollha kienu marbuta mad-dollaru, li l-valur tagħhom tħalla "float" (jitla 'u jaqa' skont id-domanda tas-suq). Ftit wara, segwiet il-Gran Brittanja, f’wiċċ l-isterlina tal-lira. In-nazzjonijiet industrijalizzati l-oħra segwew il-muniti rispettivi tagħhom. L-antiċipazzjoni li l-valuri tal-munita jvarjaw b'mod imprevedibbli għal żmien, in-nazzjonijiet industrijalizzati żiedu r-riżervi tagħhom (billi jespandu l-provvisti tal-flus tagħhom) f'ammonti ferm akbar minn qabel. Ir-riżultat kien deprezzament tad-dollaru u muniti ta 'nazzjonijiet industrijalizzati oħra. Minħabba li ż-żejt kien ipprezzat f'dollari, id-dħul reali tal-produtturi taż-żejt naqas. F'Settembru 1971, l-OPEC ħarġet komunikat konġunt li jiddikjara li, minn dakinhar 'il quddiem, kienu se jġibu żejt f'termini ta' ammont fiss ta 'deheb.</v>
      </c>
    </row>
    <row r="27316" ht="15.75" customHeight="1">
      <c r="A27316" s="2" t="s">
        <v>27316</v>
      </c>
      <c r="B27316" s="2" t="str">
        <f>IFERROR(__xludf.DUMMYFUNCTION("GOOGLETRANSLATE(A27316, ""en"", ""mt"")"),"Kunsill tad-Disinn Industrijali")</f>
        <v>Kunsill tad-Disinn Industrijali</v>
      </c>
    </row>
    <row r="27317" ht="15.75" customHeight="1">
      <c r="A27317" s="2" t="s">
        <v>27317</v>
      </c>
      <c r="B27317" s="2" t="str">
        <f>IFERROR(__xludf.DUMMYFUNCTION("GOOGLETRANSLATE(A27317, ""en"", ""mt"")"),"membru privat")</f>
        <v>membru privat</v>
      </c>
    </row>
    <row r="27318" ht="15.75" customHeight="1">
      <c r="A27318" s="2" t="s">
        <v>27318</v>
      </c>
      <c r="B27318" s="2" t="str">
        <f>IFERROR(__xludf.DUMMYFUNCTION("GOOGLETRANSLATE(A27318, ""en"", ""mt"")"),"Min kien il-Viċi President tal-Inġinerija ta 'ABC?")</f>
        <v>Min kien il-Viċi President tal-Inġinerija ta 'ABC?</v>
      </c>
    </row>
    <row r="27319" ht="15.75" customHeight="1">
      <c r="A27319" s="2" t="s">
        <v>27319</v>
      </c>
      <c r="B27319" s="2" t="str">
        <f>IFERROR(__xludf.DUMMYFUNCTION("GOOGLETRANSLATE(A27319, ""en"", ""mt"")"),"Minbarra l-kriptografija taċ-ċavetta pubblika, x'inhi applikazzjoni oħra għan-numri ewlenin?")</f>
        <v>Minbarra l-kriptografija taċ-ċavetta pubblika, x'inhi applikazzjoni oħra għan-numri ewlenin?</v>
      </c>
    </row>
    <row r="27320" ht="15.75" customHeight="1">
      <c r="A27320" s="2" t="s">
        <v>27320</v>
      </c>
      <c r="B27320" s="2" t="str">
        <f>IFERROR(__xludf.DUMMYFUNCTION("GOOGLETRANSLATE(A27320, ""en"", ""mt"")"),"X'inhi l-ewwel linja ta 'difiża kontra patoġeni li ma tħallihomx jidħlu f'organiżmu?")</f>
        <v>X'inhi l-ewwel linja ta 'difiża kontra patoġeni li ma tħallihomx jidħlu f'organiżmu?</v>
      </c>
    </row>
    <row r="27321" ht="15.75" customHeight="1">
      <c r="A27321" s="2" t="s">
        <v>27321</v>
      </c>
      <c r="B27321" s="2" t="str">
        <f>IFERROR(__xludf.DUMMYFUNCTION("GOOGLETRANSLATE(A27321, ""en"", ""mt"")"),"moda, arkitettura, disinn tal-prodott, arti grafika u fotografija")</f>
        <v>moda, arkitettura, disinn tal-prodott, arti grafika u fotografija</v>
      </c>
    </row>
    <row r="27322" ht="15.75" customHeight="1">
      <c r="A27322" s="2" t="s">
        <v>27322</v>
      </c>
      <c r="B27322" s="2" t="str">
        <f>IFERROR(__xludf.DUMMYFUNCTION("GOOGLETRANSLATE(A27322, ""en"", ""mt"")"),"L-għalliema jiffaċċjaw diversi perikli fuq ix-xogħol fil-linja ta 'xogħol tagħhom, inkluż l-istress fuq ix-xogħol, li jista' jkollu impatt negattiv fuq is-saħħa mentali u fiżika tal-għalliema, il-produttività, u l-prestazzjoni tal-istudenti. L-istress jis"&amp;"ta 'jkun ikkawżat minn bidla organizzattiva, relazzjonijiet ma' studenti, għalliema sħabhom, u persunal amministrattiv, ambjent tax-xogħol, aspettattivi biex tissostitwixxi, sigħat twal b'ammont ta 'xogħol tqil, u spezzjonijiet. L-għalliema huma wkoll f'r"&amp;"iskju għoli għal ħruq fuq ix-xogħol.")</f>
        <v>L-għalliema jiffaċċjaw diversi perikli fuq ix-xogħol fil-linja ta 'xogħol tagħhom, inkluż l-istress fuq ix-xogħol, li jista' jkollu impatt negattiv fuq is-saħħa mentali u fiżika tal-għalliema, il-produttività, u l-prestazzjoni tal-istudenti. L-istress jista 'jkun ikkawżat minn bidla organizzattiva, relazzjonijiet ma' studenti, għalliema sħabhom, u persunal amministrattiv, ambjent tax-xogħol, aspettattivi biex tissostitwixxi, sigħat twal b'ammont ta 'xogħol tqil, u spezzjonijiet. L-għalliema huma wkoll f'riskju għoli għal ħruq fuq ix-xogħol.</v>
      </c>
    </row>
    <row r="27323" ht="15.75" customHeight="1">
      <c r="A27323" s="2" t="s">
        <v>27323</v>
      </c>
      <c r="B27323" s="2" t="str">
        <f>IFERROR(__xludf.DUMMYFUNCTION("GOOGLETRANSLATE(A27323, ""en"", ""mt"")"),"Gwerra mhux reliġjuża")</f>
        <v>Gwerra mhux reliġjuża</v>
      </c>
    </row>
    <row r="27324" ht="15.75" customHeight="1">
      <c r="A27324" s="2" t="s">
        <v>27324</v>
      </c>
      <c r="B27324" s="2" t="str">
        <f>IFERROR(__xludf.DUMMYFUNCTION("GOOGLETRANSLATE(A27324, ""en"", ""mt"")"),"X'inhu l-għan ewlieni tal-piena kriminali ta 'diżubbidjenti ċivili?")</f>
        <v>X'inhu l-għan ewlieni tal-piena kriminali ta 'diżubbidjenti ċivili?</v>
      </c>
    </row>
    <row r="27325" ht="15.75" customHeight="1">
      <c r="A27325" s="2" t="s">
        <v>27325</v>
      </c>
      <c r="B27325" s="2" t="str">
        <f>IFERROR(__xludf.DUMMYFUNCTION("GOOGLETRANSLATE(A27325, ""en"", ""mt"")"),"Liema żewġ artisti famużi oħra kienu parti mis-Super Bowl 50 f'ħin il-mistrieħ?")</f>
        <v>Liema żewġ artisti famużi oħra kienu parti mis-Super Bowl 50 f'ħin il-mistrieħ?</v>
      </c>
    </row>
    <row r="27326" ht="15.75" customHeight="1">
      <c r="A27326" s="2" t="s">
        <v>27326</v>
      </c>
      <c r="B27326" s="2" t="str">
        <f>IFERROR(__xludf.DUMMYFUNCTION("GOOGLETRANSLATE(A27326, ""en"", ""mt"")"),"għarfien jew ħiliet")</f>
        <v>għarfien jew ħiliet</v>
      </c>
    </row>
    <row r="27327" ht="15.75" customHeight="1">
      <c r="A27327" s="2" t="s">
        <v>27327</v>
      </c>
      <c r="B27327" s="2" t="str">
        <f>IFERROR(__xludf.DUMMYFUNCTION("GOOGLETRANSLATE(A27327, ""en"", ""mt"")"),"Għaliex kien maħsub li ċ-ctenophores kienu dieta ħażina għal annimali oħra?")</f>
        <v>Għaliex kien maħsub li ċ-ctenophores kienu dieta ħażina għal annimali oħra?</v>
      </c>
    </row>
    <row r="27328" ht="15.75" customHeight="1">
      <c r="A27328" s="2" t="s">
        <v>27328</v>
      </c>
      <c r="B27328" s="2" t="str">
        <f>IFERROR(__xludf.DUMMYFUNCTION("GOOGLETRANSLATE(A27328, ""en"", ""mt"")"),"X’sejjaħ Michael Mullet id-diskors ta ’Luther?")</f>
        <v>X’sejjaħ Michael Mullet id-diskors ta ’Luther?</v>
      </c>
    </row>
    <row r="27329" ht="15.75" customHeight="1">
      <c r="A27329" s="2" t="s">
        <v>27329</v>
      </c>
      <c r="B27329" s="2" t="str">
        <f>IFERROR(__xludf.DUMMYFUNCTION("GOOGLETRANSLATE(A27329, ""en"", ""mt"")"),"Liema imperi jew dinastiji oħra rnexxielhom Genghis Khan?")</f>
        <v>Liema imperi jew dinastiji oħra rnexxielhom Genghis Khan?</v>
      </c>
    </row>
    <row r="27330" ht="15.75" customHeight="1">
      <c r="A27330" s="2" t="s">
        <v>27330</v>
      </c>
      <c r="B27330" s="2" t="str">
        <f>IFERROR(__xludf.DUMMYFUNCTION("GOOGLETRANSLATE(A27330, ""en"", ""mt"")"),"Għall-ewwel x’taħseb Tesla kienet il-kawża ewlenija tal-ħsara liċ-ċelloli tal-ġilda meta kienu esposti għar-raġġi X?")</f>
        <v>Għall-ewwel x’taħseb Tesla kienet il-kawża ewlenija tal-ħsara liċ-ċelloli tal-ġilda meta kienu esposti għar-raġġi X?</v>
      </c>
    </row>
    <row r="27331" ht="15.75" customHeight="1">
      <c r="A27331" s="2" t="s">
        <v>27331</v>
      </c>
      <c r="B27331" s="2" t="str">
        <f>IFERROR(__xludf.DUMMYFUNCTION("GOOGLETRANSLATE(A27331, ""en"", ""mt"")"),"Id-deportazzjoni tal-popolazzjoni Akkadjana li titkellem bil-Franċiż")</f>
        <v>Id-deportazzjoni tal-popolazzjoni Akkadjana li titkellem bil-Franċiż</v>
      </c>
    </row>
    <row r="27332" ht="15.75" customHeight="1">
      <c r="A27332" s="2" t="s">
        <v>27332</v>
      </c>
      <c r="B27332" s="2" t="str">
        <f>IFERROR(__xludf.DUMMYFUNCTION("GOOGLETRANSLATE(A27332, ""en"", ""mt"")"),"Ir-ramel Bernardino - iż-żona ta 'Riverside żżomm x'tip ta' distrett?")</f>
        <v>Ir-ramel Bernardino - iż-żona ta 'Riverside żżomm x'tip ta' distrett?</v>
      </c>
    </row>
    <row r="27333" ht="15.75" customHeight="1">
      <c r="A27333" s="2" t="s">
        <v>27333</v>
      </c>
      <c r="B27333" s="2" t="str">
        <f>IFERROR(__xludf.DUMMYFUNCTION("GOOGLETRANSLATE(A27333, ""en"", ""mt"")"),"il-metropolitana")</f>
        <v>il-metropolitana</v>
      </c>
    </row>
    <row r="27334" ht="15.75" customHeight="1">
      <c r="A27334" s="2" t="s">
        <v>27334</v>
      </c>
      <c r="B27334" s="2" t="str">
        <f>IFERROR(__xludf.DUMMYFUNCTION("GOOGLETRANSLATE(A27334, ""en"", ""mt"")"),"digi")</f>
        <v>digi</v>
      </c>
    </row>
    <row r="27335" ht="15.75" customHeight="1">
      <c r="A27335" s="2" t="s">
        <v>27335</v>
      </c>
      <c r="B27335" s="2" t="str">
        <f>IFERROR(__xludf.DUMMYFUNCTION("GOOGLETRANSLATE(A27335, ""en"", ""mt"")"),"sfond iswed")</f>
        <v>sfond iswed</v>
      </c>
    </row>
    <row r="27336" ht="15.75" customHeight="1">
      <c r="A27336" s="2" t="s">
        <v>27336</v>
      </c>
      <c r="B27336" s="2" t="str">
        <f>IFERROR(__xludf.DUMMYFUNCTION("GOOGLETRANSLATE(A27336, ""en"", ""mt"")"),"La Rochelle")</f>
        <v>La Rochelle</v>
      </c>
    </row>
    <row r="27337" ht="15.75" customHeight="1">
      <c r="A27337" s="2" t="s">
        <v>27337</v>
      </c>
      <c r="B27337" s="2" t="str">
        <f>IFERROR(__xludf.DUMMYFUNCTION("GOOGLETRANSLATE(A27337, ""en"", ""mt"")"),"Kliem mitkellma minn Ġesù")</f>
        <v>Kliem mitkellma minn Ġesù</v>
      </c>
    </row>
    <row r="27338" ht="15.75" customHeight="1">
      <c r="A27338" s="2" t="s">
        <v>27338</v>
      </c>
      <c r="B27338" s="2" t="str">
        <f>IFERROR(__xludf.DUMMYFUNCTION("GOOGLETRANSLATE(A27338, ""en"", ""mt"")"),"George Low.")</f>
        <v>George Low.</v>
      </c>
    </row>
    <row r="27339" ht="15.75" customHeight="1">
      <c r="A27339" s="2" t="s">
        <v>27339</v>
      </c>
      <c r="B27339" s="2" t="str">
        <f>IFERROR(__xludf.DUMMYFUNCTION("GOOGLETRANSLATE(A27339, ""en"", ""mt"")"),"47")</f>
        <v>47</v>
      </c>
    </row>
    <row r="27340" ht="15.75" customHeight="1">
      <c r="A27340" s="2" t="s">
        <v>27340</v>
      </c>
      <c r="B27340" s="2" t="str">
        <f>IFERROR(__xludf.DUMMYFUNCTION("GOOGLETRANSLATE(A27340, ""en"", ""mt"")"),"Kellha biss is-serje Dalek biex tmur")</f>
        <v>Kellha biss is-serje Dalek biex tmur</v>
      </c>
    </row>
    <row r="27341" ht="15.75" customHeight="1">
      <c r="A27341" s="2" t="s">
        <v>27341</v>
      </c>
      <c r="B27341" s="2" t="str">
        <f>IFERROR(__xludf.DUMMYFUNCTION("GOOGLETRANSLATE(A27341, ""en"", ""mt"")"),"Min wissa dwar l-impatt potenzjali?")</f>
        <v>Min wissa dwar l-impatt potenzjali?</v>
      </c>
    </row>
    <row r="27342" ht="15.75" customHeight="1">
      <c r="A27342" s="2" t="s">
        <v>27342</v>
      </c>
      <c r="B27342" s="2" t="str">
        <f>IFERROR(__xludf.DUMMYFUNCTION("GOOGLETRANSLATE(A27342, ""en"", ""mt"")"),"status superjuri għall-oħrajn kollha f'oqsma relatati mas-saħħa bħal tobba u acupuncturists")</f>
        <v>status superjuri għall-oħrajn kollha f'oqsma relatati mas-saħħa bħal tobba u acupuncturists</v>
      </c>
    </row>
    <row r="27343" ht="15.75" customHeight="1">
      <c r="A27343" s="2" t="s">
        <v>27343</v>
      </c>
      <c r="B27343" s="2" t="str">
        <f>IFERROR(__xludf.DUMMYFUNCTION("GOOGLETRANSLATE(A27343, ""en"", ""mt"")"),"Kif jista 'l-approċċ tal-kapaċitajiet jilħaq l-għan tiegħu?")</f>
        <v>Kif jista 'l-approċċ tal-kapaċitajiet jilħaq l-għan tiegħu?</v>
      </c>
    </row>
    <row r="27344" ht="15.75" customHeight="1">
      <c r="A27344" s="2" t="s">
        <v>27344</v>
      </c>
      <c r="B27344" s="2" t="str">
        <f>IFERROR(__xludf.DUMMYFUNCTION("GOOGLETRANSLATE(A27344, ""en"", ""mt"")"),"Wara l-indipendenza tal-Malasja fl-1957, il-gvern ta struzzjonijiet lill-iskejjel kollha biex iċedu l-proprjetajiet tagħhom u jiġu assimilati fis-sistema tal-iskejjel nazzjonali. Dan ikkawża tħawwil fost iċ-Ċiniżi u nkiseb kompromess billi l-iskejjel minf"&amp;"lok isiru skejjel tat-tip ""nazzjonali"". Taħt sistema bħal din, il-gvern huwa inkarigat biss mill-kurrikulu tal-iskola u l-persunal tat-tagħlim waqt li l-artijiet għadhom jappartjenu għall-iskejjel. Filwaqt li l-iskejjel primarji Ċiniżi tħallew iżommu ċ-"&amp;"Ċiniż bħala l-mezz ta 'struzzjoni, l-iskejjel sekondarji Ċiniżi huma meħtieġa jinbidlu fi skejjel tal-medja Ingliża. Aktar minn 60 skola kkonvertiti biex isiru skejjel tat-tip nazzjonali.")</f>
        <v>Wara l-indipendenza tal-Malasja fl-1957, il-gvern ta struzzjonijiet lill-iskejjel kollha biex iċedu l-proprjetajiet tagħhom u jiġu assimilati fis-sistema tal-iskejjel nazzjonali. Dan ikkawża tħawwil fost iċ-Ċiniżi u nkiseb kompromess billi l-iskejjel minflok isiru skejjel tat-tip "nazzjonali". Taħt sistema bħal din, il-gvern huwa inkarigat biss mill-kurrikulu tal-iskola u l-persunal tat-tagħlim waqt li l-artijiet għadhom jappartjenu għall-iskejjel. Filwaqt li l-iskejjel primarji Ċiniżi tħallew iżommu ċ-Ċiniż bħala l-mezz ta 'struzzjoni, l-iskejjel sekondarji Ċiniżi huma meħtieġa jinbidlu fi skejjel tal-medja Ingliża. Aktar minn 60 skola kkonvertiti biex isiru skejjel tat-tip nazzjonali.</v>
      </c>
    </row>
    <row r="27345" ht="15.75" customHeight="1">
      <c r="A27345" s="2" t="s">
        <v>27345</v>
      </c>
      <c r="B27345" s="2" t="str">
        <f>IFERROR(__xludf.DUMMYFUNCTION("GOOGLETRANSLATE(A27345, ""en"", ""mt"")"),"erba 'snin")</f>
        <v>erba 'snin</v>
      </c>
    </row>
    <row r="27346" ht="15.75" customHeight="1">
      <c r="A27346" s="2" t="s">
        <v>27346</v>
      </c>
      <c r="B27346" s="2" t="str">
        <f>IFERROR(__xludf.DUMMYFUNCTION("GOOGLETRANSLATE(A27346, ""en"", ""mt"")"),"F’liema żewġ gruppi ta ’età hija mnaqqsa s-saħħa tas-sistema immunitarja?")</f>
        <v>F’liema żewġ gruppi ta ’età hija mnaqqsa s-saħħa tas-sistema immunitarja?</v>
      </c>
    </row>
    <row r="27347" ht="15.75" customHeight="1">
      <c r="A27347" s="2" t="s">
        <v>27347</v>
      </c>
      <c r="B27347" s="2" t="str">
        <f>IFERROR(__xludf.DUMMYFUNCTION("GOOGLETRANSLATE(A27347, ""en"", ""mt"")"),"L-ewwel sistema ta 'edukazzjoni tal-Kenja ġiet introdotta minn kolonisti Ingliżi. Wara l-indipendenza tal-Kenja fit-12 ta 'Diċembru 1963, ġiet iffurmata awtorità msejħa l-Kummissjoni Omine biex tintroduċi bidliet li jirriflettu s-sovranità tan-nazzjon. Il"&amp;"-kummissjoni ffokat fuq l-identità u l-għaqda, li kienu kwistjonijiet kritiċi dak iż-żmien. Saru bidliet fil-kontenut tas-suġġett tal-istorja u l-ġeografija biex jirriflettu l-koeżjoni nazzjonali. Bejn l-1964 u l-1985, ġiet adottata s-sistema 7–4–2-3 - se"&amp;"ba 'snin ta' primarja, erba 'snin ta' sekondarja baxxa, sentejn ta 'sekondarja għolja, u tliet snin ta' università. L-iskejjel kollha kellhom kurrikulu komuni.")</f>
        <v>L-ewwel sistema ta 'edukazzjoni tal-Kenja ġiet introdotta minn kolonisti Ingliżi. Wara l-indipendenza tal-Kenja fit-12 ta 'Diċembru 1963, ġiet iffurmata awtorità msejħa l-Kummissjoni Omine biex tintroduċi bidliet li jirriflettu s-sovranità tan-nazzjon. Il-kummissjoni ffokat fuq l-identità u l-għaqda, li kienu kwistjonijiet kritiċi dak iż-żmien. Saru bidliet fil-kontenut tas-suġġett tal-istorja u l-ġeografija biex jirriflettu l-koeżjoni nazzjonali. Bejn l-1964 u l-1985, ġiet adottata s-sistema 7–4–2-3 - seba 'snin ta' primarja, erba 'snin ta' sekondarja baxxa, sentejn ta 'sekondarja għolja, u tliet snin ta' università. L-iskejjel kollha kellhom kurrikulu komuni.</v>
      </c>
    </row>
    <row r="27348" ht="15.75" customHeight="1">
      <c r="A27348" s="2" t="s">
        <v>27348</v>
      </c>
      <c r="B27348" s="2" t="str">
        <f>IFERROR(__xludf.DUMMYFUNCTION("GOOGLETRANSLATE(A27348, ""en"", ""mt"")"),"maqbud")</f>
        <v>maqbud</v>
      </c>
    </row>
    <row r="27349" ht="15.75" customHeight="1">
      <c r="A27349" s="2" t="s">
        <v>27349</v>
      </c>
      <c r="B27349" s="2" t="str">
        <f>IFERROR(__xludf.DUMMYFUNCTION("GOOGLETRANSLATE(A27349, ""en"", ""mt"")"),"Servizz mobbli NFL.")</f>
        <v>Servizz mobbli NFL.</v>
      </c>
    </row>
    <row r="27350" ht="15.75" customHeight="1">
      <c r="A27350" s="2" t="s">
        <v>27350</v>
      </c>
      <c r="B27350" s="2" t="str">
        <f>IFERROR(__xludf.DUMMYFUNCTION("GOOGLETRANSLATE(A27350, ""en"", ""mt"")"),"Liema traduzzjoni ta 'Luther għadha tintuża sal-lum?")</f>
        <v>Liema traduzzjoni ta 'Luther għadha tintuża sal-lum?</v>
      </c>
    </row>
    <row r="27351" ht="15.75" customHeight="1">
      <c r="A27351" s="2" t="s">
        <v>27351</v>
      </c>
      <c r="B27351" s="2" t="str">
        <f>IFERROR(__xludf.DUMMYFUNCTION("GOOGLETRANSLATE(A27351, ""en"", ""mt"")"),"Liema skejjel tar-reliġjon ġew integrati fl-iskejjel pubbliċi ta 'New Zealand bejn l-1979 u l-1984?")</f>
        <v>Liema skejjel tar-reliġjon ġew integrati fl-iskejjel pubbliċi ta 'New Zealand bejn l-1979 u l-1984?</v>
      </c>
    </row>
    <row r="27352" ht="15.75" customHeight="1">
      <c r="A27352" s="2" t="s">
        <v>27352</v>
      </c>
      <c r="B27352" s="2" t="str">
        <f>IFERROR(__xludf.DUMMYFUNCTION("GOOGLETRANSLATE(A27352, ""en"", ""mt"")"),"Proporzjonali b'ħafna membri")</f>
        <v>Proporzjonali b'ħafna membri</v>
      </c>
    </row>
    <row r="27353" ht="15.75" customHeight="1">
      <c r="A27353" s="2" t="s">
        <v>27353</v>
      </c>
      <c r="B27353" s="2" t="str">
        <f>IFERROR(__xludf.DUMMYFUNCTION("GOOGLETRANSLATE(A27353, ""en"", ""mt"")"),"Min mexxa l-Panthers fil-boroż?")</f>
        <v>Min mexxa l-Panthers fil-boroż?</v>
      </c>
    </row>
    <row r="27354" ht="15.75" customHeight="1">
      <c r="A27354" s="2" t="s">
        <v>27354</v>
      </c>
      <c r="B27354" s="2" t="str">
        <f>IFERROR(__xludf.DUMMYFUNCTION("GOOGLETRANSLATE(A27354, ""en"", ""mt"")"),"dewmien fit-titjira")</f>
        <v>dewmien fit-titjira</v>
      </c>
    </row>
    <row r="27355" ht="15.75" customHeight="1">
      <c r="A27355" s="2" t="s">
        <v>27355</v>
      </c>
      <c r="B27355" s="2" t="str">
        <f>IFERROR(__xludf.DUMMYFUNCTION("GOOGLETRANSLATE(A27355, ""en"", ""mt"")"),"Il-belt ta 'Bukhara ma kinitx imsaħħaħ ħafna, b'moat u ħajt wieħed, u ċ-Ċittadella tipika tal-bliet ta' Khwarezmi. Il-mexxejja tal-belt fetħu l-bibien għall-Mongoli, għalkemm unità ta ’difensuri Torok kellhom iċ-Ċittadella tal-belt għal tnax-il jum ieħor."&amp;" Is-sopravissuti miċ-Ċittadella ġew eżegwiti, artiġjani u nies tas-sengħa ntbagħtu lura lejn il-Mongolja, irġiel żgħażagħ li ma kinux ġġieldu ġew abbozzati fl-armata Mongoljana u l-bqija tal-popolazzjoni ntbagħtet fl-iskjavitù. Hekk kif is-suldati Mongolj"&amp;"ati ħakmu l-belt, faqqgħet in-nar, imqaxxar il-biċċa l-kbira tal-belt mal-art. Genghis Khan kellu l-popolazzjoni superstita tal-belt tiġbor fil-moskea ewlenija tal-belt, fejn iddikjara li kien il-flail ta 'Alla, mibgħut biex jikkastigahom għal dnubiethom.")</f>
        <v>Il-belt ta 'Bukhara ma kinitx imsaħħaħ ħafna, b'moat u ħajt wieħed, u ċ-Ċittadella tipika tal-bliet ta' Khwarezmi. Il-mexxejja tal-belt fetħu l-bibien għall-Mongoli, għalkemm unità ta ’difensuri Torok kellhom iċ-Ċittadella tal-belt għal tnax-il jum ieħor. Is-sopravissuti miċ-Ċittadella ġew eżegwiti, artiġjani u nies tas-sengħa ntbagħtu lura lejn il-Mongolja, irġiel żgħażagħ li ma kinux ġġieldu ġew abbozzati fl-armata Mongoljana u l-bqija tal-popolazzjoni ntbagħtet fl-iskjavitù. Hekk kif is-suldati Mongoljati ħakmu l-belt, faqqgħet in-nar, imqaxxar il-biċċa l-kbira tal-belt mal-art. Genghis Khan kellu l-popolazzjoni superstita tal-belt tiġbor fil-moskea ewlenija tal-belt, fejn iddikjara li kien il-flail ta 'Alla, mibgħut biex jikkastigahom għal dnubiethom.</v>
      </c>
    </row>
    <row r="27356" ht="15.75" customHeight="1">
      <c r="A27356" s="2" t="s">
        <v>27356</v>
      </c>
      <c r="B27356" s="2" t="str">
        <f>IFERROR(__xludf.DUMMYFUNCTION("GOOGLETRANSLATE(A27356, ""en"", ""mt"")"),"$ 60,000 fi flus u stokk u royalties")</f>
        <v>$ 60,000 fi flus u stokk u royalties</v>
      </c>
    </row>
    <row r="27357" ht="15.75" customHeight="1">
      <c r="A27357" s="2" t="s">
        <v>27357</v>
      </c>
      <c r="B27357" s="2" t="str">
        <f>IFERROR(__xludf.DUMMYFUNCTION("GOOGLETRANSLATE(A27357, ""en"", ""mt"")"),"Stadji ta ’fuq finta mimlijin ilma.")</f>
        <v>Stadji ta ’fuq finta mimlijin ilma.</v>
      </c>
    </row>
    <row r="27358" ht="15.75" customHeight="1">
      <c r="A27358" s="2" t="s">
        <v>27358</v>
      </c>
      <c r="B27358" s="2" t="str">
        <f>IFERROR(__xludf.DUMMYFUNCTION("GOOGLETRANSLATE(A27358, ""en"", ""mt"")"),"(/ ˈFrɛznoʊ / frez-noH)")</f>
        <v>(/ ˈFrɛznoʊ / frez-noH)</v>
      </c>
    </row>
    <row r="27359" ht="15.75" customHeight="1">
      <c r="A27359" s="2" t="s">
        <v>27359</v>
      </c>
      <c r="B27359" s="2" t="str">
        <f>IFERROR(__xludf.DUMMYFUNCTION("GOOGLETRANSLATE(A27359, ""en"", ""mt"")"),"Bejn wieħed u ieħor kemm hemm oġġetti fil-kollezzjoni ta 'skultura V&amp;A?")</f>
        <v>Bejn wieħed u ieħor kemm hemm oġġetti fil-kollezzjoni ta 'skultura V&amp;A?</v>
      </c>
    </row>
    <row r="27360" ht="15.75" customHeight="1">
      <c r="A27360" s="2" t="s">
        <v>27360</v>
      </c>
      <c r="B27360" s="2" t="str">
        <f>IFERROR(__xludf.DUMMYFUNCTION("GOOGLETRANSLATE(A27360, ""en"", ""mt"")"),"Min iddeskriva ċ-Ċina ta 'Kublai lejn l-Ewropa?")</f>
        <v>Min iddeskriva ċ-Ċina ta 'Kublai lejn l-Ewropa?</v>
      </c>
    </row>
    <row r="27361" ht="15.75" customHeight="1">
      <c r="A27361" s="2" t="s">
        <v>27361</v>
      </c>
      <c r="B27361" s="2" t="str">
        <f>IFERROR(__xludf.DUMMYFUNCTION("GOOGLETRANSLATE(A27361, ""en"", ""mt"")"),"Kemm hemm missjonijiet Apollo ġew immexxija mill-veterani preċedenti tal-Merkurju u l-Gemini?")</f>
        <v>Kemm hemm missjonijiet Apollo ġew immexxija mill-veterani preċedenti tal-Merkurju u l-Gemini?</v>
      </c>
    </row>
    <row r="27362" ht="15.75" customHeight="1">
      <c r="A27362" s="2" t="s">
        <v>27362</v>
      </c>
      <c r="B27362" s="2" t="str">
        <f>IFERROR(__xludf.DUMMYFUNCTION("GOOGLETRANSLATE(A27362, ""en"", ""mt"")"),"kanċer")</f>
        <v>kanċer</v>
      </c>
    </row>
    <row r="27363" ht="15.75" customHeight="1">
      <c r="A27363" s="2" t="s">
        <v>27363</v>
      </c>
      <c r="B27363" s="2" t="str">
        <f>IFERROR(__xludf.DUMMYFUNCTION("GOOGLETRANSLATE(A27363, ""en"", ""mt"")"),"in-nisa kollha")</f>
        <v>in-nisa kollha</v>
      </c>
    </row>
    <row r="27364" ht="15.75" customHeight="1">
      <c r="A27364" s="2" t="s">
        <v>27364</v>
      </c>
      <c r="B27364" s="2" t="str">
        <f>IFERROR(__xludf.DUMMYFUNCTION("GOOGLETRANSLATE(A27364, ""en"", ""mt"")"),"Il-Filippini")</f>
        <v>Il-Filippini</v>
      </c>
    </row>
    <row r="27365" ht="15.75" customHeight="1">
      <c r="A27365" s="2" t="s">
        <v>27365</v>
      </c>
      <c r="B27365" s="2" t="str">
        <f>IFERROR(__xludf.DUMMYFUNCTION("GOOGLETRANSLATE(A27365, ""en"", ""mt"")"),"Ħafna organizzazzjonijiet reċentement sejħu għal aċċettazzjoni usa 'ta' liema komunità?")</f>
        <v>Ħafna organizzazzjonijiet reċentement sejħu għal aċċettazzjoni usa 'ta' liema komunità?</v>
      </c>
    </row>
    <row r="27366" ht="15.75" customHeight="1">
      <c r="A27366" s="2" t="s">
        <v>27366</v>
      </c>
      <c r="B27366" s="2" t="str">
        <f>IFERROR(__xludf.DUMMYFUNCTION("GOOGLETRANSLATE(A27366, ""en"", ""mt"")"),"Minn fejn joħroġ l-isem Rhine?")</f>
        <v>Minn fejn joħroġ l-isem Rhine?</v>
      </c>
    </row>
    <row r="27367" ht="15.75" customHeight="1">
      <c r="A27367" s="2" t="s">
        <v>27367</v>
      </c>
      <c r="B27367" s="2" t="str">
        <f>IFERROR(__xludf.DUMMYFUNCTION("GOOGLETRANSLATE(A27367, ""en"", ""mt"")"),"Liema kumpanija sponsorjat konkors imsejjaħ ""Logħba Big Business""?")</f>
        <v>Liema kumpanija sponsorjat konkors imsejjaħ "Logħba Big Business"?</v>
      </c>
    </row>
    <row r="27368" ht="15.75" customHeight="1">
      <c r="A27368" s="2" t="s">
        <v>27368</v>
      </c>
      <c r="B27368" s="2" t="str">
        <f>IFERROR(__xludf.DUMMYFUNCTION("GOOGLETRANSLATE(A27368, ""en"", ""mt"")"),"Meta kissru l-ftehim ta 'l-hekk imsejħa rġulija bejn Sadat u l-Iżlamisti?")</f>
        <v>Meta kissru l-ftehim ta 'l-hekk imsejħa rġulija bejn Sadat u l-Iżlamisti?</v>
      </c>
    </row>
    <row r="27369" ht="15.75" customHeight="1">
      <c r="A27369" s="2" t="s">
        <v>27369</v>
      </c>
      <c r="B27369" s="2" t="str">
        <f>IFERROR(__xludf.DUMMYFUNCTION("GOOGLETRANSLATE(A27369, ""en"", ""mt"")"),"L-anzjani huma msejħa minn Alla, affermati mill-Knisja, u ordnati minn isqof lil ministeru tal-kelma, sagrament, ordni u servizz fi ħdan il-knisja. Jistgħu jinħatru fil-knisja lokali, jew għal ministeri ta 'estensjoni validi oħra tal-knisja. L-anzjani jin"&amp;"għataw l-awtorità biex jippridkaw il-Kelma ta ’Alla, jamministraw is-sagramenti tal-Knisja, biex jipprovdu kura u pariri, u jordnaw il-ħajja tal-Knisja għall-ministeru u l-missjoni. L-anzjani jistgħu wkoll jiġu assenjati bħala superintendenti distrettwali"&amp;", u huma eliġibbli għall-elezzjoni għall-episkopat. L-anzjani jservu terminu ta '2-3 snin bħala anzjani proviżorji qabel l-ordinazzjoni tagħhom.")</f>
        <v>L-anzjani huma msejħa minn Alla, affermati mill-Knisja, u ordnati minn isqof lil ministeru tal-kelma, sagrament, ordni u servizz fi ħdan il-knisja. Jistgħu jinħatru fil-knisja lokali, jew għal ministeri ta 'estensjoni validi oħra tal-knisja. L-anzjani jingħataw l-awtorità biex jippridkaw il-Kelma ta ’Alla, jamministraw is-sagramenti tal-Knisja, biex jipprovdu kura u pariri, u jordnaw il-ħajja tal-Knisja għall-ministeru u l-missjoni. L-anzjani jistgħu wkoll jiġu assenjati bħala superintendenti distrettwali, u huma eliġibbli għall-elezzjoni għall-episkopat. L-anzjani jservu terminu ta '2-3 snin bħala anzjani proviżorji qabel l-ordinazzjoni tagħhom.</v>
      </c>
    </row>
    <row r="27370" ht="15.75" customHeight="1">
      <c r="A27370" s="2" t="s">
        <v>27370</v>
      </c>
      <c r="B27370" s="2" t="str">
        <f>IFERROR(__xludf.DUMMYFUNCTION("GOOGLETRANSLATE(A27370, ""en"", ""mt"")"),"Meta ħafna nies jiġu arrestati, x'inhi tinnegozja tattika komuni?")</f>
        <v>Meta ħafna nies jiġu arrestati, x'inhi tinnegozja tattika komuni?</v>
      </c>
    </row>
    <row r="27371" ht="15.75" customHeight="1">
      <c r="A27371" s="2" t="s">
        <v>27371</v>
      </c>
      <c r="B27371" s="2" t="str">
        <f>IFERROR(__xludf.DUMMYFUNCTION("GOOGLETRANSLATE(A27371, ""en"", ""mt"")"),"Fatturi kostanti u termini iżgħar")</f>
        <v>Fatturi kostanti u termini iżgħar</v>
      </c>
    </row>
    <row r="27372" ht="15.75" customHeight="1">
      <c r="A27372" s="2" t="s">
        <v>27372</v>
      </c>
      <c r="B27372" s="2" t="str">
        <f>IFERROR(__xludf.DUMMYFUNCTION("GOOGLETRANSLATE(A27372, ""en"", ""mt"")"),"Id-diżubbidjenza ċivili ġiet argumentata fi żminijiet aktar riċenti li sofriet minn xiex?")</f>
        <v>Id-diżubbidjenza ċivili ġiet argumentata fi żminijiet aktar riċenti li sofriet minn xiex?</v>
      </c>
    </row>
    <row r="27373" ht="15.75" customHeight="1">
      <c r="A27373" s="2" t="s">
        <v>27373</v>
      </c>
      <c r="B27373" s="2" t="str">
        <f>IFERROR(__xludf.DUMMYFUNCTION("GOOGLETRANSLATE(A27373, ""en"", ""mt"")"),"Arkitettura Gotika")</f>
        <v>Arkitettura Gotika</v>
      </c>
    </row>
    <row r="27374" ht="15.75" customHeight="1">
      <c r="A27374" s="2" t="s">
        <v>27374</v>
      </c>
      <c r="B27374" s="2" t="str">
        <f>IFERROR(__xludf.DUMMYFUNCTION("GOOGLETRANSLATE(A27374, ""en"", ""mt"")"),"Ma 'min ħarab id-Duka Yansheng Kong Duanyou?")</f>
        <v>Ma 'min ħarab id-Duka Yansheng Kong Duanyou?</v>
      </c>
    </row>
    <row r="27375" ht="15.75" customHeight="1">
      <c r="A27375" s="2" t="s">
        <v>27375</v>
      </c>
      <c r="B27375" s="2" t="str">
        <f>IFERROR(__xludf.DUMMYFUNCTION("GOOGLETRANSLATE(A27375, ""en"", ""mt"")"),"Għal liema perjodu huwa l-akbar oġġett mill-Italja li huwa inkluż fil-kollezzjoni tal-iskultura datata?")</f>
        <v>Għal liema perjodu huwa l-akbar oġġett mill-Italja li huwa inkluż fil-kollezzjoni tal-iskultura datata?</v>
      </c>
    </row>
    <row r="27376" ht="15.75" customHeight="1">
      <c r="A27376" s="2" t="s">
        <v>27376</v>
      </c>
      <c r="B27376" s="2" t="str">
        <f>IFERROR(__xludf.DUMMYFUNCTION("GOOGLETRANSLATE(A27376, ""en"", ""mt"")"),"xita")</f>
        <v>xita</v>
      </c>
    </row>
    <row r="27377" ht="15.75" customHeight="1">
      <c r="A27377" s="2" t="s">
        <v>27377</v>
      </c>
      <c r="B27377" s="2" t="str">
        <f>IFERROR(__xludf.DUMMYFUNCTION("GOOGLETRANSLATE(A27377, ""en"", ""mt"")"),"President u CEO")</f>
        <v>President u CEO</v>
      </c>
    </row>
    <row r="27378" ht="15.75" customHeight="1">
      <c r="A27378" s="2" t="s">
        <v>27378</v>
      </c>
      <c r="B27378" s="2" t="str">
        <f>IFERROR(__xludf.DUMMYFUNCTION("GOOGLETRANSLATE(A27378, ""en"", ""mt"")"),"Min kellu kontroll militari waqt il-wan?")</f>
        <v>Min kellu kontroll militari waqt il-wan?</v>
      </c>
    </row>
    <row r="27379" ht="15.75" customHeight="1">
      <c r="A27379" s="2" t="s">
        <v>27379</v>
      </c>
      <c r="B27379" s="2" t="str">
        <f>IFERROR(__xludf.DUMMYFUNCTION("GOOGLETRANSLATE(A27379, ""en"", ""mt"")"),"Ikkonċentrat ħafna tul il-Wied tax-Xmara San Lawrenz, b'xi wħud ukoll f'Acadia")</f>
        <v>Ikkonċentrat ħafna tul il-Wied tax-Xmara San Lawrenz, b'xi wħud ukoll f'Acadia</v>
      </c>
    </row>
    <row r="27380" ht="15.75" customHeight="1">
      <c r="A27380" s="2" t="s">
        <v>27380</v>
      </c>
      <c r="B27380" s="2" t="str">
        <f>IFERROR(__xludf.DUMMYFUNCTION("GOOGLETRANSLATE(A27380, ""en"", ""mt"")"),"Żviluppi ġodda fl-uffiċċju")</f>
        <v>Żviluppi ġodda fl-uffiċċju</v>
      </c>
    </row>
    <row r="27381" ht="15.75" customHeight="1">
      <c r="A27381" s="2" t="s">
        <v>27381</v>
      </c>
      <c r="B27381" s="2" t="str">
        <f>IFERROR(__xludf.DUMMYFUNCTION("GOOGLETRANSLATE(A27381, ""en"", ""mt"")"),"X'għandhom il-kloroplasti tal-alka ħamra li m'għandhomx il-kloroplasti ħodor?")</f>
        <v>X'għandhom il-kloroplasti tal-alka ħamra li m'għandhomx il-kloroplasti ħodor?</v>
      </c>
    </row>
    <row r="27382" ht="15.75" customHeight="1">
      <c r="A27382" s="2" t="s">
        <v>27382</v>
      </c>
      <c r="B27382" s="2" t="str">
        <f>IFERROR(__xludf.DUMMYFUNCTION("GOOGLETRANSLATE(A27382, ""en"", ""mt"")"),"informali")</f>
        <v>informali</v>
      </c>
    </row>
    <row r="27383" ht="15.75" customHeight="1">
      <c r="A27383" s="2" t="s">
        <v>27383</v>
      </c>
      <c r="B27383" s="2" t="str">
        <f>IFERROR(__xludf.DUMMYFUNCTION("GOOGLETRANSLATE(A27383, ""en"", ""mt"")"),"It-tielet test mingħajr ekwipaġġ.")</f>
        <v>It-tielet test mingħajr ekwipaġġ.</v>
      </c>
    </row>
    <row r="27384" ht="15.75" customHeight="1">
      <c r="A27384" s="2" t="s">
        <v>27384</v>
      </c>
      <c r="B27384" s="2" t="str">
        <f>IFERROR(__xludf.DUMMYFUNCTION("GOOGLETRANSLATE(A27384, ""en"", ""mt"")"),"Hija rebħet il-forma qasira tal-Premju Hugo għall-Aħjar Preżentazzjoni Dramatika, l-eqdem Premju tax-Xjenza Fikzjoni / Fantasija għall-Films u s-Serje, sitt darbiet (kull sena mill-2006, ħlief għall-2009, 2013 u 2014). L-episodji rebbieħa kienu ""The Empt"&amp;"y Child"" / ""The Doctor Dances"" (2006), ""The Girl in the Fireplace"" (2007), ""Blink"" (2008), ""The Waters of Mars"" (2010), ""The Pandorica Tiftaħ ""/"" The Big Bang ""(2011), u"" The Doctor's Wife ""(2012). L-istilla tat-Tabib Who Matt Smith rebħet "&amp;"l-aqwa attur fil-Premjijiet Nazzjonali tat-Televiżjoni 2012 flimkien ma ’Karen Gillan li rebħet l-Aqwa Attriċi. Doctor Who ġie nominat għal aktar minn 200 premju u rebaħ aktar minn mitt minnhom.")</f>
        <v>Hija rebħet il-forma qasira tal-Premju Hugo għall-Aħjar Preżentazzjoni Dramatika, l-eqdem Premju tax-Xjenza Fikzjoni / Fantasija għall-Films u s-Serje, sitt darbiet (kull sena mill-2006, ħlief għall-2009, 2013 u 2014). L-episodji rebbieħa kienu "The Empty Child" / "The Doctor Dances" (2006), "The Girl in the Fireplace" (2007), "Blink" (2008), "The Waters of Mars" (2010), "The Pandorica Tiftaħ "/" The Big Bang "(2011), u" The Doctor's Wife "(2012). L-istilla tat-Tabib Who Matt Smith rebħet l-aqwa attur fil-Premjijiet Nazzjonali tat-Televiżjoni 2012 flimkien ma ’Karen Gillan li rebħet l-Aqwa Attriċi. Doctor Who ġie nominat għal aktar minn 200 premju u rebaħ aktar minn mitt minnhom.</v>
      </c>
    </row>
    <row r="27385" ht="15.75" customHeight="1">
      <c r="A27385" s="2" t="s">
        <v>27385</v>
      </c>
      <c r="B27385" s="2" t="str">
        <f>IFERROR(__xludf.DUMMYFUNCTION("GOOGLETRANSLATE(A27385, ""en"", ""mt"")"),"studenti li jfittxu l-attenzjoni u li jfixklu")</f>
        <v>studenti li jfittxu l-attenzjoni u li jfixklu</v>
      </c>
    </row>
    <row r="27386" ht="15.75" customHeight="1">
      <c r="A27386" s="2" t="s">
        <v>27386</v>
      </c>
      <c r="B27386" s="2" t="str">
        <f>IFERROR(__xludf.DUMMYFUNCTION("GOOGLETRANSLATE(A27386, ""en"", ""mt"")"),"Iċ-Ċertifikat tal-Edukazzjoni Sekondarja tal-Kenja")</f>
        <v>Iċ-Ċertifikat tal-Edukazzjoni Sekondarja tal-Kenja</v>
      </c>
    </row>
    <row r="27387" ht="15.75" customHeight="1">
      <c r="A27387" s="2" t="s">
        <v>27387</v>
      </c>
      <c r="B27387" s="2" t="str">
        <f>IFERROR(__xludf.DUMMYFUNCTION("GOOGLETRANSLATE(A27387, ""en"", ""mt"")"),"Wara l-WW-II fejn ir-Russja applikat ir-reġimi tsaristi qodma tagħha?")</f>
        <v>Wara l-WW-II fejn ir-Russja applikat ir-reġimi tsaristi qodma tagħha?</v>
      </c>
    </row>
    <row r="27388" ht="15.75" customHeight="1">
      <c r="A27388" s="2" t="s">
        <v>27388</v>
      </c>
      <c r="B27388" s="2" t="str">
        <f>IFERROR(__xludf.DUMMYFUNCTION("GOOGLETRANSLATE(A27388, ""en"", ""mt"")"),"Buena Vista Televiżjoni")</f>
        <v>Buena Vista Televiżjoni</v>
      </c>
    </row>
    <row r="27389" ht="15.75" customHeight="1">
      <c r="A27389" s="2" t="s">
        <v>27389</v>
      </c>
      <c r="B27389" s="2" t="str">
        <f>IFERROR(__xludf.DUMMYFUNCTION("GOOGLETRANSLATE(A27389, ""en"", ""mt"")"),"Min rebaħ il-Premju Nobel fl-1905?")</f>
        <v>Min rebaħ il-Premju Nobel fl-1905?</v>
      </c>
    </row>
    <row r="27390" ht="15.75" customHeight="1">
      <c r="A27390" s="2" t="s">
        <v>27390</v>
      </c>
      <c r="B27390" s="2" t="str">
        <f>IFERROR(__xludf.DUMMYFUNCTION("GOOGLETRANSLATE(A27390, ""en"", ""mt"")"),"ħama")</f>
        <v>ħama</v>
      </c>
    </row>
    <row r="27391" ht="15.75" customHeight="1">
      <c r="A27391" s="2" t="s">
        <v>27391</v>
      </c>
      <c r="B27391" s="2" t="str">
        <f>IFERROR(__xludf.DUMMYFUNCTION("GOOGLETRANSLATE(A27391, ""en"", ""mt"")"),"Kemm inqatlu mill-pesta fl-Italja fis-seklu 17?")</f>
        <v>Kemm inqatlu mill-pesta fl-Italja fis-seklu 17?</v>
      </c>
    </row>
    <row r="27392" ht="15.75" customHeight="1">
      <c r="A27392" s="2" t="s">
        <v>27392</v>
      </c>
      <c r="B27392" s="2" t="str">
        <f>IFERROR(__xludf.DUMMYFUNCTION("GOOGLETRANSLATE(A27392, ""en"", ""mt"")"),"Peress li l-qamar m'għandux atmosfera, x'inhu prevalenti f'ħafna kampjuni tal-blat tal-qamar miġjuba lura mill-missjonijiet Apollo?")</f>
        <v>Peress li l-qamar m'għandux atmosfera, x'inhu prevalenti f'ħafna kampjuni tal-blat tal-qamar miġjuba lura mill-missjonijiet Apollo?</v>
      </c>
    </row>
    <row r="27393" ht="15.75" customHeight="1">
      <c r="A27393" s="2" t="s">
        <v>27393</v>
      </c>
      <c r="B27393" s="2" t="str">
        <f>IFERROR(__xludf.DUMMYFUNCTION("GOOGLETRANSLATE(A27393, ""en"", ""mt"")"),"Dak li għen biex ixerred il-Protestantiżmu fi Franza?")</f>
        <v>Dak li għen biex ixerred il-Protestantiżmu fi Franza?</v>
      </c>
    </row>
    <row r="27394" ht="15.75" customHeight="1">
      <c r="A27394" s="2" t="s">
        <v>27394</v>
      </c>
      <c r="B27394" s="2" t="str">
        <f>IFERROR(__xludf.DUMMYFUNCTION("GOOGLETRANSLATE(A27394, ""en"", ""mt"")"),"Kemm-il darba kienu l-Panthers fis-Super Bowl?")</f>
        <v>Kemm-il darba kienu l-Panthers fis-Super Bowl?</v>
      </c>
    </row>
    <row r="27395" ht="15.75" customHeight="1">
      <c r="A27395" s="2" t="s">
        <v>27395</v>
      </c>
      <c r="B27395" s="2" t="str">
        <f>IFERROR(__xludf.DUMMYFUNCTION("GOOGLETRANSLATE(A27395, ""en"", ""mt"")"),"F'liema pajjiż jinsabu l-kontej kollha?")</f>
        <v>F'liema pajjiż jinsabu l-kontej kollha?</v>
      </c>
    </row>
    <row r="27396" ht="15.75" customHeight="1">
      <c r="A27396" s="2" t="s">
        <v>27396</v>
      </c>
      <c r="B27396" s="2" t="str">
        <f>IFERROR(__xludf.DUMMYFUNCTION("GOOGLETRANSLATE(A27396, ""en"", ""mt"")"),"Għal liema sena huwa ddatat il-gandlier Gloucester?")</f>
        <v>Għal liema sena huwa ddatat il-gandlier Gloucester?</v>
      </c>
    </row>
    <row r="27397" ht="15.75" customHeight="1">
      <c r="A27397" s="2" t="s">
        <v>27397</v>
      </c>
      <c r="B27397" s="2" t="str">
        <f>IFERROR(__xludf.DUMMYFUNCTION("GOOGLETRANSLATE(A27397, ""en"", ""mt"")"),"l-20")</f>
        <v>l-20</v>
      </c>
    </row>
    <row r="27398" ht="15.75" customHeight="1">
      <c r="A27398" s="2" t="s">
        <v>27398</v>
      </c>
      <c r="B27398" s="2" t="str">
        <f>IFERROR(__xludf.DUMMYFUNCTION("GOOGLETRANSLATE(A27398, ""en"", ""mt"")"),"Qorti Suprema tal-Istati Uniti")</f>
        <v>Qorti Suprema tal-Istati Uniti</v>
      </c>
    </row>
    <row r="27399" ht="15.75" customHeight="1">
      <c r="A27399" s="2" t="s">
        <v>27399</v>
      </c>
      <c r="B27399" s="2" t="str">
        <f>IFERROR(__xludf.DUMMYFUNCTION("GOOGLETRANSLATE(A27399, ""en"", ""mt"")"),"Minn fejn kienet il-figura storika Musulmana Attar, li l-qtil tiegħu mill-Mongoli kien mfakkar fit-tul?")</f>
        <v>Minn fejn kienet il-figura storika Musulmana Attar, li l-qtil tiegħu mill-Mongoli kien mfakkar fit-tul?</v>
      </c>
    </row>
    <row r="27400" ht="15.75" customHeight="1">
      <c r="A27400" s="2" t="s">
        <v>27400</v>
      </c>
      <c r="B27400" s="2" t="str">
        <f>IFERROR(__xludf.DUMMYFUNCTION("GOOGLETRANSLATE(A27400, ""en"", ""mt"")"),"bżieżaq ta 'gass inert, l-aktar nitroġenu u elju, li jiffurmaw fid-demm tagħhom")</f>
        <v>bżieżaq ta 'gass inert, l-aktar nitroġenu u elju, li jiffurmaw fid-demm tagħhom</v>
      </c>
    </row>
    <row r="27401" ht="15.75" customHeight="1">
      <c r="A27401" s="2" t="s">
        <v>27401</v>
      </c>
      <c r="B27401" s="2" t="str">
        <f>IFERROR(__xludf.DUMMYFUNCTION("GOOGLETRANSLATE(A27401, ""en"", ""mt"")"),"kwantitajiet skalari indikati")</f>
        <v>kwantitajiet skalari indikati</v>
      </c>
    </row>
    <row r="27402" ht="15.75" customHeight="1">
      <c r="A27402" s="2" t="s">
        <v>27402</v>
      </c>
      <c r="B27402" s="2" t="str">
        <f>IFERROR(__xludf.DUMMYFUNCTION("GOOGLETRANSLATE(A27402, ""en"", ""mt"")"),"Liema metodu kien użat biex jitneħħew il-foresta għall-kultivazzjoni tal-għelejjel fil-foresta tal-Amażonja?")</f>
        <v>Liema metodu kien użat biex jitneħħew il-foresta għall-kultivazzjoni tal-għelejjel fil-foresta tal-Amażonja?</v>
      </c>
    </row>
    <row r="27403" ht="15.75" customHeight="1">
      <c r="A27403" s="2" t="s">
        <v>27403</v>
      </c>
      <c r="B27403" s="2" t="str">
        <f>IFERROR(__xludf.DUMMYFUNCTION("GOOGLETRANSLATE(A27403, ""en"", ""mt"")"),"Liema entità tinforza l-karta tad-drittijiet fundamentali tal-Unjoni Ewropea?")</f>
        <v>Liema entità tinforza l-karta tad-drittijiet fundamentali tal-Unjoni Ewropea?</v>
      </c>
    </row>
    <row r="27404" ht="15.75" customHeight="1">
      <c r="A27404" s="2" t="s">
        <v>27404</v>
      </c>
      <c r="B27404" s="2" t="str">
        <f>IFERROR(__xludf.DUMMYFUNCTION("GOOGLETRANSLATE(A27404, ""en"", ""mt"")"),"X’kienet il-Konferenza Ġenerali dwar il-Piżijiet u l-Miżuri wara Tesla fl-1960?")</f>
        <v>X’kienet il-Konferenza Ġenerali dwar il-Piżijiet u l-Miżuri wara Tesla fl-1960?</v>
      </c>
    </row>
    <row r="27405" ht="15.75" customHeight="1">
      <c r="A27405" s="2" t="s">
        <v>27405</v>
      </c>
      <c r="B27405" s="2" t="str">
        <f>IFERROR(__xludf.DUMMYFUNCTION("GOOGLETRANSLATE(A27405, ""en"", ""mt"")"),"Studju tal-blat")</f>
        <v>Studju tal-blat</v>
      </c>
    </row>
    <row r="27406" ht="15.75" customHeight="1">
      <c r="A27406" s="2" t="s">
        <v>27406</v>
      </c>
      <c r="B27406" s="2" t="str">
        <f>IFERROR(__xludf.DUMMYFUNCTION("GOOGLETRANSLATE(A27406, ""en"", ""mt"")"),"Librerija Widener")</f>
        <v>Librerija Widener</v>
      </c>
    </row>
    <row r="27407" ht="15.75" customHeight="1">
      <c r="A27407" s="2" t="s">
        <v>27407</v>
      </c>
      <c r="B27407" s="2" t="str">
        <f>IFERROR(__xludf.DUMMYFUNCTION("GOOGLETRANSLATE(A27407, ""en"", ""mt"")"),"Kamoya Kimeu")</f>
        <v>Kamoya Kimeu</v>
      </c>
    </row>
    <row r="27408" ht="15.75" customHeight="1">
      <c r="A27408" s="2" t="s">
        <v>27408</v>
      </c>
      <c r="B27408" s="2" t="str">
        <f>IFERROR(__xludf.DUMMYFUNCTION("GOOGLETRANSLATE(A27408, ""en"", ""mt"")"),"1521")</f>
        <v>1521</v>
      </c>
    </row>
    <row r="27409" ht="15.75" customHeight="1">
      <c r="A27409" s="2" t="s">
        <v>27409</v>
      </c>
      <c r="B27409" s="2" t="str">
        <f>IFERROR(__xludf.DUMMYFUNCTION("GOOGLETRANSLATE(A27409, ""en"", ""mt"")"),"X'inhuma kemm Branko Milanovic kif ukoll Joseph Stiglitz?")</f>
        <v>X'inhuma kemm Branko Milanovic kif ukoll Joseph Stiglitz?</v>
      </c>
    </row>
    <row r="27410" ht="15.75" customHeight="1">
      <c r="A27410" s="2" t="s">
        <v>27410</v>
      </c>
      <c r="B27410" s="2" t="str">
        <f>IFERROR(__xludf.DUMMYFUNCTION("GOOGLETRANSLATE(A27410, ""en"", ""mt"")"),"Min tkellem ma 'Luther dwar il-kotba tiegħu f'isem l-Imperu?")</f>
        <v>Min tkellem ma 'Luther dwar il-kotba tiegħu f'isem l-Imperu?</v>
      </c>
    </row>
    <row r="27411" ht="15.75" customHeight="1">
      <c r="A27411" s="2" t="s">
        <v>27411</v>
      </c>
      <c r="B27411" s="2" t="str">
        <f>IFERROR(__xludf.DUMMYFUNCTION("GOOGLETRANSLATE(A27411, ""en"", ""mt"")"),"Liema Super Bowl, wara l-50 wieħed, se jerġa 'jkollu numri Rumani fit-titlu mill-ġdid?")</f>
        <v>Liema Super Bowl, wara l-50 wieħed, se jerġa 'jkollu numri Rumani fit-titlu mill-ġdid?</v>
      </c>
    </row>
    <row r="27412" ht="15.75" customHeight="1">
      <c r="A27412" s="2" t="s">
        <v>27412</v>
      </c>
      <c r="B27412" s="2" t="str">
        <f>IFERROR(__xludf.DUMMYFUNCTION("GOOGLETRANSLATE(A27412, ""en"", ""mt"")"),"30 ta ’Novembru 1963")</f>
        <v>30 ta ’Novembru 1963</v>
      </c>
    </row>
    <row r="27413" ht="15.75" customHeight="1">
      <c r="A27413" s="2" t="s">
        <v>27413</v>
      </c>
      <c r="B27413" s="2" t="str">
        <f>IFERROR(__xludf.DUMMYFUNCTION("GOOGLETRANSLATE(A27413, ""en"", ""mt"")"),"Liema xogħol huwa utli għar-ragħajja?")</f>
        <v>Liema xogħol huwa utli għar-ragħajja?</v>
      </c>
    </row>
    <row r="27414" ht="15.75" customHeight="1">
      <c r="A27414" s="2" t="s">
        <v>27414</v>
      </c>
      <c r="B27414" s="2" t="str">
        <f>IFERROR(__xludf.DUMMYFUNCTION("GOOGLETRANSLATE(A27414, ""en"", ""mt"")"),"Amazonia")</f>
        <v>Amazonia</v>
      </c>
    </row>
    <row r="27415" ht="15.75" customHeight="1">
      <c r="A27415" s="2" t="s">
        <v>27415</v>
      </c>
      <c r="B27415" s="2" t="str">
        <f>IFERROR(__xludf.DUMMYFUNCTION("GOOGLETRANSLATE(A27415, ""en"", ""mt"")"),"Triq tal-Ħarir")</f>
        <v>Triq tal-Ħarir</v>
      </c>
    </row>
    <row r="27416" ht="15.75" customHeight="1">
      <c r="A27416" s="2" t="s">
        <v>27416</v>
      </c>
      <c r="B27416" s="2" t="str">
        <f>IFERROR(__xludf.DUMMYFUNCTION("GOOGLETRANSLATE(A27416, ""en"", ""mt"")"),"Jannar 1518")</f>
        <v>Jannar 1518</v>
      </c>
    </row>
    <row r="27417" ht="15.75" customHeight="1">
      <c r="A27417" s="2" t="s">
        <v>27417</v>
      </c>
      <c r="B27417" s="2" t="str">
        <f>IFERROR(__xludf.DUMMYFUNCTION("GOOGLETRANSLATE(A27417, ""en"", ""mt"")"),"Id-diviżjoni tal-prova tinvolvi d-diviżjoni N minn kull numru sħiħ m akbar minn dak?")</f>
        <v>Id-diviżjoni tal-prova tinvolvi d-diviżjoni N minn kull numru sħiħ m akbar minn dak?</v>
      </c>
    </row>
    <row r="27418" ht="15.75" customHeight="1">
      <c r="A27418" s="2" t="s">
        <v>27418</v>
      </c>
      <c r="B27418" s="2" t="str">
        <f>IFERROR(__xludf.DUMMYFUNCTION("GOOGLETRANSLATE(A27418, ""en"", ""mt"")"),"Fejn kienet il-popolazzjoni Huguenot ta 'Franza fil-biċċa l-kbira ċċentrata?")</f>
        <v>Fejn kienet il-popolazzjoni Huguenot ta 'Franza fil-biċċa l-kbira ċċentrata?</v>
      </c>
    </row>
    <row r="27419" ht="15.75" customHeight="1">
      <c r="A27419" s="2" t="s">
        <v>27419</v>
      </c>
      <c r="B27419" s="2" t="str">
        <f>IFERROR(__xludf.DUMMYFUNCTION("GOOGLETRANSLATE(A27419, ""en"", ""mt"")"),"Spejjeż żejda")</f>
        <v>Spejjeż żejda</v>
      </c>
    </row>
    <row r="27420" ht="15.75" customHeight="1">
      <c r="A27420" s="2" t="s">
        <v>27420</v>
      </c>
      <c r="B27420" s="2" t="str">
        <f>IFERROR(__xludf.DUMMYFUNCTION("GOOGLETRANSLATE(A27420, ""en"", ""mt"")"),"In-negozju huwa kronikament sottovalutat")</f>
        <v>In-negozju huwa kronikament sottovalutat</v>
      </c>
    </row>
    <row r="27421" ht="15.75" customHeight="1">
      <c r="A27421" s="2" t="s">
        <v>27421</v>
      </c>
      <c r="B27421" s="2" t="str">
        <f>IFERROR(__xludf.DUMMYFUNCTION("GOOGLETRANSLATE(A27421, ""en"", ""mt"")"),"Tyne")</f>
        <v>Tyne</v>
      </c>
    </row>
    <row r="27422" ht="15.75" customHeight="1">
      <c r="A27422" s="2" t="s">
        <v>27422</v>
      </c>
      <c r="B27422" s="2" t="str">
        <f>IFERROR(__xludf.DUMMYFUNCTION("GOOGLETRANSLATE(A27422, ""en"", ""mt"")"),"X'inhu l-isem għal għalliem ta 'persuna waħda biss?")</f>
        <v>X'inhu l-isem għal għalliem ta 'persuna waħda biss?</v>
      </c>
    </row>
    <row r="27423" ht="15.75" customHeight="1">
      <c r="A27423" s="2" t="s">
        <v>27423</v>
      </c>
      <c r="B27423" s="2" t="str">
        <f>IFERROR(__xludf.DUMMYFUNCTION("GOOGLETRANSLATE(A27423, ""en"", ""mt"")"),"20,980")</f>
        <v>20,980</v>
      </c>
    </row>
    <row r="27424" ht="15.75" customHeight="1">
      <c r="A27424" s="2" t="s">
        <v>27424</v>
      </c>
      <c r="B27424" s="2" t="str">
        <f>IFERROR(__xludf.DUMMYFUNCTION("GOOGLETRANSLATE(A27424, ""en"", ""mt"")"),"Liema missjoni Apollo kien użat u meħtieġ dan il-metodu LOR?")</f>
        <v>Liema missjoni Apollo kien użat u meħtieġ dan il-metodu LOR?</v>
      </c>
    </row>
    <row r="27425" ht="15.75" customHeight="1">
      <c r="A27425" s="2" t="s">
        <v>27425</v>
      </c>
      <c r="B27425" s="2" t="str">
        <f>IFERROR(__xludf.DUMMYFUNCTION("GOOGLETRANSLATE(A27425, ""en"", ""mt"")"),"fuq il-waterfront tal-belt")</f>
        <v>fuq il-waterfront tal-belt</v>
      </c>
    </row>
    <row r="27426" ht="15.75" customHeight="1">
      <c r="A27426" s="2" t="s">
        <v>27426</v>
      </c>
      <c r="B27426" s="2" t="str">
        <f>IFERROR(__xludf.DUMMYFUNCTION("GOOGLETRANSLATE(A27426, ""en"", ""mt"")"),"1950s sas-snin sebgħin")</f>
        <v>1950s sas-snin sebgħin</v>
      </c>
    </row>
    <row r="27427" ht="15.75" customHeight="1">
      <c r="A27427" s="2" t="s">
        <v>27427</v>
      </c>
      <c r="B27427" s="2" t="str">
        <f>IFERROR(__xludf.DUMMYFUNCTION("GOOGLETRANSLATE(A27427, ""en"", ""mt"")"),"reġjuni ripetuti maqluba")</f>
        <v>reġjuni ripetuti maqluba</v>
      </c>
    </row>
    <row r="27428" ht="15.75" customHeight="1">
      <c r="A27428" s="2" t="s">
        <v>27428</v>
      </c>
      <c r="B27428" s="2" t="str">
        <f>IFERROR(__xludf.DUMMYFUNCTION("GOOGLETRANSLATE(A27428, ""en"", ""mt"")"),"17 nm")</f>
        <v>17 nm</v>
      </c>
    </row>
    <row r="27429" ht="15.75" customHeight="1">
      <c r="A27429" s="2" t="s">
        <v>27429</v>
      </c>
      <c r="B27429" s="2" t="str">
        <f>IFERROR(__xludf.DUMMYFUNCTION("GOOGLETRANSLATE(A27429, ""en"", ""mt"")"),"Meta kien l-għomor tan-nazzjonaliżmu Għarbi sekulari?")</f>
        <v>Meta kien l-għomor tan-nazzjonaliżmu Għarbi sekulari?</v>
      </c>
    </row>
    <row r="27430" ht="15.75" customHeight="1">
      <c r="A27430" s="2" t="s">
        <v>27430</v>
      </c>
      <c r="B27430" s="2" t="str">
        <f>IFERROR(__xludf.DUMMYFUNCTION("GOOGLETRANSLATE(A27430, ""en"", ""mt"")"),"diskors projbit")</f>
        <v>diskors projbit</v>
      </c>
    </row>
    <row r="27431" ht="15.75" customHeight="1">
      <c r="A27431" s="2" t="s">
        <v>27431</v>
      </c>
      <c r="B27431" s="2" t="str">
        <f>IFERROR(__xludf.DUMMYFUNCTION("GOOGLETRANSLATE(A27431, ""en"", ""mt"")"),"Xjenza")</f>
        <v>Xjenza</v>
      </c>
    </row>
    <row r="27432" ht="15.75" customHeight="1">
      <c r="A27432" s="2" t="s">
        <v>27432</v>
      </c>
      <c r="B27432" s="2" t="str">
        <f>IFERROR(__xludf.DUMMYFUNCTION("GOOGLETRANSLATE(A27432, ""en"", ""mt"")"),"Kif evolviet id-diżubbidjenza ċivili fiż-żminijiet attwali?")</f>
        <v>Kif evolviet id-diżubbidjenza ċivili fiż-żminijiet attwali?</v>
      </c>
    </row>
    <row r="27433" ht="15.75" customHeight="1">
      <c r="A27433" s="2" t="s">
        <v>27433</v>
      </c>
      <c r="B27433" s="2" t="str">
        <f>IFERROR(__xludf.DUMMYFUNCTION("GOOGLETRANSLATE(A27433, ""en"", ""mt"")"),"Kunsill Farmaċewtiku Ġenerali (GPHC)")</f>
        <v>Kunsill Farmaċewtiku Ġenerali (GPHC)</v>
      </c>
    </row>
    <row r="27434" ht="15.75" customHeight="1">
      <c r="A27434" s="2" t="s">
        <v>27434</v>
      </c>
      <c r="B27434" s="2" t="str">
        <f>IFERROR(__xludf.DUMMYFUNCTION("GOOGLETRANSLATE(A27434, ""en"", ""mt"")"),"San Lawrenz u Mississippi Watersheds")</f>
        <v>San Lawrenz u Mississippi Watersheds</v>
      </c>
    </row>
    <row r="27435" ht="15.75" customHeight="1">
      <c r="A27435" s="2" t="s">
        <v>27435</v>
      </c>
      <c r="B27435" s="2" t="str">
        <f>IFERROR(__xludf.DUMMYFUNCTION("GOOGLETRANSLATE(A27435, ""en"", ""mt"")"),"Fejn jista 'jinstab ġieħ għall-waqgħa ta' Varsavja?")</f>
        <v>Fejn jista 'jinstab ġieħ għall-waqgħa ta' Varsavja?</v>
      </c>
    </row>
    <row r="27436" ht="15.75" customHeight="1">
      <c r="A27436" s="2" t="s">
        <v>27436</v>
      </c>
      <c r="B27436" s="2" t="str">
        <f>IFERROR(__xludf.DUMMYFUNCTION("GOOGLETRANSLATE(A27436, ""en"", ""mt"")"),"Ġeneralment bla bażi u marġinali wkoll għall-valutazzjoni")</f>
        <v>Ġeneralment bla bażi u marġinali wkoll għall-valutazzjoni</v>
      </c>
    </row>
    <row r="27437" ht="15.75" customHeight="1">
      <c r="A27437" s="2" t="s">
        <v>27437</v>
      </c>
      <c r="B27437" s="2" t="str">
        <f>IFERROR(__xludf.DUMMYFUNCTION("GOOGLETRANSLATE(A27437, ""en"", ""mt"")"),"Fl-1898,")</f>
        <v>Fl-1898,</v>
      </c>
    </row>
    <row r="27438" ht="15.75" customHeight="1">
      <c r="A27438" s="2" t="s">
        <v>27438</v>
      </c>
      <c r="B27438" s="2" t="str">
        <f>IFERROR(__xludf.DUMMYFUNCTION("GOOGLETRANSLATE(A27438, ""en"", ""mt"")"),"Teorija tad-Dinja")</f>
        <v>Teorija tad-Dinja</v>
      </c>
    </row>
    <row r="27439" ht="15.75" customHeight="1">
      <c r="A27439" s="2" t="s">
        <v>27439</v>
      </c>
      <c r="B27439" s="2" t="str">
        <f>IFERROR(__xludf.DUMMYFUNCTION("GOOGLETRANSLATE(A27439, ""en"", ""mt"")"),"Liema terminu jiddeskrivi l-aħjar il-kollezzjoni ta 'pajsaġġi tan-Nofsinhar ta' California?")</f>
        <v>Liema terminu jiddeskrivi l-aħjar il-kollezzjoni ta 'pajsaġġi tan-Nofsinhar ta' California?</v>
      </c>
    </row>
    <row r="27440" ht="15.75" customHeight="1">
      <c r="A27440" s="2" t="s">
        <v>27440</v>
      </c>
      <c r="B27440" s="2" t="str">
        <f>IFERROR(__xludf.DUMMYFUNCTION("GOOGLETRANSLATE(A27440, ""en"", ""mt"")"),"għaxar minuti")</f>
        <v>għaxar minuti</v>
      </c>
    </row>
    <row r="27441" ht="15.75" customHeight="1">
      <c r="A27441" s="2" t="s">
        <v>27441</v>
      </c>
      <c r="B27441" s="2" t="str">
        <f>IFERROR(__xludf.DUMMYFUNCTION("GOOGLETRANSLATE(A27441, ""en"", ""mt"")"),"Ġwanni l-kostanti")</f>
        <v>Ġwanni l-kostanti</v>
      </c>
    </row>
    <row r="27442" ht="15.75" customHeight="1">
      <c r="A27442" s="2" t="s">
        <v>27442</v>
      </c>
      <c r="B27442" s="2" t="str">
        <f>IFERROR(__xludf.DUMMYFUNCTION("GOOGLETRANSLATE(A27442, ""en"", ""mt"")"),"ma tkunx konness direttament ma 'arpanet")</f>
        <v>ma tkunx konness direttament ma 'arpanet</v>
      </c>
    </row>
    <row r="27443" ht="15.75" customHeight="1">
      <c r="A27443" s="2" t="s">
        <v>27443</v>
      </c>
      <c r="B27443" s="2" t="str">
        <f>IFERROR(__xludf.DUMMYFUNCTION("GOOGLETRANSLATE(A27443, ""en"", ""mt"")"),"proporzjonalment man-numru ta 'voti riċevuti")</f>
        <v>proporzjonalment man-numru ta 'voti riċevuti</v>
      </c>
    </row>
    <row r="27444" ht="15.75" customHeight="1">
      <c r="A27444" s="2" t="s">
        <v>27444</v>
      </c>
      <c r="B27444" s="2" t="str">
        <f>IFERROR(__xludf.DUMMYFUNCTION("GOOGLETRANSLATE(A27444, ""en"", ""mt"")"),"Porridge bil-ħobż, chapati, mahamri, patata ħelwa mgħollija jew yams")</f>
        <v>Porridge bil-ħobż, chapati, mahamri, patata ħelwa mgħollija jew yams</v>
      </c>
    </row>
    <row r="27445" ht="15.75" customHeight="1">
      <c r="A27445" s="2" t="s">
        <v>27445</v>
      </c>
      <c r="B27445" s="2" t="str">
        <f>IFERROR(__xludf.DUMMYFUNCTION("GOOGLETRANSLATE(A27445, ""en"", ""mt"")"),"Liema kundizzjoni tas-saħħa tista 'tikkawża l-għadis fil-baħar fond?")</f>
        <v>Liema kundizzjoni tas-saħħa tista 'tikkawża l-għadis fil-baħar fond?</v>
      </c>
    </row>
    <row r="27446" ht="15.75" customHeight="1">
      <c r="A27446" s="2" t="s">
        <v>27446</v>
      </c>
      <c r="B27446" s="2" t="str">
        <f>IFERROR(__xludf.DUMMYFUNCTION("GOOGLETRANSLATE(A27446, ""en"", ""mt"")"),"Korean")</f>
        <v>Korean</v>
      </c>
    </row>
    <row r="27447" ht="15.75" customHeight="1">
      <c r="A27447" s="2" t="s">
        <v>27447</v>
      </c>
      <c r="B27447" s="2" t="str">
        <f>IFERROR(__xludf.DUMMYFUNCTION("GOOGLETRANSLATE(A27447, ""en"", ""mt"")"),"Paleoklimatologi")</f>
        <v>Paleoklimatologi</v>
      </c>
    </row>
    <row r="27448" ht="15.75" customHeight="1">
      <c r="A27448" s="2" t="s">
        <v>27448</v>
      </c>
      <c r="B27448" s="2" t="str">
        <f>IFERROR(__xludf.DUMMYFUNCTION("GOOGLETRANSLATE(A27448, ""en"", ""mt"")"),"Kieku 1 kellu jiġi kkunsidrat bħala Prime x'jista 'jrendi l-passatur ta' Eratosthenes għan-numri l-oħra kollha?")</f>
        <v>Kieku 1 kellu jiġi kkunsidrat bħala Prime x'jista 'jrendi l-passatur ta' Eratosthenes għan-numri l-oħra kollha?</v>
      </c>
    </row>
    <row r="27449" ht="15.75" customHeight="1">
      <c r="A27449" s="2" t="s">
        <v>27449</v>
      </c>
      <c r="B27449" s="2" t="str">
        <f>IFERROR(__xludf.DUMMYFUNCTION("GOOGLETRANSLATE(A27449, ""en"", ""mt"")"),"0.52")</f>
        <v>0.52</v>
      </c>
    </row>
    <row r="27450" ht="15.75" customHeight="1">
      <c r="A27450" s="2" t="s">
        <v>27450</v>
      </c>
      <c r="B27450" s="2" t="str">
        <f>IFERROR(__xludf.DUMMYFUNCTION("GOOGLETRANSLATE(A27450, ""en"", ""mt"")"),"Kemm-il lingwa kienet taf Tesla?")</f>
        <v>Kemm-il lingwa kienet taf Tesla?</v>
      </c>
    </row>
    <row r="27451" ht="15.75" customHeight="1">
      <c r="A27451" s="2" t="s">
        <v>27451</v>
      </c>
      <c r="B27451" s="2" t="str">
        <f>IFERROR(__xludf.DUMMYFUNCTION("GOOGLETRANSLATE(A27451, ""en"", ""mt"")"),"Deher ċar li l-immaniġġjar tal-programm Apollo jaqbeż il-kapaċitajiet tal-grupp ta 'kompiti spazjali ta' Robert R. Gilruth, li kien qed jidderieġi l-programm spazjali bl-ekwipaġġ tan-nazzjon miċ-Ċentru ta 'Riċerka Langley tan-NASA. Allura Gilruth ingħata "&amp;"l-awtorità biex tikber l-organizzazzjoni tiegħu f'ċentru ġdid tan-NASA, iċ-Ċentru tal-vettura spazjali bl-ekwipaġġ (MSC). Sit intgħażel fi Houston, Texas, fuq art mogħtija mill-Università tar-Ross, u l-Amministratur Webb ħabbar il-konverżjoni fid-19 ta 'S"&amp;"ettembru, 1961. Kien ċar ukoll li n-NASA dalwaqt kienet se taqbeż il-prattika tagħha ta' kontroll tal-missjonijiet mill-faċilitajiet tagħha ta 'tnedija tal-Forza tal-Ajru ta' Cape Canaveral tagħha Fi Florida, għalhekk ċentru ġdid ta 'kontroll tal-missjoni"&amp;" jkun inkluż fl-MSC.")</f>
        <v>Deher ċar li l-immaniġġjar tal-programm Apollo jaqbeż il-kapaċitajiet tal-grupp ta 'kompiti spazjali ta' Robert R. Gilruth, li kien qed jidderieġi l-programm spazjali bl-ekwipaġġ tan-nazzjon miċ-Ċentru ta 'Riċerka Langley tan-NASA. Allura Gilruth ingħata l-awtorità biex tikber l-organizzazzjoni tiegħu f'ċentru ġdid tan-NASA, iċ-Ċentru tal-vettura spazjali bl-ekwipaġġ (MSC). Sit intgħażel fi Houston, Texas, fuq art mogħtija mill-Università tar-Ross, u l-Amministratur Webb ħabbar il-konverżjoni fid-19 ta 'Settembru, 1961. Kien ċar ukoll li n-NASA dalwaqt kienet se taqbeż il-prattika tagħha ta' kontroll tal-missjonijiet mill-faċilitajiet tagħha ta 'tnedija tal-Forza tal-Ajru ta' Cape Canaveral tagħha Fi Florida, għalhekk ċentru ġdid ta 'kontroll tal-missjoni jkun inkluż fl-MSC.</v>
      </c>
    </row>
    <row r="27452" ht="15.75" customHeight="1">
      <c r="A27452" s="2" t="s">
        <v>27452</v>
      </c>
      <c r="B27452" s="2" t="str">
        <f>IFERROR(__xludf.DUMMYFUNCTION("GOOGLETRANSLATE(A27452, ""en"", ""mt"")"),"L-ewwel iddebutta l-logo ikoniku ta 'Paul Rand ABC?")</f>
        <v>L-ewwel iddebutta l-logo ikoniku ta 'Paul Rand ABC?</v>
      </c>
    </row>
    <row r="27453" ht="15.75" customHeight="1">
      <c r="A27453" s="2" t="s">
        <v>27453</v>
      </c>
      <c r="B27453" s="2" t="str">
        <f>IFERROR(__xludf.DUMMYFUNCTION("GOOGLETRANSLATE(A27453, ""en"", ""mt"")"),"Highlands")</f>
        <v>Highlands</v>
      </c>
    </row>
    <row r="27454" ht="15.75" customHeight="1">
      <c r="A27454" s="2" t="s">
        <v>27454</v>
      </c>
      <c r="B27454" s="2" t="str">
        <f>IFERROR(__xludf.DUMMYFUNCTION("GOOGLETRANSLATE(A27454, ""en"", ""mt"")"),"Kunsill Leġiżlattiv")</f>
        <v>Kunsill Leġiżlattiv</v>
      </c>
    </row>
    <row r="27455" ht="15.75" customHeight="1">
      <c r="A27455" s="2" t="s">
        <v>27455</v>
      </c>
      <c r="B27455" s="2" t="str">
        <f>IFERROR(__xludf.DUMMYFUNCTION("GOOGLETRANSLATE(A27455, ""en"", ""mt"")"),"X'tip ta 'sħubija se tippermetti lir-ragħajja lokali jirtiraw bħala kleru?")</f>
        <v>X'tip ta 'sħubija se tippermetti lir-ragħajja lokali jirtiraw bħala kleru?</v>
      </c>
    </row>
    <row r="27456" ht="15.75" customHeight="1">
      <c r="A27456" s="2" t="s">
        <v>27456</v>
      </c>
      <c r="B27456" s="2" t="str">
        <f>IFERROR(__xludf.DUMMYFUNCTION("GOOGLETRANSLATE(A27456, ""en"", ""mt"")"),"Kemm hemm karotenojdi fotosintetiċi?")</f>
        <v>Kemm hemm karotenojdi fotosintetiċi?</v>
      </c>
    </row>
    <row r="27457" ht="15.75" customHeight="1">
      <c r="A27457" s="2" t="s">
        <v>27457</v>
      </c>
      <c r="B27457" s="2" t="str">
        <f>IFERROR(__xludf.DUMMYFUNCTION("GOOGLETRANSLATE(A27457, ""en"", ""mt"")"),"Kemm mit-tnedijiet li fadal kellhom suċċess?")</f>
        <v>Kemm mit-tnedijiet li fadal kellhom suċċess?</v>
      </c>
    </row>
    <row r="27458" ht="15.75" customHeight="1">
      <c r="A27458" s="2" t="s">
        <v>27458</v>
      </c>
      <c r="B27458" s="2" t="str">
        <f>IFERROR(__xludf.DUMMYFUNCTION("GOOGLETRANSLATE(A27458, ""en"", ""mt"")"),"X'jiġri mill-bilanċjatur fir-ringieli tal-moxt?")</f>
        <v>X'jiġri mill-bilanċjatur fir-ringieli tal-moxt?</v>
      </c>
    </row>
    <row r="27459" ht="15.75" customHeight="1">
      <c r="A27459" s="2" t="s">
        <v>27459</v>
      </c>
      <c r="B27459" s="2" t="str">
        <f>IFERROR(__xludf.DUMMYFUNCTION("GOOGLETRANSLATE(A27459, ""en"", ""mt"")"),"Il-kunċett ta ’ċertezza legali huwa rikonoxxut wieħed mill-prinċipji ġenerali tal-liġi tal-Unjoni Ewropea mill-Qorti Ewropea tal-Ġustizzja mill-1960s. Huwa prinċipju ġenerali importanti tal-liġi internazzjonali u l-liġi pubblika, li qabel il-liġi tal-Unjo"&amp;"ni Ewropea. Bħala prinċipju ġenerali fil-liġi tal-Unjoni Ewropea jfisser li l-liġi għandha tkun ċerta, billi hija ċara u preċiża, u l-implikazzjonijiet legali tagħha prevedibbli, speċjalment meta jiġu applikati għal obbligi finanzjarji. L-adozzjoni ta 'li"&amp;"ġijiet li se jkollhom effett legali fl-Unjoni Ewropea għandu jkollhom bażi legali xierqa. Il-leġislazzjoni fl-Istati Membri li timplimenta l-liġi tal-Unjoni Ewropea għandha tkun miktuba sabiex tkun tinftiehem b'mod ċar minn dawk li huma soġġetti għal-liġi"&amp;". Fil-liġi tal-Unjoni Ewropea, il-prinċipju ġenerali taċ-ċertezza legali jipprojbixxi l-liġijiet ex post facto, i.e. il-liġijiet m'għandhomx jidħlu fis-seħħ qabel ma jiġu ppubblikati. Id-duttrina tal-aspettattiva leġittima, li għandha l-għeruq tagħha fil-"&amp;"prinċipji taċ-ċertezza legali u l-fidi tajba, hija wkoll element ċentrali tal-prinċipju ġenerali taċ-ċertezza legali fil-liġi tal-Unjoni Ewropea. Id-duttrina leġittima ta 'l-istennija żżomm dik u li ""dawk li jaġixxu b'rieda tajba fuq il-bażi tal-liġi kif"&amp;" inhi jew jidher li m'għandhomx ikunu frustrati fl-aspettattivi tagħhom"".")</f>
        <v>Il-kunċett ta ’ċertezza legali huwa rikonoxxut wieħed mill-prinċipji ġenerali tal-liġi tal-Unjoni Ewropea mill-Qorti Ewropea tal-Ġustizzja mill-1960s. Huwa prinċipju ġenerali importanti tal-liġi internazzjonali u l-liġi pubblika, li qabel il-liġi tal-Unjoni Ewropea. Bħala prinċipju ġenerali fil-liġi tal-Unjoni Ewropea jfisser li l-liġi għandha tkun ċerta, billi hija ċara u preċiża, u l-implikazzjonijiet legali tagħha prevedibbli, speċjalment meta jiġu applikati għal obbligi finanzjarji. L-adozzjoni ta 'liġijiet li se jkollhom effett legali fl-Unjoni Ewropea għandu jkollhom bażi legali xierqa. Il-leġislazzjoni fl-Istati Membri li timplimenta l-liġi tal-Unjoni Ewropea għandha tkun miktuba sabiex tkun tinftiehem b'mod ċar minn dawk li huma soġġetti għal-liġi. Fil-liġi tal-Unjoni Ewropea, il-prinċipju ġenerali taċ-ċertezza legali jipprojbixxi l-liġijiet ex post facto, i.e. il-liġijiet m'għandhomx jidħlu fis-seħħ qabel ma jiġu ppubblikati. Id-duttrina tal-aspettattiva leġittima, li għandha l-għeruq tagħha fil-prinċipji taċ-ċertezza legali u l-fidi tajba, hija wkoll element ċentrali tal-prinċipju ġenerali taċ-ċertezza legali fil-liġi tal-Unjoni Ewropea. Id-duttrina leġittima ta 'l-istennija żżomm dik u li "dawk li jaġixxu b'rieda tajba fuq il-bażi tal-liġi kif inhi jew jidher li m'għandhomx ikunu frustrati fl-aspettattivi tagħhom".</v>
      </c>
    </row>
    <row r="27460" ht="15.75" customHeight="1">
      <c r="A27460" s="2" t="s">
        <v>27460</v>
      </c>
      <c r="B27460" s="2" t="str">
        <f>IFERROR(__xludf.DUMMYFUNCTION("GOOGLETRANSLATE(A27460, ""en"", ""mt"")"),"aktar minn 17.5 miljun")</f>
        <v>aktar minn 17.5 miljun</v>
      </c>
    </row>
    <row r="27461" ht="15.75" customHeight="1">
      <c r="A27461" s="2" t="s">
        <v>27461</v>
      </c>
      <c r="B27461" s="2" t="str">
        <f>IFERROR(__xludf.DUMMYFUNCTION("GOOGLETRANSLATE(A27461, ""en"", ""mt"")"),"X'kien il-moviment imsejjaħ li ġab lill-pajjiżi Baltiċi indipendenza mill-Unjoni Sovjetika?")</f>
        <v>X'kien il-moviment imsejjaħ li ġab lill-pajjiżi Baltiċi indipendenza mill-Unjoni Sovjetika?</v>
      </c>
    </row>
    <row r="27462" ht="15.75" customHeight="1">
      <c r="A27462" s="2" t="s">
        <v>27462</v>
      </c>
      <c r="B27462" s="2" t="str">
        <f>IFERROR(__xludf.DUMMYFUNCTION("GOOGLETRANSLATE(A27462, ""en"", ""mt"")"),"Ġeneraturi ta 'ossiġnu kimiku jew xemgħat ta' ossiġnu")</f>
        <v>Ġeneraturi ta 'ossiġnu kimiku jew xemgħat ta' ossiġnu</v>
      </c>
    </row>
    <row r="27463" ht="15.75" customHeight="1">
      <c r="A27463" s="2" t="s">
        <v>27463</v>
      </c>
      <c r="B27463" s="2" t="str">
        <f>IFERROR(__xludf.DUMMYFUNCTION("GOOGLETRANSLATE(A27463, ""en"", ""mt"")"),"Los Angeles Times")</f>
        <v>Los Angeles Times</v>
      </c>
    </row>
    <row r="27464" ht="15.75" customHeight="1">
      <c r="A27464" s="2" t="s">
        <v>27464</v>
      </c>
      <c r="B27464" s="2" t="str">
        <f>IFERROR(__xludf.DUMMYFUNCTION("GOOGLETRANSLATE(A27464, ""en"", ""mt"")"),"Minn xiex qal Fritschel li l-irqad tar-raġel kien imfixkel?")</f>
        <v>Minn xiex qal Fritschel li l-irqad tar-raġel kien imfixkel?</v>
      </c>
    </row>
    <row r="27465" ht="15.75" customHeight="1">
      <c r="A27465" s="2" t="s">
        <v>27465</v>
      </c>
      <c r="B27465" s="2" t="str">
        <f>IFERROR(__xludf.DUMMYFUNCTION("GOOGLETRANSLATE(A27465, ""en"", ""mt"")"),"X'inhu NSFNET")</f>
        <v>X'inhu NSFNET</v>
      </c>
    </row>
    <row r="27466" ht="15.75" customHeight="1">
      <c r="A27466" s="2" t="s">
        <v>27466</v>
      </c>
      <c r="B27466" s="2" t="str">
        <f>IFERROR(__xludf.DUMMYFUNCTION("GOOGLETRANSLATE(A27466, ""en"", ""mt"")"),"91.3")</f>
        <v>91.3</v>
      </c>
    </row>
    <row r="27467" ht="15.75" customHeight="1">
      <c r="A27467" s="2" t="s">
        <v>27467</v>
      </c>
      <c r="B27467" s="2" t="str">
        <f>IFERROR(__xludf.DUMMYFUNCTION("GOOGLETRANSLATE(A27467, ""en"", ""mt"")"),"Festival tal-Avvenimenti tad-Disinn")</f>
        <v>Festival tal-Avvenimenti tad-Disinn</v>
      </c>
    </row>
    <row r="27468" ht="15.75" customHeight="1">
      <c r="A27468" s="2" t="s">
        <v>27468</v>
      </c>
      <c r="B27468" s="2" t="str">
        <f>IFERROR(__xludf.DUMMYFUNCTION("GOOGLETRANSLATE(A27468, ""en"", ""mt"")"),"mili ta 'orbitali molekulari")</f>
        <v>mili ta 'orbitali molekulari</v>
      </c>
    </row>
    <row r="27469" ht="15.75" customHeight="1">
      <c r="A27469" s="2" t="s">
        <v>27469</v>
      </c>
      <c r="B27469" s="2" t="str">
        <f>IFERROR(__xludf.DUMMYFUNCTION("GOOGLETRANSLATE(A27469, ""en"", ""mt"")"),"$ 12")</f>
        <v>$ 12</v>
      </c>
    </row>
    <row r="27470" ht="15.75" customHeight="1">
      <c r="A27470" s="2" t="s">
        <v>27470</v>
      </c>
      <c r="B27470" s="2" t="str">
        <f>IFERROR(__xludf.DUMMYFUNCTION("GOOGLETRANSLATE(A27470, ""en"", ""mt"")"),"X'periklu jissottovaluta l-IPCC?")</f>
        <v>X'periklu jissottovaluta l-IPCC?</v>
      </c>
    </row>
    <row r="27471" ht="15.75" customHeight="1">
      <c r="A27471" s="2" t="s">
        <v>27471</v>
      </c>
      <c r="B27471" s="2" t="str">
        <f>IFERROR(__xludf.DUMMYFUNCTION("GOOGLETRANSLATE(A27471, ""en"", ""mt"")"),"Avvanzi magħmula fil-Lvant Nofsani fil-Botanika u l-Kimika")</f>
        <v>Avvanzi magħmula fil-Lvant Nofsani fil-Botanika u l-Kimika</v>
      </c>
    </row>
    <row r="27472" ht="15.75" customHeight="1">
      <c r="A27472" s="2" t="s">
        <v>27472</v>
      </c>
      <c r="B27472" s="2" t="str">
        <f>IFERROR(__xludf.DUMMYFUNCTION("GOOGLETRANSLATE(A27472, ""en"", ""mt"")"),"L-Isqof Lloyd Kristu Wicke")</f>
        <v>L-Isqof Lloyd Kristu Wicke</v>
      </c>
    </row>
    <row r="27473" ht="15.75" customHeight="1">
      <c r="A27473" s="2" t="s">
        <v>27473</v>
      </c>
      <c r="B27473" s="2" t="str">
        <f>IFERROR(__xludf.DUMMYFUNCTION("GOOGLETRANSLATE(A27473, ""en"", ""mt"")"),"konverżjoni, ""taċċetta lil Ġesù bħala l-Mulej u s-Salvatur personali tiegħek,"" jew li ""Twieled mill-ġdid")</f>
        <v>konverżjoni, "taċċetta lil Ġesù bħala l-Mulej u s-Salvatur personali tiegħek," jew li "Twieled mill-ġdid</v>
      </c>
    </row>
    <row r="27474" ht="15.75" customHeight="1">
      <c r="A27474" s="2" t="s">
        <v>27474</v>
      </c>
      <c r="B27474" s="2" t="str">
        <f>IFERROR(__xludf.DUMMYFUNCTION("GOOGLETRANSLATE(A27474, ""en"", ""mt"")"),"Librerija importanti oħra - il-Librerija tal-Università, imwaqqfa fl-1816, hija dar għal aktar minn żewġ miljun oġġett. Il-bini kien iddisinjat mill-periti Marek Budzyński u Zbigniew Badowski u nfetaħ fil-15 ta 'Diċembru 1999. Huwa mdawwar bl-aħdar. Il-Ġn"&amp;"ien tal-Librerija tal-Università, iddisinjat minn Irena Bajerska, infetaħ fit-12 ta 'Ġunju 2002. Huwa wieħed mill-ikbar u l-isbaħ ġonna tas-saqaf fl-Ewropa b'żona ta' aktar minn 10,000 m2 (107,639.10 sq ft), u pjanti li jkopru 5,111 m2 ( 55,014.35 sq ft)."&amp;" Bħala l-ġnien tal-università huwa miftuħ għall-pubbliku kuljum.")</f>
        <v>Librerija importanti oħra - il-Librerija tal-Università, imwaqqfa fl-1816, hija dar għal aktar minn żewġ miljun oġġett. Il-bini kien iddisinjat mill-periti Marek Budzyński u Zbigniew Badowski u nfetaħ fil-15 ta 'Diċembru 1999. Huwa mdawwar bl-aħdar. Il-Ġnien tal-Librerija tal-Università, iddisinjat minn Irena Bajerska, infetaħ fit-12 ta 'Ġunju 2002. Huwa wieħed mill-ikbar u l-isbaħ ġonna tas-saqaf fl-Ewropa b'żona ta' aktar minn 10,000 m2 (107,639.10 sq ft), u pjanti li jkopru 5,111 m2 ( 55,014.35 sq ft). Bħala l-ġnien tal-università huwa miftuħ għall-pubbliku kuljum.</v>
      </c>
    </row>
    <row r="27475" ht="15.75" customHeight="1">
      <c r="A27475" s="2" t="s">
        <v>27475</v>
      </c>
      <c r="B27475" s="2" t="str">
        <f>IFERROR(__xludf.DUMMYFUNCTION("GOOGLETRANSLATE(A27475, ""en"", ""mt"")"),"F’liema sena l-ewwel sena kienet teħtieġ li t-tfal jiġu edukati fl-iskejjel?")</f>
        <v>F’liema sena l-ewwel sena kienet teħtieġ li t-tfal jiġu edukati fl-iskejjel?</v>
      </c>
    </row>
    <row r="27476" ht="15.75" customHeight="1">
      <c r="A27476" s="2" t="s">
        <v>27476</v>
      </c>
      <c r="B27476" s="2" t="str">
        <f>IFERROR(__xludf.DUMMYFUNCTION("GOOGLETRANSLATE(A27476, ""en"", ""mt"")"),"F'liema forma huma l-iktar mediċini fl-isptar?")</f>
        <v>F'liema forma huma l-iktar mediċini fl-isptar?</v>
      </c>
    </row>
    <row r="27477" ht="15.75" customHeight="1">
      <c r="A27477" s="2" t="s">
        <v>27477</v>
      </c>
      <c r="B27477" s="2" t="str">
        <f>IFERROR(__xludf.DUMMYFUNCTION("GOOGLETRANSLATE(A27477, ""en"", ""mt"")"),"91%")</f>
        <v>91%</v>
      </c>
    </row>
    <row r="27478" ht="15.75" customHeight="1">
      <c r="A27478" s="2" t="s">
        <v>27478</v>
      </c>
      <c r="B27478" s="2" t="str">
        <f>IFERROR(__xludf.DUMMYFUNCTION("GOOGLETRANSLATE(A27478, ""en"", ""mt"")"),"fastidju")</f>
        <v>fastidju</v>
      </c>
    </row>
    <row r="27479" ht="15.75" customHeight="1">
      <c r="A27479" s="2" t="s">
        <v>27479</v>
      </c>
      <c r="B27479" s="2" t="str">
        <f>IFERROR(__xludf.DUMMYFUNCTION("GOOGLETRANSLATE(A27479, ""en"", ""mt"")"),"Ajrunawtika Nazzjonali u Amministrazzjoni tal-Ispazju (NASA")</f>
        <v>Ajrunawtika Nazzjonali u Amministrazzjoni tal-Ispazju (NASA</v>
      </c>
    </row>
    <row r="27480" ht="15.75" customHeight="1">
      <c r="A27480" s="2" t="s">
        <v>27480</v>
      </c>
      <c r="B27480" s="2" t="str">
        <f>IFERROR(__xludf.DUMMYFUNCTION("GOOGLETRANSLATE(A27480, ""en"", ""mt"")"),"ittardja l-issiġillar tal-bokkaport")</f>
        <v>ittardja l-issiġillar tal-bokkaport</v>
      </c>
    </row>
    <row r="27481" ht="15.75" customHeight="1">
      <c r="A27481" s="2" t="s">
        <v>27481</v>
      </c>
      <c r="B27481" s="2" t="str">
        <f>IFERROR(__xludf.DUMMYFUNCTION("GOOGLETRANSLATE(A27481, ""en"", ""mt"")"),"Super Bowl 50 kienet logħba tal-futbol Amerikana biex tiddetermina ċ-ċampjin tal-Lega Nazzjonali tal-Futbol (NFL) għall-istaġun 2015. Iċ-champion Amerikan tal-Konferenza tal-Futbol (AFC) Denver Broncos għeleb iċ-champion Nazzjonali tal-Futbol (NFC) Caroli"&amp;"na Panthers 24-10 biex jaqilgħu t-tielet titlu tagħhom tas-Super Bowl. Il-logħba ntlagħbet fis-7 ta 'Frar, 2016, fil-Levi's Stadium fiż-Żona tal-Bajja ta' San Francisco f'Santa Clara, California. Peress li din kienet il-50 Super Bowl, il-kampjonat enfasiz"&amp;"za l- ""anniversarju tad-deheb"" b'diversi inizjattivi b'tema tad-deheb, kif ukoll li jissospendi temporanjament it-tradizzjoni li ssemmi kull logħba tas-Super Bowl b'numri Rumani (li taħthom il-logħba kienet tkun magħrufa bħala "" Super Bowl L ""), sabie"&amp;"x il-logo jista 'jkollu b'mod prominenti n-numri Għarbi 50.")</f>
        <v>Super Bowl 50 kienet logħba tal-futbol Amerikana biex tiddetermina ċ-ċampjin tal-Lega Nazzjonali tal-Futbol (NFL) għall-istaġun 2015. Iċ-champion Amerikan tal-Konferenza tal-Futbol (AFC) Denver Broncos għeleb iċ-champion Nazzjonali tal-Futbol (NFC) Carolina Panthers 24-10 biex jaqilgħu t-tielet titlu tagħhom tas-Super Bowl. Il-logħba ntlagħbet fis-7 ta 'Frar, 2016, fil-Levi's Stadium fiż-Żona tal-Bajja ta' San Francisco f'Santa Clara, California. Peress li din kienet il-50 Super Bowl, il-kampjonat enfasizza l- "anniversarju tad-deheb" b'diversi inizjattivi b'tema tad-deheb, kif ukoll li jissospendi temporanjament it-tradizzjoni li ssemmi kull logħba tas-Super Bowl b'numri Rumani (li taħthom il-logħba kienet tkun magħrufa bħala " Super Bowl L "), sabiex il-logo jista 'jkollu b'mod prominenti n-numri Għarbi 50.</v>
      </c>
    </row>
    <row r="27482" ht="15.75" customHeight="1">
      <c r="A27482" s="2" t="s">
        <v>27482</v>
      </c>
      <c r="B27482" s="2" t="str">
        <f>IFERROR(__xludf.DUMMYFUNCTION("GOOGLETRANSLATE(A27482, ""en"", ""mt"")"),"Sal-ftuħ tal-Konferenza Ġenerali tal-2008, x'kienet is-sħubija totali tal-UMC fl-Istati Uniti?")</f>
        <v>Sal-ftuħ tal-Konferenza Ġenerali tal-2008, x'kienet is-sħubija totali tal-UMC fl-Istati Uniti?</v>
      </c>
    </row>
    <row r="27483" ht="15.75" customHeight="1">
      <c r="A27483" s="2" t="s">
        <v>27483</v>
      </c>
      <c r="B27483" s="2" t="str">
        <f>IFERROR(__xludf.DUMMYFUNCTION("GOOGLETRANSLATE(A27483, ""en"", ""mt"")"),"Liema kanal juri r-ripetizzjonijiet tat-tabib li juri?")</f>
        <v>Liema kanal juri r-ripetizzjonijiet tat-tabib li juri?</v>
      </c>
    </row>
    <row r="27484" ht="15.75" customHeight="1">
      <c r="A27484" s="2" t="s">
        <v>27484</v>
      </c>
      <c r="B27484" s="2" t="str">
        <f>IFERROR(__xludf.DUMMYFUNCTION("GOOGLETRANSLATE(A27484, ""en"", ""mt"")"),"X'jagħmel l-alka ħamra ħamra?")</f>
        <v>X'jagħmel l-alka ħamra ħamra?</v>
      </c>
    </row>
    <row r="27485" ht="15.75" customHeight="1">
      <c r="A27485" s="2" t="s">
        <v>27485</v>
      </c>
      <c r="B27485" s="2" t="str">
        <f>IFERROR(__xludf.DUMMYFUNCTION("GOOGLETRANSLATE(A27485, ""en"", ""mt"")"),"Il-Parlament tar-Renju Unit f'Westminster")</f>
        <v>Il-Parlament tar-Renju Unit f'Westminster</v>
      </c>
    </row>
    <row r="27486" ht="15.75" customHeight="1">
      <c r="A27486" s="2" t="s">
        <v>27486</v>
      </c>
      <c r="B27486" s="2" t="str">
        <f>IFERROR(__xludf.DUMMYFUNCTION("GOOGLETRANSLATE(A27486, ""en"", ""mt"")"),"94")</f>
        <v>94</v>
      </c>
    </row>
    <row r="27487" ht="15.75" customHeight="1">
      <c r="A27487" s="2" t="s">
        <v>27487</v>
      </c>
      <c r="B27487" s="2" t="str">
        <f>IFERROR(__xludf.DUMMYFUNCTION("GOOGLETRANSLATE(A27487, ""en"", ""mt"")"),"għargħar kostanti")</f>
        <v>għargħar kostanti</v>
      </c>
    </row>
    <row r="27488" ht="15.75" customHeight="1">
      <c r="A27488" s="2" t="s">
        <v>27488</v>
      </c>
      <c r="B27488" s="2" t="str">
        <f>IFERROR(__xludf.DUMMYFUNCTION("GOOGLETRANSLATE(A27488, ""en"", ""mt"")"),"Meta ġiet meqruda parti mill-belt ta 'Grainger?")</f>
        <v>Meta ġiet meqruda parti mill-belt ta 'Grainger?</v>
      </c>
    </row>
    <row r="27489" ht="15.75" customHeight="1">
      <c r="A27489" s="2" t="s">
        <v>27489</v>
      </c>
      <c r="B27489" s="2" t="str">
        <f>IFERROR(__xludf.DUMMYFUNCTION("GOOGLETRANSLATE(A27489, ""en"", ""mt"")"),"1679")</f>
        <v>1679</v>
      </c>
    </row>
    <row r="27490" ht="15.75" customHeight="1">
      <c r="A27490" s="2" t="s">
        <v>27490</v>
      </c>
      <c r="B27490" s="2" t="str">
        <f>IFERROR(__xludf.DUMMYFUNCTION("GOOGLETRANSLATE(A27490, ""en"", ""mt"")"),"madwar 1820")</f>
        <v>madwar 1820</v>
      </c>
    </row>
    <row r="27491" ht="15.75" customHeight="1">
      <c r="A27491" s="2" t="s">
        <v>27491</v>
      </c>
      <c r="B27491" s="2" t="str">
        <f>IFERROR(__xludf.DUMMYFUNCTION("GOOGLETRANSLATE(A27491, ""en"", ""mt"")"),"X'jiġri hekk kif jibnu l-Fażi 1?")</f>
        <v>X'jiġri hekk kif jibnu l-Fażi 1?</v>
      </c>
    </row>
    <row r="27492" ht="15.75" customHeight="1">
      <c r="A27492" s="2" t="s">
        <v>27492</v>
      </c>
      <c r="B27492" s="2" t="str">
        <f>IFERROR(__xludf.DUMMYFUNCTION("GOOGLETRANSLATE(A27492, ""en"", ""mt"")"),"X'inhu s-paragun mal-livell tal-baħar mal-livell ta 'ossiġnu fl-ispazju ilbiesi?")</f>
        <v>X'inhu s-paragun mal-livell tal-baħar mal-livell ta 'ossiġnu fl-ispazju ilbiesi?</v>
      </c>
    </row>
    <row r="27493" ht="15.75" customHeight="1">
      <c r="A27493" s="2" t="s">
        <v>27493</v>
      </c>
      <c r="B27493" s="2" t="str">
        <f>IFERROR(__xludf.DUMMYFUNCTION("GOOGLETRANSLATE(A27493, ""en"", ""mt"")"),"torque żbilanċjat")</f>
        <v>torque żbilanċjat</v>
      </c>
    </row>
    <row r="27494" ht="15.75" customHeight="1">
      <c r="A27494" s="2" t="s">
        <v>27494</v>
      </c>
      <c r="B27494" s="2" t="str">
        <f>IFERROR(__xludf.DUMMYFUNCTION("GOOGLETRANSLATE(A27494, ""en"", ""mt"")"),"L-intestatura tal-pakkett hija twila")</f>
        <v>L-intestatura tal-pakkett hija twila</v>
      </c>
    </row>
    <row r="27495" ht="15.75" customHeight="1">
      <c r="A27495" s="2" t="s">
        <v>27495</v>
      </c>
      <c r="B27495" s="2" t="str">
        <f>IFERROR(__xludf.DUMMYFUNCTION("GOOGLETRANSLATE(A27495, ""en"", ""mt"")"),"Tmien Presidenti tal-Istati Uniti")</f>
        <v>Tmien Presidenti tal-Istati Uniti</v>
      </c>
    </row>
    <row r="27496" ht="15.75" customHeight="1">
      <c r="A27496" s="2" t="s">
        <v>27496</v>
      </c>
      <c r="B27496" s="2" t="str">
        <f>IFERROR(__xludf.DUMMYFUNCTION("GOOGLETRANSLATE(A27496, ""en"", ""mt"")"),"Immunomodulaturi")</f>
        <v>Immunomodulaturi</v>
      </c>
    </row>
    <row r="27497" ht="15.75" customHeight="1">
      <c r="A27497" s="2" t="s">
        <v>27497</v>
      </c>
      <c r="B27497" s="2" t="str">
        <f>IFERROR(__xludf.DUMMYFUNCTION("GOOGLETRANSLATE(A27497, ""en"", ""mt"")"),"Peridinin")</f>
        <v>Peridinin</v>
      </c>
    </row>
    <row r="27498" ht="15.75" customHeight="1">
      <c r="A27498" s="2" t="s">
        <v>27498</v>
      </c>
      <c r="B27498" s="2" t="str">
        <f>IFERROR(__xludf.DUMMYFUNCTION("GOOGLETRANSLATE(A27498, ""en"", ""mt"")"),"Università ta ’Washington")</f>
        <v>Università ta ’Washington</v>
      </c>
    </row>
    <row r="27499" ht="15.75" customHeight="1">
      <c r="A27499" s="2" t="s">
        <v>27499</v>
      </c>
      <c r="B27499" s="2" t="str">
        <f>IFERROR(__xludf.DUMMYFUNCTION("GOOGLETRANSLATE(A27499, ""en"", ""mt"")"),"Il-Gazzetta Daily Mail irrappurtat fl-2012 li l-aġenzija tal-benefiċċji tal-gvern tar-Renju Unit kienet qed tiċċekkja l-kontijiet tal-pretensjonijiet ""Sky TV biex tistabbilixxi jekk mara li tirċievi benefiċċji bħala omm waħedha qed tiddikjara b'mod żbalj"&amp;"at li tgħix waħedha"" - kif, sostniet, abbonament għal Kanali sportivi jittradixxu l-preżenza ta 'raġel fid-dar. F'Diċembru, il-Parlament tar-Renju Unit sema 'pretensjoni li abbonament għal BSKYB kien ""ta' spiss jagħmel ħsara"", flimkien ma 'alkoħol, tab"&amp;"akk u logħob tal-ażżard. Id-Deputat Konservattiv Alec Shelbrooke kien qed jipproponi l-ħlasijiet tal-benefiċċji u l-krediti tat-taxxa fuq ""karta ta 'flus kontanti tal-benesseri"", fl-istil tal-programm supplimentari ta' għajnuna dwar in-nutrizzjoni, li j"&amp;"ista 'jintuża biex jixtri biss ""essenzjali"".")</f>
        <v>Il-Gazzetta Daily Mail irrappurtat fl-2012 li l-aġenzija tal-benefiċċji tal-gvern tar-Renju Unit kienet qed tiċċekkja l-kontijiet tal-pretensjonijiet "Sky TV biex tistabbilixxi jekk mara li tirċievi benefiċċji bħala omm waħedha qed tiddikjara b'mod żbaljat li tgħix waħedha" - kif, sostniet, abbonament għal Kanali sportivi jittradixxu l-preżenza ta 'raġel fid-dar. F'Diċembru, il-Parlament tar-Renju Unit sema 'pretensjoni li abbonament għal BSKYB kien "ta' spiss jagħmel ħsara", flimkien ma 'alkoħol, tabakk u logħob tal-ażżard. Id-Deputat Konservattiv Alec Shelbrooke kien qed jipproponi l-ħlasijiet tal-benefiċċji u l-krediti tat-taxxa fuq "karta ta 'flus kontanti tal-benesseri", fl-istil tal-programm supplimentari ta' għajnuna dwar in-nutrizzjoni, li jista 'jintuża biex jixtri biss "essenzjali".</v>
      </c>
    </row>
    <row r="27500" ht="15.75" customHeight="1">
      <c r="A27500" s="2" t="s">
        <v>27500</v>
      </c>
      <c r="B27500" s="2" t="str">
        <f>IFERROR(__xludf.DUMMYFUNCTION("GOOGLETRANSLATE(A27500, ""en"", ""mt"")"),"X'inhuma l-ispiżjara projbiti li jagħmlu?")</f>
        <v>X'inhuma l-ispiżjara projbiti li jagħmlu?</v>
      </c>
    </row>
    <row r="27501" ht="15.75" customHeight="1">
      <c r="A27501" s="2" t="s">
        <v>27501</v>
      </c>
      <c r="B27501" s="2" t="str">
        <f>IFERROR(__xludf.DUMMYFUNCTION("GOOGLETRANSLATE(A27501, ""en"", ""mt"")"),"parti ewlenija")</f>
        <v>parti ewlenija</v>
      </c>
    </row>
    <row r="27502" ht="15.75" customHeight="1">
      <c r="A27502" s="2" t="s">
        <v>27502</v>
      </c>
      <c r="B27502" s="2" t="str">
        <f>IFERROR(__xludf.DUMMYFUNCTION("GOOGLETRANSLATE(A27502, ""en"", ""mt"")"),"X'inhi l-edukazzjoni terzjarja?")</f>
        <v>X'inhi l-edukazzjoni terzjarja?</v>
      </c>
    </row>
    <row r="27503" ht="15.75" customHeight="1">
      <c r="A27503" s="2" t="s">
        <v>27503</v>
      </c>
      <c r="B27503" s="2" t="str">
        <f>IFERROR(__xludf.DUMMYFUNCTION("GOOGLETRANSLATE(A27503, ""en"", ""mt"")"),"Ġerarkija xierqa")</f>
        <v>Ġerarkija xierqa</v>
      </c>
    </row>
    <row r="27504" ht="15.75" customHeight="1">
      <c r="A27504" s="2" t="s">
        <v>27504</v>
      </c>
      <c r="B27504" s="2" t="str">
        <f>IFERROR(__xludf.DUMMYFUNCTION("GOOGLETRANSLATE(A27504, ""en"", ""mt"")"),"Liema pajjiżi jużaw A Red Stylized A biex ifissru l-ispiżerija?")</f>
        <v>Liema pajjiżi jużaw A Red Stylized A biex ifissru l-ispiżerija?</v>
      </c>
    </row>
    <row r="27505" ht="15.75" customHeight="1">
      <c r="A27505" s="2" t="s">
        <v>27505</v>
      </c>
      <c r="B27505" s="2" t="str">
        <f>IFERROR(__xludf.DUMMYFUNCTION("GOOGLETRANSLATE(A27505, ""en"", ""mt"")"),"Il-partijiet ħodor kollha")</f>
        <v>Il-partijiet ħodor kollha</v>
      </c>
    </row>
    <row r="27506" ht="15.75" customHeight="1">
      <c r="A27506" s="2" t="s">
        <v>27506</v>
      </c>
      <c r="B27506" s="2" t="str">
        <f>IFERROR(__xludf.DUMMYFUNCTION("GOOGLETRANSLATE(A27506, ""en"", ""mt"")"),"madwar 45 miljun")</f>
        <v>madwar 45 miljun</v>
      </c>
    </row>
    <row r="27507" ht="15.75" customHeight="1">
      <c r="A27507" s="2" t="s">
        <v>27507</v>
      </c>
      <c r="B27507" s="2" t="str">
        <f>IFERROR(__xludf.DUMMYFUNCTION("GOOGLETRANSLATE(A27507, ""en"", ""mt"")"),"Il-ħatriet kollha tal-kleru jsiru għal kemm żmien?")</f>
        <v>Il-ħatriet kollha tal-kleru jsiru għal kemm żmien?</v>
      </c>
    </row>
    <row r="27508" ht="15.75" customHeight="1">
      <c r="A27508" s="2" t="s">
        <v>27508</v>
      </c>
      <c r="B27508" s="2" t="str">
        <f>IFERROR(__xludf.DUMMYFUNCTION("GOOGLETRANSLATE(A27508, ""en"", ""mt"")"),"Is-snin 1960 ikunu mmarkati miż-żieda ta 'serje orjentata lejn il-familja f'attentat minn ABC biex jikkontrolla l-kompetituri stabbiliti tagħha, iżda d-deċennju kien ikkaratterizzat ukoll mit-tranżizzjoni gradwali tan-netwerk għall-kulur. Fit-30 ta 'Sette"&amp;"mbru, 1960, ABC premiered The Flintstones, eżempju ieħor ta' kontrotragramma; Għalkemm is-serje animata minn William Hanna u Joseph Barbera kienet iffilmjata bil-kulur mill-bidu, inizjalment kienet imxandra bl-iswed u bl-abjad, peress li ABC ma kinitx għa"&amp;"mlet l-aġġornamenti tekniċi meħtieġa biex ixandru l-ipprogrammar tagħha bil-kulur dak iż-żmien. Il-Flintstones ippermetta lil ABC jippreżenta novità, dik tal-ipprogrammar animat tal-ħin ewlieni, iżda ppermettiet ukoll in-netwerk biex jibda jimla t-toqba m"&amp;"iftuħa mill-konklużjoni tas-Sħubija Disney billi ġġorr programmazzjoni orjentata lejn il-familja minn produtturi oħra.")</f>
        <v>Is-snin 1960 ikunu mmarkati miż-żieda ta 'serje orjentata lejn il-familja f'attentat minn ABC biex jikkontrolla l-kompetituri stabbiliti tagħha, iżda d-deċennju kien ikkaratterizzat ukoll mit-tranżizzjoni gradwali tan-netwerk għall-kulur. Fit-30 ta 'Settembru, 1960, ABC premiered The Flintstones, eżempju ieħor ta' kontrotragramma; Għalkemm is-serje animata minn William Hanna u Joseph Barbera kienet iffilmjata bil-kulur mill-bidu, inizjalment kienet imxandra bl-iswed u bl-abjad, peress li ABC ma kinitx għamlet l-aġġornamenti tekniċi meħtieġa biex ixandru l-ipprogrammar tagħha bil-kulur dak iż-żmien. Il-Flintstones ippermetta lil ABC jippreżenta novità, dik tal-ipprogrammar animat tal-ħin ewlieni, iżda ppermettiet ukoll in-netwerk biex jibda jimla t-toqba miftuħa mill-konklużjoni tas-Sħubija Disney billi ġġorr programmazzjoni orjentata lejn il-familja minn produtturi oħra.</v>
      </c>
    </row>
    <row r="27509" ht="15.75" customHeight="1">
      <c r="A27509" s="2" t="s">
        <v>27509</v>
      </c>
      <c r="B27509" s="2" t="str">
        <f>IFERROR(__xludf.DUMMYFUNCTION("GOOGLETRANSLATE(A27509, ""en"", ""mt"")"),"WABC-TV u Philadelphia O &amp; O WPVI-TV")</f>
        <v>WABC-TV u Philadelphia O &amp; O WPVI-TV</v>
      </c>
    </row>
    <row r="27510" ht="15.75" customHeight="1">
      <c r="A27510" s="2" t="s">
        <v>27510</v>
      </c>
      <c r="B27510" s="2" t="str">
        <f>IFERROR(__xludf.DUMMYFUNCTION("GOOGLETRANSLATE(A27510, ""en"", ""mt"")"),"Liema forza aġixxiet fuq korpi biex tittardja l-veloċità tagħhom?")</f>
        <v>Liema forza aġixxiet fuq korpi biex tittardja l-veloċità tagħhom?</v>
      </c>
    </row>
    <row r="27511" ht="15.75" customHeight="1">
      <c r="A27511" s="2" t="s">
        <v>27511</v>
      </c>
      <c r="B27511" s="2" t="str">
        <f>IFERROR(__xludf.DUMMYFUNCTION("GOOGLETRANSLATE(A27511, ""en"", ""mt"")"),"is-seklu 16")</f>
        <v>is-seklu 16</v>
      </c>
    </row>
    <row r="27512" ht="15.75" customHeight="1">
      <c r="A27512" s="2" t="s">
        <v>27512</v>
      </c>
      <c r="B27512" s="2" t="str">
        <f>IFERROR(__xludf.DUMMYFUNCTION("GOOGLETRANSLATE(A27512, ""en"", ""mt"")"),"Ħafna kliem")</f>
        <v>Ħafna kliem</v>
      </c>
    </row>
    <row r="27513" ht="15.75" customHeight="1">
      <c r="A27513" s="2" t="s">
        <v>27513</v>
      </c>
      <c r="B27513" s="2" t="str">
        <f>IFERROR(__xludf.DUMMYFUNCTION("GOOGLETRANSLATE(A27513, ""en"", ""mt"")"),"Il-Gallerija T. T. Tsui")</f>
        <v>Il-Gallerija T. T. Tsui</v>
      </c>
    </row>
    <row r="27514" ht="15.75" customHeight="1">
      <c r="A27514" s="2" t="s">
        <v>27514</v>
      </c>
      <c r="B27514" s="2" t="str">
        <f>IFERROR(__xludf.DUMMYFUNCTION("GOOGLETRANSLATE(A27514, ""en"", ""mt"")"),"3 ta 'Mejju, 2013")</f>
        <v>3 ta 'Mejju, 2013</v>
      </c>
    </row>
    <row r="27515" ht="15.75" customHeight="1">
      <c r="A27515" s="2" t="s">
        <v>27515</v>
      </c>
      <c r="B27515" s="2" t="str">
        <f>IFERROR(__xludf.DUMMYFUNCTION("GOOGLETRANSLATE(A27515, ""en"", ""mt"")"),"""Bairn"" u ""Hyem"", li jfissru ""tifel"" u ""dar"", rispettivament, huma eżempji ta 'kliem ta' Geordie b'oriġini fl-Iskandinavja; Barn u Hjem huma l-kliem moderni korrispondenti tan-Norveġja u Daniż. Xi kliem użat fid-djalett ta 'Geordie jintuża x'imkie"&amp;"n ieħor fir-Renju Unit tat-Tramuntana. Il-kliem ""bonny"" (li jfisser ""pjuttost""), ""howay"" (""come on""), ""stot"" (""bounce"") u ""hadaway"" (""go away"" jew ""int qed tiċċajta""), kollha jidhru li jintuża fl-Iskoċċiżi; ""Aye"" (""Iva"") u ""Nowt"" ("&amp;"IPA: // Naʊt /, Rhymes ma 'Out, ""Xejn"") jintużaw x'imkien ieħor fit-Tramuntana tal-Ingilterra. Ħafna kliem, madankollu, jidhru li jintużaw esklussivament fi Newcastle u fiż-żona tal-madwar, bħal ""canny"" (kelma versatili li tfisser ""tajjeb"", ""sabiħ"&amp;""" jew ""ħafna""), ""hacky"" (""maħmuġ""), "" Netty ""("" toilet ""),"" Hoy ""("" tarmi "", mill-Gooien Olandiż, permezz tal-West Frisjan),"" Hockle ""("" Spit "").")</f>
        <v>"Bairn" u "Hyem", li jfissru "tifel" u "dar", rispettivament, huma eżempji ta 'kliem ta' Geordie b'oriġini fl-Iskandinavja; Barn u Hjem huma l-kliem moderni korrispondenti tan-Norveġja u Daniż. Xi kliem użat fid-djalett ta 'Geordie jintuża x'imkien ieħor fir-Renju Unit tat-Tramuntana. Il-kliem "bonny" (li jfisser "pjuttost"), "howay" ("come on"), "stot" ("bounce") u "hadaway" ("go away" jew "int qed tiċċajta"), kollha jidhru li jintuża fl-Iskoċċiżi; "Aye" ("Iva") u "Nowt" (IPA: // Naʊt /, Rhymes ma 'Out, "Xejn") jintużaw x'imkien ieħor fit-Tramuntana tal-Ingilterra. Ħafna kliem, madankollu, jidhru li jintużaw esklussivament fi Newcastle u fiż-żona tal-madwar, bħal "canny" (kelma versatili li tfisser "tajjeb", "sabiħ" jew "ħafna"), "hacky" ("maħmuġ"), " Netty "(" toilet ")," Hoy "(" tarmi ", mill-Gooien Olandiż, permezz tal-West Frisjan)," Hockle "(" Spit ").</v>
      </c>
    </row>
    <row r="27516" ht="15.75" customHeight="1">
      <c r="A27516" s="2" t="s">
        <v>27516</v>
      </c>
      <c r="B27516" s="2" t="str">
        <f>IFERROR(__xludf.DUMMYFUNCTION("GOOGLETRANSLATE(A27516, ""en"", ""mt"")"),"Kemm huma kbar ribosomi tal-kloroplast?")</f>
        <v>Kemm huma kbar ribosomi tal-kloroplast?</v>
      </c>
    </row>
    <row r="27517" ht="15.75" customHeight="1">
      <c r="A27517" s="2" t="s">
        <v>27517</v>
      </c>
      <c r="B27517" s="2" t="str">
        <f>IFERROR(__xludf.DUMMYFUNCTION("GOOGLETRANSLATE(A27517, ""en"", ""mt"")"),"X'sejjaħ Polo il-Kapitali tal-Yuan?")</f>
        <v>X'sejjaħ Polo il-Kapitali tal-Yuan?</v>
      </c>
    </row>
    <row r="27518" ht="15.75" customHeight="1">
      <c r="A27518" s="2" t="s">
        <v>27518</v>
      </c>
      <c r="B27518" s="2" t="str">
        <f>IFERROR(__xludf.DUMMYFUNCTION("GOOGLETRANSLATE(A27518, ""en"", ""mt"")"),"Kemm irġiel kienu fl-armata ta 'Robert?")</f>
        <v>Kemm irġiel kienu fl-armata ta 'Robert?</v>
      </c>
    </row>
    <row r="27519" ht="15.75" customHeight="1">
      <c r="A27519" s="2" t="s">
        <v>27519</v>
      </c>
      <c r="B27519" s="2" t="str">
        <f>IFERROR(__xludf.DUMMYFUNCTION("GOOGLETRANSLATE(A27519, ""en"", ""mt"")"),"numru 24")</f>
        <v>numru 24</v>
      </c>
    </row>
    <row r="27520" ht="15.75" customHeight="1">
      <c r="A27520" s="2" t="s">
        <v>27520</v>
      </c>
      <c r="B27520" s="2" t="str">
        <f>IFERROR(__xludf.DUMMYFUNCTION("GOOGLETRANSLATE(A27520, ""en"", ""mt"")"),"1731")</f>
        <v>1731</v>
      </c>
    </row>
    <row r="27521" ht="15.75" customHeight="1">
      <c r="A27521" s="2" t="s">
        <v>27521</v>
      </c>
      <c r="B27521" s="2" t="str">
        <f>IFERROR(__xludf.DUMMYFUNCTION("GOOGLETRANSLATE(A27521, ""en"", ""mt"")"),"X'tip ta 'immaġni kienet maħsuba li Tesla ħadet aċċidentalment ġimgħa qabel it-tħabbira tal-iskoperta tagħha?")</f>
        <v>X'tip ta 'immaġni kienet maħsuba li Tesla ħadet aċċidentalment ġimgħa qabel it-tħabbira tal-iskoperta tagħha?</v>
      </c>
    </row>
    <row r="27522" ht="15.75" customHeight="1">
      <c r="A27522" s="2" t="s">
        <v>27522</v>
      </c>
      <c r="B27522" s="2" t="str">
        <f>IFERROR(__xludf.DUMMYFUNCTION("GOOGLETRANSLATE(A27522, ""en"", ""mt"")"),"Nazzjonijiet magħquda")</f>
        <v>Nazzjonijiet magħquda</v>
      </c>
    </row>
    <row r="27523" ht="15.75" customHeight="1">
      <c r="A27523" s="2" t="s">
        <v>27523</v>
      </c>
      <c r="B27523" s="2" t="str">
        <f>IFERROR(__xludf.DUMMYFUNCTION("GOOGLETRANSLATE(A27523, ""en"", ""mt"")"),"l-armata u l-popolazzjoni")</f>
        <v>l-armata u l-popolazzjoni</v>
      </c>
    </row>
    <row r="27524" ht="15.75" customHeight="1">
      <c r="A27524" s="2" t="s">
        <v>27524</v>
      </c>
      <c r="B27524" s="2" t="str">
        <f>IFERROR(__xludf.DUMMYFUNCTION("GOOGLETRANSLATE(A27524, ""en"", ""mt"")"),"Il-Mewt ta ’Elisabeth Sladen")</f>
        <v>Il-Mewt ta ’Elisabeth Sladen</v>
      </c>
    </row>
    <row r="27525" ht="15.75" customHeight="1">
      <c r="A27525" s="2" t="s">
        <v>27525</v>
      </c>
      <c r="B27525" s="2" t="str">
        <f>IFERROR(__xludf.DUMMYFUNCTION("GOOGLETRANSLATE(A27525, ""en"", ""mt"")"),"34")</f>
        <v>34</v>
      </c>
    </row>
    <row r="27526" ht="15.75" customHeight="1">
      <c r="A27526" s="2" t="s">
        <v>27526</v>
      </c>
      <c r="B27526" s="2" t="str">
        <f>IFERROR(__xludf.DUMMYFUNCTION("GOOGLETRANSLATE(A27526, ""en"", ""mt"")"),"Involvi fi djalogu morali")</f>
        <v>Involvi fi djalogu morali</v>
      </c>
    </row>
    <row r="27527" ht="15.75" customHeight="1">
      <c r="A27527" s="2" t="s">
        <v>27527</v>
      </c>
      <c r="B27527" s="2" t="str">
        <f>IFERROR(__xludf.DUMMYFUNCTION("GOOGLETRANSLATE(A27527, ""en"", ""mt"")"),"X'inhu kunċett ġenerali ieħor li japplika għal elementi ta 'ċrieki kommutattivi?")</f>
        <v>X'inhu kunċett ġenerali ieħor li japplika għal elementi ta 'ċrieki kommutattivi?</v>
      </c>
    </row>
    <row r="27528" ht="15.75" customHeight="1">
      <c r="A27528" s="2" t="s">
        <v>27528</v>
      </c>
      <c r="B27528" s="2" t="str">
        <f>IFERROR(__xludf.DUMMYFUNCTION("GOOGLETRANSLATE(A27528, ""en"", ""mt"")"),"Tabib fil-Bibbja.")</f>
        <v>Tabib fil-Bibbja.</v>
      </c>
    </row>
    <row r="27529" ht="15.75" customHeight="1">
      <c r="A27529" s="2" t="s">
        <v>27529</v>
      </c>
      <c r="B27529" s="2" t="str">
        <f>IFERROR(__xludf.DUMMYFUNCTION("GOOGLETRANSLATE(A27529, ""en"", ""mt"")"),"Kemm kien effettiv l-użu militari tal- ""Għarab Afgan""?")</f>
        <v>Kemm kien effettiv l-użu militari tal- "Għarab Afgan"?</v>
      </c>
    </row>
    <row r="27530" ht="15.75" customHeight="1">
      <c r="A27530" s="2" t="s">
        <v>27530</v>
      </c>
      <c r="B27530" s="2" t="str">
        <f>IFERROR(__xludf.DUMMYFUNCTION("GOOGLETRANSLATE(A27530, ""en"", ""mt"")"),"136")</f>
        <v>136</v>
      </c>
    </row>
    <row r="27531" ht="15.75" customHeight="1">
      <c r="A27531" s="2" t="s">
        <v>27531</v>
      </c>
      <c r="B27531" s="2" t="str">
        <f>IFERROR(__xludf.DUMMYFUNCTION("GOOGLETRANSLATE(A27531, ""en"", ""mt"")"),"Josiah Wedgwood, William de Morgan u Bernard Leach")</f>
        <v>Josiah Wedgwood, William de Morgan u Bernard Leach</v>
      </c>
    </row>
    <row r="27532" ht="15.75" customHeight="1">
      <c r="A27532" s="2" t="s">
        <v>27532</v>
      </c>
      <c r="B27532" s="2" t="str">
        <f>IFERROR(__xludf.DUMMYFUNCTION("GOOGLETRANSLATE(A27532, ""en"", ""mt"")"),"Caris &amp; Co.")</f>
        <v>Caris &amp; Co.</v>
      </c>
    </row>
    <row r="27533" ht="15.75" customHeight="1">
      <c r="A27533" s="2" t="s">
        <v>27533</v>
      </c>
      <c r="B27533" s="2" t="str">
        <f>IFERROR(__xludf.DUMMYFUNCTION("GOOGLETRANSLATE(A27533, ""en"", ""mt"")"),"Imperatur Chengzong")</f>
        <v>Imperatur Chengzong</v>
      </c>
    </row>
  </sheetData>
  <printOptions/>
  <pageMargins bottom="1.0" footer="0.0" header="0.0" left="0.75" right="0.75" top="1.0"/>
  <pageSetup orientation="landscape"/>
  <drawing r:id="rId1"/>
</worksheet>
</file>